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NTREGAS DE CAFE" sheetId="1" r:id="rId4"/>
    <sheet state="hidden" name="CIERRE 2023" sheetId="2" r:id="rId5"/>
    <sheet state="hidden" name="ENERO 2023" sheetId="3" r:id="rId6"/>
    <sheet state="hidden" name="FEBRERO 2023" sheetId="4" r:id="rId7"/>
    <sheet state="hidden" name="MARZO 2023" sheetId="5" r:id="rId8"/>
    <sheet state="hidden" name="ABRIL 2023" sheetId="6" r:id="rId9"/>
    <sheet state="hidden" name="MAYO 2023" sheetId="7" r:id="rId10"/>
    <sheet state="hidden" name="JUNIO 2023" sheetId="8" r:id="rId11"/>
    <sheet state="hidden" name="JULIO 2023" sheetId="9" r:id="rId12"/>
    <sheet state="hidden" name="AGOSTO 2023" sheetId="10" r:id="rId13"/>
    <sheet state="hidden" name="CIERRE 2024" sheetId="11" r:id="rId14"/>
    <sheet state="hidden" name="CIERRE 2025" sheetId="12" r:id="rId15"/>
    <sheet state="hidden" name="Hoja 11" sheetId="13" r:id="rId16"/>
    <sheet state="hidden" name="SEPTIEMBRE 2023" sheetId="14" r:id="rId17"/>
    <sheet state="hidden" name="OCTUBRE 2023" sheetId="15" r:id="rId18"/>
    <sheet state="hidden" name="NOVIEMBRE 2023" sheetId="16" r:id="rId19"/>
    <sheet state="hidden" name="DICIEMBRE 2023" sheetId="17" r:id="rId20"/>
    <sheet state="hidden" name="ENERO 2024" sheetId="18" r:id="rId21"/>
    <sheet state="hidden" name="FEBRERO 2024" sheetId="19" r:id="rId22"/>
    <sheet state="hidden" name="MARZO 2024" sheetId="20" r:id="rId23"/>
    <sheet state="hidden" name="ABRIL 2024" sheetId="21" r:id="rId24"/>
    <sheet state="hidden" name="MAYO 2024" sheetId="22" r:id="rId25"/>
    <sheet state="hidden" name="JUNIO 2024" sheetId="23" r:id="rId26"/>
    <sheet state="hidden" name="JULIO 2024" sheetId="24" r:id="rId27"/>
    <sheet state="hidden" name="AGOSTO 2024" sheetId="25" r:id="rId28"/>
    <sheet state="hidden" name="SEPTIEMBRE 2024" sheetId="26" r:id="rId29"/>
    <sheet state="hidden" name="OCTUBRE 2024" sheetId="27" r:id="rId30"/>
    <sheet state="hidden" name="NOVIEMBRE 2024" sheetId="28" r:id="rId31"/>
    <sheet state="hidden" name="DICIEMBRE 2024" sheetId="29" r:id="rId32"/>
    <sheet state="hidden" name="ENERO 2025" sheetId="30" r:id="rId33"/>
    <sheet state="hidden" name="FEBRERO 2025" sheetId="31" r:id="rId34"/>
    <sheet state="hidden" name="MARZO 2025" sheetId="32" r:id="rId35"/>
    <sheet state="hidden" name="ABRIL 2025" sheetId="33" r:id="rId36"/>
    <sheet state="hidden" name="MAYO 25" sheetId="34" r:id="rId37"/>
    <sheet state="hidden" name="JUNIO 25" sheetId="35" r:id="rId38"/>
    <sheet state="hidden" name="JULIO 25" sheetId="36" r:id="rId39"/>
    <sheet state="hidden" name="AGOSTO 25" sheetId="37" r:id="rId40"/>
    <sheet state="hidden" name="SEPTIEMBRE 25" sheetId="38" r:id="rId41"/>
    <sheet state="hidden" name="OCTUBRE 25" sheetId="39" r:id="rId42"/>
    <sheet state="hidden" name="NOVIEMBRE 25" sheetId="40" r:id="rId43"/>
    <sheet state="hidden" name="DICIEMBRE 25" sheetId="41" r:id="rId44"/>
    <sheet state="visible" name="CIERRE 2026" sheetId="42" r:id="rId45"/>
    <sheet state="hidden" name="ENERO 26" sheetId="43" r:id="rId46"/>
    <sheet state="hidden" name="FEBRERO 26" sheetId="44" r:id="rId47"/>
    <sheet state="hidden" name="MARZO 26" sheetId="45" r:id="rId48"/>
    <sheet state="visible" name="ABRIL26" sheetId="46" r:id="rId49"/>
    <sheet state="visible" name="MAYO26" sheetId="47" r:id="rId50"/>
    <sheet state="hidden" name="GASTOS FIJOS 2025" sheetId="48" r:id="rId51"/>
    <sheet state="visible" name="GASTOS FIJOS 2026" sheetId="49" r:id="rId52"/>
    <sheet state="visible" name="BALANCE" sheetId="50" r:id="rId53"/>
    <sheet state="visible" name="VICKY VERDURA" sheetId="51" r:id="rId54"/>
    <sheet state="visible" name="QUINTELA" sheetId="52" r:id="rId55"/>
    <sheet state="visible" name="LA SERENISIMA" sheetId="53" r:id="rId56"/>
    <sheet state="visible" name="ORMAZABAL" sheetId="54" r:id="rId57"/>
    <sheet state="visible" name="DISTRIB LJ" sheetId="55" r:id="rId58"/>
    <sheet state="hidden" name="LA REDENCION" sheetId="56" r:id="rId59"/>
    <sheet state="visible" name="COCA" sheetId="57" r:id="rId60"/>
    <sheet state="visible" name="KEVIN COCA" sheetId="58" r:id="rId61"/>
    <sheet state="visible" name="POLLO MIGUEL" sheetId="59" r:id="rId62"/>
    <sheet state="visible" name="HEREFORD PAMPA" sheetId="60" r:id="rId63"/>
    <sheet state="visible" name="APROSEM" sheetId="61" r:id="rId64"/>
    <sheet state="visible" name="PORTO ESPRESO" sheetId="62" r:id="rId65"/>
    <sheet state="visible" name="MANTECA" sheetId="63" r:id="rId66"/>
    <sheet state="visible" name="CRIOLLO" sheetId="64" r:id="rId67"/>
    <sheet state="visible" name="HARINA DEL ROSARIO" sheetId="65" r:id="rId68"/>
    <sheet state="visible" name="MESSIAN" sheetId="66" r:id="rId69"/>
    <sheet state="visible" name="MILKAUT" sheetId="67" r:id="rId70"/>
    <sheet state="hidden" name="WRAPS" sheetId="68" r:id="rId71"/>
    <sheet state="visible" name="CUYAIRES" sheetId="69" r:id="rId72"/>
    <sheet state="visible" name="SEMAS" sheetId="70" r:id="rId73"/>
    <sheet state="visible" name="HIELO" sheetId="71" r:id="rId74"/>
    <sheet state="visible" name="HUEVO" sheetId="72" r:id="rId75"/>
    <sheet state="visible" name="FERAS" sheetId="73" r:id="rId76"/>
    <sheet state="visible" name="ALMAFUERTE" sheetId="74" r:id="rId77"/>
    <sheet state="visible" name="PANIZZA" sheetId="75" r:id="rId78"/>
    <sheet state="visible" name="VITALCER" sheetId="76" r:id="rId79"/>
    <sheet state="visible" name="TUTTO FARRA" sheetId="77" r:id="rId80"/>
    <sheet state="visible" name="LA BOTICA DEL PASTELERO" sheetId="78" r:id="rId81"/>
    <sheet state="visible" name="VALOT" sheetId="79" r:id="rId82"/>
    <sheet state="visible" name="EDU" sheetId="80" r:id="rId83"/>
    <sheet state="visible" name="MOTOFECA" sheetId="81" r:id="rId84"/>
    <sheet state="visible" name="MARILU" sheetId="82" r:id="rId85"/>
    <sheet state="visible" name="GONZANIO" sheetId="83" r:id="rId86"/>
    <sheet state="hidden" name="Hoja 9" sheetId="84" r:id="rId87"/>
    <sheet state="hidden" name="DICIEMBRE 2022" sheetId="85" r:id="rId88"/>
    <sheet state="hidden" name="CIERRE 2022" sheetId="86" r:id="rId89"/>
    <sheet state="hidden" name="NOVIEMBRE 2022" sheetId="87" r:id="rId90"/>
    <sheet state="hidden" name="OCTUBRE 2022" sheetId="88" r:id="rId91"/>
    <sheet state="hidden" name="SEPTIEMBRE 2022" sheetId="89" r:id="rId92"/>
    <sheet state="hidden" name="AGOSTO 2022" sheetId="90" r:id="rId93"/>
    <sheet state="hidden" name="JULIO 2022" sheetId="91" r:id="rId94"/>
    <sheet state="hidden" name="JUNIO 2022" sheetId="92" r:id="rId95"/>
    <sheet state="hidden" name="MAYO 2022" sheetId="93" r:id="rId96"/>
    <sheet state="hidden" name="ABRIL 2022" sheetId="94" r:id="rId97"/>
    <sheet state="hidden" name="MARZO 2022" sheetId="95" r:id="rId98"/>
    <sheet state="hidden" name="FEBRERO 2022" sheetId="96" r:id="rId99"/>
    <sheet state="hidden" name="ENERO 2022" sheetId="97" r:id="rId100"/>
    <sheet state="hidden" name="DICIEMBRE 2021" sheetId="98" r:id="rId101"/>
    <sheet state="hidden" name="NOVIEMBRE 2021" sheetId="99" r:id="rId102"/>
    <sheet state="hidden" name="OCTUBRE 2021" sheetId="100" r:id="rId103"/>
    <sheet state="hidden" name="SEPTIEMBRE 2021" sheetId="101" r:id="rId104"/>
    <sheet state="hidden" name="AGOSTO 2021" sheetId="102" r:id="rId105"/>
    <sheet state="hidden" name="JULIO 2021" sheetId="103" r:id="rId106"/>
    <sheet state="hidden" name="JUNIO 2021" sheetId="104" r:id="rId107"/>
    <sheet state="hidden" name="MAYO 2021" sheetId="105" r:id="rId108"/>
    <sheet state="hidden" name="ABRIL 2021" sheetId="106" r:id="rId109"/>
    <sheet state="hidden" name="MARZO 2021" sheetId="107" r:id="rId110"/>
    <sheet state="hidden" name="FEBRERO 2021" sheetId="108" r:id="rId111"/>
    <sheet state="hidden" name="ENERO 2021" sheetId="109" r:id="rId112"/>
    <sheet state="hidden" name="CIERRE 2021" sheetId="110" r:id="rId113"/>
    <sheet state="hidden" name="Hoja 8" sheetId="111" r:id="rId114"/>
    <sheet state="hidden" name="CIERRE2020" sheetId="112" r:id="rId115"/>
    <sheet state="hidden" name="DICPAGOS20" sheetId="113" r:id="rId116"/>
    <sheet state="hidden" name="NOVPAGOS20" sheetId="114" r:id="rId117"/>
    <sheet state="hidden" name="OCTPAGOS20" sheetId="115" r:id="rId118"/>
    <sheet state="hidden" name="ARQUEO CAJA" sheetId="116" r:id="rId119"/>
    <sheet state="hidden" name="SEP20PAGOS" sheetId="117" r:id="rId120"/>
    <sheet state="hidden" name="PAGOSAGOS" sheetId="118" r:id="rId121"/>
    <sheet state="hidden" name="PAGOSJUL20" sheetId="119" r:id="rId122"/>
    <sheet state="hidden" name="PAGOSJUN20" sheetId="120" r:id="rId123"/>
    <sheet state="hidden" name="PAGOSMAYO20" sheetId="121" r:id="rId124"/>
    <sheet state="hidden" name="PAGOSABR20" sheetId="122" r:id="rId125"/>
    <sheet state="hidden" name="Copia PAGOS" sheetId="123" r:id="rId126"/>
    <sheet state="hidden" name="PAGOSMAR20" sheetId="124" r:id="rId127"/>
    <sheet state="hidden" name="PAGOSFEB20" sheetId="125" r:id="rId128"/>
    <sheet state="hidden" name="PAGOSENE20" sheetId="126" r:id="rId129"/>
    <sheet state="hidden" name="CIERRE2019" sheetId="127" r:id="rId130"/>
    <sheet state="hidden" name="PAGOS DIC19" sheetId="128" r:id="rId131"/>
    <sheet state="hidden" name="PAGOS NOV19" sheetId="129" r:id="rId132"/>
    <sheet state="hidden" name="PAGOS OCT19" sheetId="130" r:id="rId133"/>
    <sheet state="hidden" name="PAGOS SEP19" sheetId="131" r:id="rId134"/>
  </sheets>
  <definedNames>
    <definedName hidden="1" localSheetId="45" name="_xlnm._FilterDatabase">ABRIL26!$E$68</definedName>
    <definedName hidden="1" localSheetId="46" name="_xlnm._FilterDatabase">MAYO26!$E$65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tc={29963bdd-abb1-4966-90ff-d14abd41a65e}</author>
  </authors>
  <commentList>
    <comment authorId="0" ref="H1">
      <text>
        <t xml:space="preserve">ingresar solo los pagos online
</t>
      </text>
    </comment>
    <comment authorId="0" ref="H37">
      <text>
        <t xml:space="preserve">ABONADO TOTAL POR PY
</t>
      </text>
    </comment>
    <comment authorId="0" ref="N127">
      <text>
        <t xml:space="preserve">900 error de cobro kelly :(
</t>
      </text>
    </comment>
    <comment authorId="0" ref="H263">
      <text>
        <t xml:space="preserve">ingresar solo los pagos online
</t>
      </text>
    </comment>
    <comment authorId="1" xr:uid="{29963bdd-abb1-4966-90ff-d14abd41a65e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 octagon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tc={d52e1c0f-107b-48b7-8f29-d15ecfd8dcd2}</author>
    <author>tc={dae84fd7-1f27-4d45-be0b-74f011d6b55e}</author>
  </authors>
  <commentList>
    <comment authorId="0" ref="H1">
      <text>
        <t xml:space="preserve">ingresar solo los pagos online
</t>
      </text>
    </comment>
    <comment authorId="0" ref="N128">
      <text>
        <t xml:space="preserve">900 error de cobro kelly :(
</t>
      </text>
    </comment>
    <comment authorId="0" ref="H263">
      <text>
        <t xml:space="preserve">ingresar solo los pagos online
</t>
      </text>
    </comment>
    <comment authorId="1" xr:uid="{d52e1c0f-107b-48b7-8f29-d15ecfd8dcd2}" ref="I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ceitba
</t>
      </text>
    </comment>
    <comment authorId="2" xr:uid="{dae84fd7-1f27-4d45-be0b-74f011d6b55e}" ref="I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 CEITBA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tc={0127e294-7946-4243-bd87-61187ca371c0}</author>
    <author>tc={50512b69-5e46-4080-b875-1fb23021eaac}</author>
    <author>tc={bf514ce8-004c-42d2-9484-1e92e0a3b078}</author>
    <author>tc={c8241fe0-78bd-45d0-bad5-233574ebdff3}</author>
  </authors>
  <commentList>
    <comment authorId="0" ref="H1">
      <text>
        <t xml:space="preserve">ingresar solo los pagos online
</t>
      </text>
    </comment>
    <comment authorId="0" ref="I1">
      <text>
        <t xml:space="preserve">ingresar solo los pagos online
</t>
      </text>
    </comment>
    <comment authorId="0" ref="O128">
      <text>
        <t xml:space="preserve">900 error de cobro kelly :(
</t>
      </text>
    </comment>
    <comment authorId="0" ref="H263">
      <text>
        <t xml:space="preserve">ingresar solo los pagos online
</t>
      </text>
    </comment>
    <comment authorId="1" xr:uid="{0127e294-7946-4243-bd87-61187ca371c0}" ref="J4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itba
</t>
      </text>
    </comment>
    <comment authorId="2" xr:uid="{50512b69-5e46-4080-b875-1fb23021eaac}" ref="C5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desconto la boleta de itba de 523640
</t>
      </text>
    </comment>
    <comment authorId="3" xr:uid="{bf514ce8-004c-42d2-9484-1e92e0a3b078}" ref="C5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desconto la boleta de itba
</t>
      </text>
    </comment>
    <comment authorId="4" xr:uid="{c8241fe0-78bd-45d0-bad5-233574ebdff3}" ref="D5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desconto la boleta de itba x 523640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ingresar solo los pagos online
</t>
      </text>
    </comment>
    <comment authorId="0" ref="I1">
      <text>
        <t xml:space="preserve">ingresar solo los pagos online
</t>
      </text>
    </comment>
    <comment authorId="0" ref="O128">
      <text>
        <t xml:space="preserve">900 error de cobro kelly :(
</t>
      </text>
    </comment>
    <comment authorId="0" ref="H263">
      <text>
        <t xml:space="preserve">ingresar solo los pagos online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tc={e83e6247-6785-4492-98f4-cf3190324e88}</author>
  </authors>
  <commentList>
    <comment authorId="0" xr:uid="{e83e6247-6785-4492-98f4-cf3190324e88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luego 6 cuotas de 241526,36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tc={b9fc4454-16ea-42de-b688-5b8026d6b37c}</author>
  </authors>
  <commentList>
    <comment authorId="0" xr:uid="{b9fc4454-16ea-42de-b688-5b8026d6b37c}" ref="D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pagara martes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tc={c308a1a4-2efa-497f-9e26-98207f12ae30}</author>
  </authors>
  <commentList>
    <comment authorId="0" xr:uid="{c308a1a4-2efa-497f-9e26-98207f12ae30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fac es de 125361 y se resto lo que pagaron los chicos x mp 72889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ingresar solo los pagos online
</t>
      </text>
    </comment>
    <comment authorId="0" ref="H37">
      <text>
        <t xml:space="preserve">ABONADO TOTAL POR PY
</t>
      </text>
    </comment>
    <comment authorId="0" ref="M128">
      <text>
        <t xml:space="preserve">900 error de cobro kelly :(
</t>
      </text>
    </comment>
    <comment authorId="0" ref="H264">
      <text>
        <t xml:space="preserve">ingresar solo los pagos online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tc={a378275f-7d5b-4130-b8db-b675ec0add84}</author>
    <author>tc={e719ba6b-0285-47e9-952f-9c381b5cc03a}</author>
  </authors>
  <commentList>
    <comment authorId="0" ref="F224">
      <text>
        <t xml:space="preserve">se pago con los 16 de ayer</t>
      </text>
    </comment>
    <comment authorId="0" ref="F225">
      <text>
        <t xml:space="preserve">se pago con los 16 de ayer
</t>
      </text>
    </comment>
    <comment authorId="1" xr:uid="{a378275f-7d5b-4130-b8db-b675ec0add84}" ref="F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pago con los 16 de ayer
</t>
      </text>
    </comment>
    <comment authorId="2" xr:uid="{e719ba6b-0285-47e9-952f-9c381b5cc03a}" ref="F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pago con los 16 de ayer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tc={0882749b-e538-43bc-8247-d53179f42292}</author>
  </authors>
  <commentList>
    <comment authorId="0" xr:uid="{0882749b-e538-43bc-8247-d53179f42292}" ref="H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rafa se le transfirio sueldo y se uso para hs extra y liquidacion agus, el resto se sumo a caja de sabado ($5000)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tc={72f067e5-3e4d-4050-8a27-86fe376f9f39}</author>
  </authors>
  <commentList>
    <comment authorId="0" ref="G1">
      <text>
        <t xml:space="preserve">ingresar solo los pagos online
</t>
      </text>
    </comment>
    <comment authorId="0" ref="G37">
      <text>
        <t xml:space="preserve">ABONADO TOTAL POR PY
</t>
      </text>
    </comment>
    <comment authorId="0" ref="G39">
      <text>
        <t xml:space="preserve">INCONVENIENTES CON CADETE -1 EP5
</t>
      </text>
    </comment>
    <comment authorId="0" ref="L129">
      <text>
        <t xml:space="preserve">900 error de cobro kelly :(
</t>
      </text>
    </comment>
    <comment authorId="0" ref="G264">
      <text>
        <t xml:space="preserve">ingresar solo los pagos online
</t>
      </text>
    </comment>
    <comment authorId="1" xr:uid="{72f067e5-3e4d-4050-8a27-86fe376f9f39}" ref="D3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940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ingresar solo los pagos online
</t>
      </text>
    </comment>
    <comment authorId="0" ref="G37">
      <text>
        <t xml:space="preserve">ABONADO TOTAL POR PY
</t>
      </text>
    </comment>
    <comment authorId="0" ref="G39">
      <text>
        <t xml:space="preserve">INCONVENIENTES CON CADETE -1 EP5
</t>
      </text>
    </comment>
    <comment authorId="0" ref="M128">
      <text>
        <t xml:space="preserve">900 error de cobro kelly :(
</t>
      </text>
    </comment>
    <comment authorId="0" ref="G263">
      <text>
        <t xml:space="preserve">ingresar solo los pagos online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">
      <text>
        <t xml:space="preserve">BANCO 13000
-3000 KELLY  AGOSTO
</t>
      </text>
    </comment>
    <comment authorId="0" ref="R5">
      <text>
        <t xml:space="preserve">-5800 KELLY AGOSTO
</t>
      </text>
    </comment>
  </commentList>
</comments>
</file>

<file path=xl/sharedStrings.xml><?xml version="1.0" encoding="utf-8"?>
<sst xmlns="http://schemas.openxmlformats.org/spreadsheetml/2006/main" count="26720" uniqueCount="4638">
  <si>
    <t>PROVEEDOR:</t>
  </si>
  <si>
    <t>FECHA DE ENTREGA:</t>
  </si>
  <si>
    <t>SANTANDER</t>
  </si>
  <si>
    <t>MEXICO</t>
  </si>
  <si>
    <t>BRASIL</t>
  </si>
  <si>
    <t>OTRO</t>
  </si>
  <si>
    <t>MOLIDO</t>
  </si>
  <si>
    <t>GRANO</t>
  </si>
  <si>
    <t>PEDIDOS CAFE</t>
  </si>
  <si>
    <t>FECHA</t>
  </si>
  <si>
    <t xml:space="preserve">VENTA DIARIA </t>
  </si>
  <si>
    <t>ZETA</t>
  </si>
  <si>
    <t xml:space="preserve">CAJA </t>
  </si>
  <si>
    <t>CAMBIO</t>
  </si>
  <si>
    <t xml:space="preserve">TARJETAS </t>
  </si>
  <si>
    <r>
      <rPr>
        <b/>
        <sz val="8.0"/>
      </rPr>
      <t xml:space="preserve">PEDIDOS YA </t>
    </r>
    <r>
      <rPr>
        <b/>
        <color rgb="FFFF0000"/>
        <sz val="8.0"/>
      </rPr>
      <t>PAGO-ONLINE</t>
    </r>
  </si>
  <si>
    <t>CTA CTE</t>
  </si>
  <si>
    <t>MERCADO</t>
  </si>
  <si>
    <t>EFECTIVO DEL DIA</t>
  </si>
  <si>
    <t>CAJA FUERTE</t>
  </si>
  <si>
    <t>CAJITA</t>
  </si>
  <si>
    <t>LUNES</t>
  </si>
  <si>
    <t>MARTES</t>
  </si>
  <si>
    <t>MIERCOLES</t>
  </si>
  <si>
    <t>JUEVES</t>
  </si>
  <si>
    <t>VIERNES</t>
  </si>
  <si>
    <t>SABADO</t>
  </si>
  <si>
    <t>DOMINGO</t>
  </si>
  <si>
    <t>TOTAL</t>
  </si>
  <si>
    <t>ENERO</t>
  </si>
  <si>
    <t xml:space="preserve">JUEVES </t>
  </si>
  <si>
    <t>FEBRERO</t>
  </si>
  <si>
    <t>MIÉRCOLES</t>
  </si>
  <si>
    <t>SÁBADO</t>
  </si>
  <si>
    <t>RECORD</t>
  </si>
  <si>
    <t>MARZO</t>
  </si>
  <si>
    <t>Revisar</t>
  </si>
  <si>
    <t>ABRIL</t>
  </si>
  <si>
    <t>-</t>
  </si>
  <si>
    <t>MAYO</t>
  </si>
  <si>
    <t>18/06/2022</t>
  </si>
  <si>
    <t>JUNIO</t>
  </si>
  <si>
    <t>JULIO</t>
  </si>
  <si>
    <t>AGOSTO</t>
  </si>
  <si>
    <t>51950?</t>
  </si>
  <si>
    <t>SEPTIEMBRE</t>
  </si>
  <si>
    <t xml:space="preserve"> </t>
  </si>
  <si>
    <t>1410/2022</t>
  </si>
  <si>
    <t>FERIADO</t>
  </si>
  <si>
    <t>OCTUBRE</t>
  </si>
  <si>
    <t>NOVIEMBRE</t>
  </si>
  <si>
    <t>DICIEMBRE</t>
  </si>
  <si>
    <t>MP</t>
  </si>
  <si>
    <t>CHEQUE</t>
  </si>
  <si>
    <t>TRANSFERENCIA</t>
  </si>
  <si>
    <t>ADEUDA</t>
  </si>
  <si>
    <t xml:space="preserve">GASTOS </t>
  </si>
  <si>
    <t>RETIROS</t>
  </si>
  <si>
    <t>LA SERENISIMA</t>
  </si>
  <si>
    <t>CE</t>
  </si>
  <si>
    <t>LUNES 2</t>
  </si>
  <si>
    <t>BRIE</t>
  </si>
  <si>
    <t>EVA</t>
  </si>
  <si>
    <t>FP</t>
  </si>
  <si>
    <t>POLLO</t>
  </si>
  <si>
    <t>MARILU</t>
  </si>
  <si>
    <t>pulpa frutilla</t>
  </si>
  <si>
    <t>moto florida</t>
  </si>
  <si>
    <t>huevo</t>
  </si>
  <si>
    <t>filtro cafe</t>
  </si>
  <si>
    <t>MARTES 3</t>
  </si>
  <si>
    <t>quintela</t>
  </si>
  <si>
    <t>H</t>
  </si>
  <si>
    <t>horeca</t>
  </si>
  <si>
    <t>criollo</t>
  </si>
  <si>
    <t>edu</t>
  </si>
  <si>
    <t>harina</t>
  </si>
  <si>
    <t>valot</t>
  </si>
  <si>
    <t>cucharas</t>
  </si>
  <si>
    <t>wraps</t>
  </si>
  <si>
    <t>MIERCOLES 4</t>
  </si>
  <si>
    <t>tenedores</t>
  </si>
  <si>
    <t>la serenisima</t>
  </si>
  <si>
    <t>folex</t>
  </si>
  <si>
    <t>ormazabal</t>
  </si>
  <si>
    <t>hielo</t>
  </si>
  <si>
    <t>choco alpino pins</t>
  </si>
  <si>
    <t>pollo</t>
  </si>
  <si>
    <t>deposite a bbva 202k y me los transferi a mi mp</t>
  </si>
  <si>
    <t>matiz</t>
  </si>
  <si>
    <t>JUEVES 5</t>
  </si>
  <si>
    <t>cuyaires</t>
  </si>
  <si>
    <t>motobaires</t>
  </si>
  <si>
    <t>remis marcelo</t>
  </si>
  <si>
    <t>ferreteria</t>
  </si>
  <si>
    <t>Marcelo</t>
  </si>
  <si>
    <t>VIERNES 6</t>
  </si>
  <si>
    <t>fp</t>
  </si>
  <si>
    <t>Retiro C</t>
  </si>
  <si>
    <t>limpieza</t>
  </si>
  <si>
    <t>gonzanio</t>
  </si>
  <si>
    <t>eva</t>
  </si>
  <si>
    <t>moto contadora</t>
  </si>
  <si>
    <t>coca</t>
  </si>
  <si>
    <t>Marce</t>
  </si>
  <si>
    <t>Ferreteria</t>
  </si>
  <si>
    <t>SABADO 7</t>
  </si>
  <si>
    <t>C</t>
  </si>
  <si>
    <t>film</t>
  </si>
  <si>
    <t>8 ADELANTO CE</t>
  </si>
  <si>
    <t>cele</t>
  </si>
  <si>
    <t>hs extra kiara</t>
  </si>
  <si>
    <t>hs extra leonel</t>
  </si>
  <si>
    <t>LUNES 9</t>
  </si>
  <si>
    <t>marilu</t>
  </si>
  <si>
    <t>deposite 47k en bbva y me transferi a mp</t>
  </si>
  <si>
    <t>leche alm</t>
  </si>
  <si>
    <t>harina alm</t>
  </si>
  <si>
    <t>choco alpino</t>
  </si>
  <si>
    <t>MARTES 10</t>
  </si>
  <si>
    <t>HUEVO</t>
  </si>
  <si>
    <t>vegetalina *500gr</t>
  </si>
  <si>
    <t>manteca</t>
  </si>
  <si>
    <t>MIERCOLES 11</t>
  </si>
  <si>
    <t>Cobo pago H</t>
  </si>
  <si>
    <t>MILKAUT</t>
  </si>
  <si>
    <t>JUEVES 12</t>
  </si>
  <si>
    <t>Ensaladera</t>
  </si>
  <si>
    <t>aceite freidora</t>
  </si>
  <si>
    <t>VIERNES 13</t>
  </si>
  <si>
    <t>JAVIER</t>
  </si>
  <si>
    <t>PENGUIN</t>
  </si>
  <si>
    <t>SABADO 14</t>
  </si>
  <si>
    <t>tanen</t>
  </si>
  <si>
    <t>LUNES 16</t>
  </si>
  <si>
    <t>des piso</t>
  </si>
  <si>
    <t>deposite 35k y me lo transferi a mp</t>
  </si>
  <si>
    <t>rucula</t>
  </si>
  <si>
    <t>fumigator</t>
  </si>
  <si>
    <t>huevos</t>
  </si>
  <si>
    <t>MARTES 17</t>
  </si>
  <si>
    <t>MIERCOLES 18</t>
  </si>
  <si>
    <t>milkaut</t>
  </si>
  <si>
    <t>tia maria</t>
  </si>
  <si>
    <t>laurimar</t>
  </si>
  <si>
    <t>JUEVES 19</t>
  </si>
  <si>
    <t>Ce</t>
  </si>
  <si>
    <t>lavandina</t>
  </si>
  <si>
    <t>VIERNES 20</t>
  </si>
  <si>
    <t>CyH</t>
  </si>
  <si>
    <t>prod limpieza</t>
  </si>
  <si>
    <t>impresion hojas de carta</t>
  </si>
  <si>
    <t>tati bateas</t>
  </si>
  <si>
    <t>vasos jujuy</t>
  </si>
  <si>
    <t>seña canasto cuchipasta</t>
  </si>
  <si>
    <t>SABADO 21</t>
  </si>
  <si>
    <t>kiara vacaciones</t>
  </si>
  <si>
    <t>bono rodri</t>
  </si>
  <si>
    <t>dia rodri 2</t>
  </si>
  <si>
    <t>LUNES 23</t>
  </si>
  <si>
    <t>Eva</t>
  </si>
  <si>
    <t>Hielo</t>
  </si>
  <si>
    <t>MARTES 24</t>
  </si>
  <si>
    <t>schweppes</t>
  </si>
  <si>
    <t>maple huevo</t>
  </si>
  <si>
    <t>ALquiler B</t>
  </si>
  <si>
    <t>MIERCOLES 25</t>
  </si>
  <si>
    <t>penguin</t>
  </si>
  <si>
    <t>key digital</t>
  </si>
  <si>
    <t>bandejas tortas</t>
  </si>
  <si>
    <t>alcohol</t>
  </si>
  <si>
    <t>colorante</t>
  </si>
  <si>
    <t>pan rallado</t>
  </si>
  <si>
    <t>JUEVES 26</t>
  </si>
  <si>
    <t>transferencia Hernan</t>
  </si>
  <si>
    <t>laurimar deuda</t>
  </si>
  <si>
    <t>bazar</t>
  </si>
  <si>
    <t>organizador</t>
  </si>
  <si>
    <t>picahielo</t>
  </si>
  <si>
    <t>VIERNES 27</t>
  </si>
  <si>
    <t>wraps?</t>
  </si>
  <si>
    <t>sueldo mary</t>
  </si>
  <si>
    <t>SABADO 28</t>
  </si>
  <si>
    <t>20000 a cecimp compensa con hernan dia jueves</t>
  </si>
  <si>
    <t>LUNES 30</t>
  </si>
  <si>
    <t>deposite 63 y me transferi a cecimp</t>
  </si>
  <si>
    <t>MARTES 31</t>
  </si>
  <si>
    <t>GASTOS FIJOS</t>
  </si>
  <si>
    <t>EDESUR</t>
  </si>
  <si>
    <t>DEBITO AUTOM</t>
  </si>
  <si>
    <t xml:space="preserve">METROGAS </t>
  </si>
  <si>
    <t xml:space="preserve">AYSA </t>
  </si>
  <si>
    <t>ALQUILER A</t>
  </si>
  <si>
    <t>ALQUILER B</t>
  </si>
  <si>
    <t>EXPENSAS</t>
  </si>
  <si>
    <t>diciembre y enero</t>
  </si>
  <si>
    <t>CONTADORA</t>
  </si>
  <si>
    <t>METROTEL(Cps)</t>
  </si>
  <si>
    <t>DEBITO AUTOM en mp</t>
  </si>
  <si>
    <t>VERISURE</t>
  </si>
  <si>
    <t>MAXIREST</t>
  </si>
  <si>
    <t>MAPFRE</t>
  </si>
  <si>
    <t>cargas sociales</t>
  </si>
  <si>
    <t>VEP</t>
  </si>
  <si>
    <t>uthgra seg vida</t>
  </si>
  <si>
    <t>uthgra convenio</t>
  </si>
  <si>
    <t>IVA</t>
  </si>
  <si>
    <t>BBV</t>
  </si>
  <si>
    <t>UTHGRA</t>
  </si>
  <si>
    <t>UVA CIUDAD</t>
  </si>
  <si>
    <t>honorarios Ledesma</t>
  </si>
  <si>
    <t>z</t>
  </si>
  <si>
    <t>MIERCOLES 1</t>
  </si>
  <si>
    <t>7606 use de mp</t>
  </si>
  <si>
    <t>frutos rojos congelados</t>
  </si>
  <si>
    <t>paltas</t>
  </si>
  <si>
    <t>JUEVES 2</t>
  </si>
  <si>
    <t>21918,46 use de bbva</t>
  </si>
  <si>
    <t>ledevit</t>
  </si>
  <si>
    <t>filtros cafe</t>
  </si>
  <si>
    <t>colucci procesadora</t>
  </si>
  <si>
    <t>guantes nitrilo costa</t>
  </si>
  <si>
    <t>VIERNES 3</t>
  </si>
  <si>
    <t>SABADO 4</t>
  </si>
  <si>
    <t>LUNES 6</t>
  </si>
  <si>
    <t>C deposite 105000+19000+55500 en bbva y transf 140 a nora y 39500 a mi mp</t>
  </si>
  <si>
    <t>serenisima del viernes</t>
  </si>
  <si>
    <t>carrefour</t>
  </si>
  <si>
    <t>chino</t>
  </si>
  <si>
    <t>hilo encerado</t>
  </si>
  <si>
    <t>MARTES 7</t>
  </si>
  <si>
    <t>retiro H :))</t>
  </si>
  <si>
    <t>32.5</t>
  </si>
  <si>
    <t>Caja Roja</t>
  </si>
  <si>
    <t>ventilador</t>
  </si>
  <si>
    <t>Penguin</t>
  </si>
  <si>
    <t>se pagó el dia 13/2</t>
  </si>
  <si>
    <t>MIERCOLES 8</t>
  </si>
  <si>
    <t>caja roja</t>
  </si>
  <si>
    <t>la serenisima boleta dia 6/2</t>
  </si>
  <si>
    <t>JUEVES 9</t>
  </si>
  <si>
    <t>transferi a cecimp</t>
  </si>
  <si>
    <t>manteca fac 3/2</t>
  </si>
  <si>
    <t>tinta sello</t>
  </si>
  <si>
    <t>VIERNES 10</t>
  </si>
  <si>
    <t>carrefour limpieza</t>
  </si>
  <si>
    <t>SABADO 11</t>
  </si>
  <si>
    <t>p</t>
  </si>
  <si>
    <t>LUNES 13</t>
  </si>
  <si>
    <t>edu se pago el 14/2</t>
  </si>
  <si>
    <t>adelanto eva</t>
  </si>
  <si>
    <t>MARTES 14</t>
  </si>
  <si>
    <t>lu y ma Sol</t>
  </si>
  <si>
    <t>chocobco alpino</t>
  </si>
  <si>
    <t>fp naranja</t>
  </si>
  <si>
    <t>naranja</t>
  </si>
  <si>
    <t>MIERCOLES 15</t>
  </si>
  <si>
    <t>uso C de mp</t>
  </si>
  <si>
    <t>Fbtl /MP</t>
  </si>
  <si>
    <t>feras frutos rojos</t>
  </si>
  <si>
    <t>libreria</t>
  </si>
  <si>
    <t>JUEVES 16</t>
  </si>
  <si>
    <t>amasadora</t>
  </si>
  <si>
    <t>trapos franja francesa</t>
  </si>
  <si>
    <t>VIENRES 17</t>
  </si>
  <si>
    <t>baires moto</t>
  </si>
  <si>
    <t>15 transf H de mp</t>
  </si>
  <si>
    <t>sorbetes</t>
  </si>
  <si>
    <t>M</t>
  </si>
  <si>
    <t>SABADO 18</t>
  </si>
  <si>
    <t xml:space="preserve">12 transf a C mp </t>
  </si>
  <si>
    <t>LUNES 20</t>
  </si>
  <si>
    <t>MARTES 21</t>
  </si>
  <si>
    <t xml:space="preserve">                      </t>
  </si>
  <si>
    <t>MIERCOLES 22</t>
  </si>
  <si>
    <t>oliva</t>
  </si>
  <si>
    <t>pagada</t>
  </si>
  <si>
    <t>Crema</t>
  </si>
  <si>
    <t>wraps ??</t>
  </si>
  <si>
    <t>JUEVES 23</t>
  </si>
  <si>
    <t>CARNICERIA ROLANDO</t>
  </si>
  <si>
    <t>VIERNES 24</t>
  </si>
  <si>
    <t>deposite 50k en Bbva y transf a cecimp</t>
  </si>
  <si>
    <t>syrup vainilla</t>
  </si>
  <si>
    <t>SABADO 25</t>
  </si>
  <si>
    <t>15k H a su mp</t>
  </si>
  <si>
    <t>15k H pago de Marilu asado</t>
  </si>
  <si>
    <t>transferi 30k a ceci mp para compensar Hernan</t>
  </si>
  <si>
    <t>yogur</t>
  </si>
  <si>
    <t>15 de mp y 15 de Bbva</t>
  </si>
  <si>
    <t>LUNES 27</t>
  </si>
  <si>
    <t>brie</t>
  </si>
  <si>
    <t>alq</t>
  </si>
  <si>
    <t>harina almendras</t>
  </si>
  <si>
    <t>pintura</t>
  </si>
  <si>
    <t>damian</t>
  </si>
  <si>
    <t>tacho salvado</t>
  </si>
  <si>
    <t>dip</t>
  </si>
  <si>
    <t>MARTES 28</t>
  </si>
  <si>
    <t>50k uso C de Bbva</t>
  </si>
  <si>
    <t>dani quesos</t>
  </si>
  <si>
    <t>limpieza caseros</t>
  </si>
  <si>
    <t>feras frutos cong</t>
  </si>
  <si>
    <t>banana</t>
  </si>
  <si>
    <t>tonner</t>
  </si>
  <si>
    <t>dia sofia</t>
  </si>
  <si>
    <t>si</t>
  </si>
  <si>
    <t>50 transf H BBV</t>
  </si>
  <si>
    <t>cancelado</t>
  </si>
  <si>
    <t>90 H</t>
  </si>
  <si>
    <t>etiquetas</t>
  </si>
  <si>
    <t>50 Lleve</t>
  </si>
  <si>
    <t>muzza</t>
  </si>
  <si>
    <t>limon</t>
  </si>
  <si>
    <t>FRUTAS PREMIUM</t>
  </si>
  <si>
    <t>wraps 2 cajas</t>
  </si>
  <si>
    <t>penguin cafe</t>
  </si>
  <si>
    <t>deposite 120 a bbva y me o transferi a mp</t>
  </si>
  <si>
    <t>penguin syrup</t>
  </si>
  <si>
    <t>Saque 50</t>
  </si>
  <si>
    <t>harinas del rosario</t>
  </si>
  <si>
    <t>della taza limp grupo</t>
  </si>
  <si>
    <t>11 uso C de MP</t>
  </si>
  <si>
    <t>queso brie</t>
  </si>
  <si>
    <t>mayonesa</t>
  </si>
  <si>
    <t>hs extra rodri</t>
  </si>
  <si>
    <t>mica</t>
  </si>
  <si>
    <t>cabify agus</t>
  </si>
  <si>
    <t>pagado</t>
  </si>
  <si>
    <t>leche</t>
  </si>
  <si>
    <t>pollo en mercou</t>
  </si>
  <si>
    <t>limpiez</t>
  </si>
  <si>
    <t>51 deposite mio en bbva y me tramsferi a ceecimp</t>
  </si>
  <si>
    <t>tuto farra</t>
  </si>
  <si>
    <t>70?</t>
  </si>
  <si>
    <t>No lo anote liquide sueldos</t>
  </si>
  <si>
    <t>c</t>
  </si>
  <si>
    <t>lechuga</t>
  </si>
  <si>
    <t>TONNER</t>
  </si>
  <si>
    <t>F</t>
  </si>
  <si>
    <t>puse 20k en ef y me transferi de r2 mp a ceci mp</t>
  </si>
  <si>
    <t>adelanto miguel</t>
  </si>
  <si>
    <t>CHOCO alpino pins</t>
  </si>
  <si>
    <t>LECHE carrefour</t>
  </si>
  <si>
    <t>palta</t>
  </si>
  <si>
    <t>CARREFOUR</t>
  </si>
  <si>
    <t>LIBRERIA</t>
  </si>
  <si>
    <t>alpino pins tutto farra</t>
  </si>
  <si>
    <t>impresion menus</t>
  </si>
  <si>
    <t>vegetalina</t>
  </si>
  <si>
    <t>feras frutas cong</t>
  </si>
  <si>
    <t>tacos</t>
  </si>
  <si>
    <t>harina de almendras</t>
  </si>
  <si>
    <t>frutas p</t>
  </si>
  <si>
    <t>MIERCOLES 29</t>
  </si>
  <si>
    <t>JUEVES 30</t>
  </si>
  <si>
    <t>C se uso sueldos</t>
  </si>
  <si>
    <t>H deposito a BBVA =(308000-14000-94000-100000-70000-20000)</t>
  </si>
  <si>
    <t>VIERNES 31</t>
  </si>
  <si>
    <t>CH</t>
  </si>
  <si>
    <t>gastropan (carrito y bandejas pauna)</t>
  </si>
  <si>
    <t>intereses resarcitorios iva fuera de termino</t>
  </si>
  <si>
    <t>anticipo cuota plan de pagos AFIP</t>
  </si>
  <si>
    <t>MAPLE DE HUEVO</t>
  </si>
  <si>
    <t>SABADO 1</t>
  </si>
  <si>
    <t>LUNES 3</t>
  </si>
  <si>
    <t>MARTES 4</t>
  </si>
  <si>
    <t>curitas</t>
  </si>
  <si>
    <t>panceta</t>
  </si>
  <si>
    <t>transferi de Bbva a cecimp 70k</t>
  </si>
  <si>
    <t>verdeo</t>
  </si>
  <si>
    <t>quintela panceta</t>
  </si>
  <si>
    <t>moto</t>
  </si>
  <si>
    <t xml:space="preserve">leche carrefour </t>
  </si>
  <si>
    <t>crema</t>
  </si>
  <si>
    <t>cajas breik</t>
  </si>
  <si>
    <t>MIERCOLES 5</t>
  </si>
  <si>
    <t>feras</t>
  </si>
  <si>
    <t>JUEVES 6</t>
  </si>
  <si>
    <t>coca_Femsa</t>
  </si>
  <si>
    <t>VIERNES 7</t>
  </si>
  <si>
    <t>SABADO 8</t>
  </si>
  <si>
    <t>LUNES 10</t>
  </si>
  <si>
    <t>207000 tranferi MIO de bbva a cecimp</t>
  </si>
  <si>
    <t>choco alpino bco y negro</t>
  </si>
  <si>
    <t>levadura</t>
  </si>
  <si>
    <t>MARTES 11</t>
  </si>
  <si>
    <t>miguel individuales</t>
  </si>
  <si>
    <t>dunia pol</t>
  </si>
  <si>
    <t>tati</t>
  </si>
  <si>
    <t>MIERCOLES 12</t>
  </si>
  <si>
    <t>semolin</t>
  </si>
  <si>
    <t>nuevo emporio</t>
  </si>
  <si>
    <t>nahuel</t>
  </si>
  <si>
    <t>WRAPS</t>
  </si>
  <si>
    <t>JUEVES 13</t>
  </si>
  <si>
    <t>aceite</t>
  </si>
  <si>
    <t>Andres dia de prueba</t>
  </si>
  <si>
    <t>VIERNES 14</t>
  </si>
  <si>
    <t>art limpieza</t>
  </si>
  <si>
    <t>SABADO 15</t>
  </si>
  <si>
    <t>LUNES 17</t>
  </si>
  <si>
    <t>nafta</t>
  </si>
  <si>
    <t>15K transferi de r2 mp a ceci mp</t>
  </si>
  <si>
    <t>(eran 20 y devolvi 5 en ef)</t>
  </si>
  <si>
    <t>el criollo</t>
  </si>
  <si>
    <t>azucar</t>
  </si>
  <si>
    <t>coca Femsa</t>
  </si>
  <si>
    <t>MARTES 18</t>
  </si>
  <si>
    <t>marcelo de la torre</t>
  </si>
  <si>
    <t>se gasto en pollo de Martes y viernes</t>
  </si>
  <si>
    <t>frutos Rojos</t>
  </si>
  <si>
    <t>uniformes</t>
  </si>
  <si>
    <t>MIERCOLES 19</t>
  </si>
  <si>
    <t>Pollo Se saco de la recaudacion 18/4</t>
  </si>
  <si>
    <t>Milkaut</t>
  </si>
  <si>
    <t>isabel filtro</t>
  </si>
  <si>
    <t>JUEVES 20</t>
  </si>
  <si>
    <t>VIERNES 21</t>
  </si>
  <si>
    <t>Se saco de recaudacion 18/04 50k</t>
  </si>
  <si>
    <t>resma hojas</t>
  </si>
  <si>
    <t>mercou</t>
  </si>
  <si>
    <t>15k transfirio H a su mp</t>
  </si>
  <si>
    <t>hilleret</t>
  </si>
  <si>
    <t>magiclik?</t>
  </si>
  <si>
    <t>pauna</t>
  </si>
  <si>
    <t>fumigador</t>
  </si>
  <si>
    <t>SABADO 22</t>
  </si>
  <si>
    <t>LUNES 24</t>
  </si>
  <si>
    <t>ACEITE oliva panes</t>
  </si>
  <si>
    <t>MARTES 25</t>
  </si>
  <si>
    <t>transfirio H a su mp CANCELADO</t>
  </si>
  <si>
    <t>leonardo</t>
  </si>
  <si>
    <t>martin</t>
  </si>
  <si>
    <t>harina de almendra</t>
  </si>
  <si>
    <t>carrefour limp</t>
  </si>
  <si>
    <t>dia de prueba celeste</t>
  </si>
  <si>
    <t>aceite mezcla freidora</t>
  </si>
  <si>
    <t>rollos termicos</t>
  </si>
  <si>
    <t>MIERCOLES 26</t>
  </si>
  <si>
    <t>pollo (recaud sab)</t>
  </si>
  <si>
    <t>dia prueba Florencia</t>
  </si>
  <si>
    <t>damian burlete heladera</t>
  </si>
  <si>
    <t>cif carrefour</t>
  </si>
  <si>
    <t>fp banana</t>
  </si>
  <si>
    <t>magiclick</t>
  </si>
  <si>
    <t>JUEVES 27</t>
  </si>
  <si>
    <t>breik libreria</t>
  </si>
  <si>
    <t>10k transfirio H a su mp, CANCELADO</t>
  </si>
  <si>
    <t>VIERNES 28</t>
  </si>
  <si>
    <t>femsa coca</t>
  </si>
  <si>
    <t>frutos rojos</t>
  </si>
  <si>
    <t>SABADO 29</t>
  </si>
  <si>
    <t>marcelo</t>
  </si>
  <si>
    <t>H trans a Rafa 64792</t>
  </si>
  <si>
    <t>y 5041,3 13/4</t>
  </si>
  <si>
    <t>LIMPIEZA CARREFOUR</t>
  </si>
  <si>
    <t xml:space="preserve">repuse 94000 en ef porque use de bbva </t>
  </si>
  <si>
    <t>MARTES 2</t>
  </si>
  <si>
    <t>MANTECA</t>
  </si>
  <si>
    <t>repuestos marcelo</t>
  </si>
  <si>
    <t>MIERCOLES 3</t>
  </si>
  <si>
    <t>50k transferi de bbva a cecimp</t>
  </si>
  <si>
    <t>uber contadora</t>
  </si>
  <si>
    <t>arroz</t>
  </si>
  <si>
    <t>JUEVES 4</t>
  </si>
  <si>
    <t>VIERNES 5</t>
  </si>
  <si>
    <t>Chino</t>
  </si>
  <si>
    <t xml:space="preserve">SABADO 6 </t>
  </si>
  <si>
    <t>2 dias prueba jm</t>
  </si>
  <si>
    <t>LUNES 8</t>
  </si>
  <si>
    <t>MARTES 9</t>
  </si>
  <si>
    <t>deposite en bbva 220 y me lo transferi a cecimp</t>
  </si>
  <si>
    <t>sorbetes compostables</t>
  </si>
  <si>
    <t>revolvedores</t>
  </si>
  <si>
    <t>MIERCOLES  10</t>
  </si>
  <si>
    <t>6k transferi de mp a cecimp</t>
  </si>
  <si>
    <t>art limpi</t>
  </si>
  <si>
    <t>jueves 11</t>
  </si>
  <si>
    <t>geobazar</t>
  </si>
  <si>
    <t>jujuy</t>
  </si>
  <si>
    <t>tachos</t>
  </si>
  <si>
    <t>silpack macarons</t>
  </si>
  <si>
    <t>VIERNES12</t>
  </si>
  <si>
    <t>tutto farra choco alpino</t>
  </si>
  <si>
    <t>alqui salio de caja</t>
  </si>
  <si>
    <t>feras frutos rojos cong</t>
  </si>
  <si>
    <t>SABADO 13</t>
  </si>
  <si>
    <t>sueldo Karen</t>
  </si>
  <si>
    <t>LUNES 15</t>
  </si>
  <si>
    <t>mermelada arandano</t>
  </si>
  <si>
    <t>MARTES 16</t>
  </si>
  <si>
    <t>choco alpino bco granel</t>
  </si>
  <si>
    <t>Frutos Rojos</t>
  </si>
  <si>
    <t>MIERCOLES17</t>
  </si>
  <si>
    <t>JUEVES 18</t>
  </si>
  <si>
    <t>deposite en BBVA 52 mio y me lo transferi a cecimp</t>
  </si>
  <si>
    <t>VIERNES 19</t>
  </si>
  <si>
    <t>SABADO 20</t>
  </si>
  <si>
    <t>LUNES 22</t>
  </si>
  <si>
    <t>MARTES 23</t>
  </si>
  <si>
    <t>carrefour prod limp</t>
  </si>
  <si>
    <t>cuchillos desc</t>
  </si>
  <si>
    <t>MIERCOLES 24</t>
  </si>
  <si>
    <t>Transfer MP</t>
  </si>
  <si>
    <t>choco alpino bco x6k</t>
  </si>
  <si>
    <t>JUEVES 25</t>
  </si>
  <si>
    <t>crudo</t>
  </si>
  <si>
    <t>VIERNES 26</t>
  </si>
  <si>
    <t>MP H</t>
  </si>
  <si>
    <t>SABADO 27</t>
  </si>
  <si>
    <t>Queso brie + Jamon</t>
  </si>
  <si>
    <t>MERMELADA</t>
  </si>
  <si>
    <t>LUNES 29</t>
  </si>
  <si>
    <t>carta papel</t>
  </si>
  <si>
    <t>HHHHH</t>
  </si>
  <si>
    <t>tulipas muffin</t>
  </si>
  <si>
    <t>Adelanto cinta scotch</t>
  </si>
  <si>
    <t>MARTES 30</t>
  </si>
  <si>
    <t>marilu puchos de descuentos atrasados</t>
  </si>
  <si>
    <t>MIERCOLES 31</t>
  </si>
  <si>
    <t>DHL</t>
  </si>
  <si>
    <t>11689,35</t>
  </si>
  <si>
    <t>57580,33</t>
  </si>
  <si>
    <t>Fumigador</t>
  </si>
  <si>
    <t>MASDELIVERY</t>
  </si>
  <si>
    <t>Rectificaciones Contadora</t>
  </si>
  <si>
    <t>PAGADO</t>
  </si>
  <si>
    <t>FIBERTEL COMPARTIDO</t>
  </si>
  <si>
    <t>GASTOS EN EFT</t>
  </si>
  <si>
    <t>albahaca</t>
  </si>
  <si>
    <t>JUE 1</t>
  </si>
  <si>
    <t>56567,5</t>
  </si>
  <si>
    <t>56017,55</t>
  </si>
  <si>
    <t>VIERNES 2</t>
  </si>
  <si>
    <t>18674,44</t>
  </si>
  <si>
    <t>12523,72</t>
  </si>
  <si>
    <t>52332,42</t>
  </si>
  <si>
    <t>SABADO 3</t>
  </si>
  <si>
    <t>Que paso aca?</t>
  </si>
  <si>
    <t>horas extra carla</t>
  </si>
  <si>
    <t>LUNES 5</t>
  </si>
  <si>
    <t>Laurimar</t>
  </si>
  <si>
    <t>durazno</t>
  </si>
  <si>
    <t xml:space="preserve">MARTES 6 </t>
  </si>
  <si>
    <t>c uso del bbva (84037,22+9800) se repone depositamdo el ef en la cuenta, mañana miercoles</t>
  </si>
  <si>
    <t>deposite 310000 y me transferi 216162,78, quedo todo cancelado en 0</t>
  </si>
  <si>
    <t>farmacia</t>
  </si>
  <si>
    <t>colorantes</t>
  </si>
  <si>
    <t>breik</t>
  </si>
  <si>
    <t>MIERCOLES 7</t>
  </si>
  <si>
    <t>JUEVES 8</t>
  </si>
  <si>
    <t>costa</t>
  </si>
  <si>
    <t>VIERNES 9</t>
  </si>
  <si>
    <t>H transfirio 40k a su mp</t>
  </si>
  <si>
    <t>52265.50</t>
  </si>
  <si>
    <t>abogada vero lanosky</t>
  </si>
  <si>
    <t>gomitas</t>
  </si>
  <si>
    <t>articulos limpieza</t>
  </si>
  <si>
    <t>SABADO 10</t>
  </si>
  <si>
    <t>LUNES12</t>
  </si>
  <si>
    <t>deposite en bbva 111000 y me transferi a cecimp, cancelado</t>
  </si>
  <si>
    <t>telegrama</t>
  </si>
  <si>
    <t>MARTES 13</t>
  </si>
  <si>
    <t>caja edulcorante</t>
  </si>
  <si>
    <t>MIERC 14</t>
  </si>
  <si>
    <t>fp paltas</t>
  </si>
  <si>
    <t>soros</t>
  </si>
  <si>
    <t>JUE 15</t>
  </si>
  <si>
    <t>8 transfirio h a su mp? cancelado con 7 que use de bbva</t>
  </si>
  <si>
    <t>gonzalo liquidacion</t>
  </si>
  <si>
    <t>VIE 16</t>
  </si>
  <si>
    <t>cinta scotch</t>
  </si>
  <si>
    <t>rodri</t>
  </si>
  <si>
    <t>SAB 17</t>
  </si>
  <si>
    <t>LU 19</t>
  </si>
  <si>
    <t>MA 20</t>
  </si>
  <si>
    <t>MIE 21</t>
  </si>
  <si>
    <t>abogada</t>
  </si>
  <si>
    <t>JUE 22</t>
  </si>
  <si>
    <t>Mermelada x 3</t>
  </si>
  <si>
    <t>VIE 23</t>
  </si>
  <si>
    <t>cafe</t>
  </si>
  <si>
    <t>SAB 24</t>
  </si>
  <si>
    <t>distri LJ fac 3014</t>
  </si>
  <si>
    <t>LU 26</t>
  </si>
  <si>
    <t>Cortina</t>
  </si>
  <si>
    <t>Electricidad</t>
  </si>
  <si>
    <t>tutto farra</t>
  </si>
  <si>
    <t>MP C</t>
  </si>
  <si>
    <t>ricota</t>
  </si>
  <si>
    <t>MA 27</t>
  </si>
  <si>
    <t>Calefon</t>
  </si>
  <si>
    <t>MIE 28</t>
  </si>
  <si>
    <t>soledad limpieza</t>
  </si>
  <si>
    <t>?</t>
  </si>
  <si>
    <t>JUE 29</t>
  </si>
  <si>
    <t>john &amp; joe</t>
  </si>
  <si>
    <t>VIE 30</t>
  </si>
  <si>
    <t>se adeuda a hernan (50 cortina y 40 w) Compensado</t>
  </si>
  <si>
    <t>22858.98</t>
  </si>
  <si>
    <t>FIBERTEL COMPARTIDO 2 meses</t>
  </si>
  <si>
    <t>MARTIN REDES</t>
  </si>
  <si>
    <t>ag leo</t>
  </si>
  <si>
    <t>deposite en Bbva 201 mio y lo tr a cecimp</t>
  </si>
  <si>
    <t>dai limpieza</t>
  </si>
  <si>
    <t>tenedor descartable</t>
  </si>
  <si>
    <t>restante feras</t>
  </si>
  <si>
    <t>sole limpieza</t>
  </si>
  <si>
    <t>ACEITE freidora</t>
  </si>
  <si>
    <t>conducto fabricio</t>
  </si>
  <si>
    <t>puso H conducto fabricio, compensado</t>
  </si>
  <si>
    <t>HARINA</t>
  </si>
  <si>
    <t>DISTRI LIMPIEZA</t>
  </si>
  <si>
    <t>26559.84</t>
  </si>
  <si>
    <t>CUYAIRES</t>
  </si>
  <si>
    <t>37966.78</t>
  </si>
  <si>
    <t>ACEITE OLIVA PANES</t>
  </si>
  <si>
    <t>electricidasd</t>
  </si>
  <si>
    <t>queso brie y crudo</t>
  </si>
  <si>
    <t>transferi de bbva a cecimp 150k y ya esta compensado en ef</t>
  </si>
  <si>
    <t xml:space="preserve">hernan pagó </t>
  </si>
  <si>
    <t>batidora</t>
  </si>
  <si>
    <t>1000 U$S</t>
  </si>
  <si>
    <t>mixer</t>
  </si>
  <si>
    <t>mermelada</t>
  </si>
  <si>
    <t>uso de mp 21/7</t>
  </si>
  <si>
    <t>total adeudado</t>
  </si>
  <si>
    <t>Pagado</t>
  </si>
  <si>
    <t>jhon and joe</t>
  </si>
  <si>
    <t>bien</t>
  </si>
  <si>
    <t>ormzabal</t>
  </si>
  <si>
    <t>MARCELO ALQ</t>
  </si>
  <si>
    <t>MOTO CONTADORA</t>
  </si>
  <si>
    <t>2k harina alm</t>
  </si>
  <si>
    <t>la sereniima</t>
  </si>
  <si>
    <t>Damian heladera</t>
  </si>
  <si>
    <t>Dai limpieza</t>
  </si>
  <si>
    <t>Rodri sabado</t>
  </si>
  <si>
    <t>deposite mio en bbva 148500 y me lo transferi a cecimp</t>
  </si>
  <si>
    <t>guantes nitrilo</t>
  </si>
  <si>
    <t>matias prueba</t>
  </si>
  <si>
    <t>YASMIN PRUEBA</t>
  </si>
  <si>
    <t>vicky prueba</t>
  </si>
  <si>
    <t>H uso de mp 30</t>
  </si>
  <si>
    <t>az impalpable</t>
  </si>
  <si>
    <t>Feras</t>
  </si>
  <si>
    <t>maca adelanto</t>
  </si>
  <si>
    <t>prueba fabian</t>
  </si>
  <si>
    <t>margarina</t>
  </si>
  <si>
    <t>FUMIGADOR</t>
  </si>
  <si>
    <t>Palta</t>
  </si>
  <si>
    <t>rodri dia sabado</t>
  </si>
  <si>
    <t>colombraro</t>
  </si>
  <si>
    <t>dia maca</t>
  </si>
  <si>
    <t>chorizo</t>
  </si>
  <si>
    <t>maple</t>
  </si>
  <si>
    <t>dia prueba jonathan</t>
  </si>
  <si>
    <t>jhon and joe cafe</t>
  </si>
  <si>
    <t>uso C de mp 26900 y se compenso con H que pago marilu asado con 30181 de mp</t>
  </si>
  <si>
    <t>dia rodri2 +viatico de ayer</t>
  </si>
  <si>
    <t>LUNES 31</t>
  </si>
  <si>
    <t>EDU</t>
  </si>
  <si>
    <t>DAI LIMPIEZA</t>
  </si>
  <si>
    <t>LAURIMAR</t>
  </si>
  <si>
    <t>AYSA adeudado</t>
  </si>
  <si>
    <t>transferencia programada hasta dic 2023</t>
  </si>
  <si>
    <t xml:space="preserve">FIBERTEL COMPARTIDO </t>
  </si>
  <si>
    <t>MARTES 1</t>
  </si>
  <si>
    <t>cartas</t>
  </si>
  <si>
    <t>matiz?</t>
  </si>
  <si>
    <t>C uso 77898 de Bbva repone en efectivo</t>
  </si>
  <si>
    <t>dia amira</t>
  </si>
  <si>
    <t>MIERCOLES 2</t>
  </si>
  <si>
    <t>distri LJ limpieza</t>
  </si>
  <si>
    <t>JUEVES 3</t>
  </si>
  <si>
    <t>VIERNES 4</t>
  </si>
  <si>
    <t>harina de almendras y colorante</t>
  </si>
  <si>
    <t>yogur y vegetalina</t>
  </si>
  <si>
    <t>SABADO 5</t>
  </si>
  <si>
    <t>LUNES 7</t>
  </si>
  <si>
    <t>escribania poder (pague yo en ef y me lo transferi en mp)</t>
  </si>
  <si>
    <t>deposite 230k en Bbva y me lo transferi a mp</t>
  </si>
  <si>
    <t>carrefour ricota</t>
  </si>
  <si>
    <t>honorarios abogada</t>
  </si>
  <si>
    <t>pulpa de frutilla</t>
  </si>
  <si>
    <t>MARTES 8</t>
  </si>
  <si>
    <t>certfic control fiscal key digital</t>
  </si>
  <si>
    <t>MIERCOLES 9</t>
  </si>
  <si>
    <t>duniapol</t>
  </si>
  <si>
    <t>micron</t>
  </si>
  <si>
    <t>MOTO cajas macarons</t>
  </si>
  <si>
    <t>JUEVES 10</t>
  </si>
  <si>
    <t>harina almendra</t>
  </si>
  <si>
    <t>john and joe</t>
  </si>
  <si>
    <t>leche carrefour</t>
  </si>
  <si>
    <t>vitalcer</t>
  </si>
  <si>
    <t>VIERNES 11</t>
  </si>
  <si>
    <t>bolsas cafe</t>
  </si>
  <si>
    <t>SABADO 12</t>
  </si>
  <si>
    <t>LUNES 14</t>
  </si>
  <si>
    <t>pague a rodri y leo 30 mio en ef y me lo devolvi del bbva a mi mp</t>
  </si>
  <si>
    <t>MARTES 15</t>
  </si>
  <si>
    <t>MIERCOLES 16</t>
  </si>
  <si>
    <t>h</t>
  </si>
  <si>
    <t>la serenisisma</t>
  </si>
  <si>
    <t>enchufe pauna</t>
  </si>
  <si>
    <t>JUEVES 17</t>
  </si>
  <si>
    <t>frutas premium</t>
  </si>
  <si>
    <t>VIERNES 18</t>
  </si>
  <si>
    <t>103.5</t>
  </si>
  <si>
    <t>breik cajas</t>
  </si>
  <si>
    <t>SABADO 19</t>
  </si>
  <si>
    <t>LUNES 21</t>
  </si>
  <si>
    <t>remise rodri</t>
  </si>
  <si>
    <t>MARTES 22</t>
  </si>
  <si>
    <t xml:space="preserve">rodri remise </t>
  </si>
  <si>
    <t>merceria</t>
  </si>
  <si>
    <t>MIERCOLES 23</t>
  </si>
  <si>
    <t>JUEVES 24</t>
  </si>
  <si>
    <t>matafuegos</t>
  </si>
  <si>
    <t>VIERNES 25</t>
  </si>
  <si>
    <t>fumigueti</t>
  </si>
  <si>
    <t>SABADO 26</t>
  </si>
  <si>
    <t>jamon</t>
  </si>
  <si>
    <t>h transfirio de mp a su mp</t>
  </si>
  <si>
    <t>c transfirio de bbva a su mp</t>
  </si>
  <si>
    <t>LUNES 28</t>
  </si>
  <si>
    <t>MARTES 29</t>
  </si>
  <si>
    <t>MIERCOLES 30</t>
  </si>
  <si>
    <t>pollo (los 10kg q faltaban)</t>
  </si>
  <si>
    <t>JUEVES 31</t>
  </si>
  <si>
    <t>distrib LJ</t>
  </si>
  <si>
    <t>Rectificacion ministerio de trabajo</t>
  </si>
  <si>
    <t>uthgra fondoconvenio</t>
  </si>
  <si>
    <t>uthgra cuota sindical</t>
  </si>
  <si>
    <t>&lt;</t>
  </si>
  <si>
    <r>
      <rPr>
        <b/>
        <sz val="8.0"/>
      </rPr>
      <t xml:space="preserve">PEDIDOS YA </t>
    </r>
    <r>
      <rPr>
        <b/>
        <color rgb="FFFF0000"/>
        <sz val="8.0"/>
      </rPr>
      <t>PAGO-ONLINE</t>
    </r>
  </si>
  <si>
    <t>Martes</t>
  </si>
  <si>
    <t>Miercoles</t>
  </si>
  <si>
    <t>Jueves</t>
  </si>
  <si>
    <t>124k efectivo le cremme</t>
  </si>
  <si>
    <t>150k EVENTO ML Y 400K EVENTO ITBA</t>
  </si>
  <si>
    <t>croissant</t>
  </si>
  <si>
    <t>?¡</t>
  </si>
  <si>
    <t>28/102024</t>
  </si>
  <si>
    <t>??</t>
  </si>
  <si>
    <t>NAVIDAD</t>
  </si>
  <si>
    <t>AÑO NUEVO</t>
  </si>
  <si>
    <r>
      <rPr>
        <b/>
        <sz val="8.0"/>
      </rPr>
      <t xml:space="preserve">RAPPI </t>
    </r>
    <r>
      <rPr>
        <b/>
        <color rgb="FFFF0000"/>
        <sz val="8.0"/>
      </rPr>
      <t>PAGO-ONLINE</t>
    </r>
  </si>
  <si>
    <r>
      <rPr>
        <b/>
        <sz val="8.0"/>
      </rPr>
      <t xml:space="preserve">PEDIDOSYA </t>
    </r>
    <r>
      <rPr>
        <b/>
        <color rgb="FFFF0000"/>
        <sz val="8.0"/>
      </rPr>
      <t>PAGO-ONLINE</t>
    </r>
  </si>
  <si>
    <t>CAJA</t>
  </si>
  <si>
    <t>jue y vie</t>
  </si>
  <si>
    <t>No se hizo cierre y se sumo el mediodia del 29</t>
  </si>
  <si>
    <t>-570 itba</t>
  </si>
  <si>
    <t>cerrado</t>
  </si>
  <si>
    <t>(APROX)</t>
  </si>
  <si>
    <t>esta sumada la boleta itba de 368760</t>
  </si>
  <si>
    <t>cierre dia 20 y 21/11</t>
  </si>
  <si>
    <t>martes y mier tm</t>
  </si>
  <si>
    <t>dom7 y lu8</t>
  </si>
  <si>
    <t>9000 sueldopris</t>
  </si>
  <si>
    <t xml:space="preserve">LUNES </t>
  </si>
  <si>
    <t>TURNO</t>
  </si>
  <si>
    <t>JUAN</t>
  </si>
  <si>
    <t xml:space="preserve">MAÑANA </t>
  </si>
  <si>
    <t>JUAN SOLO</t>
  </si>
  <si>
    <t>8 A 14 HS</t>
  </si>
  <si>
    <t>PRIS</t>
  </si>
  <si>
    <t>S</t>
  </si>
  <si>
    <t>AGUS</t>
  </si>
  <si>
    <t>TARDE</t>
  </si>
  <si>
    <t>14 A 20 HS</t>
  </si>
  <si>
    <t>SEBA</t>
  </si>
  <si>
    <t>FRANCOS</t>
  </si>
  <si>
    <t>VIERNES 1</t>
  </si>
  <si>
    <t>syrups</t>
  </si>
  <si>
    <t>moto syrups</t>
  </si>
  <si>
    <t>SABADO 2</t>
  </si>
  <si>
    <t>250 se transf de bbva a h</t>
  </si>
  <si>
    <t>250 se transf de bbva a C (94656 pague comafi de bbva y 155344 a mi mp)</t>
  </si>
  <si>
    <t>LUNES 4</t>
  </si>
  <si>
    <t>MARTES 5</t>
  </si>
  <si>
    <t>enchife cafetera</t>
  </si>
  <si>
    <t>MIERCOLES 6</t>
  </si>
  <si>
    <t>JUEVES 7</t>
  </si>
  <si>
    <t>VIERNES 8</t>
  </si>
  <si>
    <t>coca femsa</t>
  </si>
  <si>
    <t>SABADO 9</t>
  </si>
  <si>
    <t>LUNES 11</t>
  </si>
  <si>
    <t>106.9</t>
  </si>
  <si>
    <t>chco alpino bco pins x 6k</t>
  </si>
  <si>
    <t>MARTES 12</t>
  </si>
  <si>
    <t>lj limpieza</t>
  </si>
  <si>
    <t>modo barista</t>
  </si>
  <si>
    <t>MIERCOLES 13</t>
  </si>
  <si>
    <t>JUEVES 14</t>
  </si>
  <si>
    <t>tacos wraps</t>
  </si>
  <si>
    <t>festines</t>
  </si>
  <si>
    <t>gilda tratamiento fabri</t>
  </si>
  <si>
    <t>VIERNES 15</t>
  </si>
  <si>
    <t>SABADO 16</t>
  </si>
  <si>
    <t>50 mp H</t>
  </si>
  <si>
    <t>50 mp C</t>
  </si>
  <si>
    <t>200 galicia H</t>
  </si>
  <si>
    <t>200 ef C</t>
  </si>
  <si>
    <t>LUNES 18</t>
  </si>
  <si>
    <t>colorante red</t>
  </si>
  <si>
    <t>MARTES 19</t>
  </si>
  <si>
    <t>rollos posnet (se uso del ef guardado)</t>
  </si>
  <si>
    <t>tuppers chino</t>
  </si>
  <si>
    <t>MIERCOLES 20</t>
  </si>
  <si>
    <t>sole limp</t>
  </si>
  <si>
    <t>buganza calcu y mouse</t>
  </si>
  <si>
    <t>JUEVES 21</t>
  </si>
  <si>
    <t>VIERNES 22</t>
  </si>
  <si>
    <t>250 bbva a H galicia</t>
  </si>
  <si>
    <t>50 bbva a C mp</t>
  </si>
  <si>
    <t>SABADO 23</t>
  </si>
  <si>
    <t>LUNES 25</t>
  </si>
  <si>
    <t>dai</t>
  </si>
  <si>
    <t>35000 se debito a google de mp?</t>
  </si>
  <si>
    <t>MARTES 26</t>
  </si>
  <si>
    <t>saldo a favor 15k</t>
  </si>
  <si>
    <t>MIERCOLES 27</t>
  </si>
  <si>
    <t>distri lj</t>
  </si>
  <si>
    <t>boleta de lu y mier</t>
  </si>
  <si>
    <t>JUEVES 28</t>
  </si>
  <si>
    <t>fp lechuga</t>
  </si>
  <si>
    <t>armar</t>
  </si>
  <si>
    <t>VIERNES 29</t>
  </si>
  <si>
    <t>service maq cafe barometro</t>
  </si>
  <si>
    <t>cuchillo plastico</t>
  </si>
  <si>
    <t>choco bco pins</t>
  </si>
  <si>
    <t>CERRADURA</t>
  </si>
  <si>
    <t>SABADO 30</t>
  </si>
  <si>
    <t>fp menta</t>
  </si>
  <si>
    <t>fp huevo</t>
  </si>
  <si>
    <t>vence el 15</t>
  </si>
  <si>
    <t>Edu</t>
  </si>
  <si>
    <t>tenia a favor 13k</t>
  </si>
  <si>
    <t>feras f rojos</t>
  </si>
  <si>
    <t>Milo</t>
  </si>
  <si>
    <t>sole limpieza ?</t>
  </si>
  <si>
    <t>cajon de dinero</t>
  </si>
  <si>
    <t>coliflor</t>
  </si>
  <si>
    <t>uber a la contadora</t>
  </si>
  <si>
    <t>megafono</t>
  </si>
  <si>
    <t>pila megafono</t>
  </si>
  <si>
    <t>prensa francesa</t>
  </si>
  <si>
    <t>dristi LJ</t>
  </si>
  <si>
    <t>aceite de coco</t>
  </si>
  <si>
    <t>esponja acero</t>
  </si>
  <si>
    <t>puerro</t>
  </si>
  <si>
    <t>suprema</t>
  </si>
  <si>
    <t>gilda</t>
  </si>
  <si>
    <t>mas 120 q se uso para alq</t>
  </si>
  <si>
    <t>limpiavidrios</t>
  </si>
  <si>
    <t>champi</t>
  </si>
  <si>
    <t>harina del rosario</t>
  </si>
  <si>
    <t>breik hoja de carta papel</t>
  </si>
  <si>
    <t>mas 40 q se uso para alq</t>
  </si>
  <si>
    <t>morron</t>
  </si>
  <si>
    <t>almafuerte</t>
  </si>
  <si>
    <t>PALTAS</t>
  </si>
  <si>
    <t>se debe 31250 a hernan x sueldo de amira</t>
  </si>
  <si>
    <t>canastos</t>
  </si>
  <si>
    <t>era 89 con lo q se uso para mary</t>
  </si>
  <si>
    <t>tulipas</t>
  </si>
  <si>
    <t>me deposite en bbva 116 para transf a cecimp</t>
  </si>
  <si>
    <t>brie y crudo</t>
  </si>
  <si>
    <t>edu (sin el morron)</t>
  </si>
  <si>
    <t>boutique</t>
  </si>
  <si>
    <t>deposite 87 y pague master de bbva 87660</t>
  </si>
  <si>
    <t>colorantes wilton</t>
  </si>
  <si>
    <t>SOLE limpieza</t>
  </si>
  <si>
    <t>MIERC 1</t>
  </si>
  <si>
    <t>motofeca</t>
  </si>
  <si>
    <t>JUE 2</t>
  </si>
  <si>
    <t>VIE 3</t>
  </si>
  <si>
    <t>dai limp</t>
  </si>
  <si>
    <t>baires</t>
  </si>
  <si>
    <t>SAB 4</t>
  </si>
  <si>
    <t>LU 6</t>
  </si>
  <si>
    <t>alpino pins bco</t>
  </si>
  <si>
    <t>MA 7</t>
  </si>
  <si>
    <t>choco alp negro</t>
  </si>
  <si>
    <t>MIE 8</t>
  </si>
  <si>
    <t>JUE 9</t>
  </si>
  <si>
    <t>adelante 10000 a cecimp</t>
  </si>
  <si>
    <t>VIE 10</t>
  </si>
  <si>
    <t>aceite fereidora</t>
  </si>
  <si>
    <t>me fui a las 15</t>
  </si>
  <si>
    <t>distri LJ</t>
  </si>
  <si>
    <t>MATIZ</t>
  </si>
  <si>
    <t>Marilu</t>
  </si>
  <si>
    <t>SAB 11</t>
  </si>
  <si>
    <t>vero ianovsky</t>
  </si>
  <si>
    <t>adelante a ceci 20000 , en total fueron 30</t>
  </si>
  <si>
    <t>se compenso con hernan</t>
  </si>
  <si>
    <t>LU 13</t>
  </si>
  <si>
    <t>MA 14</t>
  </si>
  <si>
    <t>honorarios Vero acuerdo tachella</t>
  </si>
  <si>
    <t>deposite a bbva y me transferi a cecimp</t>
  </si>
  <si>
    <t>MIE 15</t>
  </si>
  <si>
    <t>JUE 16</t>
  </si>
  <si>
    <t>VIE 17</t>
  </si>
  <si>
    <t>escribana</t>
  </si>
  <si>
    <t>SAB 18</t>
  </si>
  <si>
    <t>LU 20</t>
  </si>
  <si>
    <t>lana navidad</t>
  </si>
  <si>
    <t>MA 21</t>
  </si>
  <si>
    <t>se usaron 60 par alquiler</t>
  </si>
  <si>
    <t>debe factura a</t>
  </si>
  <si>
    <t>choco alpino negro</t>
  </si>
  <si>
    <t>sprinkles</t>
  </si>
  <si>
    <t>delantales</t>
  </si>
  <si>
    <t>MIE 22</t>
  </si>
  <si>
    <t>100 Alquiler</t>
  </si>
  <si>
    <t>tulipas papel</t>
  </si>
  <si>
    <t>palitos cakepop</t>
  </si>
  <si>
    <t>JUE 23</t>
  </si>
  <si>
    <t>VIE 24</t>
  </si>
  <si>
    <t>honorarios vero Ianovsky</t>
  </si>
  <si>
    <t>ICEFERAS</t>
  </si>
  <si>
    <t>SAB 25</t>
  </si>
  <si>
    <t>aceite almafuerte</t>
  </si>
  <si>
    <t>milkaut fac a?</t>
  </si>
  <si>
    <t>LU 27</t>
  </si>
  <si>
    <t>-46.3 Feriado</t>
  </si>
  <si>
    <t>MA 28</t>
  </si>
  <si>
    <t xml:space="preserve">wraps </t>
  </si>
  <si>
    <t>MIE 29</t>
  </si>
  <si>
    <t>harina almendras uriburu</t>
  </si>
  <si>
    <t>JUE 30</t>
  </si>
  <si>
    <t>pagado 7/12</t>
  </si>
  <si>
    <t>liquidacion agustin Tachella</t>
  </si>
  <si>
    <t>intereses punitorios ddjj 22</t>
  </si>
  <si>
    <t>intereses punitorios ddjj 21</t>
  </si>
  <si>
    <t>pago a cuenta plan de pagos ganancias 2022</t>
  </si>
  <si>
    <t xml:space="preserve">       </t>
  </si>
  <si>
    <t>-mARY</t>
  </si>
  <si>
    <t>VIE 1</t>
  </si>
  <si>
    <t>SAB 2</t>
  </si>
  <si>
    <t>fp palta</t>
  </si>
  <si>
    <t>transferi mio a bbva 162 (con eso pague comafi 131)</t>
  </si>
  <si>
    <t>y 30625,67 transferi a mi mp</t>
  </si>
  <si>
    <t>LU 4</t>
  </si>
  <si>
    <t>huev0</t>
  </si>
  <si>
    <t>choco alpino bco</t>
  </si>
  <si>
    <t>transferi a bbva 120000 mio y lo pase a cecimp</t>
  </si>
  <si>
    <t>ORMAZABAL</t>
  </si>
  <si>
    <t>MA 5</t>
  </si>
  <si>
    <t>MIE 6</t>
  </si>
  <si>
    <t>sole</t>
  </si>
  <si>
    <t>disam</t>
  </si>
  <si>
    <t>chinches</t>
  </si>
  <si>
    <t>octagon</t>
  </si>
  <si>
    <t>mostaza</t>
  </si>
  <si>
    <t>JUE 7</t>
  </si>
  <si>
    <t>SI</t>
  </si>
  <si>
    <t>use 24700 de r2mp y comprense con hernan</t>
  </si>
  <si>
    <t>adelanto feriado cristian cocina</t>
  </si>
  <si>
    <t>VIE 8</t>
  </si>
  <si>
    <t>SAB 9</t>
  </si>
  <si>
    <t>LU 11</t>
  </si>
  <si>
    <t>MA 12</t>
  </si>
  <si>
    <t>Deposite en bbva 134k mio y lo transferi a cecimp</t>
  </si>
  <si>
    <t>Colorante y colormix</t>
  </si>
  <si>
    <t>MIE 13</t>
  </si>
  <si>
    <t>JUE 14</t>
  </si>
  <si>
    <t>VIE 15</t>
  </si>
  <si>
    <t>nuevo emporio crema</t>
  </si>
  <si>
    <t>SAB 16</t>
  </si>
  <si>
    <t>transferi 60 a cecimp y de ahi a arthurmp para pagar milkaut xq no se llegaba</t>
  </si>
  <si>
    <t>LU 18</t>
  </si>
  <si>
    <t>deposite en bbva 117k mio y lo transferi a cecimp</t>
  </si>
  <si>
    <t>MA 19</t>
  </si>
  <si>
    <t>MIE 20</t>
  </si>
  <si>
    <t>JUE21</t>
  </si>
  <si>
    <t>VIE 22</t>
  </si>
  <si>
    <t>SOBRE KRAFT PAPAS</t>
  </si>
  <si>
    <t>SAB 23</t>
  </si>
  <si>
    <t>Brie</t>
  </si>
  <si>
    <t>LU 25</t>
  </si>
  <si>
    <t>MA 26</t>
  </si>
  <si>
    <t>berenjena</t>
  </si>
  <si>
    <t>Fumigacion</t>
  </si>
  <si>
    <t>MIE 27</t>
  </si>
  <si>
    <t>edu (sin brocoli)</t>
  </si>
  <si>
    <t>JUE 28</t>
  </si>
  <si>
    <t>35k adelanto ceci a cecimp</t>
  </si>
  <si>
    <t>VIE 29</t>
  </si>
  <si>
    <t>SAB 30</t>
  </si>
  <si>
    <t>pagado fuera de termino</t>
  </si>
  <si>
    <t>Honorarios abogada AFIP</t>
  </si>
  <si>
    <t>honorarios contadora Ganancias 20,21 y22</t>
  </si>
  <si>
    <t>MA 2</t>
  </si>
  <si>
    <t>MIE 3</t>
  </si>
  <si>
    <t>2 Luces TUBO cocina</t>
  </si>
  <si>
    <t>Cortinero</t>
  </si>
  <si>
    <t>Ceci uso 105 de bbva y repuso 93 en la cuenta resta 13</t>
  </si>
  <si>
    <t>JUE 4</t>
  </si>
  <si>
    <t>pulpa frutilla consul cris</t>
  </si>
  <si>
    <t>VIE 5</t>
  </si>
  <si>
    <t>SAB 6</t>
  </si>
  <si>
    <t>se uso 22,5 sueldo cris</t>
  </si>
  <si>
    <t>LU 8</t>
  </si>
  <si>
    <t>Esponjas</t>
  </si>
  <si>
    <t>Limpieza</t>
  </si>
  <si>
    <t>MA 9</t>
  </si>
  <si>
    <t>garbanzo</t>
  </si>
  <si>
    <t>JUGUERITA</t>
  </si>
  <si>
    <t>Luz Fabrica</t>
  </si>
  <si>
    <t>MIE 10</t>
  </si>
  <si>
    <t>gelatina</t>
  </si>
  <si>
    <t>delicia</t>
  </si>
  <si>
    <t>soloe limpieza</t>
  </si>
  <si>
    <t>JUE 11</t>
  </si>
  <si>
    <t>hernan puso 100k y se le devolvio el mismo dia</t>
  </si>
  <si>
    <t>VIE 12</t>
  </si>
  <si>
    <t>ceci deposito enbbva 248500 y use 320, debo71500</t>
  </si>
  <si>
    <t>SAB 13</t>
  </si>
  <si>
    <t>LU 15</t>
  </si>
  <si>
    <t>edu menos banana</t>
  </si>
  <si>
    <t>MA 16</t>
  </si>
  <si>
    <t>MIE 17</t>
  </si>
  <si>
    <t>JUE 18</t>
  </si>
  <si>
    <t>VIE 19</t>
  </si>
  <si>
    <t>SAB 20</t>
  </si>
  <si>
    <t>karen 8hs extra semana anterior (vie y sab)</t>
  </si>
  <si>
    <t>LU22</t>
  </si>
  <si>
    <t>MA 23</t>
  </si>
  <si>
    <t xml:space="preserve"> pagado</t>
  </si>
  <si>
    <t>colorante red x 2</t>
  </si>
  <si>
    <t>MIE 24</t>
  </si>
  <si>
    <t>JUE 25</t>
  </si>
  <si>
    <t>tutto farra?</t>
  </si>
  <si>
    <t>oliva panes</t>
  </si>
  <si>
    <t>VIE 26</t>
  </si>
  <si>
    <t>visagra pauna</t>
  </si>
  <si>
    <t>SAB 27</t>
  </si>
  <si>
    <t>LU 29</t>
  </si>
  <si>
    <t>MA 30</t>
  </si>
  <si>
    <t>laurimar (fin de deuda)</t>
  </si>
  <si>
    <t>MIE 31</t>
  </si>
  <si>
    <t>ormazabal paso 111781,97 ch</t>
  </si>
  <si>
    <t>C uso 40k de bbva (28+12)</t>
  </si>
  <si>
    <t>palta edu (semana anterior pagar 43000)</t>
  </si>
  <si>
    <t>pagado 27/3</t>
  </si>
  <si>
    <t>EXPENSAS (del mes y anteriores adeudadas)</t>
  </si>
  <si>
    <t>saldo a favor</t>
  </si>
  <si>
    <t>honorarios anabella IIGG</t>
  </si>
  <si>
    <t>Choco bco pins alpino x 3k</t>
  </si>
  <si>
    <t>VIE 2</t>
  </si>
  <si>
    <t>leo faltaba de sus vacaciones</t>
  </si>
  <si>
    <t>SAB 3</t>
  </si>
  <si>
    <t>me faltaba a mi para completar repartija</t>
  </si>
  <si>
    <t>LU 5</t>
  </si>
  <si>
    <t>esponja</t>
  </si>
  <si>
    <t>MA 6</t>
  </si>
  <si>
    <t>colorante rojo</t>
  </si>
  <si>
    <t>MIE 7</t>
  </si>
  <si>
    <t>HIelo</t>
  </si>
  <si>
    <t>JUE 8</t>
  </si>
  <si>
    <t>VIE 9</t>
  </si>
  <si>
    <t>SAB 10</t>
  </si>
  <si>
    <t>16hs</t>
  </si>
  <si>
    <t>horas extra cris cocina</t>
  </si>
  <si>
    <t>153825 use bbva (deposite en ef 93 el 14/2)</t>
  </si>
  <si>
    <t>marcelo materiales</t>
  </si>
  <si>
    <t>y puse 60825 en ef el17/2 cuando le pagamos a cristian barra</t>
  </si>
  <si>
    <t>saldado</t>
  </si>
  <si>
    <t>LU 12</t>
  </si>
  <si>
    <t>MA 13</t>
  </si>
  <si>
    <t>MIE 14</t>
  </si>
  <si>
    <t>choco alpino bco x 3k</t>
  </si>
  <si>
    <t>nueces</t>
  </si>
  <si>
    <t>LJ limpieza</t>
  </si>
  <si>
    <t>Matiz</t>
  </si>
  <si>
    <t>240 ef h</t>
  </si>
  <si>
    <t>240 bbva C</t>
  </si>
  <si>
    <t>(use los 240 y debo 32)</t>
  </si>
  <si>
    <t>uber</t>
  </si>
  <si>
    <t>espinaca fp</t>
  </si>
  <si>
    <t>iceferas</t>
  </si>
  <si>
    <t>wraps pedir fac a</t>
  </si>
  <si>
    <t>mateca</t>
  </si>
  <si>
    <t>h transfierio 20000 de mp</t>
  </si>
  <si>
    <t>c transfierio 20000 de mp</t>
  </si>
  <si>
    <t>syrup envio</t>
  </si>
  <si>
    <t>150000 c</t>
  </si>
  <si>
    <t>100000 h</t>
  </si>
  <si>
    <t xml:space="preserve">EXPENSAS </t>
  </si>
  <si>
    <t>impaga</t>
  </si>
  <si>
    <t>MARTIN REDES pagado</t>
  </si>
  <si>
    <t>premio y hs extra rodri</t>
  </si>
  <si>
    <t>marcadores pizarra</t>
  </si>
  <si>
    <t>resma de hojas</t>
  </si>
  <si>
    <t>vino bco</t>
  </si>
  <si>
    <t>uber a contadora</t>
  </si>
  <si>
    <t>microfibas trapo</t>
  </si>
  <si>
    <t>edu sin lechuga morada</t>
  </si>
  <si>
    <t>lampara</t>
  </si>
  <si>
    <t>levhuga</t>
  </si>
  <si>
    <t>lucho</t>
  </si>
  <si>
    <t>resta</t>
  </si>
  <si>
    <t>marcador tiza</t>
  </si>
  <si>
    <t>choco alpino 3kbco y 3k negro</t>
  </si>
  <si>
    <t>adelanto rodri</t>
  </si>
  <si>
    <t>frutos rojos iceferas</t>
  </si>
  <si>
    <t>bolsas</t>
  </si>
  <si>
    <t>brocoli</t>
  </si>
  <si>
    <t>distrib lj</t>
  </si>
  <si>
    <t>psgado</t>
  </si>
  <si>
    <t>JUE 21</t>
  </si>
  <si>
    <t>cortinero</t>
  </si>
  <si>
    <t>ACEITE ALMAFUERTE</t>
  </si>
  <si>
    <t>lamparas</t>
  </si>
  <si>
    <t>falta sumar lo que se llevo hernan luego</t>
  </si>
  <si>
    <t>hernan puso para martin 150k se le devolvio 100k el sab 23</t>
  </si>
  <si>
    <t>y se le devolvio $56281 el jue 4/4 pagando una boleta de marilu (27/3)</t>
  </si>
  <si>
    <t xml:space="preserve">se uso de hoy para pago de mariana </t>
  </si>
  <si>
    <t>choc bco pins x 3k</t>
  </si>
  <si>
    <t>puse 200k en ef y use 200 de bbva</t>
  </si>
  <si>
    <t>cartucho impresora</t>
  </si>
  <si>
    <t>pintureria</t>
  </si>
  <si>
    <t>liquidacion cristian nahuelcura, resta 50000</t>
  </si>
  <si>
    <t>Vero Abogada</t>
  </si>
  <si>
    <t>Matos cuota 1</t>
  </si>
  <si>
    <t>LU 1</t>
  </si>
  <si>
    <t>sab 30</t>
  </si>
  <si>
    <t>naranjas</t>
  </si>
  <si>
    <t>la serenisima ( se pago boleta del 3 y del 5/4)</t>
  </si>
  <si>
    <t>liquidacion cristian nahuelcura Completada</t>
  </si>
  <si>
    <t>oficios manzanares pagados a socia de vero ianosky</t>
  </si>
  <si>
    <t>hs extra karen</t>
  </si>
  <si>
    <t>tablita ñoquis</t>
  </si>
  <si>
    <t>colorante red y verde</t>
  </si>
  <si>
    <t>rolloa fiscales breik</t>
  </si>
  <si>
    <t>fp rucula</t>
  </si>
  <si>
    <t>cocA</t>
  </si>
  <si>
    <t>Luces</t>
  </si>
  <si>
    <t>JUE11</t>
  </si>
  <si>
    <t>envio syrups</t>
  </si>
  <si>
    <t>se uso todo para alq</t>
  </si>
  <si>
    <t>se uso 50 alquiler</t>
  </si>
  <si>
    <t>fp, RUCULA</t>
  </si>
  <si>
    <t>TELEGRAMA JURKO CORREO ARG ON LINE</t>
  </si>
  <si>
    <t>deposite 81 en cuenta bbva para pago de tarjeta</t>
  </si>
  <si>
    <t>choco alpino bco y negro 12k total</t>
  </si>
  <si>
    <t>ormazabal, en que metodo de pago fue?</t>
  </si>
  <si>
    <t>edu con cilantro descontado</t>
  </si>
  <si>
    <t>Hernan se transfierio de mp 250k</t>
  </si>
  <si>
    <t xml:space="preserve">breik, cajas </t>
  </si>
  <si>
    <t>jarra de agua</t>
  </si>
  <si>
    <t>LU 22</t>
  </si>
  <si>
    <t>hay 163,5</t>
  </si>
  <si>
    <t xml:space="preserve">Wraps </t>
  </si>
  <si>
    <t>prod limp</t>
  </si>
  <si>
    <t>TELEGRAMA JURKO correo</t>
  </si>
  <si>
    <t xml:space="preserve">motofeca </t>
  </si>
  <si>
    <t>hay 260 en el sobre</t>
  </si>
  <si>
    <t>la serenisma</t>
  </si>
  <si>
    <t>300k se transfirio a hernan de Bbva</t>
  </si>
  <si>
    <t>guante mapa</t>
  </si>
  <si>
    <t>80k puso hernan para marcelo</t>
  </si>
  <si>
    <t>rollos termicos, pago a costa</t>
  </si>
  <si>
    <t>damian heladera carga de gas y ctrol remoto</t>
  </si>
  <si>
    <t>pilas</t>
  </si>
  <si>
    <t xml:space="preserve">transferencia programada hasta </t>
  </si>
  <si>
    <t>Matos cuota 2</t>
  </si>
  <si>
    <t>honorarios vero abogada tema jurko</t>
  </si>
  <si>
    <t>Sumar caja roja cambio de 200</t>
  </si>
  <si>
    <t>habia 110</t>
  </si>
  <si>
    <t>uber cafe</t>
  </si>
  <si>
    <t>no esta</t>
  </si>
  <si>
    <t>deposite 898k en CA</t>
  </si>
  <si>
    <t>edu (sin cilantro)</t>
  </si>
  <si>
    <t>honorarios vero ianovsky caso jurko</t>
  </si>
  <si>
    <t>Uber</t>
  </si>
  <si>
    <t>Alquiler</t>
  </si>
  <si>
    <t>caja torta</t>
  </si>
  <si>
    <t>uber Marico</t>
  </si>
  <si>
    <t>uber Nhcura</t>
  </si>
  <si>
    <t>messian syrups</t>
  </si>
  <si>
    <t>envio syrup</t>
  </si>
  <si>
    <t>338,5 total</t>
  </si>
  <si>
    <t xml:space="preserve">karen </t>
  </si>
  <si>
    <t xml:space="preserve">quintela </t>
  </si>
  <si>
    <t>choc alpino</t>
  </si>
  <si>
    <t>harina de almendra uriburu</t>
  </si>
  <si>
    <t>C uso 168737 del bbva</t>
  </si>
  <si>
    <t>compensado con 160k que H se transf de mp</t>
  </si>
  <si>
    <t>envio harina</t>
  </si>
  <si>
    <t>filtro psa</t>
  </si>
  <si>
    <t>cajas</t>
  </si>
  <si>
    <t>karen</t>
  </si>
  <si>
    <t>Nafta y Repuestos</t>
  </si>
  <si>
    <t>edu sin verdeo y sin 1 cabutia</t>
  </si>
  <si>
    <t>cajas y bandejas tutto farra</t>
  </si>
  <si>
    <t>-50 h</t>
  </si>
  <si>
    <t>-100 h de mp</t>
  </si>
  <si>
    <t>Sole limpieza</t>
  </si>
  <si>
    <t>compensado con lau</t>
  </si>
  <si>
    <t>BREIK</t>
  </si>
  <si>
    <t>vino locro</t>
  </si>
  <si>
    <t>cabutia</t>
  </si>
  <si>
    <t>choco pins alpino</t>
  </si>
  <si>
    <t>bomba marcelo</t>
  </si>
  <si>
    <t>VIE 31</t>
  </si>
  <si>
    <t>20k a lucho</t>
  </si>
  <si>
    <t>deuda de abril y marzo</t>
  </si>
  <si>
    <t>era lo adeudado</t>
  </si>
  <si>
    <t>mes de mayo</t>
  </si>
  <si>
    <t>liquidacion karen</t>
  </si>
  <si>
    <t>ART febrero</t>
  </si>
  <si>
    <t xml:space="preserve">MARTIN REDES </t>
  </si>
  <si>
    <t>SAB 1</t>
  </si>
  <si>
    <t>LU 3</t>
  </si>
  <si>
    <t>honorarios Ianovsky caso jurko</t>
  </si>
  <si>
    <t>use de bbva 285610, repuse en ef 230 y x transf 50</t>
  </si>
  <si>
    <t>MA 4</t>
  </si>
  <si>
    <t>bomba</t>
  </si>
  <si>
    <t>MIE 5</t>
  </si>
  <si>
    <t>edu (no vino zuchini)</t>
  </si>
  <si>
    <t>JUE 6</t>
  </si>
  <si>
    <t>VIE 7</t>
  </si>
  <si>
    <t>SAB 8</t>
  </si>
  <si>
    <t>LU 10</t>
  </si>
  <si>
    <t>cuota 1 jurko</t>
  </si>
  <si>
    <t>puse 30</t>
  </si>
  <si>
    <t>me quede con 30</t>
  </si>
  <si>
    <t>conciliadora jurko</t>
  </si>
  <si>
    <t>500 Alq</t>
  </si>
  <si>
    <t>abogada jurko</t>
  </si>
  <si>
    <t>MA 11</t>
  </si>
  <si>
    <t>MIE 12</t>
  </si>
  <si>
    <t>JUE 13</t>
  </si>
  <si>
    <t>VIE 14</t>
  </si>
  <si>
    <t>150k se transf a Hernan</t>
  </si>
  <si>
    <t>150k uso lau de bbva</t>
  </si>
  <si>
    <t>SAB 15</t>
  </si>
  <si>
    <t>retiramos</t>
  </si>
  <si>
    <t>LU 17</t>
  </si>
  <si>
    <t>CERRADO X FERIADO</t>
  </si>
  <si>
    <t>MA 18</t>
  </si>
  <si>
    <t>horas de karen (semana anterior)</t>
  </si>
  <si>
    <t>MIE 19</t>
  </si>
  <si>
    <t>70 retiro hernan</t>
  </si>
  <si>
    <t>vino?</t>
  </si>
  <si>
    <t>JUE 20</t>
  </si>
  <si>
    <t>VIE 21</t>
  </si>
  <si>
    <t>agustin</t>
  </si>
  <si>
    <t>SAB 22</t>
  </si>
  <si>
    <t>LU 24</t>
  </si>
  <si>
    <t>MA 25</t>
  </si>
  <si>
    <t>70k h H telecom</t>
  </si>
  <si>
    <t>70k c</t>
  </si>
  <si>
    <t>compensado</t>
  </si>
  <si>
    <t>MIE 26</t>
  </si>
  <si>
    <t>listo</t>
  </si>
  <si>
    <t>hacer</t>
  </si>
  <si>
    <t>JUE 27</t>
  </si>
  <si>
    <t>messian</t>
  </si>
  <si>
    <t>VIE 28</t>
  </si>
  <si>
    <t>h saco 67 habia 130 en el sobre</t>
  </si>
  <si>
    <t>oliva panes???</t>
  </si>
  <si>
    <t>ya quedo compensado con cecilia</t>
  </si>
  <si>
    <t>454690 use para osde de bbva voy a devolver parte en ef</t>
  </si>
  <si>
    <t>SAB 29</t>
  </si>
  <si>
    <t>pague lo adeudado, falta lo correspondiente a mayo</t>
  </si>
  <si>
    <t>deuda rectif cargas soc cuota inicial</t>
  </si>
  <si>
    <t>transferencia programada hasta DIC</t>
  </si>
  <si>
    <t>deuda iva ene/feb 24 mandamiento 423/2024 cuota inicial</t>
  </si>
  <si>
    <t>Manzanares Cuota1/3</t>
  </si>
  <si>
    <t>auto lucho</t>
  </si>
  <si>
    <t>la sernisima</t>
  </si>
  <si>
    <t>oliva botellas</t>
  </si>
  <si>
    <t>distribuidora lj</t>
  </si>
  <si>
    <t>honorarios alcides rectificacion</t>
  </si>
  <si>
    <t>se usaron para sueldo karen</t>
  </si>
  <si>
    <t>edu vino 3 brocoli en lugar de 6</t>
  </si>
  <si>
    <t>DEPOSITE MIO 270 Y TRANSFERI A CECIMP</t>
  </si>
  <si>
    <t>transfer 350 h</t>
  </si>
  <si>
    <t>transfer 350 c</t>
  </si>
  <si>
    <t>MIE  17</t>
  </si>
  <si>
    <t>quintela (sumar ch sem q viene)</t>
  </si>
  <si>
    <t>use 50k bbva y reintegre en ef</t>
  </si>
  <si>
    <t>impresion</t>
  </si>
  <si>
    <t>l</t>
  </si>
  <si>
    <t>tubo de gas</t>
  </si>
  <si>
    <t>bandeja torta</t>
  </si>
  <si>
    <t>ferreteria h</t>
  </si>
  <si>
    <t>grampas</t>
  </si>
  <si>
    <t>repuesto inodoro</t>
  </si>
  <si>
    <t>enduido ?</t>
  </si>
  <si>
    <t>reintegró lau en ef xq uso del bbva</t>
  </si>
  <si>
    <t>trapos</t>
  </si>
  <si>
    <t>repuesto baño??</t>
  </si>
  <si>
    <t>puchos marilu</t>
  </si>
  <si>
    <t>vajilla vecina</t>
  </si>
  <si>
    <t>Cemento</t>
  </si>
  <si>
    <t>Comida Marce</t>
  </si>
  <si>
    <t>puso hernan obra</t>
  </si>
  <si>
    <t>obra</t>
  </si>
  <si>
    <t xml:space="preserve">keydigital </t>
  </si>
  <si>
    <t>transferi 350k desde bbva a hernan y compenso con Lau semana anterior uso 300k osde y 25k mp y 25k bbva nafta 3/8</t>
  </si>
  <si>
    <t>Marcelo pintor</t>
  </si>
  <si>
    <t>de 160 hernan uso algo.. definir cuanto</t>
  </si>
  <si>
    <t>deuda mayo</t>
  </si>
  <si>
    <t>Manzanares Cuota2/3</t>
  </si>
  <si>
    <t>Jurko cuota 2/2</t>
  </si>
  <si>
    <t>finalizado</t>
  </si>
  <si>
    <t>¿</t>
  </si>
  <si>
    <t>BIROMES</t>
  </si>
  <si>
    <t>Arena cal cemento</t>
  </si>
  <si>
    <t>milkaut debe nota de cred x crema</t>
  </si>
  <si>
    <t>hielo (entra sab)</t>
  </si>
  <si>
    <t>use de bbva 217475,45</t>
  </si>
  <si>
    <t>lj distribuidora</t>
  </si>
  <si>
    <t>daiana limpieza</t>
  </si>
  <si>
    <t>saq 50k + 20bbva, compensado con lau</t>
  </si>
  <si>
    <t>transfer 390 a herni bbva</t>
  </si>
  <si>
    <t>-40H</t>
  </si>
  <si>
    <t>pague 374k master de bbva y repuse en ef</t>
  </si>
  <si>
    <t>(parte fac la serenisima)</t>
  </si>
  <si>
    <t xml:space="preserve">fp </t>
  </si>
  <si>
    <t>fabri extra medialunas itba</t>
  </si>
  <si>
    <t>Rodri extra medialunas itba</t>
  </si>
  <si>
    <t>-150H</t>
  </si>
  <si>
    <t>ferreteria silicona</t>
  </si>
  <si>
    <t>ferreteria llaves alen</t>
  </si>
  <si>
    <t>jujuy dia del niño</t>
  </si>
  <si>
    <t>la serenisima (debitar en prox fac leche alm)</t>
  </si>
  <si>
    <t>rex</t>
  </si>
  <si>
    <t>SAB 17 
 DOM 18</t>
  </si>
  <si>
    <t>216,5 SAB</t>
  </si>
  <si>
    <t>milagros</t>
  </si>
  <si>
    <t>queda</t>
  </si>
  <si>
    <t>irene</t>
  </si>
  <si>
    <t>leo</t>
  </si>
  <si>
    <t>DOM</t>
  </si>
  <si>
    <t>bolsas residuos y cif</t>
  </si>
  <si>
    <t>use 600k de bbva y repuse 300</t>
  </si>
  <si>
    <t>pintura cobre</t>
  </si>
  <si>
    <t>marcadores pizarra mary</t>
  </si>
  <si>
    <t xml:space="preserve">harina </t>
  </si>
  <si>
    <t>espinaca</t>
  </si>
  <si>
    <t>ok</t>
  </si>
  <si>
    <t>marcelo pintor</t>
  </si>
  <si>
    <t>SAB 24
DOM 25</t>
  </si>
  <si>
    <t>SAB</t>
  </si>
  <si>
    <t>-220h</t>
  </si>
  <si>
    <t>-300c</t>
  </si>
  <si>
    <t>carrefour, guantes</t>
  </si>
  <si>
    <t>breik marcador pizarra</t>
  </si>
  <si>
    <t>colorante y chocolate alpino</t>
  </si>
  <si>
    <t>vaso procesadora</t>
  </si>
  <si>
    <t>90 mp hernan</t>
  </si>
  <si>
    <t>40 mp ceci</t>
  </si>
  <si>
    <t>uriburu harina almendras</t>
  </si>
  <si>
    <t>25,300 hernan bbva</t>
  </si>
  <si>
    <t>tienda limpieza jujuy</t>
  </si>
  <si>
    <t>100 mp hernan</t>
  </si>
  <si>
    <t>16,700 ceci bbva</t>
  </si>
  <si>
    <t>Comida Marcelo</t>
  </si>
  <si>
    <t>29,800 hernan bbva</t>
  </si>
  <si>
    <t>48,840 ceci bbva</t>
  </si>
  <si>
    <t xml:space="preserve">SAB 31
DOM 1
</t>
  </si>
  <si>
    <t>seba (se pago derl sab)</t>
  </si>
  <si>
    <t>habia 100k aprox 7.40pm</t>
  </si>
  <si>
    <t>gastos de la semana</t>
  </si>
  <si>
    <t>milo (se pago derl sab)</t>
  </si>
  <si>
    <t>hernan</t>
  </si>
  <si>
    <t>ceci</t>
  </si>
  <si>
    <t xml:space="preserve">naranja </t>
  </si>
  <si>
    <t>total</t>
  </si>
  <si>
    <t>diferencia a favor de ceci</t>
  </si>
  <si>
    <t>COMPENSADO CON 160K PAGO MASTERCARD EN BBVA</t>
  </si>
  <si>
    <t>HONORARIO ABOGADA</t>
  </si>
  <si>
    <t>juicio manzanares</t>
  </si>
  <si>
    <t>informe de contingencias</t>
  </si>
  <si>
    <t>Manzanares Cuota3/3</t>
  </si>
  <si>
    <t>julio+agosto</t>
  </si>
  <si>
    <t>.</t>
  </si>
  <si>
    <t>LU 2</t>
  </si>
  <si>
    <t>dai limpieza (con los 5 q se le debia del viernes)</t>
  </si>
  <si>
    <t>aceite freidora??</t>
  </si>
  <si>
    <t>marcelo (se le reintgro a hernan mp desde bbva)</t>
  </si>
  <si>
    <t>transfer 500k hernan desde bbva</t>
  </si>
  <si>
    <t>MA 3</t>
  </si>
  <si>
    <t>marilu sin descuento</t>
  </si>
  <si>
    <t>MIE 4</t>
  </si>
  <si>
    <t>matafuegos atrlantida</t>
  </si>
  <si>
    <t>JUE 5</t>
  </si>
  <si>
    <t>rolito</t>
  </si>
  <si>
    <t>transfer 600k hernan desde bbva</t>
  </si>
  <si>
    <t>transfer 50k ceci desde mp</t>
  </si>
  <si>
    <t>VIE 6</t>
  </si>
  <si>
    <t>repollo</t>
  </si>
  <si>
    <t>pago flow 110k hernan desde bbva</t>
  </si>
  <si>
    <t>SAB 7
DOM 8</t>
  </si>
  <si>
    <t>COMPENSACION batidora hernan</t>
  </si>
  <si>
    <t>1000 usd</t>
  </si>
  <si>
    <t>dolar hoy 1260</t>
  </si>
  <si>
    <t>recupero</t>
  </si>
  <si>
    <t>diferencia</t>
  </si>
  <si>
    <t xml:space="preserve"> a favor ceci</t>
  </si>
  <si>
    <t>compensacion</t>
  </si>
  <si>
    <t>mp</t>
  </si>
  <si>
    <t>bbva osde</t>
  </si>
  <si>
    <t>saldados</t>
  </si>
  <si>
    <t>a favor de hernan</t>
  </si>
  <si>
    <t>LU 9</t>
  </si>
  <si>
    <t>breik marcadores</t>
  </si>
  <si>
    <t>distib LJ</t>
  </si>
  <si>
    <t>MA 10</t>
  </si>
  <si>
    <t>MIE 11</t>
  </si>
  <si>
    <t>chapas</t>
  </si>
  <si>
    <t>JUE 12</t>
  </si>
  <si>
    <t>VIE 13</t>
  </si>
  <si>
    <t>chorizo colorado catering hernan</t>
  </si>
  <si>
    <t>lucho catering hernan (compensado)</t>
  </si>
  <si>
    <t>60 mp hernan</t>
  </si>
  <si>
    <t>42 bbva ceci</t>
  </si>
  <si>
    <t xml:space="preserve">SAB 14
DOM 15
</t>
  </si>
  <si>
    <t>habia 300 le pague a seba de aca</t>
  </si>
  <si>
    <t>domingo</t>
  </si>
  <si>
    <t>LU 16</t>
  </si>
  <si>
    <t>sobre papas fritas</t>
  </si>
  <si>
    <t>337k bbva Hernan</t>
  </si>
  <si>
    <t>271113 bbva ceci (pago osde)</t>
  </si>
  <si>
    <t>214908 bbva ceci (mastercard)</t>
  </si>
  <si>
    <t>bashir platos</t>
  </si>
  <si>
    <t>30000 uso ceci de mp (27/9)</t>
  </si>
  <si>
    <t>psa pieza</t>
  </si>
  <si>
    <t>179021 a favor de hernan</t>
  </si>
  <si>
    <t>pilas balanza</t>
  </si>
  <si>
    <t>- 100000 mp hernan (24/9)</t>
  </si>
  <si>
    <t>resta 79k a favor de hernan</t>
  </si>
  <si>
    <t>compensado dia 5/10 x mp</t>
  </si>
  <si>
    <t>MA 17</t>
  </si>
  <si>
    <t>pepino y acusai</t>
  </si>
  <si>
    <t>use 200k bbva y repuse en ef</t>
  </si>
  <si>
    <t>wraps fac 2422</t>
  </si>
  <si>
    <t>MIE 18</t>
  </si>
  <si>
    <t>edu (no vino el brocoli)</t>
  </si>
  <si>
    <t>miel</t>
  </si>
  <si>
    <t>marilu (sin dto)</t>
  </si>
  <si>
    <t>rollos fiscales (saque ef del banco)</t>
  </si>
  <si>
    <t>JUE 19</t>
  </si>
  <si>
    <t>bolsa residuo</t>
  </si>
  <si>
    <t>VIE 20</t>
  </si>
  <si>
    <t xml:space="preserve">SAB 21
DOM 22
</t>
  </si>
  <si>
    <t>CORTINERO</t>
  </si>
  <si>
    <t>Alq</t>
  </si>
  <si>
    <t>Sebas</t>
  </si>
  <si>
    <t>LU 23</t>
  </si>
  <si>
    <t>MA 24</t>
  </si>
  <si>
    <t>perejil</t>
  </si>
  <si>
    <t>Manguera cafetera</t>
  </si>
  <si>
    <t>Bulones maquina cafe</t>
  </si>
  <si>
    <t>MIE 25</t>
  </si>
  <si>
    <t>JUE 26</t>
  </si>
  <si>
    <t>VIE 27</t>
  </si>
  <si>
    <t>ceci uso 30000 mp (compensado)</t>
  </si>
  <si>
    <t>Sebas hay que pasarle a MP el resto de la semana</t>
  </si>
  <si>
    <t xml:space="preserve">SAB 28
DOM 29
</t>
  </si>
  <si>
    <t>sueldo karen</t>
  </si>
  <si>
    <t>sab</t>
  </si>
  <si>
    <t>sueldo mariana</t>
  </si>
  <si>
    <t>-50 mariana?</t>
  </si>
  <si>
    <t>dom</t>
  </si>
  <si>
    <t>LU 30</t>
  </si>
  <si>
    <t>restante sueldo seba</t>
  </si>
  <si>
    <t>marillu</t>
  </si>
  <si>
    <t>parada</t>
  </si>
  <si>
    <t>METROGAS (deuda)</t>
  </si>
  <si>
    <t>AYSA (deuda)</t>
  </si>
  <si>
    <t>MA 1</t>
  </si>
  <si>
    <t>edu (se devolvio lechuga)</t>
  </si>
  <si>
    <t>Adelanto Seba</t>
  </si>
  <si>
    <t>MIE 2</t>
  </si>
  <si>
    <t>la redencion bebidas</t>
  </si>
  <si>
    <t>seña canastos cuchi</t>
  </si>
  <si>
    <t>JUE 3</t>
  </si>
  <si>
    <t>VIE 4</t>
  </si>
  <si>
    <t>bolsa consorcio</t>
  </si>
  <si>
    <t>deposite mio 800k para transferir a mi mp 640</t>
  </si>
  <si>
    <t>y 160 a mastercard</t>
  </si>
  <si>
    <t>SAB 5 DOM 6</t>
  </si>
  <si>
    <t>LU 7</t>
  </si>
  <si>
    <t>edu (no vino banana)</t>
  </si>
  <si>
    <t>uriburu (harina de alm)</t>
  </si>
  <si>
    <t>canastos bashir (falta fac a)</t>
  </si>
  <si>
    <t>tachos casa tati</t>
  </si>
  <si>
    <t>MA 8</t>
  </si>
  <si>
    <t>frutas premium rucula</t>
  </si>
  <si>
    <t>330 a Hernan desde Bbva</t>
  </si>
  <si>
    <t>filtro psa santi</t>
  </si>
  <si>
    <t>222951.33 Ceci pago Mastercard desd Bbva</t>
  </si>
  <si>
    <t>Parada</t>
  </si>
  <si>
    <t>ceci bbva</t>
  </si>
  <si>
    <t>22833 a favor de ceci</t>
  </si>
  <si>
    <t>compensado todo</t>
  </si>
  <si>
    <t>MIE 9</t>
  </si>
  <si>
    <t>JUE 10</t>
  </si>
  <si>
    <t>VIE 11</t>
  </si>
  <si>
    <t>SAB 12 DOM 13</t>
  </si>
  <si>
    <t>estaba en la caja roja pero no se de que dia es</t>
  </si>
  <si>
    <t>lo puse en sobre de sabado</t>
  </si>
  <si>
    <t>ese seria el total</t>
  </si>
  <si>
    <t>LU 14</t>
  </si>
  <si>
    <t>puchos marilu (saldos)</t>
  </si>
  <si>
    <t>MA 15</t>
  </si>
  <si>
    <t>deposite 600 mio en cuenta bbva y pague expensas por 493331,65</t>
  </si>
  <si>
    <t>a favor</t>
  </si>
  <si>
    <t>dietetica az rubia</t>
  </si>
  <si>
    <t>a favor de la semana anterior</t>
  </si>
  <si>
    <t>total que me transferi a cecimp</t>
  </si>
  <si>
    <t>MIE 16</t>
  </si>
  <si>
    <t>la redencion</t>
  </si>
  <si>
    <t>JUE 17</t>
  </si>
  <si>
    <t>Marcelo pintor puso Hernan</t>
  </si>
  <si>
    <t>recupero 50k el 22/10</t>
  </si>
  <si>
    <t>VIE 18</t>
  </si>
  <si>
    <t>cerdo</t>
  </si>
  <si>
    <t>flete heladera</t>
  </si>
  <si>
    <t>moto motofeca</t>
  </si>
  <si>
    <t>HELADERA + KITCHEN AID</t>
  </si>
  <si>
    <t>NUEVO EMPORIO</t>
  </si>
  <si>
    <t>SAB 19 DOM 20</t>
  </si>
  <si>
    <t>100 aparte se uso para sueldos</t>
  </si>
  <si>
    <t>jamon crudo</t>
  </si>
  <si>
    <t>140 se retiro</t>
  </si>
  <si>
    <t>mayo y leche</t>
  </si>
  <si>
    <t>LU 21</t>
  </si>
  <si>
    <t>Marcelo pintor (cuenta Arthur.pp)</t>
  </si>
  <si>
    <t>MA 22</t>
  </si>
  <si>
    <t>153,5</t>
  </si>
  <si>
    <t>quintela vto 22/11</t>
  </si>
  <si>
    <t>Parada manteca</t>
  </si>
  <si>
    <t>MIE 23</t>
  </si>
  <si>
    <t>se pago en efectivo el ch (169) de ormazabal</t>
  </si>
  <si>
    <t>JUE 24</t>
  </si>
  <si>
    <t>panko</t>
  </si>
  <si>
    <t>detergente</t>
  </si>
  <si>
    <t>VIE 25</t>
  </si>
  <si>
    <t>wraps falta fac</t>
  </si>
  <si>
    <t>SAB 26 DOM 27</t>
  </si>
  <si>
    <t>LU 28</t>
  </si>
  <si>
    <t>se uso 162k para 2 ch ormazabal</t>
  </si>
  <si>
    <t>cajon naranja</t>
  </si>
  <si>
    <t>MA 29</t>
  </si>
  <si>
    <t>quintela VTO 29/11</t>
  </si>
  <si>
    <t>blem</t>
  </si>
  <si>
    <t>lucho paro de trenes</t>
  </si>
  <si>
    <t>arreglo horno pauna</t>
  </si>
  <si>
    <t>gelatina sin sabor</t>
  </si>
  <si>
    <t>MIE 30</t>
  </si>
  <si>
    <t>ormazabal VTO 15/11</t>
  </si>
  <si>
    <t>JUE 31</t>
  </si>
  <si>
    <t>paro marico</t>
  </si>
  <si>
    <t>No Debito Automatico</t>
  </si>
  <si>
    <t>Galcia</t>
  </si>
  <si>
    <t>Galicia</t>
  </si>
  <si>
    <t>Metrogas (deuda)</t>
  </si>
  <si>
    <t>se supone que incluye deudas</t>
  </si>
  <si>
    <t>Falta Fact</t>
  </si>
  <si>
    <t>Falta</t>
  </si>
  <si>
    <t>Debito Galicia</t>
  </si>
  <si>
    <t>Vep Cargas Sociales</t>
  </si>
  <si>
    <t>vep moratoria pago inicial</t>
  </si>
  <si>
    <t>paro lucho</t>
  </si>
  <si>
    <t>SAB 2 DOM 3</t>
  </si>
  <si>
    <t>quintela VTO 5/12</t>
  </si>
  <si>
    <t>hernan se transfierio 330k de mp</t>
  </si>
  <si>
    <t>130 se usaron para rescatar ch 868 de ormaabal</t>
  </si>
  <si>
    <t>moto uber a contadora</t>
  </si>
  <si>
    <t>se saco del galicia 250 para ch matiz</t>
  </si>
  <si>
    <t>ormazabal VTO 21/11</t>
  </si>
  <si>
    <t>Choco alpino</t>
  </si>
  <si>
    <t>Hernan uso 180 del galicia va a depositar 100</t>
  </si>
  <si>
    <t>compenso 50 y resta 30</t>
  </si>
  <si>
    <t>222000 efectivo contra ch Matiz #56860</t>
  </si>
  <si>
    <t>compensado con ceci que uso 40k para grua de auto el 15/11</t>
  </si>
  <si>
    <t>ketchup</t>
  </si>
  <si>
    <t>SAB 9 DOM 10</t>
  </si>
  <si>
    <t>quintela VTO 12/12</t>
  </si>
  <si>
    <t>ormazabal VTO 30/11 (desconte 15k)</t>
  </si>
  <si>
    <t>cafiza</t>
  </si>
  <si>
    <t>ch rechaz quintela deposito contra ch</t>
  </si>
  <si>
    <t>falta 19000</t>
  </si>
  <si>
    <t>la serenisima total:107439</t>
  </si>
  <si>
    <t>faltan 120k</t>
  </si>
  <si>
    <t>SAB 16 DOM 17</t>
  </si>
  <si>
    <t>se completosueldo kren</t>
  </si>
  <si>
    <t>sueldo sebastian *13hs</t>
  </si>
  <si>
    <t>hay 60</t>
  </si>
  <si>
    <t>Hernan se transfirio 55k</t>
  </si>
  <si>
    <t>se uso  65k para recatar ch ormazabal</t>
  </si>
  <si>
    <t>quintela reemplazo ch 556861 +$ 2000 impuestos</t>
  </si>
  <si>
    <t>ormazabal a cuenta</t>
  </si>
  <si>
    <t>ypgur</t>
  </si>
  <si>
    <t>quintela VTO 19/12</t>
  </si>
  <si>
    <t>edu no vino verdeo</t>
  </si>
  <si>
    <t>completa los 19000 que se debia</t>
  </si>
  <si>
    <t>ormazabal VTO 5/12</t>
  </si>
  <si>
    <t>FALTAN 70K</t>
  </si>
  <si>
    <t>351 transf hernan a su mp</t>
  </si>
  <si>
    <t>milkaut itflow</t>
  </si>
  <si>
    <t>150k transf hernan a su mp el sab 23</t>
  </si>
  <si>
    <t>estado de cuenta hernan</t>
  </si>
  <si>
    <t>debe a R2</t>
  </si>
  <si>
    <t>haber</t>
  </si>
  <si>
    <t>SALDADO</t>
  </si>
  <si>
    <t>SAB 23 DOM 24</t>
  </si>
  <si>
    <t>compensado con ceci use 250800 de mp para pagar expensas mias</t>
  </si>
  <si>
    <t>paltaS</t>
  </si>
  <si>
    <t>aceto</t>
  </si>
  <si>
    <t>ch quintela recuperado</t>
  </si>
  <si>
    <t>quintela VTO 25/12</t>
  </si>
  <si>
    <t>espomja</t>
  </si>
  <si>
    <t>ormazabal VTO 16/12</t>
  </si>
  <si>
    <t>Edu (no vino verdeo ni morada)</t>
  </si>
  <si>
    <t>edu (no vino albahaca)</t>
  </si>
  <si>
    <t>hernan pago a gonza x heladera 318000</t>
  </si>
  <si>
    <t>pago 2 cuotas y cancele 1. debemos 1</t>
  </si>
  <si>
    <t>se pago la cuota faltante con una transfer de mp el dia 5/12</t>
  </si>
  <si>
    <t>COMPENSADO</t>
  </si>
  <si>
    <t>nos quedan 22k a nuestro favor</t>
  </si>
  <si>
    <t>CONTADORA gestion planes de pago</t>
  </si>
  <si>
    <t>no se debito pedi link de pago</t>
  </si>
  <si>
    <t>ya entro</t>
  </si>
  <si>
    <t>f</t>
  </si>
  <si>
    <t>DOM1</t>
  </si>
  <si>
    <t xml:space="preserve">manteca </t>
  </si>
  <si>
    <t>quintela VTO 3/1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</si>
  <si>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</si>
  <si>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aceite freidora almafuert</t>
  </si>
  <si>
    <t>hernan uso 100000 de mp, ya se compenso en ef en la liquidacion de la semana</t>
  </si>
  <si>
    <t>SAB 7 DOM 8</t>
  </si>
  <si>
    <t>ormazabal VTO25/12</t>
  </si>
  <si>
    <t>quintela VTO 11/1</t>
  </si>
  <si>
    <t>cuchillos descartables</t>
  </si>
  <si>
    <t>90k uso hernan de mp para chapa rolo</t>
  </si>
  <si>
    <t xml:space="preserve">compensado </t>
  </si>
  <si>
    <t>SAB 14 DOM 15</t>
  </si>
  <si>
    <t>pgado</t>
  </si>
  <si>
    <t>marilu (peceto y lengua hernan)</t>
  </si>
  <si>
    <t>hernan puso 589k DEVOLVER EN USD</t>
  </si>
  <si>
    <t>-101192,65 marilu navidad</t>
  </si>
  <si>
    <t>RESTA</t>
  </si>
  <si>
    <t>LISTO</t>
  </si>
  <si>
    <t>cobo mixer falta fac A</t>
  </si>
  <si>
    <t>sumar 300 usd HABILITACION</t>
  </si>
  <si>
    <t>wraps imprimir fac</t>
  </si>
  <si>
    <t>SAB 21 DOM 22</t>
  </si>
  <si>
    <t>edu (no vino el morron amarillo)</t>
  </si>
  <si>
    <t>quintela VTO 23/1</t>
  </si>
  <si>
    <t>Huevo</t>
  </si>
  <si>
    <t>ormazabal VTO 8/1</t>
  </si>
  <si>
    <t>SAB 28 DOM 29</t>
  </si>
  <si>
    <t>Quintela 30/1 vto</t>
  </si>
  <si>
    <t>MA 31</t>
  </si>
  <si>
    <t>FLOW</t>
  </si>
  <si>
    <t>GALICIA</t>
  </si>
  <si>
    <t>se pagaron 2 facturas x mp</t>
  </si>
  <si>
    <t>esta dado de alta en nuevo cbu</t>
  </si>
  <si>
    <t>AUTONOMOS VEP</t>
  </si>
  <si>
    <t>IIBB VEP</t>
  </si>
  <si>
    <t>CARGAS SOCIALES VEP</t>
  </si>
  <si>
    <t>LA HICE DESDE MP</t>
  </si>
  <si>
    <t>Desde 09 a la fecha se le debe a Edu total=</t>
  </si>
  <si>
    <t>ACEITE FREIDORA</t>
  </si>
  <si>
    <t>Carrefour</t>
  </si>
  <si>
    <t>ma 7</t>
  </si>
  <si>
    <t>QUINTELA VTO 7/2</t>
  </si>
  <si>
    <t>Bire</t>
  </si>
  <si>
    <t>Ormazabal</t>
  </si>
  <si>
    <t>Queo Brie</t>
  </si>
  <si>
    <t>Frutos Rjos Ice Feras</t>
  </si>
  <si>
    <t>LIMON</t>
  </si>
  <si>
    <t>semas (quesos)</t>
  </si>
  <si>
    <t>´pagado</t>
  </si>
  <si>
    <t>Ormazabal VTO 30/1</t>
  </si>
  <si>
    <t>50 USO CECI</t>
  </si>
  <si>
    <t>quintela VTO 15/2</t>
  </si>
  <si>
    <t>lima</t>
  </si>
  <si>
    <t>200 SE USO PARA LUCHO</t>
  </si>
  <si>
    <t>se uso 80 pri y 20 rodri</t>
  </si>
  <si>
    <t xml:space="preserve">EDU </t>
  </si>
  <si>
    <t>Semas VTO 27/1 lunes</t>
  </si>
  <si>
    <t>leche en polvo</t>
  </si>
  <si>
    <t>edu (se devolvio la espinaca)</t>
  </si>
  <si>
    <t>100 uso h y 100 uso c</t>
  </si>
  <si>
    <t>coffler</t>
  </si>
  <si>
    <t>quintela VTO 23/2</t>
  </si>
  <si>
    <t>syrups envio</t>
  </si>
  <si>
    <t>tuttofarra</t>
  </si>
  <si>
    <t>la serenisima (2 boletas)</t>
  </si>
  <si>
    <t>160 se uso para alquiler</t>
  </si>
  <si>
    <t>Distrib Semas</t>
  </si>
  <si>
    <t>uriburu harina de almendras</t>
  </si>
  <si>
    <t xml:space="preserve">se uso 90 para alq </t>
  </si>
  <si>
    <t>57H</t>
  </si>
  <si>
    <t>retitoH</t>
  </si>
  <si>
    <t>La redencion</t>
  </si>
  <si>
    <t>57C</t>
  </si>
  <si>
    <t>plan de pagos</t>
  </si>
  <si>
    <t>pagamos del galicia</t>
  </si>
  <si>
    <t>Falta ad deb</t>
  </si>
  <si>
    <t>link de mp</t>
  </si>
  <si>
    <t>ART VEP (periodo inicial)</t>
  </si>
  <si>
    <t>ART VEP (periodo inicial) INTERESES</t>
  </si>
  <si>
    <t>IVA DE OCTUBRE QUE VENCIA EN ENERO</t>
  </si>
  <si>
    <t>A mano</t>
  </si>
  <si>
    <t>Hay que programarla</t>
  </si>
  <si>
    <t>se deposito</t>
  </si>
  <si>
    <t>SEMAS</t>
  </si>
  <si>
    <t>15hs se deposito</t>
  </si>
  <si>
    <t xml:space="preserve"> restante</t>
  </si>
  <si>
    <t>dia camila</t>
  </si>
  <si>
    <t>Ormazabal VTO 19/2</t>
  </si>
  <si>
    <t>la serenisima 3 facturas</t>
  </si>
  <si>
    <t>motofeca VTO 5/3</t>
  </si>
  <si>
    <t>camila</t>
  </si>
  <si>
    <t>quintela VTO 6/3</t>
  </si>
  <si>
    <t>HIELO</t>
  </si>
  <si>
    <t>mie 12</t>
  </si>
  <si>
    <t>TUTTO FARRA</t>
  </si>
  <si>
    <t>CHINO</t>
  </si>
  <si>
    <t>COSTA</t>
  </si>
  <si>
    <t>syrup messian</t>
  </si>
  <si>
    <t>cami</t>
  </si>
  <si>
    <t>adelanto chris</t>
  </si>
  <si>
    <t>palta fp</t>
  </si>
  <si>
    <t>Cami</t>
  </si>
  <si>
    <t>fp espinaca</t>
  </si>
  <si>
    <t>Colorante</t>
  </si>
  <si>
    <t>chocolate</t>
  </si>
  <si>
    <t>20 ceci</t>
  </si>
  <si>
    <t>mary</t>
  </si>
  <si>
    <t>anticipo plan de pagos 12 cuotas</t>
  </si>
  <si>
    <t>METROGAS (DEUDA)</t>
  </si>
  <si>
    <t>Gonzalo cuota heladera</t>
  </si>
  <si>
    <t>IVA DE noviemBRE QUE VENCIA EN febrero</t>
  </si>
  <si>
    <t>se uso 100 para priscila</t>
  </si>
  <si>
    <t>se uso para alquiler</t>
  </si>
  <si>
    <t>verdu</t>
  </si>
  <si>
    <t>Lechuga francesa</t>
  </si>
  <si>
    <t>hernan uso 50k nafta y 100k el galicia</t>
  </si>
  <si>
    <t>verdu pago cami ya se lo devolvi en ef</t>
  </si>
  <si>
    <t>harina almendra y az impalpable</t>
  </si>
  <si>
    <t>la botica del pastelero</t>
  </si>
  <si>
    <t>use 300 para sueldo  mary asique queda 176</t>
  </si>
  <si>
    <t>350k uso Hernan para patente auto</t>
  </si>
  <si>
    <t>50 k H transfierio a su cuenta nacion</t>
  </si>
  <si>
    <t>los 50k estan compensados con ceci</t>
  </si>
  <si>
    <t>naranjas frutas premium</t>
  </si>
  <si>
    <t>SAB 22/DOM 23</t>
  </si>
  <si>
    <t>BOLSAS</t>
  </si>
  <si>
    <t>430 se deposito</t>
  </si>
  <si>
    <t>tutto farra chocolate</t>
  </si>
  <si>
    <t>100 uso h</t>
  </si>
  <si>
    <t>ya compensado con ceci</t>
  </si>
  <si>
    <t xml:space="preserve"> se repartio</t>
  </si>
  <si>
    <t>SAB 29 DOM 30</t>
  </si>
  <si>
    <t>SAB se uso para alquiler</t>
  </si>
  <si>
    <t>DOM se uso para alquiler</t>
  </si>
  <si>
    <t>LU 31</t>
  </si>
  <si>
    <t>ALQUILER B (con 90 de punitorios)</t>
  </si>
  <si>
    <t>pagamos de mp</t>
  </si>
  <si>
    <t>Falta ad deb da rechazado todos los meses</t>
  </si>
  <si>
    <t>-293 mary</t>
  </si>
  <si>
    <t xml:space="preserve">SAB 5 </t>
  </si>
  <si>
    <t>ceci 220</t>
  </si>
  <si>
    <t>hernan gasto 170</t>
  </si>
  <si>
    <t>hernan gasto 130</t>
  </si>
  <si>
    <t>ceci gasto 120</t>
  </si>
  <si>
    <t>chocolate tutto farra</t>
  </si>
  <si>
    <t>100 se llevo hernan</t>
  </si>
  <si>
    <t>mie 9</t>
  </si>
  <si>
    <t xml:space="preserve"> seba</t>
  </si>
  <si>
    <t>ceci gasto 60</t>
  </si>
  <si>
    <t>habia 440</t>
  </si>
  <si>
    <t>-270 mary</t>
  </si>
  <si>
    <t>- 20 uber agus</t>
  </si>
  <si>
    <t>-16 uber leo</t>
  </si>
  <si>
    <t>tutto farra (cortantes pascua)</t>
  </si>
  <si>
    <t>100 gasto h del galicia</t>
  </si>
  <si>
    <t>SAB 12</t>
  </si>
  <si>
    <t>150 se repartio</t>
  </si>
  <si>
    <t>80 retiro h</t>
  </si>
  <si>
    <t>vitalcer h de alm</t>
  </si>
  <si>
    <t>h retira 300</t>
  </si>
  <si>
    <t>panisi bebidas vidrio (se pago con ef del sab)</t>
  </si>
  <si>
    <t>h transfiriio 40k</t>
  </si>
  <si>
    <t>SAB 19/DOM 20</t>
  </si>
  <si>
    <t>120 turno mañana (se repartio)</t>
  </si>
  <si>
    <t>100K SE LLEVO H</t>
  </si>
  <si>
    <t>tutto farra choco</t>
  </si>
  <si>
    <t>124029 USO H FILTROS</t>
  </si>
  <si>
    <t>carrefour leche</t>
  </si>
  <si>
    <t>galicia pagado</t>
  </si>
  <si>
    <t>AUTONOMOS VEP (perido 03)</t>
  </si>
  <si>
    <t>se pago feb/mar/abril</t>
  </si>
  <si>
    <t>ART VEP</t>
  </si>
  <si>
    <t>GASTOS MP</t>
  </si>
  <si>
    <t>GASTOS TRANSFER</t>
  </si>
  <si>
    <t>GASTOS EFT</t>
  </si>
  <si>
    <t>OBSERVACIONES Y NOTAS</t>
  </si>
  <si>
    <t>RETIROS DE CAJA</t>
  </si>
  <si>
    <t>NOTAS</t>
  </si>
  <si>
    <t>RETIROS HERNAN</t>
  </si>
  <si>
    <t>RETIROS CECI</t>
  </si>
  <si>
    <t>puso hernan para alquiler</t>
  </si>
  <si>
    <t>debito de mp</t>
  </si>
  <si>
    <t>fac carne</t>
  </si>
  <si>
    <t>compras desde el galicia</t>
  </si>
  <si>
    <t>SAB 3/DOM 4</t>
  </si>
  <si>
    <t>Se repartio 120 + sueldo juan</t>
  </si>
  <si>
    <t>habia 280 se uso 270 mary sueldo</t>
  </si>
  <si>
    <t>2k chocolate tutto farra</t>
  </si>
  <si>
    <t>cartas breik</t>
  </si>
  <si>
    <t>SAB 10/DOM 11</t>
  </si>
  <si>
    <t>60 se uso para rodri y fabri</t>
  </si>
  <si>
    <t>bolsas?</t>
  </si>
  <si>
    <t>250 se uso para mary</t>
  </si>
  <si>
    <t>SAB 1 /DOM 18</t>
  </si>
  <si>
    <t>pague sueldo de mary de aca</t>
  </si>
  <si>
    <t>habia 330</t>
  </si>
  <si>
    <t>nueo emporio</t>
  </si>
  <si>
    <t>SAB 24/ DOM 25</t>
  </si>
  <si>
    <t>se uso alq</t>
  </si>
  <si>
    <t>totales</t>
  </si>
  <si>
    <t>200 ceci 50 alq</t>
  </si>
  <si>
    <t>EF</t>
  </si>
  <si>
    <t>270 sueldo mary, habia 440</t>
  </si>
  <si>
    <t>galcia</t>
  </si>
  <si>
    <t>SAB 31</t>
  </si>
  <si>
    <t>habia 350</t>
  </si>
  <si>
    <t>150sueldo chris 130laura</t>
  </si>
  <si>
    <t>CHOCO ALPINO</t>
  </si>
  <si>
    <t>puso p alq</t>
  </si>
  <si>
    <t>retiro del galicia</t>
  </si>
  <si>
    <t>LU</t>
  </si>
  <si>
    <t>puso para iva</t>
  </si>
  <si>
    <t>aysa</t>
  </si>
  <si>
    <t>a mp personal de hernan</t>
  </si>
  <si>
    <t xml:space="preserve">MA 3 </t>
  </si>
  <si>
    <t>habia 390 se uso 270 sueldo mary</t>
  </si>
  <si>
    <t>ef</t>
  </si>
  <si>
    <t>transfer del galicia 11/6</t>
  </si>
  <si>
    <t>ef 11/6</t>
  </si>
  <si>
    <t>deuda mp11/6</t>
  </si>
  <si>
    <t>transfer del galicia 12/6</t>
  </si>
  <si>
    <t>transfer del galicia 13/6</t>
  </si>
  <si>
    <t>cucharitas</t>
  </si>
  <si>
    <t>retiro ceci en ef</t>
  </si>
  <si>
    <t>vasitos</t>
  </si>
  <si>
    <t>transfer galicia asado</t>
  </si>
  <si>
    <t>farma costa</t>
  </si>
  <si>
    <t>frutilla</t>
  </si>
  <si>
    <t>ef sab 14</t>
  </si>
  <si>
    <t>Tonner</t>
  </si>
  <si>
    <t>SAB 7 / DOM 8</t>
  </si>
  <si>
    <t>200 se uso para sueldo chris</t>
  </si>
  <si>
    <t>compensado hasta el 14/6</t>
  </si>
  <si>
    <t>transfer galicia 15/6</t>
  </si>
  <si>
    <t>mp 16/6</t>
  </si>
  <si>
    <t>mp 15/6</t>
  </si>
  <si>
    <t>mp 14/6</t>
  </si>
  <si>
    <t>deposito en galicia 17/6</t>
  </si>
  <si>
    <t>galicia 22/6</t>
  </si>
  <si>
    <t>galicia 26/6</t>
  </si>
  <si>
    <t>efectivo caja 25/6</t>
  </si>
  <si>
    <t>galicia 27/6</t>
  </si>
  <si>
    <t>MA10</t>
  </si>
  <si>
    <t>tapas tarta</t>
  </si>
  <si>
    <t>choco tutto farra</t>
  </si>
  <si>
    <t>Habia 100 mas q se llevo hernan</t>
  </si>
  <si>
    <t>use 270 para sueldo mary</t>
  </si>
  <si>
    <t>240 retiro ceci</t>
  </si>
  <si>
    <t>SAB 14 / DOM 15</t>
  </si>
  <si>
    <t>200 Laura</t>
  </si>
  <si>
    <t>pasta fabrica</t>
  </si>
  <si>
    <t>se uso 292 sueldo mary</t>
  </si>
  <si>
    <t>SAB 21/ DOM 22</t>
  </si>
  <si>
    <t>SAB ok</t>
  </si>
  <si>
    <t>se uso 234 sueldo chris</t>
  </si>
  <si>
    <t>tt dice 160 y el sobre tiene 90</t>
  </si>
  <si>
    <t>habia TM 370 se uso 270 sueldo mary</t>
  </si>
  <si>
    <t>SAB 28/ DOM 29</t>
  </si>
  <si>
    <t>SAB TM HABIA 270 SE USO 215 CHRIS</t>
  </si>
  <si>
    <t>Y 30 SEBA</t>
  </si>
  <si>
    <t xml:space="preserve">MIE 2 </t>
  </si>
  <si>
    <t>habia 530 -270 sueldo mary</t>
  </si>
  <si>
    <t>caja tortas tutto farra</t>
  </si>
  <si>
    <t>SAB 5 / DOM 6</t>
  </si>
  <si>
    <t>tm 170, se uso p sueldo seba</t>
  </si>
  <si>
    <t>tt se uso p sueldo chris no se cuanto habia</t>
  </si>
  <si>
    <t>Dom</t>
  </si>
  <si>
    <t>harina almendras vitalcer</t>
  </si>
  <si>
    <t>tm ok</t>
  </si>
  <si>
    <t>tt ok</t>
  </si>
  <si>
    <t>galicia 17/6</t>
  </si>
  <si>
    <t>2/7 mp</t>
  </si>
  <si>
    <t>galicia 4/7</t>
  </si>
  <si>
    <t>mp 4/7</t>
  </si>
  <si>
    <t>MIE 9 FERIADO</t>
  </si>
  <si>
    <t xml:space="preserve">tm y tt </t>
  </si>
  <si>
    <t>galicia 10/7</t>
  </si>
  <si>
    <t>habia 400 se uso para mary</t>
  </si>
  <si>
    <t>deuda de mp que se debito</t>
  </si>
  <si>
    <t>cafe margot galicia 12/7</t>
  </si>
  <si>
    <t>galicia 13/7</t>
  </si>
  <si>
    <t>mp rappi</t>
  </si>
  <si>
    <t>mp 21/7</t>
  </si>
  <si>
    <t>glucosa tutto farra</t>
  </si>
  <si>
    <t>27/7 mp</t>
  </si>
  <si>
    <t>BOLSAS DOYPACK CAFE</t>
  </si>
  <si>
    <t>27/7 galicia</t>
  </si>
  <si>
    <t>29/07/2025 mp</t>
  </si>
  <si>
    <t>31/7 mp</t>
  </si>
  <si>
    <t>1/8 galicia</t>
  </si>
  <si>
    <t>tm habia 250 se uso 160 mary</t>
  </si>
  <si>
    <t>3/08/2025 mp</t>
  </si>
  <si>
    <t>11/8 deuda de mp que se debito</t>
  </si>
  <si>
    <t>tt</t>
  </si>
  <si>
    <t>15/8 mp</t>
  </si>
  <si>
    <t>18/8 galicia edesur</t>
  </si>
  <si>
    <t>-134.5</t>
  </si>
  <si>
    <t>23/8 reparacion auto</t>
  </si>
  <si>
    <t>25/08 galicia</t>
  </si>
  <si>
    <t>26/08/2025 galicia</t>
  </si>
  <si>
    <t>del 18 al 23/8 mp</t>
  </si>
  <si>
    <t>SAB 12 / DOM 13</t>
  </si>
  <si>
    <t>tm 272 se uso para sueldos</t>
  </si>
  <si>
    <t xml:space="preserve">04/09 compesacion </t>
  </si>
  <si>
    <t>credito</t>
  </si>
  <si>
    <t>6/9 retiro de eft</t>
  </si>
  <si>
    <t>13/9 retiro eft</t>
  </si>
  <si>
    <t>13/9 carne asado</t>
  </si>
  <si>
    <t>13/9deuda personal mp</t>
  </si>
  <si>
    <t>20/9 retiro eft</t>
  </si>
  <si>
    <t>tm habia 270 se uso p/ sueldo mary aguinaldo</t>
  </si>
  <si>
    <t>tm</t>
  </si>
  <si>
    <t>SAB 19 / DOM 20</t>
  </si>
  <si>
    <t>el resto se uso p sueldo de chris, mat y seba</t>
  </si>
  <si>
    <t>SAB 110 se uso p/mariana</t>
  </si>
  <si>
    <t>DOM 340 se uso p/mariana</t>
  </si>
  <si>
    <t>tm 370 se uso p/mariana</t>
  </si>
  <si>
    <t>harina de almendras 2k</t>
  </si>
  <si>
    <t>tm 270 se uso p/mariana</t>
  </si>
  <si>
    <t>mouse buganza</t>
  </si>
  <si>
    <t>tt 230 se uso sueldo mary</t>
  </si>
  <si>
    <t>tm 50 se uso sueldo mary</t>
  </si>
  <si>
    <t>SAB 26 / DOM 27</t>
  </si>
  <si>
    <t>200 se uso p/ sueldo de chris</t>
  </si>
  <si>
    <t>tt habia 350 se uso p sueldo mary</t>
  </si>
  <si>
    <t>habia 360-190 (mary) quedo170</t>
  </si>
  <si>
    <t xml:space="preserve">tm </t>
  </si>
  <si>
    <t>vie 1</t>
  </si>
  <si>
    <t>TT</t>
  </si>
  <si>
    <t>TOTAL OTROS GASTOS VARIOS</t>
  </si>
  <si>
    <t>SAB 2 / DOM 3</t>
  </si>
  <si>
    <t>SAB habia 290 se uso 270 para mary</t>
  </si>
  <si>
    <t>400 TM se uso sueldo chris y mat</t>
  </si>
  <si>
    <t>DOM habia 270 se uso alquiler</t>
  </si>
  <si>
    <t>tm habia 440 se uso alquiler</t>
  </si>
  <si>
    <t>SAB 9 / DOM 10</t>
  </si>
  <si>
    <t>breik impresion de menu</t>
  </si>
  <si>
    <t>TM habia 230 se uso 160 p sueldos ok</t>
  </si>
  <si>
    <t>TT ok</t>
  </si>
  <si>
    <t>DOM ok</t>
  </si>
  <si>
    <t>tm habia 270 se uso para sueldo mary</t>
  </si>
  <si>
    <t>tm y tt ok</t>
  </si>
  <si>
    <t>gas aerosol</t>
  </si>
  <si>
    <t>tt habia 160 lo retiro hernan</t>
  </si>
  <si>
    <t>SAB 16/ DOM 17</t>
  </si>
  <si>
    <t>tm y tt habia 430 se deposito todo en galicia para edesur</t>
  </si>
  <si>
    <t>dom habia 170 se uso para suss</t>
  </si>
  <si>
    <t>habia 370 se uso para suss</t>
  </si>
  <si>
    <t>tm se uso para suss</t>
  </si>
  <si>
    <t>tt se uso 70 para mary</t>
  </si>
  <si>
    <t>tt habia 200 se uso para mary</t>
  </si>
  <si>
    <t>tm y tt</t>
  </si>
  <si>
    <t>SAB 23/ DOM 24</t>
  </si>
  <si>
    <t>sobrante de la semana ok</t>
  </si>
  <si>
    <t>dom ok</t>
  </si>
  <si>
    <t>tt se uso p alquiler</t>
  </si>
  <si>
    <t>SAB 30 / DOM 31</t>
  </si>
  <si>
    <t>TOTAL GASTOS VARIOS</t>
  </si>
  <si>
    <t>habia 500 (-270 mary -200 agus tm y tt)</t>
  </si>
  <si>
    <t>la serenisima no se uso</t>
  </si>
  <si>
    <t>SAB 6 /DOM 7</t>
  </si>
  <si>
    <t>,</t>
  </si>
  <si>
    <t>habia 270 se uso p mary tt</t>
  </si>
  <si>
    <t>TM Y TT</t>
  </si>
  <si>
    <t>SAB 13 DOM 14</t>
  </si>
  <si>
    <t>sab tm ok</t>
  </si>
  <si>
    <t>sab tt ok</t>
  </si>
  <si>
    <t>twin papelera</t>
  </si>
  <si>
    <t>SAB 20 DOM 21</t>
  </si>
  <si>
    <t>Sab tm y tt se saco 150 p alquiler</t>
  </si>
  <si>
    <t>y 270 p sueldo mary (quedo110) ok</t>
  </si>
  <si>
    <t>Dom ok</t>
  </si>
  <si>
    <t>se saco 100 para alquiler (quedo 20) ok</t>
  </si>
  <si>
    <t>limpieza LJ</t>
  </si>
  <si>
    <t>SAB 27 DOM 28</t>
  </si>
  <si>
    <t>sab ok</t>
  </si>
  <si>
    <t>MIE 1</t>
  </si>
  <si>
    <t>ef 1/10</t>
  </si>
  <si>
    <t>tt (se uso 270 para mary) 60 quedo</t>
  </si>
  <si>
    <t>transfer 1/10</t>
  </si>
  <si>
    <t>eft 4/10</t>
  </si>
  <si>
    <t>8/10 galicia alquiler</t>
  </si>
  <si>
    <t>deuda personal mp 11/10</t>
  </si>
  <si>
    <t>ef sobre 13/10</t>
  </si>
  <si>
    <t>edesur desde mp 17/10</t>
  </si>
  <si>
    <t>seguro moto h</t>
  </si>
  <si>
    <t>mastercard 17/10</t>
  </si>
  <si>
    <t>Total</t>
  </si>
  <si>
    <t xml:space="preserve">23/10 debito </t>
  </si>
  <si>
    <t>super chino 21/10</t>
  </si>
  <si>
    <t>SAB 4 / DOM 5</t>
  </si>
  <si>
    <t>rappi 22/10</t>
  </si>
  <si>
    <t>tt 130 habia se pago mat</t>
  </si>
  <si>
    <t>claro 22/10</t>
  </si>
  <si>
    <t>py 19/10</t>
  </si>
  <si>
    <t>apple 18/10</t>
  </si>
  <si>
    <t>21/10 daniel eduardo gomez</t>
  </si>
  <si>
    <t>apple 20/10/2025</t>
  </si>
  <si>
    <t>22/10articulos tutto farra cami</t>
  </si>
  <si>
    <t xml:space="preserve">adelanto juan </t>
  </si>
  <si>
    <t>cajas cami figura en cierre 25/10</t>
  </si>
  <si>
    <t>mp 27/10</t>
  </si>
  <si>
    <t>rappi 29/10</t>
  </si>
  <si>
    <t>efectivo 29/10</t>
  </si>
  <si>
    <t>ef 18/11</t>
  </si>
  <si>
    <t>transfer tarjeta</t>
  </si>
  <si>
    <t>28/11 pizzeria galicia</t>
  </si>
  <si>
    <t>bocanada 28/11 galicia</t>
  </si>
  <si>
    <t>Cubetera 6/11</t>
  </si>
  <si>
    <t>transfer lau 6/11</t>
  </si>
  <si>
    <t>ef 8/11</t>
  </si>
  <si>
    <t>el deposito en galicia era de 360 pero se depositaron 320</t>
  </si>
  <si>
    <t>rh vie 8/11 en maxirest?</t>
  </si>
  <si>
    <t>temple galicia 3/12</t>
  </si>
  <si>
    <t>2/12 gañicia x mp</t>
  </si>
  <si>
    <t>1/12 transf galicia a mp personal</t>
  </si>
  <si>
    <t>seguro moto</t>
  </si>
  <si>
    <t>g suit</t>
  </si>
  <si>
    <t>25/11 galicia</t>
  </si>
  <si>
    <t>apple mp</t>
  </si>
  <si>
    <t>25/11 debin galicia?</t>
  </si>
  <si>
    <t>20/11 debin galicia?</t>
  </si>
  <si>
    <t>6/12 pago metrogas de bbva</t>
  </si>
  <si>
    <t>6/12 ef</t>
  </si>
  <si>
    <t>12/12 ef</t>
  </si>
  <si>
    <t>py 11/12</t>
  </si>
  <si>
    <t>10/12 transfer galicia</t>
  </si>
  <si>
    <t>h se llevo 200 y yo 80, la dif es 120 13/12/2025</t>
  </si>
  <si>
    <t>deuda mp hasta sab 20 10.29am</t>
  </si>
  <si>
    <t>lengua y peceto 20/12</t>
  </si>
  <si>
    <t>luz proyector 15/12 efete</t>
  </si>
  <si>
    <t>retiro h 30/12</t>
  </si>
  <si>
    <t>farma costa 2/1</t>
  </si>
  <si>
    <t>retira cami 29/12 era para h</t>
  </si>
  <si>
    <t>ef 3/1</t>
  </si>
  <si>
    <t>30/12 golosinas pan dulce</t>
  </si>
  <si>
    <t>20/1 galicia</t>
  </si>
  <si>
    <t>21/1 MP AMBOS</t>
  </si>
  <si>
    <t>galicia 21/1 y 22/1</t>
  </si>
  <si>
    <t>galicia 23/1</t>
  </si>
  <si>
    <t>h uso 23/1 galicia y c compenso en ef</t>
  </si>
  <si>
    <t>h ef 24/1</t>
  </si>
  <si>
    <t>26/1 galicia</t>
  </si>
  <si>
    <t>SAB 11/ DOM 12</t>
  </si>
  <si>
    <t>tm se uso para mary</t>
  </si>
  <si>
    <t>tt OK se uso 100 hernan</t>
  </si>
  <si>
    <t>horno pauna service</t>
  </si>
  <si>
    <t>tt OK</t>
  </si>
  <si>
    <t xml:space="preserve"> TT OK</t>
  </si>
  <si>
    <t>tm OK</t>
  </si>
  <si>
    <t>SAB 18/ DOM 19</t>
  </si>
  <si>
    <t>tm se repartio el jueves 200</t>
  </si>
  <si>
    <t>tm oki</t>
  </si>
  <si>
    <t>SAB 25/DOM 26</t>
  </si>
  <si>
    <t>tt habia 200 se uso alquiler</t>
  </si>
  <si>
    <t>tm habia 400 se uso mary los 400</t>
  </si>
  <si>
    <t>tt  habia 210retiramos hernan y ceci</t>
  </si>
  <si>
    <t>tt ok, el sobre decia 210 habia 200</t>
  </si>
  <si>
    <t>tt  habia 200, 100 se uso mary ok</t>
  </si>
  <si>
    <t>SAB 1 / DOM 2</t>
  </si>
  <si>
    <t>TM</t>
  </si>
  <si>
    <t>hasta aca quedo 490 en ef</t>
  </si>
  <si>
    <t>SAB 8 /DOM9</t>
  </si>
  <si>
    <t>dom OK</t>
  </si>
  <si>
    <t>lu 10</t>
  </si>
  <si>
    <t>ma 11</t>
  </si>
  <si>
    <t xml:space="preserve">harina de almendras </t>
  </si>
  <si>
    <t>transfer a Agustín 33660</t>
  </si>
  <si>
    <t>TT OK</t>
  </si>
  <si>
    <t>jue 13</t>
  </si>
  <si>
    <t>vie 14</t>
  </si>
  <si>
    <t>TM OK</t>
  </si>
  <si>
    <t>tt OK se uso para sueldo milo</t>
  </si>
  <si>
    <t>sab 15/ dom 16</t>
  </si>
  <si>
    <t>sab ok habia 220 ok</t>
  </si>
  <si>
    <t>tm cami ok</t>
  </si>
  <si>
    <t>pampa vida</t>
  </si>
  <si>
    <t>SAB 22 / DOM 23</t>
  </si>
  <si>
    <t>tm y tt OK</t>
  </si>
  <si>
    <t>SAB 29/ DOM 30</t>
  </si>
  <si>
    <t>quedo descontando alquiler 700</t>
  </si>
  <si>
    <t>tt, se usaron?</t>
  </si>
  <si>
    <t xml:space="preserve">matafuegos </t>
  </si>
  <si>
    <t>fito maq cafe</t>
  </si>
  <si>
    <t>200 tm se uso milo y seba</t>
  </si>
  <si>
    <t>lu 8</t>
  </si>
  <si>
    <t>tm?</t>
  </si>
  <si>
    <t>ma 9</t>
  </si>
  <si>
    <t xml:space="preserve">tt </t>
  </si>
  <si>
    <t>mie 10</t>
  </si>
  <si>
    <t>tm (se uso 270 mary)</t>
  </si>
  <si>
    <t>retiro hernan 100 en ef</t>
  </si>
  <si>
    <t>cobo licuadora</t>
  </si>
  <si>
    <t>SAB 13/ DOM14</t>
  </si>
  <si>
    <t>damian heladera</t>
  </si>
  <si>
    <t>cacao vitalcer</t>
  </si>
  <si>
    <t>tt se usó 200 para cafe OK</t>
  </si>
  <si>
    <t>cintas pablo bustamante</t>
  </si>
  <si>
    <t>SAB 20 / DOM 21</t>
  </si>
  <si>
    <t>tm OK se uso sueldos</t>
  </si>
  <si>
    <t>feriado</t>
  </si>
  <si>
    <t>SAB 27/ DOM 28</t>
  </si>
  <si>
    <t>tt alq</t>
  </si>
  <si>
    <t xml:space="preserve">tm ok </t>
  </si>
  <si>
    <t>tm alq</t>
  </si>
  <si>
    <t>vie 2</t>
  </si>
  <si>
    <t>tm ok se uso para mary</t>
  </si>
  <si>
    <t>sab 3/dom4</t>
  </si>
  <si>
    <t>50 se uso para milo</t>
  </si>
  <si>
    <r>
      <rPr>
        <b/>
        <sz val="8.0"/>
      </rPr>
      <t xml:space="preserve">RAPPI </t>
    </r>
    <r>
      <rPr>
        <b/>
        <color rgb="FFFF0000"/>
        <sz val="8.0"/>
      </rPr>
      <t>PAGO-ONLINE</t>
    </r>
  </si>
  <si>
    <r>
      <rPr>
        <b/>
        <sz val="8.0"/>
      </rPr>
      <t xml:space="preserve">PEDIDOSYA </t>
    </r>
    <r>
      <rPr>
        <b/>
        <color rgb="FFFF0000"/>
        <sz val="8.0"/>
      </rPr>
      <t>PAGO-ONLINE</t>
    </r>
  </si>
  <si>
    <t>no se hizo cierre parte es del sab TM</t>
  </si>
  <si>
    <t>paro nacional</t>
  </si>
  <si>
    <t>SAB 3 / DOM 4</t>
  </si>
  <si>
    <t>TM, 50 se uso para milo 160 mary</t>
  </si>
  <si>
    <t>habia 160 se uso para pagar cafe</t>
  </si>
  <si>
    <t>TM ok</t>
  </si>
  <si>
    <t>380 TM se uso todo p mary</t>
  </si>
  <si>
    <t>TTok</t>
  </si>
  <si>
    <t>limpieza campana, debe certif</t>
  </si>
  <si>
    <t>SAB 10 / DOM 11</t>
  </si>
  <si>
    <t xml:space="preserve">TM </t>
  </si>
  <si>
    <t>TT habia 260 se uso 140 cafe OK</t>
  </si>
  <si>
    <t>DOM OK</t>
  </si>
  <si>
    <t>LU12</t>
  </si>
  <si>
    <t>TM habia 270 se uso mary</t>
  </si>
  <si>
    <t>TT habia 200 se uso 80 cafe OK</t>
  </si>
  <si>
    <t>SAB 17 / DOM 18</t>
  </si>
  <si>
    <t>SAB TM habia 140, 40 se uso para milo ok</t>
  </si>
  <si>
    <t>SAB TT ok</t>
  </si>
  <si>
    <t>PAPELERA SAN CRISTOBAL</t>
  </si>
  <si>
    <t>TM habia 140, 80 se uso para cafe ok</t>
  </si>
  <si>
    <t>TM habia 200 uso h100 y c 100</t>
  </si>
  <si>
    <t>TM habia 212 se uso 42 la sere ok</t>
  </si>
  <si>
    <t>TM habia 160 se uso sueldo pris</t>
  </si>
  <si>
    <t>TT habia 190 se uso 113 milkaut y 70 sueldo cami</t>
  </si>
  <si>
    <t>habia 90, se uso 70 semas</t>
  </si>
  <si>
    <t>Ef 27/1 ambos</t>
  </si>
  <si>
    <t>Mp 29/1</t>
  </si>
  <si>
    <t>Galicia 29/1</t>
  </si>
  <si>
    <t>29/1 tome credito de mp para pagar abl y expensas</t>
  </si>
  <si>
    <t>19/2 hernan puso para pagar suss e iva</t>
  </si>
  <si>
    <t>TM (habia 210) OK</t>
  </si>
  <si>
    <t>TT habia 200 se uso 110 agunaldo pris OK</t>
  </si>
  <si>
    <t>queso parmesano</t>
  </si>
  <si>
    <t>TM habia 200, 100 retiro lau OK</t>
  </si>
  <si>
    <t>ensaladeras breik</t>
  </si>
  <si>
    <t>TT habia 70 se uso sueldo mary</t>
  </si>
  <si>
    <t>TM habia 400 se uso 200 agui cami 200 sueldo mary</t>
  </si>
  <si>
    <t>TM y TT (habia 490) OK</t>
  </si>
  <si>
    <t>SAB 7</t>
  </si>
  <si>
    <t>TM habia 150se uso sueldos</t>
  </si>
  <si>
    <t>TT habia 300 se uso alquiler</t>
  </si>
  <si>
    <t>TM habia 260 se uso alquiler</t>
  </si>
  <si>
    <t>Hernan puso 140k para alq hacer transfer</t>
  </si>
  <si>
    <t>papelera san cristobal</t>
  </si>
  <si>
    <t>TM habia 250 se uso sueldo mary</t>
  </si>
  <si>
    <t>TT habia 170, se uso 140 cafe</t>
  </si>
  <si>
    <t>TT habia 220 se uso sueldo mary 20 h 100 y c 100</t>
  </si>
  <si>
    <t>SAB 14</t>
  </si>
  <si>
    <t>1280 hasta aca</t>
  </si>
  <si>
    <t>120 se uso priscila TT</t>
  </si>
  <si>
    <t>TM y TT</t>
  </si>
  <si>
    <t>SAB 21</t>
  </si>
  <si>
    <t>TM 340 iva</t>
  </si>
  <si>
    <t>TM habia 220 se uso para el cafe</t>
  </si>
  <si>
    <t>marcelo reparacion aire</t>
  </si>
  <si>
    <t>TT habia 150 se uso50k la sere</t>
  </si>
  <si>
    <t>TM habia 300 se uso 210 semas</t>
  </si>
  <si>
    <t>90 iva</t>
  </si>
  <si>
    <t>TT 200 se uso iva</t>
  </si>
  <si>
    <t>TT 200 habia se uso pagos milk y la sere</t>
  </si>
  <si>
    <t>SAB 28</t>
  </si>
  <si>
    <t>cierre parcial 13:40hs</t>
  </si>
  <si>
    <t>se uso milkaut</t>
  </si>
  <si>
    <t>TM habia 180 se uso pris</t>
  </si>
  <si>
    <t>TT habia 220 se uso herrero y bebida</t>
  </si>
  <si>
    <t>HERRERO</t>
  </si>
  <si>
    <t>TM habia 350 se uso mary</t>
  </si>
  <si>
    <t>TM habia 200 se uso mary</t>
  </si>
  <si>
    <t>TT habia 180 -70 cafe</t>
  </si>
  <si>
    <t>vitalcer sal en escamas</t>
  </si>
  <si>
    <t>TT habia 200, se pago serenisima 50 ok</t>
  </si>
  <si>
    <t>TM 14:20hs se uso sueldos</t>
  </si>
  <si>
    <t>habia 230se uso 100 alquiler</t>
  </si>
  <si>
    <t>habia 300 se uso 140 y 100 en bebidas y semas</t>
  </si>
  <si>
    <t>TT falta el sobre</t>
  </si>
  <si>
    <t>TT habia 250 se uso 52 huevos</t>
  </si>
  <si>
    <t xml:space="preserve">TM se uso sueldos </t>
  </si>
  <si>
    <t>TT se uso 70 milkaut quedo 60 ok</t>
  </si>
  <si>
    <t>TM se usó sueldo mary</t>
  </si>
  <si>
    <t>200 habia se uso para priscila</t>
  </si>
  <si>
    <t>TT habia 110 se uso cafe ok</t>
  </si>
  <si>
    <t>TM se uso 170 mary quedo 40 ok</t>
  </si>
  <si>
    <t>TT se uso 20 hielo quedo 200 ok</t>
  </si>
  <si>
    <t>TM se uso sueldo</t>
  </si>
  <si>
    <t>TT habia 120 se uso 50 pri ok</t>
  </si>
  <si>
    <t>TM y TT habia 300, se uso 200 leo ok</t>
  </si>
  <si>
    <t>TM yTT ok</t>
  </si>
  <si>
    <t>230 se uso 100 alq y 130pri</t>
  </si>
  <si>
    <t>habia 600 TM y TT se uso 140 cafe y 270 mary ok</t>
  </si>
  <si>
    <t>TM habia 120 retiro h</t>
  </si>
  <si>
    <t>TM Y TT ok</t>
  </si>
  <si>
    <t>MIE1</t>
  </si>
  <si>
    <t>TM y TT ok</t>
  </si>
  <si>
    <t>LUN 13</t>
  </si>
  <si>
    <t>270 MARY OK</t>
  </si>
  <si>
    <t>110 LA SERENISIMA OK</t>
  </si>
  <si>
    <t>144 CAFE OK</t>
  </si>
  <si>
    <t>80 LEO 200 JUAN OK</t>
  </si>
  <si>
    <t>MIER 15</t>
  </si>
  <si>
    <t>240 BEBIDA 30 MARY OK</t>
  </si>
  <si>
    <t>130 LEO OK</t>
  </si>
  <si>
    <t>240 MARY OK</t>
  </si>
  <si>
    <t>TT ALQ B</t>
  </si>
  <si>
    <t>LUN 2O</t>
  </si>
  <si>
    <t>TM y TT ALQ B</t>
  </si>
  <si>
    <t>TT -110 CAFE</t>
  </si>
  <si>
    <t>LUN 27</t>
  </si>
  <si>
    <t>100 DEPBCO mary</t>
  </si>
  <si>
    <t>MIER 29</t>
  </si>
  <si>
    <t>110 cafe + 130 mary</t>
  </si>
  <si>
    <t>200 j + 50 M</t>
  </si>
  <si>
    <t>Lun 4</t>
  </si>
  <si>
    <t>Mier 6</t>
  </si>
  <si>
    <t>Cafe y Mary</t>
  </si>
  <si>
    <t>Jue 7</t>
  </si>
  <si>
    <t>Vier 8</t>
  </si>
  <si>
    <t>ESTADO DE CUENTA: SERVICIOS Y GASTOS FIJOS</t>
  </si>
  <si>
    <t>SERVICIO</t>
  </si>
  <si>
    <t>1ER VTO</t>
  </si>
  <si>
    <t>2DO VTO</t>
  </si>
  <si>
    <t>MONTO</t>
  </si>
  <si>
    <t>ESTADO DE PAGO</t>
  </si>
  <si>
    <t>MODO DE PAGO</t>
  </si>
  <si>
    <t>ESTADO DE VTO</t>
  </si>
  <si>
    <t>DIAS DDE VTO</t>
  </si>
  <si>
    <t>DEBITO AUTOMATICO</t>
  </si>
  <si>
    <t>EDESUR del mes</t>
  </si>
  <si>
    <t>mercado pago</t>
  </si>
  <si>
    <t>EDESUR adeudado</t>
  </si>
  <si>
    <t>transferencia</t>
  </si>
  <si>
    <t>se pago el 2/6</t>
  </si>
  <si>
    <t>METROGAS del mes 4</t>
  </si>
  <si>
    <t>METROGAS del mes 5</t>
  </si>
  <si>
    <t>METROGAS plan de pago 3/6</t>
  </si>
  <si>
    <t>Hay una hoja (en local) con codigo de barra para pagar</t>
  </si>
  <si>
    <t>AYSA</t>
  </si>
  <si>
    <t>METROTEL</t>
  </si>
  <si>
    <t>debito automatico</t>
  </si>
  <si>
    <t>efectivo</t>
  </si>
  <si>
    <t>se pago 2/6</t>
  </si>
  <si>
    <t>ABL</t>
  </si>
  <si>
    <t>ART</t>
  </si>
  <si>
    <t>CARGAS SOCIALES periodo 4</t>
  </si>
  <si>
    <t>vep</t>
  </si>
  <si>
    <t>UTHGRA cuota sindical</t>
  </si>
  <si>
    <t>UTHGRA seguro y sepelio</t>
  </si>
  <si>
    <t>UTHGRA fehgra</t>
  </si>
  <si>
    <t>IVA periodo 2 (PAGO A CTA)</t>
  </si>
  <si>
    <t>se pago 500000 a cuenta</t>
  </si>
  <si>
    <t>PLANES iva y cargas sociales</t>
  </si>
  <si>
    <t>AUTONOMOS</t>
  </si>
  <si>
    <t>IIBB</t>
  </si>
  <si>
    <t xml:space="preserve">DESDE OFICINA VIRTUAL </t>
  </si>
  <si>
    <t>METROGAS plan de pago 4/6</t>
  </si>
  <si>
    <t>CARGAS SOCIALES periodo 5</t>
  </si>
  <si>
    <t>IVA periodo 3</t>
  </si>
  <si>
    <t>IIBB PERIDO 5</t>
  </si>
  <si>
    <t>IVA PERIODO 2 (SALDO RESTANTE)</t>
  </si>
  <si>
    <t>EDESUR saldo pendiente</t>
  </si>
  <si>
    <t xml:space="preserve">METROGAS del mes </t>
  </si>
  <si>
    <t>METROTEL (CPS comunicaciones)</t>
  </si>
  <si>
    <t>IIBB PERIDO 6</t>
  </si>
  <si>
    <t>edesur adeudado</t>
  </si>
  <si>
    <t>maxirest (deuda 12/24)</t>
  </si>
  <si>
    <t>CARGAS SOCIALES periodo 7</t>
  </si>
  <si>
    <t xml:space="preserve">IVA periodo </t>
  </si>
  <si>
    <t>IIBB periodo 7</t>
  </si>
  <si>
    <t>GSUIT ARTHUR</t>
  </si>
  <si>
    <t>GSUIT HERNAN</t>
  </si>
  <si>
    <t>CANVA</t>
  </si>
  <si>
    <t xml:space="preserve">CARGAS SOCIALES periodo </t>
  </si>
  <si>
    <t>METROGAS (adeudado)</t>
  </si>
  <si>
    <t>AYSA (plan de pagos)</t>
  </si>
  <si>
    <t>METROGAS del mes</t>
  </si>
  <si>
    <t>se pago el 9/2</t>
  </si>
  <si>
    <t xml:space="preserve">EDESUR PLAN DE PAGO anticipo </t>
  </si>
  <si>
    <t>luego 6 cuotas de 241526,36</t>
  </si>
  <si>
    <t>CARGAS SOCIALES periodo 12</t>
  </si>
  <si>
    <t>IVA periodo 11</t>
  </si>
  <si>
    <r>
      <rPr>
        <b/>
        <color rgb="FFFF0000"/>
        <sz val="12.0"/>
      </rPr>
      <t xml:space="preserve">      </t>
    </r>
    <r>
      <rPr>
        <b/>
        <color rgb="FFFFFFFF"/>
        <sz val="12.0"/>
      </rPr>
      <t xml:space="preserve">     BALANCE MENSUAL</t>
    </r>
    <r>
      <rPr>
        <b/>
        <color rgb="FFFF0000"/>
        <sz val="12.0"/>
      </rPr>
      <t>L</t>
    </r>
  </si>
  <si>
    <t>CATEGORIA</t>
  </si>
  <si>
    <t>INGRESOS BRUTOS</t>
  </si>
  <si>
    <t xml:space="preserve">IMPUESTOS Y PERECEPCIONES (TARJETAS) PROM 10% </t>
  </si>
  <si>
    <t xml:space="preserve">IMPUESTOS Y PERECEPCIONES (MP) PROM 8% </t>
  </si>
  <si>
    <t>IMPUESTOS Y PERCEPCIONES (RAPPI) 50%</t>
  </si>
  <si>
    <t>INGRESOS NETOS</t>
  </si>
  <si>
    <t>VALORES IDEALES</t>
  </si>
  <si>
    <t>INGRESOS</t>
  </si>
  <si>
    <t>VENTAS CONTADO</t>
  </si>
  <si>
    <t>VENTAS TARJETA</t>
  </si>
  <si>
    <t>VENTAS MERCADO PAGO</t>
  </si>
  <si>
    <t>VENTAS X APPS</t>
  </si>
  <si>
    <t>OTROS INGRESOS (ALE)</t>
  </si>
  <si>
    <t>TOTAL INGRESOS</t>
  </si>
  <si>
    <t>EGRESOS</t>
  </si>
  <si>
    <t>% SOBRE VENTAS</t>
  </si>
  <si>
    <t>COSTOS VARIABLES</t>
  </si>
  <si>
    <t>MATERIA PRIMA</t>
  </si>
  <si>
    <t>INSUMOS DESCARTABLES</t>
  </si>
  <si>
    <t>BEBIDAS</t>
  </si>
  <si>
    <t>LIMPIEZA</t>
  </si>
  <si>
    <t>OTROS GASTOS VARIOS</t>
  </si>
  <si>
    <t>TOTAL COSTOS VARIABLES</t>
  </si>
  <si>
    <t>entre 30 y 35%</t>
  </si>
  <si>
    <t>MARGEN BRUTO (GANANCIA ANTES DE GASTOS FIJOS)</t>
  </si>
  <si>
    <t>ALQUILER</t>
  </si>
  <si>
    <t>SUELDOS (CON AGUINALDOS)</t>
  </si>
  <si>
    <t>IMPREVISTOS (LIQUIDACION MARIANA)</t>
  </si>
  <si>
    <t>CARGAS SOCIALES Y ART</t>
  </si>
  <si>
    <t>SERVICIOS (EDE-METROG-METROT-AYSA-FLOW)</t>
  </si>
  <si>
    <t>GSUIT Y CANVA</t>
  </si>
  <si>
    <t>SISTEMA DE ALARMA</t>
  </si>
  <si>
    <t>SISTEMA DE FACTURACION</t>
  </si>
  <si>
    <t>SEGURO (MAPFRE)</t>
  </si>
  <si>
    <t>HONORARIOS CONTABLES</t>
  </si>
  <si>
    <t>TOTAL COSTOS FIJOS</t>
  </si>
  <si>
    <t>RESULTADO OPERATIVO (GANANCIA ANTES IMPUESTOS)</t>
  </si>
  <si>
    <t>IMPUESTOS</t>
  </si>
  <si>
    <t>PLAN DE PAGO DE IVA + CARGAS SOC</t>
  </si>
  <si>
    <t xml:space="preserve"> DEUDA UVA CIUDAD</t>
  </si>
  <si>
    <t>TOTAL IMPUESTOS</t>
  </si>
  <si>
    <t>RESULTADO NETO (GANANCIA FINAL)</t>
  </si>
  <si>
    <t>RENTABILIDAD NETA (%)</t>
  </si>
  <si>
    <t>&lt; 3 mala &gt; 5 buena &gt; 12 muy buena</t>
  </si>
  <si>
    <t>MARGEN DE CONTRIBUCION</t>
  </si>
  <si>
    <t>1-(COSTOS VARIABLES + IMPUESTOS)</t>
  </si>
  <si>
    <t>PUNTO DE EQUILIBRIO</t>
  </si>
  <si>
    <t>COSTOS FIJOS / MARGEN DE CONTRIBUC</t>
  </si>
  <si>
    <r>
      <rPr>
        <b/>
        <color rgb="FFFF0000"/>
        <sz val="12.0"/>
      </rPr>
      <t xml:space="preserve">      </t>
    </r>
    <r>
      <rPr>
        <b/>
        <color rgb="FFFFFFFF"/>
        <sz val="12.0"/>
      </rPr>
      <t xml:space="preserve">     BALANCE MENSUAL</t>
    </r>
    <r>
      <rPr>
        <b/>
        <color rgb="FFFF0000"/>
        <sz val="12.0"/>
      </rPr>
      <t>L</t>
    </r>
  </si>
  <si>
    <t>SUELDOS</t>
  </si>
  <si>
    <t xml:space="preserve">IMPREVISTOS </t>
  </si>
  <si>
    <t>CARGAS SOCIALES Y SINDICATO UTHGRA</t>
  </si>
  <si>
    <t>FALTA</t>
  </si>
  <si>
    <t>Plan de achique</t>
  </si>
  <si>
    <r>
      <rPr>
        <b/>
        <color rgb="FFFF0000"/>
        <sz val="12.0"/>
      </rPr>
      <t xml:space="preserve">      </t>
    </r>
    <r>
      <rPr>
        <b/>
        <color rgb="FFFFFFFF"/>
        <sz val="12.0"/>
      </rPr>
      <t xml:space="preserve">     BALANCE MENSUAL</t>
    </r>
    <r>
      <rPr>
        <b/>
        <color rgb="FFFF0000"/>
        <sz val="12.0"/>
      </rPr>
      <t>L</t>
    </r>
  </si>
  <si>
    <t>2do PLAN DE PAGO DE IVA + CARGAS SOC</t>
  </si>
  <si>
    <r>
      <rPr>
        <b/>
        <color rgb="FFFF0000"/>
        <sz val="12.0"/>
      </rPr>
      <t xml:space="preserve">      </t>
    </r>
    <r>
      <rPr>
        <b/>
        <color rgb="FFFFFFFF"/>
        <sz val="12.0"/>
      </rPr>
      <t xml:space="preserve">     BALANCE MENSUAL</t>
    </r>
    <r>
      <rPr>
        <b/>
        <color rgb="FFFF0000"/>
        <sz val="12.0"/>
      </rPr>
      <t>L</t>
    </r>
  </si>
  <si>
    <t>OTROS INGRESOS (KRIPTON)</t>
  </si>
  <si>
    <t xml:space="preserve">OTROS GASTOS VARIOS </t>
  </si>
  <si>
    <t>IMPREVISTOS (MANTENIMIENTO ETC)</t>
  </si>
  <si>
    <t>SISTEMA DE ALARMA (VERISURE)</t>
  </si>
  <si>
    <t>SISTEMA DE FACTURACION (MAXIREST)</t>
  </si>
  <si>
    <t xml:space="preserve">PLAN DE PAGO DE IVA </t>
  </si>
  <si>
    <t>ESTADO DE CUENTA:   VICTORIA TOLA ROMERO</t>
  </si>
  <si>
    <t>TOTALES MENSUALES</t>
  </si>
  <si>
    <t>CVU MP: 0000003100095299853174</t>
  </si>
  <si>
    <t>FAC Nº</t>
  </si>
  <si>
    <t>VENCIMIENTO</t>
  </si>
  <si>
    <t>jorge delfin armijo nuevo mp</t>
  </si>
  <si>
    <t>ESTADO DE CUENTA:   Q U I N T E L A // RAZON SOCIAL: ARIEL HERNAN QUINTELA</t>
  </si>
  <si>
    <t>CBU GALICIA: 0070028320000008472717</t>
  </si>
  <si>
    <t>ND2284</t>
  </si>
  <si>
    <t>nota de debito reemplazo cheque N556864 + gastos</t>
  </si>
  <si>
    <t>falta descontar x NC 18631,11 de 10lt aceite girasol</t>
  </si>
  <si>
    <t>a esta fac le desconte la nota de credito x los tomates x 64644,25</t>
  </si>
  <si>
    <t xml:space="preserve">desconte la NC 13857 </t>
  </si>
  <si>
    <t>NO PAGAR</t>
  </si>
  <si>
    <t>NC crema</t>
  </si>
  <si>
    <t>ESTADO DE CUENTA:   LA SERENISIMA</t>
  </si>
  <si>
    <t>ESTADO DE CUENTA:   O R M A Z A B A L // RAZON SOCIAL : JOSE ORMAZABAL SRL</t>
  </si>
  <si>
    <t>CBU BCO NACION:0110656120065600078826</t>
  </si>
  <si>
    <t>pedido x 15 dias</t>
  </si>
  <si>
    <t>nc 630</t>
  </si>
  <si>
    <t>esta nc hay q descontarla del monto a pagar</t>
  </si>
  <si>
    <t>ESTADO DE CUENTA:   DISTRIBUIDORA LJ // RAZON SOCIAL : MIGUEL ANGEL DAVID</t>
  </si>
  <si>
    <t>CBU BCO PROVINCIA: 0140010603401052103995 ALIAS:SPINETTA.JADE58</t>
  </si>
  <si>
    <t>ESTADO DE CUENTA:   LA REDENCION // RAZON SOCIAL: CRISCOLO PEDRO</t>
  </si>
  <si>
    <t>CBU SANTANDER: 0720519488000035446572 / ALIAS: LAREDENCION</t>
  </si>
  <si>
    <t>esta fac el 4 pero entregaron el 8</t>
  </si>
  <si>
    <t>remito</t>
  </si>
  <si>
    <t>ESTADO DE CUENTA:   COCA COLA // RAZON SOCIAL: FEMSA</t>
  </si>
  <si>
    <t>R</t>
  </si>
  <si>
    <t>ESTADO DE CUENTA:   POLLO MIGUEL / RAZON SOCIAL: SILVIA RAQUEL DELGADO</t>
  </si>
  <si>
    <t>CBU: 0110018130001817358897 ALIAS: GRANJASANMIGUEL</t>
  </si>
  <si>
    <t>falta fac</t>
  </si>
  <si>
    <t>confirmar si esta paga</t>
  </si>
  <si>
    <t>ESTADO DE CUENTA:   FEDERICO CARNE / RAZON SOCIAL: HEREFORD PAMPA SRL</t>
  </si>
  <si>
    <t xml:space="preserve">ALIAS: H.PAMPA.SRL / CBU: 00700085200000019981262 </t>
  </si>
  <si>
    <t>asado hernan</t>
  </si>
  <si>
    <t>ESTADO DE CUENTA:   EMER // RAZON SOCIAL: APROSEM CAFE Y CACAO</t>
  </si>
  <si>
    <t>CBU GALICIA: 007161320000007634011</t>
  </si>
  <si>
    <t>ESTADO DE CUENTA:   PORTO ESPRESO // RAZON SOCIAL: TOSTADERO PORTO ESPRESO SA</t>
  </si>
  <si>
    <t>CBU:0070186620000002168597 ALIAS:PORTOESPRESO-GAL</t>
  </si>
  <si>
    <t>R274</t>
  </si>
  <si>
    <t>R280</t>
  </si>
  <si>
    <t>r291</t>
  </si>
  <si>
    <t>para ellos</t>
  </si>
  <si>
    <t>A FAVOR</t>
  </si>
  <si>
    <t>realidad</t>
  </si>
  <si>
    <t>R293</t>
  </si>
  <si>
    <t>se pago 136 treniamos 10 a favor</t>
  </si>
  <si>
    <t>R299</t>
  </si>
  <si>
    <t>R305</t>
  </si>
  <si>
    <t>R320</t>
  </si>
  <si>
    <t>R332</t>
  </si>
  <si>
    <t>R340</t>
  </si>
  <si>
    <t>R344</t>
  </si>
  <si>
    <t>R352</t>
  </si>
  <si>
    <t>R357</t>
  </si>
  <si>
    <t>R371</t>
  </si>
  <si>
    <t>R623</t>
  </si>
  <si>
    <t>ESTADO DE CUENTA:   M A N T E C A // RAZON SOCIAL: PARADA O BERMUDEZ</t>
  </si>
  <si>
    <t>CBU SANTANDER: 0720175820000002789136</t>
  </si>
  <si>
    <t>fecha de pago</t>
  </si>
  <si>
    <t>ESTADO DE CUENTA:   C R I O L L O  /  H O R E C A</t>
  </si>
  <si>
    <t>CRIOLLO CBU CREDICCOP: 1910057555005702004132 / HORECA CBU CREDICCOP: 1910057555005700192882</t>
  </si>
  <si>
    <t>EMPRESA</t>
  </si>
  <si>
    <t>CRIOLLO</t>
  </si>
  <si>
    <t>HORECA</t>
  </si>
  <si>
    <t>cRIOLLO</t>
  </si>
  <si>
    <t>ESTADO DE CUENTA:   HARINA DEL ROSARIO // RAZON SOCIAL: BAIGORRI Y DELGIUDICE</t>
  </si>
  <si>
    <t>CBU GALICIA: 0070027620000007434413</t>
  </si>
  <si>
    <t>ESTADO DE CUENTA:  SYRUPS // MESSIAN SRL</t>
  </si>
  <si>
    <t>CBU BCO MACRO: 2850664330094196617051 / ALIAS: MESSIAN</t>
  </si>
  <si>
    <t>R4068</t>
  </si>
  <si>
    <t>R4485</t>
  </si>
  <si>
    <t>R5171</t>
  </si>
  <si>
    <t>ESTADO DE CUENTA:  M I L K A U T  //  RAZON SOCIAL: ALBEAN SA</t>
  </si>
  <si>
    <t>ESTADO DE CUENTA:  W R A P S  //  RAZON SOCIAL: ROSSI SEBASTIAN</t>
  </si>
  <si>
    <t>ESTADO DE CUENTA:  C U Y A I R E S</t>
  </si>
  <si>
    <t>CBU GALICIA: 0070028320000010186499</t>
  </si>
  <si>
    <t>ESTADO DE CUENTA:  SEMAS // DISTRIBUIDORA SEMAS SA</t>
  </si>
  <si>
    <t>CBU: 0070180420000007724499 / ALIAS: SEMAS.RIFKA</t>
  </si>
  <si>
    <t>la fac es de 125361 y se resto lo que pagaron los chicos x mp 72889</t>
  </si>
  <si>
    <t>fecha de entrega</t>
  </si>
  <si>
    <t>hay una transfer</t>
  </si>
  <si>
    <t xml:space="preserve">hay una transfer </t>
  </si>
  <si>
    <t>transfer mp</t>
  </si>
  <si>
    <t>transfer p quedar en 0</t>
  </si>
  <si>
    <t>se pago otra vez</t>
  </si>
  <si>
    <t xml:space="preserve"> ANULADA</t>
  </si>
  <si>
    <t>pedimos panceta y entrego queso cremoso</t>
  </si>
  <si>
    <t xml:space="preserve">ESTADO DE CUENTA:  HIELO </t>
  </si>
  <si>
    <t>la polar</t>
  </si>
  <si>
    <t>ESTADO DE CUENTA:  HUEVO // VERA MARCELO FABIAN</t>
  </si>
  <si>
    <t>CVU MP: 0000003100039946738254</t>
  </si>
  <si>
    <t>se pidio extra x vacaciones</t>
  </si>
  <si>
    <t>NUEVO PROV</t>
  </si>
  <si>
    <t>ESTADO DE CUENTA:  FERAS // ICE FERAS SRL</t>
  </si>
  <si>
    <t>CBU FRANCES: 0170318220000032044670</t>
  </si>
  <si>
    <t>ESTADO DE CUENTA: DISTRIBUIDORA ALMAFUERTE WECKL // SEBASTIAN DANIEL WECKL</t>
  </si>
  <si>
    <t>CVU MP: 0000003100097219082093</t>
  </si>
  <si>
    <t>ESTADO DE CUENTA: PANIZZA</t>
  </si>
  <si>
    <t>R6334</t>
  </si>
  <si>
    <t>R6353</t>
  </si>
  <si>
    <t>R6385</t>
  </si>
  <si>
    <t>R6656</t>
  </si>
  <si>
    <t>R6688</t>
  </si>
  <si>
    <t>ESTADO DE CUENTA: VITALCER / RODRIGO SERRA</t>
  </si>
  <si>
    <t>r</t>
  </si>
  <si>
    <t>ESTADO DE CUENTA: TUTTO FARRA / FRANCO DI LEO</t>
  </si>
  <si>
    <t>remite</t>
  </si>
  <si>
    <t>ESTADO DE CUENTA: LA BOTICA DEL PASTELERO / SOY BOTIQUERA SRL</t>
  </si>
  <si>
    <t>ALIAS: LABOTICADELPASTELERO</t>
  </si>
  <si>
    <t>ESTADO DE CUENTA:  VALOT SA</t>
  </si>
  <si>
    <t>ESTADO DE CUENTA:  E  D U // EDUARDO ALBERTO MIGUEL</t>
  </si>
  <si>
    <t>no vino el brocoli</t>
  </si>
  <si>
    <t>no vino berenjena</t>
  </si>
  <si>
    <t>no vino menta</t>
  </si>
  <si>
    <t>no vino brocoli</t>
  </si>
  <si>
    <t>CBU CREDICOOP: 1910309355030900022264</t>
  </si>
  <si>
    <t xml:space="preserve">ESTADO DE CUENTA:   M A R I L U </t>
  </si>
  <si>
    <t>CBU CREDICOOP: 1910057555005701359714</t>
  </si>
  <si>
    <t>ESTADO DE CUENTA:  GONZANIO // GONZANIO SRL</t>
  </si>
  <si>
    <t>ce</t>
  </si>
  <si>
    <t>PROD LIMPIEZA</t>
  </si>
  <si>
    <t>JUEVES 1</t>
  </si>
  <si>
    <t>TACOS</t>
  </si>
  <si>
    <t>verdura</t>
  </si>
  <si>
    <t>pague comafi 65215,27</t>
  </si>
  <si>
    <t>repuse x trans de mp 53000</t>
  </si>
  <si>
    <t>retante en ef 12215,27</t>
  </si>
  <si>
    <t>MARTES 6</t>
  </si>
  <si>
    <t>placa acrilico cartas x3</t>
  </si>
  <si>
    <t>Impresion Menu</t>
  </si>
  <si>
    <t>placa acrilico cartas x2</t>
  </si>
  <si>
    <t>lau deposito 140k en bbva y transfirio a su mp</t>
  </si>
  <si>
    <t>12K usó Hernan</t>
  </si>
  <si>
    <t>tacos fac 29/11</t>
  </si>
  <si>
    <t>silicona</t>
  </si>
  <si>
    <t>sorbetes papel</t>
  </si>
  <si>
    <t>adelanto javi feriado</t>
  </si>
  <si>
    <t>PROD LIMP</t>
  </si>
  <si>
    <t>LUNES 12</t>
  </si>
  <si>
    <t>Retira 20k H</t>
  </si>
  <si>
    <t>santi</t>
  </si>
  <si>
    <t>Bbraz</t>
  </si>
  <si>
    <t>bidon de alcohol</t>
  </si>
  <si>
    <t>Cajas</t>
  </si>
  <si>
    <t>fernet</t>
  </si>
  <si>
    <t>MIERCOLES 14</t>
  </si>
  <si>
    <t>adelanto Rodri</t>
  </si>
  <si>
    <t>dia lazaro</t>
  </si>
  <si>
    <t>JUEVES 15</t>
  </si>
  <si>
    <t>acelga</t>
  </si>
  <si>
    <t>VIERNES 16</t>
  </si>
  <si>
    <t>Farmacia</t>
  </si>
  <si>
    <t>SABADO 17</t>
  </si>
  <si>
    <t>LUNES 19</t>
  </si>
  <si>
    <t>la serenisim</t>
  </si>
  <si>
    <t>MARTES 20</t>
  </si>
  <si>
    <t>MIERCOLES 21</t>
  </si>
  <si>
    <t>adelanto Laura MP</t>
  </si>
  <si>
    <t>JUEVES 22</t>
  </si>
  <si>
    <t>VIERNES 23</t>
  </si>
  <si>
    <t>la gotita</t>
  </si>
  <si>
    <t>SABADO 24</t>
  </si>
  <si>
    <t>javier</t>
  </si>
  <si>
    <t>LUNES 26</t>
  </si>
  <si>
    <t>Q Brie</t>
  </si>
  <si>
    <t xml:space="preserve">queda en caja </t>
  </si>
  <si>
    <t>transfirio hernan a cuenta del BBVA</t>
  </si>
  <si>
    <t>Agus</t>
  </si>
  <si>
    <t>MARTES 27</t>
  </si>
  <si>
    <t>arreglo licuadora</t>
  </si>
  <si>
    <t>MIERCOLES 28</t>
  </si>
  <si>
    <t>JUEVES 29</t>
  </si>
  <si>
    <t>devolvimos a H</t>
  </si>
  <si>
    <t>puso H en ef</t>
  </si>
  <si>
    <t>30+</t>
  </si>
  <si>
    <t>VIERNES 30</t>
  </si>
  <si>
    <t>se usaron para liquidar aguinaldo leonel y kiara</t>
  </si>
  <si>
    <t>SABADO 31</t>
  </si>
  <si>
    <t>honorarios abogados afip</t>
  </si>
  <si>
    <t>deuda tarjeta</t>
  </si>
  <si>
    <r>
      <rPr>
        <b/>
        <sz val="8.0"/>
      </rPr>
      <t xml:space="preserve">PEDIDOS YA </t>
    </r>
    <r>
      <rPr>
        <b/>
        <color rgb="FFFF0000"/>
        <sz val="8.0"/>
      </rPr>
      <t>PAGO-ONLINE</t>
    </r>
  </si>
  <si>
    <t>13800 POLLO</t>
  </si>
  <si>
    <t>13000 pollo ch en blanco quintela</t>
  </si>
  <si>
    <t>ch quinela ch ormazabal</t>
  </si>
  <si>
    <t>harina 7500 pollo 15000</t>
  </si>
  <si>
    <t>POLLO 14700</t>
  </si>
  <si>
    <t>ch quintela</t>
  </si>
  <si>
    <t>1700 cambio cajita sueldo santi 7000 propi mary y lucho</t>
  </si>
  <si>
    <t>15600 POLLO</t>
  </si>
  <si>
    <t>10400 POLLO</t>
  </si>
  <si>
    <t>coca 7174</t>
  </si>
  <si>
    <t>HARINA 4500</t>
  </si>
  <si>
    <t>POLLO 15000 OLIVA 5900</t>
  </si>
  <si>
    <t>CH QUI NTELA</t>
  </si>
  <si>
    <t>harina 7500 pollo 16800</t>
  </si>
  <si>
    <t>pollo 16800</t>
  </si>
  <si>
    <t>yahari  se lleva una choco un brownie y un pote de pesto</t>
  </si>
  <si>
    <t>17400 POLLO</t>
  </si>
  <si>
    <t>13200 harina</t>
  </si>
  <si>
    <t>17400 pollo</t>
  </si>
  <si>
    <t>ch ormazabal ch quintela</t>
  </si>
  <si>
    <t>ch quintela, 10600 harina</t>
  </si>
  <si>
    <t xml:space="preserve">VIERNES </t>
  </si>
  <si>
    <t>18000 pollo chque quintela</t>
  </si>
  <si>
    <t>Dia de JuanaM</t>
  </si>
  <si>
    <t>Criollo</t>
  </si>
  <si>
    <t>Horeca</t>
  </si>
  <si>
    <t xml:space="preserve"> MIERCOLES 2</t>
  </si>
  <si>
    <t>Pollo</t>
  </si>
  <si>
    <t>Quintela</t>
  </si>
  <si>
    <t>Salvar Cheque puse mal fecha 31/11 va 30/11</t>
  </si>
  <si>
    <t>Coca</t>
  </si>
  <si>
    <t>Rollos termicos</t>
  </si>
  <si>
    <t xml:space="preserve">Farmacia debe 25200 </t>
  </si>
  <si>
    <t>La Serenesima</t>
  </si>
  <si>
    <t>Manteca</t>
  </si>
  <si>
    <t>Wraps</t>
  </si>
  <si>
    <t>fito mantnimiento maq cafe</t>
  </si>
  <si>
    <t>fontina</t>
  </si>
  <si>
    <t>abonada 6/12</t>
  </si>
  <si>
    <t>Cafiza</t>
  </si>
  <si>
    <t>wraps (17/11)</t>
  </si>
  <si>
    <t>almafuerte aceite freid</t>
  </si>
  <si>
    <t>fumigacion</t>
  </si>
  <si>
    <t>choco alpino pins x6k</t>
  </si>
  <si>
    <t>final de semana</t>
  </si>
  <si>
    <t>para repartir</t>
  </si>
  <si>
    <t>palta sagrada</t>
  </si>
  <si>
    <t>CE, cerro juan</t>
  </si>
  <si>
    <t>femsa</t>
  </si>
  <si>
    <t xml:space="preserve">10600 comida Solomun </t>
  </si>
  <si>
    <t>pollo (se separo ayer)</t>
  </si>
  <si>
    <t xml:space="preserve">palta </t>
  </si>
  <si>
    <t>sueldo mary 20000</t>
  </si>
  <si>
    <t>fito</t>
  </si>
  <si>
    <t>colucci prensa francesa</t>
  </si>
  <si>
    <t>MP LAURA</t>
  </si>
  <si>
    <t>inty manteca</t>
  </si>
  <si>
    <t>bbva CE</t>
  </si>
  <si>
    <t>1kg haria de alm</t>
  </si>
  <si>
    <t>juan carlos</t>
  </si>
  <si>
    <t>aceite FREIDORA</t>
  </si>
  <si>
    <t>FH</t>
  </si>
  <si>
    <t>QUINTELA</t>
  </si>
  <si>
    <t>PALTA</t>
  </si>
  <si>
    <t>Acelga cong (x5k)</t>
  </si>
  <si>
    <t xml:space="preserve">fumigador </t>
  </si>
  <si>
    <t>Gonzainio</t>
  </si>
  <si>
    <t>Frutas premium</t>
  </si>
  <si>
    <t>la serenisima (fac 7/10)</t>
  </si>
  <si>
    <t>SYRUPS</t>
  </si>
  <si>
    <t>cuchillo y tenedor negros descartable</t>
  </si>
  <si>
    <t>marcadores</t>
  </si>
  <si>
    <t>kit kat</t>
  </si>
  <si>
    <t>art de limpieza</t>
  </si>
  <si>
    <t>servilletas</t>
  </si>
  <si>
    <t>liquidacion 2 dias Anto</t>
  </si>
  <si>
    <t>CE (hay 4000 de ayer)</t>
  </si>
  <si>
    <t>filtro Arthur</t>
  </si>
  <si>
    <t>Carrefo</t>
  </si>
  <si>
    <t>QUESO</t>
  </si>
  <si>
    <t>Ormazabl</t>
  </si>
  <si>
    <t>JUEVES  27</t>
  </si>
  <si>
    <t>Paltax4</t>
  </si>
  <si>
    <t>Verd Palta</t>
  </si>
  <si>
    <t>8944.26</t>
  </si>
  <si>
    <t>Huevos</t>
  </si>
  <si>
    <t>Carref</t>
  </si>
  <si>
    <t>Harina</t>
  </si>
  <si>
    <t>13517.75</t>
  </si>
  <si>
    <t>incluye septiembre y octubre</t>
  </si>
  <si>
    <t>no se debito y pague x mp</t>
  </si>
  <si>
    <t>uthgra ciudad</t>
  </si>
  <si>
    <t>la sereniSIMA</t>
  </si>
  <si>
    <t>horno</t>
  </si>
  <si>
    <t>agustina</t>
  </si>
  <si>
    <t>ZS</t>
  </si>
  <si>
    <t>Electridad</t>
  </si>
  <si>
    <t>Azucar impalpable</t>
  </si>
  <si>
    <t>OLIVA</t>
  </si>
  <si>
    <t>bolsas consorcio</t>
  </si>
  <si>
    <t>cristina prod limp</t>
  </si>
  <si>
    <t>syrup caramelo</t>
  </si>
  <si>
    <t>matiz queso</t>
  </si>
  <si>
    <t>mecha</t>
  </si>
  <si>
    <t>Saldo pendiente marcelo</t>
  </si>
  <si>
    <t>la sereisima</t>
  </si>
  <si>
    <t>PALTA SAGRADA</t>
  </si>
  <si>
    <t>limp horno</t>
  </si>
  <si>
    <t>DAMIAN</t>
  </si>
  <si>
    <t>DISCO Y MECHA MARCELO</t>
  </si>
  <si>
    <t>pepino</t>
  </si>
  <si>
    <t>marilu pendiente de cobro espero NC</t>
  </si>
  <si>
    <t>fontina pagar a juan fiambreria</t>
  </si>
  <si>
    <t>dif ddl criollo</t>
  </si>
  <si>
    <t>diferencia ddl criollo</t>
  </si>
  <si>
    <t>pulpa frutilla pehuenia</t>
  </si>
  <si>
    <t>SABADO17</t>
  </si>
  <si>
    <t>TOMATE</t>
  </si>
  <si>
    <t xml:space="preserve">papel de cocina </t>
  </si>
  <si>
    <t>jarra limonada</t>
  </si>
  <si>
    <t>honorario orsi</t>
  </si>
  <si>
    <t>LO PAGO HERNAN Y SE LE DEVOLVIO</t>
  </si>
  <si>
    <t>JUEVES22</t>
  </si>
  <si>
    <t>moto a vero</t>
  </si>
  <si>
    <t>clips libreria</t>
  </si>
  <si>
    <t>fotocopias libreria</t>
  </si>
  <si>
    <t>hilleret y stevia</t>
  </si>
  <si>
    <t>POLLO dejar separado para lunes</t>
  </si>
  <si>
    <t>queso</t>
  </si>
  <si>
    <t>tinta</t>
  </si>
  <si>
    <t>cable iphone</t>
  </si>
  <si>
    <t>ddl vacalin</t>
  </si>
  <si>
    <t>GUANTES</t>
  </si>
  <si>
    <t>FERRETERIA</t>
  </si>
  <si>
    <t>carnaroli</t>
  </si>
  <si>
    <t>motomensajeria</t>
  </si>
  <si>
    <t>entra el lunes 8</t>
  </si>
  <si>
    <t>laura</t>
  </si>
  <si>
    <t>leonel</t>
  </si>
  <si>
    <t>prod limpieza cristina</t>
  </si>
  <si>
    <t>limpieza vidrios</t>
  </si>
  <si>
    <t>choco alpino negro y blanco (6kcada uno)</t>
  </si>
  <si>
    <t>matafuegos atlantida</t>
  </si>
  <si>
    <t>costa alcohol</t>
  </si>
  <si>
    <t>katherina</t>
  </si>
  <si>
    <t>Tubos luz</t>
  </si>
  <si>
    <t>soja</t>
  </si>
  <si>
    <t>quintela reveer pago</t>
  </si>
  <si>
    <t>vidrios</t>
  </si>
  <si>
    <t>papa</t>
  </si>
  <si>
    <t>remolacha</t>
  </si>
  <si>
    <t>SERVILLETAS</t>
  </si>
  <si>
    <t>SYRUP</t>
  </si>
  <si>
    <t>flete</t>
  </si>
  <si>
    <t xml:space="preserve">penguin </t>
  </si>
  <si>
    <t>cristina prod limpieza</t>
  </si>
  <si>
    <t>-30 alq</t>
  </si>
  <si>
    <t>cajas macarons</t>
  </si>
  <si>
    <t>arroz carnaroli x 10k</t>
  </si>
  <si>
    <t>HUGO TUBO GAS</t>
  </si>
  <si>
    <t xml:space="preserve">ferretería </t>
  </si>
  <si>
    <t>breik plotter</t>
  </si>
  <si>
    <t>fumig</t>
  </si>
  <si>
    <t>servileetas</t>
  </si>
  <si>
    <t>3/8(se pago junio y julio juntos)</t>
  </si>
  <si>
    <t>110230 PROX</t>
  </si>
  <si>
    <t>mr musculo</t>
  </si>
  <si>
    <t>servilleta</t>
  </si>
  <si>
    <t>cuchillo</t>
  </si>
  <si>
    <t>cuchara</t>
  </si>
  <si>
    <t>botellas oliva</t>
  </si>
  <si>
    <t>Lucho</t>
  </si>
  <si>
    <t>veronica</t>
  </si>
  <si>
    <t>FEMSA</t>
  </si>
  <si>
    <t>pila balanza</t>
  </si>
  <si>
    <t>penguin fac 13/6</t>
  </si>
  <si>
    <t>cuyaires fac 29 y 30 de junio</t>
  </si>
  <si>
    <t>cristina limpieza</t>
  </si>
  <si>
    <t>individuales</t>
  </si>
  <si>
    <t>Luz</t>
  </si>
  <si>
    <t>COCA</t>
  </si>
  <si>
    <t>VASOS</t>
  </si>
  <si>
    <t>PLATOS ETC</t>
  </si>
  <si>
    <t>LAURA</t>
  </si>
  <si>
    <t>seña stickers</t>
  </si>
  <si>
    <t>agus</t>
  </si>
  <si>
    <t>L</t>
  </si>
  <si>
    <t>arroz carnaroli</t>
  </si>
  <si>
    <t>5 SYRUPS PUERTO BLEST</t>
  </si>
  <si>
    <t>miguel alfaro</t>
  </si>
  <si>
    <t>limpiavidrio</t>
  </si>
  <si>
    <t>seña cintas</t>
  </si>
  <si>
    <t>tamiz (ch181)</t>
  </si>
  <si>
    <t>tamiz (ch 182)</t>
  </si>
  <si>
    <t xml:space="preserve">uso H para completar </t>
  </si>
  <si>
    <t>hs extra javi sabado</t>
  </si>
  <si>
    <t>ian</t>
  </si>
  <si>
    <t>cabify</t>
  </si>
  <si>
    <t>service pauna</t>
  </si>
  <si>
    <t>matiz (sbrinz)</t>
  </si>
  <si>
    <t>key digital rollos</t>
  </si>
  <si>
    <t>tuerca</t>
  </si>
  <si>
    <t>CE, gaste 33 en modo barista</t>
  </si>
  <si>
    <t>luces</t>
  </si>
  <si>
    <t>METROGAS 22/6 no esta en debito</t>
  </si>
  <si>
    <t>fra</t>
  </si>
  <si>
    <t>PROVEEDORES</t>
  </si>
  <si>
    <t>EMPLEADOS</t>
  </si>
  <si>
    <t>marcelo el dia que nos tapo el agua</t>
  </si>
  <si>
    <t>cafe penguin</t>
  </si>
  <si>
    <t>gastropan mesa</t>
  </si>
  <si>
    <t>COCA FEMSA</t>
  </si>
  <si>
    <t>LUCHO</t>
  </si>
  <si>
    <t>dispenser jabon</t>
  </si>
  <si>
    <t xml:space="preserve">breik </t>
  </si>
  <si>
    <t>46148,55 fac</t>
  </si>
  <si>
    <t>entregue cheque</t>
  </si>
  <si>
    <t>pago deuda ART</t>
  </si>
  <si>
    <t>filtro isabel</t>
  </si>
  <si>
    <t>GONZANIO</t>
  </si>
  <si>
    <t>SYRUPS PUERTO BLEST</t>
  </si>
  <si>
    <t>cajas gdes</t>
  </si>
  <si>
    <t xml:space="preserve">SANTI </t>
  </si>
  <si>
    <t>marcador</t>
  </si>
  <si>
    <t>se adueda</t>
  </si>
  <si>
    <t>cucharon y pava jujuy</t>
  </si>
  <si>
    <t>bidon alcohol</t>
  </si>
  <si>
    <t xml:space="preserve">eva </t>
  </si>
  <si>
    <t>tulipas de papel</t>
  </si>
  <si>
    <t>FERRETERIA MARCE</t>
  </si>
  <si>
    <t>COLORANTES TORTA</t>
  </si>
  <si>
    <t>MARCELO</t>
  </si>
  <si>
    <t>AGUSTINA</t>
  </si>
  <si>
    <t>(incluye fac 25 y 27/6)</t>
  </si>
  <si>
    <t>gonzaino</t>
  </si>
  <si>
    <t>adelanto individuales impresos</t>
  </si>
  <si>
    <t>penguin fac $18876, $53482, $8167</t>
  </si>
  <si>
    <t>mario gasista chorro</t>
  </si>
  <si>
    <t>tarteletas</t>
  </si>
  <si>
    <t>cuyaires fac esta mal el pedido $17476,07</t>
  </si>
  <si>
    <t>CINTA SCOTCH</t>
  </si>
  <si>
    <t>FERRETRIA</t>
  </si>
  <si>
    <t>FECHA DE PAGO</t>
  </si>
  <si>
    <t>DEB AUTOM BBVA</t>
  </si>
  <si>
    <t>METROGAS</t>
  </si>
  <si>
    <t>volvi a adherir al deb autom 26/5, vhequear fac junio</t>
  </si>
  <si>
    <t>DEB AUTOM</t>
  </si>
  <si>
    <t>MARILU (ENTREGA DEL SABADO)Ç</t>
  </si>
  <si>
    <t>EDU ENTRAGA DE JUEVES 28</t>
  </si>
  <si>
    <t>SUPREMA</t>
  </si>
  <si>
    <t>TAPAS WRAPS</t>
  </si>
  <si>
    <t>MOTOBAIRES ADEUDA</t>
  </si>
  <si>
    <t>nestor palta</t>
  </si>
  <si>
    <t>moto veronica</t>
  </si>
  <si>
    <t>Fede Franco</t>
  </si>
  <si>
    <t>Lavaderia</t>
  </si>
  <si>
    <t>a cuenta</t>
  </si>
  <si>
    <t>Palta Nestor</t>
  </si>
  <si>
    <t>ciollo</t>
  </si>
  <si>
    <t>39432 (ch?)</t>
  </si>
  <si>
    <t>ACELGA</t>
  </si>
  <si>
    <t>6 syrups</t>
  </si>
  <si>
    <t>celeste</t>
  </si>
  <si>
    <t>acelga porcesada</t>
  </si>
  <si>
    <t>VERDEO</t>
  </si>
  <si>
    <t>choco pins</t>
  </si>
  <si>
    <t>pulpa de frutilla x 4u</t>
  </si>
  <si>
    <t>tenedores descartable x 2000u</t>
  </si>
  <si>
    <t>resma</t>
  </si>
  <si>
    <t>cepillo</t>
  </si>
  <si>
    <t>tamiz queso</t>
  </si>
  <si>
    <t>birra</t>
  </si>
  <si>
    <t>KIT KAT</t>
  </si>
  <si>
    <t>aceite oliva</t>
  </si>
  <si>
    <t xml:space="preserve">edu </t>
  </si>
  <si>
    <t>MORRON</t>
  </si>
  <si>
    <t>azucar se adeuda</t>
  </si>
  <si>
    <t>choco pins 6k</t>
  </si>
  <si>
    <t>adelanto hugo gas</t>
  </si>
  <si>
    <t>volvi a adherir al deb autom el 11/5, chequear fac de junio</t>
  </si>
  <si>
    <t>30/5 (13500 + 14500 extra inspeccion)</t>
  </si>
  <si>
    <t>METROGAS DEUDA</t>
  </si>
  <si>
    <t>TOTAL GASTOS</t>
  </si>
  <si>
    <t>TRANSFE RENCIA</t>
  </si>
  <si>
    <t>Entrega Jueves 7/4</t>
  </si>
  <si>
    <t>malena</t>
  </si>
  <si>
    <t>huevo marcelo</t>
  </si>
  <si>
    <t>moto baires</t>
  </si>
  <si>
    <t>la serensima</t>
  </si>
  <si>
    <t>bebida</t>
  </si>
  <si>
    <t>Ormazabel</t>
  </si>
  <si>
    <t>Serenesima</t>
  </si>
  <si>
    <t>fo</t>
  </si>
  <si>
    <t>DDL VACALIN</t>
  </si>
  <si>
    <t>toner</t>
  </si>
  <si>
    <t>Matiz Queso</t>
  </si>
  <si>
    <t>focaccia</t>
  </si>
  <si>
    <t>ddl x 2 vacalin</t>
  </si>
  <si>
    <t>tenedor desc</t>
  </si>
  <si>
    <t>palta sagreada</t>
  </si>
  <si>
    <t>8358.95</t>
  </si>
  <si>
    <t>La serenesima</t>
  </si>
  <si>
    <t>Lechuga</t>
  </si>
  <si>
    <t>Tierra</t>
  </si>
  <si>
    <t>faltan 9 para completar</t>
  </si>
  <si>
    <t>EPYa</t>
  </si>
  <si>
    <t>Falto Cebolla Morada</t>
  </si>
  <si>
    <t>MATIZ QUESO</t>
  </si>
  <si>
    <t>coca FEMSA</t>
  </si>
  <si>
    <t>casa tati</t>
  </si>
  <si>
    <t>syrup</t>
  </si>
  <si>
    <t>NESTOR PALTAS</t>
  </si>
  <si>
    <t>HUEVOS</t>
  </si>
  <si>
    <t>precintos</t>
  </si>
  <si>
    <t>selladora</t>
  </si>
  <si>
    <t>52 retira</t>
  </si>
  <si>
    <t>cheque MATIZ COBO</t>
  </si>
  <si>
    <t>Bondiola</t>
  </si>
  <si>
    <t>fede</t>
  </si>
  <si>
    <t>varios</t>
  </si>
  <si>
    <t>resto deudor marcelo SALDADO</t>
  </si>
  <si>
    <t>quiara</t>
  </si>
  <si>
    <t>16/2 adheri a deb autom (verificar en fac)</t>
  </si>
  <si>
    <t>CREMA</t>
  </si>
  <si>
    <t>BANANA</t>
  </si>
  <si>
    <t>bici</t>
  </si>
  <si>
    <t>DDL</t>
  </si>
  <si>
    <t>HARINA ALMENDRA</t>
  </si>
  <si>
    <t>procenex</t>
  </si>
  <si>
    <t>Papelera Dnia Pol</t>
  </si>
  <si>
    <t>112764-4697</t>
  </si>
  <si>
    <t>244.64</t>
  </si>
  <si>
    <t>marce+</t>
  </si>
  <si>
    <t>serenisima</t>
  </si>
  <si>
    <t>scotch</t>
  </si>
  <si>
    <t>Canilla</t>
  </si>
  <si>
    <t>Alcohol</t>
  </si>
  <si>
    <t>Abre lata</t>
  </si>
  <si>
    <t>se adeuda</t>
  </si>
  <si>
    <t>stevia</t>
  </si>
  <si>
    <t>Panceta</t>
  </si>
  <si>
    <t>Herreria</t>
  </si>
  <si>
    <t>moto Servicio quincenal</t>
  </si>
  <si>
    <t>tuerca sueldo</t>
  </si>
  <si>
    <t>barbijos</t>
  </si>
  <si>
    <t>lA SERENISIMA</t>
  </si>
  <si>
    <t>bolsa basura</t>
  </si>
  <si>
    <t xml:space="preserve">Acelga </t>
  </si>
  <si>
    <t>FUMIGACION</t>
  </si>
  <si>
    <t>CUCHILLOS PLASTICOS *1000U</t>
  </si>
  <si>
    <t>submarino</t>
  </si>
  <si>
    <t>queso gonzalo</t>
  </si>
  <si>
    <t>falta</t>
  </si>
  <si>
    <t>SYRUP CARAMELO</t>
  </si>
  <si>
    <t>PULPA FRUTILLA</t>
  </si>
  <si>
    <t>2 febrero y marzo</t>
  </si>
  <si>
    <t>repasadores</t>
  </si>
  <si>
    <t>CHIPS choco bco</t>
  </si>
  <si>
    <t>Tuerca</t>
  </si>
  <si>
    <t>tenedor plastico y estuche pet 133</t>
  </si>
  <si>
    <t>ddl milkaut</t>
  </si>
  <si>
    <t>Queso prestado</t>
  </si>
  <si>
    <t>ddl y granas</t>
  </si>
  <si>
    <t>Colombraro</t>
  </si>
  <si>
    <t>Barbijos</t>
  </si>
  <si>
    <t>DAmian Aire</t>
  </si>
  <si>
    <t>Damian Burletes</t>
  </si>
  <si>
    <t>Se deben 4500</t>
  </si>
  <si>
    <t>Juan</t>
  </si>
  <si>
    <t>Valvulas cocina</t>
  </si>
  <si>
    <t>lincoln</t>
  </si>
  <si>
    <t>CHOC ALPINO</t>
  </si>
  <si>
    <t>FAC 13/1</t>
  </si>
  <si>
    <t>MICRON</t>
  </si>
  <si>
    <t>MOTO</t>
  </si>
  <si>
    <t>?????</t>
  </si>
  <si>
    <t>TUERCA</t>
  </si>
  <si>
    <t>Adelanto Rafa</t>
  </si>
  <si>
    <t>falta pagar</t>
  </si>
  <si>
    <t>fiambreria</t>
  </si>
  <si>
    <t>controlador fiscal</t>
  </si>
  <si>
    <t>Fiambreria</t>
  </si>
  <si>
    <t>evangelina</t>
  </si>
  <si>
    <t>carrefout</t>
  </si>
  <si>
    <t>saphirus</t>
  </si>
  <si>
    <t>ADEUDADO</t>
  </si>
  <si>
    <t>gas adeudado</t>
  </si>
  <si>
    <t>CHEDDAR</t>
  </si>
  <si>
    <t>DIFUSOR</t>
  </si>
  <si>
    <t>CRISTINA</t>
  </si>
  <si>
    <t>rodri 4hs extra</t>
  </si>
  <si>
    <t>agus 7hs</t>
  </si>
  <si>
    <t>servilletas x3 cajas</t>
  </si>
  <si>
    <t>Cerrajeria</t>
  </si>
  <si>
    <t>Bigote baño</t>
  </si>
  <si>
    <t>Stevia</t>
  </si>
  <si>
    <t>Damian Refrigeracion</t>
  </si>
  <si>
    <t>contadora honorario diciembre</t>
  </si>
  <si>
    <t>aire acond sotano</t>
  </si>
  <si>
    <t>Frutas P</t>
  </si>
  <si>
    <t>Ferreteriua</t>
  </si>
  <si>
    <t>Bigote</t>
  </si>
  <si>
    <t>Damian</t>
  </si>
  <si>
    <t>Restan 10000</t>
  </si>
  <si>
    <t>Marcelo a cuenta para canilla de bacha sotano</t>
  </si>
  <si>
    <t>cheddar</t>
  </si>
  <si>
    <t>syrup ML</t>
  </si>
  <si>
    <t>Syrup puerto bles</t>
  </si>
  <si>
    <t>cyaires</t>
  </si>
  <si>
    <t>SANITARIOS GRIFO ETC</t>
  </si>
  <si>
    <t>Ferrteria</t>
  </si>
  <si>
    <t>cerradura</t>
  </si>
  <si>
    <t>materiales marcelo</t>
  </si>
  <si>
    <t>coca, FEMSA</t>
  </si>
  <si>
    <t>base torta tutto farra</t>
  </si>
  <si>
    <t>servilletas mp</t>
  </si>
  <si>
    <t>Dia Crema Milk</t>
  </si>
  <si>
    <t>cabify contadora</t>
  </si>
  <si>
    <t>LA SERENISMA</t>
  </si>
  <si>
    <t>semillas</t>
  </si>
  <si>
    <t xml:space="preserve">queso </t>
  </si>
  <si>
    <t xml:space="preserve">marcelo </t>
  </si>
  <si>
    <t>LUCHO PALA</t>
  </si>
  <si>
    <t>art navidad</t>
  </si>
  <si>
    <t>pala wraps</t>
  </si>
  <si>
    <t>libreriia</t>
  </si>
  <si>
    <t>syrups puerto blest</t>
  </si>
  <si>
    <t xml:space="preserve">COTILLON </t>
  </si>
  <si>
    <t>carne</t>
  </si>
  <si>
    <t>viruta</t>
  </si>
  <si>
    <t xml:space="preserve">panaderia </t>
  </si>
  <si>
    <t xml:space="preserve">santi </t>
  </si>
  <si>
    <t>frut</t>
  </si>
  <si>
    <t>chino todox2p</t>
  </si>
  <si>
    <t xml:space="preserve">marilu </t>
  </si>
  <si>
    <t>entrega lunes</t>
  </si>
  <si>
    <t>pintura marcelo</t>
  </si>
  <si>
    <t>tomi</t>
  </si>
  <si>
    <t>VIERNES10</t>
  </si>
  <si>
    <t>globos</t>
  </si>
  <si>
    <t>filtros fito</t>
  </si>
  <si>
    <t xml:space="preserve">aceite freidora </t>
  </si>
  <si>
    <t xml:space="preserve">frut </t>
  </si>
  <si>
    <t>claudia</t>
  </si>
  <si>
    <t xml:space="preserve">la serenisima </t>
  </si>
  <si>
    <t>verd</t>
  </si>
  <si>
    <t xml:space="preserve">kiosco </t>
  </si>
  <si>
    <t>Arreglo bici llanta+cubierta</t>
  </si>
  <si>
    <t>vasos yogur</t>
  </si>
  <si>
    <t>campana plastica</t>
  </si>
  <si>
    <t>freezer damnian</t>
  </si>
  <si>
    <t>falto puerro 150$ se adueda boleta</t>
  </si>
  <si>
    <t>gonzanio papelera</t>
  </si>
  <si>
    <t>VIERNES 17</t>
  </si>
  <si>
    <t>Oliva</t>
  </si>
  <si>
    <t>SABADO18</t>
  </si>
  <si>
    <t>Frutas Premium</t>
  </si>
  <si>
    <t>SANTI</t>
  </si>
  <si>
    <t>FABRICA</t>
  </si>
  <si>
    <t xml:space="preserve">FRUTAS PREMIUM </t>
  </si>
  <si>
    <t>disam cajas nav</t>
  </si>
  <si>
    <t>Bicicleta</t>
  </si>
  <si>
    <t>Bolsa Basura</t>
  </si>
  <si>
    <t>sorbete kraft</t>
  </si>
  <si>
    <t>productos limpieza</t>
  </si>
  <si>
    <t>marilu, costillar lucho</t>
  </si>
  <si>
    <t>Santi</t>
  </si>
  <si>
    <t>AZUCAR</t>
  </si>
  <si>
    <t>laserenisima</t>
  </si>
  <si>
    <t>Yahari</t>
  </si>
  <si>
    <t>Adelanto</t>
  </si>
  <si>
    <t>LUNES1</t>
  </si>
  <si>
    <t>29739.69</t>
  </si>
  <si>
    <t xml:space="preserve">FRUT PREM </t>
  </si>
  <si>
    <t xml:space="preserve">COCA </t>
  </si>
  <si>
    <t xml:space="preserve">pollo </t>
  </si>
  <si>
    <t>pollo xmenor</t>
  </si>
  <si>
    <t>cortina metalica reparacion</t>
  </si>
  <si>
    <t xml:space="preserve">bandeja cotillon </t>
  </si>
  <si>
    <t xml:space="preserve">frut prem </t>
  </si>
  <si>
    <t>guantes latex</t>
  </si>
  <si>
    <t>SABADO 6</t>
  </si>
  <si>
    <t>verd pr</t>
  </si>
  <si>
    <t>chocpo bco alpino</t>
  </si>
  <si>
    <t>kioosco cami me olvide la billetera</t>
  </si>
  <si>
    <t>MIERCOLES 10</t>
  </si>
  <si>
    <t>taxi wraps</t>
  </si>
  <si>
    <t>wraps falta pagar</t>
  </si>
  <si>
    <t>palta y rucula fp</t>
  </si>
  <si>
    <t>JUEVES 11</t>
  </si>
  <si>
    <t xml:space="preserve">cuyaires </t>
  </si>
  <si>
    <t>EDU FAC 3/11</t>
  </si>
  <si>
    <t>VIERNES 12</t>
  </si>
  <si>
    <t>adelanto rodrri</t>
  </si>
  <si>
    <t>FRUT PREM</t>
  </si>
  <si>
    <t xml:space="preserve">bolsa de basura </t>
  </si>
  <si>
    <t>Cuota heladera damian</t>
  </si>
  <si>
    <t>Hidrolavadora</t>
  </si>
  <si>
    <t>Prod limpieza</t>
  </si>
  <si>
    <t>lavandina cristina prod</t>
  </si>
  <si>
    <t>MIERCOLES 17</t>
  </si>
  <si>
    <t>FLAMBEADOR + TERMOMETRO</t>
  </si>
  <si>
    <t>GRANAS NAVIDAD</t>
  </si>
  <si>
    <t>juan</t>
  </si>
  <si>
    <t>cami, descuentenme del pago del viernes</t>
  </si>
  <si>
    <t xml:space="preserve">ferreteria </t>
  </si>
  <si>
    <t xml:space="preserve">verduleria pr </t>
  </si>
  <si>
    <t>candado</t>
  </si>
  <si>
    <t xml:space="preserve">verdu pr </t>
  </si>
  <si>
    <t>coca.femsa</t>
  </si>
  <si>
    <t xml:space="preserve">gonzanio </t>
  </si>
  <si>
    <t>tengo 1000 a favor</t>
  </si>
  <si>
    <t xml:space="preserve">alcohol </t>
  </si>
  <si>
    <t xml:space="preserve">verd </t>
  </si>
  <si>
    <t>limp</t>
  </si>
  <si>
    <t>chine</t>
  </si>
  <si>
    <t>CAMI</t>
  </si>
  <si>
    <t xml:space="preserve">HIELO </t>
  </si>
  <si>
    <t>marcelo miercoles 24</t>
  </si>
  <si>
    <t>verd fr</t>
  </si>
  <si>
    <t>resma hoja</t>
  </si>
  <si>
    <t xml:space="preserve">esponja </t>
  </si>
  <si>
    <t>cosito de la cafetera</t>
  </si>
  <si>
    <t xml:space="preserve">eva pero lo de cami </t>
  </si>
  <si>
    <t>maeriales marce</t>
  </si>
  <si>
    <t>STEVIA</t>
  </si>
  <si>
    <t>TENEDOR</t>
  </si>
  <si>
    <t>fabrica</t>
  </si>
  <si>
    <t>eva r2</t>
  </si>
  <si>
    <t>vitalcer sesamo</t>
  </si>
  <si>
    <t>hojas cutter</t>
  </si>
  <si>
    <t xml:space="preserve">MARCEO </t>
  </si>
  <si>
    <t xml:space="preserve">torta oreo </t>
  </si>
  <si>
    <t xml:space="preserve">claudia </t>
  </si>
  <si>
    <t>monto adeudado</t>
  </si>
  <si>
    <t>incluye monto adeudado</t>
  </si>
  <si>
    <t xml:space="preserve">NOVIEMBRE </t>
  </si>
  <si>
    <t>VIERNES1</t>
  </si>
  <si>
    <t>verduleria pr</t>
  </si>
  <si>
    <t xml:space="preserve">DAMIAN </t>
  </si>
  <si>
    <t>frut prm</t>
  </si>
  <si>
    <t>palta fruta prm</t>
  </si>
  <si>
    <t xml:space="preserve">pollo granja enfrente </t>
  </si>
  <si>
    <t>grillo</t>
  </si>
  <si>
    <t>7750 se debe edu</t>
  </si>
  <si>
    <t>oreo</t>
  </si>
  <si>
    <t>lorenzo 8 a 12hs</t>
  </si>
  <si>
    <t>costa alcohol bidon</t>
  </si>
  <si>
    <t>celeste 14 a 20hs</t>
  </si>
  <si>
    <t>syrups *6u</t>
  </si>
  <si>
    <t>celeste 12 a 20hs</t>
  </si>
  <si>
    <t>tenedor descart</t>
  </si>
  <si>
    <t>libreria cinta scotch</t>
  </si>
  <si>
    <t xml:space="preserve">frut premium </t>
  </si>
  <si>
    <t>celeste 8 a 20hs</t>
  </si>
  <si>
    <t>bebidas</t>
  </si>
  <si>
    <t>arreglo bici</t>
  </si>
  <si>
    <t>celeste 8.30 a 20hs</t>
  </si>
  <si>
    <t>verdu palta</t>
  </si>
  <si>
    <t>lechuga manteca</t>
  </si>
  <si>
    <t>retira lau</t>
  </si>
  <si>
    <t xml:space="preserve">verduleria </t>
  </si>
  <si>
    <t xml:space="preserve">chino </t>
  </si>
  <si>
    <t>flores</t>
  </si>
  <si>
    <t>cintas</t>
  </si>
  <si>
    <t>cif y blem</t>
  </si>
  <si>
    <t>verdu (lechu, banana, limon)</t>
  </si>
  <si>
    <t>EVANGELINA</t>
  </si>
  <si>
    <t xml:space="preserve">limpieza </t>
  </si>
  <si>
    <t xml:space="preserve">fruta pr </t>
  </si>
  <si>
    <t>curitas y medias</t>
  </si>
  <si>
    <t>cajas desayuno</t>
  </si>
  <si>
    <t xml:space="preserve">cami </t>
  </si>
  <si>
    <t>casa TATI</t>
  </si>
  <si>
    <t xml:space="preserve">hielo </t>
  </si>
  <si>
    <t xml:space="preserve">coca </t>
  </si>
  <si>
    <t>cami, me olvide la billetera y tengo que comer algo en el club :D</t>
  </si>
  <si>
    <t>dietetica</t>
  </si>
  <si>
    <t>bolsa pp</t>
  </si>
  <si>
    <t>service PANINERA</t>
  </si>
  <si>
    <t>veronica contadora honorarios</t>
  </si>
  <si>
    <t>pins choco alpino</t>
  </si>
  <si>
    <t>pectina</t>
  </si>
  <si>
    <t>edu martes 19</t>
  </si>
  <si>
    <t>paltas maduras</t>
  </si>
  <si>
    <t>La serenisima</t>
  </si>
  <si>
    <t>rucula y palta</t>
  </si>
  <si>
    <t>BOMBA TRITURADORA</t>
  </si>
  <si>
    <t>MANGUERA BOMBA</t>
  </si>
  <si>
    <t>35334.76</t>
  </si>
  <si>
    <t>servilletas ml</t>
  </si>
  <si>
    <t>albahaca y rucula</t>
  </si>
  <si>
    <t>sprinkle and more</t>
  </si>
  <si>
    <t>moto symore</t>
  </si>
  <si>
    <t xml:space="preserve">frut pr </t>
  </si>
  <si>
    <t>cotillon</t>
  </si>
  <si>
    <t>350 claudia matilda</t>
  </si>
  <si>
    <t>kiosco</t>
  </si>
  <si>
    <t xml:space="preserve">bolsas cafe </t>
  </si>
  <si>
    <t>Lavandina</t>
  </si>
  <si>
    <t>SE DEBIAN 3 MESES</t>
  </si>
  <si>
    <t>deb automatico adherido</t>
  </si>
  <si>
    <t>seba</t>
  </si>
  <si>
    <t>yahari</t>
  </si>
  <si>
    <t>yahari 8hs</t>
  </si>
  <si>
    <t>mono 1hs</t>
  </si>
  <si>
    <t>CRISTINA PROD LIMPIEZA</t>
  </si>
  <si>
    <t>MARTES7</t>
  </si>
  <si>
    <t>CARNE</t>
  </si>
  <si>
    <t>verd premium</t>
  </si>
  <si>
    <t>fruta prem</t>
  </si>
  <si>
    <t>fruta prm</t>
  </si>
  <si>
    <t>gonzalo queso</t>
  </si>
  <si>
    <t>choco alpino blanco</t>
  </si>
  <si>
    <t>amoblamientos norte</t>
  </si>
  <si>
    <t>marcador pizarra</t>
  </si>
  <si>
    <t>VERDU MERCADO CENTRAL</t>
  </si>
  <si>
    <t>kitkat</t>
  </si>
  <si>
    <t>7490, desc verdeo edu verdu</t>
  </si>
  <si>
    <t>verdur</t>
  </si>
  <si>
    <t>adelanto cami</t>
  </si>
  <si>
    <t>fruyta pr</t>
  </si>
  <si>
    <t>rollos fiscales</t>
  </si>
  <si>
    <t>sebastian</t>
  </si>
  <si>
    <t xml:space="preserve">serenisima </t>
  </si>
  <si>
    <t>lavanderia</t>
  </si>
  <si>
    <t xml:space="preserve">farmacia costa </t>
  </si>
  <si>
    <t>verdu fp</t>
  </si>
  <si>
    <t>elcriollo</t>
  </si>
  <si>
    <t>claudia TARDE</t>
  </si>
  <si>
    <t>moto a veronica contadora</t>
  </si>
  <si>
    <t xml:space="preserve">molly malone envio </t>
  </si>
  <si>
    <t>fito muelas maquina de cafe</t>
  </si>
  <si>
    <t>mesa rafa</t>
  </si>
  <si>
    <t>rafa</t>
  </si>
  <si>
    <t>retira hernan</t>
  </si>
  <si>
    <t>pilaas</t>
  </si>
  <si>
    <t>verduleria</t>
  </si>
  <si>
    <t xml:space="preserve">curitas </t>
  </si>
  <si>
    <t xml:space="preserve">BEBIDAS </t>
  </si>
  <si>
    <t xml:space="preserve">carne </t>
  </si>
  <si>
    <t xml:space="preserve">verd prem </t>
  </si>
  <si>
    <t xml:space="preserve">ormazabal </t>
  </si>
  <si>
    <t>contadora veronica</t>
  </si>
  <si>
    <t>PAGADO 31/8</t>
  </si>
  <si>
    <t>PAGADO 6/9</t>
  </si>
  <si>
    <t>PAGADO 1/10</t>
  </si>
  <si>
    <t>ARREGLO BICI</t>
  </si>
  <si>
    <t>HILO ENCERADO</t>
  </si>
  <si>
    <t>edu mercado central</t>
  </si>
  <si>
    <t>...</t>
  </si>
  <si>
    <t>service horno pauna</t>
  </si>
  <si>
    <t xml:space="preserve">evangelina </t>
  </si>
  <si>
    <t>licuadora</t>
  </si>
  <si>
    <t>fruteria prem</t>
  </si>
  <si>
    <t>sebastian wraps</t>
  </si>
  <si>
    <t>daniel queso</t>
  </si>
  <si>
    <t>GRILLO</t>
  </si>
  <si>
    <t>PASTAS</t>
  </si>
  <si>
    <t>3 semanas</t>
  </si>
  <si>
    <t>edu verduleria</t>
  </si>
  <si>
    <t>moto molly</t>
  </si>
  <si>
    <t>retiro lau</t>
  </si>
  <si>
    <t>se adeuda la serenisima</t>
  </si>
  <si>
    <t>rodri combi</t>
  </si>
  <si>
    <t>persiana</t>
  </si>
  <si>
    <t>edu verdu</t>
  </si>
  <si>
    <t>auto contadora</t>
  </si>
  <si>
    <t>AFIP-DGI</t>
  </si>
  <si>
    <t>honorarios veronica contadora</t>
  </si>
  <si>
    <t>JUEVES19</t>
  </si>
  <si>
    <t>cuyasires</t>
  </si>
  <si>
    <t>es vainilla</t>
  </si>
  <si>
    <t>alquiler AGOSTO (parte A)</t>
  </si>
  <si>
    <t>scm limpieza</t>
  </si>
  <si>
    <t>geo bazar</t>
  </si>
  <si>
    <t>sebas</t>
  </si>
  <si>
    <t>verduleria fp</t>
  </si>
  <si>
    <t>jt</t>
  </si>
  <si>
    <t>marcelo agachate y conocelo</t>
  </si>
  <si>
    <t>cif</t>
  </si>
  <si>
    <t>Grillo</t>
  </si>
  <si>
    <t>edesur</t>
  </si>
  <si>
    <t>metrogas</t>
  </si>
  <si>
    <t>alquiler parte B</t>
  </si>
  <si>
    <t>anchoa + lijas</t>
  </si>
  <si>
    <t>galletitas oreo</t>
  </si>
  <si>
    <t>VEP AUTONOMOS</t>
  </si>
  <si>
    <t>EXPENSAS AGOSTO</t>
  </si>
  <si>
    <t>HONORARIOS CONTADORA (JUNIO)</t>
  </si>
  <si>
    <t>caja galletias oreo</t>
  </si>
  <si>
    <t>polvo hornear</t>
  </si>
  <si>
    <t>el zurdo medialunas</t>
  </si>
  <si>
    <t>LIQUIDACION LUCAS</t>
  </si>
  <si>
    <t>LIQUIDACION CRISTIAN</t>
  </si>
  <si>
    <t>penguin fac31/5</t>
  </si>
  <si>
    <t>fiambre</t>
  </si>
  <si>
    <t>tenedores aji diseño</t>
  </si>
  <si>
    <t>fm5 y fm7</t>
  </si>
  <si>
    <t>verduleria merc central</t>
  </si>
  <si>
    <t>alquiler junio parte b</t>
  </si>
  <si>
    <t>damian burletes heladera</t>
  </si>
  <si>
    <t xml:space="preserve">bebidas </t>
  </si>
  <si>
    <t>fruteria palta</t>
  </si>
  <si>
    <t>chino azucar</t>
  </si>
  <si>
    <t xml:space="preserve">fruteria palta </t>
  </si>
  <si>
    <t>KIOSCO</t>
  </si>
  <si>
    <t>FRUTERIA</t>
  </si>
  <si>
    <t>palta sagrada cajon *10k</t>
  </si>
  <si>
    <t>liquidacion final christian</t>
  </si>
  <si>
    <t>liquidacion final lucas</t>
  </si>
  <si>
    <t>alejo</t>
  </si>
  <si>
    <t>fenix</t>
  </si>
  <si>
    <t>MIERCOLES14</t>
  </si>
  <si>
    <t>AYSA (DEUDA)</t>
  </si>
  <si>
    <t>ALQUILER (PARTE A)</t>
  </si>
  <si>
    <t>EDU MERCADO CTRAL</t>
  </si>
  <si>
    <t>Palta Sagrada</t>
  </si>
  <si>
    <t>cajas galletita oreo</t>
  </si>
  <si>
    <t>daniel lopez quesos</t>
  </si>
  <si>
    <t>expensas arthur</t>
  </si>
  <si>
    <t>alejandro bebidas</t>
  </si>
  <si>
    <t>frut prem</t>
  </si>
  <si>
    <t>carrefpur</t>
  </si>
  <si>
    <t>honorarios contadora</t>
  </si>
  <si>
    <t>verduleria edu</t>
  </si>
  <si>
    <t>sabado 31</t>
  </si>
  <si>
    <t>AUGUSTO</t>
  </si>
  <si>
    <t>dantooine y cintas albahaca mono</t>
  </si>
  <si>
    <t>pengui (fac abril)</t>
  </si>
  <si>
    <t>augusto</t>
  </si>
  <si>
    <t>chino choco aguila</t>
  </si>
  <si>
    <t>mary 20/5*9.5hs y 21/5 *9hs</t>
  </si>
  <si>
    <t>manzanas mary</t>
  </si>
  <si>
    <t>EL CRIOLLO</t>
  </si>
  <si>
    <t>JAMON COCIDO</t>
  </si>
  <si>
    <t>BOLSAS CONS</t>
  </si>
  <si>
    <t xml:space="preserve">mercado central </t>
  </si>
  <si>
    <t>tia maria, oreo, stevia</t>
  </si>
  <si>
    <t>chocolate alpino</t>
  </si>
  <si>
    <t>guantes limpieza</t>
  </si>
  <si>
    <t>camila limpieza</t>
  </si>
  <si>
    <t>micron caja macarons</t>
  </si>
  <si>
    <t>Alquiler blanco</t>
  </si>
  <si>
    <t>cami limpieza</t>
  </si>
  <si>
    <t>esponjas</t>
  </si>
  <si>
    <t>blanstein</t>
  </si>
  <si>
    <t>AFIP</t>
  </si>
  <si>
    <t>Motofeca</t>
  </si>
  <si>
    <t>papelera</t>
  </si>
  <si>
    <t>ferreteria marcelo</t>
  </si>
  <si>
    <t>VALOT</t>
  </si>
  <si>
    <t>verdulero mercado central</t>
  </si>
  <si>
    <t>puerto blest syrups</t>
  </si>
  <si>
    <t>PEPSI</t>
  </si>
  <si>
    <t>fito, cambio de duchas</t>
  </si>
  <si>
    <t>edu verdura mercado central</t>
  </si>
  <si>
    <t>papelera gonzanio</t>
  </si>
  <si>
    <t>franco</t>
  </si>
  <si>
    <t>LA SERE</t>
  </si>
  <si>
    <t>liquidacion final fede</t>
  </si>
  <si>
    <t>mary 15/4 *7hs 19/4 *8.5hs</t>
  </si>
  <si>
    <t>la serenis</t>
  </si>
  <si>
    <t>fran</t>
  </si>
  <si>
    <t>visita tecnico freezer</t>
  </si>
  <si>
    <t>parmesano</t>
  </si>
  <si>
    <t xml:space="preserve">QUESO </t>
  </si>
  <si>
    <t>mary 21*8.5 23*9.5</t>
  </si>
  <si>
    <t>alquiler parte A (mayo)</t>
  </si>
  <si>
    <t>alquiler parte B (abril)</t>
  </si>
  <si>
    <t>romina</t>
  </si>
  <si>
    <t>mary 27*9hs 29*9hs</t>
  </si>
  <si>
    <t xml:space="preserve">tia maria </t>
  </si>
  <si>
    <t>envio contadora</t>
  </si>
  <si>
    <t>costa curitas</t>
  </si>
  <si>
    <t>mary 30/4 9.5hs</t>
  </si>
  <si>
    <t>consumo tostado abel</t>
  </si>
  <si>
    <t>la seren</t>
  </si>
  <si>
    <t>FRAN</t>
  </si>
  <si>
    <t>termostato 262</t>
  </si>
  <si>
    <t>jazmin limpieza</t>
  </si>
  <si>
    <t xml:space="preserve">mercado </t>
  </si>
  <si>
    <t>MARY 4/1*9HS</t>
  </si>
  <si>
    <t>mary 6/5 *9hs 7/5 *8.5hs</t>
  </si>
  <si>
    <t>feriado sueldo cocina</t>
  </si>
  <si>
    <t>feriado sueldo barra</t>
  </si>
  <si>
    <t>Mary 11/5 *9,5hs 14/5*9hs</t>
  </si>
  <si>
    <t>adelanto juan</t>
  </si>
  <si>
    <t>ch queso</t>
  </si>
  <si>
    <t>electricidad</t>
  </si>
  <si>
    <t xml:space="preserve">plomero </t>
  </si>
  <si>
    <t>papa premium</t>
  </si>
  <si>
    <t>MARY 15/5*9hs 18/5*9hs</t>
  </si>
  <si>
    <t>expensas</t>
  </si>
  <si>
    <t>parte B alquiler</t>
  </si>
  <si>
    <t>VERDU</t>
  </si>
  <si>
    <t>abrelatas</t>
  </si>
  <si>
    <t xml:space="preserve">MARY 9/3 Y 10/3 </t>
  </si>
  <si>
    <t>polvo de hornear</t>
  </si>
  <si>
    <t>adelanto cris</t>
  </si>
  <si>
    <t>la sere</t>
  </si>
  <si>
    <t>beat contadora</t>
  </si>
  <si>
    <t>25228.52</t>
  </si>
  <si>
    <t>saldo metrogas</t>
  </si>
  <si>
    <t>producto romi</t>
  </si>
  <si>
    <t>romi</t>
  </si>
  <si>
    <t>PAPELERA</t>
  </si>
  <si>
    <t>bebida pepsi</t>
  </si>
  <si>
    <t>alquiler marzo parte a</t>
  </si>
  <si>
    <t>frutas premiun</t>
  </si>
  <si>
    <t xml:space="preserve">aji diseño bandejas </t>
  </si>
  <si>
    <t>batidor</t>
  </si>
  <si>
    <t>cajon</t>
  </si>
  <si>
    <t>alquiler B marzo</t>
  </si>
  <si>
    <t>JUEVES15</t>
  </si>
  <si>
    <t>adelanto lucas</t>
  </si>
  <si>
    <t>pepsi</t>
  </si>
  <si>
    <t>RICOTA</t>
  </si>
  <si>
    <t>MICROONDAS</t>
  </si>
  <si>
    <t>aji diseño</t>
  </si>
  <si>
    <t>stickers</t>
  </si>
  <si>
    <t>mesas y sillas</t>
  </si>
  <si>
    <t>adelanto del 50%</t>
  </si>
  <si>
    <t>mary 13/3 y 25/3</t>
  </si>
  <si>
    <t>cafe fp rafa adel</t>
  </si>
  <si>
    <t>franc</t>
  </si>
  <si>
    <t>mary 26/3 y 30/3</t>
  </si>
  <si>
    <t>alquiler bco abril</t>
  </si>
  <si>
    <t>distrib almafuerte</t>
  </si>
  <si>
    <t>adel cris</t>
  </si>
  <si>
    <t>mary 1/4 9hs</t>
  </si>
  <si>
    <t>veronica contadora 11500 + 3000 repro</t>
  </si>
  <si>
    <t>sillas</t>
  </si>
  <si>
    <t>flete sillas</t>
  </si>
  <si>
    <t>mary 2/4 hs y 6/4 9hs</t>
  </si>
  <si>
    <t>azucar mary</t>
  </si>
  <si>
    <t>mary 8/4 * 8h 13/4 *9hs</t>
  </si>
  <si>
    <t>autonomos</t>
  </si>
  <si>
    <t>LUNES 1</t>
  </si>
  <si>
    <t>plancheta 4 hornallas}</t>
  </si>
  <si>
    <t>CASA TATI</t>
  </si>
  <si>
    <t>FRANCO</t>
  </si>
  <si>
    <t xml:space="preserve">mastellone </t>
  </si>
  <si>
    <t>posa torta</t>
  </si>
  <si>
    <t>adelanto lucho</t>
  </si>
  <si>
    <t>ajo</t>
  </si>
  <si>
    <t>ADELANTO JUAN</t>
  </si>
  <si>
    <t>MARY 17/2*7.5 + 19/2*8HS</t>
  </si>
  <si>
    <t>verduras</t>
  </si>
  <si>
    <t>uber a veronica</t>
  </si>
  <si>
    <t>cuchillos aji diseño</t>
  </si>
  <si>
    <t>adelanto colocacion puerta</t>
  </si>
  <si>
    <t>licuadora arreglo</t>
  </si>
  <si>
    <t>cilantro</t>
  </si>
  <si>
    <t>veronica contadora (11500 hono + 3000 atp + 684 viatico)</t>
  </si>
  <si>
    <t>muffin adelanto cris</t>
  </si>
  <si>
    <t>mary 23/2</t>
  </si>
  <si>
    <t>herrero</t>
  </si>
  <si>
    <t>VERDULERIA</t>
  </si>
  <si>
    <t>bidon alcohol etilico</t>
  </si>
  <si>
    <t>ACEITE FREIDOR</t>
  </si>
  <si>
    <t>TIAMARIA</t>
  </si>
  <si>
    <t>ROMINA</t>
  </si>
  <si>
    <t>HERRERO PUERTA</t>
  </si>
  <si>
    <t>aji diseño (bandejas exhibidoras)</t>
  </si>
  <si>
    <t>alquiler blanco</t>
  </si>
  <si>
    <t>mary 25/2 *10hs y 2/3 *9hs</t>
  </si>
  <si>
    <t>ADELANTO ALFARO</t>
  </si>
  <si>
    <t>ARO MOLDE</t>
  </si>
  <si>
    <t>32422.06</t>
  </si>
  <si>
    <t xml:space="preserve">QUINTELA </t>
  </si>
  <si>
    <t>lourdes</t>
  </si>
  <si>
    <t>lasere</t>
  </si>
  <si>
    <t>metrotel</t>
  </si>
  <si>
    <t>penguin fac 1194</t>
  </si>
  <si>
    <t>ORMAZABALK</t>
  </si>
  <si>
    <t>faja lumbar</t>
  </si>
  <si>
    <t>MIGUEL ALFARO (INDIVIDUALES)</t>
  </si>
  <si>
    <t>mary 4/3 y 6/3</t>
  </si>
  <si>
    <t>sorbetes kraft</t>
  </si>
  <si>
    <t>quesos</t>
  </si>
  <si>
    <t>esponja de acero</t>
  </si>
  <si>
    <t>VERD</t>
  </si>
  <si>
    <t>OBRA SOTANO</t>
  </si>
  <si>
    <t>FLETE PLACAS</t>
  </si>
  <si>
    <t>OBRA EN SECO</t>
  </si>
  <si>
    <t>SEMANA MARCELO 14/1</t>
  </si>
  <si>
    <t>FLETE</t>
  </si>
  <si>
    <t>SEMANA MARCELO 22/1</t>
  </si>
  <si>
    <t>canilla FV</t>
  </si>
  <si>
    <t>REX</t>
  </si>
  <si>
    <t>PINTURERIA</t>
  </si>
  <si>
    <t xml:space="preserve">semana marcelo 29/1 </t>
  </si>
  <si>
    <t>plomeria</t>
  </si>
  <si>
    <t>sanitarios</t>
  </si>
  <si>
    <t>semana marcelo 5/02</t>
  </si>
  <si>
    <t>adelanto cartucho</t>
  </si>
  <si>
    <t>cinta y plastico cloacal y rodillo</t>
  </si>
  <si>
    <t>mdf bajo escalera + flete</t>
  </si>
  <si>
    <t>semana marcelo 15//2</t>
  </si>
  <si>
    <t>tarugos y escuadra</t>
  </si>
  <si>
    <t>cartucho</t>
  </si>
  <si>
    <t>gustavo carpintero</t>
  </si>
  <si>
    <t>maquinaria Gastropan</t>
  </si>
  <si>
    <t>martes 30</t>
  </si>
  <si>
    <t>ACEITE</t>
  </si>
  <si>
    <t>faja abel</t>
  </si>
  <si>
    <t>PARTE BLANCA ALQUILER ENERO</t>
  </si>
  <si>
    <t>taxi contadora</t>
  </si>
  <si>
    <t>frutillas</t>
  </si>
  <si>
    <t>LEDEVIT</t>
  </si>
  <si>
    <t>mary(7/1|12/1)</t>
  </si>
  <si>
    <t>cris</t>
  </si>
  <si>
    <t>alcohol en gel</t>
  </si>
  <si>
    <t>PAPA</t>
  </si>
  <si>
    <t>adelanto fede</t>
  </si>
  <si>
    <t>dips</t>
  </si>
  <si>
    <t>mary 14/1 y 18/1</t>
  </si>
  <si>
    <t>MARY</t>
  </si>
  <si>
    <t>esponjas cocina</t>
  </si>
  <si>
    <t>HONORARIOS CONTADORA</t>
  </si>
  <si>
    <t>ALQUILER BLANCO</t>
  </si>
  <si>
    <t>limpieza productos</t>
  </si>
  <si>
    <t>platsul</t>
  </si>
  <si>
    <t>mary 2/2 y 4/2</t>
  </si>
  <si>
    <t>juandelanto</t>
  </si>
  <si>
    <t>honorarios extra x atp CONTADORA</t>
  </si>
  <si>
    <t>globo</t>
  </si>
  <si>
    <t>mary 11/2 y 13/2</t>
  </si>
  <si>
    <t>gonzalo quesos</t>
  </si>
  <si>
    <t>sabado 2</t>
  </si>
  <si>
    <t xml:space="preserve">Semana LUCAS </t>
  </si>
  <si>
    <t>Semana RAFA</t>
  </si>
  <si>
    <t>Semana CRIS</t>
  </si>
  <si>
    <t>vacaciones Cris</t>
  </si>
  <si>
    <t>RUCULA</t>
  </si>
  <si>
    <t>lunes 4</t>
  </si>
  <si>
    <t>molde savarin</t>
  </si>
  <si>
    <t>auto a contadora</t>
  </si>
  <si>
    <t>martes 5</t>
  </si>
  <si>
    <t>frutas prem</t>
  </si>
  <si>
    <t>mary 15/12*9hs + 17/12 *8hs</t>
  </si>
  <si>
    <t>miercoles 6</t>
  </si>
  <si>
    <t>CENICERO</t>
  </si>
  <si>
    <t>frutas premi</t>
  </si>
  <si>
    <t>jueves 7</t>
  </si>
  <si>
    <t>COSTA BOTIQUIN</t>
  </si>
  <si>
    <t>candado bici</t>
  </si>
  <si>
    <t>21/12*8.5 22/12 *6HS MARY</t>
  </si>
  <si>
    <t>acetona</t>
  </si>
  <si>
    <t>viernes 8</t>
  </si>
  <si>
    <t>escobas</t>
  </si>
  <si>
    <t>tapas wraps</t>
  </si>
  <si>
    <t>sabado 9</t>
  </si>
  <si>
    <t>romi limpieza</t>
  </si>
  <si>
    <t>lunes 11</t>
  </si>
  <si>
    <t>alcohol, costa</t>
  </si>
  <si>
    <t>martes 12</t>
  </si>
  <si>
    <t>aire acond service</t>
  </si>
  <si>
    <t>miercoles 13</t>
  </si>
  <si>
    <t>jueves 14</t>
  </si>
  <si>
    <t>TIA MARIA</t>
  </si>
  <si>
    <t>caffettino</t>
  </si>
  <si>
    <t>viernes 15</t>
  </si>
  <si>
    <t>delivery</t>
  </si>
  <si>
    <t>sabado 16</t>
  </si>
  <si>
    <t>lunes 18</t>
  </si>
  <si>
    <t>martes 19</t>
  </si>
  <si>
    <t>mary 29/12*7hs + 5/1*9hs</t>
  </si>
  <si>
    <t>cafe supremo cris</t>
  </si>
  <si>
    <t>miercoles 20</t>
  </si>
  <si>
    <t>jueves 21</t>
  </si>
  <si>
    <t>viernes 22</t>
  </si>
  <si>
    <t>puerto blest</t>
  </si>
  <si>
    <t xml:space="preserve"> franco</t>
  </si>
  <si>
    <t>sabado 23</t>
  </si>
  <si>
    <t>lunes 25</t>
  </si>
  <si>
    <t>psa filtro</t>
  </si>
  <si>
    <t>martes 26</t>
  </si>
  <si>
    <t>service fito</t>
  </si>
  <si>
    <t>miercoles 27</t>
  </si>
  <si>
    <t>TAXI WRAPS</t>
  </si>
  <si>
    <t>jueves 28</t>
  </si>
  <si>
    <t xml:space="preserve">blem romi </t>
  </si>
  <si>
    <t>viernes 29</t>
  </si>
  <si>
    <t>FABRICA LAURIMAR</t>
  </si>
  <si>
    <t>FRANCO DELI</t>
  </si>
  <si>
    <t>sabado 30</t>
  </si>
  <si>
    <r>
      <rPr>
        <b/>
        <sz val="8.0"/>
      </rPr>
      <t xml:space="preserve">PEDIDOS YA </t>
    </r>
    <r>
      <rPr>
        <b/>
        <color rgb="FFFF0000"/>
        <sz val="8.0"/>
      </rPr>
      <t>PAGO-ONLINE</t>
    </r>
  </si>
  <si>
    <t>Palta Hass Brasil Cal 50/60 Cajón 10kg</t>
  </si>
  <si>
    <t>verdu 6000</t>
  </si>
  <si>
    <t>pollo 7200, carne 5300</t>
  </si>
  <si>
    <t>huevos 2500 la sere 4300 harina 4600 cheque quintela</t>
  </si>
  <si>
    <t>pollo 7200 wraps 2600 verdu 8000</t>
  </si>
  <si>
    <t>wraps 2600</t>
  </si>
  <si>
    <t>verdu 6000, el criollo 2700</t>
  </si>
  <si>
    <t>7000 verdu</t>
  </si>
  <si>
    <t>4500 LA SERE 7200 CRIOLLO</t>
  </si>
  <si>
    <t>4300 harina 7000 verdu 7200 pollo ch quintela</t>
  </si>
  <si>
    <t xml:space="preserve">3600 pollo 6500 cuyaires </t>
  </si>
  <si>
    <t>5600 carne 6000 verdu 6000 la seren</t>
  </si>
  <si>
    <t xml:space="preserve">2029 coca 7200 pollo </t>
  </si>
  <si>
    <t>coca 2029 huevos 2500 verdu 6000</t>
  </si>
  <si>
    <t>harina 5500 la sere 4400 pollo 7200</t>
  </si>
  <si>
    <t>verdu 6500 criollo 9200</t>
  </si>
  <si>
    <t>valot 3175 ormazabal 5625 aceite 4200</t>
  </si>
  <si>
    <t>pollo 7200 carne 3000 verdu 7000 la seren 4500</t>
  </si>
  <si>
    <t>coca 2640</t>
  </si>
  <si>
    <t>verdu 7000 coca 2640</t>
  </si>
  <si>
    <t xml:space="preserve">huevos 2400 verdu 3500 la sere 4600 carne 6000 pollo 7200 elcriollo 8300 cheque quintela </t>
  </si>
  <si>
    <t>harina 5000 verdu 6000 coca 1840 cuyaires 4640</t>
  </si>
  <si>
    <t>pollo 7200 coca 1832 cuyaires 4635 cheque ormazabal</t>
  </si>
  <si>
    <t>verdu 6000 la seren 4000 bebidas 7000 pollo 3600</t>
  </si>
  <si>
    <t>verdu 7000 carne 4000 pollo 7400</t>
  </si>
  <si>
    <t>la sere 4000 harina 8000 el criollo 10400</t>
  </si>
  <si>
    <t>verdu 8000 huevos 2500 cuyaires 3200 criollo 6500 pollo 7200</t>
  </si>
  <si>
    <t xml:space="preserve">cuyaires 3200 carne 2500 cheque </t>
  </si>
  <si>
    <t>palta 1200 la serenisima 4700 verdu 6000</t>
  </si>
  <si>
    <t>3900 CARNE 7400 POLLO</t>
  </si>
  <si>
    <t>9000 verdu 1500 palta</t>
  </si>
  <si>
    <t>cheque quintela 6420 cuyaires 9200 criollo</t>
  </si>
  <si>
    <t>verdu 10000 pollo 7400 carne 8000</t>
  </si>
  <si>
    <t>harina 5000 la seren 4200 palta 1725</t>
  </si>
  <si>
    <t>verdu 3500 pollo 7400 huevo 2500 oliva 2220 bebidas 7800</t>
  </si>
  <si>
    <t>7500 verdu</t>
  </si>
  <si>
    <t>EL CRIOLLO 11500 POLLO 7600 CARNE 5500 GONZANIO 7730</t>
  </si>
  <si>
    <t>ch ormaz 36067,37 ch quintela 20000 ch quintela 20832,13 la seren 2500 palta 1800</t>
  </si>
  <si>
    <t>pollo 7600 carne 5500 harina 4600</t>
  </si>
  <si>
    <t>ACEITE 4100</t>
  </si>
  <si>
    <t>pollo 3800 carne 6000</t>
  </si>
  <si>
    <t>la seren 3000</t>
  </si>
  <si>
    <t>palta sagrada 1500 ormzabal ch24185.32 y 3000ef harina 6500 carne 6500 quintela ch blanco</t>
  </si>
  <si>
    <t>pollo3800 el criollo 6000</t>
  </si>
  <si>
    <t>7800 pollo 11337 gonzanio</t>
  </si>
  <si>
    <t>8300 carne</t>
  </si>
  <si>
    <t xml:space="preserve">11000 criollo cheque quintela </t>
  </si>
  <si>
    <t>carne 3100 coca 2500 propi lucho</t>
  </si>
  <si>
    <t>EL CRIOLLO 11000 HARINA 6000 CHEQUE QUINTELA</t>
  </si>
  <si>
    <t>7000 pollo 6200 carne</t>
  </si>
  <si>
    <t>PALTA 1600 CUYAIRES 11400</t>
  </si>
  <si>
    <t xml:space="preserve">CHEQUE ORMAZABAL </t>
  </si>
  <si>
    <t>carne 3100 pollo 5300</t>
  </si>
  <si>
    <t>HARINA 4700 CHEQUE QUINTELA</t>
  </si>
  <si>
    <t>palta 1600 el criollo 10000 carne 5000 pollo 7000</t>
  </si>
  <si>
    <t>carne 3200 pollo 5250 ch valot 9125,82</t>
  </si>
  <si>
    <t>palta 3000 carne 6300 pollo 5250 ch quintela</t>
  </si>
  <si>
    <t>wraps 7250 pollo 5250</t>
  </si>
  <si>
    <t>carne 3200</t>
  </si>
  <si>
    <t>damian 7500</t>
  </si>
  <si>
    <t>carne 8500</t>
  </si>
  <si>
    <t>palta 5177 pollo 5400 carne 3000</t>
  </si>
  <si>
    <t xml:space="preserve">verduleria 1000/wraps 3500/ quintela 16327 y cheque en blanco </t>
  </si>
  <si>
    <t>5400 pollo</t>
  </si>
  <si>
    <t>carne 6300</t>
  </si>
  <si>
    <t>Julio</t>
  </si>
  <si>
    <t>edu 12560 bebidas 3140 aceite 5200</t>
  </si>
  <si>
    <t>palta 4200 pollo 11700 carne 6000 aceite freidora 5200</t>
  </si>
  <si>
    <t>harina 2500</t>
  </si>
  <si>
    <t>cheque ormazabal cheque quintela pollo5400 carne1800</t>
  </si>
  <si>
    <t xml:space="preserve">5900 pollo 3000 carne </t>
  </si>
  <si>
    <t>palta 3400 pollo 5900</t>
  </si>
  <si>
    <t>ch quintela 19792 harina 7500 wraps 3450</t>
  </si>
  <si>
    <t>pollo 7200 cuyaires 9905 coca 1600 wrap 3500 carne 4800</t>
  </si>
  <si>
    <t>verdu 6780 wraps 3500</t>
  </si>
  <si>
    <t>pollo 7200 palta 3475 carne 4800 ch quintela bco</t>
  </si>
  <si>
    <t>pollo 7200 aceite freidora 5200 valot 3755 bebidas 3400</t>
  </si>
  <si>
    <t>carne 1800 harina 5000  bebida 3400 valot 3755 aceite 5200 cuyaires 1420 ch ormazabal 15374 quintela anchoas 1500</t>
  </si>
  <si>
    <t>verdu 5000</t>
  </si>
  <si>
    <t>palta 3410</t>
  </si>
  <si>
    <t>Lunes</t>
  </si>
  <si>
    <t>coca 3030</t>
  </si>
  <si>
    <t>VERDU 8800</t>
  </si>
  <si>
    <t>pollo 7200 carne 3000</t>
  </si>
  <si>
    <t>palta 4200 cheque quintela</t>
  </si>
  <si>
    <t>palta 4200 cheque quintela pollo 7200 carne 4800 bebida 2700</t>
  </si>
  <si>
    <t>verdu 12000 bebidas 5220 pollo 7200</t>
  </si>
  <si>
    <t>pollo 7200 carne 3000 ch quintela 12892,17 ch quintela en bco</t>
  </si>
  <si>
    <t xml:space="preserve">marilu 8000 </t>
  </si>
  <si>
    <t>5900 pollo</t>
  </si>
  <si>
    <t>coca 3900 ch quintela</t>
  </si>
  <si>
    <t>11700 pollo ch quintela</t>
  </si>
  <si>
    <t>5800 pollo</t>
  </si>
  <si>
    <t xml:space="preserve">harina 4500 bebida 4120 </t>
  </si>
  <si>
    <t>4800 PALTAS</t>
  </si>
  <si>
    <t>POLLO 11700 CARNE 3000 HARINA 5000</t>
  </si>
  <si>
    <t>COCA 3160 HARINA 2500</t>
  </si>
  <si>
    <t>verdu 16050, pollo 7800, carne 6000, bebidas 5000, coca 3160</t>
  </si>
  <si>
    <t>palta 3200 harina 3800 pollo 12000 ch quintela</t>
  </si>
  <si>
    <t>carne 4800 oliva 2580</t>
  </si>
  <si>
    <t>pollo 12000</t>
  </si>
  <si>
    <t>coca 4242 ch quintela</t>
  </si>
  <si>
    <t>pollo 12000 harina7500 carne 3000 ch quintela</t>
  </si>
  <si>
    <t xml:space="preserve">bebidas 5100 </t>
  </si>
  <si>
    <t>bebidas 1815 aceite freidora 5200 cuyaires 18310 edu 9630</t>
  </si>
  <si>
    <t>cuyaire 18310 carne 6500 pollo 12300 bebida 1815</t>
  </si>
  <si>
    <t>CH QUINTELA</t>
  </si>
  <si>
    <t>harina4500 pollo 12300</t>
  </si>
  <si>
    <t>ch ormazabal</t>
  </si>
  <si>
    <t>pollo 6800</t>
  </si>
  <si>
    <t>6500 coca ch quintela</t>
  </si>
  <si>
    <t>harina 6000. pollo 12300</t>
  </si>
  <si>
    <t>POLLO 12300 CARNE 3800</t>
  </si>
  <si>
    <t>pollo 6150</t>
  </si>
  <si>
    <t>6000 harina 12300 pollo</t>
  </si>
  <si>
    <t>5000 carne</t>
  </si>
  <si>
    <t>oliva 5280</t>
  </si>
  <si>
    <t>POLLO 13200</t>
  </si>
  <si>
    <t>harina 5500</t>
  </si>
  <si>
    <t>pollo 13200</t>
  </si>
  <si>
    <t xml:space="preserve">ch ormazabal bebidas 9920 </t>
  </si>
  <si>
    <t>13200 pollo</t>
  </si>
  <si>
    <t>pollo 6400</t>
  </si>
  <si>
    <t xml:space="preserve">pollo 4400 carne 6000 ch ormazabal </t>
  </si>
  <si>
    <t>pollo 13200 marcelo 4400</t>
  </si>
  <si>
    <t xml:space="preserve">4000 marcelo reja </t>
  </si>
  <si>
    <t>4000 marcelo reja</t>
  </si>
  <si>
    <t>5000 harina 15400 pollo</t>
  </si>
  <si>
    <t>7850 individuales, ormazabal ch1q</t>
  </si>
  <si>
    <t>carne 3800</t>
  </si>
  <si>
    <t>CH ORMAZABAL CH QUINTELA POLLO 13800</t>
  </si>
  <si>
    <t>pollo 13800aceite freidora 6200</t>
  </si>
  <si>
    <t>ch quintela pollo 13800 harina 6000</t>
  </si>
  <si>
    <t>pollo 13800</t>
  </si>
  <si>
    <t>Pollo 13800</t>
  </si>
  <si>
    <t>pollo 13000</t>
  </si>
  <si>
    <t>manteca 11600 harina 3000</t>
  </si>
  <si>
    <t>}</t>
  </si>
  <si>
    <r>
      <rPr>
        <b/>
        <sz val="8.0"/>
      </rPr>
      <t xml:space="preserve">PEDIDOS YA </t>
    </r>
    <r>
      <rPr>
        <b/>
        <color rgb="FFFF0000"/>
        <sz val="8.0"/>
      </rPr>
      <t>PAGO-ONLINE</t>
    </r>
  </si>
  <si>
    <t>VU SECURYTY</t>
  </si>
  <si>
    <t>BASE</t>
  </si>
  <si>
    <t xml:space="preserve"> EFECTIVO</t>
  </si>
  <si>
    <t>DIFERENCIA</t>
  </si>
  <si>
    <t>GASTOS DIARIOS</t>
  </si>
  <si>
    <t>EXCEDENTE</t>
  </si>
  <si>
    <t>SALDO</t>
  </si>
  <si>
    <t>EXTRA BANCO</t>
  </si>
  <si>
    <t>CAJA CHICA</t>
  </si>
  <si>
    <t>LIBRE</t>
  </si>
  <si>
    <t>CARNAVAL</t>
  </si>
  <si>
    <t>EFECTIVO</t>
  </si>
  <si>
    <t>mary 17/11*7+19/11*6.5</t>
  </si>
  <si>
    <t>UBER A CONTADORA</t>
  </si>
  <si>
    <t>RETIRA LAU</t>
  </si>
  <si>
    <t>coladores</t>
  </si>
  <si>
    <t>romina limpieza</t>
  </si>
  <si>
    <t>syrup puerto blest</t>
  </si>
  <si>
    <t xml:space="preserve">CRIS COOKIES </t>
  </si>
  <si>
    <t>LA serenisima</t>
  </si>
  <si>
    <t>RETIRA LAURA</t>
  </si>
  <si>
    <t>SUELDO JUAN</t>
  </si>
  <si>
    <t>FRUTAS premium</t>
  </si>
  <si>
    <t>combi</t>
  </si>
  <si>
    <t>Mary 20/11 *5hs + 24/11 *8hs</t>
  </si>
  <si>
    <t>leche almendra</t>
  </si>
  <si>
    <t>tazas</t>
  </si>
  <si>
    <t>flores secas</t>
  </si>
  <si>
    <t>MERCOU</t>
  </si>
  <si>
    <t>adelanto juan taxi</t>
  </si>
  <si>
    <t>frutas Premium</t>
  </si>
  <si>
    <t>mary 7.5hs 26/11</t>
  </si>
  <si>
    <t>bebidas pepsi</t>
  </si>
  <si>
    <t>palmito</t>
  </si>
  <si>
    <t>morixe</t>
  </si>
  <si>
    <t>pan dulce</t>
  </si>
  <si>
    <t>guantes</t>
  </si>
  <si>
    <t>honorarios contadora 9500 + 5000 plan de pagos adeudado</t>
  </si>
  <si>
    <t>METROGAS ADEUDADO</t>
  </si>
  <si>
    <t>alquiler parte A</t>
  </si>
  <si>
    <t>MARI 1/12</t>
  </si>
  <si>
    <t xml:space="preserve">productos limpieza </t>
  </si>
  <si>
    <t>MARY 3/12 * 8HS</t>
  </si>
  <si>
    <t>VIATICO COCINA X PARO</t>
  </si>
  <si>
    <t xml:space="preserve">deuda EDESUR </t>
  </si>
  <si>
    <t>ALQUILER PARTE B</t>
  </si>
  <si>
    <t>uber cajas</t>
  </si>
  <si>
    <t>menta</t>
  </si>
  <si>
    <t>lucas adelanto</t>
  </si>
  <si>
    <t>cris adelanto</t>
  </si>
  <si>
    <t>lucas restante</t>
  </si>
  <si>
    <t>cris restante</t>
  </si>
  <si>
    <t>JT CARNE</t>
  </si>
  <si>
    <t>bicicleta</t>
  </si>
  <si>
    <t xml:space="preserve">calabaza </t>
  </si>
  <si>
    <t>arreglomixer pieza rotor</t>
  </si>
  <si>
    <t>mary 8/12*9.5 + 10/12 *8</t>
  </si>
  <si>
    <t>semana lucho</t>
  </si>
  <si>
    <t>semana rodri</t>
  </si>
  <si>
    <t>semana fede</t>
  </si>
  <si>
    <t>semana juan</t>
  </si>
  <si>
    <t>retiro LAu</t>
  </si>
  <si>
    <t>Penguin. cafe</t>
  </si>
  <si>
    <t>portavaso</t>
  </si>
  <si>
    <t>Jt</t>
  </si>
  <si>
    <t>tapas wrap</t>
  </si>
  <si>
    <t>*</t>
  </si>
  <si>
    <t>lucas</t>
  </si>
  <si>
    <t>mary *8h29/10 *6hs30/10</t>
  </si>
  <si>
    <t>MOTOFECA</t>
  </si>
  <si>
    <t>mensajeria</t>
  </si>
  <si>
    <t>red velvet</t>
  </si>
  <si>
    <t>retiira lau</t>
  </si>
  <si>
    <t>vela</t>
  </si>
  <si>
    <t>magistral</t>
  </si>
  <si>
    <t>carne jt</t>
  </si>
  <si>
    <t>deuda mayoristas net</t>
  </si>
  <si>
    <t xml:space="preserve">retira lau </t>
  </si>
  <si>
    <t>aysa adeudado</t>
  </si>
  <si>
    <t>combistato heladera exhibidora</t>
  </si>
  <si>
    <t>huevero</t>
  </si>
  <si>
    <t>taco roll</t>
  </si>
  <si>
    <t>hileret</t>
  </si>
  <si>
    <t>adelanto cristian</t>
  </si>
  <si>
    <t>adelanto rafa wrap criollo</t>
  </si>
  <si>
    <t>MARY 5/11*6HS + 10/11*8HS</t>
  </si>
  <si>
    <t>zapatilla</t>
  </si>
  <si>
    <t>pistachos</t>
  </si>
  <si>
    <t>cristian</t>
  </si>
  <si>
    <t>viatico cris</t>
  </si>
  <si>
    <t>fede extra</t>
  </si>
  <si>
    <t>lucho extra</t>
  </si>
  <si>
    <t>viatico</t>
  </si>
  <si>
    <t>viaticos</t>
  </si>
  <si>
    <t xml:space="preserve">dietetica </t>
  </si>
  <si>
    <t>yoghurt</t>
  </si>
  <si>
    <t>JT</t>
  </si>
  <si>
    <t>hilo</t>
  </si>
  <si>
    <t>naranja jugo</t>
  </si>
  <si>
    <t>marshmellow</t>
  </si>
  <si>
    <t>alcohol etilico</t>
  </si>
  <si>
    <t>COLOMBRARO</t>
  </si>
  <si>
    <t>honorarios veronica</t>
  </si>
  <si>
    <t>TORTA MARU</t>
  </si>
  <si>
    <t>ADELANTO LUCHO</t>
  </si>
  <si>
    <t>SYRUP VAINILLA</t>
  </si>
  <si>
    <t>cable destapacañ</t>
  </si>
  <si>
    <t xml:space="preserve">LUCAS </t>
  </si>
  <si>
    <t>RODRI</t>
  </si>
  <si>
    <t xml:space="preserve">CRISTIAN </t>
  </si>
  <si>
    <t>RAFAEL</t>
  </si>
  <si>
    <t>FEDERICO</t>
  </si>
  <si>
    <t>KELLY</t>
  </si>
  <si>
    <t>MARIA DIA MARTES Y JUEVES *12hrs</t>
  </si>
  <si>
    <t>LECHE*10</t>
  </si>
  <si>
    <t>KELLY ADELANTO</t>
  </si>
  <si>
    <t>torta oreo?</t>
  </si>
  <si>
    <t>3 chocotorta cris</t>
  </si>
  <si>
    <t>SERENISIMA</t>
  </si>
  <si>
    <t>9855.21</t>
  </si>
  <si>
    <t>3958.88</t>
  </si>
  <si>
    <t>vasos polipapel</t>
  </si>
  <si>
    <t>service topinera</t>
  </si>
  <si>
    <t>queseria</t>
  </si>
  <si>
    <t>frutas pr</t>
  </si>
  <si>
    <t>BAZAR</t>
  </si>
  <si>
    <t>retirolau</t>
  </si>
  <si>
    <t>rollo comanderas</t>
  </si>
  <si>
    <t>frutas premieum</t>
  </si>
  <si>
    <t>15hs maria (sab3 y mar6)</t>
  </si>
  <si>
    <t>FRUTAS PREMIIUM</t>
  </si>
  <si>
    <t>roast beef</t>
  </si>
  <si>
    <t>alquiler bco</t>
  </si>
  <si>
    <t>expensas ARTHUR</t>
  </si>
  <si>
    <t>AYSA SEP</t>
  </si>
  <si>
    <t>AYSA OCT</t>
  </si>
  <si>
    <t>cafe MOTOFECA</t>
  </si>
  <si>
    <t>mary sab 8hs+mar 7hs</t>
  </si>
  <si>
    <t>ABONAR</t>
  </si>
  <si>
    <t>aceite giraasol</t>
  </si>
  <si>
    <t>MERCERIA</t>
  </si>
  <si>
    <t>TAPAS WRAP</t>
  </si>
  <si>
    <t>LUCAS</t>
  </si>
  <si>
    <t>CRIS</t>
  </si>
  <si>
    <t>FEDE</t>
  </si>
  <si>
    <t>RAFA</t>
  </si>
  <si>
    <t>Laura retiro</t>
  </si>
  <si>
    <t>MEDIALUNAS</t>
  </si>
  <si>
    <t>RETIRO LAU</t>
  </si>
  <si>
    <t>vasos cafe</t>
  </si>
  <si>
    <t>cristina art limp</t>
  </si>
  <si>
    <t>mary, jue *7hs y sab 7hs</t>
  </si>
  <si>
    <t>almacen</t>
  </si>
  <si>
    <t>yogurth</t>
  </si>
  <si>
    <t>leche soja vegetalina</t>
  </si>
  <si>
    <t>jt carne</t>
  </si>
  <si>
    <t>mesas</t>
  </si>
  <si>
    <t>palo amasar</t>
  </si>
  <si>
    <t>mary ma *8hs y vie *5hs y sab *6hs</t>
  </si>
  <si>
    <t>plotter</t>
  </si>
  <si>
    <t>cerrajero</t>
  </si>
  <si>
    <t>cinta embalar</t>
  </si>
  <si>
    <t>NOMBRE</t>
  </si>
  <si>
    <t>INICIO</t>
  </si>
  <si>
    <t>INFORME X</t>
  </si>
  <si>
    <t>INORMACION ADICIONAL (CORRETAJE)</t>
  </si>
  <si>
    <t>VENTAS CON TARJETA</t>
  </si>
  <si>
    <t>PEDIDO YA TARJETA</t>
  </si>
  <si>
    <t>MERCADO PAGO</t>
  </si>
  <si>
    <t>VALES PERSONALES</t>
  </si>
  <si>
    <t>GASTOS</t>
  </si>
  <si>
    <t>SALDO AL CIERRE (MONTO QUE SE RETIRA)</t>
  </si>
  <si>
    <t>TOTAL SEGUN RECUENTO</t>
  </si>
  <si>
    <t>DIFERENCIA DE CAJA</t>
  </si>
  <si>
    <t>PAPELES CONTADORA</t>
  </si>
  <si>
    <t>LIMON*2.6K</t>
  </si>
  <si>
    <t>PENGUIN COFFEE</t>
  </si>
  <si>
    <t>CARNE PICADA</t>
  </si>
  <si>
    <t>MARIA DIA SABADO 9HRS</t>
  </si>
  <si>
    <t>MARIA DIA MARTES 8HRS</t>
  </si>
  <si>
    <t>VERDULERA</t>
  </si>
  <si>
    <t>GONZANIO VASOS POLIPAPEL</t>
  </si>
  <si>
    <t>supermayorista LIMPIEZA</t>
  </si>
  <si>
    <t>DESODIRANTE</t>
  </si>
  <si>
    <t>ADELANTO LUCAS</t>
  </si>
  <si>
    <t>FENIX</t>
  </si>
  <si>
    <t>HONORARIOS VERONICA</t>
  </si>
  <si>
    <t>DEL.FRASCO * 7UND</t>
  </si>
  <si>
    <t>ADELANTO CRISTIAN</t>
  </si>
  <si>
    <t>VEGETALINA/MERMELADA</t>
  </si>
  <si>
    <t>FEDE ADELANTO</t>
  </si>
  <si>
    <t>MARIA DIA MARTES*9HR</t>
  </si>
  <si>
    <t>mary dia viernes</t>
  </si>
  <si>
    <t xml:space="preserve">RODRI </t>
  </si>
  <si>
    <t>CRISTIAN</t>
  </si>
  <si>
    <t>jamon crudo bagel</t>
  </si>
  <si>
    <t>FEMSA COCA</t>
  </si>
  <si>
    <t>CAJON MAPLES</t>
  </si>
  <si>
    <t>EXPENSAS ARTHUR</t>
  </si>
  <si>
    <t>KELLY - PAGO DEL 26/09</t>
  </si>
  <si>
    <t>MOTOFECA COMPRA 27/08/20</t>
  </si>
  <si>
    <t>MERCOU POLLO</t>
  </si>
  <si>
    <t>JT FIROGRIFICO</t>
  </si>
  <si>
    <t>AGUA</t>
  </si>
  <si>
    <t>CUOTA AFIP</t>
  </si>
  <si>
    <t>MARIA DIAS SABADO 6H/ MARTES 8H</t>
  </si>
  <si>
    <t>MARIA DIA JUEVES *4H</t>
  </si>
  <si>
    <t xml:space="preserve">*2SEMANAS </t>
  </si>
  <si>
    <t>LECHE</t>
  </si>
  <si>
    <t>pollo mercou</t>
  </si>
  <si>
    <t>casa de limpieza</t>
  </si>
  <si>
    <t>SERVICE SANDWCHERA</t>
  </si>
  <si>
    <t>Maple +limon</t>
  </si>
  <si>
    <t>MARIA DIA SABADO</t>
  </si>
  <si>
    <t>TACO ROLL</t>
  </si>
  <si>
    <t>LECHE *8</t>
  </si>
  <si>
    <t xml:space="preserve">ACEITE OLIVA </t>
  </si>
  <si>
    <t>DIA MARIA</t>
  </si>
  <si>
    <t>PILAS PESA BARRA</t>
  </si>
  <si>
    <t>-1500/03/10/20</t>
  </si>
  <si>
    <t>Pan rallado</t>
  </si>
  <si>
    <t>ROLLOS POSNET</t>
  </si>
  <si>
    <t>PANCETA</t>
  </si>
  <si>
    <t>MENTA</t>
  </si>
  <si>
    <t xml:space="preserve">PENGUIN COFFEE </t>
  </si>
  <si>
    <t>palta*4</t>
  </si>
  <si>
    <t>TE</t>
  </si>
  <si>
    <t>CHAMPI</t>
  </si>
  <si>
    <t>LECHE SOJA</t>
  </si>
  <si>
    <t>ASEO</t>
  </si>
  <si>
    <t>MARIA ABONO</t>
  </si>
  <si>
    <t>PLOMERO</t>
  </si>
  <si>
    <t>JAMON CRUDO</t>
  </si>
  <si>
    <t>Jengibre</t>
  </si>
  <si>
    <t>ESPONJAS</t>
  </si>
  <si>
    <t xml:space="preserve">cRISTIAN ADELANTO </t>
  </si>
  <si>
    <t>dia mary</t>
  </si>
  <si>
    <t>papeles contadora</t>
  </si>
  <si>
    <t>balanza</t>
  </si>
  <si>
    <t>CAFE INDIGO</t>
  </si>
  <si>
    <t>ELCRIOLLO</t>
  </si>
  <si>
    <t>SAPOREDIPANE</t>
  </si>
  <si>
    <t>BIOLAC QUESO</t>
  </si>
  <si>
    <t>JMS VASOS POLIPAPEL</t>
  </si>
  <si>
    <t>FIAMBRE</t>
  </si>
  <si>
    <t>LECHE*5</t>
  </si>
  <si>
    <t>RETIRO</t>
  </si>
  <si>
    <t>CINTAS</t>
  </si>
  <si>
    <t>HONORARIOS VERONICA julio</t>
  </si>
  <si>
    <t>arreglo heladera</t>
  </si>
  <si>
    <t>dia mari martes</t>
  </si>
  <si>
    <t xml:space="preserve">HILERET </t>
  </si>
  <si>
    <t xml:space="preserve">JUAN </t>
  </si>
  <si>
    <t>panceta y pan rallado</t>
  </si>
  <si>
    <t>5.5kg de limon</t>
  </si>
  <si>
    <t>LECHEW</t>
  </si>
  <si>
    <t xml:space="preserve">CAFE MOTOFECA </t>
  </si>
  <si>
    <t xml:space="preserve">leche </t>
  </si>
  <si>
    <t>TUTO FARRA</t>
  </si>
  <si>
    <t>KEMAGOLO</t>
  </si>
  <si>
    <t>tia maria *2</t>
  </si>
  <si>
    <t>SAVORE DI PANE</t>
  </si>
  <si>
    <t>MOTOR HELADERA</t>
  </si>
  <si>
    <t>METROGAS JULIO</t>
  </si>
  <si>
    <t>indigo cafe en 1/4</t>
  </si>
  <si>
    <t xml:space="preserve">PAN RALLADO </t>
  </si>
  <si>
    <t xml:space="preserve">PANCETA </t>
  </si>
  <si>
    <t>membrillo mari</t>
  </si>
  <si>
    <t>dia mary (martes)</t>
  </si>
  <si>
    <t>CAFE MP</t>
  </si>
  <si>
    <t>HORNO PAUNA</t>
  </si>
  <si>
    <t>choco blanco</t>
  </si>
  <si>
    <t>DIA MARI ( LUN y MAR)</t>
  </si>
  <si>
    <t>Quintela/cheque</t>
  </si>
  <si>
    <t>FRutas premium</t>
  </si>
  <si>
    <t xml:space="preserve">ORMAZABAL </t>
  </si>
  <si>
    <t>YOGUR *3</t>
  </si>
  <si>
    <t>LAU</t>
  </si>
  <si>
    <t>CAFE PENGUIN</t>
  </si>
  <si>
    <t>ALQUILER BCO JULIO</t>
  </si>
  <si>
    <t>GANCHOS Y CINTA PAPELERIA</t>
  </si>
  <si>
    <t>CHOCO SEMI AMARGO 1KG</t>
  </si>
  <si>
    <t>OREO</t>
  </si>
  <si>
    <t>MARIA DIA</t>
  </si>
  <si>
    <t>LECHE Y RICOTA</t>
  </si>
  <si>
    <t>CHOCO FENIX*3K</t>
  </si>
  <si>
    <t xml:space="preserve"> leche</t>
  </si>
  <si>
    <t>vasos bolsasa</t>
  </si>
  <si>
    <t>UBER</t>
  </si>
  <si>
    <t>ADELANTO CRIS</t>
  </si>
  <si>
    <t>VINAGRE</t>
  </si>
  <si>
    <t>KELLY ADELANTO MP</t>
  </si>
  <si>
    <t>EL ABASCAY</t>
  </si>
  <si>
    <t>gota negra cafe</t>
  </si>
  <si>
    <t>GONZALO QUESO</t>
  </si>
  <si>
    <t>CRIS SEMANA</t>
  </si>
  <si>
    <t xml:space="preserve">FEDE SEMANA </t>
  </si>
  <si>
    <t>KELLY SEMANA MP</t>
  </si>
  <si>
    <t xml:space="preserve">JUAN SEMANA </t>
  </si>
  <si>
    <t xml:space="preserve">RODRI SEMANA </t>
  </si>
  <si>
    <t>RAFA SEMANA</t>
  </si>
  <si>
    <t>dia mary Martes</t>
  </si>
  <si>
    <t>etiquetas cafe</t>
  </si>
  <si>
    <t>ALQUILER BCO AGOSTO</t>
  </si>
  <si>
    <t>kelly</t>
  </si>
  <si>
    <t xml:space="preserve">cerezas mary </t>
  </si>
  <si>
    <t>SAPORE DI PANNE</t>
  </si>
  <si>
    <t>QUESO PARMESANO</t>
  </si>
  <si>
    <t>ADELANTO CRIS (LLEVO CAFE)</t>
  </si>
  <si>
    <t xml:space="preserve">LECHE </t>
  </si>
  <si>
    <t>OREO (22*117GR)</t>
  </si>
  <si>
    <t xml:space="preserve">MARIA DIA </t>
  </si>
  <si>
    <t>BLisTER TORTA</t>
  </si>
  <si>
    <t>honorarios veronica de junio</t>
  </si>
  <si>
    <t>viandas</t>
  </si>
  <si>
    <t xml:space="preserve">CHORIZO </t>
  </si>
  <si>
    <t>BOLSA FRUTOS</t>
  </si>
  <si>
    <t>MAPLE HUEVO*2</t>
  </si>
  <si>
    <t>FRUTAS PREMIUMN</t>
  </si>
  <si>
    <t>RICOTA *900GR</t>
  </si>
  <si>
    <t>HARINAS</t>
  </si>
  <si>
    <t>DEPOSITO EN CUENTA</t>
  </si>
  <si>
    <t>LECHE*15</t>
  </si>
  <si>
    <t>viandas lau</t>
  </si>
  <si>
    <t>biolac</t>
  </si>
  <si>
    <t xml:space="preserve">CAFE INDIGO </t>
  </si>
  <si>
    <t>Levadura fresca</t>
  </si>
  <si>
    <t xml:space="preserve">kelly </t>
  </si>
  <si>
    <t>ADELANTO RODRI</t>
  </si>
  <si>
    <t>SEMANA JUAN</t>
  </si>
  <si>
    <t>RETIRO BANCO</t>
  </si>
  <si>
    <t>LEVADURa</t>
  </si>
  <si>
    <t>RICOTA*250GR</t>
  </si>
  <si>
    <t>LECHE *15(56UND)</t>
  </si>
  <si>
    <t>dia MARIA</t>
  </si>
  <si>
    <t>ADELANTO KELLY</t>
  </si>
  <si>
    <t>BIOLAC</t>
  </si>
  <si>
    <t>STICKERS ARTHUR</t>
  </si>
  <si>
    <t>cajas chicas</t>
  </si>
  <si>
    <t>glovo</t>
  </si>
  <si>
    <t>MARILU CARNES</t>
  </si>
  <si>
    <t>VIANDAS LAU</t>
  </si>
  <si>
    <t>RUEDA BICI</t>
  </si>
  <si>
    <t>MORATORIA AFIP</t>
  </si>
  <si>
    <t>NUEVA MOR AFIP</t>
  </si>
  <si>
    <t>JUANO</t>
  </si>
  <si>
    <t>PAGO</t>
  </si>
  <si>
    <t>CABIFY</t>
  </si>
  <si>
    <t>cafe indigo</t>
  </si>
  <si>
    <t>ibuprofeno</t>
  </si>
  <si>
    <t>granja</t>
  </si>
  <si>
    <t>te clasico</t>
  </si>
  <si>
    <t>gaseosas</t>
  </si>
  <si>
    <t xml:space="preserve">maria dia </t>
  </si>
  <si>
    <t>MATAFUEGOS</t>
  </si>
  <si>
    <t>10837.55</t>
  </si>
  <si>
    <t>COCACOLA</t>
  </si>
  <si>
    <t xml:space="preserve">VIANDAS </t>
  </si>
  <si>
    <t>SEMANA CRIS</t>
  </si>
  <si>
    <t>SEMANA RODRI</t>
  </si>
  <si>
    <t>SEMANA FEDE</t>
  </si>
  <si>
    <t>SEMANA KELLY</t>
  </si>
  <si>
    <t>PEPINILLO</t>
  </si>
  <si>
    <t>LECHE* 15</t>
  </si>
  <si>
    <t>VINO BLANCO</t>
  </si>
  <si>
    <t>leceh *10</t>
  </si>
  <si>
    <t>chocofenix 87</t>
  </si>
  <si>
    <t>dia maria martes*8hrs</t>
  </si>
  <si>
    <t>El criollo</t>
  </si>
  <si>
    <t>HARINA 14/07</t>
  </si>
  <si>
    <t>QUESO GONZALO</t>
  </si>
  <si>
    <t xml:space="preserve">MARY LUNES </t>
  </si>
  <si>
    <t>ALQUILER BCO JUNIO</t>
  </si>
  <si>
    <t>tacoroll</t>
  </si>
  <si>
    <t>qintela</t>
  </si>
  <si>
    <t>leche *10</t>
  </si>
  <si>
    <t>GANCHOS PAPELERIA</t>
  </si>
  <si>
    <t>VIANDAS</t>
  </si>
  <si>
    <t>BOLSAS CAFE 1/4</t>
  </si>
  <si>
    <t>GOOGLE GSUIT</t>
  </si>
  <si>
    <t>LIMONES</t>
  </si>
  <si>
    <t>leche descremada</t>
  </si>
  <si>
    <t>VAINILLAS</t>
  </si>
  <si>
    <t>VOLANTES</t>
  </si>
  <si>
    <t>VERDURAS</t>
  </si>
  <si>
    <t>PRESTAMO CRIS</t>
  </si>
  <si>
    <t>BOLSA 50*70</t>
  </si>
  <si>
    <t>NARANJA</t>
  </si>
  <si>
    <t>prestamo kelly</t>
  </si>
  <si>
    <t xml:space="preserve">RETIRO LAU </t>
  </si>
  <si>
    <t>BATATA * KG</t>
  </si>
  <si>
    <t>QUESO CREMA / VAINILLA</t>
  </si>
  <si>
    <t>NARANJA * 3K</t>
  </si>
  <si>
    <t>CAFE</t>
  </si>
  <si>
    <t>MARCADOR BILLETES</t>
  </si>
  <si>
    <t>leche/ lavandina/ mermelada</t>
  </si>
  <si>
    <t>MARILU CARNE</t>
  </si>
  <si>
    <t>CAFE SUPREMO</t>
  </si>
  <si>
    <t>MEMBRILLO 2.4 KG</t>
  </si>
  <si>
    <t>EL PORTUGUES</t>
  </si>
  <si>
    <t>ALQUILER BCO ABRIL</t>
  </si>
  <si>
    <t>FRUTAS</t>
  </si>
  <si>
    <t xml:space="preserve">CAFE SOLUBLE </t>
  </si>
  <si>
    <t xml:space="preserve">CAFE CUNDINAMARCA COLOMBIA </t>
  </si>
  <si>
    <t>SAVORE DI PANNE</t>
  </si>
  <si>
    <t>DI MARY</t>
  </si>
  <si>
    <t>cafe peguin</t>
  </si>
  <si>
    <t>ricota + leche</t>
  </si>
  <si>
    <t>papeleria</t>
  </si>
  <si>
    <t>faramacia</t>
  </si>
  <si>
    <t>MARGARINA</t>
  </si>
  <si>
    <t>HOJAS</t>
  </si>
  <si>
    <t>CHOCO 86</t>
  </si>
  <si>
    <t>naranja + papa</t>
  </si>
  <si>
    <t xml:space="preserve">DIA MARIA </t>
  </si>
  <si>
    <t xml:space="preserve">TIA MARIA </t>
  </si>
  <si>
    <t>QUESO CREMA</t>
  </si>
  <si>
    <t>TACOROLL</t>
  </si>
  <si>
    <t>SHARPIE</t>
  </si>
  <si>
    <t xml:space="preserve">MARILU CARNES </t>
  </si>
  <si>
    <t>DRULI ARTHUR APP</t>
  </si>
  <si>
    <t>INDIGO</t>
  </si>
  <si>
    <t>LIMPIEZA MOLINO</t>
  </si>
  <si>
    <t>ENVIOS PAPÁ</t>
  </si>
  <si>
    <t>leche + azucar</t>
  </si>
  <si>
    <t>vainillas</t>
  </si>
  <si>
    <t>Mercou Pollo</t>
  </si>
  <si>
    <t>Marilu Carnes</t>
  </si>
  <si>
    <t>box light foto</t>
  </si>
  <si>
    <t>kelly adelanto</t>
  </si>
  <si>
    <t>alquiler blanco MAYO</t>
  </si>
  <si>
    <t xml:space="preserve">FRUTAS </t>
  </si>
  <si>
    <t>LECHE / LAVANDINA</t>
  </si>
  <si>
    <t>QUINTELA 19/06</t>
  </si>
  <si>
    <t>QUINTELA 24/06</t>
  </si>
  <si>
    <t xml:space="preserve">SAVORE DI PANE </t>
  </si>
  <si>
    <t>RAFA ADELANTO</t>
  </si>
  <si>
    <t>CABYFI</t>
  </si>
  <si>
    <t>GLOVO FLYERS</t>
  </si>
  <si>
    <t>MUZARELLA</t>
  </si>
  <si>
    <t>POLLO MERCOU</t>
  </si>
  <si>
    <t>ACITE OLIVA *24</t>
  </si>
  <si>
    <t xml:space="preserve">RAFA </t>
  </si>
  <si>
    <t xml:space="preserve">KELLY </t>
  </si>
  <si>
    <t>NUECES</t>
  </si>
  <si>
    <t>MARIA LUNES 22JUN</t>
  </si>
  <si>
    <t>FACTURAS CONTADORA</t>
  </si>
  <si>
    <t>fruteria</t>
  </si>
  <si>
    <t>ACELGA Y PALTA</t>
  </si>
  <si>
    <t>SEMANA LUCAS</t>
  </si>
  <si>
    <t>SEMANA RAFA</t>
  </si>
  <si>
    <t>SEMANA LUCHO</t>
  </si>
  <si>
    <t>DIA MARY</t>
  </si>
  <si>
    <t>LECHE SUPER</t>
  </si>
  <si>
    <t>VERDURA</t>
  </si>
  <si>
    <t>CHAMPIÑON</t>
  </si>
  <si>
    <t>mercou pollo</t>
  </si>
  <si>
    <t xml:space="preserve">limon </t>
  </si>
  <si>
    <t>aseo</t>
  </si>
  <si>
    <t>naranja *3</t>
  </si>
  <si>
    <t>adelanto kelly</t>
  </si>
  <si>
    <t>vainilla</t>
  </si>
  <si>
    <t xml:space="preserve">LUCHO </t>
  </si>
  <si>
    <t xml:space="preserve">CRIS </t>
  </si>
  <si>
    <t>GLOVO DESAYUNO</t>
  </si>
  <si>
    <t>TE INTI ZEN CHAMANA</t>
  </si>
  <si>
    <t>CHOCOLATE FENIX</t>
  </si>
  <si>
    <t>cabyfi</t>
  </si>
  <si>
    <t>leche*10</t>
  </si>
  <si>
    <t>marilu carnes</t>
  </si>
  <si>
    <t>MAMPARAS ACRILICAS</t>
  </si>
  <si>
    <t>LECHE* 10 + TAPAS</t>
  </si>
  <si>
    <t>HARINAS DEL ROSARIO</t>
  </si>
  <si>
    <t>BOLSAS FERIA</t>
  </si>
  <si>
    <t>estanterias</t>
  </si>
  <si>
    <t>chino oreo+gelatina</t>
  </si>
  <si>
    <t>envio papeles contadora</t>
  </si>
  <si>
    <t>Polvo hornear *250gr</t>
  </si>
  <si>
    <t>espinaca*2</t>
  </si>
  <si>
    <t>papel krakt</t>
  </si>
  <si>
    <t>etiquetas autoahesivas</t>
  </si>
  <si>
    <t>vasos</t>
  </si>
  <si>
    <t>leches</t>
  </si>
  <si>
    <t>Vainillas / bolsa 60*90</t>
  </si>
  <si>
    <t>frutas premium locro</t>
  </si>
  <si>
    <t>ALQUILER (MARZO BCO)</t>
  </si>
  <si>
    <t>DULCE MEMBRILLO</t>
  </si>
  <si>
    <t>POROTOS</t>
  </si>
  <si>
    <t>SEMOLIN</t>
  </si>
  <si>
    <t>VAINILLAS 2*3</t>
  </si>
  <si>
    <t xml:space="preserve">CONTROLADOR FISCAL </t>
  </si>
  <si>
    <t>CAFE BIG LIGHT</t>
  </si>
  <si>
    <t xml:space="preserve">GUANTES </t>
  </si>
  <si>
    <t>WRAPS TACO ROLL</t>
  </si>
  <si>
    <t>lIMON</t>
  </si>
  <si>
    <t>lentejas</t>
  </si>
  <si>
    <t>SAPORE</t>
  </si>
  <si>
    <t>PROSEGUR</t>
  </si>
  <si>
    <t>CEBOLLA</t>
  </si>
  <si>
    <t>SUPREMA*2KG</t>
  </si>
  <si>
    <t>champiñon</t>
  </si>
  <si>
    <t>GLOVO</t>
  </si>
  <si>
    <t>CREMA DE LECHE *2.5</t>
  </si>
  <si>
    <t xml:space="preserve">DIA MARI </t>
  </si>
  <si>
    <t>retiro</t>
  </si>
  <si>
    <t>Moto contadora +recargo lluvia</t>
  </si>
  <si>
    <t>GRANJA</t>
  </si>
  <si>
    <t>fumigacion roedores</t>
  </si>
  <si>
    <t>metrogas (marzo)</t>
  </si>
  <si>
    <t>espuma poliuretano</t>
  </si>
  <si>
    <t>VERONICA</t>
  </si>
  <si>
    <t>adelanto folletos</t>
  </si>
  <si>
    <t>adelanto cris comida</t>
  </si>
  <si>
    <t>huevos *1mp</t>
  </si>
  <si>
    <t>GUANTES LATEX</t>
  </si>
  <si>
    <t>semana Cris</t>
  </si>
  <si>
    <t>tomate</t>
  </si>
  <si>
    <t>semana rafa</t>
  </si>
  <si>
    <t>semana Lucas</t>
  </si>
  <si>
    <t>semana Fede</t>
  </si>
  <si>
    <t>semana Kelly</t>
  </si>
  <si>
    <t>NARANJAS</t>
  </si>
  <si>
    <t>bOLSA CONSORCIO</t>
  </si>
  <si>
    <t>LEVADURA</t>
  </si>
  <si>
    <t>FRUTAS  PREMIUM</t>
  </si>
  <si>
    <t>LA SEREISIMA</t>
  </si>
  <si>
    <t>AJI DISEÑO</t>
  </si>
  <si>
    <t>EDEAL</t>
  </si>
  <si>
    <t>DIARIO</t>
  </si>
  <si>
    <t>MOUSE</t>
  </si>
  <si>
    <t>MODO BARISTA</t>
  </si>
  <si>
    <t>TORITO</t>
  </si>
  <si>
    <t>CRISTINA PROD LIMP</t>
  </si>
  <si>
    <t xml:space="preserve">RAFAEL </t>
  </si>
  <si>
    <t>frutas premuim</t>
  </si>
  <si>
    <t>REJILLAS</t>
  </si>
  <si>
    <t>MAYORISTAS NET</t>
  </si>
  <si>
    <t>CRIS ADELANTO</t>
  </si>
  <si>
    <t>LECHE ARMONIA</t>
  </si>
  <si>
    <t>MARIA SEMANA *8HRS</t>
  </si>
  <si>
    <t>LECHE ARMONIA *20</t>
  </si>
  <si>
    <t>ALQUILER NEGRO</t>
  </si>
  <si>
    <t>SEMANA RODRIGO</t>
  </si>
  <si>
    <t xml:space="preserve">SEMANA CRIS </t>
  </si>
  <si>
    <t xml:space="preserve">SEMANA KELLY </t>
  </si>
  <si>
    <t xml:space="preserve">LA QUESERIA </t>
  </si>
  <si>
    <t>FRUTAS PREMIUM * BANANA</t>
  </si>
  <si>
    <t>BOLSA CONSORCIO 80*110</t>
  </si>
  <si>
    <t>CARREFOUR * LAVANDINA</t>
  </si>
  <si>
    <t xml:space="preserve">MOTO CONTADORA </t>
  </si>
  <si>
    <t>diario</t>
  </si>
  <si>
    <t>torito</t>
  </si>
  <si>
    <t>edeal</t>
  </si>
  <si>
    <t>SAL</t>
  </si>
  <si>
    <t>FILTRO PSA</t>
  </si>
  <si>
    <t>VARIOS</t>
  </si>
  <si>
    <t>10232.39</t>
  </si>
  <si>
    <t>HORMA QUESO</t>
  </si>
  <si>
    <t>VIANDA</t>
  </si>
  <si>
    <t>SEMANA CRISTIAN</t>
  </si>
  <si>
    <t>uthgra feb</t>
  </si>
  <si>
    <t>ROQUEFORT</t>
  </si>
  <si>
    <t xml:space="preserve">BANANA </t>
  </si>
  <si>
    <t>SEMANA MARIA</t>
  </si>
  <si>
    <t>DIARIOS</t>
  </si>
  <si>
    <t xml:space="preserve">EDEAL </t>
  </si>
  <si>
    <t>SERVICIO TECNICO MAQUINA</t>
  </si>
  <si>
    <t>6612.41</t>
  </si>
  <si>
    <t>GUANTES Y BARBIJOS</t>
  </si>
  <si>
    <t>NARANJA * 2K</t>
  </si>
  <si>
    <t>BOLSA CONSORCIO* 2</t>
  </si>
  <si>
    <t>ADELANTO KELLY(TELECENTRO)</t>
  </si>
  <si>
    <t>DEUDA METROGAS</t>
  </si>
  <si>
    <t>ADELANTO FEDE</t>
  </si>
  <si>
    <t xml:space="preserve">SEMANA RAFA </t>
  </si>
  <si>
    <t>RETIRE</t>
  </si>
  <si>
    <t>BLEM</t>
  </si>
  <si>
    <t>LA QUESERIA</t>
  </si>
  <si>
    <t>ENVIO CALENTADOR</t>
  </si>
  <si>
    <t>ENVIO SYRUP</t>
  </si>
  <si>
    <t>KELLY SUBE</t>
  </si>
  <si>
    <t>EDEAL VERDURA</t>
  </si>
  <si>
    <t>hielo * 1</t>
  </si>
  <si>
    <t>repuesto licuadora</t>
  </si>
  <si>
    <t>mayoristas net</t>
  </si>
  <si>
    <t>VENTILADOR</t>
  </si>
  <si>
    <t>ALQUILER ENE, parte negro</t>
  </si>
  <si>
    <t>MANZANA VERDE*3KG</t>
  </si>
  <si>
    <t xml:space="preserve">TAPAS </t>
  </si>
  <si>
    <t>EDEAL *2</t>
  </si>
  <si>
    <t>TORITO CARNE</t>
  </si>
  <si>
    <t>MOTO PAPELES CONTADORA</t>
  </si>
  <si>
    <t>SEMANA FEDE + VACAS</t>
  </si>
  <si>
    <t>mamadera</t>
  </si>
  <si>
    <t>LYSOFORM</t>
  </si>
  <si>
    <t>JAMON COCIDO 500GR</t>
  </si>
  <si>
    <t>EL TORITO</t>
  </si>
  <si>
    <t>JAMON</t>
  </si>
  <si>
    <t>PUERRO</t>
  </si>
  <si>
    <t>BOLSITAS QUESO</t>
  </si>
  <si>
    <t>EDESUR MP</t>
  </si>
  <si>
    <t>1947.14</t>
  </si>
  <si>
    <t>SCM</t>
  </si>
  <si>
    <t>QUINCENA KELLY</t>
  </si>
  <si>
    <t>druli</t>
  </si>
  <si>
    <t>TAPAS EMPANADA</t>
  </si>
  <si>
    <t>SIND FABRICA</t>
  </si>
  <si>
    <t>ADELANTO RAFA</t>
  </si>
  <si>
    <t>ESPATULA</t>
  </si>
  <si>
    <t>SEMANA LUCAS + VACAS</t>
  </si>
  <si>
    <t xml:space="preserve">SEMANA JUAN </t>
  </si>
  <si>
    <t>SEMANA KELLY + VACAS</t>
  </si>
  <si>
    <t>SEMANA MARI</t>
  </si>
  <si>
    <t xml:space="preserve">ADELANTO KELLY </t>
  </si>
  <si>
    <t>FRUTAS PREMIUM,</t>
  </si>
  <si>
    <t>VIPOPLAS</t>
  </si>
  <si>
    <t>frutas PREMIUM</t>
  </si>
  <si>
    <t>glovo hernan</t>
  </si>
  <si>
    <t>ALQUILER BCO</t>
  </si>
  <si>
    <t>prosegur</t>
  </si>
  <si>
    <t>COLUCCI</t>
  </si>
  <si>
    <t xml:space="preserve">RAFAEL ADELANTO </t>
  </si>
  <si>
    <t>JUAN ADELANTO</t>
  </si>
  <si>
    <t>GLOVO VIANDAS</t>
  </si>
  <si>
    <t xml:space="preserve">MERCOU POLLO </t>
  </si>
  <si>
    <t>EL TORITO CARNE</t>
  </si>
  <si>
    <t xml:space="preserve">EDEAL VERDURA </t>
  </si>
  <si>
    <t>AFIP, CUOTA 3</t>
  </si>
  <si>
    <t xml:space="preserve">HARINA </t>
  </si>
  <si>
    <t xml:space="preserve">SEMANA 17 FEB MARIA </t>
  </si>
  <si>
    <t xml:space="preserve">KELLY ADELANTO </t>
  </si>
  <si>
    <t xml:space="preserve">SEMANA FEDE </t>
  </si>
  <si>
    <t xml:space="preserve">SEMANA RODRI </t>
  </si>
  <si>
    <t xml:space="preserve">SEMANA LUCHO </t>
  </si>
  <si>
    <t xml:space="preserve">SEMANA MARI </t>
  </si>
  <si>
    <t>SAPPORE</t>
  </si>
  <si>
    <t>TRANSFERENCIA  DEBITO</t>
  </si>
  <si>
    <t>CHOCO AGUILA*10</t>
  </si>
  <si>
    <t>YOGUR*5</t>
  </si>
  <si>
    <t xml:space="preserve">EL TORITO </t>
  </si>
  <si>
    <t>COLUCCI EQUIPAMIENTOS</t>
  </si>
  <si>
    <t xml:space="preserve">ROMINA </t>
  </si>
  <si>
    <t>LUCHO SEMANA + VACAS</t>
  </si>
  <si>
    <t>SEMANA KELLY + AGUINALDO</t>
  </si>
  <si>
    <t>SEMANA FEDE + AGUINALDO</t>
  </si>
  <si>
    <t>SEMANA RAFA + AGUINALDO</t>
  </si>
  <si>
    <t>HIELO * 1</t>
  </si>
  <si>
    <t>MANTENIMIENTO MENSUAL BBVA</t>
  </si>
  <si>
    <t>PAPA*3KG</t>
  </si>
  <si>
    <t>DIETETICA</t>
  </si>
  <si>
    <t xml:space="preserve">EL TORITO PICADA </t>
  </si>
  <si>
    <t>SRENISIMA</t>
  </si>
  <si>
    <t>EXPENSAS *3</t>
  </si>
  <si>
    <t>ALQUILER DIC</t>
  </si>
  <si>
    <t>ALEJANDRO PEPSI</t>
  </si>
  <si>
    <t>AYSA NOV /DIC</t>
  </si>
  <si>
    <t>SUBE JUAN</t>
  </si>
  <si>
    <t>PEPSI LIGHT</t>
  </si>
  <si>
    <t>NUEZ</t>
  </si>
  <si>
    <t>quincena kelly</t>
  </si>
  <si>
    <t>semana juan + vacas</t>
  </si>
  <si>
    <t>hielo*2</t>
  </si>
  <si>
    <t>semana lucas</t>
  </si>
  <si>
    <t>semana cristian</t>
  </si>
  <si>
    <t>semana rodrigo</t>
  </si>
  <si>
    <t>semana mary</t>
  </si>
  <si>
    <t>PAPA*5</t>
  </si>
  <si>
    <t>DIARIO CLARIN</t>
  </si>
  <si>
    <t>LECHE * 10UN</t>
  </si>
  <si>
    <t>BANCO LAU</t>
  </si>
  <si>
    <t>SOBRES A4 MANILA</t>
  </si>
  <si>
    <t>NET</t>
  </si>
  <si>
    <t>ALMUERZO NOVIA RAFA</t>
  </si>
  <si>
    <t>BEBIDAS ALEJANDRO</t>
  </si>
  <si>
    <t>TACO ROLL-WRAPS</t>
  </si>
  <si>
    <t>SEMANA RODRI + VACAS</t>
  </si>
  <si>
    <t>QUINCENA FEDE</t>
  </si>
  <si>
    <t>VIANDA LAU</t>
  </si>
  <si>
    <t>SERENISIMA *34</t>
  </si>
  <si>
    <t xml:space="preserve">SEMANA MARIA </t>
  </si>
  <si>
    <t>SERENISIMA*17</t>
  </si>
  <si>
    <t>KELLY SALSAS</t>
  </si>
  <si>
    <t>CRISTIAN ADELANTO</t>
  </si>
  <si>
    <t xml:space="preserve">CUYAIRES </t>
  </si>
  <si>
    <t xml:space="preserve">SIN FACTURA </t>
  </si>
  <si>
    <t xml:space="preserve">VIPOPLAS </t>
  </si>
  <si>
    <t xml:space="preserve">KELLY QUINCENA </t>
  </si>
  <si>
    <t>MARIA SEMANA</t>
  </si>
  <si>
    <t xml:space="preserve">SEMANA RAFEL + VACAS </t>
  </si>
  <si>
    <t>EDEAL * JUEVES * VIERNES</t>
  </si>
  <si>
    <t>HIELO *1</t>
  </si>
  <si>
    <t>UND</t>
  </si>
  <si>
    <t>taco-roll</t>
  </si>
  <si>
    <t>cepillo ropa</t>
  </si>
  <si>
    <t>SUBE KELLY</t>
  </si>
  <si>
    <t>art limpieza bazar</t>
  </si>
  <si>
    <t>LECHE DESC</t>
  </si>
  <si>
    <t>TRAPOS</t>
  </si>
  <si>
    <t xml:space="preserve">LUCHO SEMANA </t>
  </si>
  <si>
    <t>JUAN SEMANA</t>
  </si>
  <si>
    <t>FEDE QUINCENA</t>
  </si>
  <si>
    <t>CRIS SEMANA + VACAS</t>
  </si>
  <si>
    <t xml:space="preserve">LUCAS SEMANA </t>
  </si>
  <si>
    <t>PALTA*5</t>
  </si>
  <si>
    <t>PEDIDOS YA</t>
  </si>
  <si>
    <t>RECAUDACION</t>
  </si>
  <si>
    <t>FALTANTES</t>
  </si>
  <si>
    <t>guarde 11</t>
  </si>
  <si>
    <t>REVISAR</t>
  </si>
  <si>
    <t xml:space="preserve">HUEVOS </t>
  </si>
  <si>
    <t xml:space="preserve">VALOT </t>
  </si>
  <si>
    <t>perillas cocina</t>
  </si>
  <si>
    <t>CAFE 26 NOV</t>
  </si>
  <si>
    <t>maple huevos</t>
  </si>
  <si>
    <t>HIELO+</t>
  </si>
  <si>
    <t>Semana</t>
  </si>
  <si>
    <t>ALQUILER NOV</t>
  </si>
  <si>
    <t>ABL 01/04</t>
  </si>
  <si>
    <t>mumm</t>
  </si>
  <si>
    <t>MEVA DECORA</t>
  </si>
  <si>
    <t>MICRON PACKAGING</t>
  </si>
  <si>
    <t>GIFT BOX</t>
  </si>
  <si>
    <t>pino</t>
  </si>
  <si>
    <t>chino navidad</t>
  </si>
  <si>
    <t>TAC ROLL</t>
  </si>
  <si>
    <t>FRUTAS PREM</t>
  </si>
  <si>
    <t>LIMPIEZA ROMINA</t>
  </si>
  <si>
    <t xml:space="preserve">BOLSA RESIDUO </t>
  </si>
  <si>
    <t>juaan lau</t>
  </si>
  <si>
    <t>CARREFOUR YOGUR</t>
  </si>
  <si>
    <t xml:space="preserve">TAPER </t>
  </si>
  <si>
    <t xml:space="preserve">BIG LIGTH </t>
  </si>
  <si>
    <t>AGUINALDO LUCHO</t>
  </si>
  <si>
    <t>DESODORANTE</t>
  </si>
  <si>
    <t>BOLSA RESIDUOS</t>
  </si>
  <si>
    <t>SEMANA MARY</t>
  </si>
  <si>
    <t>ALEJANDRO BEBIDAS</t>
  </si>
  <si>
    <t>RESMA A4</t>
  </si>
  <si>
    <t>DEPOSITO BANCO</t>
  </si>
  <si>
    <t>carrefou</t>
  </si>
  <si>
    <t>JULI REDES</t>
  </si>
  <si>
    <t>german</t>
  </si>
  <si>
    <t>METROGAS DEUDA JULIO</t>
  </si>
  <si>
    <t>la queseria</t>
  </si>
  <si>
    <t>ENVIO PAPELES CONTADORA</t>
  </si>
  <si>
    <t>LECHE CARREFOUR</t>
  </si>
  <si>
    <t>CCRIS ADELANTO</t>
  </si>
  <si>
    <t>COMIDA LAU</t>
  </si>
  <si>
    <t>crisitna prod limpieza</t>
  </si>
  <si>
    <t>LUCHO SEMANA</t>
  </si>
  <si>
    <t>RODRIGO SUEL +AG</t>
  </si>
  <si>
    <t>CRIS SUELDO +AG</t>
  </si>
  <si>
    <t>AGUINALDO DE LUCAS</t>
  </si>
  <si>
    <t>BOLSA CONSORCIO</t>
  </si>
  <si>
    <t>LECHE*10UND</t>
  </si>
  <si>
    <t>VERO CONTADORA</t>
  </si>
  <si>
    <t>BOLSAS CONSORCIO</t>
  </si>
  <si>
    <t>JABON BARRA</t>
  </si>
  <si>
    <t>HILEO*2</t>
  </si>
  <si>
    <t>LUCHO SEM + AGUIN</t>
  </si>
  <si>
    <t>LUCAS SEM + AGUIN</t>
  </si>
  <si>
    <t>RODRI SEM + AGUIN</t>
  </si>
  <si>
    <t>KELLY QUINCENA</t>
  </si>
  <si>
    <t>RAFA SEM + AGUIN</t>
  </si>
  <si>
    <t>FEDE SEM + AGUIN</t>
  </si>
  <si>
    <t>CRIS SEMANA + AGUIN</t>
  </si>
  <si>
    <t>lau</t>
  </si>
  <si>
    <t>afip</t>
  </si>
  <si>
    <t>AGUINALDO JUAN</t>
  </si>
  <si>
    <t xml:space="preserve">EDEAL SA VERDURA </t>
  </si>
  <si>
    <t>RELD</t>
  </si>
  <si>
    <t>VIATICO LUCHO</t>
  </si>
  <si>
    <t>RODRI SEMANA</t>
  </si>
  <si>
    <t>LUCAS SEMANA</t>
  </si>
  <si>
    <t>KELLY QUINCENA 9NOV</t>
  </si>
  <si>
    <t>MARY SEMANA</t>
  </si>
  <si>
    <t>UBER FEDE</t>
  </si>
  <si>
    <t>el torito</t>
  </si>
  <si>
    <t>ONCE</t>
  </si>
  <si>
    <t>RODRI ADELANTO</t>
  </si>
  <si>
    <t>MAQUINARIAS COBO</t>
  </si>
  <si>
    <t>FRUTILLA</t>
  </si>
  <si>
    <t>10 al 23 nov</t>
  </si>
  <si>
    <t xml:space="preserve">RAFAEL SEMANA </t>
  </si>
  <si>
    <t xml:space="preserve">CRISTIAN SEMANA </t>
  </si>
  <si>
    <t xml:space="preserve">MARY SEMANA </t>
  </si>
  <si>
    <t>ACEITE OLIVA</t>
  </si>
  <si>
    <t>ARREGLO CORTINA</t>
  </si>
  <si>
    <t>CRISTIAN GLOVO</t>
  </si>
  <si>
    <t>PAPELERIA</t>
  </si>
  <si>
    <t>MOLDES  MACARRONS</t>
  </si>
  <si>
    <t>COLORANTES</t>
  </si>
  <si>
    <t>MAYOTISTAS NET</t>
  </si>
  <si>
    <t>YOGUR NATURAL</t>
  </si>
  <si>
    <t>ROMINA LIMPIEZA</t>
  </si>
  <si>
    <t>CATERING TERE</t>
  </si>
  <si>
    <t>ENVIO DELANTALES</t>
  </si>
  <si>
    <t>DELANTALES ESTAMPA</t>
  </si>
  <si>
    <t>STICKERS</t>
  </si>
  <si>
    <t>BOLSITAS PP 15*20</t>
  </si>
  <si>
    <t>CAJAS CATERING</t>
  </si>
  <si>
    <t>CATERING TERESA</t>
  </si>
  <si>
    <t>ACEITE GIRASOL</t>
  </si>
  <si>
    <t>KELLY  10 al 23 pagado</t>
  </si>
  <si>
    <t>KELLY ADELANTO  24  al 30</t>
  </si>
  <si>
    <t xml:space="preserve">CAJA CATERING </t>
  </si>
  <si>
    <t>HIELO BOLSA x 2</t>
  </si>
  <si>
    <t>bolsas consorcio 80*110</t>
  </si>
  <si>
    <t xml:space="preserve">BIOLAC </t>
  </si>
  <si>
    <t>vipoplas</t>
  </si>
  <si>
    <t>MAYORISTA NET</t>
  </si>
  <si>
    <t>PENDIENTE NOTA DE CREDITO</t>
  </si>
  <si>
    <t xml:space="preserve">SALDO A FAVOR </t>
  </si>
  <si>
    <t>MAXISISTEMAS</t>
  </si>
  <si>
    <t>JULI</t>
  </si>
  <si>
    <t>MERCUO POLLO</t>
  </si>
  <si>
    <t>COCACOLA FEMSA</t>
  </si>
  <si>
    <t>ARREGLO LICUADORA</t>
  </si>
  <si>
    <t xml:space="preserve">FABIAN TURNO </t>
  </si>
  <si>
    <t>EDEAL VERDURAS</t>
  </si>
  <si>
    <t>DETERGENTE</t>
  </si>
  <si>
    <t>SAPORE DI PANE</t>
  </si>
  <si>
    <t>FRUTRAS PREMIUM</t>
  </si>
  <si>
    <t>HARINA SUPER</t>
  </si>
  <si>
    <t>arreglo de llave persiana</t>
  </si>
  <si>
    <t>big light</t>
  </si>
  <si>
    <t>SEMANA RAFAEL</t>
  </si>
  <si>
    <t>SEMANA ROFRI</t>
  </si>
  <si>
    <t>CUOTA FIAMBRERA</t>
  </si>
  <si>
    <t>SEMANA 12 OCT KELLY</t>
  </si>
  <si>
    <t>DIARIO CLRIN</t>
  </si>
  <si>
    <t>VIATICO</t>
  </si>
  <si>
    <t>ADELATO RODRIGO</t>
  </si>
  <si>
    <t>VEP HONORARIOS DRA SABASTA</t>
  </si>
  <si>
    <t>HIELO * 2 UND</t>
  </si>
  <si>
    <t>SEGURO LOCAL MAPFRE</t>
  </si>
  <si>
    <t>MARIA</t>
  </si>
  <si>
    <t>GERMAN</t>
  </si>
  <si>
    <t>MR MUSCULO</t>
  </si>
  <si>
    <t xml:space="preserve">MARILU </t>
  </si>
  <si>
    <t>MAYONESA</t>
  </si>
  <si>
    <t>COCA COLA FEMSA</t>
  </si>
  <si>
    <t>ORMAZABAL DESCARTABLES</t>
  </si>
  <si>
    <t>HILERET</t>
  </si>
  <si>
    <t>BIG LIGHT</t>
  </si>
  <si>
    <t>cuota fiambrera</t>
  </si>
  <si>
    <t>EXCELSO CAFE</t>
  </si>
  <si>
    <t>TACO-ROLL</t>
  </si>
  <si>
    <t>FERRETERIA CUCHIPASTA</t>
  </si>
  <si>
    <t>JULI (REDES)</t>
  </si>
  <si>
    <t>CONTADOR HONORARIOS SEPTIEMBRE</t>
  </si>
  <si>
    <t>RESMA DE PAPEL A4</t>
  </si>
  <si>
    <t>SEMANA KELLY 26OCT</t>
  </si>
  <si>
    <t>plomero</t>
  </si>
  <si>
    <t>CUOTA cortadora fiambre</t>
  </si>
  <si>
    <t>SPIRALIZER</t>
  </si>
  <si>
    <t>SILPACK MACARONS</t>
  </si>
  <si>
    <t>EL NUEVO EMPORIO</t>
  </si>
  <si>
    <t>MAYORISTASNET</t>
  </si>
  <si>
    <t>JABON EN BARRA</t>
  </si>
  <si>
    <t>ZUCHINNI</t>
  </si>
  <si>
    <t xml:space="preserve">FABRICA </t>
  </si>
  <si>
    <t>JOSE ORMAZABAL</t>
  </si>
  <si>
    <t>715.50</t>
  </si>
  <si>
    <t>MERCADO CENTRAL</t>
  </si>
  <si>
    <t>PILA</t>
  </si>
  <si>
    <t>CENTRIFUGADOR VERDURA</t>
  </si>
  <si>
    <t>MANZANA</t>
  </si>
  <si>
    <t>SEMANA ARGENIS</t>
  </si>
  <si>
    <t>CUOTA FIAMBRERA+</t>
  </si>
  <si>
    <t>PAPA * 10KG</t>
  </si>
  <si>
    <t>QUESO BIOLAC</t>
  </si>
  <si>
    <t>adelanto Kelly</t>
  </si>
  <si>
    <t>VERDURAS MAYORISTA EDEAL S.A</t>
  </si>
  <si>
    <t>CH00503836</t>
  </si>
  <si>
    <t>CLARIN</t>
  </si>
  <si>
    <t>TONER</t>
  </si>
  <si>
    <t>PAPELERIA ROLLOS</t>
  </si>
  <si>
    <t>JAVIER LUNES Y MARTES</t>
  </si>
  <si>
    <t>ADELANTO MIGUEL ALFARO IMPRENTA</t>
  </si>
  <si>
    <t>JOSE ORMAZABAL PACKAGING</t>
  </si>
  <si>
    <t>INSUMOS COCINA</t>
  </si>
  <si>
    <t>TODOENVASE</t>
  </si>
  <si>
    <t>INSUMOS SALON</t>
  </si>
  <si>
    <t>SUPREMO</t>
  </si>
  <si>
    <t xml:space="preserve">ADELANTO </t>
  </si>
  <si>
    <t>DIA</t>
  </si>
  <si>
    <t>ESTILO GASTRONOMICO</t>
  </si>
  <si>
    <t>KELLY AGOSTO</t>
  </si>
  <si>
    <t>ADELANTO</t>
  </si>
  <si>
    <t>LAURIMAR FABRICA</t>
  </si>
  <si>
    <t>SEMANA CESAR</t>
  </si>
  <si>
    <t>SEMANA LUCIA</t>
  </si>
  <si>
    <t>DIA JAVIER</t>
  </si>
  <si>
    <t>CHINO MIEL</t>
  </si>
  <si>
    <t xml:space="preserve">VERDURA </t>
  </si>
  <si>
    <t>COTADORA FREIRE</t>
  </si>
  <si>
    <t>MARILU DAMIANO</t>
  </si>
  <si>
    <t>MOLINARI diario</t>
  </si>
  <si>
    <t>CADRINORTE</t>
  </si>
  <si>
    <t>MAPLES DE HUEVO *2</t>
  </si>
  <si>
    <t>RODRIGO</t>
  </si>
  <si>
    <t xml:space="preserve">OLIVA EXTRA VIRGEN </t>
  </si>
  <si>
    <t>IMPRENTA</t>
  </si>
  <si>
    <t>CONTADOR</t>
  </si>
  <si>
    <t>METROGAS 19/*9</t>
  </si>
  <si>
    <t>AYSA 20/*9</t>
  </si>
  <si>
    <t>INTERNET 28/*8</t>
  </si>
  <si>
    <t>EDESUR 12/*9</t>
  </si>
  <si>
    <t xml:space="preserve">OLIVA </t>
  </si>
  <si>
    <t xml:space="preserve">MARILU CARNE </t>
  </si>
  <si>
    <t xml:space="preserve">VERDULERIA </t>
  </si>
  <si>
    <t>F Y B LOGISTICA (BEBIDAS ALE)</t>
  </si>
  <si>
    <t>SEMANAS KELLY 1/15 SEP</t>
  </si>
  <si>
    <t>BLEM MESAS</t>
  </si>
  <si>
    <t xml:space="preserve">SEMANA CRISTIAN </t>
  </si>
  <si>
    <t>ROMINA ASEO</t>
  </si>
  <si>
    <t>HUEVOS Y BANANA</t>
  </si>
  <si>
    <t>JULIETRA MARCUS</t>
  </si>
  <si>
    <t>CAFE SUPREMO BIG LIGHT</t>
  </si>
  <si>
    <t xml:space="preserve">BICICLETA </t>
  </si>
  <si>
    <t>RAFAEL ADELANTO</t>
  </si>
  <si>
    <t>MAYORISTANET</t>
  </si>
  <si>
    <t>AJI DISEÑO 8/8</t>
  </si>
  <si>
    <t>SEMANA DE RAFA</t>
  </si>
  <si>
    <t>ADELANTO FELLY</t>
  </si>
  <si>
    <t xml:space="preserve"> MOLINARI diario</t>
  </si>
  <si>
    <t>SUELDO KELLY</t>
  </si>
  <si>
    <t xml:space="preserve">ADELANTO CRISTIAN </t>
  </si>
  <si>
    <t>ADELANTO RAFAEL</t>
  </si>
  <si>
    <t>367.71</t>
  </si>
  <si>
    <t>CORTADORA FREIRE</t>
  </si>
  <si>
    <t>carniceria</t>
  </si>
  <si>
    <t>Verduleria</t>
  </si>
  <si>
    <t>YOGURTH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</si>
</sst>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d/mm"/>
    <numFmt numFmtId="166" formatCode="0.0"/>
    <numFmt numFmtId="167" formatCode="[$ $]#,##0"/>
    <numFmt numFmtId="168" formatCode="d/m"/>
    <numFmt numFmtId="169" formatCode="dddd dd/mm/yy"/>
    <numFmt numFmtId="170" formatCode="d.m"/>
    <numFmt numFmtId="171" formatCode="d/MM/yyyy"/>
    <numFmt numFmtId="172" formatCode="d/m/yyyy"/>
    <numFmt numFmtId="173" formatCode="mmm d"/>
    <numFmt numFmtId="174" formatCode="yyyy.mm"/>
    <numFmt numFmtId="175" formatCode="yyyy.m"/>
    <numFmt numFmtId="176" formatCode="dddd dd/mm"/>
  </numFmts>
  <fonts count="73">
    <font>
      <sz val="10.0"/>
      <color rgb="FF000000"/>
      <name val="Arial"/>
    </font>
    <font>
      <b/>
    </font>
    <font/>
    <font>
      <b/>
      <sz val="8.0"/>
    </font>
    <font>
      <sz val="11.0"/>
    </font>
    <font>
      <b/>
      <sz val="8.0"/>
      <name val="Arial"/>
    </font>
    <font>
      <b/>
      <name val="Arial"/>
    </font>
    <font>
      <name val="Arial"/>
    </font>
    <font>
      <sz val="11.0"/>
      <name val="Arial"/>
    </font>
    <font>
      <color rgb="FF000000"/>
      <name val="Arial"/>
    </font>
    <font>
      <color rgb="FF222222"/>
      <name val="Arial"/>
    </font>
    <font>
      <sz val="15.0"/>
      <color rgb="FF000000"/>
      <name val="Roboto"/>
    </font>
    <font>
      <color rgb="FF000000"/>
    </font>
    <font>
      <color rgb="FF222222"/>
    </font>
    <font>
      <color rgb="FF434343"/>
    </font>
    <font>
      <color rgb="FFFF0000"/>
    </font>
    <font>
      <b/>
      <sz val="11.0"/>
    </font>
    <font>
      <color rgb="FF121212"/>
    </font>
    <font>
      <sz val="9.0"/>
      <color rgb="FF000000"/>
      <name val="&quot;Google Sans Mono&quot;"/>
    </font>
    <font>
      <sz val="11.0"/>
      <color rgb="FF000000"/>
      <name val="Roboto"/>
    </font>
    <font>
      <b/>
      <sz val="9.0"/>
    </font>
    <font>
      <color rgb="FF121212"/>
      <name val="Arial"/>
    </font>
    <font>
      <sz val="11.0"/>
      <color rgb="FF121212"/>
      <name val="BentonSansBBVA-Book"/>
    </font>
    <font>
      <b/>
      <color rgb="FF434A58"/>
      <name val="Arial"/>
    </font>
    <font>
      <sz val="11.0"/>
      <color rgb="FF121212"/>
      <name val="Arial"/>
    </font>
    <font>
      <b/>
      <i/>
      <sz val="8.0"/>
    </font>
    <font>
      <b/>
      <i/>
      <sz val="8.0"/>
      <name val="Arial"/>
    </font>
    <font>
      <b/>
      <sz val="8.0"/>
      <color rgb="FF000000"/>
    </font>
    <font>
      <sz val="11.0"/>
      <color rgb="FF000000"/>
    </font>
    <font>
      <sz val="11.0"/>
      <color rgb="FF434A58"/>
      <name val="&quot;BBVA Web Book&quot;"/>
    </font>
    <font>
      <sz val="11.0"/>
      <color rgb="FF434A58"/>
      <name val="Arial"/>
    </font>
    <font>
      <b/>
      <color rgb="FF000000"/>
    </font>
    <font>
      <b/>
      <color rgb="FF434A58"/>
      <name val="&quot;BBVA Web Book&quot;"/>
    </font>
    <font>
      <b/>
      <color rgb="FFFF0000"/>
    </font>
    <font>
      <color rgb="FF222222"/>
      <name val="Verdana"/>
    </font>
    <font>
      <color rgb="FFFF0000"/>
      <name val="Arial"/>
    </font>
    <font>
      <sz val="11.0"/>
      <color rgb="FFFF0000"/>
      <name val="BentonSansBBVA-Book"/>
    </font>
    <font>
      <color rgb="FF000000"/>
      <name val="Verdana"/>
    </font>
    <font>
      <b/>
      <color rgb="FF9900FF"/>
    </font>
    <font>
      <b/>
      <sz val="12.0"/>
      <color rgb="FF333333"/>
      <name val="Roboto"/>
    </font>
    <font>
      <b/>
      <sz val="12.0"/>
    </font>
    <font>
      <b/>
      <sz val="10.0"/>
    </font>
    <font>
      <b/>
      <sz val="12.0"/>
      <color rgb="FFFFFFFF"/>
    </font>
    <font>
      <b/>
      <sz val="12.0"/>
      <color rgb="FFFF0000"/>
    </font>
    <font>
      <b/>
      <sz val="11.0"/>
      <color rgb="FFFF0000"/>
      <name val="Inconsolata"/>
    </font>
    <font>
      <color rgb="FF990000"/>
    </font>
    <font>
      <b/>
      <sz val="11.0"/>
      <name val="Arial"/>
    </font>
    <font>
      <b/>
      <sz val="11.0"/>
      <name val="&quot;72&quot;"/>
    </font>
    <font>
      <b/>
      <sz val="12.0"/>
      <color rgb="FFFFFFFF"/>
      <name val="Arial"/>
    </font>
    <font>
      <b/>
      <sz val="12.0"/>
      <color rgb="FFFF0000"/>
      <name val="Arial"/>
    </font>
    <font>
      <color rgb="FF434343"/>
      <name val="Arial"/>
    </font>
    <font>
      <b/>
      <color rgb="FFFFFFFF"/>
      <name val="Arial"/>
    </font>
    <font>
      <b/>
      <color rgb="FF000000"/>
      <name val="Arial"/>
    </font>
    <font>
      <b/>
      <sz val="10.0"/>
      <color rgb="FFFF0000"/>
      <name val="Inconsolata"/>
    </font>
    <font>
      <sz val="10.0"/>
      <name val="Inconsolata"/>
    </font>
    <font>
      <b/>
      <sz val="10.0"/>
      <name val="Inconsolata"/>
    </font>
    <font>
      <b/>
      <sz val="12.0"/>
      <color rgb="FFFF0000"/>
      <name val="Inconsolata"/>
    </font>
    <font>
      <b/>
      <sz val="12.0"/>
      <color rgb="FF6AA84F"/>
      <name val="Inconsolata"/>
    </font>
    <font>
      <b/>
      <sz val="9.0"/>
      <name val="Inconsolata"/>
    </font>
    <font>
      <sz val="9.0"/>
      <color rgb="FFFF0000"/>
      <name val="Inconsolata"/>
    </font>
    <font>
      <b/>
      <sz val="10.0"/>
      <color rgb="FFFF0000"/>
    </font>
    <font>
      <b/>
      <sz val="11.0"/>
      <color rgb="FF6AA84F"/>
      <name val="Inconsolata"/>
    </font>
    <font>
      <b/>
      <color rgb="FFFFFFFF"/>
    </font>
    <font>
      <b/>
      <sz val="11.0"/>
      <color rgb="FFFF0000"/>
    </font>
    <font>
      <color rgb="FF222222"/>
      <name val="&quot;Google Sans&quot;"/>
    </font>
    <font>
      <b/>
      <i/>
    </font>
    <font>
      <i/>
    </font>
    <font>
      <color rgb="FF666666"/>
    </font>
    <font>
      <color rgb="FF999999"/>
    </font>
    <font>
      <sz val="9.0"/>
    </font>
    <font>
      <color rgb="FFD9D9D9"/>
    </font>
    <font>
      <sz val="8.0"/>
      <name val="Arial"/>
    </font>
    <font>
      <strike/>
    </font>
  </fonts>
  <fills count="4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EC81F5"/>
        <bgColor rgb="FFEC81F5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DFFE6"/>
        <bgColor rgb="FFEDFFE6"/>
      </patternFill>
    </fill>
    <fill>
      <patternFill patternType="solid">
        <fgColor rgb="FFC3EEB1"/>
        <bgColor rgb="FFC3EEB1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990000"/>
        <bgColor rgb="FF990000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CC0000"/>
        <bgColor rgb="FFCC00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medium">
        <color rgb="FF000000"/>
      </top>
    </border>
    <border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10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1" xfId="0" applyAlignment="1" applyFont="1" applyNumberFormat="1">
      <alignment horizontal="center" readingOrder="0" shrinkToFit="0" vertical="center" wrapText="1"/>
    </xf>
    <xf borderId="0" fillId="2" fontId="3" numFmtId="1" xfId="0" applyAlignment="1" applyFill="1" applyFont="1" applyNumberFormat="1">
      <alignment horizontal="center" readingOrder="0" shrinkToFit="0" vertical="center" wrapText="1"/>
    </xf>
    <xf borderId="0" fillId="3" fontId="3" numFmtId="1" xfId="0" applyAlignment="1" applyFill="1" applyFont="1" applyNumberFormat="1">
      <alignment horizontal="center" readingOrder="0" shrinkToFit="0" vertical="center" wrapText="1"/>
    </xf>
    <xf borderId="0" fillId="4" fontId="3" numFmtId="1" xfId="0" applyAlignment="1" applyFill="1" applyFont="1" applyNumberFormat="1">
      <alignment horizontal="center" readingOrder="0" shrinkToFit="0" vertical="center" wrapText="1"/>
    </xf>
    <xf borderId="0" fillId="5" fontId="3" numFmtId="1" xfId="0" applyAlignment="1" applyFill="1" applyFont="1" applyNumberFormat="1">
      <alignment horizontal="center" readingOrder="0" shrinkToFit="0" vertical="center" wrapText="1"/>
    </xf>
    <xf borderId="0" fillId="6" fontId="3" numFmtId="1" xfId="0" applyAlignment="1" applyFill="1" applyFont="1" applyNumberFormat="1">
      <alignment horizontal="center" readingOrder="0" shrinkToFit="0" vertical="center" wrapText="1"/>
    </xf>
    <xf borderId="0" fillId="7" fontId="3" numFmtId="1" xfId="0" applyAlignment="1" applyFill="1" applyFont="1" applyNumberFormat="1">
      <alignment horizontal="center" readingOrder="0" shrinkToFit="0" vertical="center" wrapText="1"/>
    </xf>
    <xf borderId="0" fillId="8" fontId="3" numFmtId="1" xfId="0" applyAlignment="1" applyFill="1" applyFont="1" applyNumberFormat="1">
      <alignment horizontal="center" readingOrder="0" shrinkToFit="0" vertical="center" wrapText="1"/>
    </xf>
    <xf borderId="0" fillId="9" fontId="3" numFmtId="1" xfId="0" applyAlignment="1" applyFill="1" applyFont="1" applyNumberFormat="1">
      <alignment horizontal="center" readingOrder="0" shrinkToFit="0" vertical="center" wrapText="1"/>
    </xf>
    <xf borderId="0" fillId="10" fontId="3" numFmtId="1" xfId="0" applyAlignment="1" applyFill="1" applyFont="1" applyNumberFormat="1">
      <alignment horizontal="center" readingOrder="0" shrinkToFit="0" vertical="center" wrapText="1"/>
    </xf>
    <xf borderId="0" fillId="11" fontId="3" numFmtId="1" xfId="0" applyAlignment="1" applyFill="1" applyFont="1" applyNumberFormat="1">
      <alignment horizontal="center" readingOrder="0" shrinkToFit="0" vertical="center" wrapText="1"/>
    </xf>
    <xf borderId="2" fillId="0" fontId="3" numFmtId="1" xfId="0" applyAlignment="1" applyBorder="1" applyFont="1" applyNumberFormat="1">
      <alignment horizontal="center" readingOrder="0" shrinkToFit="0" vertical="center" wrapText="1"/>
    </xf>
    <xf borderId="2" fillId="0" fontId="2" numFmtId="0" xfId="0" applyBorder="1" applyFont="1"/>
    <xf borderId="0" fillId="0" fontId="3" numFmtId="1" xfId="0" applyAlignment="1" applyFont="1" applyNumberFormat="1">
      <alignment horizontal="center" shrinkToFit="0" vertical="center" wrapText="1"/>
    </xf>
    <xf borderId="0" fillId="12" fontId="3" numFmtId="0" xfId="0" applyAlignment="1" applyFill="1" applyFont="1">
      <alignment readingOrder="0"/>
    </xf>
    <xf borderId="0" fillId="12" fontId="4" numFmtId="164" xfId="0" applyAlignment="1" applyFont="1" applyNumberFormat="1">
      <alignment horizontal="center" readingOrder="0" vertical="center"/>
    </xf>
    <xf borderId="0" fillId="2" fontId="2" numFmtId="1" xfId="0" applyAlignment="1" applyFont="1" applyNumberFormat="1">
      <alignment readingOrder="0"/>
    </xf>
    <xf borderId="0" fillId="3" fontId="2" numFmtId="1" xfId="0" applyAlignment="1" applyFont="1" applyNumberFormat="1">
      <alignment readingOrder="0"/>
    </xf>
    <xf borderId="0" fillId="4" fontId="2" numFmtId="1" xfId="0" applyAlignment="1" applyFont="1" applyNumberFormat="1">
      <alignment readingOrder="0"/>
    </xf>
    <xf borderId="0" fillId="5" fontId="2" numFmtId="1" xfId="0" applyAlignment="1" applyFont="1" applyNumberFormat="1">
      <alignment readingOrder="0"/>
    </xf>
    <xf borderId="0" fillId="12" fontId="2" numFmtId="1" xfId="0" applyAlignment="1" applyFont="1" applyNumberFormat="1">
      <alignment readingOrder="0"/>
    </xf>
    <xf borderId="0" fillId="6" fontId="2" numFmtId="1" xfId="0" applyAlignment="1" applyFont="1" applyNumberFormat="1">
      <alignment readingOrder="0"/>
    </xf>
    <xf borderId="0" fillId="7" fontId="2" numFmtId="1" xfId="0" applyAlignment="1" applyFont="1" applyNumberFormat="1">
      <alignment readingOrder="0"/>
    </xf>
    <xf borderId="0" fillId="8" fontId="2" numFmtId="1" xfId="0" applyAlignment="1" applyFont="1" applyNumberFormat="1">
      <alignment readingOrder="0"/>
    </xf>
    <xf borderId="0" fillId="9" fontId="2" numFmtId="1" xfId="0" applyAlignment="1" applyFont="1" applyNumberFormat="1">
      <alignment readingOrder="0"/>
    </xf>
    <xf borderId="0" fillId="10" fontId="2" numFmtId="1" xfId="0" applyFont="1" applyNumberFormat="1"/>
    <xf borderId="0" fillId="11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1" numFmtId="1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13" fontId="2" numFmtId="1" xfId="0" applyFill="1" applyFont="1" applyNumberFormat="1"/>
    <xf borderId="0" fillId="14" fontId="2" numFmtId="1" xfId="0" applyFill="1" applyFont="1" applyNumberFormat="1"/>
    <xf borderId="0" fillId="0" fontId="3" numFmtId="0" xfId="0" applyAlignment="1" applyFont="1">
      <alignment readingOrder="0"/>
    </xf>
    <xf borderId="0" fillId="11" fontId="2" numFmtId="1" xfId="0" applyFont="1" applyNumberFormat="1"/>
    <xf borderId="0" fillId="0" fontId="1" numFmtId="1" xfId="0" applyFont="1" applyNumberFormat="1"/>
    <xf borderId="0" fillId="0" fontId="4" numFmtId="164" xfId="0" applyAlignment="1" applyFont="1" applyNumberFormat="1">
      <alignment horizontal="center" readingOrder="0" vertical="center"/>
    </xf>
    <xf borderId="0" fillId="15" fontId="3" numFmtId="0" xfId="0" applyAlignment="1" applyFill="1" applyFont="1">
      <alignment readingOrder="0"/>
    </xf>
    <xf borderId="0" fillId="16" fontId="4" numFmtId="164" xfId="0" applyAlignment="1" applyFill="1" applyFont="1" applyNumberFormat="1">
      <alignment horizontal="center" readingOrder="0" vertical="center"/>
    </xf>
    <xf borderId="0" fillId="15" fontId="2" numFmtId="1" xfId="0" applyAlignment="1" applyFont="1" applyNumberFormat="1">
      <alignment readingOrder="0"/>
    </xf>
    <xf borderId="0" fillId="17" fontId="2" numFmtId="1" xfId="0" applyAlignment="1" applyFill="1" applyFont="1" applyNumberFormat="1">
      <alignment readingOrder="0"/>
    </xf>
    <xf borderId="0" fillId="15" fontId="2" numFmtId="1" xfId="0" applyFont="1" applyNumberFormat="1"/>
    <xf borderId="0" fillId="15" fontId="1" numFmtId="1" xfId="0" applyFont="1" applyNumberFormat="1"/>
    <xf borderId="0" fillId="17" fontId="2" numFmtId="1" xfId="0" applyFont="1" applyNumberFormat="1"/>
    <xf borderId="0" fillId="10" fontId="2" numFmtId="1" xfId="0" applyAlignment="1" applyFont="1" applyNumberFormat="1">
      <alignment readingOrder="0"/>
    </xf>
    <xf borderId="0" fillId="17" fontId="3" numFmtId="0" xfId="0" applyAlignment="1" applyFont="1">
      <alignment readingOrder="0"/>
    </xf>
    <xf borderId="0" fillId="15" fontId="4" numFmtId="164" xfId="0" applyAlignment="1" applyFont="1" applyNumberFormat="1">
      <alignment horizontal="center" readingOrder="0" vertical="center"/>
    </xf>
    <xf borderId="0" fillId="17" fontId="1" numFmtId="1" xfId="0" applyFont="1" applyNumberFormat="1"/>
    <xf borderId="0" fillId="1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17" fontId="5" numFmtId="0" xfId="0" applyAlignment="1" applyFont="1">
      <alignment vertical="bottom"/>
    </xf>
    <xf borderId="0" fillId="0" fontId="5" numFmtId="1" xfId="0" applyAlignment="1" applyFont="1" applyNumberFormat="1">
      <alignment readingOrder="0" vertical="bottom"/>
    </xf>
    <xf borderId="0" fillId="2" fontId="6" numFmtId="1" xfId="0" applyAlignment="1" applyFont="1" applyNumberFormat="1">
      <alignment horizontal="right" readingOrder="0" vertical="bottom"/>
    </xf>
    <xf borderId="0" fillId="18" fontId="7" numFmtId="1" xfId="0" applyAlignment="1" applyFill="1" applyFont="1" applyNumberFormat="1">
      <alignment readingOrder="0" vertical="bottom"/>
    </xf>
    <xf borderId="0" fillId="4" fontId="7" numFmtId="1" xfId="0" applyAlignment="1" applyFont="1" applyNumberFormat="1">
      <alignment readingOrder="0" vertical="bottom"/>
    </xf>
    <xf borderId="0" fillId="5" fontId="7" numFmtId="1" xfId="0" applyAlignment="1" applyFont="1" applyNumberFormat="1">
      <alignment readingOrder="0" vertical="bottom"/>
    </xf>
    <xf borderId="0" fillId="0" fontId="6" numFmtId="1" xfId="0" applyAlignment="1" applyFont="1" applyNumberFormat="1">
      <alignment horizontal="right" vertical="bottom"/>
    </xf>
    <xf borderId="0" fillId="6" fontId="6" numFmtId="1" xfId="0" applyAlignment="1" applyFont="1" applyNumberFormat="1">
      <alignment horizontal="right" readingOrder="0" vertical="bottom"/>
    </xf>
    <xf borderId="0" fillId="7" fontId="6" numFmtId="1" xfId="0" applyAlignment="1" applyFont="1" applyNumberFormat="1">
      <alignment horizontal="right" readingOrder="0" vertical="bottom"/>
    </xf>
    <xf borderId="0" fillId="8" fontId="6" numFmtId="1" xfId="0" applyAlignment="1" applyFont="1" applyNumberFormat="1">
      <alignment horizontal="right" readingOrder="0" vertical="bottom"/>
    </xf>
    <xf borderId="0" fillId="10" fontId="7" numFmtId="1" xfId="0" applyAlignment="1" applyFont="1" applyNumberFormat="1">
      <alignment vertical="bottom"/>
    </xf>
    <xf borderId="0" fillId="11" fontId="7" numFmtId="1" xfId="0" applyAlignment="1" applyFont="1" applyNumberFormat="1">
      <alignment vertical="bottom"/>
    </xf>
    <xf borderId="0" fillId="0" fontId="7" numFmtId="1" xfId="0" applyAlignment="1" applyFont="1" applyNumberFormat="1">
      <alignment vertical="bottom"/>
    </xf>
    <xf borderId="3" fillId="19" fontId="5" numFmtId="1" xfId="0" applyAlignment="1" applyBorder="1" applyFill="1" applyFont="1" applyNumberFormat="1">
      <alignment vertical="bottom"/>
    </xf>
    <xf borderId="3" fillId="19" fontId="8" numFmtId="1" xfId="0" applyAlignment="1" applyBorder="1" applyFont="1" applyNumberFormat="1">
      <alignment horizontal="center" readingOrder="0"/>
    </xf>
    <xf borderId="3" fillId="19" fontId="6" numFmtId="1" xfId="0" applyAlignment="1" applyBorder="1" applyFont="1" applyNumberFormat="1">
      <alignment horizontal="right" vertical="bottom"/>
    </xf>
    <xf borderId="3" fillId="19" fontId="7" numFmtId="1" xfId="0" applyAlignment="1" applyBorder="1" applyFont="1" applyNumberFormat="1">
      <alignment vertical="bottom"/>
    </xf>
    <xf borderId="3" fillId="7" fontId="6" numFmtId="1" xfId="0" applyAlignment="1" applyBorder="1" applyFont="1" applyNumberFormat="1">
      <alignment horizontal="right" vertical="bottom"/>
    </xf>
    <xf borderId="0" fillId="19" fontId="2" numFmtId="1" xfId="0" applyAlignment="1" applyFont="1" applyNumberFormat="1">
      <alignment readingOrder="0"/>
    </xf>
    <xf borderId="3" fillId="10" fontId="7" numFmtId="1" xfId="0" applyAlignment="1" applyBorder="1" applyFont="1" applyNumberFormat="1">
      <alignment vertical="bottom"/>
    </xf>
    <xf borderId="3" fillId="11" fontId="7" numFmtId="1" xfId="0" applyAlignment="1" applyBorder="1" applyFont="1" applyNumberFormat="1">
      <alignment vertical="bottom"/>
    </xf>
    <xf borderId="3" fillId="0" fontId="6" numFmtId="1" xfId="0" applyAlignment="1" applyBorder="1" applyFont="1" applyNumberFormat="1">
      <alignment horizontal="right" vertical="bottom"/>
    </xf>
    <xf borderId="3" fillId="0" fontId="7" numFmtId="1" xfId="0" applyAlignment="1" applyBorder="1" applyFont="1" applyNumberFormat="1">
      <alignment vertical="bottom"/>
    </xf>
    <xf borderId="0" fillId="7" fontId="2" numFmtId="0" xfId="0" applyFont="1"/>
    <xf borderId="4" fillId="0" fontId="4" numFmtId="164" xfId="0" applyAlignment="1" applyBorder="1" applyFont="1" applyNumberFormat="1">
      <alignment horizontal="center" readingOrder="0" vertical="center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6" fontId="2" numFmtId="1" xfId="0" applyAlignment="1" applyFont="1" applyNumberFormat="1">
      <alignment horizontal="right" readingOrder="0" vertical="center"/>
    </xf>
    <xf borderId="0" fillId="7" fontId="2" numFmtId="1" xfId="0" applyAlignment="1" applyFont="1" applyNumberFormat="1">
      <alignment horizontal="right" readingOrder="0" vertical="center"/>
    </xf>
    <xf borderId="0" fillId="8" fontId="2" numFmtId="1" xfId="0" applyAlignment="1" applyFont="1" applyNumberFormat="1">
      <alignment horizontal="right" readingOrder="0" vertical="center"/>
    </xf>
    <xf borderId="0" fillId="6" fontId="2" numFmtId="1" xfId="0" applyAlignment="1" applyFont="1" applyNumberFormat="1">
      <alignment horizontal="right" readingOrder="0"/>
    </xf>
    <xf borderId="0" fillId="7" fontId="2" numFmtId="1" xfId="0" applyAlignment="1" applyFont="1" applyNumberFormat="1">
      <alignment horizontal="right" readingOrder="0"/>
    </xf>
    <xf borderId="0" fillId="8" fontId="2" numFmtId="1" xfId="0" applyAlignment="1" applyFont="1" applyNumberFormat="1">
      <alignment horizontal="right" readingOrder="0"/>
    </xf>
    <xf borderId="3" fillId="19" fontId="3" numFmtId="0" xfId="0" applyAlignment="1" applyBorder="1" applyFont="1">
      <alignment readingOrder="0"/>
    </xf>
    <xf borderId="3" fillId="19" fontId="4" numFmtId="0" xfId="0" applyAlignment="1" applyBorder="1" applyFont="1">
      <alignment horizontal="center" readingOrder="0" vertical="center"/>
    </xf>
    <xf borderId="3" fillId="19" fontId="1" numFmtId="1" xfId="0" applyAlignment="1" applyBorder="1" applyFont="1" applyNumberFormat="1">
      <alignment readingOrder="0"/>
    </xf>
    <xf borderId="3" fillId="7" fontId="1" numFmtId="1" xfId="0" applyAlignment="1" applyBorder="1" applyFont="1" applyNumberFormat="1">
      <alignment readingOrder="0"/>
    </xf>
    <xf borderId="0" fillId="19" fontId="2" numFmtId="1" xfId="0" applyFont="1" applyNumberFormat="1"/>
    <xf borderId="0" fillId="19" fontId="1" numFmtId="1" xfId="0" applyFont="1" applyNumberFormat="1"/>
    <xf borderId="0" fillId="18" fontId="3" numFmtId="0" xfId="0" applyAlignment="1" applyFont="1">
      <alignment readingOrder="0"/>
    </xf>
    <xf borderId="0" fillId="18" fontId="4" numFmtId="164" xfId="0" applyAlignment="1" applyFont="1" applyNumberFormat="1">
      <alignment horizontal="center" readingOrder="0" vertical="center"/>
    </xf>
    <xf borderId="0" fillId="18" fontId="2" numFmtId="1" xfId="0" applyAlignment="1" applyFont="1" applyNumberFormat="1">
      <alignment readingOrder="0"/>
    </xf>
    <xf borderId="0" fillId="20" fontId="2" numFmtId="1" xfId="0" applyFill="1" applyFont="1" applyNumberFormat="1"/>
    <xf borderId="0" fillId="20" fontId="2" numFmtId="1" xfId="0" applyAlignment="1" applyFont="1" applyNumberFormat="1">
      <alignment readingOrder="0"/>
    </xf>
    <xf borderId="0" fillId="21" fontId="2" numFmtId="1" xfId="0" applyAlignment="1" applyFill="1" applyFont="1" applyNumberFormat="1">
      <alignment readingOrder="0"/>
    </xf>
    <xf borderId="0" fillId="16" fontId="3" numFmtId="0" xfId="0" applyAlignment="1" applyFont="1">
      <alignment readingOrder="0"/>
    </xf>
    <xf borderId="0" fillId="22" fontId="4" numFmtId="164" xfId="0" applyAlignment="1" applyFill="1" applyFont="1" applyNumberFormat="1">
      <alignment horizontal="center" readingOrder="0" vertical="center"/>
    </xf>
    <xf borderId="0" fillId="22" fontId="2" numFmtId="1" xfId="0" applyAlignment="1" applyFont="1" applyNumberFormat="1">
      <alignment readingOrder="0"/>
    </xf>
    <xf borderId="0" fillId="16" fontId="2" numFmtId="1" xfId="0" applyFont="1" applyNumberFormat="1"/>
    <xf borderId="0" fillId="16" fontId="1" numFmtId="1" xfId="0" applyFont="1" applyNumberFormat="1"/>
    <xf borderId="0" fillId="16" fontId="2" numFmtId="1" xfId="0" applyAlignment="1" applyFont="1" applyNumberFormat="1">
      <alignment readingOrder="0"/>
    </xf>
    <xf borderId="0" fillId="7" fontId="2" numFmtId="1" xfId="0" applyFont="1" applyNumberFormat="1"/>
    <xf borderId="0" fillId="8" fontId="2" numFmtId="1" xfId="0" applyFont="1" applyNumberFormat="1"/>
    <xf borderId="0" fillId="18" fontId="4" numFmtId="165" xfId="0" applyAlignment="1" applyFont="1" applyNumberFormat="1">
      <alignment horizontal="center" readingOrder="0" vertical="center"/>
    </xf>
    <xf borderId="0" fillId="18" fontId="2" numFmtId="1" xfId="0" applyFont="1" applyNumberFormat="1"/>
    <xf borderId="0" fillId="22" fontId="2" numFmtId="1" xfId="0" applyFont="1" applyNumberFormat="1"/>
    <xf borderId="0" fillId="2" fontId="9" numFmtId="0" xfId="0" applyAlignment="1" applyFont="1">
      <alignment horizontal="right" readingOrder="0"/>
    </xf>
    <xf borderId="0" fillId="2" fontId="1" numFmtId="1" xfId="0" applyAlignment="1" applyFont="1" applyNumberFormat="1">
      <alignment readingOrder="0"/>
    </xf>
    <xf borderId="0" fillId="3" fontId="1" numFmtId="1" xfId="0" applyAlignment="1" applyFont="1" applyNumberFormat="1">
      <alignment readingOrder="0"/>
    </xf>
    <xf borderId="0" fillId="4" fontId="1" numFmtId="1" xfId="0" applyAlignment="1" applyFont="1" applyNumberFormat="1">
      <alignment readingOrder="0"/>
    </xf>
    <xf borderId="0" fillId="5" fontId="1" numFmtId="1" xfId="0" applyAlignment="1" applyFont="1" applyNumberFormat="1">
      <alignment readingOrder="0"/>
    </xf>
    <xf borderId="0" fillId="18" fontId="1" numFmtId="1" xfId="0" applyAlignment="1" applyFont="1" applyNumberFormat="1">
      <alignment readingOrder="0"/>
    </xf>
    <xf borderId="0" fillId="6" fontId="1" numFmtId="1" xfId="0" applyAlignment="1" applyFont="1" applyNumberFormat="1">
      <alignment readingOrder="0"/>
    </xf>
    <xf borderId="0" fillId="7" fontId="1" numFmtId="1" xfId="0" applyAlignment="1" applyFont="1" applyNumberFormat="1">
      <alignment readingOrder="0"/>
    </xf>
    <xf borderId="0" fillId="23" fontId="1" numFmtId="1" xfId="0" applyAlignment="1" applyFill="1" applyFont="1" applyNumberFormat="1">
      <alignment readingOrder="0"/>
    </xf>
    <xf borderId="5" fillId="19" fontId="2" numFmtId="1" xfId="0" applyBorder="1" applyFont="1" applyNumberFormat="1"/>
    <xf borderId="5" fillId="19" fontId="1" numFmtId="1" xfId="0" applyBorder="1" applyFont="1" applyNumberFormat="1"/>
    <xf borderId="5" fillId="19" fontId="2" numFmtId="1" xfId="0" applyAlignment="1" applyBorder="1" applyFont="1" applyNumberFormat="1">
      <alignment readingOrder="0"/>
    </xf>
    <xf borderId="6" fillId="19" fontId="2" numFmtId="1" xfId="0" applyBorder="1" applyFont="1" applyNumberFormat="1"/>
    <xf borderId="0" fillId="19" fontId="4" numFmtId="0" xfId="0" applyAlignment="1" applyFont="1">
      <alignment horizontal="center" readingOrder="0" vertical="center"/>
    </xf>
    <xf borderId="2" fillId="19" fontId="1" numFmtId="1" xfId="0" applyAlignment="1" applyBorder="1" applyFont="1" applyNumberFormat="1">
      <alignment readingOrder="0"/>
    </xf>
    <xf borderId="2" fillId="7" fontId="1" numFmtId="1" xfId="0" applyAlignment="1" applyBorder="1" applyFont="1" applyNumberFormat="1">
      <alignment readingOrder="0"/>
    </xf>
    <xf borderId="2" fillId="19" fontId="2" numFmtId="1" xfId="0" applyBorder="1" applyFont="1" applyNumberFormat="1"/>
    <xf borderId="0" fillId="2" fontId="10" numFmtId="1" xfId="0" applyAlignment="1" applyFont="1" applyNumberFormat="1">
      <alignment readingOrder="0"/>
    </xf>
    <xf borderId="7" fillId="19" fontId="3" numFmtId="0" xfId="0" applyAlignment="1" applyBorder="1" applyFont="1">
      <alignment readingOrder="0"/>
    </xf>
    <xf borderId="5" fillId="19" fontId="4" numFmtId="0" xfId="0" applyAlignment="1" applyBorder="1" applyFont="1">
      <alignment horizontal="center" readingOrder="0" vertical="center"/>
    </xf>
    <xf borderId="5" fillId="19" fontId="1" numFmtId="1" xfId="0" applyAlignment="1" applyBorder="1" applyFont="1" applyNumberFormat="1">
      <alignment readingOrder="0"/>
    </xf>
    <xf borderId="5" fillId="7" fontId="1" numFmtId="1" xfId="0" applyAlignment="1" applyBorder="1" applyFont="1" applyNumberFormat="1">
      <alignment readingOrder="0"/>
    </xf>
    <xf borderId="5" fillId="11" fontId="2" numFmtId="1" xfId="0" applyBorder="1" applyFont="1" applyNumberFormat="1"/>
    <xf borderId="0" fillId="7" fontId="9" numFmtId="1" xfId="0" applyAlignment="1" applyFont="1" applyNumberFormat="1">
      <alignment horizontal="right" readingOrder="0"/>
    </xf>
    <xf borderId="0" fillId="16" fontId="9" numFmtId="1" xfId="0" applyAlignment="1" applyFont="1" applyNumberFormat="1">
      <alignment horizontal="right" readingOrder="0"/>
    </xf>
    <xf borderId="0" fillId="11" fontId="9" numFmtId="1" xfId="0" applyAlignment="1" applyFont="1" applyNumberFormat="1">
      <alignment horizontal="left" readingOrder="0"/>
    </xf>
    <xf borderId="0" fillId="12" fontId="11" numFmtId="1" xfId="0" applyAlignment="1" applyFont="1" applyNumberFormat="1">
      <alignment horizontal="right" readingOrder="0"/>
    </xf>
    <xf borderId="0" fillId="6" fontId="2" numFmtId="1" xfId="0" applyFont="1" applyNumberFormat="1"/>
    <xf borderId="8" fillId="11" fontId="2" numFmtId="1" xfId="0" applyBorder="1" applyFont="1" applyNumberFormat="1"/>
    <xf borderId="8" fillId="0" fontId="2" numFmtId="1" xfId="0" applyBorder="1" applyFont="1" applyNumberFormat="1"/>
    <xf borderId="8" fillId="0" fontId="1" numFmtId="1" xfId="0" applyBorder="1" applyFont="1" applyNumberFormat="1"/>
    <xf borderId="8" fillId="0" fontId="2" numFmtId="1" xfId="0" applyAlignment="1" applyBorder="1" applyFont="1" applyNumberFormat="1">
      <alignment readingOrder="0"/>
    </xf>
    <xf borderId="8" fillId="14" fontId="2" numFmtId="1" xfId="0" applyBorder="1" applyFont="1" applyNumberFormat="1"/>
    <xf borderId="5" fillId="19" fontId="1" numFmtId="1" xfId="0" applyAlignment="1" applyBorder="1" applyFont="1" applyNumberFormat="1">
      <alignment horizontal="center" readingOrder="0"/>
    </xf>
    <xf borderId="0" fillId="14" fontId="3" numFmtId="0" xfId="0" applyAlignment="1" applyFont="1">
      <alignment readingOrder="0"/>
    </xf>
    <xf borderId="0" fillId="10" fontId="4" numFmtId="164" xfId="0" applyAlignment="1" applyFont="1" applyNumberFormat="1">
      <alignment horizontal="center" readingOrder="0" vertical="center"/>
    </xf>
    <xf borderId="0" fillId="2" fontId="9" numFmtId="1" xfId="0" applyAlignment="1" applyFont="1" applyNumberFormat="1">
      <alignment horizontal="right" readingOrder="0"/>
    </xf>
    <xf borderId="0" fillId="3" fontId="9" numFmtId="1" xfId="0" applyAlignment="1" applyFont="1" applyNumberFormat="1">
      <alignment horizontal="right" readingOrder="0"/>
    </xf>
    <xf borderId="0" fillId="4" fontId="9" numFmtId="1" xfId="0" applyAlignment="1" applyFont="1" applyNumberFormat="1">
      <alignment horizontal="right" readingOrder="0"/>
    </xf>
    <xf borderId="0" fillId="5" fontId="9" numFmtId="1" xfId="0" applyAlignment="1" applyFont="1" applyNumberFormat="1">
      <alignment horizontal="right" readingOrder="0"/>
    </xf>
    <xf borderId="0" fillId="0" fontId="9" numFmtId="1" xfId="0" applyAlignment="1" applyFont="1" applyNumberFormat="1">
      <alignment horizontal="right" readingOrder="0"/>
    </xf>
    <xf borderId="0" fillId="6" fontId="9" numFmtId="1" xfId="0" applyAlignment="1" applyFont="1" applyNumberFormat="1">
      <alignment horizontal="right" readingOrder="0"/>
    </xf>
    <xf borderId="0" fillId="8" fontId="9" numFmtId="1" xfId="0" applyAlignment="1" applyFont="1" applyNumberFormat="1">
      <alignment horizontal="right" readingOrder="0"/>
    </xf>
    <xf borderId="0" fillId="14" fontId="4" numFmtId="0" xfId="0" applyAlignment="1" applyFont="1">
      <alignment horizontal="center" readingOrder="0" vertical="center"/>
    </xf>
    <xf borderId="0" fillId="14" fontId="2" numFmtId="1" xfId="0" applyAlignment="1" applyFont="1" applyNumberFormat="1">
      <alignment readingOrder="0"/>
    </xf>
    <xf borderId="0" fillId="24" fontId="2" numFmtId="1" xfId="0" applyAlignment="1" applyFill="1" applyFont="1" applyNumberFormat="1">
      <alignment readingOrder="0"/>
    </xf>
    <xf borderId="0" fillId="14" fontId="4" numFmtId="164" xfId="0" applyAlignment="1" applyFont="1" applyNumberFormat="1">
      <alignment horizontal="center" readingOrder="0" vertical="center"/>
    </xf>
    <xf borderId="0" fillId="12" fontId="1" numFmtId="1" xfId="0" applyAlignment="1" applyFont="1" applyNumberFormat="1">
      <alignment readingOrder="0"/>
    </xf>
    <xf borderId="0" fillId="8" fontId="1" numFmtId="1" xfId="0" applyAlignment="1" applyFont="1" applyNumberFormat="1">
      <alignment readingOrder="0"/>
    </xf>
    <xf borderId="0" fillId="19" fontId="3" numFmtId="0" xfId="0" applyAlignment="1" applyFont="1">
      <alignment readingOrder="0"/>
    </xf>
    <xf borderId="8" fillId="11" fontId="2" numFmtId="1" xfId="0" applyAlignment="1" applyBorder="1" applyFont="1" applyNumberFormat="1">
      <alignment readingOrder="0"/>
    </xf>
    <xf borderId="0" fillId="14" fontId="1" numFmtId="1" xfId="0" applyAlignment="1" applyFont="1" applyNumberFormat="1">
      <alignment readingOrder="0"/>
    </xf>
    <xf borderId="0" fillId="25" fontId="2" numFmtId="1" xfId="0" applyAlignment="1" applyFill="1" applyFont="1" applyNumberFormat="1">
      <alignment readingOrder="0"/>
    </xf>
    <xf borderId="0" fillId="19" fontId="2" numFmtId="0" xfId="0" applyAlignment="1" applyFont="1">
      <alignment readingOrder="0"/>
    </xf>
    <xf borderId="0" fillId="19" fontId="1" numFmtId="1" xfId="0" applyAlignment="1" applyFont="1" applyNumberFormat="1">
      <alignment readingOrder="0"/>
    </xf>
    <xf borderId="0" fillId="6" fontId="12" numFmtId="1" xfId="0" applyAlignment="1" applyFont="1" applyNumberFormat="1">
      <alignment readingOrder="0"/>
    </xf>
    <xf borderId="3" fillId="11" fontId="2" numFmtId="1" xfId="0" applyBorder="1" applyFont="1" applyNumberFormat="1"/>
    <xf borderId="3" fillId="0" fontId="2" numFmtId="1" xfId="0" applyBorder="1" applyFont="1" applyNumberFormat="1"/>
    <xf borderId="3" fillId="0" fontId="1" numFmtId="1" xfId="0" applyBorder="1" applyFont="1" applyNumberFormat="1"/>
    <xf borderId="3" fillId="0" fontId="2" numFmtId="1" xfId="0" applyAlignment="1" applyBorder="1" applyFont="1" applyNumberFormat="1">
      <alignment readingOrder="0"/>
    </xf>
    <xf borderId="0" fillId="14" fontId="12" numFmtId="1" xfId="0" applyAlignment="1" applyFont="1" applyNumberFormat="1">
      <alignment readingOrder="0"/>
    </xf>
    <xf borderId="0" fillId="7" fontId="12" numFmtId="1" xfId="0" applyAlignment="1" applyFont="1" applyNumberFormat="1">
      <alignment readingOrder="0"/>
    </xf>
    <xf borderId="0" fillId="8" fontId="12" numFmtId="1" xfId="0" applyAlignment="1" applyFont="1" applyNumberFormat="1">
      <alignment readingOrder="0"/>
    </xf>
    <xf borderId="0" fillId="6" fontId="13" numFmtId="1" xfId="0" applyAlignment="1" applyFont="1" applyNumberFormat="1">
      <alignment readingOrder="0"/>
    </xf>
    <xf borderId="0" fillId="7" fontId="14" numFmtId="1" xfId="0" applyAlignment="1" applyFont="1" applyNumberFormat="1">
      <alignment readingOrder="0"/>
    </xf>
    <xf borderId="0" fillId="8" fontId="14" numFmtId="1" xfId="0" applyAlignment="1" applyFont="1" applyNumberFormat="1">
      <alignment readingOrder="0"/>
    </xf>
    <xf borderId="0" fillId="2" fontId="12" numFmtId="1" xfId="0" applyAlignment="1" applyFont="1" applyNumberFormat="1">
      <alignment readingOrder="0"/>
    </xf>
    <xf borderId="0" fillId="3" fontId="12" numFmtId="1" xfId="0" applyAlignment="1" applyFont="1" applyNumberFormat="1">
      <alignment readingOrder="0"/>
    </xf>
    <xf borderId="0" fillId="4" fontId="12" numFmtId="1" xfId="0" applyAlignment="1" applyFont="1" applyNumberFormat="1">
      <alignment readingOrder="0"/>
    </xf>
    <xf borderId="0" fillId="5" fontId="12" numFmtId="1" xfId="0" applyAlignment="1" applyFont="1" applyNumberFormat="1">
      <alignment readingOrder="0"/>
    </xf>
    <xf borderId="0" fillId="0" fontId="12" numFmtId="1" xfId="0" applyAlignment="1" applyFont="1" applyNumberFormat="1">
      <alignment readingOrder="0"/>
    </xf>
    <xf borderId="0" fillId="6" fontId="15" numFmtId="1" xfId="0" applyAlignment="1" applyFont="1" applyNumberFormat="1">
      <alignment readingOrder="0"/>
    </xf>
    <xf borderId="0" fillId="19" fontId="16" numFmtId="0" xfId="0" applyAlignment="1" applyFont="1">
      <alignment horizontal="center" readingOrder="0" vertical="center"/>
    </xf>
    <xf borderId="8" fillId="19" fontId="2" numFmtId="1" xfId="0" applyAlignment="1" applyBorder="1" applyFont="1" applyNumberFormat="1">
      <alignment readingOrder="0"/>
    </xf>
    <xf borderId="8" fillId="19" fontId="15" numFmtId="1" xfId="0" applyAlignment="1" applyBorder="1" applyFont="1" applyNumberFormat="1">
      <alignment readingOrder="0"/>
    </xf>
    <xf borderId="8" fillId="7" fontId="2" numFmtId="1" xfId="0" applyAlignment="1" applyBorder="1" applyFont="1" applyNumberFormat="1">
      <alignment readingOrder="0"/>
    </xf>
    <xf borderId="0" fillId="18" fontId="2" numFmtId="0" xfId="0" applyAlignment="1" applyFont="1">
      <alignment readingOrder="0"/>
    </xf>
    <xf borderId="0" fillId="14" fontId="15" numFmtId="1" xfId="0" applyAlignment="1" applyFont="1" applyNumberFormat="1">
      <alignment readingOrder="0"/>
    </xf>
    <xf borderId="2" fillId="10" fontId="1" numFmtId="166" xfId="0" applyBorder="1" applyFont="1" applyNumberFormat="1"/>
    <xf borderId="0" fillId="12" fontId="12" numFmtId="1" xfId="0" applyAlignment="1" applyFont="1" applyNumberFormat="1">
      <alignment readingOrder="0"/>
    </xf>
    <xf borderId="0" fillId="11" fontId="2" numFmtId="1" xfId="0" applyAlignment="1" applyFont="1" applyNumberFormat="1">
      <alignment horizontal="left" readingOrder="0"/>
    </xf>
    <xf borderId="0" fillId="12" fontId="17" numFmtId="1" xfId="0" applyAlignment="1" applyFont="1" applyNumberFormat="1">
      <alignment readingOrder="0"/>
    </xf>
    <xf borderId="0" fillId="7" fontId="15" numFmtId="1" xfId="0" applyAlignment="1" applyFont="1" applyNumberFormat="1">
      <alignment readingOrder="0"/>
    </xf>
    <xf borderId="0" fillId="8" fontId="15" numFmtId="1" xfId="0" applyAlignment="1" applyFont="1" applyNumberFormat="1">
      <alignment readingOrder="0"/>
    </xf>
    <xf borderId="0" fillId="0" fontId="14" numFmtId="1" xfId="0" applyAlignment="1" applyFont="1" applyNumberFormat="1">
      <alignment readingOrder="0"/>
    </xf>
    <xf borderId="0" fillId="19" fontId="15" numFmtId="1" xfId="0" applyAlignment="1" applyFont="1" applyNumberFormat="1">
      <alignment readingOrder="0"/>
    </xf>
    <xf borderId="0" fillId="14" fontId="5" numFmtId="0" xfId="0" applyAlignment="1" applyFont="1">
      <alignment vertical="bottom"/>
    </xf>
    <xf borderId="3" fillId="10" fontId="2" numFmtId="1" xfId="0" applyBorder="1" applyFont="1" applyNumberFormat="1"/>
    <xf borderId="0" fillId="26" fontId="2" numFmtId="1" xfId="0" applyAlignment="1" applyFill="1" applyFont="1" applyNumberFormat="1">
      <alignment readingOrder="0"/>
    </xf>
    <xf borderId="0" fillId="14" fontId="5" numFmtId="0" xfId="0" applyAlignment="1" applyFont="1">
      <alignment vertical="bottom"/>
    </xf>
    <xf borderId="0" fillId="11" fontId="1" numFmtId="1" xfId="0" applyFont="1" applyNumberFormat="1"/>
    <xf borderId="0" fillId="14" fontId="1" numFmtId="1" xfId="0" applyFont="1" applyNumberFormat="1"/>
    <xf borderId="0" fillId="18" fontId="4" numFmtId="0" xfId="0" applyAlignment="1" applyFont="1">
      <alignment horizontal="center" readingOrder="0" vertical="center"/>
    </xf>
    <xf borderId="0" fillId="11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3" fillId="0" fontId="1" numFmtId="1" xfId="0" applyAlignment="1" applyBorder="1" applyFont="1" applyNumberFormat="1">
      <alignment readingOrder="0"/>
    </xf>
    <xf borderId="0" fillId="21" fontId="3" numFmtId="0" xfId="0" applyAlignment="1" applyFont="1">
      <alignment readingOrder="0"/>
    </xf>
    <xf borderId="0" fillId="21" fontId="2" numFmtId="1" xfId="0" applyFont="1" applyNumberFormat="1"/>
    <xf borderId="0" fillId="21" fontId="1" numFmtId="1" xfId="0" applyFont="1" applyNumberFormat="1"/>
    <xf borderId="3" fillId="19" fontId="5" numFmtId="0" xfId="0" applyAlignment="1" applyBorder="1" applyFont="1">
      <alignment vertical="bottom"/>
    </xf>
    <xf borderId="0" fillId="19" fontId="18" numFmtId="1" xfId="0" applyFont="1" applyNumberFormat="1"/>
    <xf borderId="0" fillId="27" fontId="15" numFmtId="167" xfId="0" applyFill="1" applyFont="1" applyNumberFormat="1"/>
    <xf borderId="0" fillId="6" fontId="19" numFmtId="1" xfId="0" applyAlignment="1" applyFont="1" applyNumberFormat="1">
      <alignment horizontal="right" readingOrder="0"/>
    </xf>
    <xf borderId="0" fillId="11" fontId="3" numFmtId="0" xfId="0" applyAlignment="1" applyFont="1">
      <alignment readingOrder="0"/>
    </xf>
    <xf borderId="0" fillId="12" fontId="5" numFmtId="1" xfId="0" applyAlignment="1" applyFont="1" applyNumberFormat="1">
      <alignment readingOrder="0" vertical="bottom"/>
    </xf>
    <xf borderId="0" fillId="0" fontId="3" numFmtId="1" xfId="0" applyAlignment="1" applyFont="1" applyNumberFormat="1">
      <alignment readingOrder="0"/>
    </xf>
    <xf borderId="3" fillId="7" fontId="6" numFmtId="1" xfId="0" applyAlignment="1" applyBorder="1" applyFont="1" applyNumberFormat="1">
      <alignment horizontal="right" readingOrder="0" vertical="bottom"/>
    </xf>
    <xf borderId="3" fillId="19" fontId="6" numFmtId="1" xfId="0" applyAlignment="1" applyBorder="1" applyFont="1" applyNumberFormat="1">
      <alignment horizontal="right" readingOrder="0" vertical="bottom"/>
    </xf>
    <xf borderId="0" fillId="0" fontId="3" numFmtId="1" xfId="0" applyFont="1" applyNumberFormat="1"/>
    <xf borderId="0" fillId="2" fontId="2" numFmtId="1" xfId="0" applyFont="1" applyNumberFormat="1"/>
    <xf borderId="0" fillId="3" fontId="2" numFmtId="1" xfId="0" applyFont="1" applyNumberFormat="1"/>
    <xf borderId="0" fillId="4" fontId="2" numFmtId="1" xfId="0" applyFont="1" applyNumberFormat="1"/>
    <xf borderId="0" fillId="5" fontId="2" numFmtId="1" xfId="0" applyFont="1" applyNumberFormat="1"/>
    <xf borderId="0" fillId="0" fontId="4" numFmtId="1" xfId="0" applyAlignment="1" applyFont="1" applyNumberFormat="1">
      <alignment horizontal="center" vertical="center"/>
    </xf>
    <xf borderId="0" fillId="9" fontId="2" numFmtId="1" xfId="0" applyFont="1" applyNumberFormat="1"/>
    <xf borderId="0" fillId="0" fontId="1" numFmtId="166" xfId="0" applyAlignment="1" applyFont="1" applyNumberFormat="1">
      <alignment horizontal="center" readingOrder="0" shrinkToFit="0" vertical="center" wrapText="1"/>
    </xf>
    <xf borderId="9" fillId="28" fontId="1" numFmtId="166" xfId="0" applyAlignment="1" applyBorder="1" applyFill="1" applyFont="1" applyNumberFormat="1">
      <alignment horizontal="center" readingOrder="0" shrinkToFit="0" vertical="center" wrapText="1"/>
    </xf>
    <xf borderId="9" fillId="24" fontId="1" numFmtId="166" xfId="0" applyAlignment="1" applyBorder="1" applyFont="1" applyNumberFormat="1">
      <alignment horizontal="center" readingOrder="0" shrinkToFit="0" vertical="center" wrapText="1"/>
    </xf>
    <xf borderId="9" fillId="29" fontId="3" numFmtId="166" xfId="0" applyAlignment="1" applyBorder="1" applyFill="1" applyFont="1" applyNumberFormat="1">
      <alignment horizontal="right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30" fontId="1" numFmtId="1" xfId="0" applyAlignment="1" applyBorder="1" applyFill="1" applyFont="1" applyNumberFormat="1">
      <alignment horizontal="center" readingOrder="0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10" fillId="12" fontId="20" numFmtId="0" xfId="0" applyAlignment="1" applyBorder="1" applyFont="1">
      <alignment horizontal="center" readingOrder="0" vertical="center"/>
    </xf>
    <xf borderId="11" fillId="28" fontId="2" numFmtId="166" xfId="0" applyAlignment="1" applyBorder="1" applyFont="1" applyNumberFormat="1">
      <alignment readingOrder="0"/>
    </xf>
    <xf borderId="11" fillId="24" fontId="2" numFmtId="0" xfId="0" applyBorder="1" applyFont="1"/>
    <xf borderId="11" fillId="29" fontId="2" numFmtId="0" xfId="0" applyAlignment="1" applyBorder="1" applyFont="1">
      <alignment horizontal="right"/>
    </xf>
    <xf borderId="11" fillId="0" fontId="2" numFmtId="0" xfId="0" applyBorder="1" applyFont="1"/>
    <xf borderId="11" fillId="30" fontId="2" numFmtId="1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2" fillId="4" fontId="2" numFmtId="0" xfId="0" applyAlignment="1" applyBorder="1" applyFont="1">
      <alignment readingOrder="0"/>
    </xf>
    <xf borderId="13" fillId="12" fontId="20" numFmtId="0" xfId="0" applyAlignment="1" applyBorder="1" applyFont="1">
      <alignment horizontal="center" readingOrder="0" vertical="center"/>
    </xf>
    <xf borderId="0" fillId="28" fontId="2" numFmtId="166" xfId="0" applyAlignment="1" applyFont="1" applyNumberFormat="1">
      <alignment readingOrder="0"/>
    </xf>
    <xf borderId="0" fillId="24" fontId="2" numFmtId="0" xfId="0" applyAlignment="1" applyFont="1">
      <alignment readingOrder="0"/>
    </xf>
    <xf borderId="0" fillId="29" fontId="2" numFmtId="0" xfId="0" applyAlignment="1" applyFont="1">
      <alignment horizontal="right" readingOrder="0"/>
    </xf>
    <xf borderId="0" fillId="30" fontId="2" numFmtId="1" xfId="0" applyAlignment="1" applyFont="1" applyNumberFormat="1">
      <alignment readingOrder="0"/>
    </xf>
    <xf borderId="14" fillId="4" fontId="2" numFmtId="0" xfId="0" applyBorder="1" applyFont="1"/>
    <xf borderId="0" fillId="24" fontId="2" numFmtId="0" xfId="0" applyFont="1"/>
    <xf borderId="0" fillId="29" fontId="2" numFmtId="0" xfId="0" applyAlignment="1" applyFont="1">
      <alignment horizontal="right"/>
    </xf>
    <xf borderId="0" fillId="12" fontId="2" numFmtId="0" xfId="0" applyAlignment="1" applyFont="1">
      <alignment readingOrder="0"/>
    </xf>
    <xf borderId="15" fillId="12" fontId="20" numFmtId="0" xfId="0" applyAlignment="1" applyBorder="1" applyFont="1">
      <alignment horizontal="center" readingOrder="0" vertical="center"/>
    </xf>
    <xf borderId="2" fillId="28" fontId="2" numFmtId="166" xfId="0" applyAlignment="1" applyBorder="1" applyFont="1" applyNumberFormat="1">
      <alignment readingOrder="0"/>
    </xf>
    <xf borderId="2" fillId="24" fontId="2" numFmtId="0" xfId="0" applyAlignment="1" applyBorder="1" applyFont="1">
      <alignment readingOrder="0"/>
    </xf>
    <xf borderId="2" fillId="29" fontId="2" numFmtId="0" xfId="0" applyAlignment="1" applyBorder="1" applyFont="1">
      <alignment horizontal="right" readingOrder="0"/>
    </xf>
    <xf borderId="2" fillId="30" fontId="2" numFmtId="1" xfId="0" applyAlignment="1" applyBorder="1" applyFont="1" applyNumberFormat="1">
      <alignment readingOrder="0"/>
    </xf>
    <xf borderId="2" fillId="12" fontId="2" numFmtId="0" xfId="0" applyAlignment="1" applyBorder="1" applyFont="1">
      <alignment readingOrder="0"/>
    </xf>
    <xf borderId="16" fillId="4" fontId="2" numFmtId="0" xfId="0" applyBorder="1" applyFont="1"/>
    <xf borderId="9" fillId="0" fontId="1" numFmtId="0" xfId="0" applyAlignment="1" applyBorder="1" applyFont="1">
      <alignment horizontal="center" readingOrder="0" vertical="center"/>
    </xf>
    <xf borderId="11" fillId="24" fontId="2" numFmtId="0" xfId="0" applyAlignment="1" applyBorder="1" applyFont="1">
      <alignment readingOrder="0"/>
    </xf>
    <xf borderId="11" fillId="29" fontId="2" numFmtId="0" xfId="0" applyAlignment="1" applyBorder="1" applyFont="1">
      <alignment horizontal="right" readingOrder="0"/>
    </xf>
    <xf borderId="17" fillId="0" fontId="2" numFmtId="0" xfId="0" applyBorder="1" applyFont="1"/>
    <xf borderId="0" fillId="30" fontId="2" numFmtId="0" xfId="0" applyAlignment="1" applyFont="1">
      <alignment readingOrder="0"/>
    </xf>
    <xf borderId="14" fillId="4" fontId="2" numFmtId="0" xfId="0" applyAlignment="1" applyBorder="1" applyFont="1">
      <alignment readingOrder="0"/>
    </xf>
    <xf borderId="0" fillId="28" fontId="2" numFmtId="166" xfId="0" applyFont="1" applyNumberFormat="1"/>
    <xf borderId="0" fillId="12" fontId="2" numFmtId="0" xfId="0" applyFont="1"/>
    <xf borderId="18" fillId="0" fontId="2" numFmtId="0" xfId="0" applyBorder="1" applyFont="1"/>
    <xf borderId="2" fillId="28" fontId="1" numFmtId="166" xfId="0" applyBorder="1" applyFont="1" applyNumberFormat="1"/>
    <xf borderId="2" fillId="24" fontId="2" numFmtId="0" xfId="0" applyBorder="1" applyFont="1"/>
    <xf borderId="2" fillId="29" fontId="2" numFmtId="0" xfId="0" applyAlignment="1" applyBorder="1" applyFont="1">
      <alignment horizontal="right"/>
    </xf>
    <xf borderId="2" fillId="30" fontId="2" numFmtId="1" xfId="0" applyBorder="1" applyFont="1" applyNumberFormat="1"/>
    <xf borderId="2" fillId="12" fontId="2" numFmtId="0" xfId="0" applyBorder="1" applyFont="1"/>
    <xf borderId="11" fillId="12" fontId="2" numFmtId="0" xfId="0" applyAlignment="1" applyBorder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166" xfId="0" applyFont="1" applyNumberFormat="1"/>
    <xf borderId="2" fillId="28" fontId="1" numFmtId="166" xfId="0" applyAlignment="1" applyBorder="1" applyFont="1" applyNumberFormat="1">
      <alignment readingOrder="0"/>
    </xf>
    <xf borderId="17" fillId="0" fontId="1" numFmtId="0" xfId="0" applyAlignment="1" applyBorder="1" applyFont="1">
      <alignment horizontal="center" readingOrder="0" vertical="center"/>
    </xf>
    <xf borderId="0" fillId="28" fontId="2" numFmtId="0" xfId="0" applyAlignment="1" applyFont="1">
      <alignment readingOrder="0"/>
    </xf>
    <xf borderId="0" fillId="30" fontId="2" numFmtId="1" xfId="0" applyFont="1" applyNumberFormat="1"/>
    <xf borderId="0" fillId="28" fontId="9" numFmtId="166" xfId="0" applyAlignment="1" applyFont="1" applyNumberFormat="1">
      <alignment horizontal="right" readingOrder="0"/>
    </xf>
    <xf borderId="0" fillId="30" fontId="12" numFmtId="1" xfId="0" applyAlignment="1" applyFont="1" applyNumberFormat="1">
      <alignment readingOrder="0"/>
    </xf>
    <xf borderId="0" fillId="12" fontId="12" numFmtId="0" xfId="0" applyAlignment="1" applyFont="1">
      <alignment readingOrder="0"/>
    </xf>
    <xf borderId="11" fillId="4" fontId="2" numFmtId="0" xfId="0" applyAlignment="1" applyBorder="1" applyFont="1">
      <alignment readingOrder="0"/>
    </xf>
    <xf borderId="11" fillId="12" fontId="2" numFmtId="0" xfId="0" applyBorder="1" applyFont="1"/>
    <xf borderId="0" fillId="29" fontId="2" numFmtId="4" xfId="0" applyAlignment="1" applyFont="1" applyNumberFormat="1">
      <alignment horizontal="right" readingOrder="0"/>
    </xf>
    <xf borderId="0" fillId="29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30" fontId="7" numFmtId="1" xfId="0" applyAlignment="1" applyFont="1" applyNumberFormat="1">
      <alignment vertical="bottom"/>
    </xf>
    <xf borderId="0" fillId="12" fontId="7" numFmtId="0" xfId="0" applyAlignment="1" applyFont="1">
      <alignment readingOrder="0" vertical="bottom"/>
    </xf>
    <xf borderId="2" fillId="0" fontId="2" numFmtId="0" xfId="0" applyAlignment="1" applyBorder="1" applyFont="1">
      <alignment readingOrder="0"/>
    </xf>
    <xf borderId="14" fillId="4" fontId="2" numFmtId="168" xfId="0" applyAlignment="1" applyBorder="1" applyFont="1" applyNumberFormat="1">
      <alignment readingOrder="0"/>
    </xf>
    <xf borderId="0" fillId="29" fontId="21" numFmtId="4" xfId="0" applyAlignment="1" applyFont="1" applyNumberFormat="1">
      <alignment horizontal="right" readingOrder="0"/>
    </xf>
    <xf borderId="0" fillId="29" fontId="22" numFmtId="4" xfId="0" applyAlignment="1" applyFont="1" applyNumberFormat="1">
      <alignment readingOrder="0"/>
    </xf>
    <xf borderId="12" fillId="4" fontId="2" numFmtId="168" xfId="0" applyAlignment="1" applyBorder="1" applyFont="1" applyNumberFormat="1">
      <alignment readingOrder="0"/>
    </xf>
    <xf borderId="0" fillId="29" fontId="23" numFmtId="4" xfId="0" applyAlignment="1" applyFont="1" applyNumberFormat="1">
      <alignment horizontal="right" readingOrder="0"/>
    </xf>
    <xf borderId="0" fillId="0" fontId="1" numFmtId="0" xfId="0" applyAlignment="1" applyFont="1">
      <alignment horizontal="center" readingOrder="0" vertical="center"/>
    </xf>
    <xf borderId="0" fillId="29" fontId="2" numFmtId="4" xfId="0" applyAlignment="1" applyFont="1" applyNumberFormat="1">
      <alignment readingOrder="0"/>
    </xf>
    <xf borderId="0" fillId="4" fontId="2" numFmtId="168" xfId="0" applyAlignment="1" applyFont="1" applyNumberFormat="1">
      <alignment readingOrder="0"/>
    </xf>
    <xf borderId="0" fillId="4" fontId="2" numFmtId="0" xfId="0" applyFont="1"/>
    <xf borderId="17" fillId="0" fontId="1" numFmtId="169" xfId="0" applyAlignment="1" applyBorder="1" applyFont="1" applyNumberFormat="1">
      <alignment horizontal="center" readingOrder="0" vertical="center"/>
    </xf>
    <xf borderId="18" fillId="0" fontId="1" numFmtId="169" xfId="0" applyAlignment="1" applyBorder="1" applyFont="1" applyNumberFormat="1">
      <alignment horizontal="center" readingOrder="0" vertical="center"/>
    </xf>
    <xf borderId="9" fillId="0" fontId="1" numFmtId="169" xfId="0" applyAlignment="1" applyBorder="1" applyFont="1" applyNumberFormat="1">
      <alignment horizontal="center" readingOrder="0" vertical="center"/>
    </xf>
    <xf borderId="11" fillId="28" fontId="2" numFmtId="166" xfId="0" applyBorder="1" applyFont="1" applyNumberFormat="1"/>
    <xf borderId="12" fillId="4" fontId="2" numFmtId="0" xfId="0" applyBorder="1" applyFont="1"/>
    <xf borderId="0" fillId="28" fontId="2" numFmtId="0" xfId="0" applyFont="1"/>
    <xf borderId="0" fillId="30" fontId="2" numFmtId="0" xfId="0" applyFont="1"/>
    <xf borderId="14" fillId="4" fontId="2" numFmtId="0" xfId="0" applyAlignment="1" applyBorder="1" applyFont="1">
      <alignment horizontal="right" readingOrder="0"/>
    </xf>
    <xf borderId="14" fillId="4" fontId="2" numFmtId="170" xfId="0" applyAlignment="1" applyBorder="1" applyFont="1" applyNumberFormat="1">
      <alignment readingOrder="0"/>
    </xf>
    <xf borderId="13" fillId="28" fontId="7" numFmtId="166" xfId="0" applyAlignment="1" applyBorder="1" applyFont="1" applyNumberFormat="1">
      <alignment horizontal="right" vertical="bottom"/>
    </xf>
    <xf borderId="0" fillId="24" fontId="7" numFmtId="0" xfId="0" applyAlignment="1" applyFont="1">
      <alignment vertical="bottom"/>
    </xf>
    <xf borderId="0" fillId="29" fontId="7" numFmtId="0" xfId="0" applyAlignment="1" applyFont="1">
      <alignment vertical="bottom"/>
    </xf>
    <xf borderId="0" fillId="24" fontId="2" numFmtId="4" xfId="0" applyAlignment="1" applyFont="1" applyNumberFormat="1">
      <alignment readingOrder="0"/>
    </xf>
    <xf borderId="0" fillId="12" fontId="2" numFmtId="0" xfId="0" applyAlignment="1" applyFont="1">
      <alignment horizontal="left" readingOrder="0"/>
    </xf>
    <xf borderId="0" fillId="29" fontId="24" numFmtId="4" xfId="0" applyAlignment="1" applyFont="1" applyNumberFormat="1">
      <alignment horizontal="right" readingOrder="0"/>
    </xf>
    <xf borderId="0" fillId="0" fontId="2" numFmtId="168" xfId="0" applyAlignment="1" applyFont="1" applyNumberFormat="1">
      <alignment readingOrder="0"/>
    </xf>
    <xf borderId="10" fillId="28" fontId="7" numFmtId="166" xfId="0" applyAlignment="1" applyBorder="1" applyFont="1" applyNumberFormat="1">
      <alignment vertical="bottom"/>
    </xf>
    <xf borderId="11" fillId="24" fontId="7" numFmtId="0" xfId="0" applyAlignment="1" applyBorder="1" applyFont="1">
      <alignment horizontal="right" vertical="bottom"/>
    </xf>
    <xf borderId="11" fillId="29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11" fillId="30" fontId="7" numFmtId="1" xfId="0" applyAlignment="1" applyBorder="1" applyFont="1" applyNumberFormat="1">
      <alignment vertical="bottom"/>
    </xf>
    <xf borderId="11" fillId="0" fontId="7" numFmtId="0" xfId="0" applyAlignment="1" applyBorder="1" applyFont="1">
      <alignment vertical="bottom"/>
    </xf>
    <xf borderId="0" fillId="29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1" fontId="2" numFmtId="0" xfId="0" applyAlignment="1" applyFill="1" applyFont="1">
      <alignment readingOrder="0"/>
    </xf>
    <xf borderId="0" fillId="24" fontId="7" numFmtId="0" xfId="0" applyAlignment="1" applyFont="1">
      <alignment vertical="bottom"/>
    </xf>
    <xf borderId="13" fillId="28" fontId="7" numFmtId="166" xfId="0" applyAlignment="1" applyBorder="1" applyFont="1" applyNumberFormat="1">
      <alignment vertical="bottom"/>
    </xf>
    <xf borderId="13" fillId="28" fontId="7" numFmtId="166" xfId="0" applyAlignment="1" applyBorder="1" applyFont="1" applyNumberFormat="1">
      <alignment horizontal="right" readingOrder="0" vertical="bottom"/>
    </xf>
    <xf borderId="0" fillId="29" fontId="2" numFmtId="0" xfId="0" applyAlignment="1" applyFont="1">
      <alignment readingOrder="0"/>
    </xf>
    <xf borderId="0" fillId="30" fontId="2" numFmtId="168" xfId="0" applyAlignment="1" applyFont="1" applyNumberFormat="1">
      <alignment readingOrder="0"/>
    </xf>
    <xf borderId="11" fillId="30" fontId="7" numFmtId="1" xfId="0" applyAlignment="1" applyBorder="1" applyFont="1" applyNumberFormat="1">
      <alignment readingOrder="0" vertical="bottom"/>
    </xf>
    <xf borderId="11" fillId="0" fontId="7" numFmtId="0" xfId="0" applyAlignment="1" applyBorder="1" applyFont="1">
      <alignment readingOrder="0" vertical="bottom"/>
    </xf>
    <xf borderId="0" fillId="30" fontId="7" numFmtId="1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29" fontId="7" numFmtId="0" xfId="0" applyAlignment="1" applyFont="1">
      <alignment readingOrder="0" vertical="bottom"/>
    </xf>
    <xf borderId="0" fillId="24" fontId="7" numFmtId="0" xfId="0" applyAlignment="1" applyFont="1">
      <alignment readingOrder="0" vertical="bottom"/>
    </xf>
    <xf borderId="0" fillId="28" fontId="2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3" fillId="28" fontId="7" numFmtId="166" xfId="0" applyAlignment="1" applyBorder="1" applyFont="1" applyNumberFormat="1">
      <alignment readingOrder="0" vertical="bottom"/>
    </xf>
    <xf borderId="0" fillId="12" fontId="25" numFmtId="0" xfId="0" applyAlignment="1" applyFont="1">
      <alignment readingOrder="0"/>
    </xf>
    <xf borderId="0" fillId="0" fontId="25" numFmtId="0" xfId="0" applyAlignment="1" applyFont="1">
      <alignment readingOrder="0"/>
    </xf>
    <xf borderId="0" fillId="15" fontId="25" numFmtId="0" xfId="0" applyAlignment="1" applyFont="1">
      <alignment readingOrder="0"/>
    </xf>
    <xf borderId="0" fillId="15" fontId="4" numFmtId="0" xfId="0" applyAlignment="1" applyFont="1">
      <alignment horizontal="center" readingOrder="0" vertical="center"/>
    </xf>
    <xf borderId="0" fillId="17" fontId="25" numFmtId="0" xfId="0" applyAlignment="1" applyFont="1">
      <alignment readingOrder="0"/>
    </xf>
    <xf borderId="0" fillId="12" fontId="26" numFmtId="0" xfId="0" applyAlignment="1" applyFont="1">
      <alignment vertical="bottom"/>
    </xf>
    <xf borderId="0" fillId="0" fontId="4" numFmtId="171" xfId="0" applyAlignment="1" applyFont="1" applyNumberFormat="1">
      <alignment horizontal="center" readingOrder="0" vertical="center"/>
    </xf>
    <xf borderId="0" fillId="0" fontId="26" numFmtId="0" xfId="0" applyAlignment="1" applyFont="1">
      <alignment vertical="bottom"/>
    </xf>
    <xf borderId="0" fillId="17" fontId="26" numFmtId="0" xfId="0" applyAlignment="1" applyFont="1">
      <alignment vertical="bottom"/>
    </xf>
    <xf borderId="0" fillId="15" fontId="4" numFmtId="171" xfId="0" applyAlignment="1" applyFont="1" applyNumberFormat="1">
      <alignment horizontal="center" readingOrder="0" vertical="center"/>
    </xf>
    <xf borderId="0" fillId="0" fontId="26" numFmtId="1" xfId="0" applyAlignment="1" applyFont="1" applyNumberFormat="1">
      <alignment readingOrder="0" vertical="bottom"/>
    </xf>
    <xf borderId="3" fillId="19" fontId="26" numFmtId="1" xfId="0" applyAlignment="1" applyBorder="1" applyFont="1" applyNumberFormat="1">
      <alignment vertical="bottom"/>
    </xf>
    <xf borderId="0" fillId="12" fontId="4" numFmtId="171" xfId="0" applyAlignment="1" applyFont="1" applyNumberFormat="1">
      <alignment horizontal="center" readingOrder="0" vertical="center"/>
    </xf>
    <xf borderId="3" fillId="19" fontId="25" numFmtId="0" xfId="0" applyAlignment="1" applyBorder="1" applyFont="1">
      <alignment readingOrder="0"/>
    </xf>
    <xf borderId="0" fillId="18" fontId="25" numFmtId="0" xfId="0" applyAlignment="1" applyFont="1">
      <alignment readingOrder="0"/>
    </xf>
    <xf borderId="0" fillId="16" fontId="25" numFmtId="0" xfId="0" applyAlignment="1" applyFont="1">
      <alignment readingOrder="0"/>
    </xf>
    <xf borderId="0" fillId="23" fontId="2" numFmtId="1" xfId="0" applyAlignment="1" applyFont="1" applyNumberFormat="1">
      <alignment readingOrder="0"/>
    </xf>
    <xf borderId="7" fillId="19" fontId="25" numFmtId="0" xfId="0" applyAlignment="1" applyBorder="1" applyFont="1">
      <alignment readingOrder="0"/>
    </xf>
    <xf borderId="0" fillId="14" fontId="25" numFmtId="0" xfId="0" applyAlignment="1" applyFont="1">
      <alignment readingOrder="0"/>
    </xf>
    <xf borderId="0" fillId="14" fontId="26" numFmtId="0" xfId="0" applyAlignment="1" applyFont="1">
      <alignment vertical="bottom"/>
    </xf>
    <xf borderId="0" fillId="18" fontId="26" numFmtId="0" xfId="0" applyAlignment="1" applyFont="1">
      <alignment vertical="bottom"/>
    </xf>
    <xf borderId="0" fillId="18" fontId="4" numFmtId="172" xfId="0" applyAlignment="1" applyFont="1" applyNumberFormat="1">
      <alignment horizontal="center" readingOrder="0" vertical="center"/>
    </xf>
    <xf borderId="0" fillId="0" fontId="1" numFmtId="166" xfId="0" applyFont="1" applyNumberFormat="1"/>
    <xf borderId="0" fillId="2" fontId="15" numFmtId="1" xfId="0" applyAlignment="1" applyFont="1" applyNumberFormat="1">
      <alignment readingOrder="0"/>
    </xf>
    <xf borderId="0" fillId="19" fontId="27" numFmtId="0" xfId="0" applyAlignment="1" applyFont="1">
      <alignment readingOrder="0"/>
    </xf>
    <xf borderId="0" fillId="19" fontId="28" numFmtId="164" xfId="0" applyAlignment="1" applyFont="1" applyNumberFormat="1">
      <alignment horizontal="center" readingOrder="0" vertical="center"/>
    </xf>
    <xf borderId="0" fillId="0" fontId="15" numFmtId="167" xfId="0" applyFont="1" applyNumberFormat="1"/>
    <xf borderId="0" fillId="27" fontId="27" numFmtId="0" xfId="0" applyAlignment="1" applyFont="1">
      <alignment readingOrder="0"/>
    </xf>
    <xf borderId="0" fillId="27" fontId="28" numFmtId="164" xfId="0" applyAlignment="1" applyFont="1" applyNumberFormat="1">
      <alignment horizontal="center" readingOrder="0" vertical="center"/>
    </xf>
    <xf borderId="0" fillId="27" fontId="12" numFmtId="1" xfId="0" applyAlignment="1" applyFont="1" applyNumberFormat="1">
      <alignment readingOrder="0"/>
    </xf>
    <xf borderId="0" fillId="27" fontId="12" numFmtId="1" xfId="0" applyFont="1" applyNumberFormat="1"/>
    <xf borderId="0" fillId="11" fontId="15" numFmtId="1" xfId="0" applyAlignment="1" applyFont="1" applyNumberFormat="1">
      <alignment readingOrder="0"/>
    </xf>
    <xf borderId="0" fillId="27" fontId="5" numFmtId="1" xfId="0" applyAlignment="1" applyFont="1" applyNumberFormat="1">
      <alignment readingOrder="0" vertical="bottom"/>
    </xf>
    <xf borderId="0" fillId="27" fontId="4" numFmtId="164" xfId="0" applyAlignment="1" applyFont="1" applyNumberFormat="1">
      <alignment horizontal="center" readingOrder="0" vertical="center"/>
    </xf>
    <xf borderId="0" fillId="27" fontId="2" numFmtId="1" xfId="0" applyAlignment="1" applyFont="1" applyNumberFormat="1">
      <alignment readingOrder="0"/>
    </xf>
    <xf borderId="0" fillId="27" fontId="2" numFmtId="1" xfId="0" applyFont="1" applyNumberFormat="1"/>
    <xf borderId="0" fillId="12" fontId="27" numFmtId="0" xfId="0" applyAlignment="1" applyFont="1">
      <alignment readingOrder="0"/>
    </xf>
    <xf borderId="0" fillId="18" fontId="28" numFmtId="164" xfId="0" applyAlignment="1" applyFont="1" applyNumberFormat="1">
      <alignment horizontal="center" readingOrder="0" vertical="center"/>
    </xf>
    <xf borderId="0" fillId="0" fontId="27" numFmtId="0" xfId="0" applyAlignment="1" applyFont="1">
      <alignment readingOrder="0"/>
    </xf>
    <xf borderId="0" fillId="10" fontId="5" numFmtId="1" xfId="0" applyAlignment="1" applyFont="1" applyNumberFormat="1">
      <alignment readingOrder="0" vertical="bottom"/>
    </xf>
    <xf borderId="0" fillId="10" fontId="3" numFmtId="0" xfId="0" applyAlignment="1" applyFont="1">
      <alignment readingOrder="0"/>
    </xf>
    <xf borderId="0" fillId="0" fontId="4" numFmtId="172" xfId="0" applyAlignment="1" applyFont="1" applyNumberFormat="1">
      <alignment horizontal="center" readingOrder="0" vertical="center"/>
    </xf>
    <xf borderId="0" fillId="10" fontId="3" numFmtId="1" xfId="0" applyAlignment="1" applyFont="1" applyNumberFormat="1">
      <alignment readingOrder="0"/>
    </xf>
    <xf borderId="0" fillId="10" fontId="4" numFmtId="172" xfId="0" applyAlignment="1" applyFont="1" applyNumberFormat="1">
      <alignment horizontal="center" readingOrder="0" vertical="center"/>
    </xf>
    <xf borderId="0" fillId="15" fontId="3" numFmtId="1" xfId="0" applyAlignment="1" applyFont="1" applyNumberFormat="1">
      <alignment readingOrder="0"/>
    </xf>
    <xf borderId="0" fillId="15" fontId="4" numFmtId="172" xfId="0" applyAlignment="1" applyFont="1" applyNumberFormat="1">
      <alignment horizontal="center" readingOrder="0" vertical="center"/>
    </xf>
    <xf borderId="0" fillId="15" fontId="1" numFmtId="1" xfId="0" applyAlignment="1" applyFont="1" applyNumberFormat="1">
      <alignment readingOrder="0"/>
    </xf>
    <xf borderId="1" fillId="32" fontId="2" numFmtId="0" xfId="0" applyAlignment="1" applyBorder="1" applyFill="1" applyFont="1">
      <alignment readingOrder="0"/>
    </xf>
    <xf borderId="1" fillId="32" fontId="2" numFmtId="0" xfId="0" applyBorder="1" applyFont="1"/>
    <xf borderId="2" fillId="29" fontId="2" numFmtId="4" xfId="0" applyAlignment="1" applyBorder="1" applyFont="1" applyNumberFormat="1">
      <alignment horizontal="right"/>
    </xf>
    <xf borderId="2" fillId="29" fontId="2" numFmtId="1" xfId="0" applyAlignment="1" applyBorder="1" applyFont="1" applyNumberFormat="1">
      <alignment horizontal="right"/>
    </xf>
    <xf borderId="16" fillId="4" fontId="2" numFmtId="166" xfId="0" applyBorder="1" applyFont="1" applyNumberFormat="1"/>
    <xf borderId="0" fillId="29" fontId="7" numFmtId="4" xfId="0" applyAlignment="1" applyFont="1" applyNumberFormat="1">
      <alignment vertical="bottom"/>
    </xf>
    <xf borderId="0" fillId="30" fontId="7" numFmtId="1" xfId="0" applyAlignment="1" applyFont="1" applyNumberFormat="1">
      <alignment horizontal="right" vertical="bottom"/>
    </xf>
    <xf borderId="0" fillId="7" fontId="2" numFmtId="166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29" fontId="12" numFmtId="0" xfId="0" applyAlignment="1" applyFont="1">
      <alignment horizontal="right" readingOrder="0"/>
    </xf>
    <xf borderId="0" fillId="29" fontId="12" numFmtId="0" xfId="0" applyAlignment="1" applyFont="1">
      <alignment horizontal="right"/>
    </xf>
    <xf borderId="11" fillId="29" fontId="12" numFmtId="0" xfId="0" applyAlignment="1" applyBorder="1" applyFont="1">
      <alignment horizontal="right" readingOrder="0"/>
    </xf>
    <xf borderId="11" fillId="0" fontId="12" numFmtId="0" xfId="0" applyAlignment="1" applyBorder="1" applyFont="1">
      <alignment readingOrder="0"/>
    </xf>
    <xf borderId="11" fillId="30" fontId="12" numFmtId="1" xfId="0" applyAlignment="1" applyBorder="1" applyFont="1" applyNumberFormat="1">
      <alignment readingOrder="0"/>
    </xf>
    <xf borderId="0" fillId="28" fontId="12" numFmtId="166" xfId="0" applyAlignment="1" applyFont="1" applyNumberFormat="1">
      <alignment readingOrder="0"/>
    </xf>
    <xf borderId="0" fillId="24" fontId="12" numFmtId="0" xfId="0" applyAlignment="1" applyFont="1">
      <alignment readingOrder="0"/>
    </xf>
    <xf borderId="2" fillId="29" fontId="2" numFmtId="166" xfId="0" applyAlignment="1" applyBorder="1" applyFont="1" applyNumberFormat="1">
      <alignment horizontal="right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28" fontId="1" numFmtId="166" xfId="0" applyAlignment="1" applyBorder="1" applyFont="1" applyNumberFormat="1">
      <alignment horizontal="center" readingOrder="0" shrinkToFit="0" vertical="center" wrapText="1"/>
    </xf>
    <xf borderId="1" fillId="24" fontId="1" numFmtId="166" xfId="0" applyAlignment="1" applyBorder="1" applyFont="1" applyNumberFormat="1">
      <alignment horizontal="center" readingOrder="0" shrinkToFit="0" vertical="center" wrapText="1"/>
    </xf>
    <xf borderId="1" fillId="29" fontId="3" numFmtId="166" xfId="0" applyAlignment="1" applyBorder="1" applyFont="1" applyNumberFormat="1">
      <alignment horizontal="righ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0" fontId="1" numFmtId="1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0" fillId="29" fontId="15" numFmtId="0" xfId="0" applyAlignment="1" applyFont="1">
      <alignment horizontal="right" readingOrder="0"/>
    </xf>
    <xf borderId="0" fillId="27" fontId="2" numFmtId="0" xfId="0" applyAlignment="1" applyFont="1">
      <alignment horizontal="right" readingOrder="0"/>
    </xf>
    <xf borderId="0" fillId="27" fontId="2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0" fontId="15" numFmtId="1" xfId="0" applyAlignment="1" applyFont="1" applyNumberFormat="1">
      <alignment readingOrder="0"/>
    </xf>
    <xf borderId="0" fillId="28" fontId="15" numFmtId="166" xfId="0" applyAlignment="1" applyFont="1" applyNumberFormat="1">
      <alignment readingOrder="0"/>
    </xf>
    <xf borderId="0" fillId="12" fontId="15" numFmtId="0" xfId="0" applyAlignment="1" applyFont="1">
      <alignment readingOrder="0"/>
    </xf>
    <xf borderId="11" fillId="29" fontId="15" numFmtId="0" xfId="0" applyAlignment="1" applyBorder="1" applyFont="1">
      <alignment horizontal="right" readingOrder="0"/>
    </xf>
    <xf borderId="11" fillId="0" fontId="15" numFmtId="0" xfId="0" applyAlignment="1" applyBorder="1" applyFont="1">
      <alignment readingOrder="0"/>
    </xf>
    <xf borderId="11" fillId="30" fontId="15" numFmtId="1" xfId="0" applyAlignment="1" applyBorder="1" applyFont="1" applyNumberFormat="1">
      <alignment readingOrder="0"/>
    </xf>
    <xf borderId="0" fillId="24" fontId="12" numFmtId="0" xfId="0" applyFont="1"/>
    <xf borderId="11" fillId="28" fontId="12" numFmtId="166" xfId="0" applyAlignment="1" applyBorder="1" applyFont="1" applyNumberFormat="1">
      <alignment readingOrder="0"/>
    </xf>
    <xf borderId="11" fillId="24" fontId="12" numFmtId="0" xfId="0" applyAlignment="1" applyBorder="1" applyFont="1">
      <alignment readingOrder="0"/>
    </xf>
    <xf borderId="0" fillId="24" fontId="15" numFmtId="0" xfId="0" applyAlignment="1" applyFont="1">
      <alignment readingOrder="0"/>
    </xf>
    <xf borderId="0" fillId="29" fontId="22" numFmtId="4" xfId="0" applyAlignment="1" applyFont="1" applyNumberFormat="1">
      <alignment horizontal="right" readingOrder="0"/>
    </xf>
    <xf borderId="0" fillId="0" fontId="22" numFmtId="0" xfId="0" applyAlignment="1" applyFont="1">
      <alignment horizontal="right"/>
    </xf>
    <xf borderId="0" fillId="29" fontId="29" numFmtId="0" xfId="0" applyFont="1"/>
    <xf borderId="0" fillId="29" fontId="15" numFmtId="4" xfId="0" applyAlignment="1" applyFont="1" applyNumberFormat="1">
      <alignment readingOrder="0"/>
    </xf>
    <xf borderId="0" fillId="30" fontId="15" numFmtId="1" xfId="0" applyFont="1" applyNumberFormat="1"/>
    <xf borderId="0" fillId="7" fontId="12" numFmtId="166" xfId="0" applyAlignment="1" applyFont="1" applyNumberFormat="1">
      <alignment readingOrder="0"/>
    </xf>
    <xf borderId="0" fillId="24" fontId="15" numFmtId="0" xfId="0" applyFont="1"/>
    <xf borderId="0" fillId="12" fontId="9" numFmtId="0" xfId="0" applyAlignment="1" applyFont="1">
      <alignment readingOrder="0" vertical="bottom"/>
    </xf>
    <xf borderId="11" fillId="12" fontId="1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0" fillId="29" fontId="30" numFmtId="0" xfId="0" applyAlignment="1" applyFont="1">
      <alignment readingOrder="0"/>
    </xf>
    <xf borderId="0" fillId="29" fontId="24" numFmtId="4" xfId="0" applyAlignment="1" applyFont="1" applyNumberFormat="1">
      <alignment readingOrder="0"/>
    </xf>
    <xf borderId="0" fillId="28" fontId="31" numFmtId="166" xfId="0" applyAlignment="1" applyFont="1" applyNumberFormat="1">
      <alignment readingOrder="0"/>
    </xf>
    <xf borderId="11" fillId="29" fontId="12" numFmtId="0" xfId="0" applyAlignment="1" applyBorder="1" applyFont="1">
      <alignment horizontal="right"/>
    </xf>
    <xf borderId="0" fillId="0" fontId="12" numFmtId="0" xfId="0" applyFont="1"/>
    <xf borderId="0" fillId="29" fontId="12" numFmtId="4" xfId="0" applyAlignment="1" applyFont="1" applyNumberFormat="1">
      <alignment horizontal="right" readingOrder="0"/>
    </xf>
    <xf borderId="0" fillId="7" fontId="15" numFmtId="0" xfId="0" applyAlignment="1" applyFont="1">
      <alignment readingOrder="0"/>
    </xf>
    <xf borderId="11" fillId="24" fontId="15" numFmtId="0" xfId="0" applyAlignment="1" applyBorder="1" applyFont="1">
      <alignment readingOrder="0"/>
    </xf>
    <xf borderId="18" fillId="0" fontId="1" numFmtId="0" xfId="0" applyAlignment="1" applyBorder="1" applyFont="1">
      <alignment horizontal="center" readingOrder="0" vertical="center"/>
    </xf>
    <xf borderId="0" fillId="29" fontId="32" numFmtId="4" xfId="0" applyAlignment="1" applyFont="1" applyNumberFormat="1">
      <alignment horizontal="right" readingOrder="0"/>
    </xf>
    <xf borderId="0" fillId="30" fontId="22" numFmtId="1" xfId="0" applyAlignment="1" applyFont="1" applyNumberFormat="1">
      <alignment horizontal="right" readingOrder="0"/>
    </xf>
    <xf borderId="0" fillId="29" fontId="9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30" fontId="9" numFmtId="1" xfId="0" applyAlignment="1" applyFont="1" applyNumberFormat="1">
      <alignment readingOrder="0" vertical="bottom"/>
    </xf>
    <xf borderId="18" fillId="12" fontId="1" numFmtId="0" xfId="0" applyAlignment="1" applyBorder="1" applyFont="1">
      <alignment horizontal="center" readingOrder="0" vertical="center"/>
    </xf>
    <xf borderId="1" fillId="30" fontId="33" numFmtId="1" xfId="0" applyAlignment="1" applyBorder="1" applyFont="1" applyNumberFormat="1">
      <alignment horizontal="center" readingOrder="0" shrinkToFit="0" vertical="center" wrapText="1"/>
    </xf>
    <xf borderId="0" fillId="29" fontId="34" numFmtId="0" xfId="0" applyAlignment="1" applyFont="1">
      <alignment readingOrder="0"/>
    </xf>
    <xf borderId="2" fillId="30" fontId="15" numFmtId="1" xfId="0" applyAlignment="1" applyBorder="1" applyFont="1" applyNumberFormat="1">
      <alignment readingOrder="0"/>
    </xf>
    <xf borderId="2" fillId="30" fontId="15" numFmtId="1" xfId="0" applyBorder="1" applyFont="1" applyNumberFormat="1"/>
    <xf borderId="0" fillId="7" fontId="12" numFmtId="0" xfId="0" applyAlignment="1" applyFont="1">
      <alignment readingOrder="0"/>
    </xf>
    <xf borderId="0" fillId="30" fontId="15" numFmtId="0" xfId="0" applyAlignment="1" applyFont="1">
      <alignment readingOrder="0"/>
    </xf>
    <xf borderId="0" fillId="30" fontId="35" numFmtId="1" xfId="0" applyAlignment="1" applyFont="1" applyNumberFormat="1">
      <alignment readingOrder="0" vertical="bottom"/>
    </xf>
    <xf borderId="2" fillId="30" fontId="12" numFmtId="1" xfId="0" applyBorder="1" applyFont="1" applyNumberFormat="1"/>
    <xf borderId="11" fillId="28" fontId="15" numFmtId="166" xfId="0" applyAlignment="1" applyBorder="1" applyFont="1" applyNumberFormat="1">
      <alignment readingOrder="0"/>
    </xf>
    <xf borderId="0" fillId="29" fontId="9" numFmtId="4" xfId="0" applyAlignment="1" applyFont="1" applyNumberFormat="1">
      <alignment horizontal="right" readingOrder="0"/>
    </xf>
    <xf borderId="0" fillId="30" fontId="12" numFmtId="1" xfId="0" applyFont="1" applyNumberFormat="1"/>
    <xf borderId="0" fillId="30" fontId="36" numFmtId="1" xfId="0" applyAlignment="1" applyFont="1" applyNumberFormat="1">
      <alignment horizontal="right" readingOrder="0"/>
    </xf>
    <xf borderId="0" fillId="30" fontId="15" numFmtId="168" xfId="0" applyAlignment="1" applyFont="1" applyNumberFormat="1">
      <alignment readingOrder="0"/>
    </xf>
    <xf borderId="2" fillId="29" fontId="15" numFmtId="1" xfId="0" applyAlignment="1" applyBorder="1" applyFont="1" applyNumberFormat="1">
      <alignment horizontal="right"/>
    </xf>
    <xf borderId="0" fillId="30" fontId="15" numFmtId="0" xfId="0" applyFont="1"/>
    <xf borderId="0" fillId="28" fontId="12" numFmtId="0" xfId="0" applyAlignment="1" applyFont="1">
      <alignment readingOrder="0"/>
    </xf>
    <xf borderId="0" fillId="29" fontId="37" numFmtId="0" xfId="0" applyAlignment="1" applyFont="1">
      <alignment readingOrder="0"/>
    </xf>
    <xf borderId="2" fillId="28" fontId="31" numFmtId="166" xfId="0" applyAlignment="1" applyBorder="1" applyFont="1" applyNumberFormat="1">
      <alignment readingOrder="0"/>
    </xf>
    <xf borderId="2" fillId="24" fontId="12" numFmtId="0" xfId="0" applyBorder="1" applyFont="1"/>
    <xf borderId="2" fillId="29" fontId="12" numFmtId="0" xfId="0" applyAlignment="1" applyBorder="1" applyFont="1">
      <alignment horizontal="right"/>
    </xf>
    <xf borderId="2" fillId="0" fontId="12" numFmtId="0" xfId="0" applyBorder="1" applyFont="1"/>
    <xf borderId="2" fillId="30" fontId="12" numFmtId="1" xfId="0" applyAlignment="1" applyBorder="1" applyFont="1" applyNumberFormat="1">
      <alignment readingOrder="0"/>
    </xf>
    <xf borderId="2" fillId="12" fontId="12" numFmtId="0" xfId="0" applyAlignment="1" applyBorder="1" applyFont="1">
      <alignment readingOrder="0"/>
    </xf>
    <xf borderId="0" fillId="29" fontId="12" numFmtId="4" xfId="0" applyAlignment="1" applyFont="1" applyNumberFormat="1">
      <alignment readingOrder="0"/>
    </xf>
    <xf borderId="0" fillId="28" fontId="12" numFmtId="166" xfId="0" applyFont="1" applyNumberFormat="1"/>
    <xf borderId="2" fillId="28" fontId="31" numFmtId="166" xfId="0" applyBorder="1" applyFont="1" applyNumberFormat="1"/>
    <xf borderId="0" fillId="28" fontId="12" numFmtId="0" xfId="0" applyAlignment="1" applyFont="1">
      <alignment horizontal="right" readingOrder="0"/>
    </xf>
    <xf borderId="0" fillId="28" fontId="31" numFmtId="166" xfId="0" applyFont="1" applyNumberFormat="1"/>
    <xf borderId="0" fillId="12" fontId="12" numFmtId="0" xfId="0" applyFont="1"/>
    <xf borderId="2" fillId="12" fontId="12" numFmtId="0" xfId="0" applyBorder="1" applyFont="1"/>
    <xf borderId="0" fillId="30" fontId="12" numFmtId="0" xfId="0" applyAlignment="1" applyFont="1">
      <alignment readingOrder="0"/>
    </xf>
    <xf borderId="13" fillId="28" fontId="9" numFmtId="166" xfId="0" applyAlignment="1" applyBorder="1" applyFont="1" applyNumberFormat="1">
      <alignment horizontal="right" readingOrder="0" vertical="bottom"/>
    </xf>
    <xf borderId="0" fillId="24" fontId="9" numFmtId="0" xfId="0" applyAlignment="1" applyFont="1">
      <alignment readingOrder="0" vertical="bottom"/>
    </xf>
    <xf borderId="2" fillId="29" fontId="12" numFmtId="0" xfId="0" applyAlignment="1" applyBorder="1" applyFont="1">
      <alignment horizontal="right" readingOrder="0"/>
    </xf>
    <xf borderId="0" fillId="24" fontId="12" numFmtId="4" xfId="0" applyAlignment="1" applyFont="1" applyNumberFormat="1">
      <alignment readingOrder="0"/>
    </xf>
    <xf borderId="0" fillId="12" fontId="12" numFmtId="0" xfId="0" applyAlignment="1" applyFont="1">
      <alignment horizontal="left" readingOrder="0"/>
    </xf>
    <xf borderId="0" fillId="29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2" fillId="0" fontId="12" numFmtId="0" xfId="0" applyAlignment="1" applyBorder="1" applyFont="1">
      <alignment readingOrder="0"/>
    </xf>
    <xf borderId="0" fillId="28" fontId="7" numFmtId="166" xfId="0" applyAlignment="1" applyFont="1" applyNumberFormat="1">
      <alignment vertical="bottom"/>
    </xf>
    <xf borderId="0" fillId="30" fontId="9" numFmtId="1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24" fontId="9" numFmtId="0" xfId="0" applyAlignment="1" applyFont="1">
      <alignment horizontal="right" vertical="bottom"/>
    </xf>
    <xf borderId="0" fillId="28" fontId="9" numFmtId="166" xfId="0" applyAlignment="1" applyFont="1" applyNumberFormat="1">
      <alignment horizontal="right" vertical="bottom"/>
    </xf>
    <xf borderId="0" fillId="0" fontId="35" numFmtId="0" xfId="0" applyAlignment="1" applyFont="1">
      <alignment vertical="bottom"/>
    </xf>
    <xf borderId="0" fillId="24" fontId="9" numFmtId="0" xfId="0" applyAlignment="1" applyFont="1">
      <alignment horizontal="right" vertical="bottom"/>
    </xf>
    <xf borderId="1" fillId="0" fontId="15" numFmtId="0" xfId="0" applyBorder="1" applyFont="1"/>
    <xf borderId="1" fillId="0" fontId="15" numFmtId="0" xfId="0" applyAlignment="1" applyBorder="1" applyFont="1">
      <alignment readingOrder="0"/>
    </xf>
    <xf borderId="1" fillId="0" fontId="2" numFmtId="168" xfId="0" applyAlignment="1" applyBorder="1" applyFont="1" applyNumberFormat="1">
      <alignment readingOrder="0"/>
    </xf>
    <xf borderId="1" fillId="30" fontId="2" numFmtId="0" xfId="0" applyAlignment="1" applyBorder="1" applyFont="1">
      <alignment readingOrder="0"/>
    </xf>
    <xf borderId="1" fillId="30" fontId="2" numFmtId="0" xfId="0" applyBorder="1" applyFont="1"/>
    <xf borderId="11" fillId="12" fontId="15" numFmtId="0" xfId="0" applyAlignment="1" applyBorder="1" applyFont="1">
      <alignment readingOrder="0"/>
    </xf>
    <xf borderId="0" fillId="29" fontId="35" numFmtId="0" xfId="0" applyAlignment="1" applyFont="1">
      <alignment horizontal="right" vertical="bottom"/>
    </xf>
    <xf borderId="0" fillId="0" fontId="35" numFmtId="0" xfId="0" applyAlignment="1" applyFont="1">
      <alignment readingOrder="0" vertical="bottom"/>
    </xf>
    <xf borderId="0" fillId="30" fontId="35" numFmtId="1" xfId="0" applyAlignment="1" applyFont="1" applyNumberFormat="1">
      <alignment vertical="bottom"/>
    </xf>
    <xf borderId="0" fillId="0" fontId="35" numFmtId="0" xfId="0" applyAlignment="1" applyFont="1">
      <alignment vertical="bottom"/>
    </xf>
    <xf borderId="0" fillId="28" fontId="15" numFmtId="0" xfId="0" applyAlignment="1" applyFont="1">
      <alignment readingOrder="0"/>
    </xf>
    <xf borderId="14" fillId="4" fontId="12" numFmtId="0" xfId="0" applyBorder="1" applyFont="1"/>
    <xf borderId="0" fillId="0" fontId="38" numFmtId="0" xfId="0" applyAlignment="1" applyFont="1">
      <alignment readingOrder="0"/>
    </xf>
    <xf borderId="0" fillId="30" fontId="38" numFmtId="1" xfId="0" applyAlignment="1" applyFont="1" applyNumberFormat="1">
      <alignment readingOrder="0"/>
    </xf>
    <xf borderId="0" fillId="12" fontId="38" numFmtId="0" xfId="0" applyAlignment="1" applyFont="1">
      <alignment readingOrder="0"/>
    </xf>
    <xf borderId="0" fillId="12" fontId="15" numFmtId="0" xfId="0" applyAlignment="1" applyFont="1">
      <alignment readingOrder="0" vertical="center"/>
    </xf>
    <xf borderId="0" fillId="28" fontId="7" numFmtId="166" xfId="0" applyAlignment="1" applyFont="1" applyNumberFormat="1">
      <alignment readingOrder="0" vertical="bottom"/>
    </xf>
    <xf borderId="0" fillId="28" fontId="39" numFmtId="166" xfId="0" applyAlignment="1" applyFont="1" applyNumberFormat="1">
      <alignment horizontal="left" readingOrder="0"/>
    </xf>
    <xf borderId="0" fillId="28" fontId="33" numFmtId="166" xfId="0" applyAlignment="1" applyFont="1" applyNumberFormat="1">
      <alignment readingOrder="0"/>
    </xf>
    <xf borderId="14" fillId="4" fontId="12" numFmtId="0" xfId="0" applyAlignment="1" applyBorder="1" applyFont="1">
      <alignment readingOrder="0"/>
    </xf>
    <xf borderId="0" fillId="0" fontId="31" numFmtId="0" xfId="0" applyAlignment="1" applyFont="1">
      <alignment readingOrder="0"/>
    </xf>
    <xf borderId="0" fillId="30" fontId="31" numFmtId="1" xfId="0" applyAlignment="1" applyFont="1" applyNumberFormat="1">
      <alignment readingOrder="0"/>
    </xf>
    <xf borderId="0" fillId="29" fontId="35" numFmtId="4" xfId="0" applyAlignment="1" applyFont="1" applyNumberFormat="1">
      <alignment horizontal="right" readingOrder="0"/>
    </xf>
    <xf borderId="0" fillId="29" fontId="15" numFmtId="0" xfId="0" applyAlignment="1" applyFont="1">
      <alignment horizontal="right"/>
    </xf>
    <xf borderId="0" fillId="28" fontId="9" numFmtId="166" xfId="0" applyAlignment="1" applyFont="1" applyNumberFormat="1">
      <alignment readingOrder="0" vertical="bottom"/>
    </xf>
    <xf borderId="0" fillId="24" fontId="9" numFmtId="0" xfId="0" applyAlignment="1" applyFont="1">
      <alignment vertical="bottom"/>
    </xf>
    <xf borderId="0" fillId="28" fontId="15" numFmtId="0" xfId="0" applyAlignment="1" applyFont="1">
      <alignment horizontal="right" readingOrder="0"/>
    </xf>
    <xf borderId="0" fillId="4" fontId="15" numFmtId="0" xfId="0" applyAlignment="1" applyFont="1">
      <alignment readingOrder="0"/>
    </xf>
    <xf borderId="0" fillId="0" fontId="33" numFmtId="0" xfId="0" applyAlignment="1" applyFont="1">
      <alignment readingOrder="0"/>
    </xf>
    <xf borderId="0" fillId="30" fontId="33" numFmtId="1" xfId="0" applyAlignment="1" applyFont="1" applyNumberFormat="1">
      <alignment readingOrder="0"/>
    </xf>
    <xf borderId="0" fillId="28" fontId="35" numFmtId="166" xfId="0" applyAlignment="1" applyFont="1" applyNumberFormat="1">
      <alignment readingOrder="0" vertical="bottom"/>
    </xf>
    <xf borderId="0" fillId="24" fontId="35" numFmtId="0" xfId="0" applyAlignment="1" applyFont="1">
      <alignment vertical="bottom"/>
    </xf>
    <xf borderId="11" fillId="29" fontId="2" numFmtId="4" xfId="0" applyAlignment="1" applyBorder="1" applyFont="1" applyNumberFormat="1">
      <alignment horizontal="right" readingOrder="0"/>
    </xf>
    <xf borderId="0" fillId="24" fontId="35" numFmtId="0" xfId="0" applyAlignment="1" applyFont="1">
      <alignment readingOrder="0" vertical="bottom"/>
    </xf>
    <xf borderId="0" fillId="29" fontId="35" numFmtId="0" xfId="0" applyAlignment="1" applyFont="1">
      <alignment readingOrder="0" vertical="bottom"/>
    </xf>
    <xf borderId="0" fillId="12" fontId="35" numFmtId="0" xfId="0" applyAlignment="1" applyFont="1">
      <alignment readingOrder="0" vertical="bottom"/>
    </xf>
    <xf borderId="16" fillId="4" fontId="2" numFmtId="0" xfId="0" applyAlignment="1" applyBorder="1" applyFont="1">
      <alignment readingOrder="0"/>
    </xf>
    <xf borderId="0" fillId="0" fontId="22" numFmtId="168" xfId="0" applyAlignment="1" applyFont="1" applyNumberFormat="1">
      <alignment horizontal="right" readingOrder="0"/>
    </xf>
    <xf borderId="0" fillId="4" fontId="12" numFmtId="0" xfId="0" applyAlignment="1" applyFont="1">
      <alignment readingOrder="0"/>
    </xf>
    <xf borderId="1" fillId="19" fontId="40" numFmtId="166" xfId="0" applyAlignment="1" applyBorder="1" applyFont="1" applyNumberFormat="1">
      <alignment horizontal="center" readingOrder="0" shrinkToFit="0" vertical="center" wrapText="1"/>
    </xf>
    <xf borderId="1" fillId="29" fontId="41" numFmtId="166" xfId="0" applyAlignment="1" applyBorder="1" applyFont="1" applyNumberFormat="1">
      <alignment horizontal="center" readingOrder="0" shrinkToFit="0" vertical="center" wrapText="1"/>
    </xf>
    <xf borderId="1" fillId="2" fontId="31" numFmtId="1" xfId="0" applyAlignment="1" applyBorder="1" applyFont="1" applyNumberForma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/>
    </xf>
    <xf borderId="1" fillId="23" fontId="1" numFmtId="0" xfId="0" applyAlignment="1" applyBorder="1" applyFont="1">
      <alignment readingOrder="0"/>
    </xf>
    <xf borderId="1" fillId="33" fontId="1" numFmtId="0" xfId="0" applyAlignment="1" applyBorder="1" applyFill="1" applyFont="1">
      <alignment horizontal="center" readingOrder="0"/>
    </xf>
    <xf borderId="11" fillId="2" fontId="2" numFmtId="1" xfId="0" applyAlignment="1" applyBorder="1" applyFont="1" applyNumberFormat="1">
      <alignment readingOrder="0"/>
    </xf>
    <xf borderId="11" fillId="15" fontId="2" numFmtId="0" xfId="0" applyAlignment="1" applyBorder="1" applyFont="1">
      <alignment readingOrder="0"/>
    </xf>
    <xf borderId="12" fillId="5" fontId="2" numFmtId="0" xfId="0" applyAlignment="1" applyBorder="1" applyFont="1">
      <alignment readingOrder="0"/>
    </xf>
    <xf borderId="0" fillId="15" fontId="2" numFmtId="0" xfId="0" applyAlignment="1" applyFont="1">
      <alignment readingOrder="0"/>
    </xf>
    <xf borderId="0" fillId="23" fontId="2" numFmtId="0" xfId="0" applyFont="1"/>
    <xf borderId="0" fillId="33" fontId="2" numFmtId="0" xfId="0" applyFont="1"/>
    <xf borderId="0" fillId="15" fontId="15" numFmtId="0" xfId="0" applyAlignment="1" applyFont="1">
      <alignment readingOrder="0"/>
    </xf>
    <xf borderId="14" fillId="5" fontId="2" numFmtId="0" xfId="0" applyAlignment="1" applyBorder="1" applyFont="1">
      <alignment readingOrder="0"/>
    </xf>
    <xf borderId="0" fillId="15" fontId="2" numFmtId="0" xfId="0" applyFont="1"/>
    <xf borderId="0" fillId="23" fontId="2" numFmtId="0" xfId="0" applyAlignment="1" applyFont="1">
      <alignment readingOrder="0"/>
    </xf>
    <xf borderId="0" fillId="15" fontId="12" numFmtId="0" xfId="0" applyAlignment="1" applyFont="1">
      <alignment readingOrder="0"/>
    </xf>
    <xf borderId="14" fillId="5" fontId="2" numFmtId="0" xfId="0" applyBorder="1" applyFont="1"/>
    <xf borderId="2" fillId="2" fontId="12" numFmtId="1" xfId="0" applyAlignment="1" applyBorder="1" applyFont="1" applyNumberFormat="1">
      <alignment readingOrder="0"/>
    </xf>
    <xf borderId="2" fillId="15" fontId="12" numFmtId="0" xfId="0" applyAlignment="1" applyBorder="1" applyFont="1">
      <alignment readingOrder="0"/>
    </xf>
    <xf borderId="16" fillId="5" fontId="2" numFmtId="0" xfId="0" applyBorder="1" applyFont="1"/>
    <xf borderId="2" fillId="15" fontId="2" numFmtId="0" xfId="0" applyBorder="1" applyFont="1"/>
    <xf borderId="2" fillId="23" fontId="2" numFmtId="0" xfId="0" applyBorder="1" applyFont="1"/>
    <xf borderId="2" fillId="33" fontId="2" numFmtId="0" xfId="0" applyBorder="1" applyFont="1"/>
    <xf borderId="11" fillId="28" fontId="33" numFmtId="166" xfId="0" applyAlignment="1" applyBorder="1" applyFont="1" applyNumberFormat="1">
      <alignment readingOrder="0"/>
    </xf>
    <xf borderId="11" fillId="2" fontId="12" numFmtId="1" xfId="0" applyAlignment="1" applyBorder="1" applyFont="1" applyNumberFormat="1">
      <alignment readingOrder="0"/>
    </xf>
    <xf borderId="11" fillId="15" fontId="12" numFmtId="0" xfId="0" applyAlignment="1" applyBorder="1" applyFont="1">
      <alignment readingOrder="0"/>
    </xf>
    <xf borderId="14" fillId="5" fontId="2" numFmtId="0" xfId="0" applyAlignment="1" applyBorder="1" applyFont="1">
      <alignment horizontal="right" readingOrder="0"/>
    </xf>
    <xf borderId="0" fillId="33" fontId="2" numFmtId="0" xfId="0" applyAlignment="1" applyFont="1">
      <alignment readingOrder="0"/>
    </xf>
    <xf borderId="0" fillId="2" fontId="12" numFmtId="0" xfId="0" applyAlignment="1" applyFont="1">
      <alignment readingOrder="0"/>
    </xf>
    <xf borderId="11" fillId="5" fontId="2" numFmtId="0" xfId="0" applyAlignment="1" applyBorder="1" applyFont="1">
      <alignment readingOrder="0"/>
    </xf>
    <xf borderId="0" fillId="5" fontId="2" numFmtId="0" xfId="0" applyFont="1"/>
    <xf borderId="0" fillId="15" fontId="2" numFmtId="168" xfId="0" applyAlignment="1" applyFont="1" applyNumberFormat="1">
      <alignment readingOrder="0"/>
    </xf>
    <xf borderId="0" fillId="2" fontId="12" numFmtId="1" xfId="0" applyFont="1" applyNumberFormat="1"/>
    <xf borderId="2" fillId="15" fontId="2" numFmtId="168" xfId="0" applyAlignment="1" applyBorder="1" applyFont="1" applyNumberFormat="1">
      <alignment readingOrder="0"/>
    </xf>
    <xf borderId="0" fillId="15" fontId="12" numFmtId="0" xfId="0" applyFont="1"/>
    <xf borderId="2" fillId="2" fontId="12" numFmtId="1" xfId="0" applyBorder="1" applyFont="1" applyNumberFormat="1"/>
    <xf borderId="2" fillId="15" fontId="12" numFmtId="0" xfId="0" applyBorder="1" applyFont="1"/>
    <xf borderId="0" fillId="2" fontId="9" numFmtId="1" xfId="0" applyAlignment="1" applyFont="1" applyNumberFormat="1">
      <alignment readingOrder="0" vertical="bottom"/>
    </xf>
    <xf borderId="0" fillId="15" fontId="9" numFmtId="0" xfId="0" applyAlignment="1" applyFont="1">
      <alignment readingOrder="0" vertical="bottom"/>
    </xf>
    <xf borderId="7" fillId="23" fontId="2" numFmtId="0" xfId="0" applyBorder="1" applyFont="1"/>
    <xf borderId="6" fillId="33" fontId="2" numFmtId="0" xfId="0" applyAlignment="1" applyBorder="1" applyFont="1">
      <alignment readingOrder="0"/>
    </xf>
    <xf borderId="11" fillId="2" fontId="15" numFmtId="1" xfId="0" applyAlignment="1" applyBorder="1" applyFont="1" applyNumberFormat="1">
      <alignment readingOrder="0"/>
    </xf>
    <xf borderId="11" fillId="15" fontId="15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29" fontId="21" numFmtId="4" xfId="0" applyAlignment="1" applyBorder="1" applyFont="1" applyNumberFormat="1">
      <alignment horizontal="right" readingOrder="0"/>
    </xf>
    <xf borderId="2" fillId="2" fontId="15" numFmtId="1" xfId="0" applyBorder="1" applyFont="1" applyNumberFormat="1"/>
    <xf borderId="2" fillId="15" fontId="2" numFmtId="0" xfId="0" applyAlignment="1" applyBorder="1" applyFont="1">
      <alignment readingOrder="0"/>
    </xf>
    <xf borderId="12" fillId="5" fontId="2" numFmtId="168" xfId="0" applyAlignment="1" applyBorder="1" applyFont="1" applyNumberFormat="1">
      <alignment readingOrder="0"/>
    </xf>
    <xf borderId="14" fillId="5" fontId="2" numFmtId="168" xfId="0" applyAlignment="1" applyBorder="1" applyFont="1" applyNumberFormat="1">
      <alignment readingOrder="0"/>
    </xf>
    <xf borderId="0" fillId="2" fontId="15" numFmtId="1" xfId="0" applyFont="1" applyNumberFormat="1"/>
    <xf borderId="0" fillId="2" fontId="36" numFmtId="1" xfId="0" applyAlignment="1" applyFont="1" applyNumberFormat="1">
      <alignment horizontal="right" readingOrder="0"/>
    </xf>
    <xf borderId="0" fillId="5" fontId="2" numFmtId="168" xfId="0" applyAlignment="1" applyFont="1" applyNumberFormat="1">
      <alignment readingOrder="0"/>
    </xf>
    <xf borderId="0" fillId="2" fontId="15" numFmtId="168" xfId="0" applyAlignment="1" applyFont="1" applyNumberFormat="1">
      <alignment readingOrder="0"/>
    </xf>
    <xf borderId="0" fillId="2" fontId="15" numFmtId="0" xfId="0" applyAlignment="1" applyFont="1">
      <alignment readingOrder="0"/>
    </xf>
    <xf borderId="2" fillId="2" fontId="15" numFmtId="1" xfId="0" applyAlignment="1" applyBorder="1" applyFont="1" applyNumberFormat="1">
      <alignment horizontal="right"/>
    </xf>
    <xf borderId="12" fillId="5" fontId="2" numFmtId="0" xfId="0" applyBorder="1" applyFont="1"/>
    <xf borderId="0" fillId="2" fontId="15" numFmtId="0" xfId="0" applyFont="1"/>
    <xf borderId="2" fillId="23" fontId="2" numFmtId="0" xfId="0" applyAlignment="1" applyBorder="1" applyFont="1">
      <alignment readingOrder="0"/>
    </xf>
    <xf borderId="11" fillId="28" fontId="31" numFmtId="166" xfId="0" applyAlignment="1" applyBorder="1" applyFont="1" applyNumberFormat="1">
      <alignment readingOrder="0"/>
    </xf>
    <xf borderId="2" fillId="33" fontId="2" numFmtId="0" xfId="0" applyAlignment="1" applyBorder="1" applyFont="1">
      <alignment readingOrder="0"/>
    </xf>
    <xf borderId="5" fillId="33" fontId="2" numFmtId="0" xfId="0" applyBorder="1" applyFont="1"/>
    <xf borderId="6" fillId="0" fontId="2" numFmtId="0" xfId="0" applyAlignment="1" applyBorder="1" applyFont="1">
      <alignment readingOrder="0"/>
    </xf>
    <xf borderId="1" fillId="23" fontId="2" numFmtId="0" xfId="0" applyBorder="1" applyFont="1"/>
    <xf borderId="1" fillId="33" fontId="2" numFmtId="0" xfId="0" applyBorder="1" applyFont="1"/>
    <xf borderId="10" fillId="0" fontId="1" numFmtId="0" xfId="0" applyAlignment="1" applyBorder="1" applyFont="1">
      <alignment horizontal="center" readingOrder="0" vertical="center"/>
    </xf>
    <xf borderId="11" fillId="29" fontId="9" numFmtId="4" xfId="0" applyAlignment="1" applyBorder="1" applyFont="1" applyNumberFormat="1">
      <alignment horizontal="right" readingOrder="0"/>
    </xf>
    <xf borderId="11" fillId="15" fontId="2" numFmtId="0" xfId="0" applyBorder="1" applyFont="1"/>
    <xf borderId="11" fillId="23" fontId="2" numFmtId="0" xfId="0" applyBorder="1" applyFont="1"/>
    <xf borderId="12" fillId="33" fontId="2" numFmtId="0" xfId="0" applyBorder="1" applyFont="1"/>
    <xf borderId="13" fillId="0" fontId="2" numFmtId="0" xfId="0" applyBorder="1" applyFont="1"/>
    <xf borderId="14" fillId="33" fontId="2" numFmtId="0" xfId="0" applyBorder="1" applyFont="1"/>
    <xf borderId="15" fillId="0" fontId="2" numFmtId="0" xfId="0" applyBorder="1" applyFont="1"/>
    <xf borderId="2" fillId="29" fontId="9" numFmtId="4" xfId="0" applyAlignment="1" applyBorder="1" applyFont="1" applyNumberFormat="1">
      <alignment horizontal="right" readingOrder="0"/>
    </xf>
    <xf borderId="16" fillId="33" fontId="2" numFmtId="0" xfId="0" applyBorder="1" applyFont="1"/>
    <xf borderId="0" fillId="33" fontId="2" numFmtId="0" xfId="0" applyAlignment="1" applyFont="1">
      <alignment horizontal="right" readingOrder="0"/>
    </xf>
    <xf borderId="0" fillId="23" fontId="1" numFmtId="0" xfId="0" applyFont="1"/>
    <xf borderId="7" fillId="23" fontId="2" numFmtId="0" xfId="0" applyAlignment="1" applyBorder="1" applyFont="1">
      <alignment readingOrder="0"/>
    </xf>
    <xf borderId="5" fillId="33" fontId="2" numFmtId="0" xfId="0" applyAlignment="1" applyBorder="1" applyFont="1">
      <alignment readingOrder="0"/>
    </xf>
    <xf borderId="15" fillId="23" fontId="2" numFmtId="0" xfId="0" applyAlignment="1" applyBorder="1" applyFont="1">
      <alignment readingOrder="0"/>
    </xf>
    <xf borderId="0" fillId="0" fontId="5" numFmtId="172" xfId="0" applyAlignment="1" applyFont="1" applyNumberFormat="1">
      <alignment readingOrder="0" vertical="bottom"/>
    </xf>
    <xf borderId="0" fillId="18" fontId="41" numFmtId="0" xfId="0" applyAlignment="1" applyFont="1">
      <alignment horizontal="center" readingOrder="0" vertical="center"/>
    </xf>
    <xf borderId="0" fillId="10" fontId="5" numFmtId="172" xfId="0" applyAlignment="1" applyFont="1" applyNumberFormat="1">
      <alignment readingOrder="0" vertical="bottom"/>
    </xf>
    <xf borderId="0" fillId="10" fontId="41" numFmtId="0" xfId="0" applyAlignment="1" applyFont="1">
      <alignment horizontal="center" readingOrder="0" vertical="center"/>
    </xf>
    <xf borderId="0" fillId="10" fontId="7" numFmtId="1" xfId="0" applyAlignment="1" applyFont="1" applyNumberFormat="1">
      <alignment readingOrder="0" vertical="bottom"/>
    </xf>
    <xf borderId="0" fillId="19" fontId="5" numFmtId="0" xfId="0" applyAlignment="1" applyFont="1">
      <alignment readingOrder="0" vertical="bottom"/>
    </xf>
    <xf borderId="0" fillId="19" fontId="4" numFmtId="164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readingOrder="0"/>
    </xf>
    <xf borderId="0" fillId="18" fontId="16" numFmtId="0" xfId="0" applyAlignment="1" applyFont="1">
      <alignment horizontal="center" readingOrder="0" vertical="center"/>
    </xf>
    <xf borderId="0" fillId="10" fontId="16" numFmtId="0" xfId="0" applyAlignment="1" applyFont="1">
      <alignment horizontal="center" readingOrder="0" vertical="center"/>
    </xf>
    <xf borderId="2" fillId="28" fontId="12" numFmtId="166" xfId="0" applyAlignment="1" applyBorder="1" applyFont="1" applyNumberFormat="1">
      <alignment readingOrder="0"/>
    </xf>
    <xf borderId="16" fillId="5" fontId="2" numFmtId="0" xfId="0" applyAlignment="1" applyBorder="1" applyFont="1">
      <alignment readingOrder="0"/>
    </xf>
    <xf borderId="9" fillId="0" fontId="1" numFmtId="173" xfId="0" applyAlignment="1" applyBorder="1" applyFont="1" applyNumberFormat="1">
      <alignment horizontal="center" readingOrder="0" vertical="center"/>
    </xf>
    <xf borderId="17" fillId="0" fontId="1" numFmtId="173" xfId="0" applyAlignment="1" applyBorder="1" applyFont="1" applyNumberFormat="1">
      <alignment horizontal="center" readingOrder="0" vertical="center"/>
    </xf>
    <xf borderId="5" fillId="27" fontId="42" numFmtId="166" xfId="0" applyAlignment="1" applyBorder="1" applyFont="1" applyNumberForma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5" fillId="24" fontId="43" numFmtId="166" xfId="0" applyAlignment="1" applyBorder="1" applyFont="1" applyNumberFormat="1">
      <alignment horizontal="center" readingOrder="0" shrinkToFit="0" vertical="center" wrapText="1"/>
    </xf>
    <xf borderId="1" fillId="24" fontId="44" numFmtId="166" xfId="0" applyAlignment="1" applyBorder="1" applyFont="1" applyNumberFormat="1">
      <alignment horizontal="center" readingOrder="0" shrinkToFit="0" vertical="center" wrapText="1"/>
    </xf>
    <xf borderId="7" fillId="24" fontId="44" numFmtId="166" xfId="0" applyAlignment="1" applyBorder="1" applyFont="1" applyNumberFormat="1">
      <alignment horizontal="center" readingOrder="0" shrinkToFit="0" vertical="center" wrapText="1"/>
    </xf>
    <xf borderId="1" fillId="24" fontId="44" numFmtId="0" xfId="0" applyAlignment="1" applyBorder="1" applyFont="1">
      <alignment horizontal="center" readingOrder="0" shrinkToFit="0" vertical="center" wrapText="1"/>
    </xf>
    <xf borderId="0" fillId="0" fontId="45" numFmtId="0" xfId="0" applyFont="1"/>
    <xf borderId="1" fillId="15" fontId="41" numFmtId="0" xfId="0" applyAlignment="1" applyBorder="1" applyFont="1">
      <alignment horizontal="center" readingOrder="0"/>
    </xf>
    <xf borderId="1" fillId="15" fontId="41" numFmtId="168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15" fontId="31" numFmtId="0" xfId="0" applyBorder="1" applyFont="1"/>
    <xf borderId="1" fillId="15" fontId="14" numFmtId="0" xfId="0" applyAlignment="1" applyBorder="1" applyFont="1">
      <alignment readingOrder="0"/>
    </xf>
    <xf borderId="1" fillId="15" fontId="46" numFmtId="4" xfId="0" applyAlignment="1" applyBorder="1" applyFont="1" applyNumberFormat="1">
      <alignment horizontal="center" readingOrder="0"/>
    </xf>
    <xf borderId="0" fillId="15" fontId="47" numFmtId="4" xfId="0" applyAlignment="1" applyFont="1" applyNumberFormat="1">
      <alignment horizontal="center" readingOrder="0"/>
    </xf>
    <xf borderId="1" fillId="15" fontId="31" numFmtId="14" xfId="0" applyBorder="1" applyFont="1" applyNumberFormat="1"/>
    <xf borderId="1" fillId="5" fontId="14" numFmtId="0" xfId="0" applyAlignment="1" applyBorder="1" applyFont="1">
      <alignment readingOrder="0"/>
    </xf>
    <xf borderId="1" fillId="17" fontId="41" numFmtId="0" xfId="0" applyAlignment="1" applyBorder="1" applyFont="1">
      <alignment horizontal="center" readingOrder="0"/>
    </xf>
    <xf borderId="1" fillId="0" fontId="14" numFmtId="1" xfId="0" applyAlignment="1" applyBorder="1" applyFont="1" applyNumberFormat="1">
      <alignment readingOrder="0"/>
    </xf>
    <xf borderId="1" fillId="15" fontId="14" numFmtId="1" xfId="0" applyAlignment="1" applyBorder="1" applyFont="1" applyNumberFormat="1">
      <alignment readingOrder="0"/>
    </xf>
    <xf borderId="1" fillId="15" fontId="14" numFmtId="0" xfId="0" applyBorder="1" applyFont="1"/>
    <xf borderId="0" fillId="11" fontId="2" numFmtId="0" xfId="0" applyAlignment="1" applyFont="1">
      <alignment readingOrder="0"/>
    </xf>
    <xf borderId="1" fillId="0" fontId="14" numFmtId="0" xfId="0" applyBorder="1" applyFont="1"/>
    <xf borderId="0" fillId="15" fontId="46" numFmtId="4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1" fillId="27" fontId="48" numFmtId="166" xfId="0" applyAlignment="1" applyBorder="1" applyFont="1" applyNumberFormat="1">
      <alignment horizontal="center" readingOrder="0" shrinkToFit="0" wrapText="1"/>
    </xf>
    <xf borderId="12" fillId="0" fontId="2" numFmtId="0" xfId="0" applyBorder="1" applyFont="1"/>
    <xf borderId="16" fillId="0" fontId="2" numFmtId="0" xfId="0" applyBorder="1" applyFont="1"/>
    <xf borderId="5" fillId="24" fontId="49" numFmtId="166" xfId="0" applyAlignment="1" applyBorder="1" applyFont="1" applyNumberFormat="1">
      <alignment horizontal="center" shrinkToFit="0" wrapText="1"/>
    </xf>
    <xf borderId="0" fillId="24" fontId="7" numFmtId="166" xfId="0" applyAlignment="1" applyFont="1" applyNumberFormat="1">
      <alignment readingOrder="0" vertical="bottom"/>
    </xf>
    <xf borderId="0" fillId="24" fontId="7" numFmtId="166" xfId="0" applyAlignment="1" applyFont="1" applyNumberFormat="1">
      <alignment vertical="bottom"/>
    </xf>
    <xf borderId="1" fillId="24" fontId="44" numFmtId="166" xfId="0" applyAlignment="1" applyBorder="1" applyFont="1" applyNumberFormat="1">
      <alignment horizontal="center" shrinkToFit="0" wrapText="1"/>
    </xf>
    <xf borderId="7" fillId="24" fontId="44" numFmtId="166" xfId="0" applyAlignment="1" applyBorder="1" applyFont="1" applyNumberFormat="1">
      <alignment horizontal="center" shrinkToFit="0" wrapText="1"/>
    </xf>
    <xf borderId="1" fillId="24" fontId="44" numFmtId="0" xfId="0" applyAlignment="1" applyBorder="1" applyFont="1">
      <alignment horizontal="center" shrinkToFit="0" wrapText="1"/>
    </xf>
    <xf borderId="1" fillId="15" fontId="6" numFmtId="168" xfId="0" applyAlignment="1" applyBorder="1" applyFont="1" applyNumberFormat="1">
      <alignment horizontal="left" vertical="bottom"/>
    </xf>
    <xf borderId="1" fillId="15" fontId="7" numFmtId="168" xfId="0" applyAlignment="1" applyBorder="1" applyFont="1" applyNumberFormat="1">
      <alignment readingOrder="0" vertical="bottom"/>
    </xf>
    <xf borderId="1" fillId="15" fontId="7" numFmtId="168" xfId="0" applyAlignment="1" applyBorder="1" applyFont="1" applyNumberFormat="1">
      <alignment vertical="bottom"/>
    </xf>
    <xf borderId="1" fillId="15" fontId="6" numFmtId="0" xfId="0" applyAlignment="1" applyBorder="1" applyFont="1">
      <alignment horizontal="center" readingOrder="0" vertical="bottom"/>
    </xf>
    <xf borderId="1" fillId="0" fontId="50" numFmtId="0" xfId="0" applyAlignment="1" applyBorder="1" applyFont="1">
      <alignment horizontal="center" readingOrder="0"/>
    </xf>
    <xf borderId="1" fillId="27" fontId="51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34" fontId="51" numFmtId="0" xfId="0" applyAlignment="1" applyBorder="1" applyFill="1" applyFont="1">
      <alignment horizontal="center" vertical="bottom"/>
    </xf>
    <xf borderId="1" fillId="15" fontId="7" numFmtId="0" xfId="0" applyAlignment="1" applyBorder="1" applyFont="1">
      <alignment vertical="bottom"/>
    </xf>
    <xf borderId="1" fillId="15" fontId="50" numFmtId="0" xfId="0" applyAlignment="1" applyBorder="1" applyFont="1">
      <alignment horizontal="center"/>
    </xf>
    <xf borderId="1" fillId="15" fontId="6" numFmtId="168" xfId="0" applyAlignment="1" applyBorder="1" applyFont="1" applyNumberFormat="1">
      <alignment horizontal="center" readingOrder="0" vertical="bottom"/>
    </xf>
    <xf borderId="1" fillId="0" fontId="50" numFmtId="0" xfId="0" applyAlignment="1" applyBorder="1" applyFont="1">
      <alignment horizontal="center"/>
    </xf>
    <xf borderId="1" fillId="15" fontId="52" numFmtId="0" xfId="0" applyAlignment="1" applyBorder="1" applyFont="1">
      <alignment horizontal="right" vertical="bottom"/>
    </xf>
    <xf borderId="1" fillId="15" fontId="6" numFmtId="168" xfId="0" applyAlignment="1" applyBorder="1" applyFont="1" applyNumberFormat="1">
      <alignment horizontal="center" vertical="bottom"/>
    </xf>
    <xf borderId="1" fillId="15" fontId="6" numFmtId="0" xfId="0" applyAlignment="1" applyBorder="1" applyFont="1">
      <alignment horizontal="center" vertical="bottom"/>
    </xf>
    <xf borderId="1" fillId="15" fontId="50" numFmtId="0" xfId="0" applyAlignment="1" applyBorder="1" applyFont="1">
      <alignment horizontal="center"/>
    </xf>
    <xf borderId="1" fillId="15" fontId="6" numFmtId="0" xfId="0" applyAlignment="1" applyBorder="1" applyFont="1">
      <alignment horizontal="left" vertical="bottom"/>
    </xf>
    <xf borderId="1" fillId="0" fontId="7" numFmtId="0" xfId="0" applyAlignment="1" applyBorder="1" applyFont="1">
      <alignment vertical="bottom"/>
    </xf>
    <xf borderId="1" fillId="15" fontId="6" numFmtId="0" xfId="0" applyAlignment="1" applyBorder="1" applyFont="1">
      <alignment horizontal="center" vertical="bottom"/>
    </xf>
    <xf borderId="1" fillId="15" fontId="6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readingOrder="0" vertical="bottom"/>
    </xf>
    <xf borderId="1" fillId="15" fontId="52" numFmtId="14" xfId="0" applyAlignment="1" applyBorder="1" applyFont="1" applyNumberFormat="1">
      <alignment horizontal="right" vertical="bottom"/>
    </xf>
    <xf borderId="1" fillId="5" fontId="50" numFmtId="0" xfId="0" applyAlignment="1" applyBorder="1" applyFont="1">
      <alignment horizontal="center"/>
    </xf>
    <xf borderId="1" fillId="17" fontId="7" numFmtId="0" xfId="0" applyAlignment="1" applyBorder="1" applyFont="1">
      <alignment vertical="bottom"/>
    </xf>
    <xf borderId="1" fillId="0" fontId="50" numFmtId="1" xfId="0" applyAlignment="1" applyBorder="1" applyFont="1" applyNumberFormat="1">
      <alignment horizontal="center"/>
    </xf>
    <xf borderId="1" fillId="15" fontId="50" numFmtId="1" xfId="0" applyAlignment="1" applyBorder="1" applyFont="1" applyNumberFormat="1">
      <alignment horizontal="center"/>
    </xf>
    <xf borderId="1" fillId="0" fontId="50" numFmtId="1" xfId="0" applyAlignment="1" applyBorder="1" applyFont="1" applyNumberFormat="1">
      <alignment horizontal="center" readingOrder="0"/>
    </xf>
    <xf borderId="0" fillId="24" fontId="1" numFmtId="0" xfId="0" applyAlignment="1" applyFont="1">
      <alignment readingOrder="0"/>
    </xf>
    <xf borderId="1" fillId="15" fontId="7" numFmtId="0" xfId="0" applyAlignment="1" applyBorder="1" applyFont="1">
      <alignment readingOrder="0" vertical="bottom"/>
    </xf>
    <xf borderId="7" fillId="27" fontId="43" numFmtId="166" xfId="0" applyAlignment="1" applyBorder="1" applyFont="1" applyNumberFormat="1">
      <alignment horizontal="center" readingOrder="0" shrinkToFit="0" vertical="center" wrapText="1"/>
    </xf>
    <xf borderId="5" fillId="27" fontId="43" numFmtId="166" xfId="0" applyAlignment="1" applyBorder="1" applyFont="1" applyNumberFormat="1">
      <alignment horizontal="center" readingOrder="0" shrinkToFit="0" vertical="center" wrapText="1"/>
    </xf>
    <xf borderId="0" fillId="27" fontId="2" numFmtId="0" xfId="0" applyFont="1"/>
    <xf borderId="1" fillId="3" fontId="53" numFmtId="0" xfId="0" applyAlignment="1" applyBorder="1" applyFont="1">
      <alignment horizontal="center" readingOrder="0"/>
    </xf>
    <xf borderId="1" fillId="18" fontId="41" numFmtId="0" xfId="0" applyAlignment="1" applyBorder="1" applyFont="1">
      <alignment horizontal="center" readingOrder="0"/>
    </xf>
    <xf borderId="1" fillId="18" fontId="41" numFmtId="168" xfId="0" applyAlignment="1" applyBorder="1" applyFont="1" applyNumberFormat="1">
      <alignment horizontal="center" readingOrder="0"/>
    </xf>
    <xf borderId="7" fillId="18" fontId="41" numFmtId="0" xfId="0" applyAlignment="1" applyBorder="1" applyFont="1">
      <alignment horizontal="center" readingOrder="0"/>
    </xf>
    <xf borderId="1" fillId="15" fontId="54" numFmtId="0" xfId="0" applyAlignment="1" applyBorder="1" applyFont="1">
      <alignment horizontal="center" readingOrder="0"/>
    </xf>
    <xf borderId="1" fillId="15" fontId="54" numFmtId="1" xfId="0" applyAlignment="1" applyBorder="1" applyFont="1" applyNumberFormat="1">
      <alignment horizontal="center" readingOrder="0"/>
    </xf>
    <xf borderId="7" fillId="15" fontId="54" numFmtId="1" xfId="0" applyAlignment="1" applyBorder="1" applyFont="1" applyNumberFormat="1">
      <alignment horizontal="center" readingOrder="0"/>
    </xf>
    <xf borderId="7" fillId="15" fontId="54" numFmtId="0" xfId="0" applyAlignment="1" applyBorder="1" applyFont="1">
      <alignment horizontal="center" readingOrder="0"/>
    </xf>
    <xf borderId="1" fillId="15" fontId="54" numFmtId="168" xfId="0" applyAlignment="1" applyBorder="1" applyFont="1" applyNumberFormat="1">
      <alignment horizontal="center" readingOrder="0"/>
    </xf>
    <xf borderId="1" fillId="18" fontId="53" numFmtId="0" xfId="0" applyAlignment="1" applyBorder="1" applyFont="1">
      <alignment horizontal="center" readingOrder="0"/>
    </xf>
    <xf borderId="1" fillId="18" fontId="55" numFmtId="1" xfId="0" applyAlignment="1" applyBorder="1" applyFont="1" applyNumberFormat="1">
      <alignment horizontal="center" readingOrder="0"/>
    </xf>
    <xf borderId="1" fillId="18" fontId="55" numFmtId="168" xfId="0" applyAlignment="1" applyBorder="1" applyFont="1" applyNumberFormat="1">
      <alignment horizontal="center" readingOrder="0"/>
    </xf>
    <xf borderId="7" fillId="18" fontId="55" numFmtId="1" xfId="0" applyAlignment="1" applyBorder="1" applyFont="1" applyNumberFormat="1">
      <alignment horizontal="center" readingOrder="0"/>
    </xf>
    <xf borderId="7" fillId="18" fontId="55" numFmtId="0" xfId="0" applyAlignment="1" applyBorder="1" applyFont="1">
      <alignment horizontal="center" readingOrder="0"/>
    </xf>
    <xf borderId="1" fillId="15" fontId="55" numFmtId="168" xfId="0" applyAlignment="1" applyBorder="1" applyFont="1" applyNumberFormat="1">
      <alignment horizontal="center" readingOrder="0"/>
    </xf>
    <xf borderId="7" fillId="15" fontId="55" numFmtId="0" xfId="0" applyAlignment="1" applyBorder="1" applyFont="1">
      <alignment horizontal="center" readingOrder="0"/>
    </xf>
    <xf borderId="1" fillId="18" fontId="55" numFmtId="0" xfId="0" applyAlignment="1" applyBorder="1" applyFont="1">
      <alignment horizontal="center" readingOrder="0"/>
    </xf>
    <xf borderId="1" fillId="15" fontId="54" numFmtId="166" xfId="0" applyAlignment="1" applyBorder="1" applyFont="1" applyNumberFormat="1">
      <alignment horizontal="center" readingOrder="0"/>
    </xf>
    <xf borderId="1" fillId="4" fontId="55" numFmtId="168" xfId="0" applyAlignment="1" applyBorder="1" applyFont="1" applyNumberFormat="1">
      <alignment horizontal="center" readingOrder="0"/>
    </xf>
    <xf borderId="7" fillId="4" fontId="55" numFmtId="0" xfId="0" applyAlignment="1" applyBorder="1" applyFont="1">
      <alignment horizontal="center" readingOrder="0"/>
    </xf>
    <xf borderId="9" fillId="15" fontId="41" numFmtId="0" xfId="0" applyAlignment="1" applyBorder="1" applyFont="1">
      <alignment horizontal="center" readingOrder="0"/>
    </xf>
    <xf borderId="9" fillId="15" fontId="55" numFmtId="168" xfId="0" applyAlignment="1" applyBorder="1" applyFont="1" applyNumberFormat="1">
      <alignment horizontal="center" readingOrder="0"/>
    </xf>
    <xf borderId="19" fillId="6" fontId="56" numFmtId="166" xfId="0" applyAlignment="1" applyBorder="1" applyFont="1" applyNumberFormat="1">
      <alignment horizontal="center" readingOrder="0" shrinkToFit="0" vertical="center" wrapText="1"/>
    </xf>
    <xf borderId="20" fillId="6" fontId="56" numFmtId="166" xfId="0" applyAlignment="1" applyBorder="1" applyFont="1" applyNumberFormat="1">
      <alignment horizontal="center" readingOrder="0" shrinkToFit="0" vertical="center" wrapText="1"/>
    </xf>
    <xf borderId="6" fillId="6" fontId="56" numFmtId="166" xfId="0" applyAlignment="1" applyBorder="1" applyFont="1" applyNumberFormat="1">
      <alignment horizontal="center" readingOrder="0" shrinkToFit="0" vertical="center" wrapText="1"/>
    </xf>
    <xf borderId="1" fillId="6" fontId="56" numFmtId="166" xfId="0" applyAlignment="1" applyBorder="1" applyFont="1" applyNumberFormat="1">
      <alignment horizontal="center" readingOrder="0" shrinkToFit="0" vertical="center" wrapText="1"/>
    </xf>
    <xf borderId="7" fillId="6" fontId="56" numFmtId="166" xfId="0" applyAlignment="1" applyBorder="1" applyFont="1" applyNumberFormat="1">
      <alignment horizontal="center" readingOrder="0" shrinkToFit="0" vertical="center" wrapText="1"/>
    </xf>
    <xf borderId="18" fillId="15" fontId="41" numFmtId="0" xfId="0" applyAlignment="1" applyBorder="1" applyFont="1">
      <alignment horizontal="center" readingOrder="0"/>
    </xf>
    <xf borderId="18" fillId="15" fontId="55" numFmtId="168" xfId="0" applyAlignment="1" applyBorder="1" applyFont="1" applyNumberFormat="1">
      <alignment horizontal="center" readingOrder="0"/>
    </xf>
    <xf borderId="1" fillId="15" fontId="55" numFmtId="0" xfId="0" applyAlignment="1" applyBorder="1" applyFont="1">
      <alignment horizontal="center" readingOrder="0"/>
    </xf>
    <xf borderId="1" fillId="15" fontId="54" numFmtId="4" xfId="0" applyAlignment="1" applyBorder="1" applyFont="1" applyNumberFormat="1">
      <alignment horizontal="center" readingOrder="0"/>
    </xf>
    <xf borderId="0" fillId="0" fontId="44" numFmtId="166" xfId="0" applyAlignment="1" applyFont="1" applyNumberFormat="1">
      <alignment horizontal="center" readingOrder="0" shrinkToFit="0" vertical="center" wrapText="1"/>
    </xf>
    <xf borderId="1" fillId="11" fontId="55" numFmtId="168" xfId="0" applyAlignment="1" applyBorder="1" applyFont="1" applyNumberFormat="1">
      <alignment horizontal="center" readingOrder="0"/>
    </xf>
    <xf borderId="7" fillId="11" fontId="55" numFmtId="0" xfId="0" applyAlignment="1" applyBorder="1" applyFont="1">
      <alignment horizontal="center" readingOrder="0"/>
    </xf>
    <xf borderId="9" fillId="18" fontId="53" numFmtId="0" xfId="0" applyAlignment="1" applyBorder="1" applyFont="1">
      <alignment horizontal="center" readingOrder="0"/>
    </xf>
    <xf borderId="9" fillId="18" fontId="55" numFmtId="0" xfId="0" applyAlignment="1" applyBorder="1" applyFont="1">
      <alignment horizontal="center" readingOrder="0"/>
    </xf>
    <xf borderId="19" fillId="6" fontId="56" numFmtId="166" xfId="0" applyAlignment="1" applyBorder="1" applyFont="1" applyNumberFormat="1">
      <alignment horizontal="center" readingOrder="0" shrinkToFit="0" wrapText="1"/>
    </xf>
    <xf borderId="20" fillId="6" fontId="56" numFmtId="166" xfId="0" applyAlignment="1" applyBorder="1" applyFont="1" applyNumberFormat="1">
      <alignment horizontal="center"/>
    </xf>
    <xf borderId="6" fillId="6" fontId="55" numFmtId="168" xfId="0" applyAlignment="1" applyBorder="1" applyFont="1" applyNumberFormat="1">
      <alignment horizontal="center" readingOrder="0"/>
    </xf>
    <xf borderId="1" fillId="6" fontId="55" numFmtId="0" xfId="0" applyAlignment="1" applyBorder="1" applyFont="1">
      <alignment horizontal="center" readingOrder="0"/>
    </xf>
    <xf borderId="7" fillId="6" fontId="55" numFmtId="0" xfId="0" applyAlignment="1" applyBorder="1" applyFont="1">
      <alignment horizontal="center" readingOrder="0"/>
    </xf>
    <xf borderId="1" fillId="28" fontId="55" numFmtId="168" xfId="0" applyAlignment="1" applyBorder="1" applyFont="1" applyNumberFormat="1">
      <alignment horizontal="center" readingOrder="0"/>
    </xf>
    <xf borderId="7" fillId="28" fontId="55" numFmtId="0" xfId="0" applyAlignment="1" applyBorder="1" applyFont="1">
      <alignment horizontal="center" readingOrder="0"/>
    </xf>
    <xf borderId="9" fillId="15" fontId="41" numFmtId="168" xfId="0" applyAlignment="1" applyBorder="1" applyFont="1" applyNumberFormat="1">
      <alignment horizontal="center" readingOrder="0"/>
    </xf>
    <xf borderId="7" fillId="15" fontId="41" numFmtId="0" xfId="0" applyAlignment="1" applyBorder="1" applyFont="1">
      <alignment horizontal="center" readingOrder="0"/>
    </xf>
    <xf borderId="21" fillId="35" fontId="56" numFmtId="166" xfId="0" applyAlignment="1" applyBorder="1" applyFill="1" applyFont="1" applyNumberFormat="1">
      <alignment horizontal="center" readingOrder="0" shrinkToFit="0" wrapText="1"/>
    </xf>
    <xf borderId="21" fillId="35" fontId="57" numFmtId="166" xfId="0" applyAlignment="1" applyBorder="1" applyFont="1" applyNumberFormat="1">
      <alignment horizontal="center"/>
    </xf>
    <xf borderId="6" fillId="35" fontId="41" numFmtId="168" xfId="0" applyAlignment="1" applyBorder="1" applyFont="1" applyNumberFormat="1">
      <alignment horizontal="center" readingOrder="0"/>
    </xf>
    <xf borderId="1" fillId="35" fontId="41" numFmtId="0" xfId="0" applyAlignment="1" applyBorder="1" applyFont="1">
      <alignment horizontal="center" readingOrder="0"/>
    </xf>
    <xf borderId="7" fillId="35" fontId="41" numFmtId="0" xfId="0" applyAlignment="1" applyBorder="1" applyFont="1">
      <alignment horizontal="center" readingOrder="0"/>
    </xf>
    <xf borderId="7" fillId="35" fontId="58" numFmtId="0" xfId="0" applyAlignment="1" applyBorder="1" applyFont="1">
      <alignment horizontal="center" readingOrder="0" shrinkToFit="0" wrapText="1"/>
    </xf>
    <xf borderId="15" fillId="15" fontId="41" numFmtId="168" xfId="0" applyAlignment="1" applyBorder="1" applyFont="1" applyNumberFormat="1">
      <alignment horizontal="center" readingOrder="0"/>
    </xf>
    <xf borderId="1" fillId="6" fontId="56" numFmtId="166" xfId="0" applyAlignment="1" applyBorder="1" applyFont="1" applyNumberFormat="1">
      <alignment horizontal="center" readingOrder="0" shrinkToFit="0" wrapText="1"/>
    </xf>
    <xf borderId="7" fillId="6" fontId="56" numFmtId="166" xfId="0" applyAlignment="1" applyBorder="1" applyFont="1" applyNumberFormat="1">
      <alignment horizontal="center"/>
    </xf>
    <xf borderId="1" fillId="6" fontId="41" numFmtId="168" xfId="0" applyAlignment="1" applyBorder="1" applyFont="1" applyNumberFormat="1">
      <alignment horizontal="center" readingOrder="0"/>
    </xf>
    <xf borderId="1" fillId="6" fontId="41" numFmtId="0" xfId="0" applyAlignment="1" applyBorder="1" applyFont="1">
      <alignment horizontal="center" readingOrder="0"/>
    </xf>
    <xf borderId="7" fillId="6" fontId="41" numFmtId="0" xfId="0" applyAlignment="1" applyBorder="1" applyFont="1">
      <alignment horizontal="center" readingOrder="0"/>
    </xf>
    <xf borderId="1" fillId="6" fontId="59" numFmtId="166" xfId="0" applyAlignment="1" applyBorder="1" applyFont="1" applyNumberFormat="1">
      <alignment horizontal="center" readingOrder="0" shrinkToFit="0" wrapText="1"/>
    </xf>
    <xf borderId="7" fillId="6" fontId="44" numFmtId="166" xfId="0" applyAlignment="1" applyBorder="1" applyFont="1" applyNumberFormat="1">
      <alignment horizontal="center"/>
    </xf>
    <xf borderId="9" fillId="15" fontId="60" numFmtId="168" xfId="0" applyAlignment="1" applyBorder="1" applyFont="1" applyNumberFormat="1">
      <alignment horizontal="center" readingOrder="0"/>
    </xf>
    <xf borderId="6" fillId="6" fontId="41" numFmtId="168" xfId="0" applyAlignment="1" applyBorder="1" applyFont="1" applyNumberFormat="1">
      <alignment horizontal="center" readingOrder="0"/>
    </xf>
    <xf borderId="18" fillId="6" fontId="59" numFmtId="166" xfId="0" applyAlignment="1" applyBorder="1" applyFont="1" applyNumberFormat="1">
      <alignment horizontal="center" readingOrder="0" shrinkToFit="0" wrapText="1"/>
    </xf>
    <xf borderId="18" fillId="6" fontId="61" numFmtId="166" xfId="0" applyAlignment="1" applyBorder="1" applyFont="1" applyNumberFormat="1">
      <alignment horizontal="center"/>
    </xf>
    <xf borderId="0" fillId="18" fontId="1" numFmtId="0" xfId="0" applyAlignment="1" applyFont="1">
      <alignment readingOrder="0"/>
    </xf>
    <xf borderId="5" fillId="24" fontId="44" numFmtId="166" xfId="0" applyAlignment="1" applyBorder="1" applyFont="1" applyNumberFormat="1">
      <alignment horizontal="center" readingOrder="0" shrinkToFit="0" vertical="center" wrapText="1"/>
    </xf>
    <xf borderId="0" fillId="18" fontId="45" numFmtId="0" xfId="0" applyFont="1"/>
    <xf borderId="1" fillId="18" fontId="1" numFmtId="0" xfId="0" applyAlignment="1" applyBorder="1" applyFont="1">
      <alignment readingOrder="0"/>
    </xf>
    <xf borderId="1" fillId="18" fontId="45" numFmtId="0" xfId="0" applyBorder="1" applyFont="1"/>
    <xf borderId="1" fillId="18" fontId="2" numFmtId="0" xfId="0" applyBorder="1" applyFont="1"/>
    <xf borderId="0" fillId="0" fontId="62" numFmtId="0" xfId="0" applyAlignment="1" applyFont="1">
      <alignment readingOrder="0"/>
    </xf>
    <xf borderId="0" fillId="27" fontId="62" numFmtId="0" xfId="0" applyAlignment="1" applyFont="1">
      <alignment readingOrder="0"/>
    </xf>
    <xf borderId="0" fillId="29" fontId="1" numFmtId="0" xfId="0" applyAlignment="1" applyFont="1">
      <alignment readingOrder="0"/>
    </xf>
    <xf borderId="1" fillId="30" fontId="41" numFmtId="0" xfId="0" applyAlignment="1" applyBorder="1" applyFont="1">
      <alignment horizontal="center" readingOrder="0"/>
    </xf>
    <xf borderId="1" fillId="30" fontId="41" numFmtId="168" xfId="0" applyAlignment="1" applyBorder="1" applyFont="1" applyNumberFormat="1">
      <alignment horizontal="center" readingOrder="0"/>
    </xf>
    <xf borderId="1" fillId="30" fontId="14" numFmtId="0" xfId="0" applyAlignment="1" applyBorder="1" applyFont="1">
      <alignment readingOrder="0"/>
    </xf>
    <xf borderId="5" fillId="24" fontId="63" numFmtId="166" xfId="0" applyAlignment="1" applyBorder="1" applyFont="1" applyNumberFormat="1">
      <alignment horizontal="center" readingOrder="0" shrinkToFit="0" vertical="center" wrapText="1"/>
    </xf>
    <xf borderId="0" fillId="18" fontId="2" numFmtId="0" xfId="0" applyFont="1"/>
    <xf borderId="1" fillId="30" fontId="14" numFmtId="0" xfId="0" applyBorder="1" applyFont="1"/>
    <xf borderId="1" fillId="30" fontId="1" numFmtId="0" xfId="0" applyAlignment="1" applyBorder="1" applyFont="1">
      <alignment horizontal="center" readingOrder="0"/>
    </xf>
    <xf borderId="1" fillId="30" fontId="31" numFmtId="0" xfId="0" applyAlignment="1" applyBorder="1" applyFont="1">
      <alignment readingOrder="0"/>
    </xf>
    <xf borderId="1" fillId="15" fontId="41" numFmtId="165" xfId="0" applyAlignment="1" applyBorder="1" applyFont="1" applyNumberFormat="1">
      <alignment horizontal="center" readingOrder="0"/>
    </xf>
    <xf borderId="1" fillId="19" fontId="41" numFmtId="0" xfId="0" applyAlignment="1" applyBorder="1" applyFont="1">
      <alignment horizontal="center" readingOrder="0"/>
    </xf>
    <xf borderId="1" fillId="19" fontId="41" numFmtId="168" xfId="0" applyAlignment="1" applyBorder="1" applyFont="1" applyNumberFormat="1">
      <alignment horizontal="center" readingOrder="0"/>
    </xf>
    <xf borderId="0" fillId="24" fontId="44" numFmtId="0" xfId="0" applyAlignment="1" applyFont="1">
      <alignment horizontal="center" readingOrder="0" shrinkToFit="0" vertical="center" wrapText="1"/>
    </xf>
    <xf borderId="11" fillId="29" fontId="7" numFmtId="0" xfId="0" applyAlignment="1" applyBorder="1" applyFont="1">
      <alignment horizontal="right" vertical="bottom"/>
    </xf>
    <xf borderId="11" fillId="12" fontId="7" numFmtId="0" xfId="0" applyAlignment="1" applyBorder="1" applyFont="1">
      <alignment readingOrder="0" vertical="bottom"/>
    </xf>
    <xf borderId="0" fillId="17" fontId="4" numFmtId="164" xfId="0" applyAlignment="1" applyFont="1" applyNumberForma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2" fontId="2" numFmtId="1" xfId="0" applyAlignment="1" applyBorder="1" applyFont="1" applyNumberFormat="1">
      <alignment readingOrder="0"/>
    </xf>
    <xf borderId="4" fillId="3" fontId="2" numFmtId="1" xfId="0" applyAlignment="1" applyBorder="1" applyFont="1" applyNumberFormat="1">
      <alignment readingOrder="0"/>
    </xf>
    <xf borderId="4" fillId="4" fontId="2" numFmtId="1" xfId="0" applyAlignment="1" applyBorder="1" applyFont="1" applyNumberFormat="1">
      <alignment readingOrder="0"/>
    </xf>
    <xf borderId="4" fillId="5" fontId="2" numFmtId="1" xfId="0" applyAlignment="1" applyBorder="1" applyFont="1" applyNumberFormat="1">
      <alignment readingOrder="0"/>
    </xf>
    <xf borderId="4" fillId="0" fontId="2" numFmtId="1" xfId="0" applyAlignment="1" applyBorder="1" applyFont="1" applyNumberFormat="1">
      <alignment readingOrder="0"/>
    </xf>
    <xf borderId="4" fillId="6" fontId="2" numFmtId="1" xfId="0" applyAlignment="1" applyBorder="1" applyFont="1" applyNumberFormat="1">
      <alignment readingOrder="0"/>
    </xf>
    <xf borderId="4" fillId="8" fontId="2" numFmtId="1" xfId="0" applyAlignment="1" applyBorder="1" applyFont="1" applyNumberFormat="1">
      <alignment readingOrder="0"/>
    </xf>
    <xf borderId="4" fillId="10" fontId="2" numFmtId="1" xfId="0" applyBorder="1" applyFont="1" applyNumberFormat="1"/>
    <xf borderId="4" fillId="11" fontId="2" numFmtId="1" xfId="0" applyBorder="1" applyFont="1" applyNumberFormat="1"/>
    <xf borderId="4" fillId="0" fontId="2" numFmtId="1" xfId="0" applyBorder="1" applyFont="1" applyNumberFormat="1"/>
    <xf borderId="4" fillId="0" fontId="1" numFmtId="1" xfId="0" applyBorder="1" applyFont="1" applyNumberFormat="1"/>
    <xf borderId="3" fillId="3" fontId="1" numFmtId="1" xfId="0" applyAlignment="1" applyBorder="1" applyFont="1" applyNumberFormat="1">
      <alignment readingOrder="0"/>
    </xf>
    <xf borderId="3" fillId="6" fontId="1" numFmtId="1" xfId="0" applyAlignment="1" applyBorder="1" applyFont="1" applyNumberFormat="1">
      <alignment readingOrder="0"/>
    </xf>
    <xf borderId="15" fillId="19" fontId="3" numFmtId="0" xfId="0" applyAlignment="1" applyBorder="1" applyFont="1">
      <alignment readingOrder="0"/>
    </xf>
    <xf borderId="8" fillId="19" fontId="2" numFmtId="1" xfId="0" applyBorder="1" applyFont="1" applyNumberFormat="1"/>
    <xf borderId="8" fillId="0" fontId="3" numFmtId="0" xfId="0" applyAlignment="1" applyBorder="1" applyFont="1">
      <alignment readingOrder="0"/>
    </xf>
    <xf borderId="3" fillId="2" fontId="1" numFmtId="1" xfId="0" applyAlignment="1" applyBorder="1" applyFont="1" applyNumberFormat="1">
      <alignment readingOrder="0"/>
    </xf>
    <xf borderId="3" fillId="4" fontId="1" numFmtId="1" xfId="0" applyAlignment="1" applyBorder="1" applyFont="1" applyNumberFormat="1">
      <alignment readingOrder="0"/>
    </xf>
    <xf borderId="3" fillId="5" fontId="1" numFmtId="1" xfId="0" applyAlignment="1" applyBorder="1" applyFont="1" applyNumberFormat="1">
      <alignment readingOrder="0"/>
    </xf>
    <xf borderId="3" fillId="12" fontId="1" numFmtId="1" xfId="0" applyAlignment="1" applyBorder="1" applyFont="1" applyNumberFormat="1">
      <alignment readingOrder="0"/>
    </xf>
    <xf borderId="3" fillId="8" fontId="1" numFmtId="1" xfId="0" applyAlignment="1" applyBorder="1" applyFont="1" applyNumberFormat="1">
      <alignment readingOrder="0"/>
    </xf>
    <xf borderId="0" fillId="10" fontId="1" numFmtId="1" xfId="0" applyFont="1" applyNumberFormat="1"/>
    <xf borderId="0" fillId="29" fontId="21" numFmtId="4" xfId="0" applyAlignment="1" applyFont="1" applyNumberFormat="1">
      <alignment horizontal="left" readingOrder="0"/>
    </xf>
    <xf borderId="0" fillId="12" fontId="7" numFmtId="0" xfId="0" applyAlignment="1" applyFont="1">
      <alignment shrinkToFit="0" vertical="bottom" wrapText="0"/>
    </xf>
    <xf borderId="0" fillId="4" fontId="7" numFmtId="0" xfId="0" applyAlignment="1" applyFont="1">
      <alignment vertical="bottom"/>
    </xf>
    <xf borderId="0" fillId="29" fontId="64" numFmtId="0" xfId="0" applyAlignment="1" applyFont="1">
      <alignment readingOrder="0"/>
    </xf>
    <xf borderId="9" fillId="0" fontId="20" numFmtId="0" xfId="0" applyAlignment="1" applyBorder="1" applyFont="1">
      <alignment horizontal="center" readingOrder="0" vertical="center"/>
    </xf>
    <xf borderId="0" fillId="18" fontId="2" numFmtId="0" xfId="0" applyAlignment="1" applyFont="1">
      <alignment horizontal="right" readingOrder="0"/>
    </xf>
    <xf borderId="14" fillId="18" fontId="2" numFmtId="0" xfId="0" applyBorder="1" applyFont="1"/>
    <xf borderId="0" fillId="18" fontId="2" numFmtId="4" xfId="0" applyAlignment="1" applyFont="1" applyNumberFormat="1">
      <alignment horizontal="right" readingOrder="0"/>
    </xf>
    <xf borderId="9" fillId="29" fontId="3" numFmtId="166" xfId="0" applyAlignment="1" applyBorder="1" applyFont="1" applyNumberFormat="1">
      <alignment horizontal="center" readingOrder="0" shrinkToFit="0" vertical="center" wrapText="1"/>
    </xf>
    <xf borderId="11" fillId="29" fontId="2" numFmtId="0" xfId="0" applyAlignment="1" applyBorder="1" applyFont="1">
      <alignment readingOrder="0"/>
    </xf>
    <xf borderId="0" fillId="29" fontId="2" numFmtId="0" xfId="0" applyFont="1"/>
    <xf borderId="2" fillId="29" fontId="2" numFmtId="0" xfId="0" applyBorder="1" applyFont="1"/>
    <xf borderId="11" fillId="29" fontId="2" numFmtId="0" xfId="0" applyBorder="1" applyFont="1"/>
    <xf borderId="16" fillId="4" fontId="2" numFmtId="168" xfId="0" applyAlignment="1" applyBorder="1" applyFont="1" applyNumberFormat="1">
      <alignment readingOrder="0"/>
    </xf>
    <xf borderId="0" fillId="0" fontId="2" numFmtId="166" xfId="0" applyFont="1" applyNumberFormat="1"/>
    <xf borderId="10" fillId="0" fontId="1" numFmtId="0" xfId="0" applyAlignment="1" applyBorder="1" applyFont="1">
      <alignment horizontal="center" readingOrder="0" shrinkToFit="0" vertical="center" wrapText="1"/>
    </xf>
    <xf borderId="0" fillId="12" fontId="2" numFmtId="3" xfId="0" applyAlignment="1" applyFont="1" applyNumberFormat="1">
      <alignment readingOrder="0"/>
    </xf>
    <xf borderId="0" fillId="12" fontId="15" numFmtId="0" xfId="0" applyFont="1"/>
    <xf borderId="2" fillId="0" fontId="2" numFmtId="168" xfId="0" applyAlignment="1" applyBorder="1" applyFont="1" applyNumberFormat="1">
      <alignment readingOrder="0"/>
    </xf>
    <xf borderId="11" fillId="29" fontId="2" numFmtId="4" xfId="0" applyAlignment="1" applyBorder="1" applyFont="1" applyNumberFormat="1">
      <alignment readingOrder="0"/>
    </xf>
    <xf borderId="1" fillId="29" fontId="3" numFmtId="166" xfId="0" applyAlignment="1" applyBorder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16" fontId="2" numFmtId="166" xfId="0" applyFont="1" applyNumberFormat="1"/>
    <xf borderId="0" fillId="16" fontId="2" numFmtId="0" xfId="0" applyFont="1"/>
    <xf borderId="0" fillId="16" fontId="2" numFmtId="0" xfId="0" applyAlignment="1" applyFont="1">
      <alignment readingOrder="0"/>
    </xf>
    <xf borderId="2" fillId="29" fontId="2" numFmtId="0" xfId="0" applyAlignment="1" applyBorder="1" applyFont="1">
      <alignment readingOrder="0"/>
    </xf>
    <xf borderId="0" fillId="3" fontId="2" numFmtId="0" xfId="0" applyFont="1"/>
    <xf borderId="0" fillId="36" fontId="2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28" fontId="2" numFmtId="174" xfId="0" applyAlignment="1" applyFont="1" applyNumberFormat="1">
      <alignment readingOrder="0"/>
    </xf>
    <xf borderId="0" fillId="0" fontId="15" numFmtId="0" xfId="0" applyFont="1"/>
    <xf borderId="0" fillId="37" fontId="2" numFmtId="0" xfId="0" applyFill="1" applyFont="1"/>
    <xf borderId="0" fillId="38" fontId="2" numFmtId="0" xfId="0" applyFill="1" applyFont="1"/>
    <xf borderId="0" fillId="25" fontId="2" numFmtId="0" xfId="0" applyAlignment="1" applyFont="1">
      <alignment readingOrder="0"/>
    </xf>
    <xf borderId="0" fillId="25" fontId="2" numFmtId="0" xfId="0" applyFont="1"/>
    <xf borderId="14" fillId="0" fontId="2" numFmtId="0" xfId="0" applyBorder="1" applyFont="1"/>
    <xf borderId="2" fillId="3" fontId="2" numFmtId="0" xfId="0" applyBorder="1" applyFont="1"/>
    <xf borderId="14" fillId="24" fontId="2" numFmtId="0" xfId="0" applyBorder="1" applyFont="1"/>
    <xf borderId="11" fillId="3" fontId="2" numFmtId="0" xfId="0" applyAlignment="1" applyBorder="1" applyFont="1">
      <alignment readingOrder="0"/>
    </xf>
    <xf borderId="0" fillId="24" fontId="3" numFmtId="1" xfId="0" applyAlignment="1" applyFont="1" applyNumberFormat="1">
      <alignment horizontal="center" readingOrder="0" shrinkToFit="0" vertical="center" wrapText="1"/>
    </xf>
    <xf borderId="0" fillId="24" fontId="2" numFmtId="1" xfId="0" applyFont="1" applyNumberFormat="1"/>
    <xf borderId="3" fillId="24" fontId="6" numFmtId="1" xfId="0" applyAlignment="1" applyBorder="1" applyFont="1" applyNumberFormat="1">
      <alignment horizontal="right" vertical="bottom"/>
    </xf>
    <xf borderId="3" fillId="8" fontId="6" numFmtId="1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center" readingOrder="0" vertical="center"/>
    </xf>
    <xf borderId="4" fillId="24" fontId="2" numFmtId="1" xfId="0" applyBorder="1" applyFont="1" applyNumberFormat="1"/>
    <xf borderId="0" fillId="8" fontId="2" numFmtId="0" xfId="0" applyFont="1"/>
    <xf borderId="0" fillId="24" fontId="2" numFmtId="1" xfId="0" applyAlignment="1" applyFont="1" applyNumberFormat="1">
      <alignment horizontal="center" readingOrder="0"/>
    </xf>
    <xf borderId="0" fillId="8" fontId="2" numFmtId="1" xfId="0" applyAlignment="1" applyFont="1" applyNumberFormat="1">
      <alignment horizontal="center" readingOrder="0"/>
    </xf>
    <xf borderId="0" fillId="24" fontId="2" numFmtId="1" xfId="0" applyAlignment="1" applyFont="1" applyNumberFormat="1">
      <alignment horizontal="center" readingOrder="0" vertical="center"/>
    </xf>
    <xf borderId="0" fillId="8" fontId="2" numFmtId="1" xfId="0" applyAlignment="1" applyFont="1" applyNumberFormat="1">
      <alignment horizontal="center" readingOrder="0" vertical="center"/>
    </xf>
    <xf borderId="0" fillId="12" fontId="10" numFmtId="1" xfId="0" applyAlignment="1" applyFont="1" applyNumberFormat="1">
      <alignment readingOrder="0"/>
    </xf>
    <xf borderId="0" fillId="24" fontId="9" numFmtId="1" xfId="0" applyAlignment="1" applyFont="1" applyNumberFormat="1">
      <alignment horizontal="right" readingOrder="0"/>
    </xf>
    <xf borderId="0" fillId="11" fontId="4" numFmtId="164" xfId="0" applyAlignment="1" applyFont="1" applyNumberFormat="1">
      <alignment horizontal="center" readingOrder="0" vertical="center"/>
    </xf>
    <xf borderId="0" fillId="24" fontId="1" numFmtId="1" xfId="0" applyAlignment="1" applyFont="1" applyNumberFormat="1">
      <alignment readingOrder="0"/>
    </xf>
    <xf borderId="3" fillId="24" fontId="1" numFmtId="1" xfId="0" applyAlignment="1" applyBorder="1" applyFont="1" applyNumberFormat="1">
      <alignment readingOrder="0"/>
    </xf>
    <xf borderId="0" fillId="24" fontId="15" numFmtId="1" xfId="0" applyAlignment="1" applyFont="1" applyNumberFormat="1">
      <alignment readingOrder="0"/>
    </xf>
    <xf borderId="0" fillId="24" fontId="12" numFmtId="1" xfId="0" applyAlignment="1" applyFont="1" applyNumberFormat="1">
      <alignment readingOrder="0"/>
    </xf>
    <xf borderId="8" fillId="2" fontId="2" numFmtId="1" xfId="0" applyAlignment="1" applyBorder="1" applyFont="1" applyNumberFormat="1">
      <alignment readingOrder="0"/>
    </xf>
    <xf borderId="8" fillId="4" fontId="2" numFmtId="1" xfId="0" applyAlignment="1" applyBorder="1" applyFont="1" applyNumberFormat="1">
      <alignment readingOrder="0"/>
    </xf>
    <xf borderId="8" fillId="5" fontId="2" numFmtId="1" xfId="0" applyAlignment="1" applyBorder="1" applyFont="1" applyNumberFormat="1">
      <alignment readingOrder="0"/>
    </xf>
    <xf borderId="8" fillId="24" fontId="15" numFmtId="1" xfId="0" applyAlignment="1" applyBorder="1" applyFont="1" applyNumberFormat="1">
      <alignment readingOrder="0"/>
    </xf>
    <xf borderId="8" fillId="8" fontId="2" numFmtId="1" xfId="0" applyAlignment="1" applyBorder="1" applyFont="1" applyNumberFormat="1">
      <alignment readingOrder="0"/>
    </xf>
    <xf borderId="8" fillId="10" fontId="2" numFmtId="1" xfId="0" applyBorder="1" applyFont="1" applyNumberFormat="1"/>
    <xf borderId="0" fillId="21" fontId="4" numFmtId="164" xfId="0" applyAlignment="1" applyFont="1" applyNumberFormat="1">
      <alignment horizontal="center" readingOrder="0" vertical="center"/>
    </xf>
    <xf borderId="0" fillId="12" fontId="19" numFmtId="1" xfId="0" applyAlignment="1" applyFont="1" applyNumberFormat="1">
      <alignment horizontal="right" readingOrder="0"/>
    </xf>
    <xf borderId="0" fillId="18" fontId="3" numFmtId="1" xfId="0" applyAlignment="1" applyFont="1" applyNumberFormat="1">
      <alignment horizontal="center" readingOrder="0" shrinkToFit="0" vertical="center" wrapText="1"/>
    </xf>
    <xf borderId="0" fillId="39" fontId="3" numFmtId="1" xfId="0" applyAlignment="1" applyFill="1" applyFont="1" applyNumberFormat="1">
      <alignment horizontal="center" readingOrder="0" shrinkToFit="0" vertical="center" wrapText="1"/>
    </xf>
    <xf borderId="0" fillId="40" fontId="3" numFmtId="1" xfId="0" applyAlignment="1" applyFill="1" applyFont="1" applyNumberFormat="1">
      <alignment horizontal="center" readingOrder="0" shrinkToFit="0" vertical="center" wrapText="1"/>
    </xf>
    <xf borderId="0" fillId="0" fontId="65" numFmtId="1" xfId="0" applyAlignment="1" applyFont="1" applyNumberFormat="1">
      <alignment readingOrder="0"/>
    </xf>
    <xf borderId="0" fillId="39" fontId="2" numFmtId="1" xfId="0" applyFont="1" applyNumberFormat="1"/>
    <xf borderId="0" fillId="40" fontId="2" numFmtId="1" xfId="0" applyAlignment="1" applyFont="1" applyNumberFormat="1">
      <alignment readingOrder="0"/>
    </xf>
    <xf borderId="0" fillId="17" fontId="65" numFmtId="1" xfId="0" applyFont="1" applyNumberFormat="1"/>
    <xf borderId="0" fillId="0" fontId="65" numFmtId="1" xfId="0" applyFont="1" applyNumberFormat="1"/>
    <xf borderId="0" fillId="15" fontId="65" numFmtId="1" xfId="0" applyFont="1" applyNumberFormat="1"/>
    <xf borderId="0" fillId="17" fontId="65" numFmtId="1" xfId="0" applyAlignment="1" applyFont="1" applyNumberFormat="1">
      <alignment readingOrder="0"/>
    </xf>
    <xf borderId="0" fillId="0" fontId="66" numFmtId="1" xfId="0" applyFont="1" applyNumberFormat="1"/>
    <xf borderId="4" fillId="0" fontId="65" numFmtId="1" xfId="0" applyAlignment="1" applyBorder="1" applyFont="1" applyNumberFormat="1">
      <alignment readingOrder="0"/>
    </xf>
    <xf borderId="4" fillId="9" fontId="2" numFmtId="1" xfId="0" applyAlignment="1" applyBorder="1" applyFont="1" applyNumberFormat="1">
      <alignment readingOrder="0"/>
    </xf>
    <xf borderId="4" fillId="18" fontId="2" numFmtId="1" xfId="0" applyBorder="1" applyFont="1" applyNumberFormat="1"/>
    <xf borderId="4" fillId="39" fontId="2" numFmtId="1" xfId="0" applyBorder="1" applyFont="1" applyNumberFormat="1"/>
    <xf borderId="4" fillId="40" fontId="2" numFmtId="1" xfId="0" applyAlignment="1" applyBorder="1" applyFont="1" applyNumberFormat="1">
      <alignment readingOrder="0"/>
    </xf>
    <xf borderId="0" fillId="14" fontId="2" numFmtId="1" xfId="0" applyAlignment="1" applyFont="1" applyNumberFormat="1">
      <alignment horizontal="center" readingOrder="0"/>
    </xf>
    <xf borderId="0" fillId="14" fontId="65" numFmtId="1" xfId="0" applyAlignment="1" applyFont="1" applyNumberFormat="1">
      <alignment horizontal="center" readingOrder="0"/>
    </xf>
    <xf borderId="0" fillId="14" fontId="2" numFmtId="1" xfId="0" applyAlignment="1" applyFont="1" applyNumberFormat="1">
      <alignment horizontal="center" readingOrder="0" vertical="center"/>
    </xf>
    <xf borderId="0" fillId="14" fontId="65" numFmtId="1" xfId="0" applyAlignment="1" applyFont="1" applyNumberFormat="1">
      <alignment horizontal="center" readingOrder="0" vertical="center"/>
    </xf>
    <xf borderId="3" fillId="15" fontId="3" numFmtId="0" xfId="0" applyAlignment="1" applyBorder="1" applyFont="1">
      <alignment readingOrder="0"/>
    </xf>
    <xf borderId="3" fillId="15" fontId="4" numFmtId="164" xfId="0" applyAlignment="1" applyBorder="1" applyFont="1" applyNumberFormat="1">
      <alignment horizontal="center" readingOrder="0" vertical="center"/>
    </xf>
    <xf borderId="3" fillId="15" fontId="2" numFmtId="1" xfId="0" applyAlignment="1" applyBorder="1" applyFont="1" applyNumberFormat="1">
      <alignment readingOrder="0"/>
    </xf>
    <xf borderId="3" fillId="15" fontId="2" numFmtId="1" xfId="0" applyBorder="1" applyFont="1" applyNumberFormat="1"/>
    <xf borderId="3" fillId="15" fontId="1" numFmtId="1" xfId="0" applyBorder="1" applyFont="1" applyNumberFormat="1"/>
    <xf borderId="0" fillId="18" fontId="1" numFmtId="1" xfId="0" applyFont="1" applyNumberFormat="1"/>
    <xf borderId="0" fillId="13" fontId="3" numFmtId="0" xfId="0" applyAlignment="1" applyFont="1">
      <alignment readingOrder="0"/>
    </xf>
    <xf borderId="0" fillId="13" fontId="4" numFmtId="164" xfId="0" applyAlignment="1" applyFont="1" applyNumberFormat="1">
      <alignment horizontal="center" readingOrder="0" vertical="center"/>
    </xf>
    <xf borderId="0" fillId="13" fontId="2" numFmtId="1" xfId="0" applyAlignment="1" applyFont="1" applyNumberFormat="1">
      <alignment readingOrder="0"/>
    </xf>
    <xf borderId="0" fillId="13" fontId="1" numFmtId="1" xfId="0" applyFont="1" applyNumberFormat="1"/>
    <xf borderId="3" fillId="18" fontId="3" numFmtId="0" xfId="0" applyAlignment="1" applyBorder="1" applyFont="1">
      <alignment readingOrder="0"/>
    </xf>
    <xf borderId="3" fillId="18" fontId="4" numFmtId="164" xfId="0" applyAlignment="1" applyBorder="1" applyFont="1" applyNumberFormat="1">
      <alignment horizontal="center" readingOrder="0" vertical="center"/>
    </xf>
    <xf borderId="3" fillId="2" fontId="2" numFmtId="1" xfId="0" applyAlignment="1" applyBorder="1" applyFont="1" applyNumberFormat="1">
      <alignment readingOrder="0"/>
    </xf>
    <xf borderId="3" fillId="4" fontId="2" numFmtId="1" xfId="0" applyAlignment="1" applyBorder="1" applyFont="1" applyNumberFormat="1">
      <alignment readingOrder="0"/>
    </xf>
    <xf borderId="3" fillId="5" fontId="2" numFmtId="1" xfId="0" applyAlignment="1" applyBorder="1" applyFont="1" applyNumberFormat="1">
      <alignment readingOrder="0"/>
    </xf>
    <xf borderId="3" fillId="9" fontId="2" numFmtId="1" xfId="0" applyAlignment="1" applyBorder="1" applyFont="1" applyNumberFormat="1">
      <alignment readingOrder="0"/>
    </xf>
    <xf borderId="3" fillId="18" fontId="2" numFmtId="1" xfId="0" applyBorder="1" applyFont="1" applyNumberFormat="1"/>
    <xf borderId="3" fillId="39" fontId="2" numFmtId="1" xfId="0" applyBorder="1" applyFont="1" applyNumberFormat="1"/>
    <xf borderId="3" fillId="40" fontId="2" numFmtId="1" xfId="0" applyAlignment="1" applyBorder="1" applyFont="1" applyNumberFormat="1">
      <alignment readingOrder="0"/>
    </xf>
    <xf borderId="8" fillId="14" fontId="3" numFmtId="0" xfId="0" applyAlignment="1" applyBorder="1" applyFont="1">
      <alignment readingOrder="0"/>
    </xf>
    <xf borderId="8" fillId="14" fontId="4" numFmtId="164" xfId="0" applyAlignment="1" applyBorder="1" applyFont="1" applyNumberFormat="1">
      <alignment horizontal="center" readingOrder="0" vertical="center"/>
    </xf>
    <xf borderId="8" fillId="14" fontId="2" numFmtId="1" xfId="0" applyAlignment="1" applyBorder="1" applyFont="1" applyNumberFormat="1">
      <alignment readingOrder="0"/>
    </xf>
    <xf borderId="8" fillId="14" fontId="1" numFmtId="1" xfId="0" applyBorder="1" applyFont="1" applyNumberFormat="1"/>
    <xf borderId="8" fillId="18" fontId="3" numFmtId="0" xfId="0" applyAlignment="1" applyBorder="1" applyFont="1">
      <alignment readingOrder="0"/>
    </xf>
    <xf borderId="8" fillId="18" fontId="4" numFmtId="164" xfId="0" applyAlignment="1" applyBorder="1" applyFont="1" applyNumberFormat="1">
      <alignment horizontal="center" readingOrder="0" vertical="center"/>
    </xf>
    <xf borderId="8" fillId="9" fontId="2" numFmtId="1" xfId="0" applyAlignment="1" applyBorder="1" applyFont="1" applyNumberFormat="1">
      <alignment readingOrder="0"/>
    </xf>
    <xf borderId="8" fillId="18" fontId="2" numFmtId="1" xfId="0" applyBorder="1" applyFont="1" applyNumberFormat="1"/>
    <xf borderId="8" fillId="39" fontId="2" numFmtId="1" xfId="0" applyBorder="1" applyFont="1" applyNumberFormat="1"/>
    <xf borderId="8" fillId="40" fontId="2" numFmtId="1" xfId="0" applyAlignment="1" applyBorder="1" applyFont="1" applyNumberFormat="1">
      <alignment readingOrder="0"/>
    </xf>
    <xf borderId="0" fillId="0" fontId="15" numFmtId="1" xfId="0" applyAlignment="1" applyFont="1" applyNumberFormat="1">
      <alignment readingOrder="0"/>
    </xf>
    <xf borderId="0" fillId="0" fontId="15" numFmtId="1" xfId="0" applyFont="1" applyNumberFormat="1"/>
    <xf borderId="8" fillId="0" fontId="4" numFmtId="164" xfId="0" applyAlignment="1" applyBorder="1" applyFont="1" applyNumberFormat="1">
      <alignment horizontal="center" readingOrder="0" vertical="center"/>
    </xf>
    <xf borderId="8" fillId="0" fontId="15" numFmtId="1" xfId="0" applyAlignment="1" applyBorder="1" applyFont="1" applyNumberFormat="1">
      <alignment readingOrder="0"/>
    </xf>
    <xf borderId="0" fillId="14" fontId="16" numFmtId="164" xfId="0" applyAlignment="1" applyFont="1" applyNumberFormat="1">
      <alignment horizontal="center" readingOrder="0" vertical="center"/>
    </xf>
    <xf borderId="0" fillId="0" fontId="2" numFmtId="175" xfId="0" applyAlignment="1" applyFont="1" applyNumberFormat="1">
      <alignment readingOrder="0"/>
    </xf>
    <xf borderId="3" fillId="19" fontId="8" numFmtId="0" xfId="0" applyAlignment="1" applyBorder="1" applyFont="1">
      <alignment horizontal="center" readingOrder="0"/>
    </xf>
    <xf borderId="3" fillId="18" fontId="7" numFmtId="1" xfId="0" applyAlignment="1" applyBorder="1" applyFont="1" applyNumberFormat="1">
      <alignment vertical="bottom"/>
    </xf>
    <xf borderId="3" fillId="39" fontId="7" numFmtId="1" xfId="0" applyAlignment="1" applyBorder="1" applyFont="1" applyNumberFormat="1">
      <alignment vertical="bottom"/>
    </xf>
    <xf borderId="0" fillId="40" fontId="2" numFmtId="1" xfId="0" applyFont="1" applyNumberFormat="1"/>
    <xf borderId="1" fillId="30" fontId="1" numFmtId="166" xfId="0" applyAlignment="1" applyBorder="1" applyFont="1" applyNumberFormat="1">
      <alignment horizontal="center" readingOrder="0" shrinkToFit="0" vertical="center" wrapText="1"/>
    </xf>
    <xf borderId="9" fillId="0" fontId="20" numFmtId="169" xfId="0" applyAlignment="1" applyBorder="1" applyFont="1" applyNumberFormat="1">
      <alignment horizontal="center" readingOrder="0" vertical="center"/>
    </xf>
    <xf borderId="0" fillId="30" fontId="2" numFmtId="166" xfId="0" applyFont="1" applyNumberFormat="1"/>
    <xf borderId="2" fillId="30" fontId="1" numFmtId="166" xfId="0" applyBorder="1" applyFont="1" applyNumberFormat="1"/>
    <xf borderId="11" fillId="30" fontId="2" numFmtId="166" xfId="0" applyBorder="1" applyFont="1" applyNumberFormat="1"/>
    <xf borderId="0" fillId="30" fontId="1" numFmtId="166" xfId="0" applyFont="1" applyNumberFormat="1"/>
    <xf borderId="0" fillId="6" fontId="2" numFmtId="0" xfId="0" applyFont="1"/>
    <xf borderId="11" fillId="6" fontId="2" numFmtId="0" xfId="0" applyAlignment="1" applyBorder="1" applyFont="1">
      <alignment readingOrder="0"/>
    </xf>
    <xf borderId="0" fillId="0" fontId="20" numFmtId="166" xfId="0" applyAlignment="1" applyFont="1" applyNumberFormat="1">
      <alignment horizontal="center" readingOrder="0" shrinkToFit="0" vertical="center" wrapText="1"/>
    </xf>
    <xf borderId="1" fillId="10" fontId="1" numFmtId="166" xfId="0" applyAlignment="1" applyBorder="1" applyFont="1" applyNumberForma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24" fontId="1" numFmtId="1" xfId="0" applyAlignment="1" applyBorder="1" applyFont="1" applyNumberFormat="1">
      <alignment horizontal="center" readingOrder="0" shrinkToFit="0" vertical="center" wrapText="1"/>
    </xf>
    <xf borderId="11" fillId="10" fontId="2" numFmtId="166" xfId="0" applyBorder="1" applyFont="1" applyNumberFormat="1"/>
    <xf borderId="11" fillId="24" fontId="2" numFmtId="1" xfId="0" applyAlignment="1" applyBorder="1" applyFont="1" applyNumberFormat="1">
      <alignment readingOrder="0"/>
    </xf>
    <xf borderId="0" fillId="10" fontId="2" numFmtId="166" xfId="0" applyFont="1" applyNumberFormat="1"/>
    <xf borderId="14" fillId="6" fontId="2" numFmtId="0" xfId="0" applyBorder="1" applyFont="1"/>
    <xf borderId="2" fillId="24" fontId="2" numFmtId="1" xfId="0" applyBorder="1" applyFont="1" applyNumberFormat="1"/>
    <xf borderId="11" fillId="0" fontId="67" numFmtId="0" xfId="0" applyAlignment="1" applyBorder="1" applyFont="1">
      <alignment readingOrder="0"/>
    </xf>
    <xf borderId="0" fillId="0" fontId="67" numFmtId="0" xfId="0" applyAlignment="1" applyFont="1">
      <alignment readingOrder="0"/>
    </xf>
    <xf borderId="11" fillId="0" fontId="2" numFmtId="1" xfId="0" applyAlignment="1" applyBorder="1" applyFont="1" applyNumberFormat="1">
      <alignment readingOrder="0"/>
    </xf>
    <xf borderId="0" fillId="0" fontId="67" numFmtId="1" xfId="0" applyAlignment="1" applyFont="1" applyNumberFormat="1">
      <alignment readingOrder="0"/>
    </xf>
    <xf borderId="14" fillId="33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0" fillId="0" fontId="68" numFmtId="0" xfId="0" applyFont="1"/>
    <xf borderId="0" fillId="14" fontId="2" numFmtId="0" xfId="0" applyAlignment="1" applyFont="1">
      <alignment readingOrder="0"/>
    </xf>
    <xf borderId="0" fillId="14" fontId="2" numFmtId="0" xfId="0" applyFont="1"/>
    <xf borderId="11" fillId="33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0" fillId="10" fontId="1" numFmtId="166" xfId="0" applyAlignment="1" applyFont="1" applyNumberFormat="1">
      <alignment readingOrder="0"/>
    </xf>
    <xf borderId="0" fillId="41" fontId="2" numFmtId="0" xfId="0" applyFill="1" applyFont="1"/>
    <xf borderId="0" fillId="0" fontId="69" numFmtId="0" xfId="0" applyFont="1"/>
    <xf borderId="0" fillId="10" fontId="1" numFmtId="166" xfId="0" applyFont="1" applyNumberFormat="1"/>
    <xf borderId="2" fillId="24" fontId="2" numFmtId="1" xfId="0" applyAlignment="1" applyBorder="1" applyFont="1" applyNumberFormat="1">
      <alignment readingOrder="0"/>
    </xf>
    <xf borderId="9" fillId="0" fontId="2" numFmtId="0" xfId="0" applyAlignment="1" applyBorder="1" applyFont="1">
      <alignment horizontal="center" readingOrder="0"/>
    </xf>
    <xf borderId="0" fillId="0" fontId="70" numFmtId="0" xfId="0" applyAlignment="1" applyFont="1">
      <alignment readingOrder="0"/>
    </xf>
    <xf borderId="17" fillId="0" fontId="2" numFmtId="0" xfId="0" applyAlignment="1" applyBorder="1" applyFont="1">
      <alignment horizontal="center"/>
    </xf>
    <xf borderId="0" fillId="0" fontId="5" numFmtId="166" xfId="0" applyAlignment="1" applyFont="1" applyNumberFormat="1">
      <alignment horizontal="center" readingOrder="0" shrinkToFit="0" vertical="center" wrapText="1"/>
    </xf>
    <xf borderId="9" fillId="0" fontId="5" numFmtId="169" xfId="0" applyAlignment="1" applyBorder="1" applyFont="1" applyNumberFormat="1">
      <alignment horizontal="center" readingOrder="0" vertical="center"/>
    </xf>
    <xf borderId="0" fillId="35" fontId="2" numFmtId="0" xfId="0" applyFont="1"/>
    <xf borderId="0" fillId="0" fontId="7" numFmtId="0" xfId="0" applyAlignment="1" applyFont="1">
      <alignment horizontal="right" vertical="bottom"/>
    </xf>
    <xf borderId="0" fillId="24" fontId="7" numFmtId="1" xfId="0" applyAlignment="1" applyFont="1" applyNumberFormat="1">
      <alignment readingOrder="0" vertical="bottom"/>
    </xf>
    <xf borderId="0" fillId="24" fontId="7" numFmtId="1" xfId="0" applyAlignment="1" applyFont="1" applyNumberFormat="1">
      <alignment vertical="bottom"/>
    </xf>
    <xf borderId="0" fillId="0" fontId="71" numFmtId="0" xfId="0" applyFont="1"/>
    <xf borderId="0" fillId="6" fontId="2" numFmtId="0" xfId="0" applyAlignment="1" applyFont="1">
      <alignment horizontal="right" readingOrder="0"/>
    </xf>
    <xf borderId="14" fillId="0" fontId="68" numFmtId="0" xfId="0" applyBorder="1" applyFont="1"/>
    <xf borderId="12" fillId="0" fontId="67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42" fontId="2" numFmtId="0" xfId="0" applyFill="1" applyFont="1"/>
    <xf borderId="11" fillId="0" fontId="2" numFmtId="166" xfId="0" applyBorder="1" applyFont="1" applyNumberFormat="1"/>
    <xf borderId="2" fillId="0" fontId="1" numFmtId="166" xfId="0" applyBorder="1" applyFont="1" applyNumberFormat="1"/>
    <xf borderId="2" fillId="0" fontId="2" numFmtId="1" xfId="0" applyBorder="1" applyFont="1" applyNumberFormat="1"/>
    <xf borderId="8" fillId="16" fontId="2" numFmtId="1" xfId="0" applyBorder="1" applyFont="1" applyNumberFormat="1"/>
    <xf borderId="3" fillId="0" fontId="3" numFmtId="0" xfId="0" applyAlignment="1" applyBorder="1" applyFont="1">
      <alignment readingOrder="0"/>
    </xf>
    <xf borderId="3" fillId="0" fontId="4" numFmtId="164" xfId="0" applyAlignment="1" applyBorder="1" applyFont="1" applyNumberFormat="1">
      <alignment horizontal="center" readingOrder="0" vertical="center"/>
    </xf>
    <xf borderId="3" fillId="16" fontId="2" numFmtId="1" xfId="0" applyAlignment="1" applyBorder="1" applyFont="1" applyNumberFormat="1">
      <alignment readingOrder="0"/>
    </xf>
    <xf borderId="3" fillId="4" fontId="2" numFmtId="1" xfId="0" applyBorder="1" applyFont="1" applyNumberFormat="1"/>
    <xf borderId="0" fillId="0" fontId="66" numFmtId="1" xfId="0" applyAlignment="1" applyFont="1" applyNumberFormat="1">
      <alignment readingOrder="0"/>
    </xf>
    <xf borderId="0" fillId="0" fontId="72" numFmtId="1" xfId="0" applyAlignment="1" applyFont="1" applyNumberFormat="1">
      <alignment readingOrder="0"/>
    </xf>
    <xf borderId="0" fillId="16" fontId="72" numFmtId="1" xfId="0" applyFont="1" applyNumberFormat="1"/>
    <xf borderId="0" fillId="0" fontId="72" numFmtId="1" xfId="0" applyFont="1" applyNumberFormat="1"/>
    <xf borderId="3" fillId="16" fontId="3" numFmtId="0" xfId="0" applyAlignment="1" applyBorder="1" applyFont="1">
      <alignment readingOrder="0"/>
    </xf>
    <xf borderId="3" fillId="16" fontId="4" numFmtId="164" xfId="0" applyAlignment="1" applyBorder="1" applyFont="1" applyNumberFormat="1">
      <alignment horizontal="center" readingOrder="0" vertical="center"/>
    </xf>
    <xf borderId="3" fillId="16" fontId="2" numFmtId="1" xfId="0" applyBorder="1" applyFont="1" applyNumberFormat="1"/>
    <xf borderId="3" fillId="16" fontId="72" numFmtId="1" xfId="0" applyBorder="1" applyFont="1" applyNumberFormat="1"/>
    <xf borderId="3" fillId="16" fontId="1" numFmtId="1" xfId="0" applyBorder="1" applyFont="1" applyNumberFormat="1"/>
    <xf borderId="0" fillId="39" fontId="2" numFmtId="1" xfId="0" applyAlignment="1" applyFont="1" applyNumberFormat="1">
      <alignment readingOrder="0"/>
    </xf>
    <xf borderId="0" fillId="17" fontId="66" numFmtId="1" xfId="0" applyFont="1" applyNumberFormat="1"/>
    <xf borderId="0" fillId="20" fontId="3" numFmtId="0" xfId="0" applyAlignment="1" applyFont="1">
      <alignment readingOrder="0"/>
    </xf>
    <xf borderId="0" fillId="20" fontId="4" numFmtId="164" xfId="0" applyAlignment="1" applyFont="1" applyNumberFormat="1">
      <alignment horizontal="center" readingOrder="0" vertical="center"/>
    </xf>
    <xf borderId="0" fillId="20" fontId="1" numFmtId="1" xfId="0" applyFont="1" applyNumberFormat="1"/>
    <xf borderId="0" fillId="20" fontId="3" numFmtId="1" xfId="0" applyFont="1" applyNumberFormat="1"/>
    <xf borderId="0" fillId="20" fontId="4" numFmtId="1" xfId="0" applyAlignment="1" applyFont="1" applyNumberFormat="1">
      <alignment horizontal="center" vertical="center"/>
    </xf>
    <xf borderId="11" fillId="0" fontId="7" numFmtId="0" xfId="0" applyAlignment="1" applyBorder="1" applyFont="1">
      <alignment horizontal="right" vertical="bottom"/>
    </xf>
    <xf borderId="11" fillId="24" fontId="7" numFmtId="1" xfId="0" applyAlignment="1" applyBorder="1" applyFont="1" applyNumberFormat="1">
      <alignment vertical="bottom"/>
    </xf>
    <xf borderId="0" fillId="24" fontId="7" numFmtId="1" xfId="0" applyAlignment="1" applyFont="1" applyNumberFormat="1">
      <alignment horizontal="right" vertical="bottom"/>
    </xf>
    <xf borderId="14" fillId="6" fontId="2" numFmtId="0" xfId="0" applyAlignment="1" applyBorder="1" applyFont="1">
      <alignment readingOrder="0"/>
    </xf>
    <xf borderId="10" fillId="0" fontId="1" numFmtId="169" xfId="0" applyAlignment="1" applyBorder="1" applyFont="1" applyNumberFormat="1">
      <alignment horizontal="center" readingOrder="0" vertical="center"/>
    </xf>
    <xf borderId="10" fillId="10" fontId="2" numFmtId="166" xfId="0" applyBorder="1" applyFont="1" applyNumberFormat="1"/>
    <xf borderId="13" fillId="10" fontId="2" numFmtId="166" xfId="0" applyBorder="1" applyFont="1" applyNumberFormat="1"/>
    <xf borderId="15" fillId="10" fontId="1" numFmtId="166" xfId="0" applyBorder="1" applyFont="1" applyNumberFormat="1"/>
    <xf borderId="14" fillId="35" fontId="2" numFmtId="0" xfId="0" applyBorder="1" applyFont="1"/>
    <xf borderId="13" fillId="10" fontId="1" numFmtId="166" xfId="0" applyBorder="1" applyFont="1" applyNumberFormat="1"/>
    <xf borderId="11" fillId="24" fontId="2" numFmtId="1" xfId="0" applyBorder="1" applyFont="1" applyNumberFormat="1"/>
    <xf borderId="12" fillId="6" fontId="2" numFmtId="0" xfId="0" applyAlignment="1" applyBorder="1" applyFont="1">
      <alignment readingOrder="0"/>
    </xf>
    <xf borderId="0" fillId="10" fontId="2" numFmtId="166" xfId="0" applyAlignment="1" applyFont="1" applyNumberFormat="1">
      <alignment readingOrder="0"/>
    </xf>
    <xf borderId="14" fillId="12" fontId="2" numFmtId="0" xfId="0" applyBorder="1" applyFont="1"/>
    <xf borderId="16" fillId="12" fontId="2" numFmtId="0" xfId="0" applyBorder="1" applyFont="1"/>
    <xf borderId="10" fillId="0" fontId="2" numFmtId="176" xfId="0" applyAlignment="1" applyBorder="1" applyFont="1" applyNumberFormat="1">
      <alignment horizontal="center" readingOrder="0" vertical="center"/>
    </xf>
    <xf borderId="10" fillId="10" fontId="2" numFmtId="166" xfId="0" applyAlignment="1" applyBorder="1" applyFont="1" applyNumberFormat="1">
      <alignment horizontal="right"/>
    </xf>
    <xf borderId="11" fillId="24" fontId="2" numFmtId="166" xfId="0" applyAlignment="1" applyBorder="1" applyFont="1" applyNumberFormat="1">
      <alignment horizontal="right" readingOrder="0"/>
    </xf>
    <xf borderId="11" fillId="0" fontId="2" numFmtId="166" xfId="0" applyAlignment="1" applyBorder="1" applyFont="1" applyNumberFormat="1">
      <alignment readingOrder="0"/>
    </xf>
    <xf borderId="13" fillId="10" fontId="2" numFmtId="166" xfId="0" applyAlignment="1" applyBorder="1" applyFont="1" applyNumberFormat="1">
      <alignment horizontal="right"/>
    </xf>
    <xf borderId="0" fillId="24" fontId="2" numFmtId="166" xfId="0" applyAlignment="1" applyFont="1" applyNumberFormat="1">
      <alignment horizontal="right" readingOrder="0"/>
    </xf>
    <xf borderId="0" fillId="0" fontId="2" numFmtId="166" xfId="0" applyAlignment="1" applyFont="1" applyNumberFormat="1">
      <alignment readingOrder="0"/>
    </xf>
    <xf borderId="0" fillId="24" fontId="2" numFmtId="166" xfId="0" applyAlignment="1" applyFont="1" applyNumberFormat="1">
      <alignment horizontal="right"/>
    </xf>
    <xf borderId="15" fillId="10" fontId="1" numFmtId="166" xfId="0" applyAlignment="1" applyBorder="1" applyFont="1" applyNumberFormat="1">
      <alignment horizontal="right"/>
    </xf>
    <xf borderId="2" fillId="0" fontId="2" numFmtId="166" xfId="0" applyBorder="1" applyFont="1" applyNumberFormat="1"/>
    <xf borderId="2" fillId="24" fontId="2" numFmtId="166" xfId="0" applyAlignment="1" applyBorder="1" applyFont="1" applyNumberFormat="1">
      <alignment horizontal="right"/>
    </xf>
    <xf borderId="12" fillId="6" fontId="2" numFmtId="0" xfId="0" applyBorder="1" applyFont="1"/>
    <xf borderId="13" fillId="10" fontId="1" numFmtId="166" xfId="0" applyAlignment="1" applyBorder="1" applyFont="1" applyNumberFormat="1">
      <alignment horizontal="right"/>
    </xf>
    <xf borderId="13" fillId="10" fontId="2" numFmtId="166" xfId="0" applyAlignment="1" applyBorder="1" applyFont="1" applyNumberFormat="1">
      <alignment horizontal="right" readingOrder="0"/>
    </xf>
    <xf borderId="2" fillId="24" fontId="2" numFmtId="166" xfId="0" applyAlignment="1" applyBorder="1" applyFont="1" applyNumberFormat="1">
      <alignment horizontal="right" readingOrder="0"/>
    </xf>
    <xf borderId="0" fillId="10" fontId="2" numFmtId="166" xfId="0" applyAlignment="1" applyFont="1" applyNumberFormat="1">
      <alignment horizontal="right"/>
    </xf>
    <xf borderId="9" fillId="0" fontId="2" numFmtId="176" xfId="0" applyAlignment="1" applyBorder="1" applyFont="1" applyNumberFormat="1">
      <alignment horizontal="center" readingOrder="0" vertical="center"/>
    </xf>
    <xf borderId="11" fillId="10" fontId="2" numFmtId="166" xfId="0" applyAlignment="1" applyBorder="1" applyFont="1" applyNumberFormat="1">
      <alignment horizontal="right"/>
    </xf>
    <xf borderId="0" fillId="10" fontId="2" numFmtId="166" xfId="0" applyAlignment="1" applyFont="1" applyNumberFormat="1">
      <alignment horizontal="right" readingOrder="0"/>
    </xf>
    <xf borderId="2" fillId="10" fontId="1" numFmtId="166" xfId="0" applyAlignment="1" applyBorder="1" applyFont="1" applyNumberFormat="1">
      <alignment horizontal="right"/>
    </xf>
    <xf borderId="2" fillId="0" fontId="2" numFmtId="166" xfId="0" applyAlignment="1" applyBorder="1" applyFont="1" applyNumberFormat="1">
      <alignment readingOrder="0"/>
    </xf>
    <xf borderId="0" fillId="10" fontId="1" numFmtId="166" xfId="0" applyAlignment="1" applyFont="1" applyNumberFormat="1">
      <alignment horizontal="right"/>
    </xf>
    <xf borderId="10" fillId="10" fontId="2" numFmtId="166" xfId="0" applyAlignment="1" applyBorder="1" applyFont="1" applyNumberFormat="1">
      <alignment horizontal="right" readingOrder="0"/>
    </xf>
    <xf borderId="0" fillId="24" fontId="66" numFmtId="166" xfId="0" applyAlignment="1" applyFont="1" applyNumberFormat="1">
      <alignment horizontal="right" readingOrder="0"/>
    </xf>
    <xf borderId="0" fillId="0" fontId="66" numFmtId="0" xfId="0" applyFont="1"/>
    <xf borderId="0" fillId="0" fontId="66" numFmtId="0" xfId="0" applyAlignment="1" applyFont="1">
      <alignment readingOrder="0"/>
    </xf>
    <xf borderId="0" fillId="0" fontId="66" numFmtId="166" xfId="0" applyAlignment="1" applyFont="1" applyNumberFormat="1">
      <alignment readingOrder="0"/>
    </xf>
    <xf borderId="14" fillId="0" fontId="66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PORCENTUALES DE EGRESOS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(BALANCE!$A$19,BALANCE!$A$37,BALANCE!$A$49)</c:f>
            </c:strRef>
          </c:cat>
          <c:val>
            <c:numRef>
              <c:f>(BALANCE!$B$19,BALANCE!$B$37,BALANCE!$B$49)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9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PORCENTUALES DE EGRESOS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(BALANCE!$A$80,BALANCE!$A$98,BALANCE!$A$110)</c:f>
            </c:strRef>
          </c:cat>
          <c:val>
            <c:numRef>
              <c:f>(BALANCE!$B$80,BALANCE!$B$98,BALANCE!$B$110)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9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Pt>
            <c:idx val="2"/>
            <c:spPr>
              <a:solidFill>
                <a:srgbClr val="9FC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(BALANCE!$A$141,BALANCE!$A$159,BALANCE!$A$172)</c:f>
            </c:strRef>
          </c:cat>
          <c:val>
            <c:numRef>
              <c:f>(BALANCE!$B$141,BALANCE!$B$159,BALANCE!$B$172)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Pt>
            <c:idx val="2"/>
            <c:spPr>
              <a:solidFill>
                <a:srgbClr val="9FC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(BALANCE!$A$208,BALANCE!$A$226,BALANCE!$A$238)</c:f>
            </c:strRef>
          </c:cat>
          <c:val>
            <c:numRef>
              <c:f>(BALANCE!$B$208,BALANCE!$B$226,BALANCE!$B$238)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35</xdr:row>
      <xdr:rowOff>66675</xdr:rowOff>
    </xdr:from>
    <xdr:ext cx="4229100" cy="2619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276225</xdr:colOff>
      <xdr:row>90</xdr:row>
      <xdr:rowOff>66675</xdr:rowOff>
    </xdr:from>
    <xdr:ext cx="4229100" cy="2619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57150</xdr:colOff>
      <xdr:row>163</xdr:row>
      <xdr:rowOff>114300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57150</xdr:colOff>
      <xdr:row>200</xdr:row>
      <xdr:rowOff>114300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hur Pasta Makers ®" id="{102c0048-e385-49ea-b8ad-c07ad08a22b2}" providerId="google-sheets"/>
  <x18tc:person displayName="Camila Layño" id="{44015f17-3cd0-4b51-9ed7-67763727e61a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3-01-04T18:46:06.00" personId="{102c0048-e385-49ea-b8ad-c07ad08a22b2}" id="{29963bdd-abb1-4966-90ff-d14abd41a65e}" done="0">
    <x18tc:text xml:space="preserve">fac octagon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29" dT="2024-08-08T15:37:48.00" personId="{102c0048-e385-49ea-b8ad-c07ad08a22b2}" id="{d52e1c0f-107b-48b7-8f29-d15ecfd8dcd2}" done="0">
    <x18tc:text xml:space="preserve">ceitba</x18tc:text>
  </x18tc:threadedComment>
  <x18tc:threadedComment ref="I243" dT="2024-08-22T15:10:05.00" personId="{102c0048-e385-49ea-b8ad-c07ad08a22b2}" id="{dae84fd7-1f27-4d45-be0b-74f011d6b55e}" done="0">
    <x18tc:text xml:space="preserve">FAC CEITBA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73" dT="2025-10-16T19:42:45.00" personId="{102c0048-e385-49ea-b8ad-c07ad08a22b2}" id="{c8241fe0-78bd-45d0-bad5-233574ebdff3}" done="0">
    <x18tc:text xml:space="preserve">se desconto la boleta de itba x 523640</x18tc:text>
  </x18tc:threadedComment>
  <x18tc:threadedComment ref="C573" dT="2025-10-16T19:42:03.00" personId="{102c0048-e385-49ea-b8ad-c07ad08a22b2}" id="{bf514ce8-004c-42d2-9484-1e92e0a3b078}" done="1">
    <x18tc:text xml:space="preserve">se desconto la boleta de itba</x18tc:text>
  </x18tc:threadedComment>
  <x18tc:threadedComment ref="J497" dT="2025-07-30T16:29:13.00" personId="{102c0048-e385-49ea-b8ad-c07ad08a22b2}" id="{0127e294-7946-4243-bd87-61187ca371c0}" done="0">
    <x18tc:text xml:space="preserve">itba</x18tc:text>
  </x18tc:threadedComment>
  <x18tc:threadedComment ref="C573" dT="2025-10-16T19:42:20.00" personId="{102c0048-e385-49ea-b8ad-c07ad08a22b2}" id="{50512b69-5e46-4080-b875-1fb23021eaac}" done="0">
    <x18tc:text xml:space="preserve">se desconto la boleta de itba de 523640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2" dT="2026-02-03T17:47:21.00" personId="{102c0048-e385-49ea-b8ad-c07ad08a22b2}" id="{e83e6247-6785-4492-98f4-cf3190324e88}" done="0">
    <x18tc:text xml:space="preserve">luego 6 cuotas de 241526,36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2" dT="2025-06-28T16:47:41.00" personId="{102c0048-e385-49ea-b8ad-c07ad08a22b2}" id="{b9fc4454-16ea-42de-b688-5b8026d6b37c}" done="1">
    <x18tc:text xml:space="preserve">pagara martes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5" dT="2025-05-21T18:01:14.00" personId="{102c0048-e385-49ea-b8ad-c07ad08a22b2}" id="{c308a1a4-2efa-497f-9e26-98207f12ae30}" done="0">
    <x18tc:text xml:space="preserve">la fac es de 125361 y se resto lo que pagaron los chicos x mp 72889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24" dT="2022-10-20T19:16:36.00" personId="{102c0048-e385-49ea-b8ad-c07ad08a22b2}" id="{a378275f-7d5b-4130-b8db-b675ec0add84}" done="1">
    <x18tc:text xml:space="preserve">se pago con los 16 de ayer</x18tc:text>
  </x18tc:threadedComment>
  <x18tc:threadedComment ref="F225" dT="2022-10-20T19:16:47.00" personId="{102c0048-e385-49ea-b8ad-c07ad08a22b2}" id="{e719ba6b-0285-47e9-952f-9c381b5cc03a}" done="1">
    <x18tc:text xml:space="preserve">se pago con los 16 de ayer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5" dT="2022-08-06T17:53:19.00" personId="{102c0048-e385-49ea-b8ad-c07ad08a22b2}" id="{0882749b-e538-43bc-8247-d53179f42292}" done="0">
    <x18tc:text xml:space="preserve">a rafa se le transfirio sueldo y se uso para hs extra y liquidacion agus, el resto se sumo a caja de sabado ($5000)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29" dT="2021-11-13T01:38:21.00" personId="{44015f17-3cd0-4b51-9ed7-67763727e61a}" id="{72f067e5-3e4d-4050-8a27-86fe376f9f39}" done="0">
    <x18tc:text xml:space="preserve">940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9.xml"/><Relationship Id="rId5" Type="http://schemas.openxmlformats.org/officeDocument/2006/relationships/vmlDrawing" Target="../drawings/vmlDrawing5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2.xml"/><Relationship Id="rId5" Type="http://schemas.openxmlformats.org/officeDocument/2006/relationships/vmlDrawing" Target="../drawings/vmlDrawing6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0.xml"/><Relationship Id="rId5" Type="http://schemas.openxmlformats.org/officeDocument/2006/relationships/vmlDrawing" Target="../drawings/vmlDrawing7.v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6.xml"/><Relationship Id="rId3" Type="http://schemas.openxmlformats.org/officeDocument/2006/relationships/vmlDrawing" Target="../drawings/vmlDrawing8.v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88.xml"/><Relationship Id="rId5" Type="http://schemas.openxmlformats.org/officeDocument/2006/relationships/vmlDrawing" Target="../drawings/vmlDrawing9.v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90.xml"/><Relationship Id="rId5" Type="http://schemas.openxmlformats.org/officeDocument/2006/relationships/vmlDrawing" Target="../drawings/vmlDrawing10.v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10.xml"/><Relationship Id="rId5" Type="http://schemas.openxmlformats.org/officeDocument/2006/relationships/vmlDrawing" Target="../drawings/vmlDrawing11.v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12.xml"/><Relationship Id="rId3" Type="http://schemas.openxmlformats.org/officeDocument/2006/relationships/vmlDrawing" Target="../drawings/vmlDrawing12.v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27.xml"/><Relationship Id="rId3" Type="http://schemas.openxmlformats.org/officeDocument/2006/relationships/vmlDrawing" Target="../drawings/vmlDrawing13.v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1"/>
    </row>
    <row r="2">
      <c r="A2" s="2" t="s">
        <v>0</v>
      </c>
    </row>
    <row r="3">
      <c r="A3" s="2" t="s">
        <v>1</v>
      </c>
    </row>
    <row r="4">
      <c r="B4" s="2"/>
    </row>
    <row r="5">
      <c r="B5" s="2"/>
    </row>
    <row r="6">
      <c r="A6" s="3"/>
      <c r="B6" s="1" t="s">
        <v>2</v>
      </c>
      <c r="C6" s="1" t="s">
        <v>3</v>
      </c>
      <c r="D6" s="1" t="s">
        <v>4</v>
      </c>
      <c r="E6" s="1" t="s">
        <v>5</v>
      </c>
    </row>
    <row r="7">
      <c r="A7" s="1" t="s">
        <v>6</v>
      </c>
      <c r="B7" s="3"/>
      <c r="C7" s="3"/>
      <c r="D7" s="3"/>
      <c r="E7" s="3"/>
    </row>
    <row r="8">
      <c r="A8" s="1" t="s">
        <v>7</v>
      </c>
      <c r="B8" s="3"/>
      <c r="C8" s="3"/>
      <c r="D8" s="3"/>
      <c r="E8" s="3"/>
    </row>
    <row r="11">
      <c r="A11" s="1" t="s">
        <v>8</v>
      </c>
    </row>
    <row r="12">
      <c r="A12" s="2" t="s">
        <v>0</v>
      </c>
    </row>
    <row r="13">
      <c r="A13" s="2" t="s">
        <v>1</v>
      </c>
    </row>
    <row r="14">
      <c r="B14" s="2"/>
    </row>
    <row r="15">
      <c r="B15" s="2"/>
    </row>
    <row r="16">
      <c r="A16" s="3"/>
      <c r="B16" s="1" t="s">
        <v>2</v>
      </c>
      <c r="C16" s="1" t="s">
        <v>3</v>
      </c>
      <c r="D16" s="1" t="s">
        <v>4</v>
      </c>
      <c r="E16" s="1" t="s">
        <v>5</v>
      </c>
    </row>
    <row r="17">
      <c r="A17" s="1" t="s">
        <v>6</v>
      </c>
      <c r="B17" s="3"/>
      <c r="C17" s="3"/>
      <c r="D17" s="3"/>
      <c r="E17" s="3"/>
    </row>
    <row r="18">
      <c r="A18" s="1" t="s">
        <v>7</v>
      </c>
      <c r="B18" s="3"/>
      <c r="C18" s="3"/>
      <c r="D18" s="3"/>
      <c r="E18" s="3"/>
    </row>
    <row r="21">
      <c r="A21" s="1" t="s">
        <v>8</v>
      </c>
    </row>
    <row r="22">
      <c r="A22" s="2" t="s">
        <v>0</v>
      </c>
    </row>
    <row r="23">
      <c r="A23" s="2" t="s">
        <v>1</v>
      </c>
    </row>
    <row r="24">
      <c r="B24" s="2"/>
    </row>
    <row r="25">
      <c r="B25" s="2"/>
    </row>
    <row r="26">
      <c r="A26" s="3"/>
      <c r="B26" s="1" t="s">
        <v>2</v>
      </c>
      <c r="C26" s="1" t="s">
        <v>3</v>
      </c>
      <c r="D26" s="1" t="s">
        <v>4</v>
      </c>
      <c r="E26" s="1" t="s">
        <v>5</v>
      </c>
    </row>
    <row r="27">
      <c r="A27" s="1" t="s">
        <v>6</v>
      </c>
      <c r="B27" s="3"/>
      <c r="C27" s="3"/>
      <c r="D27" s="3"/>
      <c r="E27" s="3"/>
    </row>
    <row r="28">
      <c r="A28" s="1" t="s">
        <v>7</v>
      </c>
      <c r="B28" s="3"/>
      <c r="C28" s="3"/>
      <c r="D28" s="3"/>
      <c r="E28" s="3"/>
    </row>
    <row r="31">
      <c r="A31" s="1" t="s">
        <v>8</v>
      </c>
    </row>
    <row r="32">
      <c r="A32" s="2" t="s">
        <v>0</v>
      </c>
    </row>
    <row r="33">
      <c r="A33" s="2" t="s">
        <v>1</v>
      </c>
    </row>
    <row r="34">
      <c r="B34" s="2"/>
    </row>
    <row r="35">
      <c r="B35" s="2"/>
    </row>
    <row r="36">
      <c r="A36" s="3"/>
      <c r="B36" s="1" t="s">
        <v>2</v>
      </c>
      <c r="C36" s="1" t="s">
        <v>3</v>
      </c>
      <c r="D36" s="1" t="s">
        <v>4</v>
      </c>
      <c r="E36" s="1" t="s">
        <v>5</v>
      </c>
    </row>
    <row r="37">
      <c r="A37" s="1" t="s">
        <v>6</v>
      </c>
      <c r="B37" s="3"/>
      <c r="C37" s="3"/>
      <c r="D37" s="3"/>
      <c r="E37" s="3"/>
    </row>
    <row r="38">
      <c r="A38" s="1" t="s">
        <v>7</v>
      </c>
      <c r="B38" s="3"/>
      <c r="C38" s="3"/>
      <c r="D38" s="3"/>
      <c r="E38" s="3"/>
    </row>
    <row r="41">
      <c r="A41" s="4"/>
    </row>
    <row r="46">
      <c r="A46" s="5"/>
      <c r="B46" s="4"/>
      <c r="C46" s="4"/>
      <c r="D46" s="4"/>
      <c r="E46" s="4"/>
    </row>
    <row r="47">
      <c r="A47" s="4"/>
      <c r="B47" s="5"/>
      <c r="C47" s="5"/>
      <c r="D47" s="5"/>
      <c r="E47" s="5"/>
    </row>
    <row r="48">
      <c r="A48" s="4"/>
      <c r="B48" s="5"/>
      <c r="C48" s="5"/>
      <c r="D48" s="5"/>
      <c r="E48" s="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13.25"/>
    <col customWidth="1" min="3" max="3" width="9.13"/>
    <col customWidth="1" min="4" max="5" width="7.75"/>
    <col customWidth="1" min="6" max="6" width="8.0"/>
    <col customWidth="1" min="7" max="7" width="9.13"/>
    <col customWidth="1" min="8" max="8" width="10.75"/>
    <col customWidth="1" min="9" max="11" width="9.13"/>
    <col customWidth="1" min="12" max="12" width="16.88"/>
    <col customWidth="1" min="13" max="13" width="11.38"/>
    <col customWidth="1" min="14" max="14" width="12.13"/>
    <col customWidth="1" min="15" max="35" width="9.13"/>
  </cols>
  <sheetData>
    <row r="1" ht="25.5" customHeight="1">
      <c r="A1" s="6"/>
      <c r="B1" s="6" t="s">
        <v>9</v>
      </c>
      <c r="C1" s="7" t="s">
        <v>10</v>
      </c>
      <c r="D1" s="8" t="s">
        <v>11</v>
      </c>
      <c r="E1" s="9" t="s">
        <v>12</v>
      </c>
      <c r="F1" s="10" t="s">
        <v>13</v>
      </c>
      <c r="G1" s="6" t="s">
        <v>14</v>
      </c>
      <c r="H1" s="11" t="s">
        <v>15</v>
      </c>
      <c r="I1" s="12" t="s">
        <v>16</v>
      </c>
      <c r="J1" s="13" t="s">
        <v>17</v>
      </c>
      <c r="K1" s="14" t="s">
        <v>18</v>
      </c>
      <c r="L1" s="15" t="s">
        <v>19</v>
      </c>
      <c r="M1" s="16" t="s">
        <v>20</v>
      </c>
      <c r="N1" s="6"/>
      <c r="O1" s="17"/>
      <c r="P1" s="18"/>
      <c r="Q1" s="6"/>
      <c r="R1" s="6"/>
      <c r="S1" s="6"/>
      <c r="T1" s="6"/>
      <c r="U1" s="6"/>
      <c r="V1" s="6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>
      <c r="A2" s="20" t="s">
        <v>21</v>
      </c>
      <c r="B2" s="21">
        <v>44928.0</v>
      </c>
      <c r="C2" s="22">
        <v>263279.0</v>
      </c>
      <c r="D2" s="23">
        <v>121170.0</v>
      </c>
      <c r="E2" s="24">
        <f>400+1000+100+240+60+1000</f>
        <v>2800</v>
      </c>
      <c r="F2" s="25">
        <f>500</f>
        <v>500</v>
      </c>
      <c r="G2" s="26">
        <f>15470+36820</f>
        <v>52290</v>
      </c>
      <c r="H2" s="27">
        <v>15790.0</v>
      </c>
      <c r="I2" s="28"/>
      <c r="J2" s="29">
        <v>54440.0</v>
      </c>
      <c r="K2" s="30">
        <v>118169.0</v>
      </c>
      <c r="L2" s="31"/>
      <c r="M2" s="32"/>
      <c r="N2" s="33"/>
      <c r="O2" s="34"/>
      <c r="P2" s="35"/>
      <c r="Q2" s="33"/>
      <c r="R2" s="33"/>
      <c r="S2" s="35"/>
      <c r="T2" s="35"/>
      <c r="U2" s="33"/>
      <c r="V2" s="36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</row>
    <row r="3">
      <c r="A3" s="38" t="s">
        <v>22</v>
      </c>
      <c r="B3" s="21">
        <v>44564.0</v>
      </c>
      <c r="C3" s="22">
        <v>227225.0</v>
      </c>
      <c r="D3" s="23">
        <v>144531.0</v>
      </c>
      <c r="E3" s="24">
        <v>2000.0</v>
      </c>
      <c r="F3" s="25">
        <v>500.0</v>
      </c>
      <c r="G3" s="35">
        <f>21030+29060</f>
        <v>50090</v>
      </c>
      <c r="H3" s="27">
        <v>43890.0</v>
      </c>
      <c r="I3" s="28"/>
      <c r="J3" s="29">
        <v>31870.0</v>
      </c>
      <c r="K3" s="30">
        <v>82594.0</v>
      </c>
      <c r="L3" s="31"/>
      <c r="M3" s="39"/>
      <c r="N3" s="33"/>
      <c r="O3" s="40"/>
      <c r="P3" s="35"/>
      <c r="Q3" s="33"/>
      <c r="R3" s="33"/>
      <c r="S3" s="35"/>
      <c r="T3" s="35"/>
      <c r="U3" s="33"/>
      <c r="V3" s="36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>
      <c r="A4" s="38" t="s">
        <v>23</v>
      </c>
      <c r="B4" s="41">
        <v>44565.0</v>
      </c>
      <c r="C4" s="22">
        <f>244984-37200</f>
        <v>207784</v>
      </c>
      <c r="D4" s="23">
        <v>178130.0</v>
      </c>
      <c r="E4" s="24">
        <v>1300.0</v>
      </c>
      <c r="F4" s="25">
        <v>0.0</v>
      </c>
      <c r="G4" s="35">
        <f>27630+12950</f>
        <v>40580</v>
      </c>
      <c r="H4" s="27">
        <v>31260.0</v>
      </c>
      <c r="I4" s="28"/>
      <c r="J4" s="29">
        <v>56740.0</v>
      </c>
      <c r="K4" s="30">
        <v>68445.0</v>
      </c>
      <c r="L4" s="31"/>
      <c r="M4" s="39"/>
      <c r="N4" s="33"/>
      <c r="O4" s="40"/>
      <c r="P4" s="35"/>
      <c r="Q4" s="33"/>
      <c r="R4" s="33"/>
      <c r="S4" s="35"/>
      <c r="T4" s="35"/>
      <c r="U4" s="33"/>
      <c r="V4" s="36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</row>
    <row r="5">
      <c r="A5" s="38" t="s">
        <v>24</v>
      </c>
      <c r="B5" s="41">
        <v>44566.0</v>
      </c>
      <c r="C5" s="22">
        <v>270227.0</v>
      </c>
      <c r="D5" s="23">
        <v>186310.0</v>
      </c>
      <c r="E5" s="24">
        <f>800+500+1800+520+10</f>
        <v>3630</v>
      </c>
      <c r="F5" s="25"/>
      <c r="G5" s="35">
        <f>23710+32120</f>
        <v>55830</v>
      </c>
      <c r="H5" s="27">
        <v>54670.0</v>
      </c>
      <c r="I5" s="28"/>
      <c r="J5" s="29">
        <v>41070.0</v>
      </c>
      <c r="K5" s="30">
        <v>84107.0</v>
      </c>
      <c r="L5" s="31"/>
      <c r="M5" s="39"/>
      <c r="N5" s="33"/>
      <c r="O5" s="40"/>
      <c r="P5" s="35"/>
      <c r="Q5" s="33"/>
      <c r="R5" s="33"/>
      <c r="S5" s="35"/>
      <c r="T5" s="35"/>
      <c r="U5" s="33"/>
      <c r="V5" s="36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</row>
    <row r="6">
      <c r="A6" s="38" t="s">
        <v>25</v>
      </c>
      <c r="B6" s="41">
        <v>44567.0</v>
      </c>
      <c r="C6" s="22">
        <v>236390.0</v>
      </c>
      <c r="D6" s="23">
        <v>155200.0</v>
      </c>
      <c r="E6" s="24">
        <v>2000.0</v>
      </c>
      <c r="F6" s="25">
        <v>0.0</v>
      </c>
      <c r="G6" s="35">
        <v>41020.0</v>
      </c>
      <c r="H6" s="27">
        <v>61930.0</v>
      </c>
      <c r="I6" s="28"/>
      <c r="J6" s="29">
        <v>52810.0</v>
      </c>
      <c r="K6" s="30">
        <v>78150.0</v>
      </c>
      <c r="L6" s="31"/>
      <c r="M6" s="39"/>
      <c r="N6" s="33"/>
      <c r="O6" s="40"/>
      <c r="P6" s="35"/>
      <c r="Q6" s="33"/>
      <c r="R6" s="33"/>
      <c r="S6" s="35"/>
      <c r="T6" s="35"/>
      <c r="U6" s="33"/>
      <c r="V6" s="36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</row>
    <row r="7">
      <c r="A7" s="38" t="s">
        <v>26</v>
      </c>
      <c r="B7" s="41">
        <v>44568.0</v>
      </c>
      <c r="C7" s="22">
        <v>167077.0</v>
      </c>
      <c r="D7" s="23">
        <v>107710.0</v>
      </c>
      <c r="E7" s="24">
        <f>700+1300+250+420+90</f>
        <v>2760</v>
      </c>
      <c r="F7" s="25">
        <v>2100.0</v>
      </c>
      <c r="G7" s="35">
        <f>41080+4400</f>
        <v>45480</v>
      </c>
      <c r="H7" s="27">
        <v>30680.0</v>
      </c>
      <c r="I7" s="28"/>
      <c r="J7" s="29">
        <v>25650.0</v>
      </c>
      <c r="K7" s="30">
        <v>52837.0</v>
      </c>
      <c r="L7" s="31"/>
      <c r="M7" s="39"/>
      <c r="N7" s="33"/>
      <c r="O7" s="40"/>
      <c r="P7" s="35"/>
      <c r="Q7" s="33"/>
      <c r="R7" s="33"/>
      <c r="S7" s="35"/>
      <c r="T7" s="35"/>
      <c r="U7" s="33"/>
      <c r="V7" s="36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</row>
    <row r="8">
      <c r="A8" s="42" t="s">
        <v>27</v>
      </c>
      <c r="B8" s="43">
        <v>44569.0</v>
      </c>
      <c r="C8" s="44"/>
      <c r="D8" s="45"/>
      <c r="E8" s="44"/>
      <c r="F8" s="44"/>
      <c r="G8" s="44"/>
      <c r="H8" s="44"/>
      <c r="I8" s="28"/>
      <c r="J8" s="44"/>
      <c r="K8" s="44"/>
      <c r="L8" s="46"/>
      <c r="M8" s="46"/>
      <c r="N8" s="46"/>
      <c r="O8" s="47"/>
      <c r="P8" s="44"/>
      <c r="Q8" s="46"/>
      <c r="R8" s="46"/>
      <c r="S8" s="44"/>
      <c r="T8" s="44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</row>
    <row r="9">
      <c r="A9" s="20" t="s">
        <v>21</v>
      </c>
      <c r="B9" s="41">
        <v>44570.0</v>
      </c>
      <c r="C9" s="22">
        <v>214483.0</v>
      </c>
      <c r="D9" s="23">
        <v>129670.0</v>
      </c>
      <c r="E9" s="24">
        <f>700+2800+50+400+20</f>
        <v>3970</v>
      </c>
      <c r="F9" s="25">
        <v>1300.0</v>
      </c>
      <c r="G9" s="26">
        <v>26020.0</v>
      </c>
      <c r="H9" s="27">
        <v>33080.0</v>
      </c>
      <c r="I9" s="28"/>
      <c r="J9" s="29">
        <v>58660.0</v>
      </c>
      <c r="K9" s="30">
        <v>79693.0</v>
      </c>
      <c r="L9" s="31"/>
      <c r="M9" s="32"/>
      <c r="N9" s="33"/>
      <c r="O9" s="40"/>
      <c r="P9" s="35"/>
      <c r="Q9" s="33"/>
      <c r="R9" s="33"/>
      <c r="S9" s="35"/>
      <c r="T9" s="35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</row>
    <row r="10">
      <c r="A10" s="38" t="s">
        <v>22</v>
      </c>
      <c r="B10" s="41">
        <v>44571.0</v>
      </c>
      <c r="C10" s="22">
        <v>219920.0</v>
      </c>
      <c r="D10" s="23">
        <v>129390.0</v>
      </c>
      <c r="E10" s="24">
        <v>3400.0</v>
      </c>
      <c r="F10" s="25">
        <v>700.0</v>
      </c>
      <c r="G10" s="35">
        <v>38220.0</v>
      </c>
      <c r="H10" s="27">
        <v>31490.0</v>
      </c>
      <c r="I10" s="28"/>
      <c r="J10" s="29">
        <v>53830.0</v>
      </c>
      <c r="K10" s="30">
        <v>82530.0</v>
      </c>
      <c r="L10" s="31"/>
      <c r="M10" s="32"/>
      <c r="N10" s="33"/>
      <c r="O10" s="40"/>
      <c r="P10" s="35"/>
      <c r="Q10" s="33"/>
      <c r="R10" s="33"/>
      <c r="S10" s="35"/>
      <c r="T10" s="35"/>
      <c r="U10" s="33"/>
      <c r="V10" s="36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</row>
    <row r="11">
      <c r="A11" s="38" t="s">
        <v>23</v>
      </c>
      <c r="B11" s="41">
        <v>44572.0</v>
      </c>
      <c r="C11" s="22">
        <v>261475.0</v>
      </c>
      <c r="D11" s="23">
        <v>150760.0</v>
      </c>
      <c r="E11" s="24">
        <v>2200.0</v>
      </c>
      <c r="F11" s="25">
        <v>800.0</v>
      </c>
      <c r="G11" s="35">
        <f>26760+19880</f>
        <v>46640</v>
      </c>
      <c r="H11" s="27">
        <v>58060.0</v>
      </c>
      <c r="I11" s="28"/>
      <c r="J11" s="29">
        <v>49770.0</v>
      </c>
      <c r="K11" s="30">
        <v>96685.0</v>
      </c>
      <c r="L11" s="49"/>
      <c r="M11" s="39"/>
      <c r="N11" s="33"/>
      <c r="O11" s="40"/>
      <c r="P11" s="35"/>
      <c r="Q11" s="33"/>
      <c r="R11" s="33"/>
      <c r="S11" s="35"/>
      <c r="T11" s="35"/>
      <c r="U11" s="33"/>
      <c r="V11" s="36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>
      <c r="A12" s="38" t="s">
        <v>24</v>
      </c>
      <c r="B12" s="41">
        <v>44573.0</v>
      </c>
      <c r="C12" s="22">
        <v>261596.0</v>
      </c>
      <c r="D12" s="23">
        <v>165032.0</v>
      </c>
      <c r="E12" s="24">
        <f>500+1900+50+700+60</f>
        <v>3210</v>
      </c>
      <c r="F12" s="25">
        <v>3300.0</v>
      </c>
      <c r="G12" s="35">
        <f>20910+34710</f>
        <v>55620</v>
      </c>
      <c r="H12" s="27">
        <v>48810.0</v>
      </c>
      <c r="I12" s="28"/>
      <c r="J12" s="29">
        <v>57947.0</v>
      </c>
      <c r="K12" s="30">
        <v>74994.0</v>
      </c>
      <c r="L12" s="31"/>
      <c r="M12" s="39"/>
      <c r="N12" s="33"/>
      <c r="O12" s="40"/>
      <c r="P12" s="35"/>
      <c r="Q12" s="33"/>
      <c r="R12" s="33"/>
      <c r="S12" s="35"/>
      <c r="T12" s="35"/>
      <c r="U12" s="33"/>
      <c r="V12" s="36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</row>
    <row r="13">
      <c r="A13" s="38" t="s">
        <v>25</v>
      </c>
      <c r="B13" s="41">
        <v>44574.0</v>
      </c>
      <c r="C13" s="22">
        <v>206419.0</v>
      </c>
      <c r="D13" s="23">
        <v>105590.0</v>
      </c>
      <c r="E13" s="24">
        <v>3400.0</v>
      </c>
      <c r="F13" s="25">
        <v>300.0</v>
      </c>
      <c r="G13" s="35">
        <f>27320+2720</f>
        <v>30040</v>
      </c>
      <c r="H13" s="27">
        <v>29660.0</v>
      </c>
      <c r="I13" s="28"/>
      <c r="J13" s="29">
        <v>31650.0</v>
      </c>
      <c r="K13" s="30">
        <v>98739.0</v>
      </c>
      <c r="L13" s="31"/>
      <c r="M13" s="39"/>
      <c r="N13" s="33"/>
      <c r="O13" s="40"/>
      <c r="P13" s="35"/>
      <c r="Q13" s="33"/>
      <c r="R13" s="33"/>
      <c r="S13" s="35"/>
      <c r="T13" s="35"/>
      <c r="U13" s="33"/>
      <c r="V13" s="36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>
      <c r="A14" s="38" t="s">
        <v>26</v>
      </c>
      <c r="B14" s="41">
        <v>44575.0</v>
      </c>
      <c r="C14" s="22">
        <v>143786.0</v>
      </c>
      <c r="D14" s="23">
        <v>85342.0</v>
      </c>
      <c r="E14" s="24">
        <v>2700.0</v>
      </c>
      <c r="F14" s="25">
        <v>1700.0</v>
      </c>
      <c r="G14" s="35">
        <f>24410+7860</f>
        <v>32270</v>
      </c>
      <c r="H14" s="27">
        <v>23350.0</v>
      </c>
      <c r="I14" s="28"/>
      <c r="J14" s="29">
        <v>24780.0</v>
      </c>
      <c r="K14" s="30">
        <v>61099.0</v>
      </c>
      <c r="L14" s="31"/>
      <c r="M14" s="39"/>
      <c r="N14" s="33"/>
      <c r="O14" s="40"/>
      <c r="P14" s="35"/>
      <c r="Q14" s="33"/>
      <c r="R14" s="33"/>
      <c r="S14" s="35"/>
      <c r="T14" s="35"/>
      <c r="U14" s="33"/>
      <c r="V14" s="36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</row>
    <row r="15">
      <c r="A15" s="50" t="s">
        <v>27</v>
      </c>
      <c r="B15" s="51">
        <v>44576.0</v>
      </c>
      <c r="C15" s="45"/>
      <c r="D15" s="45"/>
      <c r="E15" s="45"/>
      <c r="F15" s="45"/>
      <c r="G15" s="45"/>
      <c r="H15" s="44"/>
      <c r="I15" s="28"/>
      <c r="J15" s="45"/>
      <c r="K15" s="45"/>
      <c r="L15" s="48"/>
      <c r="M15" s="48"/>
      <c r="N15" s="48"/>
      <c r="O15" s="52"/>
      <c r="P15" s="45"/>
      <c r="Q15" s="48"/>
      <c r="R15" s="48"/>
      <c r="S15" s="45"/>
      <c r="T15" s="45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</row>
    <row r="16">
      <c r="A16" s="53" t="s">
        <v>21</v>
      </c>
      <c r="B16" s="41">
        <v>44577.0</v>
      </c>
      <c r="C16" s="22">
        <v>193994.0</v>
      </c>
      <c r="D16" s="23">
        <v>129790.0</v>
      </c>
      <c r="E16" s="24">
        <f>230+50+1200+1000+800</f>
        <v>3280</v>
      </c>
      <c r="F16" s="25">
        <f>1700</f>
        <v>1700</v>
      </c>
      <c r="G16" s="26">
        <f>39420+6180</f>
        <v>45600</v>
      </c>
      <c r="H16" s="27">
        <v>39300.0</v>
      </c>
      <c r="I16" s="28"/>
      <c r="J16" s="29">
        <v>27290.0</v>
      </c>
      <c r="K16" s="30">
        <v>69804.0</v>
      </c>
      <c r="L16" s="31"/>
      <c r="M16" s="39"/>
      <c r="N16" s="33"/>
      <c r="O16" s="40"/>
      <c r="P16" s="35"/>
      <c r="Q16" s="33"/>
      <c r="R16" s="33"/>
      <c r="S16" s="35"/>
      <c r="T16" s="35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</row>
    <row r="17">
      <c r="A17" s="54" t="s">
        <v>22</v>
      </c>
      <c r="B17" s="41">
        <v>44578.0</v>
      </c>
      <c r="C17" s="22">
        <v>222688.0</v>
      </c>
      <c r="D17" s="23">
        <v>144939.0</v>
      </c>
      <c r="E17" s="24">
        <v>530.0</v>
      </c>
      <c r="F17" s="25">
        <v>800.0</v>
      </c>
      <c r="G17" s="35">
        <f>35530+5010</f>
        <v>40540</v>
      </c>
      <c r="H17" s="27">
        <v>44200.0</v>
      </c>
      <c r="I17" s="28"/>
      <c r="J17" s="29">
        <f>50380+650</f>
        <v>51030</v>
      </c>
      <c r="K17" s="30">
        <v>81049.0</v>
      </c>
      <c r="L17" s="31"/>
      <c r="M17" s="39"/>
      <c r="N17" s="33"/>
      <c r="O17" s="40"/>
      <c r="P17" s="35"/>
      <c r="Q17" s="33"/>
      <c r="R17" s="33"/>
      <c r="S17" s="35"/>
      <c r="T17" s="35"/>
      <c r="U17" s="33"/>
      <c r="V17" s="36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</row>
    <row r="18">
      <c r="A18" s="54" t="s">
        <v>23</v>
      </c>
      <c r="B18" s="41">
        <v>44579.0</v>
      </c>
      <c r="C18" s="22">
        <v>200453.0</v>
      </c>
      <c r="D18" s="23">
        <f>116128+2900</f>
        <v>119028</v>
      </c>
      <c r="E18" s="24">
        <v>3000.0</v>
      </c>
      <c r="F18" s="25">
        <v>0.0</v>
      </c>
      <c r="G18" s="35">
        <f>1450+52010</f>
        <v>53460</v>
      </c>
      <c r="H18" s="27">
        <v>23440.0</v>
      </c>
      <c r="I18" s="28"/>
      <c r="J18" s="22">
        <v>34340.0</v>
      </c>
      <c r="K18" s="30">
        <v>74975.0</v>
      </c>
      <c r="L18" s="31"/>
      <c r="M18" s="39"/>
      <c r="N18" s="33"/>
      <c r="O18" s="40"/>
      <c r="P18" s="35"/>
      <c r="Q18" s="33"/>
      <c r="R18" s="33"/>
      <c r="S18" s="35"/>
      <c r="T18" s="35"/>
      <c r="U18" s="33"/>
      <c r="V18" s="36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</row>
    <row r="19">
      <c r="A19" s="54" t="s">
        <v>24</v>
      </c>
      <c r="B19" s="41">
        <v>44580.0</v>
      </c>
      <c r="C19" s="22">
        <v>265491.0</v>
      </c>
      <c r="D19" s="23">
        <v>199980.0</v>
      </c>
      <c r="E19" s="24">
        <v>2400.0</v>
      </c>
      <c r="F19" s="25">
        <v>1000.0</v>
      </c>
      <c r="G19" s="35">
        <v>72530.0</v>
      </c>
      <c r="H19" s="27">
        <v>68240.0</v>
      </c>
      <c r="I19" s="28"/>
      <c r="J19" s="29">
        <v>54090.0</v>
      </c>
      <c r="K19" s="30">
        <v>63291.0</v>
      </c>
      <c r="L19" s="31"/>
      <c r="M19" s="39"/>
      <c r="N19" s="33"/>
      <c r="O19" s="40"/>
      <c r="P19" s="35"/>
      <c r="Q19" s="33"/>
      <c r="R19" s="33"/>
      <c r="S19" s="35"/>
      <c r="T19" s="35"/>
      <c r="U19" s="33"/>
      <c r="V19" s="36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>
      <c r="A20" s="54" t="s">
        <v>25</v>
      </c>
      <c r="B20" s="41">
        <v>44581.0</v>
      </c>
      <c r="C20" s="22">
        <v>194050.0</v>
      </c>
      <c r="D20" s="23">
        <v>114480.0</v>
      </c>
      <c r="E20" s="24">
        <v>2400.0</v>
      </c>
      <c r="F20" s="25">
        <v>1000.0</v>
      </c>
      <c r="G20" s="35">
        <f>34590+5800</f>
        <v>40390</v>
      </c>
      <c r="H20" s="27">
        <v>41390.0</v>
      </c>
      <c r="I20" s="28"/>
      <c r="J20" s="29">
        <v>36070.0</v>
      </c>
      <c r="K20" s="30">
        <v>69930.0</v>
      </c>
      <c r="L20" s="31"/>
      <c r="M20" s="39"/>
      <c r="N20" s="33"/>
      <c r="O20" s="40"/>
      <c r="P20" s="35"/>
      <c r="Q20" s="33"/>
      <c r="R20" s="33"/>
      <c r="S20" s="35"/>
      <c r="T20" s="35"/>
      <c r="U20" s="33"/>
      <c r="V20" s="36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</row>
    <row r="21">
      <c r="A21" s="54" t="s">
        <v>26</v>
      </c>
      <c r="B21" s="41">
        <v>44582.0</v>
      </c>
      <c r="C21" s="22">
        <f>226474-39600</f>
        <v>186874</v>
      </c>
      <c r="D21" s="23">
        <v>158547.0</v>
      </c>
      <c r="E21" s="24">
        <f>1900+1000+250+500+210</f>
        <v>3860</v>
      </c>
      <c r="F21" s="25">
        <v>2100.0</v>
      </c>
      <c r="G21" s="35">
        <f>25370+8330</f>
        <v>33700</v>
      </c>
      <c r="H21" s="27">
        <v>24477.0</v>
      </c>
      <c r="I21" s="28"/>
      <c r="J21" s="29">
        <v>36590.0</v>
      </c>
      <c r="K21" s="30">
        <v>65727.0</v>
      </c>
      <c r="L21" s="31"/>
      <c r="M21" s="39"/>
      <c r="N21" s="33"/>
      <c r="O21" s="40"/>
      <c r="P21" s="35"/>
      <c r="Q21" s="33"/>
      <c r="R21" s="33"/>
      <c r="S21" s="35"/>
      <c r="T21" s="35"/>
      <c r="U21" s="33"/>
      <c r="V21" s="36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</row>
    <row r="22">
      <c r="A22" s="55" t="s">
        <v>27</v>
      </c>
      <c r="B22" s="51">
        <v>44583.0</v>
      </c>
      <c r="C22" s="45"/>
      <c r="D22" s="45"/>
      <c r="E22" s="45"/>
      <c r="F22" s="45"/>
      <c r="G22" s="45"/>
      <c r="H22" s="44"/>
      <c r="I22" s="28"/>
      <c r="J22" s="45"/>
      <c r="K22" s="45"/>
      <c r="L22" s="48"/>
      <c r="M22" s="48"/>
      <c r="N22" s="48"/>
      <c r="O22" s="52"/>
      <c r="P22" s="45"/>
      <c r="Q22" s="48"/>
      <c r="R22" s="48"/>
      <c r="S22" s="45"/>
      <c r="T22" s="45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</row>
    <row r="23">
      <c r="A23" s="53" t="s">
        <v>21</v>
      </c>
      <c r="B23" s="41">
        <v>44584.0</v>
      </c>
      <c r="C23" s="22">
        <v>205787.0</v>
      </c>
      <c r="D23" s="23">
        <v>13220.0</v>
      </c>
      <c r="E23" s="24">
        <v>2500.0</v>
      </c>
      <c r="F23" s="25">
        <v>2100.0</v>
      </c>
      <c r="G23" s="26">
        <f>750+7450+28410</f>
        <v>36610</v>
      </c>
      <c r="H23" s="27">
        <v>35050.0</v>
      </c>
      <c r="I23" s="28"/>
      <c r="J23" s="29">
        <v>47470.0</v>
      </c>
      <c r="K23" s="30">
        <v>71437.0</v>
      </c>
      <c r="L23" s="31"/>
      <c r="M23" s="32"/>
      <c r="N23" s="33"/>
      <c r="O23" s="40"/>
      <c r="P23" s="35"/>
      <c r="Q23" s="33"/>
      <c r="R23" s="33"/>
      <c r="S23" s="35"/>
      <c r="T23" s="35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</row>
    <row r="24">
      <c r="A24" s="54" t="s">
        <v>22</v>
      </c>
      <c r="B24" s="41">
        <v>44585.0</v>
      </c>
      <c r="C24" s="22">
        <f>175685+101448</f>
        <v>277133</v>
      </c>
      <c r="D24" s="23">
        <v>164542.0</v>
      </c>
      <c r="E24" s="24">
        <f>400+2100+100+80+50</f>
        <v>2730</v>
      </c>
      <c r="F24" s="25">
        <f>1000+800</f>
        <v>1800</v>
      </c>
      <c r="G24" s="35">
        <f>4400+63590</f>
        <v>67990</v>
      </c>
      <c r="H24" s="27">
        <v>30830.0</v>
      </c>
      <c r="I24" s="28"/>
      <c r="J24" s="29">
        <v>56720.0</v>
      </c>
      <c r="K24" s="30">
        <f>43450+45018</f>
        <v>88468</v>
      </c>
      <c r="L24" s="31"/>
      <c r="M24" s="39"/>
      <c r="N24" s="33"/>
      <c r="O24" s="40"/>
      <c r="P24" s="35"/>
      <c r="Q24" s="33"/>
      <c r="R24" s="33"/>
      <c r="S24" s="35"/>
      <c r="T24" s="35"/>
      <c r="U24" s="33"/>
      <c r="V24" s="36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</row>
    <row r="25">
      <c r="A25" s="54" t="s">
        <v>23</v>
      </c>
      <c r="B25" s="41">
        <v>44586.0</v>
      </c>
      <c r="C25" s="22">
        <v>288807.0</v>
      </c>
      <c r="D25" s="23">
        <v>219649.0</v>
      </c>
      <c r="E25" s="24">
        <f>500+1400+2000+100+320+140</f>
        <v>4460</v>
      </c>
      <c r="F25" s="25">
        <v>200.0</v>
      </c>
      <c r="G25" s="35">
        <f>9400+10350+29000+26000</f>
        <v>74750</v>
      </c>
      <c r="H25" s="27">
        <v>41727.0</v>
      </c>
      <c r="I25" s="28"/>
      <c r="J25" s="29">
        <v>67950.0</v>
      </c>
      <c r="K25" s="30">
        <v>57518.0</v>
      </c>
      <c r="L25" s="31"/>
      <c r="M25" s="39"/>
      <c r="N25" s="33"/>
      <c r="O25" s="40"/>
      <c r="P25" s="35"/>
      <c r="Q25" s="33"/>
      <c r="R25" s="33"/>
      <c r="S25" s="35"/>
      <c r="T25" s="35"/>
      <c r="U25" s="33"/>
      <c r="V25" s="36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>
      <c r="A26" s="54" t="s">
        <v>24</v>
      </c>
      <c r="B26" s="41">
        <v>44587.0</v>
      </c>
      <c r="C26" s="22">
        <v>273674.0</v>
      </c>
      <c r="D26" s="23">
        <v>185370.0</v>
      </c>
      <c r="E26" s="24">
        <f>1100+2400+50+240+120</f>
        <v>3910</v>
      </c>
      <c r="F26" s="25">
        <v>1000.0</v>
      </c>
      <c r="G26" s="35">
        <f>32600+9250</f>
        <v>41850</v>
      </c>
      <c r="H26" s="27">
        <v>32550.0</v>
      </c>
      <c r="I26" s="28"/>
      <c r="J26" s="29">
        <v>52740.0</v>
      </c>
      <c r="K26" s="30">
        <v>84374.0</v>
      </c>
      <c r="L26" s="31"/>
      <c r="M26" s="32"/>
      <c r="N26" s="33"/>
      <c r="O26" s="40"/>
      <c r="P26" s="35"/>
      <c r="Q26" s="33"/>
      <c r="R26" s="33"/>
      <c r="S26" s="35"/>
      <c r="T26" s="35"/>
      <c r="U26" s="33"/>
      <c r="V26" s="36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</row>
    <row r="27">
      <c r="A27" s="54" t="s">
        <v>25</v>
      </c>
      <c r="B27" s="41">
        <v>44588.0</v>
      </c>
      <c r="C27" s="22">
        <v>296465.0</v>
      </c>
      <c r="D27" s="23">
        <v>182327.0</v>
      </c>
      <c r="E27" s="24">
        <f>2800+160+170</f>
        <v>3130</v>
      </c>
      <c r="F27" s="25">
        <v>500.0</v>
      </c>
      <c r="G27" s="35">
        <f>46970+11230</f>
        <v>58200</v>
      </c>
      <c r="H27" s="27">
        <v>38757.0</v>
      </c>
      <c r="I27" s="28"/>
      <c r="J27" s="29">
        <v>45780.0</v>
      </c>
      <c r="K27" s="30">
        <v>103358.0</v>
      </c>
      <c r="L27" s="31"/>
      <c r="M27" s="32"/>
      <c r="N27" s="33"/>
      <c r="O27" s="40"/>
      <c r="P27" s="35"/>
      <c r="Q27" s="33"/>
      <c r="R27" s="33"/>
      <c r="S27" s="35"/>
      <c r="T27" s="35"/>
      <c r="U27" s="33"/>
      <c r="V27" s="36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</row>
    <row r="28">
      <c r="A28" s="54" t="s">
        <v>26</v>
      </c>
      <c r="B28" s="41">
        <v>44589.0</v>
      </c>
      <c r="C28" s="22">
        <v>154742.0</v>
      </c>
      <c r="D28" s="23">
        <v>105487.0</v>
      </c>
      <c r="E28" s="24">
        <v>3600.0</v>
      </c>
      <c r="F28" s="25">
        <v>1900.0</v>
      </c>
      <c r="G28" s="35">
        <f>34910+3500</f>
        <v>38410</v>
      </c>
      <c r="H28" s="27">
        <v>27607.0</v>
      </c>
      <c r="I28" s="28"/>
      <c r="J28" s="29">
        <v>28450.0</v>
      </c>
      <c r="K28" s="30">
        <v>46705.0</v>
      </c>
      <c r="L28" s="31"/>
      <c r="M28" s="32"/>
      <c r="N28" s="33"/>
      <c r="O28" s="40"/>
      <c r="P28" s="35"/>
      <c r="Q28" s="33"/>
      <c r="R28" s="33"/>
      <c r="S28" s="35"/>
      <c r="T28" s="35"/>
      <c r="U28" s="33"/>
      <c r="V28" s="36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>
      <c r="A29" s="55" t="s">
        <v>27</v>
      </c>
      <c r="B29" s="51">
        <v>44590.0</v>
      </c>
      <c r="C29" s="45"/>
      <c r="D29" s="45"/>
      <c r="E29" s="45"/>
      <c r="F29" s="45"/>
      <c r="G29" s="45"/>
      <c r="H29" s="44"/>
      <c r="I29" s="28"/>
      <c r="J29" s="45"/>
      <c r="K29" s="45"/>
      <c r="L29" s="48"/>
      <c r="M29" s="48"/>
      <c r="N29" s="48"/>
      <c r="O29" s="52"/>
      <c r="P29" s="45"/>
      <c r="Q29" s="48"/>
      <c r="R29" s="48"/>
      <c r="S29" s="45"/>
      <c r="T29" s="45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</row>
    <row r="30">
      <c r="A30" s="20" t="s">
        <v>21</v>
      </c>
      <c r="B30" s="41">
        <v>44591.0</v>
      </c>
      <c r="C30" s="22">
        <v>235399.0</v>
      </c>
      <c r="D30" s="23">
        <v>152439.0</v>
      </c>
      <c r="E30" s="24">
        <f>2000+3300+250+720+110-900</f>
        <v>5480</v>
      </c>
      <c r="F30" s="25">
        <f>1900</f>
        <v>1900</v>
      </c>
      <c r="G30" s="26">
        <f>3100+39880</f>
        <v>42980</v>
      </c>
      <c r="H30" s="27">
        <v>44020.0</v>
      </c>
      <c r="I30" s="28"/>
      <c r="J30" s="29">
        <v>61260.0</v>
      </c>
      <c r="K30" s="30">
        <v>78580.0</v>
      </c>
      <c r="L30" s="31"/>
      <c r="M30" s="39"/>
      <c r="N30" s="33"/>
      <c r="O30" s="40"/>
      <c r="P30" s="35"/>
      <c r="Q30" s="33"/>
      <c r="R30" s="33"/>
      <c r="S30" s="35"/>
      <c r="T30" s="35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</row>
    <row r="31">
      <c r="A31" s="56" t="s">
        <v>22</v>
      </c>
      <c r="B31" s="41">
        <v>44592.0</v>
      </c>
      <c r="C31" s="57">
        <v>330134.0</v>
      </c>
      <c r="D31" s="58">
        <v>243732.0</v>
      </c>
      <c r="E31" s="59">
        <v>4100.0</v>
      </c>
      <c r="F31" s="60">
        <v>2100.0</v>
      </c>
      <c r="G31" s="61">
        <f>54780+10850</f>
        <v>65630</v>
      </c>
      <c r="H31" s="62">
        <v>69910.0</v>
      </c>
      <c r="I31" s="63"/>
      <c r="J31" s="64">
        <v>78510.0</v>
      </c>
      <c r="K31" s="30">
        <v>83726.0</v>
      </c>
      <c r="L31" s="65"/>
      <c r="M31" s="66"/>
      <c r="N31" s="61"/>
      <c r="O31" s="67"/>
      <c r="P31" s="67"/>
      <c r="Q31" s="67"/>
      <c r="R31" s="67"/>
      <c r="S31" s="61"/>
      <c r="T31" s="61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</row>
    <row r="32">
      <c r="A32" s="68" t="s">
        <v>28</v>
      </c>
      <c r="B32" s="69" t="s">
        <v>29</v>
      </c>
      <c r="C32" s="70">
        <f t="shared" ref="C32:D32" si="1">SUM(C2:C31)</f>
        <v>6005352</v>
      </c>
      <c r="D32" s="71">
        <f t="shared" si="1"/>
        <v>3792365</v>
      </c>
      <c r="E32" s="71"/>
      <c r="F32" s="71"/>
      <c r="G32" s="70">
        <f t="shared" ref="G32:H32" si="2">SUM(G2:G31)</f>
        <v>1226740</v>
      </c>
      <c r="H32" s="70">
        <f t="shared" si="2"/>
        <v>1024168</v>
      </c>
      <c r="I32" s="72"/>
      <c r="J32" s="70">
        <f t="shared" ref="J32:K32" si="3">SUM(J2:J31)</f>
        <v>1217507</v>
      </c>
      <c r="K32" s="73">
        <f t="shared" si="3"/>
        <v>2016984</v>
      </c>
      <c r="L32" s="74"/>
      <c r="M32" s="75"/>
      <c r="N32" s="76"/>
      <c r="O32" s="77"/>
      <c r="P32" s="77"/>
      <c r="Q32" s="77"/>
      <c r="R32" s="77"/>
      <c r="S32" s="76"/>
      <c r="T32" s="76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</row>
    <row r="33">
      <c r="A33" s="38"/>
      <c r="B33" s="41"/>
      <c r="I33" s="78"/>
      <c r="L33" s="31"/>
      <c r="M33" s="39"/>
      <c r="N33" s="33"/>
      <c r="O33" s="40"/>
      <c r="P33" s="35"/>
      <c r="Q33" s="33"/>
      <c r="R33" s="33"/>
      <c r="S33" s="35"/>
      <c r="T33" s="35"/>
      <c r="U33" s="33"/>
      <c r="V33" s="36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</row>
    <row r="34">
      <c r="A34" s="20" t="s">
        <v>23</v>
      </c>
      <c r="B34" s="79">
        <v>44593.0</v>
      </c>
      <c r="C34" s="22">
        <v>335969.0</v>
      </c>
      <c r="D34" s="23">
        <v>246292.0</v>
      </c>
      <c r="E34" s="24">
        <v>2700.0</v>
      </c>
      <c r="F34" s="25">
        <v>1500.0</v>
      </c>
      <c r="G34" s="35">
        <f>56820+23100</f>
        <v>79920</v>
      </c>
      <c r="H34" s="27">
        <v>64817.0</v>
      </c>
      <c r="I34" s="28"/>
      <c r="J34" s="29">
        <v>89050.0</v>
      </c>
      <c r="K34" s="30">
        <v>87609.0</v>
      </c>
      <c r="L34" s="31"/>
      <c r="M34" s="39"/>
      <c r="N34" s="33"/>
      <c r="O34" s="40"/>
      <c r="P34" s="35"/>
      <c r="Q34" s="33"/>
      <c r="R34" s="33"/>
      <c r="S34" s="35"/>
      <c r="T34" s="35"/>
      <c r="U34" s="33"/>
      <c r="V34" s="36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</row>
    <row r="35">
      <c r="A35" s="38" t="s">
        <v>24</v>
      </c>
      <c r="B35" s="21">
        <v>44594.0</v>
      </c>
      <c r="C35" s="22">
        <v>301366.0</v>
      </c>
      <c r="D35" s="23">
        <v>182630.0</v>
      </c>
      <c r="E35" s="24">
        <f>1200+2900+250+300+130</f>
        <v>4780</v>
      </c>
      <c r="F35" s="25">
        <v>2000.0</v>
      </c>
      <c r="G35" s="35">
        <f>5700+57100</f>
        <v>62800</v>
      </c>
      <c r="H35" s="27">
        <v>49870.0</v>
      </c>
      <c r="I35" s="28"/>
      <c r="J35" s="29">
        <v>49760.0</v>
      </c>
      <c r="K35" s="30">
        <v>94376.0</v>
      </c>
      <c r="L35" s="31"/>
      <c r="M35" s="32"/>
      <c r="N35" s="33"/>
      <c r="O35" s="40"/>
      <c r="P35" s="35"/>
      <c r="Q35" s="33"/>
      <c r="R35" s="33"/>
      <c r="S35" s="35"/>
      <c r="T35" s="35"/>
      <c r="U35" s="33"/>
      <c r="V35" s="36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</row>
    <row r="36">
      <c r="A36" s="38" t="s">
        <v>25</v>
      </c>
      <c r="B36" s="41">
        <v>44595.0</v>
      </c>
      <c r="C36" s="22">
        <v>235122.0</v>
      </c>
      <c r="D36" s="23">
        <v>157367.0</v>
      </c>
      <c r="E36" s="24">
        <f>3500+500+100+200+50</f>
        <v>4350</v>
      </c>
      <c r="F36" s="25">
        <f>700+200+1000</f>
        <v>1900</v>
      </c>
      <c r="G36" s="35">
        <f>42500+20480</f>
        <v>62980</v>
      </c>
      <c r="H36" s="27">
        <v>27237.0</v>
      </c>
      <c r="I36" s="28"/>
      <c r="J36" s="29">
        <v>40730.0</v>
      </c>
      <c r="K36" s="30">
        <v>75525.0</v>
      </c>
      <c r="L36" s="31"/>
      <c r="M36" s="39"/>
      <c r="N36" s="33"/>
      <c r="O36" s="40"/>
      <c r="P36" s="35"/>
      <c r="Q36" s="33"/>
      <c r="R36" s="33"/>
      <c r="S36" s="35"/>
      <c r="T36" s="35"/>
      <c r="U36" s="33"/>
      <c r="V36" s="36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</row>
    <row r="37">
      <c r="A37" s="38" t="s">
        <v>26</v>
      </c>
      <c r="B37" s="41">
        <v>44596.0</v>
      </c>
      <c r="C37" s="22">
        <v>194718.0</v>
      </c>
      <c r="D37" s="23">
        <v>105130.0</v>
      </c>
      <c r="E37" s="24">
        <f>4580-1700</f>
        <v>2880</v>
      </c>
      <c r="F37" s="25">
        <f>2200+1000+1000+500</f>
        <v>4700</v>
      </c>
      <c r="G37" s="35">
        <f>30640+8640</f>
        <v>39280</v>
      </c>
      <c r="H37" s="27">
        <v>20780.0</v>
      </c>
      <c r="I37" s="28"/>
      <c r="J37" s="29">
        <v>50478.0</v>
      </c>
      <c r="K37" s="30">
        <v>84798.0</v>
      </c>
      <c r="L37" s="31"/>
      <c r="M37" s="32"/>
      <c r="N37" s="33"/>
      <c r="O37" s="40"/>
      <c r="P37" s="35"/>
      <c r="Q37" s="33"/>
      <c r="R37" s="33"/>
      <c r="S37" s="35"/>
      <c r="T37" s="35"/>
      <c r="U37" s="33"/>
      <c r="V37" s="36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</row>
    <row r="38">
      <c r="A38" s="38"/>
      <c r="B38" s="41"/>
      <c r="C38" s="22"/>
      <c r="D38" s="23"/>
      <c r="E38" s="24"/>
      <c r="F38" s="25"/>
      <c r="G38" s="35"/>
      <c r="H38" s="27"/>
      <c r="I38" s="28"/>
      <c r="J38" s="29"/>
      <c r="K38" s="30"/>
      <c r="L38" s="31"/>
      <c r="M38" s="32"/>
      <c r="N38" s="33"/>
      <c r="O38" s="40"/>
      <c r="P38" s="35"/>
      <c r="Q38" s="33"/>
      <c r="R38" s="33"/>
      <c r="S38" s="35"/>
      <c r="T38" s="35"/>
      <c r="U38" s="33"/>
      <c r="V38" s="36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</row>
    <row r="39">
      <c r="A39" s="38" t="s">
        <v>21</v>
      </c>
      <c r="B39" s="41">
        <v>44598.0</v>
      </c>
      <c r="C39" s="22">
        <v>192636.0</v>
      </c>
      <c r="D39" s="23">
        <v>113022.0</v>
      </c>
      <c r="E39" s="24">
        <f>1200+1000+800+480+120</f>
        <v>3600</v>
      </c>
      <c r="F39" s="25">
        <v>1800.0</v>
      </c>
      <c r="G39" s="35">
        <f>28890+5470</f>
        <v>34360</v>
      </c>
      <c r="H39" s="27">
        <v>11200.0</v>
      </c>
      <c r="I39" s="28"/>
      <c r="J39" s="29">
        <v>49270.0</v>
      </c>
      <c r="K39" s="30">
        <v>60977.0</v>
      </c>
      <c r="L39" s="31"/>
      <c r="M39" s="32"/>
      <c r="N39" s="33"/>
      <c r="O39" s="40"/>
      <c r="P39" s="35"/>
      <c r="Q39" s="33"/>
      <c r="R39" s="33"/>
      <c r="S39" s="35"/>
      <c r="T39" s="35"/>
      <c r="U39" s="33"/>
      <c r="V39" s="36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>
      <c r="A40" s="38" t="s">
        <v>22</v>
      </c>
      <c r="B40" s="41">
        <v>44599.0</v>
      </c>
      <c r="C40" s="22">
        <v>260187.0</v>
      </c>
      <c r="D40" s="23">
        <v>160600.0</v>
      </c>
      <c r="E40" s="24">
        <v>3760.0</v>
      </c>
      <c r="F40" s="25">
        <v>1500.0</v>
      </c>
      <c r="G40" s="35">
        <v>42120.0</v>
      </c>
      <c r="H40" s="27">
        <v>44470.0</v>
      </c>
      <c r="I40" s="28"/>
      <c r="J40" s="29">
        <v>49410.0</v>
      </c>
      <c r="K40" s="30">
        <v>86318.0</v>
      </c>
      <c r="L40" s="31"/>
      <c r="M40" s="39"/>
      <c r="N40" s="33"/>
      <c r="O40" s="40"/>
      <c r="P40" s="35"/>
      <c r="Q40" s="33"/>
      <c r="R40" s="33"/>
      <c r="S40" s="35"/>
      <c r="T40" s="35"/>
      <c r="U40" s="33"/>
      <c r="V40" s="36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>
      <c r="A41" s="20" t="s">
        <v>23</v>
      </c>
      <c r="B41" s="41">
        <v>44600.0</v>
      </c>
      <c r="C41" s="80">
        <v>302785.0</v>
      </c>
      <c r="D41" s="81">
        <v>210680.0</v>
      </c>
      <c r="E41" s="82">
        <v>1350.0</v>
      </c>
      <c r="F41" s="83">
        <v>1500.0</v>
      </c>
      <c r="G41" s="2">
        <v>51110.0</v>
      </c>
      <c r="H41" s="84">
        <v>89527.0</v>
      </c>
      <c r="I41" s="85"/>
      <c r="J41" s="86">
        <v>59710.0</v>
      </c>
      <c r="K41" s="30">
        <v>69105.0</v>
      </c>
      <c r="L41" s="31"/>
      <c r="M41" s="39"/>
      <c r="N41" s="33"/>
      <c r="O41" s="40"/>
      <c r="P41" s="35"/>
      <c r="Q41" s="33"/>
      <c r="R41" s="33"/>
      <c r="S41" s="35"/>
      <c r="T41" s="35"/>
      <c r="U41" s="33"/>
      <c r="V41" s="3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</row>
    <row r="42">
      <c r="A42" s="38" t="s">
        <v>30</v>
      </c>
      <c r="B42" s="21">
        <v>44601.0</v>
      </c>
      <c r="C42" s="22">
        <v>296810.0</v>
      </c>
      <c r="D42" s="23">
        <v>242895.0</v>
      </c>
      <c r="E42" s="24">
        <v>2100.0</v>
      </c>
      <c r="F42" s="25">
        <v>900.0</v>
      </c>
      <c r="G42" s="26">
        <v>68890.0</v>
      </c>
      <c r="H42" s="27">
        <v>65270.0</v>
      </c>
      <c r="I42" s="28"/>
      <c r="J42" s="29">
        <v>89430.0</v>
      </c>
      <c r="K42" s="30">
        <v>61275.0</v>
      </c>
      <c r="L42" s="31"/>
      <c r="M42" s="32"/>
      <c r="N42" s="33"/>
      <c r="O42" s="40"/>
      <c r="P42" s="35"/>
      <c r="Q42" s="33"/>
      <c r="R42" s="33"/>
      <c r="S42" s="35"/>
      <c r="T42" s="35"/>
      <c r="U42" s="33"/>
      <c r="V42" s="36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</row>
    <row r="43">
      <c r="A43" s="38" t="s">
        <v>25</v>
      </c>
      <c r="B43" s="41">
        <v>44602.0</v>
      </c>
      <c r="C43" s="22">
        <v>224635.0</v>
      </c>
      <c r="D43" s="23">
        <v>258190.0</v>
      </c>
      <c r="E43" s="24">
        <v>2020.0</v>
      </c>
      <c r="F43" s="25">
        <v>900.0</v>
      </c>
      <c r="G43" s="35">
        <v>52190.0</v>
      </c>
      <c r="H43" s="27">
        <v>27110.0</v>
      </c>
      <c r="I43" s="28"/>
      <c r="J43" s="29">
        <v>57780.0</v>
      </c>
      <c r="K43" s="30">
        <v>68965.0</v>
      </c>
      <c r="L43" s="31"/>
      <c r="M43" s="39"/>
      <c r="N43" s="33"/>
      <c r="O43" s="40"/>
      <c r="P43" s="35"/>
      <c r="Q43" s="33"/>
      <c r="R43" s="33"/>
      <c r="S43" s="35"/>
      <c r="T43" s="35"/>
      <c r="U43" s="33"/>
      <c r="V43" s="36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</row>
    <row r="44">
      <c r="A44" s="38" t="s">
        <v>26</v>
      </c>
      <c r="B44" s="41">
        <v>44603.0</v>
      </c>
      <c r="C44" s="22">
        <v>152015.0</v>
      </c>
      <c r="D44" s="23">
        <v>95630.0</v>
      </c>
      <c r="E44" s="24">
        <v>1000.0</v>
      </c>
      <c r="F44" s="25">
        <v>3100.0</v>
      </c>
      <c r="G44" s="35">
        <v>30510.0</v>
      </c>
      <c r="H44" s="27">
        <v>26330.0</v>
      </c>
      <c r="I44" s="28"/>
      <c r="J44" s="29">
        <v>46280.0</v>
      </c>
      <c r="K44" s="30">
        <v>46080.0</v>
      </c>
      <c r="L44" s="31"/>
      <c r="M44" s="39"/>
      <c r="N44" s="33"/>
      <c r="O44" s="40"/>
      <c r="P44" s="35"/>
      <c r="Q44" s="33"/>
      <c r="R44" s="33"/>
      <c r="S44" s="35"/>
      <c r="T44" s="35"/>
      <c r="U44" s="33"/>
      <c r="V44" s="36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</row>
    <row r="45">
      <c r="A45" s="38"/>
      <c r="B45" s="41"/>
      <c r="C45" s="22"/>
      <c r="D45" s="23"/>
      <c r="E45" s="24"/>
      <c r="F45" s="25"/>
      <c r="G45" s="35"/>
      <c r="H45" s="27"/>
      <c r="I45" s="28"/>
      <c r="J45" s="29"/>
      <c r="K45" s="30"/>
      <c r="L45" s="31"/>
      <c r="M45" s="39"/>
      <c r="N45" s="33"/>
      <c r="O45" s="40"/>
      <c r="P45" s="35"/>
      <c r="Q45" s="33"/>
      <c r="R45" s="33"/>
      <c r="S45" s="35"/>
      <c r="T45" s="35"/>
      <c r="U45" s="33"/>
      <c r="V45" s="36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>
      <c r="A46" s="38" t="s">
        <v>21</v>
      </c>
      <c r="B46" s="41">
        <v>43874.0</v>
      </c>
      <c r="C46" s="22">
        <v>239929.0</v>
      </c>
      <c r="D46" s="23">
        <v>152013.0</v>
      </c>
      <c r="E46" s="24">
        <v>800.0</v>
      </c>
      <c r="F46" s="25">
        <v>2300.0</v>
      </c>
      <c r="G46" s="35">
        <f>50930+12790</f>
        <v>63720</v>
      </c>
      <c r="H46" s="27">
        <v>26798.0</v>
      </c>
      <c r="I46" s="28"/>
      <c r="J46" s="29">
        <v>46234.0</v>
      </c>
      <c r="K46" s="30">
        <v>73326.0</v>
      </c>
      <c r="L46" s="31"/>
      <c r="M46" s="39"/>
      <c r="N46" s="33"/>
      <c r="O46" s="40"/>
      <c r="P46" s="35"/>
      <c r="Q46" s="33"/>
      <c r="R46" s="33"/>
      <c r="S46" s="35"/>
      <c r="T46" s="35"/>
      <c r="U46" s="33"/>
      <c r="V46" s="36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>
      <c r="A47" s="38" t="s">
        <v>22</v>
      </c>
      <c r="B47" s="41">
        <v>43875.0</v>
      </c>
      <c r="C47" s="22">
        <v>369456.0</v>
      </c>
      <c r="D47" s="23">
        <v>271350.0</v>
      </c>
      <c r="E47" s="24">
        <v>3700.0</v>
      </c>
      <c r="F47" s="25">
        <v>2100.0</v>
      </c>
      <c r="G47" s="35">
        <v>106690.0</v>
      </c>
      <c r="H47" s="27">
        <v>35160.0</v>
      </c>
      <c r="I47" s="28"/>
      <c r="J47" s="29">
        <v>17600.0</v>
      </c>
      <c r="K47" s="30">
        <v>83906.0</v>
      </c>
      <c r="L47" s="31"/>
      <c r="M47" s="32"/>
      <c r="N47" s="33"/>
      <c r="O47" s="40"/>
      <c r="P47" s="35"/>
      <c r="Q47" s="33"/>
      <c r="R47" s="33"/>
      <c r="S47" s="35"/>
      <c r="T47" s="35"/>
      <c r="U47" s="33"/>
      <c r="V47" s="36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</row>
    <row r="48">
      <c r="A48" s="20" t="s">
        <v>23</v>
      </c>
      <c r="B48" s="41">
        <v>43876.0</v>
      </c>
      <c r="C48" s="22">
        <v>247847.0</v>
      </c>
      <c r="D48" s="23">
        <v>192635.0</v>
      </c>
      <c r="E48" s="24">
        <v>3600.0</v>
      </c>
      <c r="F48" s="25">
        <v>1900.0</v>
      </c>
      <c r="G48" s="26">
        <f>38680+28600</f>
        <v>67280</v>
      </c>
      <c r="H48" s="27">
        <v>37230.0</v>
      </c>
      <c r="I48" s="28"/>
      <c r="J48" s="29">
        <v>59495.0</v>
      </c>
      <c r="K48" s="30">
        <v>66852.0</v>
      </c>
      <c r="L48" s="31"/>
      <c r="M48" s="39"/>
      <c r="N48" s="33"/>
      <c r="O48" s="40"/>
      <c r="P48" s="35"/>
      <c r="Q48" s="33"/>
      <c r="R48" s="33"/>
      <c r="S48" s="35"/>
      <c r="T48" s="35"/>
      <c r="U48" s="33"/>
      <c r="V48" s="3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</row>
    <row r="49">
      <c r="A49" s="38" t="s">
        <v>24</v>
      </c>
      <c r="B49" s="21">
        <v>43877.0</v>
      </c>
      <c r="C49" s="22">
        <v>323230.0</v>
      </c>
      <c r="D49" s="23">
        <v>227440.0</v>
      </c>
      <c r="E49" s="24">
        <f>500+1600+200+280+50</f>
        <v>2630</v>
      </c>
      <c r="F49" s="25">
        <f>900+600+500+2000</f>
        <v>4000</v>
      </c>
      <c r="G49" s="35">
        <f>47380+23880</f>
        <v>71260</v>
      </c>
      <c r="H49" s="27">
        <v>67300.0</v>
      </c>
      <c r="I49" s="28"/>
      <c r="J49" s="29">
        <v>62210.0</v>
      </c>
      <c r="K49" s="30">
        <v>99030.0</v>
      </c>
      <c r="L49" s="31"/>
      <c r="M49" s="32"/>
      <c r="N49" s="33"/>
      <c r="O49" s="40"/>
      <c r="P49" s="35"/>
      <c r="Q49" s="33"/>
      <c r="R49" s="33"/>
      <c r="S49" s="35"/>
      <c r="T49" s="35"/>
      <c r="U49" s="33"/>
      <c r="V49" s="36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</row>
    <row r="50">
      <c r="A50" s="38" t="s">
        <v>25</v>
      </c>
      <c r="B50" s="41">
        <v>43878.0</v>
      </c>
      <c r="C50" s="22">
        <v>242040.0</v>
      </c>
      <c r="D50" s="23">
        <v>162880.0</v>
      </c>
      <c r="E50" s="24">
        <v>2600.0</v>
      </c>
      <c r="F50" s="25">
        <v>2700.0</v>
      </c>
      <c r="G50" s="35">
        <v>61480.0</v>
      </c>
      <c r="H50" s="27">
        <v>1350.0</v>
      </c>
      <c r="I50" s="28"/>
      <c r="J50" s="29">
        <v>59220.0</v>
      </c>
      <c r="K50" s="30">
        <v>90290.0</v>
      </c>
      <c r="L50" s="31"/>
      <c r="M50" s="39"/>
      <c r="N50" s="33"/>
      <c r="O50" s="40"/>
      <c r="P50" s="35"/>
      <c r="Q50" s="33"/>
      <c r="R50" s="33"/>
      <c r="S50" s="35"/>
      <c r="T50" s="35"/>
      <c r="U50" s="33"/>
      <c r="V50" s="36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</row>
    <row r="51">
      <c r="A51" s="38" t="s">
        <v>26</v>
      </c>
      <c r="B51" s="41">
        <v>43879.0</v>
      </c>
      <c r="C51" s="22">
        <v>216051.0</v>
      </c>
      <c r="D51" s="23">
        <v>136310.0</v>
      </c>
      <c r="E51" s="24">
        <f>700+1900</f>
        <v>2600</v>
      </c>
      <c r="F51" s="25">
        <f>2000+2000</f>
        <v>4000</v>
      </c>
      <c r="G51" s="35">
        <f>3700+29260</f>
        <v>32960</v>
      </c>
      <c r="H51" s="27">
        <v>19800.0</v>
      </c>
      <c r="I51" s="28"/>
      <c r="J51" s="29">
        <v>78840.0</v>
      </c>
      <c r="K51" s="30">
        <v>74301.0</v>
      </c>
      <c r="L51" s="31"/>
      <c r="M51" s="32"/>
      <c r="N51" s="33"/>
      <c r="O51" s="40"/>
      <c r="P51" s="35"/>
      <c r="Q51" s="33"/>
      <c r="R51" s="33"/>
      <c r="S51" s="35"/>
      <c r="T51" s="35"/>
      <c r="U51" s="33"/>
      <c r="V51" s="36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</row>
    <row r="52">
      <c r="A52" s="38"/>
      <c r="B52" s="41"/>
      <c r="C52" s="22"/>
      <c r="D52" s="23"/>
      <c r="E52" s="24"/>
      <c r="F52" s="25"/>
      <c r="G52" s="35"/>
      <c r="H52" s="27"/>
      <c r="I52" s="28"/>
      <c r="J52" s="29"/>
      <c r="K52" s="30"/>
      <c r="L52" s="31"/>
      <c r="M52" s="39"/>
      <c r="N52" s="33"/>
      <c r="O52" s="40"/>
      <c r="P52" s="35"/>
      <c r="Q52" s="33"/>
      <c r="R52" s="33"/>
      <c r="S52" s="35"/>
      <c r="T52" s="35"/>
      <c r="U52" s="33"/>
      <c r="V52" s="36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</row>
    <row r="53">
      <c r="A53" s="38" t="s">
        <v>21</v>
      </c>
      <c r="B53" s="41">
        <v>43881.0</v>
      </c>
      <c r="C53" s="22"/>
      <c r="D53" s="23"/>
      <c r="E53" s="24"/>
      <c r="F53" s="25"/>
      <c r="G53" s="26"/>
      <c r="H53" s="27"/>
      <c r="I53" s="28"/>
      <c r="J53" s="29"/>
      <c r="K53" s="30"/>
      <c r="L53" s="31"/>
      <c r="M53" s="32"/>
      <c r="N53" s="33"/>
      <c r="O53" s="40"/>
      <c r="P53" s="35"/>
      <c r="Q53" s="33"/>
      <c r="R53" s="33"/>
      <c r="S53" s="35"/>
      <c r="T53" s="35"/>
      <c r="U53" s="33"/>
      <c r="V53" s="36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</row>
    <row r="54">
      <c r="A54" s="20" t="s">
        <v>22</v>
      </c>
      <c r="B54" s="41">
        <v>43882.0</v>
      </c>
      <c r="C54" s="22">
        <v>128365.0</v>
      </c>
      <c r="D54" s="23">
        <v>95780.0</v>
      </c>
      <c r="E54" s="24">
        <f>900+2100+300+420+120</f>
        <v>3840</v>
      </c>
      <c r="F54" s="25">
        <v>2500.0</v>
      </c>
      <c r="G54" s="35">
        <f>700+38950</f>
        <v>39650</v>
      </c>
      <c r="H54" s="27">
        <v>21040.0</v>
      </c>
      <c r="I54" s="28"/>
      <c r="J54" s="29">
        <v>31840.0</v>
      </c>
      <c r="K54" s="30">
        <v>36235.0</v>
      </c>
      <c r="L54" s="31"/>
      <c r="M54" s="39"/>
      <c r="N54" s="33"/>
      <c r="O54" s="40"/>
      <c r="P54" s="35"/>
      <c r="Q54" s="33"/>
      <c r="R54" s="33"/>
      <c r="S54" s="35"/>
      <c r="T54" s="35"/>
      <c r="U54" s="33"/>
      <c r="V54" s="36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</row>
    <row r="55">
      <c r="A55" s="20" t="s">
        <v>23</v>
      </c>
      <c r="B55" s="21">
        <v>44247.0</v>
      </c>
      <c r="C55" s="22">
        <v>229870.0</v>
      </c>
      <c r="D55" s="23">
        <v>117760.0</v>
      </c>
      <c r="E55" s="24">
        <v>2400.0</v>
      </c>
      <c r="F55" s="25">
        <v>1300.0</v>
      </c>
      <c r="G55" s="26">
        <f>27510+11840</f>
        <v>39350</v>
      </c>
      <c r="H55" s="27">
        <v>32927.0</v>
      </c>
      <c r="I55" s="28"/>
      <c r="J55" s="29">
        <v>39670.0</v>
      </c>
      <c r="K55" s="30">
        <v>95160.0</v>
      </c>
      <c r="L55" s="31"/>
      <c r="M55" s="39"/>
      <c r="N55" s="33"/>
      <c r="O55" s="40"/>
      <c r="P55" s="35"/>
      <c r="Q55" s="33"/>
      <c r="R55" s="33"/>
      <c r="S55" s="35"/>
      <c r="T55" s="35"/>
      <c r="U55" s="33"/>
      <c r="V55" s="3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</row>
    <row r="56">
      <c r="A56" s="20" t="s">
        <v>24</v>
      </c>
      <c r="B56" s="21">
        <v>43884.0</v>
      </c>
      <c r="C56" s="22">
        <v>311345.0</v>
      </c>
      <c r="D56" s="23">
        <v>189340.0</v>
      </c>
      <c r="E56" s="24">
        <f>1700+2500+50+200+120</f>
        <v>4570</v>
      </c>
      <c r="F56" s="25">
        <f>1100+1000+1000</f>
        <v>3100</v>
      </c>
      <c r="G56" s="26">
        <f>28690+28640</f>
        <v>57330</v>
      </c>
      <c r="H56" s="87">
        <v>35140.0</v>
      </c>
      <c r="I56" s="88"/>
      <c r="J56" s="89">
        <v>60460.0</v>
      </c>
      <c r="K56" s="30">
        <v>110215.0</v>
      </c>
      <c r="L56" s="31"/>
      <c r="M56" s="32"/>
      <c r="N56" s="33"/>
      <c r="O56" s="40"/>
      <c r="P56" s="35"/>
      <c r="Q56" s="33"/>
      <c r="R56" s="33"/>
      <c r="S56" s="35"/>
      <c r="T56" s="35"/>
      <c r="U56" s="33"/>
      <c r="V56" s="36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</row>
    <row r="57">
      <c r="A57" s="20" t="s">
        <v>25</v>
      </c>
      <c r="B57" s="21">
        <v>44249.0</v>
      </c>
      <c r="C57" s="22">
        <v>291727.0</v>
      </c>
      <c r="D57" s="23">
        <v>173487.0</v>
      </c>
      <c r="E57" s="24">
        <v>2210.0</v>
      </c>
      <c r="F57" s="25">
        <v>10900.0</v>
      </c>
      <c r="G57" s="26">
        <v>49340.0</v>
      </c>
      <c r="H57" s="87">
        <v>45037.0</v>
      </c>
      <c r="I57" s="88"/>
      <c r="J57" s="89">
        <v>60130.0</v>
      </c>
      <c r="K57" s="30">
        <v>120070.0</v>
      </c>
      <c r="L57" s="31"/>
      <c r="M57" s="39"/>
      <c r="N57" s="33"/>
      <c r="O57" s="40"/>
      <c r="P57" s="35"/>
      <c r="Q57" s="33"/>
      <c r="R57" s="33"/>
      <c r="S57" s="35"/>
      <c r="T57" s="35"/>
      <c r="U57" s="33"/>
      <c r="V57" s="36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</row>
    <row r="58">
      <c r="A58" s="38" t="s">
        <v>26</v>
      </c>
      <c r="B58" s="21">
        <v>44250.0</v>
      </c>
      <c r="C58" s="22">
        <v>252553.0</v>
      </c>
      <c r="D58" s="23">
        <v>153048.0</v>
      </c>
      <c r="E58" s="24">
        <f>2000+600+400+90-500</f>
        <v>2590</v>
      </c>
      <c r="F58" s="25">
        <f>3000+900+500+400+500+400</f>
        <v>5700</v>
      </c>
      <c r="G58" s="35">
        <f>46368+11600</f>
        <v>57968</v>
      </c>
      <c r="H58" s="90">
        <v>37630.0</v>
      </c>
      <c r="I58" s="91"/>
      <c r="J58" s="92">
        <v>21570.0</v>
      </c>
      <c r="K58" s="30">
        <v>89945.0</v>
      </c>
      <c r="L58" s="31"/>
      <c r="M58" s="39"/>
      <c r="N58" s="33"/>
      <c r="O58" s="40"/>
      <c r="P58" s="35"/>
      <c r="Q58" s="33"/>
      <c r="R58" s="33"/>
      <c r="S58" s="35"/>
      <c r="T58" s="35"/>
      <c r="U58" s="33"/>
      <c r="V58" s="36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</row>
    <row r="59">
      <c r="A59" s="38"/>
      <c r="B59" s="41"/>
      <c r="C59" s="22"/>
      <c r="D59" s="23"/>
      <c r="E59" s="24"/>
      <c r="F59" s="25"/>
      <c r="G59" s="35"/>
      <c r="H59" s="90"/>
      <c r="I59" s="91"/>
      <c r="J59" s="92"/>
      <c r="K59" s="30"/>
      <c r="L59" s="31"/>
      <c r="M59" s="39"/>
      <c r="N59" s="33"/>
      <c r="O59" s="40"/>
      <c r="P59" s="35"/>
      <c r="Q59" s="33"/>
      <c r="R59" s="33"/>
      <c r="S59" s="35"/>
      <c r="T59" s="35"/>
      <c r="U59" s="33"/>
      <c r="V59" s="36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</row>
    <row r="60">
      <c r="A60" s="38" t="s">
        <v>21</v>
      </c>
      <c r="B60" s="41">
        <v>43888.0</v>
      </c>
      <c r="C60" s="22">
        <v>267352.0</v>
      </c>
      <c r="D60" s="23">
        <v>146317.0</v>
      </c>
      <c r="E60" s="24">
        <v>2370.0</v>
      </c>
      <c r="F60" s="25">
        <v>5500.0</v>
      </c>
      <c r="G60" s="35">
        <v>53580.0</v>
      </c>
      <c r="H60" s="90">
        <v>51990.0</v>
      </c>
      <c r="I60" s="91"/>
      <c r="J60" s="92">
        <v>37610.0</v>
      </c>
      <c r="K60" s="30">
        <v>109615.0</v>
      </c>
      <c r="L60" s="31"/>
      <c r="M60" s="32"/>
      <c r="N60" s="33"/>
      <c r="O60" s="40"/>
      <c r="P60" s="35"/>
      <c r="Q60" s="33"/>
      <c r="R60" s="33"/>
      <c r="S60" s="35"/>
      <c r="T60" s="35"/>
      <c r="U60" s="33"/>
      <c r="V60" s="36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</row>
    <row r="61">
      <c r="A61" s="38" t="s">
        <v>22</v>
      </c>
      <c r="B61" s="41">
        <v>43889.0</v>
      </c>
      <c r="C61" s="22">
        <v>330593.0</v>
      </c>
      <c r="D61" s="23">
        <v>214628.0</v>
      </c>
      <c r="E61" s="24">
        <v>2600.0</v>
      </c>
      <c r="F61" s="25">
        <v>6500.0</v>
      </c>
      <c r="G61" s="35">
        <v>77750.0</v>
      </c>
      <c r="H61" s="90">
        <v>54685.0</v>
      </c>
      <c r="I61" s="91"/>
      <c r="J61" s="92">
        <v>59990.0</v>
      </c>
      <c r="K61" s="30">
        <v>94195.0</v>
      </c>
      <c r="L61" s="31"/>
      <c r="M61" s="39"/>
      <c r="N61" s="33"/>
      <c r="O61" s="40"/>
      <c r="P61" s="35"/>
      <c r="Q61" s="33"/>
      <c r="R61" s="33"/>
      <c r="S61" s="35"/>
      <c r="T61" s="35"/>
      <c r="U61" s="33"/>
      <c r="V61" s="36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</row>
    <row r="62">
      <c r="A62" s="93" t="s">
        <v>28</v>
      </c>
      <c r="B62" s="94" t="s">
        <v>31</v>
      </c>
      <c r="C62" s="95">
        <f>SUM(C34:C61)</f>
        <v>5946601</v>
      </c>
      <c r="D62" s="95"/>
      <c r="E62" s="95"/>
      <c r="F62" s="95"/>
      <c r="G62" s="95">
        <f>SUM(G34:G61)</f>
        <v>1302518</v>
      </c>
      <c r="H62" s="95"/>
      <c r="I62" s="96"/>
      <c r="J62" s="95">
        <f>SUM(J34:J61)</f>
        <v>1216767</v>
      </c>
      <c r="K62" s="73"/>
      <c r="L62" s="97"/>
      <c r="M62" s="39"/>
      <c r="N62" s="97"/>
      <c r="O62" s="98"/>
      <c r="P62" s="73"/>
      <c r="Q62" s="97"/>
      <c r="R62" s="97"/>
      <c r="S62" s="73"/>
      <c r="T62" s="73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</row>
    <row r="63">
      <c r="A63" s="99" t="s">
        <v>32</v>
      </c>
      <c r="B63" s="100">
        <v>44256.0</v>
      </c>
      <c r="C63" s="22">
        <v>315986.0</v>
      </c>
      <c r="D63" s="23">
        <v>241184.0</v>
      </c>
      <c r="E63" s="24">
        <v>1200.0</v>
      </c>
      <c r="F63" s="25">
        <v>5600.0</v>
      </c>
      <c r="G63" s="101">
        <f>51040+25690</f>
        <v>76730</v>
      </c>
      <c r="H63" s="27">
        <v>85131.0</v>
      </c>
      <c r="I63" s="28"/>
      <c r="J63" s="29">
        <v>40650.0</v>
      </c>
      <c r="K63" s="30">
        <v>64752.0</v>
      </c>
      <c r="L63" s="102"/>
      <c r="M63" s="103"/>
      <c r="N63" s="33"/>
      <c r="O63" s="40"/>
      <c r="P63" s="35"/>
      <c r="Q63" s="33"/>
      <c r="R63" s="33"/>
      <c r="S63" s="35"/>
      <c r="T63" s="35"/>
      <c r="U63" s="33"/>
      <c r="V63" s="36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</row>
    <row r="64">
      <c r="A64" s="99" t="s">
        <v>24</v>
      </c>
      <c r="B64" s="100">
        <v>44257.0</v>
      </c>
      <c r="C64" s="22">
        <v>353881.0</v>
      </c>
      <c r="D64" s="101">
        <v>226320.0</v>
      </c>
      <c r="E64" s="24">
        <v>1900.0</v>
      </c>
      <c r="F64" s="25">
        <v>4400.0</v>
      </c>
      <c r="G64" s="103">
        <f>39650+12980</f>
        <v>52630</v>
      </c>
      <c r="H64" s="27">
        <v>103717.0</v>
      </c>
      <c r="I64" s="28"/>
      <c r="J64" s="104">
        <v>62530.0</v>
      </c>
      <c r="K64" s="30">
        <v>91601.0</v>
      </c>
      <c r="L64" s="103"/>
      <c r="M64" s="102"/>
      <c r="N64" s="102">
        <f>(E64+F64+L64)-M64</f>
        <v>6300</v>
      </c>
      <c r="O64" s="40"/>
      <c r="P64" s="35"/>
      <c r="Q64" s="33"/>
      <c r="R64" s="33"/>
      <c r="S64" s="35"/>
      <c r="T64" s="35"/>
      <c r="U64" s="33"/>
      <c r="V64" s="36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</row>
    <row r="65">
      <c r="A65" s="99" t="s">
        <v>25</v>
      </c>
      <c r="B65" s="100">
        <v>44258.0</v>
      </c>
      <c r="C65" s="22">
        <v>389340.0</v>
      </c>
      <c r="D65" s="101">
        <v>300350.0</v>
      </c>
      <c r="E65" s="24">
        <v>2770.0</v>
      </c>
      <c r="F65" s="25">
        <v>5400.0</v>
      </c>
      <c r="G65" s="103">
        <v>83140.0</v>
      </c>
      <c r="H65" s="27">
        <v>64800.0</v>
      </c>
      <c r="I65" s="28"/>
      <c r="J65" s="104">
        <v>60120.0</v>
      </c>
      <c r="K65" s="30">
        <v>70280.0</v>
      </c>
      <c r="L65" s="31"/>
      <c r="M65" s="39"/>
      <c r="N65" s="33"/>
      <c r="O65" s="40"/>
      <c r="P65" s="35"/>
      <c r="Q65" s="33"/>
      <c r="R65" s="33"/>
      <c r="S65" s="35"/>
      <c r="T65" s="35"/>
      <c r="U65" s="33"/>
      <c r="V65" s="36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</row>
    <row r="66">
      <c r="A66" s="99" t="s">
        <v>33</v>
      </c>
      <c r="B66" s="100">
        <v>44259.0</v>
      </c>
      <c r="C66" s="22">
        <v>248482.0</v>
      </c>
      <c r="D66" s="23">
        <v>197215.0</v>
      </c>
      <c r="E66" s="24">
        <f>2200+200+300+440+160</f>
        <v>3300</v>
      </c>
      <c r="F66" s="25">
        <f>5000+2400</f>
        <v>7400</v>
      </c>
      <c r="G66" s="101">
        <f>8290+71500</f>
        <v>79790</v>
      </c>
      <c r="H66" s="27">
        <v>22800.0</v>
      </c>
      <c r="I66" s="28"/>
      <c r="J66" s="29">
        <v>85760.0</v>
      </c>
      <c r="K66" s="30">
        <v>54917.0</v>
      </c>
      <c r="L66" s="31"/>
      <c r="M66" s="39"/>
      <c r="N66" s="33"/>
      <c r="O66" s="40"/>
      <c r="P66" s="35"/>
      <c r="Q66" s="33"/>
      <c r="R66" s="33"/>
      <c r="S66" s="35"/>
      <c r="T66" s="35"/>
      <c r="U66" s="33"/>
      <c r="V66" s="36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</row>
    <row r="67">
      <c r="A67" s="105" t="s">
        <v>27</v>
      </c>
      <c r="B67" s="106">
        <v>44260.0</v>
      </c>
      <c r="C67" s="107"/>
      <c r="D67" s="107"/>
      <c r="E67" s="107"/>
      <c r="F67" s="107"/>
      <c r="G67" s="107"/>
      <c r="H67" s="107"/>
      <c r="I67" s="28"/>
      <c r="J67" s="107"/>
      <c r="K67" s="107"/>
      <c r="L67" s="31"/>
      <c r="M67" s="39"/>
      <c r="N67" s="33"/>
      <c r="O67" s="40"/>
      <c r="P67" s="35"/>
      <c r="Q67" s="33"/>
      <c r="R67" s="33"/>
      <c r="S67" s="35"/>
      <c r="T67" s="35"/>
      <c r="U67" s="33"/>
      <c r="V67" s="36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</row>
    <row r="68">
      <c r="A68" s="99" t="s">
        <v>21</v>
      </c>
      <c r="B68" s="100">
        <v>44261.0</v>
      </c>
      <c r="C68" s="22">
        <v>285945.0</v>
      </c>
      <c r="D68" s="23">
        <v>175855.0</v>
      </c>
      <c r="E68" s="24">
        <f>2600+100+2600+140</f>
        <v>5440</v>
      </c>
      <c r="F68" s="25">
        <f>5000+400+1600+400</f>
        <v>7400</v>
      </c>
      <c r="G68" s="101">
        <f>5000+67900</f>
        <v>72900</v>
      </c>
      <c r="H68" s="27">
        <v>34255.0</v>
      </c>
      <c r="I68" s="28"/>
      <c r="J68" s="29">
        <v>57490.0</v>
      </c>
      <c r="K68" s="30">
        <v>98400.0</v>
      </c>
      <c r="L68" s="108"/>
      <c r="M68" s="39"/>
      <c r="N68" s="108"/>
      <c r="O68" s="109"/>
      <c r="P68" s="110"/>
      <c r="Q68" s="108"/>
      <c r="R68" s="108"/>
      <c r="S68" s="110"/>
      <c r="T68" s="110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</row>
    <row r="69">
      <c r="A69" s="99" t="s">
        <v>22</v>
      </c>
      <c r="B69" s="100">
        <v>44262.0</v>
      </c>
      <c r="C69" s="22">
        <v>341464.0</v>
      </c>
      <c r="D69" s="23">
        <v>197410.0</v>
      </c>
      <c r="E69" s="24">
        <v>1900.0</v>
      </c>
      <c r="F69" s="25">
        <v>4600.0</v>
      </c>
      <c r="G69" s="101">
        <f>34600+8730</f>
        <v>43330</v>
      </c>
      <c r="H69" s="27">
        <v>63458.0</v>
      </c>
      <c r="I69" s="28"/>
      <c r="J69" s="29">
        <v>88190.0</v>
      </c>
      <c r="K69" s="30">
        <v>104004.0</v>
      </c>
      <c r="L69" s="31"/>
      <c r="M69" s="39"/>
      <c r="N69" s="33"/>
      <c r="O69" s="40"/>
      <c r="P69" s="35"/>
      <c r="Q69" s="33"/>
      <c r="R69" s="33"/>
      <c r="S69" s="35"/>
      <c r="T69" s="35"/>
      <c r="U69" s="33"/>
      <c r="V69" s="36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</row>
    <row r="70">
      <c r="A70" s="99" t="s">
        <v>32</v>
      </c>
      <c r="B70" s="100">
        <v>44263.0</v>
      </c>
      <c r="C70" s="22">
        <v>349456.0</v>
      </c>
      <c r="D70" s="23">
        <v>212668.0</v>
      </c>
      <c r="E70" s="24">
        <v>4000.0</v>
      </c>
      <c r="F70" s="25">
        <v>4600.0</v>
      </c>
      <c r="G70" s="101">
        <f>78460+7970</f>
        <v>86430</v>
      </c>
      <c r="H70" s="27">
        <v>78328.0</v>
      </c>
      <c r="I70" s="28"/>
      <c r="J70" s="29">
        <f>60010+16970</f>
        <v>76980</v>
      </c>
      <c r="K70" s="30">
        <v>96198.0</v>
      </c>
      <c r="L70" s="31"/>
      <c r="M70" s="39"/>
      <c r="N70" s="33"/>
      <c r="O70" s="40"/>
      <c r="P70" s="35"/>
      <c r="Q70" s="33"/>
      <c r="R70" s="33"/>
      <c r="S70" s="35"/>
      <c r="T70" s="35"/>
      <c r="U70" s="33"/>
      <c r="V70" s="36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</row>
    <row r="71">
      <c r="A71" s="99" t="s">
        <v>24</v>
      </c>
      <c r="B71" s="100">
        <v>44264.0</v>
      </c>
      <c r="C71" s="22">
        <v>369223.0</v>
      </c>
      <c r="D71" s="23">
        <v>219357.0</v>
      </c>
      <c r="E71" s="24">
        <f>1400+1800+320+130</f>
        <v>3650</v>
      </c>
      <c r="F71" s="25">
        <f>2400</f>
        <v>2400</v>
      </c>
      <c r="G71" s="101">
        <f>46830+61930</f>
        <v>108760</v>
      </c>
      <c r="H71" s="27">
        <v>66476.0</v>
      </c>
      <c r="I71" s="28"/>
      <c r="J71" s="29"/>
      <c r="K71" s="30">
        <v>106736.0</v>
      </c>
      <c r="L71" s="31"/>
      <c r="M71" s="39"/>
      <c r="N71" s="33"/>
      <c r="O71" s="40"/>
      <c r="P71" s="35"/>
      <c r="Q71" s="33"/>
      <c r="R71" s="33"/>
      <c r="S71" s="35"/>
      <c r="T71" s="35"/>
      <c r="U71" s="33"/>
      <c r="V71" s="36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</row>
    <row r="72">
      <c r="A72" s="99" t="s">
        <v>25</v>
      </c>
      <c r="B72" s="100">
        <v>44265.0</v>
      </c>
      <c r="C72" s="22">
        <v>255457.0</v>
      </c>
      <c r="D72" s="23">
        <v>137498.0</v>
      </c>
      <c r="E72" s="24">
        <v>2200.0</v>
      </c>
      <c r="F72" s="25">
        <v>2900.0</v>
      </c>
      <c r="G72" s="101">
        <v>70560.0</v>
      </c>
      <c r="H72" s="27">
        <v>58726.0</v>
      </c>
      <c r="I72" s="28"/>
      <c r="J72" s="29">
        <v>58280.0</v>
      </c>
      <c r="K72" s="30">
        <v>79209.0</v>
      </c>
      <c r="L72" s="31"/>
      <c r="M72" s="39"/>
      <c r="N72" s="33"/>
      <c r="O72" s="40"/>
      <c r="P72" s="35"/>
      <c r="Q72" s="33"/>
      <c r="R72" s="33"/>
      <c r="S72" s="35"/>
      <c r="T72" s="35"/>
      <c r="U72" s="33"/>
      <c r="V72" s="36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</row>
    <row r="73">
      <c r="A73" s="99" t="s">
        <v>33</v>
      </c>
      <c r="B73" s="100">
        <v>44266.0</v>
      </c>
      <c r="C73" s="22">
        <v>235350.0</v>
      </c>
      <c r="D73" s="23">
        <v>175730.0</v>
      </c>
      <c r="E73" s="24">
        <f>200+1900+350+820+130</f>
        <v>3400</v>
      </c>
      <c r="F73" s="25">
        <f>2000+1100</f>
        <v>3100</v>
      </c>
      <c r="G73" s="101">
        <f>2900+81540</f>
        <v>84440</v>
      </c>
      <c r="H73" s="27">
        <v>10530.0</v>
      </c>
      <c r="I73" s="28"/>
      <c r="J73" s="29"/>
      <c r="K73" s="30">
        <v>57560.0</v>
      </c>
      <c r="L73" s="49"/>
      <c r="M73" s="39"/>
      <c r="N73" s="33"/>
      <c r="O73" s="40"/>
      <c r="P73" s="35"/>
      <c r="Q73" s="33"/>
      <c r="R73" s="33"/>
      <c r="S73" s="35"/>
      <c r="T73" s="35"/>
      <c r="U73" s="33"/>
      <c r="V73" s="36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</row>
    <row r="74">
      <c r="A74" s="105" t="s">
        <v>27</v>
      </c>
      <c r="B74" s="106">
        <v>44267.0</v>
      </c>
      <c r="C74" s="107"/>
      <c r="D74" s="107"/>
      <c r="E74" s="107"/>
      <c r="F74" s="107"/>
      <c r="G74" s="107"/>
      <c r="H74" s="107"/>
      <c r="I74" s="28"/>
      <c r="J74" s="107"/>
      <c r="K74" s="107"/>
      <c r="L74" s="31"/>
      <c r="M74" s="32"/>
      <c r="N74" s="33"/>
      <c r="O74" s="40"/>
      <c r="P74" s="35"/>
      <c r="Q74" s="33"/>
      <c r="R74" s="33"/>
      <c r="S74" s="35"/>
      <c r="T74" s="35"/>
      <c r="U74" s="33"/>
      <c r="V74" s="36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</row>
    <row r="75">
      <c r="A75" s="99" t="s">
        <v>21</v>
      </c>
      <c r="B75" s="100">
        <v>44268.0</v>
      </c>
      <c r="C75" s="22">
        <v>289283.0</v>
      </c>
      <c r="D75" s="23">
        <v>185707.0</v>
      </c>
      <c r="E75" s="24">
        <f>400+1700+150+760+110</f>
        <v>3120</v>
      </c>
      <c r="F75" s="25">
        <f>1100+4000+1000</f>
        <v>6100</v>
      </c>
      <c r="G75" s="101">
        <f>25130+57620</f>
        <v>82750</v>
      </c>
      <c r="H75" s="27">
        <v>54587.0</v>
      </c>
      <c r="I75" s="111"/>
      <c r="J75" s="112"/>
      <c r="K75" s="30">
        <v>86476.0</v>
      </c>
      <c r="L75" s="108"/>
      <c r="M75" s="39"/>
      <c r="N75" s="108"/>
      <c r="O75" s="109"/>
      <c r="P75" s="110"/>
      <c r="Q75" s="108"/>
      <c r="R75" s="108"/>
      <c r="S75" s="110"/>
      <c r="T75" s="110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</row>
    <row r="76">
      <c r="A76" s="99" t="s">
        <v>22</v>
      </c>
      <c r="B76" s="113">
        <v>44999.0</v>
      </c>
      <c r="C76" s="22">
        <v>309395.0</v>
      </c>
      <c r="D76" s="23">
        <v>193254.0</v>
      </c>
      <c r="E76" s="24">
        <v>2480.0</v>
      </c>
      <c r="F76" s="25">
        <v>3800.0</v>
      </c>
      <c r="G76" s="101">
        <f>24100+37270</f>
        <v>61370</v>
      </c>
      <c r="H76" s="27">
        <v>95273.0</v>
      </c>
      <c r="I76" s="28"/>
      <c r="J76" s="29"/>
      <c r="K76" s="30">
        <v>58701.0</v>
      </c>
      <c r="L76" s="31"/>
      <c r="M76" s="32"/>
      <c r="N76" s="33"/>
      <c r="O76" s="40"/>
      <c r="P76" s="35"/>
      <c r="Q76" s="33"/>
      <c r="R76" s="33"/>
      <c r="S76" s="35"/>
      <c r="T76" s="35"/>
      <c r="U76" s="33"/>
      <c r="V76" s="36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</row>
    <row r="77">
      <c r="A77" s="99" t="s">
        <v>32</v>
      </c>
      <c r="B77" s="100">
        <v>44270.0</v>
      </c>
      <c r="C77" s="22">
        <v>302433.0</v>
      </c>
      <c r="D77" s="23">
        <v>190708.0</v>
      </c>
      <c r="E77" s="24">
        <v>2380.0</v>
      </c>
      <c r="F77" s="25">
        <v>700.0</v>
      </c>
      <c r="G77" s="101">
        <f>61480+15530</f>
        <v>77010</v>
      </c>
      <c r="H77" s="27">
        <v>66218.0</v>
      </c>
      <c r="I77" s="28"/>
      <c r="J77" s="29"/>
      <c r="K77" s="30">
        <v>94695.0</v>
      </c>
      <c r="L77" s="31"/>
      <c r="M77" s="39"/>
      <c r="N77" s="33"/>
      <c r="O77" s="40"/>
      <c r="P77" s="35"/>
      <c r="Q77" s="33"/>
      <c r="R77" s="33"/>
      <c r="S77" s="35"/>
      <c r="T77" s="35"/>
      <c r="U77" s="33"/>
      <c r="V77" s="36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</row>
    <row r="78">
      <c r="A78" s="99" t="s">
        <v>24</v>
      </c>
      <c r="B78" s="100">
        <v>44271.0</v>
      </c>
      <c r="C78" s="22">
        <v>352509.0</v>
      </c>
      <c r="D78" s="23">
        <v>262433.0</v>
      </c>
      <c r="E78" s="24">
        <f>800+2200+360+50</f>
        <v>3410</v>
      </c>
      <c r="F78" s="25">
        <f>3000+600+1000</f>
        <v>4600</v>
      </c>
      <c r="G78" s="101">
        <f>128020+90020</f>
        <v>218040</v>
      </c>
      <c r="H78" s="27">
        <v>71293.0</v>
      </c>
      <c r="I78" s="28"/>
      <c r="J78" s="29"/>
      <c r="K78" s="30">
        <v>75036.0</v>
      </c>
      <c r="L78" s="31"/>
      <c r="M78" s="32"/>
      <c r="N78" s="33"/>
      <c r="O78" s="40"/>
      <c r="P78" s="35"/>
      <c r="Q78" s="33"/>
      <c r="R78" s="33"/>
      <c r="S78" s="35"/>
      <c r="T78" s="35"/>
      <c r="U78" s="33"/>
      <c r="V78" s="36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</row>
    <row r="79">
      <c r="A79" s="99" t="s">
        <v>25</v>
      </c>
      <c r="B79" s="100">
        <v>44272.0</v>
      </c>
      <c r="C79" s="22">
        <v>290086.0</v>
      </c>
      <c r="D79" s="23">
        <v>159616.0</v>
      </c>
      <c r="E79" s="24">
        <v>1730.0</v>
      </c>
      <c r="F79" s="25">
        <v>6200.0</v>
      </c>
      <c r="G79" s="101">
        <v>88740.0</v>
      </c>
      <c r="H79" s="27">
        <v>33083.0</v>
      </c>
      <c r="I79" s="28"/>
      <c r="J79" s="29"/>
      <c r="K79" s="30">
        <v>73240.0</v>
      </c>
      <c r="L79" s="31"/>
      <c r="M79" s="39"/>
      <c r="N79" s="33"/>
      <c r="O79" s="40"/>
      <c r="P79" s="35"/>
      <c r="Q79" s="33"/>
      <c r="R79" s="33"/>
      <c r="S79" s="35"/>
      <c r="T79" s="35"/>
      <c r="U79" s="33"/>
      <c r="V79" s="36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</row>
    <row r="80">
      <c r="A80" s="99" t="s">
        <v>33</v>
      </c>
      <c r="B80" s="100">
        <v>44273.0</v>
      </c>
      <c r="C80" s="22">
        <v>197787.0</v>
      </c>
      <c r="D80" s="23">
        <v>127087.0</v>
      </c>
      <c r="E80" s="24">
        <v>800.0</v>
      </c>
      <c r="F80" s="25">
        <v>4200.0</v>
      </c>
      <c r="G80" s="101">
        <f>68790+20750</f>
        <v>89540</v>
      </c>
      <c r="H80" s="27">
        <v>18639.0</v>
      </c>
      <c r="I80" s="28"/>
      <c r="J80" s="29"/>
      <c r="K80" s="30">
        <v>58010.0</v>
      </c>
      <c r="L80" s="31"/>
      <c r="M80" s="39"/>
      <c r="N80" s="33"/>
      <c r="O80" s="40"/>
      <c r="P80" s="35"/>
      <c r="Q80" s="33"/>
      <c r="R80" s="33"/>
      <c r="S80" s="35"/>
      <c r="T80" s="35"/>
      <c r="U80" s="33"/>
      <c r="V80" s="36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</row>
    <row r="81">
      <c r="A81" s="105" t="s">
        <v>27</v>
      </c>
      <c r="B81" s="106">
        <v>44274.0</v>
      </c>
      <c r="C81" s="107"/>
      <c r="D81" s="107"/>
      <c r="E81" s="107"/>
      <c r="F81" s="107"/>
      <c r="G81" s="107"/>
      <c r="H81" s="107"/>
      <c r="I81" s="28"/>
      <c r="J81" s="107"/>
      <c r="K81" s="107"/>
      <c r="L81" s="115"/>
      <c r="M81" s="32"/>
      <c r="N81" s="33"/>
      <c r="O81" s="40"/>
      <c r="P81" s="35"/>
      <c r="Q81" s="33"/>
      <c r="R81" s="33"/>
      <c r="S81" s="35"/>
      <c r="T81" s="35"/>
      <c r="U81" s="33"/>
      <c r="V81" s="36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</row>
    <row r="82">
      <c r="A82" s="99" t="s">
        <v>21</v>
      </c>
      <c r="B82" s="100">
        <v>44275.0</v>
      </c>
      <c r="C82" s="22">
        <v>318307.0</v>
      </c>
      <c r="D82" s="23">
        <v>175569.0</v>
      </c>
      <c r="E82" s="24">
        <f>1200+2800+50+260+40</f>
        <v>4350</v>
      </c>
      <c r="F82" s="25">
        <v>4000.0</v>
      </c>
      <c r="G82" s="101">
        <f>86510+4510</f>
        <v>91020</v>
      </c>
      <c r="H82" s="27">
        <v>28298.0</v>
      </c>
      <c r="I82" s="111"/>
      <c r="J82" s="112"/>
      <c r="K82" s="30">
        <v>141348.0</v>
      </c>
      <c r="L82" s="31"/>
      <c r="M82" s="39"/>
      <c r="N82" s="108"/>
      <c r="O82" s="109"/>
      <c r="P82" s="110"/>
      <c r="Q82" s="108"/>
      <c r="R82" s="108"/>
      <c r="S82" s="110"/>
      <c r="T82" s="110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</row>
    <row r="83">
      <c r="A83" s="99" t="s">
        <v>22</v>
      </c>
      <c r="B83" s="100">
        <v>44276.0</v>
      </c>
      <c r="C83" s="22">
        <v>414354.0</v>
      </c>
      <c r="D83" s="23">
        <v>287714.0</v>
      </c>
      <c r="E83" s="24">
        <v>1500.0</v>
      </c>
      <c r="F83" s="25">
        <v>11000.0</v>
      </c>
      <c r="G83" s="101">
        <v>117520.0</v>
      </c>
      <c r="H83" s="27">
        <v>73235.0</v>
      </c>
      <c r="I83" s="28"/>
      <c r="J83" s="29"/>
      <c r="K83" s="30">
        <v>122240.0</v>
      </c>
      <c r="L83" s="49" t="s">
        <v>34</v>
      </c>
      <c r="M83" s="32"/>
      <c r="N83" s="33"/>
      <c r="O83" s="40"/>
      <c r="P83" s="35"/>
      <c r="Q83" s="33"/>
      <c r="R83" s="33"/>
      <c r="S83" s="35"/>
      <c r="T83" s="35"/>
      <c r="U83" s="33"/>
      <c r="V83" s="36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</row>
    <row r="84">
      <c r="A84" s="99" t="s">
        <v>32</v>
      </c>
      <c r="B84" s="100">
        <v>44277.0</v>
      </c>
      <c r="C84" s="22">
        <v>386269.0</v>
      </c>
      <c r="D84" s="23">
        <v>244349.0</v>
      </c>
      <c r="E84" s="24">
        <v>2500.0</v>
      </c>
      <c r="F84" s="25">
        <v>300.0</v>
      </c>
      <c r="G84" s="101">
        <f>72630+34170</f>
        <v>106800</v>
      </c>
      <c r="H84" s="27">
        <v>84879.0</v>
      </c>
      <c r="I84" s="28"/>
      <c r="J84" s="29"/>
      <c r="K84" s="30">
        <v>104050.0</v>
      </c>
      <c r="L84" s="31"/>
      <c r="M84" s="39"/>
      <c r="N84" s="33"/>
      <c r="O84" s="40"/>
      <c r="P84" s="35"/>
      <c r="Q84" s="33"/>
      <c r="R84" s="33"/>
      <c r="S84" s="35"/>
      <c r="T84" s="35"/>
      <c r="U84" s="33"/>
      <c r="V84" s="36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</row>
    <row r="85">
      <c r="A85" s="99" t="s">
        <v>24</v>
      </c>
      <c r="B85" s="100">
        <v>44278.0</v>
      </c>
      <c r="C85" s="22">
        <v>345200.0</v>
      </c>
      <c r="D85" s="23">
        <v>236050.0</v>
      </c>
      <c r="E85" s="24">
        <f>400+1700+420</f>
        <v>2520</v>
      </c>
      <c r="F85" s="25">
        <v>3100.0</v>
      </c>
      <c r="G85" s="101">
        <f>50670+32000+14610</f>
        <v>97280</v>
      </c>
      <c r="H85" s="27">
        <v>55250.0</v>
      </c>
      <c r="I85" s="28"/>
      <c r="J85" s="29"/>
      <c r="K85" s="30">
        <v>109000.0</v>
      </c>
      <c r="L85" s="31"/>
      <c r="M85" s="39"/>
      <c r="N85" s="33"/>
      <c r="O85" s="40"/>
      <c r="P85" s="35"/>
      <c r="Q85" s="33"/>
      <c r="R85" s="33"/>
      <c r="S85" s="35"/>
      <c r="T85" s="35"/>
      <c r="U85" s="33"/>
      <c r="V85" s="36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</row>
    <row r="86">
      <c r="A86" s="99" t="s">
        <v>25</v>
      </c>
      <c r="B86" s="100">
        <v>44279.0</v>
      </c>
      <c r="C86" s="22">
        <v>182483.0</v>
      </c>
      <c r="D86" s="23">
        <v>115360.0</v>
      </c>
      <c r="E86" s="24">
        <v>1980.0</v>
      </c>
      <c r="F86" s="25">
        <v>1100.0</v>
      </c>
      <c r="G86" s="101">
        <f>29090+26810</f>
        <v>55900</v>
      </c>
      <c r="H86" s="27">
        <v>31030.0</v>
      </c>
      <c r="I86" s="28"/>
      <c r="J86" s="29"/>
      <c r="K86" s="30">
        <v>73730.0</v>
      </c>
      <c r="L86" s="31"/>
      <c r="M86" s="39"/>
      <c r="N86" s="33"/>
      <c r="O86" s="40"/>
      <c r="P86" s="35"/>
      <c r="Q86" s="33"/>
      <c r="R86" s="33"/>
      <c r="S86" s="35"/>
      <c r="T86" s="35"/>
      <c r="U86" s="33"/>
      <c r="V86" s="36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</row>
    <row r="87">
      <c r="A87" s="99" t="s">
        <v>33</v>
      </c>
      <c r="B87" s="100">
        <v>44280.0</v>
      </c>
      <c r="C87" s="22">
        <v>237180.0</v>
      </c>
      <c r="D87" s="23">
        <v>159950.0</v>
      </c>
      <c r="E87" s="24">
        <v>3000.0</v>
      </c>
      <c r="F87" s="25">
        <v>3000.0</v>
      </c>
      <c r="G87" s="101">
        <f>78730+28850</f>
        <v>107580</v>
      </c>
      <c r="H87" s="27">
        <v>20050.0</v>
      </c>
      <c r="I87" s="28"/>
      <c r="J87" s="29"/>
      <c r="K87" s="30"/>
      <c r="L87" s="31"/>
      <c r="M87" s="39"/>
      <c r="N87" s="33"/>
      <c r="O87" s="40"/>
      <c r="P87" s="35"/>
      <c r="Q87" s="33"/>
      <c r="R87" s="33"/>
      <c r="S87" s="35"/>
      <c r="T87" s="35"/>
      <c r="U87" s="33"/>
      <c r="V87" s="36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</row>
    <row r="88">
      <c r="A88" s="105" t="s">
        <v>27</v>
      </c>
      <c r="B88" s="106">
        <v>44281.0</v>
      </c>
      <c r="C88" s="107"/>
      <c r="D88" s="107"/>
      <c r="E88" s="107"/>
      <c r="F88" s="107"/>
      <c r="G88" s="107"/>
      <c r="H88" s="107"/>
      <c r="I88" s="28"/>
      <c r="J88" s="107"/>
      <c r="K88" s="107"/>
      <c r="L88" s="115"/>
      <c r="M88" s="39"/>
      <c r="N88" s="33"/>
      <c r="O88" s="40"/>
      <c r="P88" s="35"/>
      <c r="Q88" s="33"/>
      <c r="R88" s="33"/>
      <c r="S88" s="35"/>
      <c r="T88" s="35"/>
      <c r="U88" s="33"/>
      <c r="V88" s="36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</row>
    <row r="89">
      <c r="A89" s="99" t="s">
        <v>21</v>
      </c>
      <c r="B89" s="100">
        <v>45012.0</v>
      </c>
      <c r="C89" s="22">
        <v>338066.0</v>
      </c>
      <c r="D89" s="23">
        <v>168370.0</v>
      </c>
      <c r="E89" s="24">
        <f>900+1300+200+540+80</f>
        <v>3020</v>
      </c>
      <c r="F89" s="25">
        <f>500</f>
        <v>500</v>
      </c>
      <c r="G89" s="101">
        <f>64270+25150</f>
        <v>89420</v>
      </c>
      <c r="H89" s="27">
        <v>31660.0</v>
      </c>
      <c r="I89" s="111"/>
      <c r="J89" s="112"/>
      <c r="K89" s="30">
        <v>111756.0</v>
      </c>
      <c r="L89" s="31"/>
      <c r="M89" s="39"/>
      <c r="N89" s="108"/>
      <c r="O89" s="109"/>
      <c r="P89" s="110"/>
      <c r="Q89" s="108"/>
      <c r="R89" s="108"/>
      <c r="S89" s="110"/>
      <c r="T89" s="110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</row>
    <row r="90">
      <c r="A90" s="99" t="s">
        <v>22</v>
      </c>
      <c r="B90" s="100">
        <v>44283.0</v>
      </c>
      <c r="C90" s="116">
        <v>428687.0</v>
      </c>
      <c r="D90" s="23">
        <v>228027.0</v>
      </c>
      <c r="E90" s="24">
        <v>3000.0</v>
      </c>
      <c r="F90" s="25">
        <v>500.0</v>
      </c>
      <c r="G90" s="101">
        <f>57180+55810</f>
        <v>112990</v>
      </c>
      <c r="H90" s="27">
        <v>94707.0</v>
      </c>
      <c r="I90" s="28"/>
      <c r="J90" s="29"/>
      <c r="K90" s="30">
        <v>121400.0</v>
      </c>
      <c r="L90" s="31"/>
      <c r="M90" s="32"/>
      <c r="N90" s="33"/>
      <c r="O90" s="40"/>
      <c r="P90" s="35"/>
      <c r="Q90" s="33"/>
      <c r="R90" s="33"/>
      <c r="S90" s="35"/>
      <c r="T90" s="35"/>
      <c r="U90" s="33"/>
      <c r="V90" s="36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</row>
    <row r="91">
      <c r="A91" s="99" t="s">
        <v>32</v>
      </c>
      <c r="B91" s="100">
        <v>44284.0</v>
      </c>
      <c r="C91" s="116">
        <v>493770.0</v>
      </c>
      <c r="D91" s="23">
        <v>268230.0</v>
      </c>
      <c r="E91" s="24">
        <v>1890.0</v>
      </c>
      <c r="F91" s="25">
        <v>500.0</v>
      </c>
      <c r="G91" s="101">
        <v>154050.0</v>
      </c>
      <c r="H91" s="27">
        <v>79190.0</v>
      </c>
      <c r="I91" s="28"/>
      <c r="J91" s="29"/>
      <c r="K91" s="30">
        <v>113630.0</v>
      </c>
      <c r="L91" s="31"/>
      <c r="M91" s="39"/>
      <c r="N91" s="33"/>
      <c r="O91" s="40"/>
      <c r="P91" s="35"/>
      <c r="Q91" s="33"/>
      <c r="R91" s="33"/>
      <c r="S91" s="35"/>
      <c r="T91" s="35"/>
      <c r="U91" s="33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</row>
    <row r="92">
      <c r="A92" s="99" t="s">
        <v>24</v>
      </c>
      <c r="B92" s="100">
        <v>44285.0</v>
      </c>
      <c r="C92" s="116">
        <v>441856.0</v>
      </c>
      <c r="D92" s="23">
        <v>241500.0</v>
      </c>
      <c r="E92" s="24">
        <f>1700+400+100+100+60</f>
        <v>2360</v>
      </c>
      <c r="F92" s="25">
        <f>1000+3000</f>
        <v>4000</v>
      </c>
      <c r="G92" s="101">
        <f>68690+39040</f>
        <v>107730</v>
      </c>
      <c r="H92" s="27">
        <v>78000.0</v>
      </c>
      <c r="I92" s="28"/>
      <c r="J92" s="29"/>
      <c r="K92" s="30">
        <v>122326.0</v>
      </c>
      <c r="L92" s="49"/>
      <c r="M92" s="32"/>
      <c r="N92" s="33"/>
      <c r="O92" s="40"/>
      <c r="P92" s="35"/>
      <c r="Q92" s="33"/>
      <c r="R92" s="33"/>
      <c r="S92" s="35"/>
      <c r="T92" s="35"/>
      <c r="U92" s="33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</row>
    <row r="93">
      <c r="A93" s="99" t="s">
        <v>25</v>
      </c>
      <c r="B93" s="100">
        <v>44286.0</v>
      </c>
      <c r="C93" s="117">
        <v>382670.0</v>
      </c>
      <c r="D93" s="118">
        <v>249670.0</v>
      </c>
      <c r="E93" s="119">
        <v>1800.0</v>
      </c>
      <c r="F93" s="120">
        <v>8000.0</v>
      </c>
      <c r="G93" s="121">
        <v>131710.0</v>
      </c>
      <c r="H93" s="122">
        <v>67160.0</v>
      </c>
      <c r="I93" s="123"/>
      <c r="J93" s="124"/>
      <c r="K93" s="30">
        <v>96050.0</v>
      </c>
      <c r="L93" s="31"/>
      <c r="M93" s="39"/>
      <c r="N93" s="125"/>
      <c r="O93" s="126"/>
      <c r="P93" s="127"/>
      <c r="Q93" s="125"/>
      <c r="R93" s="125"/>
      <c r="S93" s="127"/>
      <c r="T93" s="127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8"/>
    </row>
    <row r="94">
      <c r="A94" s="99" t="s">
        <v>33</v>
      </c>
      <c r="B94" s="129" t="s">
        <v>35</v>
      </c>
      <c r="C94" s="130">
        <f t="shared" ref="C94:D94" si="4">SUM(C63:C93)</f>
        <v>8854919</v>
      </c>
      <c r="D94" s="130">
        <f t="shared" si="4"/>
        <v>5577181</v>
      </c>
      <c r="E94" s="130"/>
      <c r="F94" s="130"/>
      <c r="G94" s="130">
        <f>SUM(G63:G93)</f>
        <v>2548160</v>
      </c>
      <c r="H94" s="130"/>
      <c r="I94" s="131"/>
      <c r="J94" s="130"/>
      <c r="K94" s="130">
        <f>SUM(K63:K93)</f>
        <v>2385345</v>
      </c>
      <c r="L94" s="132"/>
      <c r="M94" s="39"/>
      <c r="N94" s="33"/>
      <c r="O94" s="40"/>
      <c r="P94" s="35"/>
      <c r="Q94" s="33"/>
      <c r="R94" s="33"/>
      <c r="S94" s="35"/>
      <c r="T94" s="35"/>
      <c r="U94" s="33"/>
      <c r="V94" s="36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</row>
    <row r="95">
      <c r="A95" s="99" t="s">
        <v>26</v>
      </c>
      <c r="B95" s="100">
        <v>44287.0</v>
      </c>
      <c r="C95" s="22">
        <v>291506.0</v>
      </c>
      <c r="D95" s="23">
        <v>197975.0</v>
      </c>
      <c r="E95" s="24">
        <v>1300.0</v>
      </c>
      <c r="F95" s="25">
        <v>5300.0</v>
      </c>
      <c r="G95" s="101">
        <f>98380+32050</f>
        <v>130430</v>
      </c>
      <c r="H95" s="27">
        <v>50551.0</v>
      </c>
      <c r="I95" s="28"/>
      <c r="J95" s="29"/>
      <c r="K95" s="30">
        <v>83131.0</v>
      </c>
      <c r="L95" s="49"/>
      <c r="M95" s="39"/>
      <c r="N95" s="33"/>
      <c r="O95" s="40"/>
      <c r="P95" s="35"/>
      <c r="Q95" s="33"/>
      <c r="R95" s="33"/>
      <c r="S95" s="35"/>
      <c r="T95" s="35"/>
      <c r="U95" s="33"/>
      <c r="V95" s="36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</row>
    <row r="96">
      <c r="A96" s="42" t="s">
        <v>27</v>
      </c>
      <c r="B96" s="100">
        <v>44288.0</v>
      </c>
      <c r="C96" s="44"/>
      <c r="D96" s="44"/>
      <c r="E96" s="44"/>
      <c r="F96" s="44"/>
      <c r="G96" s="44"/>
      <c r="H96" s="46"/>
      <c r="I96" s="111"/>
      <c r="J96" s="46"/>
      <c r="K96" s="44"/>
      <c r="L96" s="46"/>
      <c r="M96" s="32"/>
      <c r="N96" s="33"/>
      <c r="O96" s="40"/>
      <c r="P96" s="35"/>
      <c r="Q96" s="33"/>
      <c r="R96" s="33"/>
      <c r="S96" s="35"/>
      <c r="T96" s="35"/>
      <c r="U96" s="33"/>
      <c r="V96" s="36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</row>
    <row r="97">
      <c r="A97" s="99" t="s">
        <v>21</v>
      </c>
      <c r="B97" s="100">
        <v>44289.0</v>
      </c>
      <c r="C97" s="22">
        <v>478931.0</v>
      </c>
      <c r="D97" s="23">
        <v>285476.0</v>
      </c>
      <c r="E97" s="24">
        <f>3800+600+400+1900</f>
        <v>6700</v>
      </c>
      <c r="F97" s="25">
        <f>1300+4000</f>
        <v>5300</v>
      </c>
      <c r="G97" s="101">
        <f>77790+67490</f>
        <v>145280</v>
      </c>
      <c r="H97" s="27">
        <v>118835.0</v>
      </c>
      <c r="I97" s="28"/>
      <c r="J97" s="29"/>
      <c r="K97" s="30">
        <v>116425.0</v>
      </c>
      <c r="L97" s="49"/>
      <c r="M97" s="39"/>
      <c r="N97" s="46"/>
      <c r="O97" s="47"/>
      <c r="P97" s="44"/>
      <c r="Q97" s="46"/>
      <c r="R97" s="46"/>
      <c r="S97" s="44"/>
      <c r="T97" s="44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</row>
    <row r="98">
      <c r="A98" s="99" t="s">
        <v>22</v>
      </c>
      <c r="B98" s="100">
        <v>44290.0</v>
      </c>
      <c r="C98" s="22">
        <v>414347.0</v>
      </c>
      <c r="D98" s="23">
        <v>220312.0</v>
      </c>
      <c r="E98" s="24">
        <v>3300.0</v>
      </c>
      <c r="F98" s="25">
        <v>5300.0</v>
      </c>
      <c r="G98" s="101">
        <f>70390+20760</f>
        <v>91150</v>
      </c>
      <c r="H98" s="27">
        <v>79062.0</v>
      </c>
      <c r="I98" s="28"/>
      <c r="J98" s="29"/>
      <c r="K98" s="30">
        <v>114235.0</v>
      </c>
      <c r="L98" s="49"/>
      <c r="M98" s="32"/>
      <c r="N98" s="33"/>
      <c r="O98" s="40"/>
      <c r="P98" s="35"/>
      <c r="Q98" s="33"/>
      <c r="R98" s="33"/>
      <c r="S98" s="35"/>
      <c r="T98" s="35"/>
      <c r="U98" s="33"/>
      <c r="V98" s="36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</row>
    <row r="99">
      <c r="A99" s="99" t="s">
        <v>32</v>
      </c>
      <c r="B99" s="100">
        <v>44291.0</v>
      </c>
      <c r="C99" s="22">
        <v>477266.0</v>
      </c>
      <c r="D99" s="23">
        <v>301664.0</v>
      </c>
      <c r="E99" s="24">
        <v>3000.0</v>
      </c>
      <c r="F99" s="25">
        <v>8800.0</v>
      </c>
      <c r="G99" s="101">
        <v>157540.0</v>
      </c>
      <c r="H99" s="27">
        <v>109245.0</v>
      </c>
      <c r="I99" s="28"/>
      <c r="J99" s="29"/>
      <c r="K99" s="30">
        <v>102442.0</v>
      </c>
      <c r="L99" s="49"/>
      <c r="M99" s="32"/>
      <c r="N99" s="33"/>
      <c r="O99" s="40"/>
      <c r="P99" s="35"/>
      <c r="Q99" s="33"/>
      <c r="R99" s="33"/>
      <c r="S99" s="35"/>
      <c r="T99" s="35"/>
      <c r="U99" s="33"/>
      <c r="V99" s="36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</row>
    <row r="100">
      <c r="A100" s="99" t="s">
        <v>24</v>
      </c>
      <c r="B100" s="100">
        <v>44292.0</v>
      </c>
      <c r="C100" s="22">
        <v>307345.0</v>
      </c>
      <c r="D100" s="23">
        <v>205745.0</v>
      </c>
      <c r="E100" s="24">
        <f>700+2900+50+300+50</f>
        <v>4000</v>
      </c>
      <c r="F100" s="25">
        <f>600+4000+1000</f>
        <v>5600</v>
      </c>
      <c r="G100" s="101">
        <f>58290+64210</f>
        <v>122500</v>
      </c>
      <c r="H100" s="27">
        <v>40065.0</v>
      </c>
      <c r="I100" s="28"/>
      <c r="J100" s="29">
        <v>44470.0</v>
      </c>
      <c r="K100" s="30">
        <v>83580.0</v>
      </c>
      <c r="L100" s="49"/>
      <c r="M100" s="32"/>
      <c r="N100" s="33"/>
      <c r="O100" s="40"/>
      <c r="P100" s="35"/>
      <c r="Q100" s="33"/>
      <c r="R100" s="33"/>
      <c r="S100" s="35"/>
      <c r="T100" s="35"/>
      <c r="U100" s="33"/>
      <c r="V100" s="36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</row>
    <row r="101">
      <c r="A101" s="99" t="s">
        <v>25</v>
      </c>
      <c r="B101" s="100">
        <v>44293.0</v>
      </c>
      <c r="C101" s="22">
        <v>257470.0</v>
      </c>
      <c r="D101" s="23">
        <v>175150.0</v>
      </c>
      <c r="E101" s="24">
        <f>1000+1900+250+160+100</f>
        <v>3410</v>
      </c>
      <c r="F101" s="25">
        <f>600+5000</f>
        <v>5600</v>
      </c>
      <c r="G101" s="101">
        <f>79380+47400</f>
        <v>126780</v>
      </c>
      <c r="H101" s="27">
        <v>29723.0</v>
      </c>
      <c r="I101" s="28"/>
      <c r="J101" s="29"/>
      <c r="K101" s="30">
        <v>80020.0</v>
      </c>
      <c r="L101" s="49"/>
      <c r="M101" s="32"/>
      <c r="N101" s="33"/>
      <c r="O101" s="40"/>
      <c r="P101" s="35"/>
      <c r="Q101" s="33"/>
      <c r="R101" s="33"/>
      <c r="S101" s="35"/>
      <c r="T101" s="35"/>
      <c r="U101" s="33"/>
      <c r="V101" s="36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</row>
    <row r="102">
      <c r="A102" s="99" t="s">
        <v>33</v>
      </c>
      <c r="B102" s="100">
        <v>44294.0</v>
      </c>
      <c r="C102" s="133">
        <v>264568.0</v>
      </c>
      <c r="D102" s="23">
        <v>136679.0</v>
      </c>
      <c r="E102" s="24">
        <v>7000.0</v>
      </c>
      <c r="F102" s="25">
        <v>2000.0</v>
      </c>
      <c r="G102" s="101">
        <f>66030+12450</f>
        <v>78480</v>
      </c>
      <c r="H102" s="27">
        <v>23617.0</v>
      </c>
      <c r="I102" s="28"/>
      <c r="J102" s="29"/>
      <c r="K102" s="30">
        <v>116813.0</v>
      </c>
      <c r="L102" s="31"/>
      <c r="M102" s="39"/>
      <c r="N102" s="33"/>
      <c r="O102" s="40"/>
      <c r="P102" s="35"/>
      <c r="Q102" s="33"/>
      <c r="R102" s="33"/>
      <c r="S102" s="35"/>
      <c r="T102" s="35"/>
      <c r="U102" s="33"/>
      <c r="V102" s="36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</row>
    <row r="103">
      <c r="A103" s="105" t="s">
        <v>27</v>
      </c>
      <c r="B103" s="100">
        <v>44295.0</v>
      </c>
      <c r="C103" s="110"/>
      <c r="D103" s="110"/>
      <c r="E103" s="110"/>
      <c r="F103" s="110"/>
      <c r="G103" s="110"/>
      <c r="H103" s="108"/>
      <c r="I103" s="111"/>
      <c r="J103" s="108"/>
      <c r="K103" s="110"/>
      <c r="L103" s="108"/>
      <c r="M103" s="32"/>
      <c r="N103" s="33"/>
      <c r="O103" s="40"/>
      <c r="P103" s="35"/>
      <c r="Q103" s="33"/>
      <c r="R103" s="33"/>
      <c r="S103" s="35"/>
      <c r="T103" s="35"/>
      <c r="U103" s="33"/>
      <c r="V103" s="36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</row>
    <row r="104">
      <c r="A104" s="99" t="s">
        <v>21</v>
      </c>
      <c r="B104" s="100">
        <v>44296.0</v>
      </c>
      <c r="C104" s="22">
        <v>297144.0</v>
      </c>
      <c r="D104" s="23">
        <v>157530.0</v>
      </c>
      <c r="E104" s="24">
        <f>2000+600+500+720+160</f>
        <v>3980</v>
      </c>
      <c r="F104" s="25">
        <f>2000+200+5000</f>
        <v>7200</v>
      </c>
      <c r="G104" s="101">
        <f>15250+74710</f>
        <v>89960</v>
      </c>
      <c r="H104" s="27">
        <v>49989.0</v>
      </c>
      <c r="I104" s="28"/>
      <c r="J104" s="29"/>
      <c r="K104" s="30">
        <v>77699.0</v>
      </c>
      <c r="L104" s="49"/>
      <c r="M104" s="39"/>
      <c r="N104" s="108"/>
      <c r="O104" s="109"/>
      <c r="P104" s="110"/>
      <c r="Q104" s="108"/>
      <c r="R104" s="108"/>
      <c r="S104" s="110"/>
      <c r="T104" s="110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</row>
    <row r="105">
      <c r="A105" s="99" t="s">
        <v>22</v>
      </c>
      <c r="B105" s="100">
        <v>44297.0</v>
      </c>
      <c r="C105" s="22">
        <v>321850.0</v>
      </c>
      <c r="D105" s="23">
        <v>164719.0</v>
      </c>
      <c r="E105" s="24">
        <f>1300+3400+400+500</f>
        <v>5600</v>
      </c>
      <c r="F105" s="25">
        <v>7000.0</v>
      </c>
      <c r="G105" s="101">
        <f>59630+11390</f>
        <v>71020</v>
      </c>
      <c r="H105" s="27">
        <v>72497.0</v>
      </c>
      <c r="I105" s="28"/>
      <c r="J105" s="29"/>
      <c r="K105" s="30">
        <v>120221.0</v>
      </c>
      <c r="L105" s="49"/>
      <c r="M105" s="32"/>
      <c r="N105" s="33"/>
      <c r="O105" s="40"/>
      <c r="P105" s="35"/>
      <c r="Q105" s="33"/>
      <c r="R105" s="33"/>
      <c r="S105" s="35"/>
      <c r="T105" s="35"/>
      <c r="U105" s="33"/>
      <c r="V105" s="36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</row>
    <row r="106">
      <c r="A106" s="99" t="s">
        <v>32</v>
      </c>
      <c r="B106" s="100">
        <v>44298.0</v>
      </c>
      <c r="C106" s="22">
        <v>417495.0</v>
      </c>
      <c r="D106" s="23">
        <v>275315.0</v>
      </c>
      <c r="E106" s="24">
        <f>2000+1300+250+600+50+70</f>
        <v>4270</v>
      </c>
      <c r="F106" s="25">
        <f>2000+5000-200</f>
        <v>6800</v>
      </c>
      <c r="G106" s="101">
        <f>14180+110776</f>
        <v>124956</v>
      </c>
      <c r="H106" s="27">
        <v>103988.0</v>
      </c>
      <c r="I106" s="28"/>
      <c r="J106" s="29"/>
      <c r="K106" s="30">
        <v>115330.0</v>
      </c>
      <c r="L106" s="49"/>
      <c r="M106" s="32"/>
      <c r="N106" s="33"/>
      <c r="O106" s="40"/>
      <c r="P106" s="35"/>
      <c r="Q106" s="33"/>
      <c r="R106" s="33"/>
      <c r="S106" s="35"/>
      <c r="T106" s="35"/>
      <c r="U106" s="33"/>
      <c r="V106" s="36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</row>
    <row r="107">
      <c r="A107" s="99" t="s">
        <v>24</v>
      </c>
      <c r="B107" s="100">
        <v>44299.0</v>
      </c>
      <c r="C107" s="22">
        <v>423972.0</v>
      </c>
      <c r="D107" s="23">
        <v>234467.0</v>
      </c>
      <c r="E107" s="24">
        <f>2000+100+1000+500+130</f>
        <v>3730</v>
      </c>
      <c r="F107" s="25">
        <f>2000+300+1500</f>
        <v>3800</v>
      </c>
      <c r="G107" s="101">
        <f>107550+12540</f>
        <v>120090</v>
      </c>
      <c r="H107" s="27">
        <v>79350.0</v>
      </c>
      <c r="I107" s="28"/>
      <c r="J107" s="29"/>
      <c r="K107" s="30">
        <v>116000.0</v>
      </c>
      <c r="L107" s="49"/>
      <c r="M107" s="32"/>
      <c r="N107" s="33"/>
      <c r="O107" s="40"/>
      <c r="P107" s="35"/>
      <c r="Q107" s="33"/>
      <c r="R107" s="33"/>
      <c r="S107" s="35"/>
      <c r="T107" s="35"/>
      <c r="U107" s="33"/>
      <c r="V107" s="36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</row>
    <row r="108">
      <c r="A108" s="99" t="s">
        <v>25</v>
      </c>
      <c r="B108" s="100">
        <v>44300.0</v>
      </c>
      <c r="C108" s="22">
        <v>368293.0</v>
      </c>
      <c r="D108" s="23">
        <v>248888.0</v>
      </c>
      <c r="E108" s="24">
        <v>2300.0</v>
      </c>
      <c r="F108" s="25">
        <v>1200.0</v>
      </c>
      <c r="G108" s="101">
        <f>91190+22050</f>
        <v>113240</v>
      </c>
      <c r="H108" s="27">
        <v>78250.0</v>
      </c>
      <c r="I108" s="28"/>
      <c r="J108" s="29"/>
      <c r="K108" s="30">
        <v>99305.0</v>
      </c>
      <c r="L108" s="49"/>
      <c r="M108" s="32"/>
      <c r="N108" s="33"/>
      <c r="O108" s="40"/>
      <c r="P108" s="35"/>
      <c r="Q108" s="33"/>
      <c r="R108" s="33"/>
      <c r="S108" s="35"/>
      <c r="T108" s="35"/>
      <c r="U108" s="33"/>
      <c r="V108" s="36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</row>
    <row r="109">
      <c r="A109" s="99" t="s">
        <v>33</v>
      </c>
      <c r="B109" s="100">
        <v>44301.0</v>
      </c>
      <c r="C109" s="22">
        <v>233346.0</v>
      </c>
      <c r="D109" s="23">
        <v>161257.0</v>
      </c>
      <c r="E109" s="24">
        <f>900+2500+550+580+230</f>
        <v>4760</v>
      </c>
      <c r="F109" s="25">
        <f>3200+4000</f>
        <v>7200</v>
      </c>
      <c r="G109" s="101">
        <f>54340+38260</f>
        <v>92600</v>
      </c>
      <c r="H109" s="27">
        <v>10400.0</v>
      </c>
      <c r="I109" s="28"/>
      <c r="J109" s="29"/>
      <c r="K109" s="30"/>
      <c r="L109" s="49"/>
      <c r="M109" s="32"/>
      <c r="N109" s="33"/>
      <c r="O109" s="40"/>
      <c r="P109" s="35"/>
      <c r="Q109" s="33"/>
      <c r="R109" s="33"/>
      <c r="S109" s="35"/>
      <c r="T109" s="35"/>
      <c r="U109" s="33"/>
      <c r="V109" s="36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</row>
    <row r="110">
      <c r="A110" s="105" t="s">
        <v>27</v>
      </c>
      <c r="B110" s="100">
        <v>44302.0</v>
      </c>
      <c r="C110" s="44"/>
      <c r="D110" s="44"/>
      <c r="E110" s="44"/>
      <c r="F110" s="44"/>
      <c r="G110" s="44"/>
      <c r="H110" s="44"/>
      <c r="I110" s="28"/>
      <c r="J110" s="44"/>
      <c r="K110" s="44"/>
      <c r="L110" s="44"/>
      <c r="M110" s="32"/>
      <c r="N110" s="33"/>
      <c r="O110" s="40"/>
      <c r="P110" s="35"/>
      <c r="Q110" s="33"/>
      <c r="R110" s="33"/>
      <c r="S110" s="35"/>
      <c r="T110" s="35"/>
      <c r="U110" s="33"/>
      <c r="V110" s="36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</row>
    <row r="111">
      <c r="A111" s="99" t="s">
        <v>21</v>
      </c>
      <c r="B111" s="100">
        <v>44303.0</v>
      </c>
      <c r="C111" s="22">
        <v>308242.0</v>
      </c>
      <c r="D111" s="23">
        <v>191820.0</v>
      </c>
      <c r="E111" s="24">
        <f>2300</f>
        <v>2300</v>
      </c>
      <c r="F111" s="25">
        <f>3200+1000</f>
        <v>4200</v>
      </c>
      <c r="G111" s="101">
        <f>37120+30460</f>
        <v>67580</v>
      </c>
      <c r="H111" s="27">
        <v>65480.0</v>
      </c>
      <c r="I111" s="28"/>
      <c r="J111" s="29"/>
      <c r="K111" s="30">
        <v>111072.0</v>
      </c>
      <c r="L111" s="49"/>
      <c r="M111" s="39"/>
      <c r="N111" s="108"/>
      <c r="O111" s="109"/>
      <c r="P111" s="110"/>
      <c r="Q111" s="108"/>
      <c r="R111" s="108"/>
      <c r="S111" s="110"/>
      <c r="T111" s="110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</row>
    <row r="112">
      <c r="A112" s="99" t="s">
        <v>22</v>
      </c>
      <c r="B112" s="100">
        <v>44304.0</v>
      </c>
      <c r="C112" s="22">
        <v>376560.0</v>
      </c>
      <c r="D112" s="23">
        <v>220660.0</v>
      </c>
      <c r="E112" s="24">
        <v>2100.0</v>
      </c>
      <c r="F112" s="25">
        <v>6500.0</v>
      </c>
      <c r="G112" s="101">
        <f>49060+62550</f>
        <v>111610</v>
      </c>
      <c r="H112" s="27">
        <v>2100.0</v>
      </c>
      <c r="I112" s="28"/>
      <c r="J112" s="29"/>
      <c r="K112" s="30">
        <v>101110.0</v>
      </c>
      <c r="L112" s="49"/>
      <c r="M112" s="32"/>
      <c r="N112" s="35"/>
      <c r="O112" s="40"/>
      <c r="P112" s="35"/>
      <c r="Q112" s="33"/>
      <c r="R112" s="33"/>
      <c r="S112" s="35"/>
      <c r="T112" s="35"/>
      <c r="U112" s="33"/>
      <c r="V112" s="36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</row>
    <row r="113">
      <c r="A113" s="99" t="s">
        <v>32</v>
      </c>
      <c r="B113" s="100">
        <v>44305.0</v>
      </c>
      <c r="C113" s="22">
        <v>387095.0</v>
      </c>
      <c r="D113" s="23">
        <v>207020.0</v>
      </c>
      <c r="E113" s="24">
        <v>1600.0</v>
      </c>
      <c r="F113" s="25">
        <v>8000.0</v>
      </c>
      <c r="G113" s="101">
        <f>27690+74760</f>
        <v>102450</v>
      </c>
      <c r="H113" s="27">
        <v>58200.0</v>
      </c>
      <c r="I113" s="28"/>
      <c r="J113" s="29"/>
      <c r="K113" s="30">
        <v>128185.0</v>
      </c>
      <c r="L113" s="49"/>
      <c r="M113" s="32"/>
      <c r="N113" s="33"/>
      <c r="O113" s="40"/>
      <c r="P113" s="35"/>
      <c r="Q113" s="33"/>
      <c r="R113" s="33"/>
      <c r="S113" s="35"/>
      <c r="T113" s="35"/>
      <c r="U113" s="33"/>
      <c r="V113" s="36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</row>
    <row r="114">
      <c r="A114" s="99" t="s">
        <v>24</v>
      </c>
      <c r="B114" s="100">
        <v>44306.0</v>
      </c>
      <c r="C114" s="22">
        <v>438706.0</v>
      </c>
      <c r="D114" s="23">
        <v>268071.0</v>
      </c>
      <c r="E114" s="24">
        <f>800+500+3000+260+60</f>
        <v>4620</v>
      </c>
      <c r="F114" s="25">
        <f>5000+2300+1000</f>
        <v>8300</v>
      </c>
      <c r="G114" s="101">
        <f>63000+42520</f>
        <v>105520</v>
      </c>
      <c r="H114" s="27">
        <v>106631.0</v>
      </c>
      <c r="I114" s="28"/>
      <c r="J114" s="29"/>
      <c r="K114" s="30">
        <v>108075.0</v>
      </c>
      <c r="L114" s="49"/>
      <c r="M114" s="32"/>
      <c r="N114" s="33"/>
      <c r="O114" s="40"/>
      <c r="P114" s="35"/>
      <c r="Q114" s="33"/>
      <c r="R114" s="33"/>
      <c r="S114" s="35"/>
      <c r="T114" s="35"/>
      <c r="U114" s="33"/>
      <c r="V114" s="36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</row>
    <row r="115">
      <c r="A115" s="99" t="s">
        <v>25</v>
      </c>
      <c r="B115" s="100">
        <v>44307.0</v>
      </c>
      <c r="C115" s="22">
        <v>326782.0</v>
      </c>
      <c r="D115" s="23">
        <v>197140.0</v>
      </c>
      <c r="E115" s="24">
        <v>2600.0</v>
      </c>
      <c r="F115" s="25">
        <v>9000.0</v>
      </c>
      <c r="G115" s="101">
        <f>103230+8760</f>
        <v>111990</v>
      </c>
      <c r="H115" s="27">
        <v>35450.0</v>
      </c>
      <c r="I115" s="28"/>
      <c r="J115" s="29"/>
      <c r="K115" s="30">
        <v>102622.0</v>
      </c>
      <c r="L115" s="49"/>
      <c r="M115" s="32"/>
      <c r="N115" s="33"/>
      <c r="O115" s="40"/>
      <c r="P115" s="35"/>
      <c r="Q115" s="33"/>
      <c r="R115" s="33"/>
      <c r="S115" s="35"/>
      <c r="T115" s="35"/>
      <c r="U115" s="33"/>
      <c r="V115" s="36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</row>
    <row r="116">
      <c r="A116" s="99" t="s">
        <v>33</v>
      </c>
      <c r="B116" s="100">
        <v>44308.0</v>
      </c>
      <c r="C116" s="22">
        <v>315500.0</v>
      </c>
      <c r="D116" s="23">
        <v>200710.0</v>
      </c>
      <c r="E116" s="24">
        <f>1000+1000+2600+200+300+380</f>
        <v>5480</v>
      </c>
      <c r="F116" s="25">
        <f>3000+3900</f>
        <v>6900</v>
      </c>
      <c r="G116" s="101">
        <f>37850+78380</f>
        <v>116230</v>
      </c>
      <c r="H116" s="27">
        <v>25690.0</v>
      </c>
      <c r="I116" s="28"/>
      <c r="J116" s="29"/>
      <c r="K116" s="30">
        <v>105870.0</v>
      </c>
      <c r="L116" s="49"/>
      <c r="M116" s="32"/>
      <c r="N116" s="33"/>
      <c r="O116" s="40"/>
      <c r="P116" s="35"/>
      <c r="Q116" s="33"/>
      <c r="R116" s="33"/>
      <c r="S116" s="35"/>
      <c r="T116" s="35"/>
      <c r="U116" s="33"/>
      <c r="V116" s="36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</row>
    <row r="117">
      <c r="A117" s="105" t="s">
        <v>27</v>
      </c>
      <c r="B117" s="100">
        <v>44309.0</v>
      </c>
      <c r="C117" s="44"/>
      <c r="D117" s="44"/>
      <c r="E117" s="44"/>
      <c r="F117" s="44"/>
      <c r="G117" s="44"/>
      <c r="H117" s="44"/>
      <c r="I117" s="28"/>
      <c r="J117" s="44"/>
      <c r="K117" s="44"/>
      <c r="L117" s="44"/>
      <c r="M117" s="32"/>
      <c r="N117" s="33"/>
      <c r="O117" s="40"/>
      <c r="P117" s="35"/>
      <c r="Q117" s="33"/>
      <c r="R117" s="33"/>
      <c r="S117" s="35"/>
      <c r="T117" s="35"/>
      <c r="U117" s="33"/>
      <c r="V117" s="36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</row>
    <row r="118">
      <c r="A118" s="99" t="s">
        <v>21</v>
      </c>
      <c r="B118" s="100">
        <v>44310.0</v>
      </c>
      <c r="C118" s="22">
        <v>291130.0</v>
      </c>
      <c r="D118" s="23">
        <v>103419.0</v>
      </c>
      <c r="E118" s="24">
        <f>1700+400+200+1000+140</f>
        <v>3440</v>
      </c>
      <c r="F118" s="25">
        <f>3900+4000</f>
        <v>7900</v>
      </c>
      <c r="G118" s="101">
        <f>67630+31140</f>
        <v>98770</v>
      </c>
      <c r="H118" s="27">
        <v>13300.0</v>
      </c>
      <c r="I118" s="28"/>
      <c r="J118" s="29"/>
      <c r="K118" s="30">
        <v>115790.0</v>
      </c>
      <c r="L118" s="49"/>
      <c r="M118" s="39"/>
      <c r="N118" s="108"/>
      <c r="O118" s="109"/>
      <c r="P118" s="110"/>
      <c r="Q118" s="108"/>
      <c r="R118" s="108"/>
      <c r="S118" s="110"/>
      <c r="T118" s="110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</row>
    <row r="119">
      <c r="A119" s="99" t="s">
        <v>22</v>
      </c>
      <c r="B119" s="100">
        <v>44311.0</v>
      </c>
      <c r="C119" s="22">
        <v>363930.0</v>
      </c>
      <c r="D119" s="23">
        <v>190150.0</v>
      </c>
      <c r="E119" s="24">
        <v>2300.0</v>
      </c>
      <c r="F119" s="25">
        <v>3400.0</v>
      </c>
      <c r="G119" s="101">
        <f>101970+7930</f>
        <v>109900</v>
      </c>
      <c r="H119" s="27">
        <v>45250.0</v>
      </c>
      <c r="I119" s="28"/>
      <c r="J119" s="29">
        <v>104590.0</v>
      </c>
      <c r="K119" s="30">
        <v>121520.0</v>
      </c>
      <c r="L119" s="49" t="s">
        <v>36</v>
      </c>
      <c r="M119" s="32"/>
      <c r="N119" s="33"/>
      <c r="O119" s="40"/>
      <c r="P119" s="35"/>
      <c r="Q119" s="33"/>
      <c r="R119" s="33"/>
      <c r="S119" s="35"/>
      <c r="T119" s="35"/>
      <c r="U119" s="33"/>
      <c r="V119" s="36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</row>
    <row r="120">
      <c r="A120" s="99" t="s">
        <v>32</v>
      </c>
      <c r="B120" s="100">
        <v>44312.0</v>
      </c>
      <c r="C120" s="22">
        <v>366950.0</v>
      </c>
      <c r="D120" s="23">
        <v>267960.0</v>
      </c>
      <c r="E120" s="24">
        <v>2200.0</v>
      </c>
      <c r="F120" s="25">
        <v>3400.0</v>
      </c>
      <c r="G120" s="101">
        <f>114250+13130</f>
        <v>127380</v>
      </c>
      <c r="H120" s="27">
        <v>54758.0</v>
      </c>
      <c r="I120" s="28"/>
      <c r="J120" s="29"/>
      <c r="K120" s="30">
        <v>87340.0</v>
      </c>
      <c r="L120" s="49"/>
      <c r="M120" s="32"/>
      <c r="N120" s="33"/>
      <c r="O120" s="40"/>
      <c r="P120" s="35"/>
      <c r="Q120" s="33"/>
      <c r="R120" s="33"/>
      <c r="S120" s="35"/>
      <c r="T120" s="35"/>
      <c r="U120" s="33"/>
      <c r="V120" s="36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</row>
    <row r="121">
      <c r="A121" s="99" t="s">
        <v>24</v>
      </c>
      <c r="B121" s="100">
        <v>44313.0</v>
      </c>
      <c r="C121" s="22">
        <v>480030.0</v>
      </c>
      <c r="D121" s="23">
        <v>288100.0</v>
      </c>
      <c r="E121" s="24">
        <v>3600.0</v>
      </c>
      <c r="F121" s="25">
        <v>3400.0</v>
      </c>
      <c r="G121" s="101">
        <v>163310.0</v>
      </c>
      <c r="H121" s="27">
        <v>86610.0</v>
      </c>
      <c r="I121" s="28"/>
      <c r="J121" s="29">
        <v>109770.0</v>
      </c>
      <c r="K121" s="30">
        <v>120670.0</v>
      </c>
      <c r="L121" s="49"/>
      <c r="M121" s="32"/>
      <c r="N121" s="33"/>
      <c r="O121" s="40"/>
      <c r="P121" s="35"/>
      <c r="Q121" s="33"/>
      <c r="R121" s="33"/>
      <c r="S121" s="35"/>
      <c r="T121" s="35"/>
      <c r="U121" s="33"/>
      <c r="V121" s="36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</row>
    <row r="122">
      <c r="A122" s="99" t="s">
        <v>25</v>
      </c>
      <c r="B122" s="100">
        <v>44314.0</v>
      </c>
      <c r="C122" s="22">
        <v>315810.0</v>
      </c>
      <c r="D122" s="23">
        <v>257250.0</v>
      </c>
      <c r="E122" s="24">
        <v>2600.0</v>
      </c>
      <c r="F122" s="25">
        <v>4900.0</v>
      </c>
      <c r="G122" s="101">
        <v>96960.0</v>
      </c>
      <c r="H122" s="27">
        <v>52570.0</v>
      </c>
      <c r="I122" s="28"/>
      <c r="J122" s="29">
        <v>76390.0</v>
      </c>
      <c r="K122" s="30">
        <v>95120.0</v>
      </c>
      <c r="L122" s="49"/>
      <c r="M122" s="32"/>
      <c r="N122" s="33"/>
      <c r="O122" s="40"/>
      <c r="P122" s="35"/>
      <c r="Q122" s="33"/>
      <c r="R122" s="33"/>
      <c r="S122" s="35"/>
      <c r="T122" s="35"/>
      <c r="U122" s="33"/>
      <c r="V122" s="36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</row>
    <row r="123">
      <c r="A123" s="99" t="s">
        <v>26</v>
      </c>
      <c r="B123" s="100">
        <v>44315.0</v>
      </c>
      <c r="C123" s="22">
        <v>232800.0</v>
      </c>
      <c r="D123" s="23">
        <v>153450.0</v>
      </c>
      <c r="E123" s="24">
        <f>2100+250+240+130+500</f>
        <v>3220</v>
      </c>
      <c r="F123" s="25">
        <f>4000+500+2000+700+1200+500-1000</f>
        <v>7900</v>
      </c>
      <c r="G123" s="101">
        <f>1600+101380+12480</f>
        <v>115460</v>
      </c>
      <c r="H123" s="27">
        <v>6590.0</v>
      </c>
      <c r="I123" s="28"/>
      <c r="J123" s="29"/>
      <c r="K123" s="30">
        <v>81450.0</v>
      </c>
      <c r="L123" s="49"/>
      <c r="M123" s="39"/>
      <c r="N123" s="33"/>
      <c r="O123" s="40"/>
      <c r="P123" s="35"/>
      <c r="Q123" s="33"/>
      <c r="R123" s="33"/>
      <c r="S123" s="35"/>
      <c r="T123" s="35"/>
      <c r="U123" s="33"/>
      <c r="V123" s="36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</row>
    <row r="124">
      <c r="A124" s="134" t="s">
        <v>28</v>
      </c>
      <c r="B124" s="135" t="s">
        <v>37</v>
      </c>
      <c r="C124" s="136">
        <f>SUM(C95:C123)</f>
        <v>8757068</v>
      </c>
      <c r="D124" s="136"/>
      <c r="E124" s="136"/>
      <c r="F124" s="136"/>
      <c r="G124" s="136">
        <f t="shared" ref="G124:H124" si="5">SUM(G95:G123)</f>
        <v>2791186</v>
      </c>
      <c r="H124" s="136">
        <f t="shared" si="5"/>
        <v>1398201</v>
      </c>
      <c r="I124" s="137"/>
      <c r="J124" s="136"/>
      <c r="K124" s="73">
        <f>SUM(K95:K123)</f>
        <v>2504025</v>
      </c>
      <c r="L124" s="125"/>
      <c r="M124" s="138"/>
      <c r="N124" s="97"/>
      <c r="O124" s="98"/>
      <c r="P124" s="73"/>
      <c r="Q124" s="97"/>
      <c r="R124" s="97"/>
      <c r="S124" s="73"/>
      <c r="T124" s="73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</row>
    <row r="125">
      <c r="A125" s="99" t="s">
        <v>21</v>
      </c>
      <c r="B125" s="100">
        <v>44318.0</v>
      </c>
      <c r="C125" s="22" t="s">
        <v>38</v>
      </c>
      <c r="D125" s="23" t="s">
        <v>38</v>
      </c>
      <c r="E125" s="24" t="s">
        <v>38</v>
      </c>
      <c r="F125" s="25" t="s">
        <v>38</v>
      </c>
      <c r="G125" s="101" t="s">
        <v>38</v>
      </c>
      <c r="H125" s="27" t="s">
        <v>38</v>
      </c>
      <c r="I125" s="139"/>
      <c r="J125" s="140" t="s">
        <v>38</v>
      </c>
      <c r="K125" s="30" t="s">
        <v>38</v>
      </c>
      <c r="L125" s="140" t="s">
        <v>38</v>
      </c>
      <c r="M125" s="141"/>
      <c r="N125" s="125"/>
      <c r="O125" s="126"/>
      <c r="P125" s="127"/>
      <c r="Q125" s="125"/>
      <c r="R125" s="125"/>
      <c r="S125" s="127"/>
      <c r="T125" s="127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8"/>
    </row>
    <row r="126">
      <c r="A126" s="99" t="s">
        <v>22</v>
      </c>
      <c r="B126" s="100">
        <v>44319.0</v>
      </c>
      <c r="C126" s="22">
        <v>342945.0</v>
      </c>
      <c r="D126" s="23">
        <v>164880.0</v>
      </c>
      <c r="E126" s="24">
        <v>3190.0</v>
      </c>
      <c r="F126" s="25">
        <v>14900.0</v>
      </c>
      <c r="G126" s="101">
        <v>93530.0</v>
      </c>
      <c r="H126" s="27">
        <v>45790.0</v>
      </c>
      <c r="I126" s="28"/>
      <c r="J126" s="29">
        <v>106410.0</v>
      </c>
      <c r="K126" s="30">
        <v>103955.0</v>
      </c>
      <c r="L126" s="49"/>
      <c r="M126" s="32"/>
      <c r="N126" s="33"/>
      <c r="O126" s="40"/>
      <c r="P126" s="35"/>
      <c r="Q126" s="33"/>
      <c r="R126" s="33"/>
      <c r="S126" s="35"/>
      <c r="T126" s="35"/>
      <c r="U126" s="33"/>
      <c r="V126" s="36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</row>
    <row r="127">
      <c r="A127" s="99" t="s">
        <v>23</v>
      </c>
      <c r="B127" s="100">
        <v>44320.0</v>
      </c>
      <c r="C127" s="22">
        <v>447177.0</v>
      </c>
      <c r="D127" s="23">
        <v>285697.0</v>
      </c>
      <c r="E127" s="24">
        <v>3800.0</v>
      </c>
      <c r="F127" s="25">
        <v>14900.0</v>
      </c>
      <c r="G127" s="101">
        <v>164630.0</v>
      </c>
      <c r="H127" s="27">
        <v>108567.0</v>
      </c>
      <c r="I127" s="28"/>
      <c r="J127" s="29">
        <v>97000.0</v>
      </c>
      <c r="K127" s="30">
        <v>84330.0</v>
      </c>
      <c r="L127" s="49"/>
      <c r="M127" s="32"/>
      <c r="N127" s="33"/>
      <c r="O127" s="40"/>
      <c r="P127" s="35"/>
      <c r="Q127" s="33"/>
      <c r="R127" s="33"/>
      <c r="S127" s="35"/>
      <c r="T127" s="35"/>
      <c r="U127" s="33"/>
      <c r="V127" s="36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</row>
    <row r="128">
      <c r="A128" s="99" t="s">
        <v>24</v>
      </c>
      <c r="B128" s="100">
        <v>44321.0</v>
      </c>
      <c r="C128" s="22">
        <v>397110.0</v>
      </c>
      <c r="D128" s="23">
        <v>224720.0</v>
      </c>
      <c r="E128" s="24">
        <f>500+800+2500+400+130</f>
        <v>4330</v>
      </c>
      <c r="F128" s="25">
        <f>4500+5000</f>
        <v>9500</v>
      </c>
      <c r="G128" s="101">
        <f>77610+29480</f>
        <v>107090</v>
      </c>
      <c r="H128" s="27">
        <v>87760.0</v>
      </c>
      <c r="I128" s="28"/>
      <c r="J128" s="29"/>
      <c r="K128" s="30">
        <v>106300.0</v>
      </c>
      <c r="L128" s="49"/>
      <c r="M128" s="32"/>
      <c r="N128" s="33"/>
      <c r="O128" s="40"/>
      <c r="P128" s="35"/>
      <c r="Q128" s="33"/>
      <c r="R128" s="33"/>
      <c r="S128" s="35"/>
      <c r="T128" s="35"/>
      <c r="U128" s="33"/>
      <c r="V128" s="36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</row>
    <row r="129">
      <c r="A129" s="99" t="s">
        <v>25</v>
      </c>
      <c r="B129" s="100">
        <v>44322.0</v>
      </c>
      <c r="C129" s="22">
        <v>352160.0</v>
      </c>
      <c r="D129" s="23">
        <v>215280.0</v>
      </c>
      <c r="E129" s="24">
        <v>4500.0</v>
      </c>
      <c r="F129" s="25">
        <v>17000.0</v>
      </c>
      <c r="G129" s="101">
        <f>57620+63340</f>
        <v>120960</v>
      </c>
      <c r="H129" s="27">
        <v>50770.0</v>
      </c>
      <c r="I129" s="28"/>
      <c r="J129" s="29"/>
      <c r="K129" s="30">
        <v>110250.0</v>
      </c>
      <c r="L129" s="49"/>
      <c r="M129" s="32"/>
      <c r="N129" s="33"/>
      <c r="O129" s="40"/>
      <c r="P129" s="35"/>
      <c r="Q129" s="33"/>
      <c r="R129" s="33"/>
      <c r="S129" s="35"/>
      <c r="T129" s="35"/>
      <c r="U129" s="33"/>
      <c r="V129" s="36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</row>
    <row r="130">
      <c r="A130" s="99" t="s">
        <v>26</v>
      </c>
      <c r="B130" s="100">
        <v>44323.0</v>
      </c>
      <c r="C130" s="22">
        <v>274310.0</v>
      </c>
      <c r="D130" s="23">
        <v>160750.0</v>
      </c>
      <c r="E130" s="24">
        <f>500+1700+300+380+40</f>
        <v>2920</v>
      </c>
      <c r="F130" s="25">
        <f>7000+1000+1000+1000+1000+800+500+1000+300</f>
        <v>13600</v>
      </c>
      <c r="G130" s="101">
        <f>1100+116970</f>
        <v>118070</v>
      </c>
      <c r="H130" s="27">
        <v>26520.0</v>
      </c>
      <c r="I130" s="28"/>
      <c r="J130" s="29"/>
      <c r="K130" s="30">
        <v>75260.0</v>
      </c>
      <c r="L130" s="49"/>
      <c r="M130" s="32"/>
      <c r="N130" s="33"/>
      <c r="O130" s="40"/>
      <c r="P130" s="35"/>
      <c r="Q130" s="33"/>
      <c r="R130" s="33"/>
      <c r="S130" s="35"/>
      <c r="T130" s="35"/>
      <c r="U130" s="33"/>
      <c r="V130" s="36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</row>
    <row r="131">
      <c r="A131" s="105" t="s">
        <v>27</v>
      </c>
      <c r="B131" s="43">
        <v>44324.0</v>
      </c>
      <c r="C131" s="110"/>
      <c r="D131" s="23"/>
      <c r="E131" s="110"/>
      <c r="F131" s="110"/>
      <c r="G131" s="110"/>
      <c r="H131" s="142"/>
      <c r="I131" s="111"/>
      <c r="J131" s="108"/>
      <c r="K131" s="30"/>
      <c r="L131" s="108"/>
      <c r="M131" s="39"/>
      <c r="N131" s="33"/>
      <c r="O131" s="40"/>
      <c r="P131" s="35"/>
      <c r="Q131" s="33"/>
      <c r="R131" s="33"/>
      <c r="S131" s="35"/>
      <c r="T131" s="35"/>
      <c r="U131" s="33"/>
      <c r="V131" s="36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</row>
    <row r="132">
      <c r="A132" s="99" t="s">
        <v>21</v>
      </c>
      <c r="B132" s="100">
        <v>44325.0</v>
      </c>
      <c r="C132" s="22">
        <v>334210.0</v>
      </c>
      <c r="D132" s="23">
        <v>241130.0</v>
      </c>
      <c r="E132" s="24">
        <v>3000.0</v>
      </c>
      <c r="F132" s="25">
        <v>14000.0</v>
      </c>
      <c r="G132" s="101">
        <v>101420.0</v>
      </c>
      <c r="H132" s="27">
        <v>83890.0</v>
      </c>
      <c r="I132" s="28"/>
      <c r="J132" s="29">
        <v>68290.0</v>
      </c>
      <c r="K132" s="30">
        <v>74070.0</v>
      </c>
      <c r="L132" s="49"/>
      <c r="M132" s="32"/>
      <c r="N132" s="33"/>
      <c r="O132" s="40"/>
      <c r="P132" s="35"/>
      <c r="Q132" s="33"/>
      <c r="R132" s="33"/>
      <c r="S132" s="35"/>
      <c r="T132" s="35"/>
      <c r="U132" s="33"/>
      <c r="V132" s="36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</row>
    <row r="133">
      <c r="A133" s="99" t="s">
        <v>22</v>
      </c>
      <c r="B133" s="100">
        <v>44326.0</v>
      </c>
      <c r="C133" s="22">
        <v>430267.0</v>
      </c>
      <c r="D133" s="23">
        <v>283557.0</v>
      </c>
      <c r="E133" s="24">
        <v>2500.0</v>
      </c>
      <c r="F133" s="25">
        <v>14000.0</v>
      </c>
      <c r="G133" s="101">
        <f>25580+79632</f>
        <v>105212</v>
      </c>
      <c r="H133" s="27">
        <v>127720.0</v>
      </c>
      <c r="I133" s="28"/>
      <c r="J133" s="29">
        <v>182052.0</v>
      </c>
      <c r="K133" s="30">
        <v>100000.0</v>
      </c>
      <c r="L133" s="49"/>
      <c r="M133" s="32"/>
      <c r="N133" s="33"/>
      <c r="O133" s="40"/>
      <c r="P133" s="35"/>
      <c r="Q133" s="33"/>
      <c r="R133" s="33"/>
      <c r="S133" s="35"/>
      <c r="T133" s="35"/>
      <c r="U133" s="33"/>
      <c r="V133" s="36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</row>
    <row r="134">
      <c r="A134" s="99" t="s">
        <v>23</v>
      </c>
      <c r="B134" s="100">
        <v>44327.0</v>
      </c>
      <c r="C134" s="22">
        <v>446831.0</v>
      </c>
      <c r="D134" s="23">
        <v>251101.0</v>
      </c>
      <c r="E134" s="24">
        <v>4000.0</v>
      </c>
      <c r="F134" s="25"/>
      <c r="G134" s="101">
        <v>135660.0</v>
      </c>
      <c r="H134" s="27">
        <v>96990.0</v>
      </c>
      <c r="I134" s="28"/>
      <c r="J134" s="29">
        <v>115000.0</v>
      </c>
      <c r="K134" s="30">
        <v>97910.0</v>
      </c>
      <c r="L134" s="31"/>
      <c r="M134" s="32"/>
      <c r="N134" s="33"/>
      <c r="O134" s="40"/>
      <c r="P134" s="35"/>
      <c r="Q134" s="33"/>
      <c r="R134" s="33"/>
      <c r="S134" s="35"/>
      <c r="T134" s="35"/>
      <c r="U134" s="33"/>
      <c r="V134" s="36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</row>
    <row r="135">
      <c r="A135" s="99" t="s">
        <v>24</v>
      </c>
      <c r="B135" s="100">
        <v>44328.0</v>
      </c>
      <c r="C135" s="22">
        <v>422070.0</v>
      </c>
      <c r="D135" s="23">
        <v>244190.0</v>
      </c>
      <c r="E135" s="24">
        <f>1400+100+2400+480+300</f>
        <v>4680</v>
      </c>
      <c r="F135" s="25">
        <f>6800+4000</f>
        <v>10800</v>
      </c>
      <c r="G135" s="101">
        <f>100340+20410</f>
        <v>120750</v>
      </c>
      <c r="H135" s="27">
        <v>107700.0</v>
      </c>
      <c r="I135" s="28"/>
      <c r="J135" s="29"/>
      <c r="K135" s="30">
        <v>92240.0</v>
      </c>
      <c r="L135" s="31"/>
      <c r="M135" s="32"/>
      <c r="N135" s="33"/>
      <c r="O135" s="40"/>
      <c r="P135" s="35"/>
      <c r="Q135" s="33"/>
      <c r="R135" s="33"/>
      <c r="S135" s="35"/>
      <c r="T135" s="35"/>
      <c r="U135" s="33"/>
      <c r="V135" s="36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</row>
    <row r="136">
      <c r="A136" s="99" t="s">
        <v>25</v>
      </c>
      <c r="B136" s="100">
        <v>44329.0</v>
      </c>
      <c r="C136" s="22">
        <v>334417.0</v>
      </c>
      <c r="D136" s="23">
        <v>169457.0</v>
      </c>
      <c r="E136" s="24"/>
      <c r="F136" s="25"/>
      <c r="G136" s="101">
        <v>96150.0</v>
      </c>
      <c r="H136" s="27">
        <v>87437.0</v>
      </c>
      <c r="I136" s="28"/>
      <c r="J136" s="29">
        <v>35940.0</v>
      </c>
      <c r="K136" s="30">
        <v>113390.0</v>
      </c>
      <c r="L136" s="31"/>
      <c r="M136" s="39"/>
      <c r="N136" s="33"/>
      <c r="O136" s="40"/>
      <c r="P136" s="35"/>
      <c r="Q136" s="33"/>
      <c r="R136" s="33"/>
      <c r="S136" s="35"/>
      <c r="T136" s="35"/>
      <c r="U136" s="33"/>
      <c r="V136" s="36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</row>
    <row r="137">
      <c r="A137" s="99" t="s">
        <v>26</v>
      </c>
      <c r="B137" s="100">
        <v>44330.0</v>
      </c>
      <c r="C137" s="22">
        <v>286520.0</v>
      </c>
      <c r="D137" s="23">
        <v>159940.0</v>
      </c>
      <c r="E137" s="24">
        <v>2800.0</v>
      </c>
      <c r="F137" s="25">
        <v>12000.0</v>
      </c>
      <c r="G137" s="101">
        <f>70290+23920</f>
        <v>94210</v>
      </c>
      <c r="H137" s="27">
        <v>37000.0</v>
      </c>
      <c r="I137" s="28"/>
      <c r="J137" s="29">
        <v>40950.0</v>
      </c>
      <c r="K137" s="30">
        <v>111760.0</v>
      </c>
      <c r="L137" s="49"/>
      <c r="M137" s="32"/>
      <c r="N137" s="33"/>
      <c r="O137" s="40"/>
      <c r="P137" s="35"/>
      <c r="Q137" s="33"/>
      <c r="R137" s="33"/>
      <c r="S137" s="35"/>
      <c r="T137" s="35"/>
      <c r="U137" s="33"/>
      <c r="V137" s="36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</row>
    <row r="138">
      <c r="A138" s="105" t="s">
        <v>27</v>
      </c>
      <c r="B138" s="43">
        <v>44331.0</v>
      </c>
      <c r="C138" s="110"/>
      <c r="D138" s="23"/>
      <c r="E138" s="110"/>
      <c r="F138" s="110"/>
      <c r="G138" s="110"/>
      <c r="H138" s="27"/>
      <c r="I138" s="28"/>
      <c r="J138" s="110"/>
      <c r="K138" s="30"/>
      <c r="L138" s="108"/>
      <c r="M138" s="39"/>
      <c r="N138" s="33"/>
      <c r="O138" s="40"/>
      <c r="P138" s="35"/>
      <c r="Q138" s="33"/>
      <c r="R138" s="33"/>
      <c r="S138" s="35"/>
      <c r="T138" s="35"/>
      <c r="U138" s="33"/>
      <c r="V138" s="36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</row>
    <row r="139">
      <c r="A139" s="99" t="s">
        <v>21</v>
      </c>
      <c r="B139" s="100">
        <v>44332.0</v>
      </c>
      <c r="C139" s="22">
        <v>310024.0</v>
      </c>
      <c r="D139" s="23">
        <v>160884.0</v>
      </c>
      <c r="E139" s="24">
        <v>4000.0</v>
      </c>
      <c r="F139" s="25">
        <v>17800.0</v>
      </c>
      <c r="G139" s="101">
        <v>94460.0</v>
      </c>
      <c r="H139" s="27">
        <v>79272.0</v>
      </c>
      <c r="I139" s="28"/>
      <c r="J139" s="29">
        <v>39280.0</v>
      </c>
      <c r="K139" s="30">
        <v>114700.0</v>
      </c>
      <c r="L139" s="49"/>
      <c r="M139" s="32"/>
      <c r="N139" s="33"/>
      <c r="O139" s="40"/>
      <c r="P139" s="35"/>
      <c r="Q139" s="33"/>
      <c r="R139" s="33"/>
      <c r="S139" s="35"/>
      <c r="T139" s="35"/>
      <c r="U139" s="33"/>
      <c r="V139" s="36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</row>
    <row r="140">
      <c r="A140" s="99" t="s">
        <v>22</v>
      </c>
      <c r="B140" s="100">
        <v>44333.0</v>
      </c>
      <c r="C140" s="22">
        <v>279260.0</v>
      </c>
      <c r="D140" s="23">
        <v>154600.0</v>
      </c>
      <c r="E140" s="24">
        <v>3700.0</v>
      </c>
      <c r="F140" s="25">
        <v>14000.0</v>
      </c>
      <c r="G140" s="101">
        <f>65420+25800</f>
        <v>91220</v>
      </c>
      <c r="H140" s="27">
        <v>54447.0</v>
      </c>
      <c r="I140" s="28"/>
      <c r="J140" s="29">
        <v>53230.0</v>
      </c>
      <c r="K140" s="30">
        <v>85970.0</v>
      </c>
      <c r="L140" s="49"/>
      <c r="M140" s="32"/>
      <c r="N140" s="33"/>
      <c r="O140" s="40"/>
      <c r="P140" s="35"/>
      <c r="Q140" s="33"/>
      <c r="R140" s="33"/>
      <c r="S140" s="35"/>
      <c r="T140" s="35"/>
      <c r="U140" s="33"/>
      <c r="V140" s="36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</row>
    <row r="141">
      <c r="A141" s="99" t="s">
        <v>23</v>
      </c>
      <c r="B141" s="100">
        <v>44334.0</v>
      </c>
      <c r="C141" s="22">
        <v>321805.0</v>
      </c>
      <c r="D141" s="23">
        <v>178595.0</v>
      </c>
      <c r="E141" s="24">
        <v>6000.0</v>
      </c>
      <c r="F141" s="25">
        <v>17800.0</v>
      </c>
      <c r="G141" s="101">
        <v>122590.0</v>
      </c>
      <c r="H141" s="27">
        <v>66387.0</v>
      </c>
      <c r="I141" s="28"/>
      <c r="J141" s="29">
        <v>57368.0</v>
      </c>
      <c r="K141" s="30">
        <v>67950.0</v>
      </c>
      <c r="L141" s="49"/>
      <c r="M141" s="32"/>
      <c r="N141" s="33"/>
      <c r="O141" s="40"/>
      <c r="P141" s="35"/>
      <c r="Q141" s="33"/>
      <c r="R141" s="33"/>
      <c r="S141" s="35"/>
      <c r="T141" s="35"/>
      <c r="U141" s="33"/>
      <c r="V141" s="36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</row>
    <row r="142">
      <c r="A142" s="99" t="s">
        <v>24</v>
      </c>
      <c r="B142" s="100">
        <v>44335.0</v>
      </c>
      <c r="C142" s="22">
        <v>404729.0</v>
      </c>
      <c r="D142" s="23">
        <v>306429.0</v>
      </c>
      <c r="E142" s="24">
        <v>5000.0</v>
      </c>
      <c r="F142" s="25">
        <v>28000.0</v>
      </c>
      <c r="G142" s="101">
        <v>140314.0</v>
      </c>
      <c r="H142" s="27">
        <v>121347.0</v>
      </c>
      <c r="I142" s="28"/>
      <c r="J142" s="29">
        <v>59310.0</v>
      </c>
      <c r="K142" s="30">
        <v>70250.0</v>
      </c>
      <c r="L142" s="49"/>
      <c r="M142" s="32"/>
      <c r="N142" s="33"/>
      <c r="O142" s="40"/>
      <c r="P142" s="35"/>
      <c r="Q142" s="33"/>
      <c r="R142" s="33"/>
      <c r="S142" s="35"/>
      <c r="T142" s="35"/>
      <c r="U142" s="33"/>
      <c r="V142" s="36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</row>
    <row r="143">
      <c r="A143" s="99" t="s">
        <v>25</v>
      </c>
      <c r="B143" s="100">
        <v>44336.0</v>
      </c>
      <c r="C143" s="22">
        <v>244097.0</v>
      </c>
      <c r="D143" s="23">
        <v>91620.0</v>
      </c>
      <c r="E143" s="24">
        <f>1600+400+280+200</f>
        <v>2480</v>
      </c>
      <c r="F143" s="25">
        <f>2000+2000+2000+1000+800+13000+1000</f>
        <v>21800</v>
      </c>
      <c r="G143" s="35">
        <f>6900+54120</f>
        <v>61020</v>
      </c>
      <c r="H143" s="27">
        <v>54110.0</v>
      </c>
      <c r="I143" s="28"/>
      <c r="J143" s="29"/>
      <c r="K143" s="30">
        <v>72097.0</v>
      </c>
      <c r="L143" s="49"/>
      <c r="M143" s="32"/>
      <c r="N143" s="33"/>
      <c r="O143" s="40"/>
      <c r="P143" s="35"/>
      <c r="Q143" s="33"/>
      <c r="R143" s="33"/>
      <c r="S143" s="35"/>
      <c r="T143" s="35"/>
      <c r="U143" s="33"/>
      <c r="V143" s="36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</row>
    <row r="144">
      <c r="A144" s="99" t="s">
        <v>26</v>
      </c>
      <c r="B144" s="100">
        <v>44337.0</v>
      </c>
      <c r="C144" s="22">
        <v>336895.0</v>
      </c>
      <c r="D144" s="23">
        <v>198237.0</v>
      </c>
      <c r="E144" s="24">
        <f>1200+100+50+360+180</f>
        <v>1890</v>
      </c>
      <c r="F144" s="25">
        <f>800+1000+8000+1000</f>
        <v>10800</v>
      </c>
      <c r="G144" s="101">
        <f>13500+141450</f>
        <v>154950</v>
      </c>
      <c r="H144" s="27">
        <v>54867.0</v>
      </c>
      <c r="I144" s="28"/>
      <c r="J144" s="29"/>
      <c r="K144" s="30">
        <v>99748.0</v>
      </c>
      <c r="L144" s="31"/>
      <c r="M144" s="32"/>
      <c r="N144" s="33"/>
      <c r="O144" s="40"/>
      <c r="P144" s="35"/>
      <c r="Q144" s="33"/>
      <c r="R144" s="33"/>
      <c r="S144" s="35"/>
      <c r="T144" s="35"/>
      <c r="U144" s="33"/>
      <c r="V144" s="36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</row>
    <row r="145">
      <c r="A145" s="105" t="s">
        <v>27</v>
      </c>
      <c r="B145" s="43">
        <v>44338.0</v>
      </c>
      <c r="C145" s="110"/>
      <c r="D145" s="23"/>
      <c r="E145" s="110"/>
      <c r="F145" s="110"/>
      <c r="G145" s="110"/>
      <c r="H145" s="143"/>
      <c r="I145" s="111"/>
      <c r="J145" s="108"/>
      <c r="K145" s="30"/>
      <c r="L145" s="108"/>
      <c r="M145" s="39"/>
      <c r="N145" s="33"/>
      <c r="O145" s="40"/>
      <c r="P145" s="35"/>
      <c r="Q145" s="33"/>
      <c r="R145" s="33"/>
      <c r="S145" s="35"/>
      <c r="T145" s="35"/>
      <c r="U145" s="33"/>
      <c r="V145" s="36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</row>
    <row r="146">
      <c r="A146" s="99" t="s">
        <v>21</v>
      </c>
      <c r="B146" s="100">
        <v>44339.0</v>
      </c>
      <c r="C146" s="22">
        <v>278155.0</v>
      </c>
      <c r="D146" s="23">
        <v>159990.0</v>
      </c>
      <c r="E146" s="24">
        <f>2000+100+800+480+140</f>
        <v>3520</v>
      </c>
      <c r="F146" s="25">
        <f>1000+1000+6000+3000+700+800+800</f>
        <v>13300</v>
      </c>
      <c r="G146" s="101">
        <f>22550+53640</f>
        <v>76190</v>
      </c>
      <c r="H146" s="27">
        <v>51790.0</v>
      </c>
      <c r="I146" s="28"/>
      <c r="J146" s="29"/>
      <c r="K146" s="30">
        <v>75575.0</v>
      </c>
      <c r="L146" s="31"/>
      <c r="M146" s="39"/>
      <c r="N146" s="33"/>
      <c r="O146" s="40"/>
      <c r="P146" s="35"/>
      <c r="Q146" s="33"/>
      <c r="R146" s="33"/>
      <c r="S146" s="35"/>
      <c r="T146" s="35"/>
      <c r="U146" s="33"/>
      <c r="V146" s="36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</row>
    <row r="147">
      <c r="A147" s="99" t="s">
        <v>22</v>
      </c>
      <c r="B147" s="100">
        <v>44340.0</v>
      </c>
      <c r="C147" s="22">
        <v>399080.0</v>
      </c>
      <c r="D147" s="23">
        <v>198050.0</v>
      </c>
      <c r="E147" s="24">
        <v>2700.0</v>
      </c>
      <c r="F147" s="25">
        <v>10800.0</v>
      </c>
      <c r="G147" s="101">
        <f>88760+34680</f>
        <v>123440</v>
      </c>
      <c r="H147" s="27">
        <v>79197.0</v>
      </c>
      <c r="I147" s="28"/>
      <c r="J147" s="29">
        <v>88910.0</v>
      </c>
      <c r="K147" s="30">
        <v>113730.0</v>
      </c>
      <c r="L147" s="31"/>
      <c r="M147" s="39"/>
      <c r="N147" s="33"/>
      <c r="O147" s="40"/>
      <c r="P147" s="35"/>
      <c r="Q147" s="33"/>
      <c r="R147" s="33"/>
      <c r="S147" s="35"/>
      <c r="T147" s="35"/>
      <c r="U147" s="33"/>
      <c r="V147" s="36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</row>
    <row r="148">
      <c r="A148" s="99" t="s">
        <v>23</v>
      </c>
      <c r="B148" s="100">
        <v>44341.0</v>
      </c>
      <c r="C148" s="22">
        <v>311775.0</v>
      </c>
      <c r="D148" s="23">
        <v>172630.0</v>
      </c>
      <c r="E148" s="24">
        <v>5000.0</v>
      </c>
      <c r="F148" s="25">
        <v>12000.0</v>
      </c>
      <c r="G148" s="101">
        <v>109720.0</v>
      </c>
      <c r="H148" s="27">
        <v>74430.0</v>
      </c>
      <c r="I148" s="28"/>
      <c r="J148" s="29">
        <v>41640.0</v>
      </c>
      <c r="K148" s="30">
        <v>93025.0</v>
      </c>
      <c r="L148" s="31"/>
      <c r="M148" s="32"/>
      <c r="N148" s="33"/>
      <c r="O148" s="40"/>
      <c r="P148" s="35"/>
      <c r="Q148" s="33"/>
      <c r="R148" s="33"/>
      <c r="S148" s="35"/>
      <c r="T148" s="35"/>
      <c r="U148" s="33"/>
      <c r="V148" s="36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</row>
    <row r="149">
      <c r="A149" s="99" t="s">
        <v>24</v>
      </c>
      <c r="B149" s="100">
        <v>44342.0</v>
      </c>
      <c r="C149" s="22">
        <v>215450.0</v>
      </c>
      <c r="D149" s="23">
        <v>143000.0</v>
      </c>
      <c r="E149" s="24">
        <f>2000+1700+250+440+110</f>
        <v>4500</v>
      </c>
      <c r="F149" s="25">
        <f>4000+1000+1000+1000+1000+700+500+1000+600+1000+800+1100</f>
        <v>13700</v>
      </c>
      <c r="G149" s="101">
        <f>55810+29800</f>
        <v>85610</v>
      </c>
      <c r="H149" s="27">
        <v>42340.0</v>
      </c>
      <c r="I149" s="28"/>
      <c r="J149" s="29"/>
      <c r="K149" s="30">
        <v>52810.0</v>
      </c>
      <c r="L149" s="49"/>
      <c r="M149" s="32"/>
      <c r="N149" s="33"/>
      <c r="O149" s="40"/>
      <c r="P149" s="35"/>
      <c r="Q149" s="33"/>
      <c r="R149" s="33"/>
      <c r="S149" s="35"/>
      <c r="T149" s="35"/>
      <c r="U149" s="33"/>
      <c r="V149" s="36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</row>
    <row r="150">
      <c r="A150" s="99" t="s">
        <v>25</v>
      </c>
      <c r="B150" s="100">
        <v>44343.0</v>
      </c>
      <c r="C150" s="22">
        <v>304330.0</v>
      </c>
      <c r="D150" s="23">
        <v>185210.0</v>
      </c>
      <c r="E150" s="24">
        <v>4200.0</v>
      </c>
      <c r="F150" s="25"/>
      <c r="G150" s="101">
        <v>102680.0</v>
      </c>
      <c r="H150" s="27">
        <v>62950.0</v>
      </c>
      <c r="I150" s="28"/>
      <c r="J150" s="29">
        <v>55410.0</v>
      </c>
      <c r="K150" s="30">
        <v>96330.0</v>
      </c>
      <c r="L150" s="49"/>
      <c r="M150" s="32"/>
      <c r="N150" s="33"/>
      <c r="O150" s="40"/>
      <c r="P150" s="35"/>
      <c r="Q150" s="33"/>
      <c r="R150" s="33"/>
      <c r="S150" s="35"/>
      <c r="T150" s="35"/>
      <c r="U150" s="33"/>
      <c r="V150" s="36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</row>
    <row r="151">
      <c r="A151" s="99" t="s">
        <v>26</v>
      </c>
      <c r="B151" s="100">
        <v>44344.0</v>
      </c>
      <c r="C151" s="22">
        <v>240494.0</v>
      </c>
      <c r="D151" s="23">
        <v>144749.0</v>
      </c>
      <c r="E151" s="24">
        <f>800+750+280+180+1200+500</f>
        <v>3710</v>
      </c>
      <c r="F151" s="25">
        <f>1000+1200+3000+1000+2000+1000+1000+1000+600+1000+1000+300</f>
        <v>14100</v>
      </c>
      <c r="G151" s="101">
        <f>84630+11490</f>
        <v>96120</v>
      </c>
      <c r="H151" s="27">
        <v>24907.0</v>
      </c>
      <c r="I151" s="28"/>
      <c r="J151" s="29"/>
      <c r="K151" s="30">
        <v>73745.0</v>
      </c>
      <c r="L151" s="31"/>
      <c r="M151" s="39"/>
      <c r="N151" s="33"/>
      <c r="O151" s="40"/>
      <c r="P151" s="35"/>
      <c r="Q151" s="33"/>
      <c r="R151" s="33"/>
      <c r="S151" s="35"/>
      <c r="T151" s="35"/>
      <c r="U151" s="33"/>
      <c r="V151" s="36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</row>
    <row r="152">
      <c r="A152" s="105" t="s">
        <v>27</v>
      </c>
      <c r="B152" s="43"/>
      <c r="C152" s="44"/>
      <c r="D152" s="44"/>
      <c r="E152" s="44"/>
      <c r="F152" s="44"/>
      <c r="G152" s="44"/>
      <c r="H152" s="44"/>
      <c r="I152" s="28"/>
      <c r="J152" s="44"/>
      <c r="K152" s="44"/>
      <c r="L152" s="46"/>
      <c r="M152" s="39"/>
      <c r="N152" s="33"/>
      <c r="O152" s="40"/>
      <c r="P152" s="35"/>
      <c r="Q152" s="33"/>
      <c r="R152" s="33"/>
      <c r="S152" s="35"/>
      <c r="T152" s="35"/>
      <c r="U152" s="33"/>
      <c r="V152" s="36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</row>
    <row r="153">
      <c r="A153" s="99" t="s">
        <v>21</v>
      </c>
      <c r="B153" s="100">
        <v>45075.0</v>
      </c>
      <c r="C153" s="22">
        <v>451825.0</v>
      </c>
      <c r="D153" s="23">
        <v>242540.0</v>
      </c>
      <c r="E153" s="24">
        <v>3400.0</v>
      </c>
      <c r="F153" s="25">
        <v>17000.0</v>
      </c>
      <c r="G153" s="101">
        <f>48750+4400+94600</f>
        <v>147750</v>
      </c>
      <c r="H153" s="27">
        <v>114587.0</v>
      </c>
      <c r="I153" s="28"/>
      <c r="J153" s="29">
        <v>58800.0</v>
      </c>
      <c r="K153" s="30">
        <v>123035.0</v>
      </c>
      <c r="L153" s="108"/>
      <c r="M153" s="144"/>
      <c r="N153" s="33"/>
      <c r="O153" s="40"/>
      <c r="P153" s="35"/>
      <c r="Q153" s="33"/>
      <c r="R153" s="33"/>
      <c r="S153" s="35"/>
      <c r="T153" s="35"/>
      <c r="U153" s="33"/>
      <c r="V153" s="36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</row>
    <row r="154">
      <c r="A154" s="99" t="s">
        <v>22</v>
      </c>
      <c r="B154" s="100">
        <v>45076.0</v>
      </c>
      <c r="C154" s="22">
        <v>423340.0</v>
      </c>
      <c r="D154" s="23">
        <v>182650.0</v>
      </c>
      <c r="E154" s="24">
        <f>2300+400+440+130</f>
        <v>3270</v>
      </c>
      <c r="F154" s="25">
        <f>6000+1000+700+300+1000+800+1000+1000+600+1000+1000+1000+1000</f>
        <v>16400</v>
      </c>
      <c r="G154" s="101">
        <f>35050+80270</f>
        <v>115320</v>
      </c>
      <c r="H154" s="27">
        <v>73080.0</v>
      </c>
      <c r="I154" s="28"/>
      <c r="J154" s="29">
        <v>85990.0</v>
      </c>
      <c r="K154" s="30">
        <v>108000.0</v>
      </c>
      <c r="L154" s="108"/>
      <c r="M154" s="39"/>
      <c r="N154" s="145"/>
      <c r="O154" s="146"/>
      <c r="P154" s="147"/>
      <c r="Q154" s="145"/>
      <c r="R154" s="145"/>
      <c r="S154" s="147"/>
      <c r="T154" s="147"/>
      <c r="U154" s="33"/>
      <c r="V154" s="36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8"/>
      <c r="AH154" s="148"/>
      <c r="AI154" s="148"/>
    </row>
    <row r="155">
      <c r="A155" s="99" t="s">
        <v>23</v>
      </c>
      <c r="B155" s="100">
        <v>45077.0</v>
      </c>
      <c r="C155" s="22">
        <v>395685.0</v>
      </c>
      <c r="D155" s="23">
        <v>177840.0</v>
      </c>
      <c r="E155" s="24">
        <v>4000.0</v>
      </c>
      <c r="F155" s="25">
        <v>16400.0</v>
      </c>
      <c r="G155" s="101">
        <v>112650.0</v>
      </c>
      <c r="H155" s="27">
        <v>90600.0</v>
      </c>
      <c r="I155" s="28"/>
      <c r="J155" s="29">
        <v>68100.0</v>
      </c>
      <c r="K155" s="30">
        <v>119945.0</v>
      </c>
      <c r="L155" s="108"/>
      <c r="M155" s="39"/>
      <c r="N155" s="33"/>
      <c r="O155" s="40"/>
      <c r="P155" s="35"/>
      <c r="Q155" s="33"/>
      <c r="R155" s="33"/>
      <c r="S155" s="35"/>
      <c r="T155" s="35"/>
      <c r="U155" s="33"/>
      <c r="V155" s="36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</row>
    <row r="156">
      <c r="A156" s="134" t="s">
        <v>28</v>
      </c>
      <c r="B156" s="135" t="s">
        <v>39</v>
      </c>
      <c r="C156" s="136">
        <f>SUM(C126:C155)</f>
        <v>8984961</v>
      </c>
      <c r="D156" s="136"/>
      <c r="E156" s="149"/>
      <c r="F156" s="149"/>
      <c r="G156" s="136"/>
      <c r="H156" s="136">
        <f>SUM(H126:H155)</f>
        <v>1904455</v>
      </c>
      <c r="I156" s="137"/>
      <c r="J156" s="136"/>
      <c r="K156" s="136"/>
      <c r="L156" s="31"/>
      <c r="M156" s="39"/>
      <c r="N156" s="33"/>
      <c r="O156" s="40"/>
      <c r="P156" s="35"/>
      <c r="Q156" s="33"/>
      <c r="R156" s="33"/>
      <c r="S156" s="35"/>
      <c r="T156" s="35"/>
      <c r="U156" s="33"/>
      <c r="V156" s="36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</row>
    <row r="157">
      <c r="A157" s="99" t="s">
        <v>24</v>
      </c>
      <c r="B157" s="100">
        <v>44713.0</v>
      </c>
      <c r="C157" s="22">
        <v>451531.0</v>
      </c>
      <c r="D157" s="23">
        <v>237551.0</v>
      </c>
      <c r="E157" s="24">
        <v>2500.0</v>
      </c>
      <c r="F157" s="25">
        <v>16400.0</v>
      </c>
      <c r="G157" s="35">
        <f>27150+101140</f>
        <v>128290</v>
      </c>
      <c r="H157" s="27">
        <v>112640.0</v>
      </c>
      <c r="I157" s="28"/>
      <c r="J157" s="29">
        <v>65650.0</v>
      </c>
      <c r="K157" s="30">
        <v>144140.0</v>
      </c>
      <c r="L157" s="31"/>
      <c r="M157" s="32"/>
      <c r="N157" s="33"/>
      <c r="O157" s="40"/>
      <c r="P157" s="35"/>
      <c r="Q157" s="33"/>
      <c r="R157" s="33"/>
      <c r="S157" s="35"/>
      <c r="T157" s="35"/>
      <c r="U157" s="33"/>
      <c r="V157" s="36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</row>
    <row r="158">
      <c r="A158" s="99" t="s">
        <v>25</v>
      </c>
      <c r="B158" s="100">
        <v>44714.0</v>
      </c>
      <c r="C158" s="22">
        <v>374862.0</v>
      </c>
      <c r="D158" s="23">
        <v>227280.0</v>
      </c>
      <c r="E158" s="24">
        <v>3000.0</v>
      </c>
      <c r="F158" s="25">
        <v>16400.0</v>
      </c>
      <c r="G158" s="35">
        <v>127900.0</v>
      </c>
      <c r="H158" s="27">
        <v>53860.0</v>
      </c>
      <c r="I158" s="28"/>
      <c r="J158" s="29">
        <v>75270.0</v>
      </c>
      <c r="K158" s="30">
        <v>118382.0</v>
      </c>
      <c r="L158" s="31"/>
      <c r="M158" s="39"/>
      <c r="N158" s="33"/>
      <c r="O158" s="40"/>
      <c r="P158" s="35"/>
      <c r="Q158" s="33"/>
      <c r="R158" s="33"/>
      <c r="S158" s="35"/>
      <c r="T158" s="35"/>
      <c r="U158" s="33"/>
      <c r="V158" s="36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</row>
    <row r="159">
      <c r="A159" s="99" t="s">
        <v>33</v>
      </c>
      <c r="B159" s="100">
        <v>44715.0</v>
      </c>
      <c r="C159" s="22">
        <v>354385.0</v>
      </c>
      <c r="D159" s="23">
        <v>139040.0</v>
      </c>
      <c r="E159" s="24">
        <f>1000+1000+1000+700+700+480+120</f>
        <v>5000</v>
      </c>
      <c r="F159" s="25">
        <f>3000+700+1000+600+1000+800+1000+1000+1000+1000+200</f>
        <v>11300</v>
      </c>
      <c r="G159" s="35">
        <f>12850+135240</f>
        <v>148090</v>
      </c>
      <c r="H159" s="27">
        <v>44747.0</v>
      </c>
      <c r="I159" s="28"/>
      <c r="J159" s="29"/>
      <c r="K159" s="30">
        <v>100745.0</v>
      </c>
      <c r="L159" s="49"/>
      <c r="M159" s="39"/>
      <c r="N159" s="33"/>
      <c r="O159" s="40"/>
      <c r="P159" s="35"/>
      <c r="Q159" s="33"/>
      <c r="R159" s="33"/>
      <c r="S159" s="35"/>
      <c r="T159" s="35"/>
      <c r="U159" s="33"/>
      <c r="V159" s="36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</row>
    <row r="160">
      <c r="A160" s="150" t="s">
        <v>27</v>
      </c>
      <c r="B160" s="151">
        <v>44716.0</v>
      </c>
      <c r="C160" s="49"/>
      <c r="D160" s="49"/>
      <c r="E160" s="49"/>
      <c r="F160" s="49"/>
      <c r="G160" s="49"/>
      <c r="H160" s="49"/>
      <c r="I160" s="28"/>
      <c r="J160" s="49"/>
      <c r="K160" s="49"/>
      <c r="L160" s="31"/>
      <c r="M160" s="32"/>
      <c r="N160" s="33"/>
      <c r="O160" s="40"/>
      <c r="P160" s="35"/>
      <c r="Q160" s="33"/>
      <c r="R160" s="33"/>
      <c r="S160" s="35"/>
      <c r="T160" s="35"/>
      <c r="U160" s="33"/>
      <c r="V160" s="36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</row>
    <row r="161">
      <c r="A161" s="99" t="s">
        <v>21</v>
      </c>
      <c r="B161" s="100">
        <v>44717.0</v>
      </c>
      <c r="C161" s="22">
        <v>375765.0</v>
      </c>
      <c r="D161" s="101">
        <v>176580.0</v>
      </c>
      <c r="E161" s="24">
        <f>700+1800+500+800+700+280+190</f>
        <v>4970</v>
      </c>
      <c r="F161" s="25">
        <f>3200+2800+700+1000+600+1000</f>
        <v>9300</v>
      </c>
      <c r="G161" s="35">
        <f>74790+64700</f>
        <v>139490</v>
      </c>
      <c r="H161" s="27">
        <v>77830.0</v>
      </c>
      <c r="I161" s="28"/>
      <c r="J161" s="29">
        <v>51025.0</v>
      </c>
      <c r="K161" s="30">
        <v>102070.0</v>
      </c>
      <c r="L161" s="31"/>
      <c r="M161" s="32"/>
      <c r="N161" s="33"/>
      <c r="O161" s="40"/>
      <c r="P161" s="35"/>
      <c r="Q161" s="33"/>
      <c r="R161" s="33"/>
      <c r="S161" s="35"/>
      <c r="T161" s="35"/>
      <c r="U161" s="33"/>
      <c r="V161" s="36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</row>
    <row r="162">
      <c r="A162" s="99" t="s">
        <v>22</v>
      </c>
      <c r="B162" s="100">
        <v>44718.0</v>
      </c>
      <c r="C162" s="152">
        <v>443247.0</v>
      </c>
      <c r="D162" s="153">
        <v>273867.0</v>
      </c>
      <c r="E162" s="154">
        <v>4500.0</v>
      </c>
      <c r="F162" s="155">
        <v>10000.0</v>
      </c>
      <c r="G162" s="156">
        <f>84240+92980</f>
        <v>177220</v>
      </c>
      <c r="H162" s="157">
        <v>76497.0</v>
      </c>
      <c r="I162" s="139"/>
      <c r="J162" s="158">
        <v>85140.0</v>
      </c>
      <c r="K162" s="30">
        <v>98590.0</v>
      </c>
      <c r="L162" s="31"/>
      <c r="M162" s="141"/>
      <c r="N162" s="33"/>
      <c r="O162" s="40"/>
      <c r="P162" s="35"/>
      <c r="Q162" s="33"/>
      <c r="R162" s="33"/>
      <c r="S162" s="35"/>
      <c r="T162" s="35"/>
      <c r="U162" s="33"/>
      <c r="V162" s="36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</row>
    <row r="163">
      <c r="A163" s="99" t="s">
        <v>32</v>
      </c>
      <c r="B163" s="100">
        <v>44719.0</v>
      </c>
      <c r="C163" s="22">
        <v>433210.0</v>
      </c>
      <c r="D163" s="23">
        <v>247580.0</v>
      </c>
      <c r="E163" s="24">
        <f>200+1000+1000+500+400+300+200+200+200+200+200</f>
        <v>4400</v>
      </c>
      <c r="F163" s="25">
        <f>600+1000+1000+1000+100+700+1000+800+1000+1000+1000</f>
        <v>9200</v>
      </c>
      <c r="G163" s="35">
        <f>38000+104690</f>
        <v>142690</v>
      </c>
      <c r="H163" s="27">
        <v>108940.0</v>
      </c>
      <c r="I163" s="28"/>
      <c r="J163" s="29">
        <v>78040.0</v>
      </c>
      <c r="K163" s="30">
        <v>98090.0</v>
      </c>
      <c r="L163" s="49"/>
      <c r="M163" s="32"/>
      <c r="N163" s="33"/>
      <c r="O163" s="40"/>
      <c r="P163" s="35"/>
      <c r="Q163" s="33"/>
      <c r="R163" s="33"/>
      <c r="S163" s="35"/>
      <c r="T163" s="35"/>
      <c r="U163" s="33"/>
      <c r="V163" s="36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</row>
    <row r="164">
      <c r="A164" s="99" t="s">
        <v>24</v>
      </c>
      <c r="B164" s="100">
        <v>44720.0</v>
      </c>
      <c r="C164" s="22">
        <v>404010.0</v>
      </c>
      <c r="D164" s="23">
        <v>228340.0</v>
      </c>
      <c r="E164" s="24">
        <v>6000.0</v>
      </c>
      <c r="F164" s="25">
        <v>9200.0</v>
      </c>
      <c r="G164" s="35">
        <f>68080+68340</f>
        <v>136420</v>
      </c>
      <c r="H164" s="27">
        <v>104190.0</v>
      </c>
      <c r="I164" s="28"/>
      <c r="J164" s="29">
        <v>45950.0</v>
      </c>
      <c r="K164" s="30">
        <v>116670.0</v>
      </c>
      <c r="L164" s="49"/>
      <c r="M164" s="32"/>
      <c r="N164" s="33"/>
      <c r="O164" s="40"/>
      <c r="P164" s="35"/>
      <c r="Q164" s="33"/>
      <c r="R164" s="33"/>
      <c r="S164" s="35"/>
      <c r="T164" s="35"/>
      <c r="U164" s="33"/>
      <c r="V164" s="36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</row>
    <row r="165">
      <c r="A165" s="99" t="s">
        <v>25</v>
      </c>
      <c r="B165" s="100">
        <v>44721.0</v>
      </c>
      <c r="C165" s="22">
        <v>406470.0</v>
      </c>
      <c r="D165" s="23">
        <v>253120.0</v>
      </c>
      <c r="E165" s="24">
        <v>5000.0</v>
      </c>
      <c r="F165" s="25">
        <v>12000.0</v>
      </c>
      <c r="G165" s="35">
        <v>164340.0</v>
      </c>
      <c r="H165" s="27">
        <v>89430.0</v>
      </c>
      <c r="I165" s="28"/>
      <c r="J165" s="29">
        <v>73100.0</v>
      </c>
      <c r="K165" s="30">
        <v>72200.0</v>
      </c>
      <c r="L165" s="49"/>
      <c r="M165" s="39"/>
      <c r="N165" s="33"/>
      <c r="O165" s="40"/>
      <c r="P165" s="35"/>
      <c r="Q165" s="33"/>
      <c r="R165" s="33"/>
      <c r="S165" s="35"/>
      <c r="T165" s="35"/>
      <c r="U165" s="33"/>
      <c r="V165" s="36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</row>
    <row r="166">
      <c r="A166" s="99" t="s">
        <v>33</v>
      </c>
      <c r="B166" s="100">
        <v>44722.0</v>
      </c>
      <c r="C166" s="22">
        <v>371075.0</v>
      </c>
      <c r="D166" s="23"/>
      <c r="E166" s="24">
        <v>4000.0</v>
      </c>
      <c r="F166" s="25">
        <v>12000.0</v>
      </c>
      <c r="G166" s="35">
        <f>82850+87450</f>
        <v>170300</v>
      </c>
      <c r="H166" s="27">
        <v>38730.0</v>
      </c>
      <c r="I166" s="28"/>
      <c r="J166" s="29">
        <v>60200.0</v>
      </c>
      <c r="K166" s="30">
        <v>101415.0</v>
      </c>
      <c r="L166" s="49"/>
      <c r="M166" s="32"/>
      <c r="N166" s="33"/>
      <c r="O166" s="40"/>
      <c r="P166" s="35"/>
      <c r="Q166" s="33"/>
      <c r="R166" s="33"/>
      <c r="S166" s="35"/>
      <c r="T166" s="35"/>
      <c r="U166" s="33"/>
      <c r="V166" s="36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</row>
    <row r="167">
      <c r="A167" s="150" t="s">
        <v>27</v>
      </c>
      <c r="B167" s="151">
        <v>44723.0</v>
      </c>
      <c r="C167" s="49"/>
      <c r="D167" s="49"/>
      <c r="E167" s="49"/>
      <c r="F167" s="49"/>
      <c r="G167" s="49"/>
      <c r="H167" s="49"/>
      <c r="I167" s="28"/>
      <c r="J167" s="49"/>
      <c r="K167" s="49"/>
      <c r="L167" s="49"/>
      <c r="M167" s="32"/>
      <c r="N167" s="33"/>
      <c r="O167" s="40"/>
      <c r="P167" s="35"/>
      <c r="Q167" s="33"/>
      <c r="R167" s="33"/>
      <c r="S167" s="35"/>
      <c r="T167" s="35"/>
      <c r="U167" s="33"/>
      <c r="V167" s="36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</row>
    <row r="168">
      <c r="A168" s="99" t="s">
        <v>21</v>
      </c>
      <c r="B168" s="100">
        <v>44724.0</v>
      </c>
      <c r="C168" s="22">
        <v>431926.0</v>
      </c>
      <c r="D168" s="101">
        <v>199590.0</v>
      </c>
      <c r="E168" s="24">
        <v>5000.0</v>
      </c>
      <c r="F168" s="25">
        <v>18000.0</v>
      </c>
      <c r="G168" s="35">
        <v>115650.0</v>
      </c>
      <c r="H168" s="27">
        <v>95400.0</v>
      </c>
      <c r="I168" s="28"/>
      <c r="J168" s="29">
        <v>116990.0</v>
      </c>
      <c r="K168" s="30">
        <v>122436.0</v>
      </c>
      <c r="L168" s="49"/>
      <c r="M168" s="39"/>
      <c r="N168" s="33"/>
      <c r="O168" s="40"/>
      <c r="P168" s="35"/>
      <c r="Q168" s="33"/>
      <c r="R168" s="33"/>
      <c r="S168" s="35"/>
      <c r="T168" s="35"/>
      <c r="U168" s="33"/>
      <c r="V168" s="36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</row>
    <row r="169">
      <c r="A169" s="99" t="s">
        <v>22</v>
      </c>
      <c r="B169" s="100">
        <v>44725.0</v>
      </c>
      <c r="C169" s="22">
        <v>388700.0</v>
      </c>
      <c r="D169" s="23">
        <v>228280.0</v>
      </c>
      <c r="E169" s="24">
        <v>3200.0</v>
      </c>
      <c r="F169" s="25">
        <f>1900+1000+1000+1000+800+6000+2000+1000+1000</f>
        <v>15700</v>
      </c>
      <c r="G169" s="26">
        <f>74000+69890</f>
        <v>143890</v>
      </c>
      <c r="H169" s="27">
        <v>56270.0</v>
      </c>
      <c r="I169" s="28"/>
      <c r="J169" s="29">
        <v>77950.0</v>
      </c>
      <c r="K169" s="30">
        <v>96230.0</v>
      </c>
      <c r="L169" s="49"/>
      <c r="M169" s="39"/>
      <c r="N169" s="33"/>
      <c r="O169" s="40"/>
      <c r="P169" s="35"/>
      <c r="Q169" s="33"/>
      <c r="R169" s="33"/>
      <c r="S169" s="35"/>
      <c r="T169" s="35"/>
      <c r="U169" s="33"/>
      <c r="V169" s="36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</row>
    <row r="170">
      <c r="A170" s="99" t="s">
        <v>32</v>
      </c>
      <c r="B170" s="100">
        <v>44726.0</v>
      </c>
      <c r="C170" s="22">
        <v>481270.0</v>
      </c>
      <c r="D170" s="23">
        <v>218970.0</v>
      </c>
      <c r="E170" s="24">
        <v>2800.0</v>
      </c>
      <c r="F170" s="25">
        <v>14000.0</v>
      </c>
      <c r="G170" s="35">
        <f>78700+19700</f>
        <v>98400</v>
      </c>
      <c r="H170" s="27">
        <v>101310.0</v>
      </c>
      <c r="I170" s="28"/>
      <c r="J170" s="29">
        <v>161550.0</v>
      </c>
      <c r="K170" s="30">
        <v>124100.0</v>
      </c>
      <c r="L170" s="49"/>
      <c r="M170" s="32"/>
      <c r="N170" s="33"/>
      <c r="O170" s="40"/>
      <c r="P170" s="35"/>
      <c r="Q170" s="33"/>
      <c r="R170" s="33"/>
      <c r="S170" s="35"/>
      <c r="T170" s="35"/>
      <c r="U170" s="33"/>
      <c r="V170" s="36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</row>
    <row r="171">
      <c r="A171" s="99" t="s">
        <v>24</v>
      </c>
      <c r="B171" s="100">
        <v>44727.0</v>
      </c>
      <c r="C171" s="22">
        <v>493082.0</v>
      </c>
      <c r="D171" s="23"/>
      <c r="E171" s="24">
        <v>4460.0</v>
      </c>
      <c r="F171" s="25">
        <f>4000+1000+600+1000+800+1000+1000+900+1000+1000+1000</f>
        <v>13300</v>
      </c>
      <c r="G171" s="35">
        <f>58550+92230</f>
        <v>150780</v>
      </c>
      <c r="H171" s="27">
        <v>145520.0</v>
      </c>
      <c r="I171" s="28"/>
      <c r="J171" s="29">
        <v>104050.0</v>
      </c>
      <c r="K171" s="30">
        <v>104577.0</v>
      </c>
      <c r="L171" s="31"/>
      <c r="M171" s="32"/>
      <c r="N171" s="33"/>
      <c r="O171" s="40"/>
      <c r="P171" s="35"/>
      <c r="Q171" s="33"/>
      <c r="R171" s="33"/>
      <c r="S171" s="35"/>
      <c r="T171" s="35"/>
      <c r="U171" s="33"/>
      <c r="V171" s="36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</row>
    <row r="172">
      <c r="A172" s="99" t="s">
        <v>25</v>
      </c>
      <c r="B172" s="100">
        <v>44728.0</v>
      </c>
      <c r="C172" s="22">
        <v>392514.0</v>
      </c>
      <c r="D172" s="23">
        <v>229380.0</v>
      </c>
      <c r="E172" s="24">
        <v>4480.0</v>
      </c>
      <c r="F172" s="25">
        <v>18450.0</v>
      </c>
      <c r="G172" s="35">
        <v>173140.0</v>
      </c>
      <c r="H172" s="27">
        <v>71130.0</v>
      </c>
      <c r="I172" s="28"/>
      <c r="J172" s="29">
        <v>79750.0</v>
      </c>
      <c r="K172" s="30">
        <v>84444.0</v>
      </c>
      <c r="L172" s="31"/>
      <c r="M172" s="39"/>
      <c r="N172" s="33"/>
      <c r="O172" s="40"/>
      <c r="P172" s="35"/>
      <c r="Q172" s="33"/>
      <c r="R172" s="33"/>
      <c r="S172" s="35"/>
      <c r="T172" s="35"/>
      <c r="U172" s="33"/>
      <c r="V172" s="36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</row>
    <row r="173">
      <c r="A173" s="99" t="s">
        <v>33</v>
      </c>
      <c r="B173" s="100">
        <v>44729.0</v>
      </c>
      <c r="C173" s="22">
        <v>402559.0</v>
      </c>
      <c r="D173" s="23">
        <v>239789.0</v>
      </c>
      <c r="E173" s="24">
        <f>1200+2600+380+430</f>
        <v>4610</v>
      </c>
      <c r="F173" s="25">
        <f>3000+600+1000+1000+1000+900+1000+1000+800+700+900+800+500+1000</f>
        <v>14200</v>
      </c>
      <c r="G173" s="35">
        <f>5550+171600</f>
        <v>177150</v>
      </c>
      <c r="H173" s="27">
        <v>54834.0</v>
      </c>
      <c r="I173" s="28"/>
      <c r="J173" s="29">
        <v>40700.0</v>
      </c>
      <c r="K173" s="30">
        <v>114470.0</v>
      </c>
      <c r="L173" s="49"/>
      <c r="M173" s="39"/>
      <c r="N173" s="33"/>
      <c r="O173" s="40"/>
      <c r="P173" s="35"/>
      <c r="Q173" s="33"/>
      <c r="R173" s="33"/>
      <c r="S173" s="35"/>
      <c r="T173" s="35"/>
      <c r="U173" s="33"/>
      <c r="V173" s="36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</row>
    <row r="174">
      <c r="A174" s="150" t="s">
        <v>27</v>
      </c>
      <c r="B174" s="159" t="s">
        <v>40</v>
      </c>
      <c r="C174" s="160"/>
      <c r="D174" s="160"/>
      <c r="E174" s="160"/>
      <c r="F174" s="160"/>
      <c r="G174" s="160"/>
      <c r="H174" s="160"/>
      <c r="I174" s="28"/>
      <c r="J174" s="160"/>
      <c r="K174" s="160"/>
      <c r="L174" s="31"/>
      <c r="M174" s="32"/>
      <c r="N174" s="33"/>
      <c r="O174" s="40"/>
      <c r="P174" s="35"/>
      <c r="Q174" s="33"/>
      <c r="R174" s="33"/>
      <c r="S174" s="35"/>
      <c r="T174" s="35"/>
      <c r="U174" s="33"/>
      <c r="V174" s="36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</row>
    <row r="175">
      <c r="A175" s="99" t="s">
        <v>21</v>
      </c>
      <c r="B175" s="100">
        <v>44731.0</v>
      </c>
      <c r="C175" s="161">
        <v>295930.0</v>
      </c>
      <c r="D175" s="23">
        <v>226480.0</v>
      </c>
      <c r="E175" s="24">
        <v>2000.0</v>
      </c>
      <c r="F175" s="25">
        <v>16000.0</v>
      </c>
      <c r="G175" s="26">
        <f>97950+9400+5300</f>
        <v>112650</v>
      </c>
      <c r="H175" s="27">
        <v>81480.0</v>
      </c>
      <c r="I175" s="28"/>
      <c r="J175" s="29">
        <v>21300.0</v>
      </c>
      <c r="K175" s="30">
        <v>84850.0</v>
      </c>
      <c r="L175" s="31"/>
      <c r="M175" s="39"/>
      <c r="N175" s="33"/>
      <c r="O175" s="40"/>
      <c r="P175" s="35"/>
      <c r="Q175" s="33"/>
      <c r="R175" s="33"/>
      <c r="S175" s="35"/>
      <c r="T175" s="35"/>
      <c r="U175" s="33"/>
      <c r="V175" s="36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</row>
    <row r="176">
      <c r="A176" s="99" t="s">
        <v>22</v>
      </c>
      <c r="B176" s="100">
        <v>44732.0</v>
      </c>
      <c r="C176" s="22">
        <v>316240.0</v>
      </c>
      <c r="D176" s="23">
        <v>195540.0</v>
      </c>
      <c r="E176" s="24">
        <f>500+600+2200+600+250+320+200+180</f>
        <v>4850</v>
      </c>
      <c r="F176" s="25">
        <f>500+700+900+600+800+900+1000+1000+1000+1000+1000+1000+1000</f>
        <v>11400</v>
      </c>
      <c r="G176" s="35">
        <f>1800+107950</f>
        <v>109750</v>
      </c>
      <c r="H176" s="27">
        <v>67990.0</v>
      </c>
      <c r="I176" s="28"/>
      <c r="J176" s="29">
        <v>22950.0</v>
      </c>
      <c r="K176" s="30">
        <v>110850.0</v>
      </c>
      <c r="L176" s="31"/>
      <c r="M176" s="39"/>
      <c r="N176" s="33"/>
      <c r="O176" s="40"/>
      <c r="P176" s="35"/>
      <c r="Q176" s="33"/>
      <c r="R176" s="33"/>
      <c r="S176" s="35"/>
      <c r="T176" s="35"/>
      <c r="U176" s="33"/>
      <c r="V176" s="36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</row>
    <row r="177">
      <c r="A177" s="99" t="s">
        <v>32</v>
      </c>
      <c r="B177" s="100">
        <v>44733.0</v>
      </c>
      <c r="C177" s="22">
        <v>408132.0</v>
      </c>
      <c r="D177" s="23">
        <v>234922.0</v>
      </c>
      <c r="E177" s="24">
        <v>3500.0</v>
      </c>
      <c r="F177" s="25">
        <v>10000.0</v>
      </c>
      <c r="G177" s="35">
        <v>131150.0</v>
      </c>
      <c r="H177" s="27">
        <v>91407.0</v>
      </c>
      <c r="I177" s="28"/>
      <c r="J177" s="29">
        <v>67270.0</v>
      </c>
      <c r="K177" s="30">
        <v>106710.0</v>
      </c>
      <c r="L177" s="31"/>
      <c r="M177" s="39"/>
      <c r="N177" s="33"/>
      <c r="O177" s="40"/>
      <c r="P177" s="35"/>
      <c r="Q177" s="33"/>
      <c r="R177" s="33"/>
      <c r="S177" s="35"/>
      <c r="T177" s="35"/>
      <c r="U177" s="33"/>
      <c r="V177" s="36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</row>
    <row r="178">
      <c r="A178" s="99" t="s">
        <v>24</v>
      </c>
      <c r="B178" s="100">
        <v>44734.0</v>
      </c>
      <c r="C178" s="22">
        <v>429400.0</v>
      </c>
      <c r="D178" s="23">
        <v>243360.0</v>
      </c>
      <c r="E178" s="24">
        <f>1500+2200+1100+260+350</f>
        <v>5410</v>
      </c>
      <c r="F178" s="25">
        <f>1000+800+1000+1000+1000+600+800+900+1000+500+700+700+3000</f>
        <v>13000</v>
      </c>
      <c r="G178" s="35">
        <f>42400+93300</f>
        <v>135700</v>
      </c>
      <c r="H178" s="27">
        <v>109650.0</v>
      </c>
      <c r="I178" s="28"/>
      <c r="J178" s="29">
        <v>78400.0</v>
      </c>
      <c r="K178" s="30">
        <v>116840.0</v>
      </c>
      <c r="L178" s="31"/>
      <c r="M178" s="39"/>
      <c r="N178" s="33"/>
      <c r="O178" s="40"/>
      <c r="P178" s="35"/>
      <c r="Q178" s="33"/>
      <c r="R178" s="33"/>
      <c r="S178" s="35"/>
      <c r="T178" s="35"/>
      <c r="U178" s="33"/>
      <c r="V178" s="36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</row>
    <row r="179">
      <c r="A179" s="99" t="s">
        <v>25</v>
      </c>
      <c r="B179" s="100">
        <v>44735.0</v>
      </c>
      <c r="C179" s="22">
        <v>367920.0</v>
      </c>
      <c r="D179" s="23">
        <v>184520.0</v>
      </c>
      <c r="E179" s="24">
        <v>4000.0</v>
      </c>
      <c r="F179" s="25">
        <v>11900.0</v>
      </c>
      <c r="G179" s="35">
        <v>100280.0</v>
      </c>
      <c r="H179" s="27">
        <v>76990.0</v>
      </c>
      <c r="I179" s="28"/>
      <c r="J179" s="29">
        <v>80010.0</v>
      </c>
      <c r="K179" s="30">
        <v>103100.0</v>
      </c>
      <c r="L179" s="31"/>
      <c r="M179" s="39"/>
      <c r="N179" s="33"/>
      <c r="O179" s="40"/>
      <c r="P179" s="35"/>
      <c r="Q179" s="33"/>
      <c r="R179" s="33"/>
      <c r="S179" s="35"/>
      <c r="T179" s="35"/>
      <c r="U179" s="33"/>
      <c r="V179" s="36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</row>
    <row r="180">
      <c r="A180" s="99" t="s">
        <v>33</v>
      </c>
      <c r="B180" s="100">
        <v>44736.0</v>
      </c>
      <c r="C180" s="22">
        <v>378227.0</v>
      </c>
      <c r="D180" s="23">
        <v>222627.0</v>
      </c>
      <c r="E180" s="24">
        <v>3500.0</v>
      </c>
      <c r="F180" s="25"/>
      <c r="G180" s="35">
        <v>116337.0</v>
      </c>
      <c r="H180" s="27">
        <v>38337.0</v>
      </c>
      <c r="I180" s="28"/>
      <c r="J180" s="29">
        <v>68190.0</v>
      </c>
      <c r="K180" s="30">
        <v>161100.0</v>
      </c>
      <c r="L180" s="49"/>
      <c r="M180" s="39"/>
      <c r="N180" s="33"/>
      <c r="O180" s="40"/>
      <c r="P180" s="35"/>
      <c r="Q180" s="33"/>
      <c r="R180" s="33"/>
      <c r="S180" s="35"/>
      <c r="T180" s="35"/>
      <c r="U180" s="33"/>
      <c r="V180" s="36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</row>
    <row r="181">
      <c r="A181" s="150" t="s">
        <v>27</v>
      </c>
      <c r="B181" s="162">
        <v>44737.0</v>
      </c>
      <c r="C181" s="160"/>
      <c r="D181" s="160"/>
      <c r="E181" s="160"/>
      <c r="F181" s="160"/>
      <c r="G181" s="160"/>
      <c r="H181" s="160"/>
      <c r="I181" s="28"/>
      <c r="J181" s="160"/>
      <c r="K181" s="160"/>
      <c r="L181" s="31"/>
      <c r="M181" s="39"/>
      <c r="N181" s="33"/>
      <c r="O181" s="40"/>
      <c r="P181" s="35"/>
      <c r="Q181" s="33"/>
      <c r="R181" s="33"/>
      <c r="S181" s="35"/>
      <c r="T181" s="35"/>
      <c r="U181" s="33"/>
      <c r="V181" s="36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</row>
    <row r="182">
      <c r="A182" s="99" t="s">
        <v>21</v>
      </c>
      <c r="B182" s="100">
        <v>44738.0</v>
      </c>
      <c r="C182" s="22">
        <v>340435.0</v>
      </c>
      <c r="D182" s="23">
        <v>189844.0</v>
      </c>
      <c r="E182" s="24">
        <v>3500.0</v>
      </c>
      <c r="F182" s="25">
        <v>10400.0</v>
      </c>
      <c r="G182" s="35">
        <v>99780.0</v>
      </c>
      <c r="H182" s="27">
        <v>58314.0</v>
      </c>
      <c r="I182" s="28"/>
      <c r="J182" s="29">
        <v>68250.0</v>
      </c>
      <c r="K182" s="30">
        <v>110641.0</v>
      </c>
      <c r="L182" s="31"/>
      <c r="M182" s="39"/>
      <c r="N182" s="33"/>
      <c r="O182" s="40"/>
      <c r="P182" s="35"/>
      <c r="Q182" s="33"/>
      <c r="R182" s="33"/>
      <c r="S182" s="35"/>
      <c r="T182" s="35"/>
      <c r="U182" s="33"/>
      <c r="V182" s="36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</row>
    <row r="183">
      <c r="A183" s="99" t="s">
        <v>22</v>
      </c>
      <c r="B183" s="100">
        <v>44739.0</v>
      </c>
      <c r="C183" s="22">
        <v>409250.0</v>
      </c>
      <c r="D183" s="23">
        <v>241880.0</v>
      </c>
      <c r="E183" s="24">
        <v>4100.0</v>
      </c>
      <c r="F183" s="25">
        <v>10000.0</v>
      </c>
      <c r="G183" s="35">
        <f>109050+24500</f>
        <v>133550</v>
      </c>
      <c r="H183" s="27">
        <v>69530.0</v>
      </c>
      <c r="I183" s="28"/>
      <c r="J183" s="29">
        <v>73700.0</v>
      </c>
      <c r="K183" s="30">
        <v>120920.0</v>
      </c>
      <c r="L183" s="31"/>
      <c r="M183" s="32"/>
      <c r="N183" s="33"/>
      <c r="O183" s="40"/>
      <c r="P183" s="35"/>
      <c r="Q183" s="33"/>
      <c r="R183" s="33"/>
      <c r="S183" s="35"/>
      <c r="T183" s="35"/>
      <c r="U183" s="33"/>
      <c r="V183" s="36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</row>
    <row r="184">
      <c r="A184" s="99" t="s">
        <v>23</v>
      </c>
      <c r="B184" s="100">
        <v>44740.0</v>
      </c>
      <c r="C184" s="22">
        <v>454275.0</v>
      </c>
      <c r="D184" s="23">
        <v>310890.0</v>
      </c>
      <c r="E184" s="24">
        <f>600+2000+700+800+540+330</f>
        <v>4970</v>
      </c>
      <c r="F184" s="25">
        <f>1000+1000+1000+1000+1000+1000+1000+1000+1000+2000</f>
        <v>11000</v>
      </c>
      <c r="G184" s="35">
        <f>89450+56400</f>
        <v>145850</v>
      </c>
      <c r="H184" s="27">
        <v>86200.0</v>
      </c>
      <c r="I184" s="28"/>
      <c r="J184" s="29">
        <v>85000.0</v>
      </c>
      <c r="K184" s="30">
        <v>94635.0</v>
      </c>
      <c r="L184" s="49"/>
      <c r="M184" s="39"/>
      <c r="N184" s="33"/>
      <c r="O184" s="40"/>
      <c r="P184" s="35"/>
      <c r="Q184" s="33"/>
      <c r="R184" s="33"/>
      <c r="S184" s="35"/>
      <c r="T184" s="35"/>
      <c r="U184" s="33"/>
      <c r="V184" s="36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</row>
    <row r="185">
      <c r="A185" s="99" t="s">
        <v>24</v>
      </c>
      <c r="B185" s="100">
        <v>44741.0</v>
      </c>
      <c r="C185" s="22">
        <v>714443.0</v>
      </c>
      <c r="D185" s="118">
        <v>392513.0</v>
      </c>
      <c r="E185" s="119">
        <f>500+600+2700+150+660+320</f>
        <v>4930</v>
      </c>
      <c r="F185" s="120">
        <f>11000</f>
        <v>11000</v>
      </c>
      <c r="G185" s="163">
        <f>166200+55800</f>
        <v>222000</v>
      </c>
      <c r="H185" s="122">
        <v>148693.0</v>
      </c>
      <c r="I185" s="123"/>
      <c r="J185" s="164">
        <v>150130.0</v>
      </c>
      <c r="K185" s="30">
        <v>170800.0</v>
      </c>
      <c r="L185" s="31"/>
      <c r="M185" s="39"/>
      <c r="N185" s="145"/>
      <c r="O185" s="146"/>
      <c r="P185" s="147"/>
      <c r="Q185" s="145"/>
      <c r="R185" s="145"/>
      <c r="S185" s="147"/>
      <c r="T185" s="147"/>
      <c r="U185" s="33"/>
      <c r="V185" s="36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</row>
    <row r="186">
      <c r="A186" s="99" t="s">
        <v>25</v>
      </c>
      <c r="B186" s="100">
        <v>44742.0</v>
      </c>
      <c r="C186" s="22">
        <v>407895.0</v>
      </c>
      <c r="D186" s="118">
        <v>362555.0</v>
      </c>
      <c r="E186" s="119">
        <v>3000.0</v>
      </c>
      <c r="F186" s="120">
        <v>14000.0</v>
      </c>
      <c r="G186" s="163">
        <v>172350.0</v>
      </c>
      <c r="H186" s="122">
        <v>82360.0</v>
      </c>
      <c r="I186" s="123"/>
      <c r="J186" s="164">
        <v>55340.0</v>
      </c>
      <c r="K186" s="30">
        <v>81000.0</v>
      </c>
      <c r="L186" s="31"/>
      <c r="M186" s="39"/>
      <c r="N186" s="33"/>
      <c r="O186" s="40"/>
      <c r="P186" s="35"/>
      <c r="Q186" s="33"/>
      <c r="R186" s="33"/>
      <c r="S186" s="35"/>
      <c r="T186" s="35"/>
      <c r="U186" s="33"/>
      <c r="V186" s="36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</row>
    <row r="187">
      <c r="A187" s="165" t="s">
        <v>28</v>
      </c>
      <c r="B187" s="129" t="s">
        <v>41</v>
      </c>
      <c r="C187" s="73">
        <f t="shared" ref="C187:D187" si="6">SUM(C157:C186)</f>
        <v>10726753</v>
      </c>
      <c r="D187" s="73">
        <f t="shared" si="6"/>
        <v>5704498</v>
      </c>
      <c r="E187" s="73"/>
      <c r="F187" s="73"/>
      <c r="G187" s="73">
        <f t="shared" ref="G187:H187" si="7">SUM(G157:G186)</f>
        <v>3673147</v>
      </c>
      <c r="H187" s="73">
        <f t="shared" si="7"/>
        <v>2142279</v>
      </c>
      <c r="I187" s="28"/>
      <c r="J187" s="73">
        <f t="shared" ref="J187:K187" si="8">SUM(J157:J186)</f>
        <v>1885905</v>
      </c>
      <c r="K187" s="73">
        <f t="shared" si="8"/>
        <v>2860005</v>
      </c>
      <c r="L187" s="74">
        <f>SUM(E187:K187)</f>
        <v>10561336</v>
      </c>
      <c r="M187" s="166">
        <f>C187-L187</f>
        <v>165417</v>
      </c>
      <c r="N187" s="33"/>
      <c r="O187" s="40"/>
      <c r="P187" s="35"/>
      <c r="Q187" s="33"/>
      <c r="R187" s="33"/>
      <c r="S187" s="35"/>
      <c r="T187" s="35"/>
      <c r="U187" s="33"/>
      <c r="V187" s="36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</row>
    <row r="188">
      <c r="A188" s="99" t="s">
        <v>26</v>
      </c>
      <c r="B188" s="100">
        <v>45108.0</v>
      </c>
      <c r="C188" s="22">
        <v>437265.0</v>
      </c>
      <c r="D188" s="23">
        <v>271800.0</v>
      </c>
      <c r="E188" s="24">
        <f>700+2500+300+400+800+400</f>
        <v>5100</v>
      </c>
      <c r="F188" s="25">
        <f>2000+2000+400+700+1000+2000+2000+2000+800+300</f>
        <v>13200</v>
      </c>
      <c r="G188" s="35">
        <f>137690+73200</f>
        <v>210890</v>
      </c>
      <c r="H188" s="27">
        <v>13400.0</v>
      </c>
      <c r="I188" s="28"/>
      <c r="J188" s="29">
        <v>85200.0</v>
      </c>
      <c r="K188" s="30">
        <v>133665.0</v>
      </c>
      <c r="L188" s="31">
        <f t="shared" ref="L188:L218" si="9">(K188+J188+H188+G188)-C188</f>
        <v>5890</v>
      </c>
      <c r="M188" s="32"/>
      <c r="N188" s="33"/>
      <c r="O188" s="40"/>
      <c r="P188" s="35"/>
      <c r="Q188" s="33"/>
      <c r="R188" s="33"/>
      <c r="S188" s="35"/>
      <c r="T188" s="35"/>
      <c r="U188" s="33"/>
      <c r="V188" s="36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</row>
    <row r="189">
      <c r="A189" s="150" t="s">
        <v>27</v>
      </c>
      <c r="B189" s="100">
        <v>45109.0</v>
      </c>
      <c r="C189" s="160"/>
      <c r="D189" s="160"/>
      <c r="E189" s="160"/>
      <c r="F189" s="160"/>
      <c r="G189" s="160"/>
      <c r="H189" s="160"/>
      <c r="I189" s="28"/>
      <c r="J189" s="160"/>
      <c r="K189" s="160"/>
      <c r="L189" s="31">
        <f t="shared" si="9"/>
        <v>0</v>
      </c>
      <c r="M189" s="32"/>
      <c r="N189" s="33"/>
      <c r="O189" s="40"/>
      <c r="P189" s="35"/>
      <c r="Q189" s="33"/>
      <c r="R189" s="33"/>
      <c r="S189" s="35"/>
      <c r="T189" s="35"/>
      <c r="U189" s="33"/>
      <c r="V189" s="36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</row>
    <row r="190">
      <c r="A190" s="99" t="s">
        <v>21</v>
      </c>
      <c r="B190" s="162">
        <v>45110.0</v>
      </c>
      <c r="C190" s="22">
        <v>387045.0</v>
      </c>
      <c r="D190" s="23">
        <v>213810.0</v>
      </c>
      <c r="E190" s="24">
        <f>800+500+700+960+500</f>
        <v>3460</v>
      </c>
      <c r="F190" s="25">
        <v>13200.0</v>
      </c>
      <c r="G190" s="35">
        <f>42630+56650</f>
        <v>99280</v>
      </c>
      <c r="H190" s="27">
        <v>96580.0</v>
      </c>
      <c r="I190" s="28"/>
      <c r="J190" s="29">
        <v>101990.0</v>
      </c>
      <c r="K190" s="30">
        <v>102875.0</v>
      </c>
      <c r="L190" s="31">
        <f t="shared" si="9"/>
        <v>13680</v>
      </c>
      <c r="M190" s="39"/>
      <c r="N190" s="33"/>
      <c r="O190" s="40"/>
      <c r="P190" s="35"/>
      <c r="Q190" s="33"/>
      <c r="R190" s="33"/>
      <c r="S190" s="35"/>
      <c r="T190" s="35"/>
      <c r="U190" s="33"/>
      <c r="V190" s="36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</row>
    <row r="191">
      <c r="A191" s="99" t="s">
        <v>22</v>
      </c>
      <c r="B191" s="100">
        <v>45111.0</v>
      </c>
      <c r="C191" s="22">
        <v>391685.0</v>
      </c>
      <c r="D191" s="23">
        <v>263585.0</v>
      </c>
      <c r="E191" s="24">
        <f>1000+2800+600+400+400+180+430</f>
        <v>5810</v>
      </c>
      <c r="F191" s="25">
        <f>800+1000+1000+800+1000+1000+1000+100+1000</f>
        <v>7700</v>
      </c>
      <c r="G191" s="35">
        <f>98500+41750</f>
        <v>140250</v>
      </c>
      <c r="H191" s="27">
        <v>101770.0</v>
      </c>
      <c r="I191" s="28"/>
      <c r="J191" s="29">
        <v>53750.0</v>
      </c>
      <c r="K191" s="30">
        <v>75750.0</v>
      </c>
      <c r="L191" s="31">
        <f t="shared" si="9"/>
        <v>-20165</v>
      </c>
      <c r="M191" s="39"/>
      <c r="N191" s="33"/>
      <c r="O191" s="40"/>
      <c r="P191" s="35"/>
      <c r="Q191" s="33"/>
      <c r="R191" s="33"/>
      <c r="S191" s="35"/>
      <c r="T191" s="35"/>
      <c r="U191" s="33"/>
      <c r="V191" s="36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</row>
    <row r="192">
      <c r="A192" s="99" t="s">
        <v>32</v>
      </c>
      <c r="B192" s="100">
        <v>45112.0</v>
      </c>
      <c r="C192" s="22">
        <v>507205.0</v>
      </c>
      <c r="D192" s="23">
        <v>296915.0</v>
      </c>
      <c r="E192" s="24">
        <f>1000+600+800+1000+200+200+200+440+440</f>
        <v>4880</v>
      </c>
      <c r="F192" s="25">
        <f>1000+1000+1000+1000+1000+700+900</f>
        <v>6600</v>
      </c>
      <c r="G192" s="35">
        <f>60000+127600</f>
        <v>187600</v>
      </c>
      <c r="H192" s="27">
        <v>90610.0</v>
      </c>
      <c r="I192" s="28"/>
      <c r="J192" s="29">
        <v>74600.0</v>
      </c>
      <c r="K192" s="30">
        <v>133240.0</v>
      </c>
      <c r="L192" s="31">
        <f t="shared" si="9"/>
        <v>-21155</v>
      </c>
      <c r="M192" s="32"/>
      <c r="N192" s="33"/>
      <c r="O192" s="40"/>
      <c r="P192" s="35"/>
      <c r="Q192" s="33"/>
      <c r="R192" s="33"/>
      <c r="S192" s="35"/>
      <c r="T192" s="35"/>
      <c r="U192" s="33"/>
      <c r="V192" s="36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</row>
    <row r="193">
      <c r="A193" s="99" t="s">
        <v>24</v>
      </c>
      <c r="B193" s="100">
        <v>45113.0</v>
      </c>
      <c r="C193" s="22">
        <v>570840.0</v>
      </c>
      <c r="D193" s="23">
        <v>405140.0</v>
      </c>
      <c r="E193" s="24">
        <v>4500.0</v>
      </c>
      <c r="F193" s="25">
        <v>6600.0</v>
      </c>
      <c r="G193" s="35">
        <f>62650+135300</f>
        <v>197950</v>
      </c>
      <c r="H193" s="27">
        <v>157430.0</v>
      </c>
      <c r="I193" s="28"/>
      <c r="J193" s="29">
        <v>76540.0</v>
      </c>
      <c r="K193" s="30">
        <v>118940.0</v>
      </c>
      <c r="L193" s="31">
        <f t="shared" si="9"/>
        <v>-19980</v>
      </c>
      <c r="M193" s="32"/>
      <c r="N193" s="33"/>
      <c r="O193" s="40"/>
      <c r="P193" s="35"/>
      <c r="Q193" s="33"/>
      <c r="R193" s="33"/>
      <c r="S193" s="35"/>
      <c r="T193" s="35"/>
      <c r="U193" s="33"/>
      <c r="V193" s="36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</row>
    <row r="194">
      <c r="A194" s="99" t="s">
        <v>25</v>
      </c>
      <c r="B194" s="100">
        <v>45114.0</v>
      </c>
      <c r="C194" s="22">
        <v>397600.0</v>
      </c>
      <c r="D194" s="23">
        <v>224300.0</v>
      </c>
      <c r="E194" s="24">
        <v>5000.0</v>
      </c>
      <c r="F194" s="25">
        <v>7000.0</v>
      </c>
      <c r="G194" s="35">
        <v>146300.0</v>
      </c>
      <c r="H194" s="27">
        <v>76280.0</v>
      </c>
      <c r="I194" s="28"/>
      <c r="J194" s="29">
        <v>57790.0</v>
      </c>
      <c r="K194" s="30">
        <v>123620.0</v>
      </c>
      <c r="L194" s="31">
        <f t="shared" si="9"/>
        <v>6390</v>
      </c>
      <c r="M194" s="39"/>
      <c r="N194" s="33"/>
      <c r="O194" s="40"/>
      <c r="P194" s="35"/>
      <c r="Q194" s="33"/>
      <c r="R194" s="33"/>
      <c r="S194" s="35"/>
      <c r="T194" s="35"/>
      <c r="U194" s="33"/>
      <c r="V194" s="36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</row>
    <row r="195">
      <c r="A195" s="99" t="s">
        <v>33</v>
      </c>
      <c r="B195" s="100">
        <v>45115.0</v>
      </c>
      <c r="C195" s="22">
        <v>416522.0</v>
      </c>
      <c r="D195" s="23">
        <v>254397.0</v>
      </c>
      <c r="E195" s="24">
        <v>4500.0</v>
      </c>
      <c r="F195" s="25">
        <v>7400.0</v>
      </c>
      <c r="G195" s="35">
        <f>173390+27750</f>
        <v>201140</v>
      </c>
      <c r="H195" s="27">
        <v>53000.0</v>
      </c>
      <c r="I195" s="28"/>
      <c r="J195" s="29">
        <v>34350.0</v>
      </c>
      <c r="K195" s="30">
        <v>132075.0</v>
      </c>
      <c r="L195" s="31">
        <f t="shared" si="9"/>
        <v>4043</v>
      </c>
      <c r="M195" s="39"/>
      <c r="N195" s="33"/>
      <c r="O195" s="40"/>
      <c r="P195" s="35"/>
      <c r="Q195" s="33"/>
      <c r="R195" s="33"/>
      <c r="S195" s="35"/>
      <c r="T195" s="35"/>
      <c r="U195" s="33"/>
      <c r="V195" s="36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</row>
    <row r="196">
      <c r="A196" s="150" t="s">
        <v>27</v>
      </c>
      <c r="B196" s="100">
        <v>45116.0</v>
      </c>
      <c r="C196" s="160"/>
      <c r="D196" s="160"/>
      <c r="E196" s="160"/>
      <c r="F196" s="160"/>
      <c r="G196" s="160"/>
      <c r="H196" s="160"/>
      <c r="I196" s="28"/>
      <c r="J196" s="160"/>
      <c r="K196" s="160"/>
      <c r="L196" s="31">
        <f t="shared" si="9"/>
        <v>0</v>
      </c>
      <c r="M196" s="39"/>
      <c r="N196" s="33"/>
      <c r="O196" s="40"/>
      <c r="P196" s="35"/>
      <c r="Q196" s="33"/>
      <c r="R196" s="33"/>
      <c r="S196" s="35"/>
      <c r="T196" s="35"/>
      <c r="U196" s="33"/>
      <c r="V196" s="36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</row>
    <row r="197">
      <c r="A197" s="99" t="s">
        <v>21</v>
      </c>
      <c r="B197" s="162">
        <v>45117.0</v>
      </c>
      <c r="C197" s="22">
        <v>518987.0</v>
      </c>
      <c r="D197" s="23">
        <v>310267.0</v>
      </c>
      <c r="E197" s="24">
        <v>5000.0</v>
      </c>
      <c r="F197" s="25">
        <v>10400.0</v>
      </c>
      <c r="G197" s="35">
        <f>76290+137430</f>
        <v>213720</v>
      </c>
      <c r="H197" s="27">
        <v>100077.0</v>
      </c>
      <c r="I197" s="28"/>
      <c r="J197" s="29">
        <v>73250.0</v>
      </c>
      <c r="K197" s="30">
        <v>135280.0</v>
      </c>
      <c r="L197" s="31">
        <f t="shared" si="9"/>
        <v>3340</v>
      </c>
      <c r="M197" s="32"/>
      <c r="N197" s="33"/>
      <c r="O197" s="40"/>
      <c r="P197" s="35"/>
      <c r="Q197" s="33"/>
      <c r="R197" s="33"/>
      <c r="S197" s="35"/>
      <c r="T197" s="35"/>
      <c r="U197" s="33"/>
      <c r="V197" s="36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</row>
    <row r="198">
      <c r="A198" s="99" t="s">
        <v>22</v>
      </c>
      <c r="B198" s="100">
        <v>45118.0</v>
      </c>
      <c r="C198" s="22">
        <v>462675.0</v>
      </c>
      <c r="D198" s="23">
        <v>268110.0</v>
      </c>
      <c r="E198" s="24">
        <v>4500.0</v>
      </c>
      <c r="F198" s="25">
        <f>9400+4000</f>
        <v>13400</v>
      </c>
      <c r="G198" s="35">
        <f>97550+60350</f>
        <v>157900</v>
      </c>
      <c r="H198" s="27">
        <v>75210.0</v>
      </c>
      <c r="I198" s="28"/>
      <c r="J198" s="29">
        <v>89905.0</v>
      </c>
      <c r="K198" s="30">
        <v>129760.0</v>
      </c>
      <c r="L198" s="31">
        <f t="shared" si="9"/>
        <v>-9900</v>
      </c>
      <c r="M198" s="39"/>
      <c r="N198" s="33"/>
      <c r="O198" s="40"/>
      <c r="P198" s="35"/>
      <c r="Q198" s="33"/>
      <c r="R198" s="33"/>
      <c r="S198" s="35"/>
      <c r="T198" s="35"/>
      <c r="U198" s="33"/>
      <c r="V198" s="36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</row>
    <row r="199">
      <c r="A199" s="99" t="s">
        <v>32</v>
      </c>
      <c r="B199" s="100">
        <v>45119.0</v>
      </c>
      <c r="C199" s="22">
        <v>431430.0</v>
      </c>
      <c r="D199" s="23">
        <v>229520.0</v>
      </c>
      <c r="E199" s="24">
        <v>5000.0</v>
      </c>
      <c r="F199" s="25">
        <v>13400.0</v>
      </c>
      <c r="G199" s="35">
        <v>137950.0</v>
      </c>
      <c r="H199" s="27">
        <v>71770.0</v>
      </c>
      <c r="I199" s="28"/>
      <c r="J199" s="29">
        <v>114150.0</v>
      </c>
      <c r="K199" s="30">
        <v>99410.0</v>
      </c>
      <c r="L199" s="31">
        <f t="shared" si="9"/>
        <v>-8150</v>
      </c>
      <c r="M199" s="32"/>
      <c r="N199" s="33"/>
      <c r="O199" s="40"/>
      <c r="P199" s="35"/>
      <c r="Q199" s="33"/>
      <c r="R199" s="33"/>
      <c r="S199" s="35"/>
      <c r="T199" s="35"/>
      <c r="U199" s="33"/>
      <c r="V199" s="36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</row>
    <row r="200">
      <c r="A200" s="99" t="s">
        <v>24</v>
      </c>
      <c r="B200" s="100">
        <v>45120.0</v>
      </c>
      <c r="C200" s="22">
        <v>514855.0</v>
      </c>
      <c r="D200" s="23">
        <v>328260.0</v>
      </c>
      <c r="E200" s="24">
        <f>1000+3200+450+200+520+290</f>
        <v>5660</v>
      </c>
      <c r="F200" s="25">
        <f>4000+400+1000+1000+1000+1000+1000+1000+1000+2000</f>
        <v>13400</v>
      </c>
      <c r="G200" s="35">
        <f>67910+94450</f>
        <v>162360</v>
      </c>
      <c r="H200" s="27">
        <v>136290.0</v>
      </c>
      <c r="I200" s="28"/>
      <c r="J200" s="29">
        <v>91500.0</v>
      </c>
      <c r="K200" s="30">
        <v>127055.0</v>
      </c>
      <c r="L200" s="31">
        <f t="shared" si="9"/>
        <v>2350</v>
      </c>
      <c r="M200" s="39"/>
      <c r="N200" s="33"/>
      <c r="O200" s="40"/>
      <c r="P200" s="35"/>
      <c r="Q200" s="33"/>
      <c r="R200" s="33"/>
      <c r="S200" s="35"/>
      <c r="T200" s="35"/>
      <c r="U200" s="33"/>
      <c r="V200" s="36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</row>
    <row r="201">
      <c r="A201" s="99" t="s">
        <v>25</v>
      </c>
      <c r="B201" s="100">
        <v>45121.0</v>
      </c>
      <c r="C201" s="22">
        <v>476045.0</v>
      </c>
      <c r="D201" s="23">
        <v>280705.0</v>
      </c>
      <c r="E201" s="24">
        <v>5000.0</v>
      </c>
      <c r="F201" s="25">
        <v>18000.0</v>
      </c>
      <c r="G201" s="157">
        <v>152050.0</v>
      </c>
      <c r="H201" s="27">
        <v>86610.0</v>
      </c>
      <c r="I201" s="28"/>
      <c r="J201" s="29">
        <v>101885.0</v>
      </c>
      <c r="K201" s="30">
        <v>129600.0</v>
      </c>
      <c r="L201" s="31">
        <f t="shared" si="9"/>
        <v>-5900</v>
      </c>
      <c r="M201" s="39"/>
      <c r="N201" s="33"/>
      <c r="O201" s="40"/>
      <c r="P201" s="35"/>
      <c r="Q201" s="33"/>
      <c r="R201" s="33"/>
      <c r="S201" s="35"/>
      <c r="T201" s="35"/>
      <c r="U201" s="33"/>
      <c r="V201" s="36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</row>
    <row r="202">
      <c r="A202" s="99" t="s">
        <v>33</v>
      </c>
      <c r="B202" s="100">
        <v>45122.0</v>
      </c>
      <c r="C202" s="22">
        <v>421065.0</v>
      </c>
      <c r="D202" s="23">
        <v>249070.0</v>
      </c>
      <c r="E202" s="24">
        <f>2700+1000+400+500+420+300+200</f>
        <v>5520</v>
      </c>
      <c r="F202" s="25">
        <f>2000+1300+1000+1000+1000+1000+1000+1000+400+4000</f>
        <v>13700</v>
      </c>
      <c r="G202" s="35">
        <f>157350+1100</f>
        <v>158450</v>
      </c>
      <c r="H202" s="27">
        <v>38470.0</v>
      </c>
      <c r="I202" s="28"/>
      <c r="J202" s="29">
        <v>77150.0</v>
      </c>
      <c r="K202" s="30">
        <v>142395.0</v>
      </c>
      <c r="L202" s="31">
        <f t="shared" si="9"/>
        <v>-4600</v>
      </c>
      <c r="M202" s="39"/>
      <c r="N202" s="33"/>
      <c r="O202" s="40"/>
      <c r="P202" s="35"/>
      <c r="Q202" s="33"/>
      <c r="R202" s="33"/>
      <c r="S202" s="35"/>
      <c r="T202" s="35"/>
      <c r="U202" s="33"/>
      <c r="V202" s="36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</row>
    <row r="203">
      <c r="A203" s="150" t="s">
        <v>27</v>
      </c>
      <c r="B203" s="100">
        <v>45123.0</v>
      </c>
      <c r="C203" s="160"/>
      <c r="D203" s="160"/>
      <c r="E203" s="160"/>
      <c r="F203" s="160"/>
      <c r="G203" s="160"/>
      <c r="H203" s="160"/>
      <c r="I203" s="28"/>
      <c r="J203" s="160"/>
      <c r="K203" s="160"/>
      <c r="L203" s="31">
        <f t="shared" si="9"/>
        <v>0</v>
      </c>
      <c r="M203" s="39"/>
      <c r="N203" s="33"/>
      <c r="O203" s="40"/>
      <c r="P203" s="35"/>
      <c r="Q203" s="33"/>
      <c r="R203" s="33"/>
      <c r="S203" s="35"/>
      <c r="T203" s="35"/>
      <c r="U203" s="33"/>
      <c r="V203" s="36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</row>
    <row r="204">
      <c r="A204" s="99" t="s">
        <v>21</v>
      </c>
      <c r="B204" s="100">
        <v>45124.0</v>
      </c>
      <c r="C204" s="22">
        <v>378185.0</v>
      </c>
      <c r="D204" s="23">
        <v>236300.0</v>
      </c>
      <c r="E204" s="24">
        <v>5000.0</v>
      </c>
      <c r="F204" s="25">
        <v>13700.0</v>
      </c>
      <c r="G204" s="35">
        <v>118650.0</v>
      </c>
      <c r="H204" s="27">
        <v>110300.0</v>
      </c>
      <c r="I204" s="28"/>
      <c r="J204" s="29">
        <v>62005.0</v>
      </c>
      <c r="K204" s="30">
        <v>104520.0</v>
      </c>
      <c r="L204" s="31">
        <f t="shared" si="9"/>
        <v>17290</v>
      </c>
      <c r="M204" s="32"/>
      <c r="N204" s="33"/>
      <c r="O204" s="40"/>
      <c r="P204" s="35"/>
      <c r="Q204" s="33"/>
      <c r="R204" s="33"/>
      <c r="S204" s="35"/>
      <c r="T204" s="35"/>
      <c r="U204" s="33"/>
      <c r="V204" s="36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</row>
    <row r="205">
      <c r="A205" s="99" t="s">
        <v>22</v>
      </c>
      <c r="B205" s="100">
        <v>45125.0</v>
      </c>
      <c r="C205" s="22">
        <v>516720.0</v>
      </c>
      <c r="D205" s="23">
        <v>258920.0</v>
      </c>
      <c r="E205" s="24">
        <f>1400+500+2100+200+400+320+330</f>
        <v>5250</v>
      </c>
      <c r="F205" s="25">
        <f>400+300+1000+1000+1000+3000+1000+1000+1000+1000</f>
        <v>10700</v>
      </c>
      <c r="G205" s="35">
        <f>82500+96750</f>
        <v>179250</v>
      </c>
      <c r="H205" s="27">
        <v>98170.0</v>
      </c>
      <c r="I205" s="28"/>
      <c r="J205" s="29">
        <v>78450.0</v>
      </c>
      <c r="K205" s="30">
        <v>106550.0</v>
      </c>
      <c r="L205" s="31">
        <f t="shared" si="9"/>
        <v>-54300</v>
      </c>
      <c r="M205" s="39"/>
      <c r="N205" s="33"/>
      <c r="O205" s="40"/>
      <c r="P205" s="35"/>
      <c r="Q205" s="33"/>
      <c r="R205" s="33"/>
      <c r="S205" s="35"/>
      <c r="T205" s="35"/>
      <c r="U205" s="33"/>
      <c r="V205" s="36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</row>
    <row r="206">
      <c r="A206" s="99" t="s">
        <v>32</v>
      </c>
      <c r="B206" s="100">
        <v>45126.0</v>
      </c>
      <c r="C206" s="22">
        <v>515895.0</v>
      </c>
      <c r="D206" s="23">
        <v>329010.0</v>
      </c>
      <c r="E206" s="24">
        <v>5500.0</v>
      </c>
      <c r="F206" s="25">
        <v>10700.0</v>
      </c>
      <c r="G206" s="35">
        <v>184750.0</v>
      </c>
      <c r="H206" s="27">
        <v>85660.0</v>
      </c>
      <c r="I206" s="28"/>
      <c r="J206" s="29">
        <v>131165.0</v>
      </c>
      <c r="K206" s="30">
        <v>101170.0</v>
      </c>
      <c r="L206" s="31">
        <f t="shared" si="9"/>
        <v>-13150</v>
      </c>
      <c r="M206" s="39"/>
      <c r="N206" s="33"/>
      <c r="O206" s="40"/>
      <c r="P206" s="35"/>
      <c r="Q206" s="33"/>
      <c r="R206" s="33"/>
      <c r="S206" s="35"/>
      <c r="T206" s="35"/>
      <c r="U206" s="33"/>
      <c r="V206" s="36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</row>
    <row r="207">
      <c r="A207" s="99" t="s">
        <v>24</v>
      </c>
      <c r="B207" s="100">
        <v>45127.0</v>
      </c>
      <c r="C207" s="22">
        <v>536898.0</v>
      </c>
      <c r="D207" s="23">
        <v>312058.0</v>
      </c>
      <c r="E207" s="24">
        <f>500+2400+1450+500+260+200+120+50</f>
        <v>5480</v>
      </c>
      <c r="F207" s="25">
        <f>300+1000+1000+1000+400+1000+1000+1000+1000+1000</f>
        <v>8700</v>
      </c>
      <c r="G207" s="35">
        <f>68590+110890</f>
        <v>179480</v>
      </c>
      <c r="H207" s="27">
        <v>79638.0</v>
      </c>
      <c r="I207" s="28"/>
      <c r="J207" s="29">
        <v>173130.0</v>
      </c>
      <c r="K207" s="30">
        <v>103940.0</v>
      </c>
      <c r="L207" s="31">
        <f t="shared" si="9"/>
        <v>-710</v>
      </c>
      <c r="M207" s="39"/>
      <c r="N207" s="33"/>
      <c r="O207" s="40"/>
      <c r="P207" s="35"/>
      <c r="Q207" s="33"/>
      <c r="R207" s="33"/>
      <c r="S207" s="35"/>
      <c r="T207" s="35"/>
      <c r="U207" s="33"/>
      <c r="V207" s="36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</row>
    <row r="208">
      <c r="A208" s="99" t="s">
        <v>25</v>
      </c>
      <c r="B208" s="100">
        <v>45128.0</v>
      </c>
      <c r="C208" s="22">
        <v>429642.0</v>
      </c>
      <c r="D208" s="23">
        <v>237962.0</v>
      </c>
      <c r="E208" s="24">
        <v>6000.0</v>
      </c>
      <c r="F208" s="25">
        <v>13000.0</v>
      </c>
      <c r="G208" s="35">
        <v>107605.0</v>
      </c>
      <c r="H208" s="27">
        <v>66897.0</v>
      </c>
      <c r="I208" s="28"/>
      <c r="J208" s="29">
        <v>107400.0</v>
      </c>
      <c r="K208" s="30">
        <v>127830.0</v>
      </c>
      <c r="L208" s="31">
        <f t="shared" si="9"/>
        <v>-19910</v>
      </c>
      <c r="M208" s="39"/>
      <c r="N208" s="33"/>
      <c r="O208" s="40"/>
      <c r="P208" s="35"/>
      <c r="Q208" s="33"/>
      <c r="R208" s="33"/>
      <c r="S208" s="35"/>
      <c r="T208" s="35"/>
      <c r="U208" s="33"/>
      <c r="V208" s="36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</row>
    <row r="209">
      <c r="A209" s="99" t="s">
        <v>33</v>
      </c>
      <c r="B209" s="100">
        <v>45129.0</v>
      </c>
      <c r="C209" s="22">
        <v>283300.0</v>
      </c>
      <c r="D209" s="23">
        <v>154000.0</v>
      </c>
      <c r="E209" s="24">
        <f>500+600+700+400+820+430</f>
        <v>3450</v>
      </c>
      <c r="F209" s="25"/>
      <c r="G209" s="35">
        <f>88250+18850</f>
        <v>107100</v>
      </c>
      <c r="H209" s="27">
        <v>22300.0</v>
      </c>
      <c r="I209" s="28"/>
      <c r="J209" s="29">
        <v>46900.0</v>
      </c>
      <c r="K209" s="30">
        <v>102550.0</v>
      </c>
      <c r="L209" s="31">
        <f t="shared" si="9"/>
        <v>-4450</v>
      </c>
      <c r="M209" s="39"/>
      <c r="N209" s="33"/>
      <c r="O209" s="40"/>
      <c r="P209" s="35"/>
      <c r="Q209" s="33"/>
      <c r="R209" s="33"/>
      <c r="S209" s="35"/>
      <c r="T209" s="35"/>
      <c r="U209" s="33"/>
      <c r="V209" s="36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</row>
    <row r="210">
      <c r="A210" s="150" t="s">
        <v>27</v>
      </c>
      <c r="B210" s="100">
        <v>45130.0</v>
      </c>
      <c r="C210" s="160"/>
      <c r="D210" s="160"/>
      <c r="E210" s="160"/>
      <c r="F210" s="160"/>
      <c r="G210" s="160"/>
      <c r="H210" s="160"/>
      <c r="I210" s="28"/>
      <c r="J210" s="160"/>
      <c r="K210" s="160"/>
      <c r="L210" s="31">
        <f t="shared" si="9"/>
        <v>0</v>
      </c>
      <c r="M210" s="39"/>
      <c r="N210" s="33"/>
      <c r="O210" s="40"/>
      <c r="P210" s="35"/>
      <c r="Q210" s="33"/>
      <c r="R210" s="33"/>
      <c r="S210" s="35"/>
      <c r="T210" s="35"/>
      <c r="U210" s="33"/>
      <c r="V210" s="36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</row>
    <row r="211">
      <c r="A211" s="99" t="s">
        <v>21</v>
      </c>
      <c r="B211" s="100">
        <v>45131.0</v>
      </c>
      <c r="C211" s="22">
        <v>405640.0</v>
      </c>
      <c r="D211" s="23">
        <v>279810.0</v>
      </c>
      <c r="E211" s="24">
        <f>800+3500+800+820+400</f>
        <v>6320</v>
      </c>
      <c r="F211" s="25"/>
      <c r="G211" s="35">
        <f>86240+42430</f>
        <v>128670</v>
      </c>
      <c r="H211" s="27">
        <v>88690.0</v>
      </c>
      <c r="I211" s="28"/>
      <c r="J211" s="29">
        <v>56360.0</v>
      </c>
      <c r="K211" s="30">
        <v>100620.0</v>
      </c>
      <c r="L211" s="31">
        <f t="shared" si="9"/>
        <v>-31300</v>
      </c>
      <c r="M211" s="39"/>
      <c r="N211" s="33"/>
      <c r="O211" s="40"/>
      <c r="P211" s="35"/>
      <c r="Q211" s="33"/>
      <c r="R211" s="33"/>
      <c r="S211" s="35"/>
      <c r="T211" s="35"/>
      <c r="U211" s="33"/>
      <c r="V211" s="36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</row>
    <row r="212">
      <c r="A212" s="99" t="s">
        <v>22</v>
      </c>
      <c r="B212" s="100">
        <v>45132.0</v>
      </c>
      <c r="C212" s="22">
        <v>489600.0</v>
      </c>
      <c r="D212" s="23">
        <v>292830.0</v>
      </c>
      <c r="E212" s="24">
        <v>2300.0</v>
      </c>
      <c r="F212" s="25">
        <v>15000.0</v>
      </c>
      <c r="G212" s="35">
        <f>122900+44000</f>
        <v>166900</v>
      </c>
      <c r="H212" s="27">
        <v>91820.0</v>
      </c>
      <c r="I212" s="28"/>
      <c r="J212" s="29">
        <v>109250.0</v>
      </c>
      <c r="K212" s="30">
        <v>121370.0</v>
      </c>
      <c r="L212" s="31">
        <f t="shared" si="9"/>
        <v>-260</v>
      </c>
      <c r="M212" s="39"/>
      <c r="N212" s="33"/>
      <c r="O212" s="40"/>
      <c r="P212" s="35"/>
      <c r="Q212" s="33"/>
      <c r="R212" s="33"/>
      <c r="S212" s="35"/>
      <c r="T212" s="35"/>
      <c r="U212" s="33"/>
      <c r="V212" s="36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</row>
    <row r="213">
      <c r="A213" s="99" t="s">
        <v>32</v>
      </c>
      <c r="B213" s="100">
        <v>45133.0</v>
      </c>
      <c r="C213" s="22">
        <v>564197.0</v>
      </c>
      <c r="D213" s="23">
        <v>357180.0</v>
      </c>
      <c r="E213" s="24">
        <v>1500.0</v>
      </c>
      <c r="F213" s="25">
        <v>15000.0</v>
      </c>
      <c r="G213" s="35">
        <v>187340.0</v>
      </c>
      <c r="H213" s="27">
        <v>118100.0</v>
      </c>
      <c r="I213" s="28"/>
      <c r="J213" s="29">
        <v>109700.0</v>
      </c>
      <c r="K213" s="30">
        <v>145167.0</v>
      </c>
      <c r="L213" s="31">
        <f t="shared" si="9"/>
        <v>-3890</v>
      </c>
      <c r="M213" s="39"/>
      <c r="N213" s="33"/>
      <c r="O213" s="40"/>
      <c r="P213" s="35"/>
      <c r="Q213" s="33"/>
      <c r="R213" s="33"/>
      <c r="S213" s="35"/>
      <c r="T213" s="35"/>
      <c r="U213" s="33"/>
      <c r="V213" s="36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</row>
    <row r="214">
      <c r="A214" s="99" t="s">
        <v>24</v>
      </c>
      <c r="B214" s="100">
        <v>45134.0</v>
      </c>
      <c r="C214" s="22">
        <v>553507.0</v>
      </c>
      <c r="D214" s="23">
        <v>295820.0</v>
      </c>
      <c r="E214" s="24">
        <v>2200.0</v>
      </c>
      <c r="F214" s="25">
        <v>15000.0</v>
      </c>
      <c r="G214" s="35">
        <v>147500.0</v>
      </c>
      <c r="H214" s="27">
        <v>115510.0</v>
      </c>
      <c r="I214" s="28"/>
      <c r="J214" s="29">
        <v>112990.0</v>
      </c>
      <c r="K214" s="30">
        <v>148747.0</v>
      </c>
      <c r="L214" s="31">
        <f t="shared" si="9"/>
        <v>-28760</v>
      </c>
      <c r="M214" s="39"/>
      <c r="N214" s="33"/>
      <c r="O214" s="40"/>
      <c r="P214" s="35"/>
      <c r="Q214" s="33"/>
      <c r="R214" s="33"/>
      <c r="S214" s="35"/>
      <c r="T214" s="35"/>
      <c r="U214" s="33"/>
      <c r="V214" s="36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</row>
    <row r="215">
      <c r="A215" s="99" t="s">
        <v>25</v>
      </c>
      <c r="B215" s="100">
        <v>45135.0</v>
      </c>
      <c r="C215" s="22">
        <v>392705.0</v>
      </c>
      <c r="D215" s="23">
        <v>210610.0</v>
      </c>
      <c r="E215" s="24">
        <v>4000.0</v>
      </c>
      <c r="F215" s="25">
        <v>15000.0</v>
      </c>
      <c r="G215" s="35">
        <v>90490.0</v>
      </c>
      <c r="H215" s="27">
        <v>69720.0</v>
      </c>
      <c r="I215" s="28"/>
      <c r="J215" s="29">
        <v>124550.0</v>
      </c>
      <c r="K215" s="30">
        <v>97095.0</v>
      </c>
      <c r="L215" s="31">
        <f t="shared" si="9"/>
        <v>-10850</v>
      </c>
      <c r="M215" s="39"/>
      <c r="N215" s="33"/>
      <c r="O215" s="40"/>
      <c r="P215" s="35"/>
      <c r="Q215" s="33"/>
      <c r="R215" s="33"/>
      <c r="S215" s="35"/>
      <c r="T215" s="35"/>
      <c r="U215" s="33"/>
      <c r="V215" s="36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</row>
    <row r="216">
      <c r="A216" s="99" t="s">
        <v>26</v>
      </c>
      <c r="B216" s="100">
        <v>45136.0</v>
      </c>
      <c r="C216" s="22">
        <v>440951.0</v>
      </c>
      <c r="D216" s="23">
        <v>309801.0</v>
      </c>
      <c r="E216" s="24">
        <f>2700+400+200+800+380+800+300</f>
        <v>5580</v>
      </c>
      <c r="F216" s="25"/>
      <c r="G216" s="26">
        <f>113900+84650</f>
        <v>198550</v>
      </c>
      <c r="H216" s="27">
        <v>38591.0</v>
      </c>
      <c r="I216" s="28"/>
      <c r="J216" s="29">
        <v>82150.0</v>
      </c>
      <c r="K216" s="30">
        <v>118200.0</v>
      </c>
      <c r="L216" s="31">
        <f t="shared" si="9"/>
        <v>-3460</v>
      </c>
      <c r="M216" s="32"/>
      <c r="N216" s="33"/>
      <c r="O216" s="40"/>
      <c r="P216" s="35"/>
      <c r="Q216" s="33"/>
      <c r="R216" s="33"/>
      <c r="S216" s="35"/>
      <c r="T216" s="35"/>
      <c r="U216" s="33"/>
      <c r="V216" s="36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</row>
    <row r="217">
      <c r="A217" s="150" t="s">
        <v>27</v>
      </c>
      <c r="B217" s="100">
        <v>45137.0</v>
      </c>
      <c r="C217" s="167"/>
      <c r="D217" s="167"/>
      <c r="E217" s="167"/>
      <c r="F217" s="167"/>
      <c r="G217" s="167"/>
      <c r="H217" s="167"/>
      <c r="I217" s="123"/>
      <c r="J217" s="167"/>
      <c r="K217" s="160"/>
      <c r="L217" s="31">
        <f t="shared" si="9"/>
        <v>0</v>
      </c>
      <c r="M217" s="39"/>
      <c r="N217" s="33"/>
      <c r="O217" s="40"/>
      <c r="P217" s="35"/>
      <c r="Q217" s="33"/>
      <c r="R217" s="33"/>
      <c r="S217" s="35"/>
      <c r="T217" s="35"/>
      <c r="U217" s="33"/>
      <c r="V217" s="36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</row>
    <row r="218">
      <c r="A218" s="99" t="s">
        <v>21</v>
      </c>
      <c r="B218" s="100">
        <v>45138.0</v>
      </c>
      <c r="C218" s="22">
        <v>336065.0</v>
      </c>
      <c r="D218" s="101">
        <v>211590.0</v>
      </c>
      <c r="E218" s="168">
        <v>7300.0</v>
      </c>
      <c r="F218" s="25">
        <v>18000.0</v>
      </c>
      <c r="G218" s="35">
        <f>8600+88060+900</f>
        <v>97560</v>
      </c>
      <c r="H218" s="27">
        <v>48100.0</v>
      </c>
      <c r="I218" s="28"/>
      <c r="J218" s="29">
        <v>78940.0</v>
      </c>
      <c r="K218" s="30">
        <v>122175.0</v>
      </c>
      <c r="L218" s="31">
        <f t="shared" si="9"/>
        <v>10710</v>
      </c>
      <c r="M218" s="32"/>
      <c r="N218" s="33"/>
      <c r="O218" s="40"/>
      <c r="P218" s="35"/>
      <c r="Q218" s="33"/>
      <c r="R218" s="33"/>
      <c r="S218" s="35"/>
      <c r="T218" s="35"/>
      <c r="U218" s="33"/>
      <c r="V218" s="36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</row>
    <row r="219">
      <c r="A219" s="93" t="s">
        <v>28</v>
      </c>
      <c r="B219" s="169" t="s">
        <v>42</v>
      </c>
      <c r="C219" s="170">
        <f t="shared" ref="C219:D219" si="10">SUM(C188:C218)</f>
        <v>11776524</v>
      </c>
      <c r="D219" s="170">
        <f t="shared" si="10"/>
        <v>7081770</v>
      </c>
      <c r="E219" s="170"/>
      <c r="F219" s="170"/>
      <c r="G219" s="170">
        <f>SUM(G188:G218)</f>
        <v>4059685</v>
      </c>
      <c r="H219" s="170">
        <f>SUM(H190:H218)</f>
        <v>2117593</v>
      </c>
      <c r="I219" s="123"/>
      <c r="J219" s="170">
        <f t="shared" ref="J219:K219" si="11">SUM(J188:J218)</f>
        <v>2305050</v>
      </c>
      <c r="K219" s="170">
        <f t="shared" si="11"/>
        <v>3083599</v>
      </c>
      <c r="L219" s="74">
        <f>SUM(E219:K219)</f>
        <v>11565927</v>
      </c>
      <c r="M219" s="166">
        <f>C219-L219</f>
        <v>210597</v>
      </c>
      <c r="N219" s="33"/>
      <c r="O219" s="40"/>
      <c r="P219" s="35"/>
      <c r="Q219" s="33"/>
      <c r="R219" s="33"/>
      <c r="S219" s="35"/>
      <c r="T219" s="35"/>
      <c r="U219" s="33"/>
      <c r="V219" s="36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</row>
    <row r="220">
      <c r="A220" s="99" t="s">
        <v>22</v>
      </c>
      <c r="B220" s="100">
        <v>45139.0</v>
      </c>
      <c r="C220" s="22">
        <v>481372.0</v>
      </c>
      <c r="D220" s="23">
        <v>278620.0</v>
      </c>
      <c r="E220" s="24">
        <v>3800.0</v>
      </c>
      <c r="F220" s="25">
        <v>18000.0</v>
      </c>
      <c r="G220" s="35">
        <v>183540.0</v>
      </c>
      <c r="H220" s="171">
        <v>67227.0</v>
      </c>
      <c r="I220" s="28"/>
      <c r="J220" s="29">
        <v>86250.0</v>
      </c>
      <c r="K220" s="30">
        <v>143262.0</v>
      </c>
      <c r="L220" s="31">
        <f t="shared" ref="L220:L250" si="12">(K220+J220+H220+G220)-C220</f>
        <v>-1093</v>
      </c>
      <c r="M220" s="172"/>
      <c r="N220" s="33"/>
      <c r="O220" s="40"/>
      <c r="P220" s="35"/>
      <c r="Q220" s="33"/>
      <c r="R220" s="33"/>
      <c r="S220" s="35"/>
      <c r="T220" s="35"/>
      <c r="U220" s="33"/>
      <c r="V220" s="36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</row>
    <row r="221">
      <c r="A221" s="99" t="s">
        <v>32</v>
      </c>
      <c r="B221" s="100">
        <v>45140.0</v>
      </c>
      <c r="C221" s="22">
        <v>564870.0</v>
      </c>
      <c r="D221" s="23">
        <v>308980.0</v>
      </c>
      <c r="E221" s="24">
        <v>8000.0</v>
      </c>
      <c r="F221" s="25">
        <v>18000.0</v>
      </c>
      <c r="G221" s="35">
        <v>165500.0</v>
      </c>
      <c r="H221" s="171">
        <v>100630.0</v>
      </c>
      <c r="I221" s="28"/>
      <c r="J221" s="29">
        <v>103300.0</v>
      </c>
      <c r="K221" s="30">
        <v>168240.0</v>
      </c>
      <c r="L221" s="31">
        <f t="shared" si="12"/>
        <v>-27200</v>
      </c>
      <c r="M221" s="39"/>
      <c r="N221" s="33"/>
      <c r="O221" s="40"/>
      <c r="P221" s="35"/>
      <c r="Q221" s="33"/>
      <c r="R221" s="33"/>
      <c r="S221" s="35"/>
      <c r="T221" s="35"/>
      <c r="U221" s="33"/>
      <c r="V221" s="36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</row>
    <row r="222">
      <c r="A222" s="99" t="s">
        <v>24</v>
      </c>
      <c r="B222" s="100">
        <v>45141.0</v>
      </c>
      <c r="C222" s="22">
        <f>548650-104500</f>
        <v>444150</v>
      </c>
      <c r="D222" s="23">
        <v>359990.0</v>
      </c>
      <c r="E222" s="24">
        <f>500+600+3700+950+580+280</f>
        <v>6610</v>
      </c>
      <c r="F222" s="25">
        <f>800+1000+1000+400+1000+1000+3000+2000+1000+1000+1000</f>
        <v>13200</v>
      </c>
      <c r="G222" s="35">
        <f>108300+43350</f>
        <v>151650</v>
      </c>
      <c r="H222" s="171">
        <v>33280.0</v>
      </c>
      <c r="I222" s="28"/>
      <c r="J222" s="29">
        <v>116670.0</v>
      </c>
      <c r="K222" s="30">
        <v>127550.0</v>
      </c>
      <c r="L222" s="31">
        <f t="shared" si="12"/>
        <v>-15000</v>
      </c>
      <c r="M222" s="39"/>
      <c r="N222" s="173"/>
      <c r="O222" s="174"/>
      <c r="P222" s="175"/>
      <c r="Q222" s="173"/>
      <c r="R222" s="173"/>
      <c r="S222" s="175"/>
      <c r="T222" s="175"/>
      <c r="U222" s="33"/>
      <c r="V222" s="36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</row>
    <row r="223">
      <c r="A223" s="99" t="s">
        <v>25</v>
      </c>
      <c r="B223" s="100">
        <v>45142.0</v>
      </c>
      <c r="C223" s="22">
        <v>543885.0</v>
      </c>
      <c r="D223" s="23">
        <v>331170.0</v>
      </c>
      <c r="E223" s="24">
        <f>2000+3400+900+680+300</f>
        <v>7280</v>
      </c>
      <c r="F223" s="25">
        <f>1000+1000+800+1000+900+1000+1000+1000+400+3000+4000+300</f>
        <v>15400</v>
      </c>
      <c r="G223" s="35">
        <f>4400+134000+47100</f>
        <v>185500</v>
      </c>
      <c r="H223" s="171">
        <v>97860.0</v>
      </c>
      <c r="I223" s="28"/>
      <c r="J223" s="29">
        <v>113260.0</v>
      </c>
      <c r="K223" s="30">
        <v>157015.0</v>
      </c>
      <c r="L223" s="31">
        <f t="shared" si="12"/>
        <v>9750</v>
      </c>
      <c r="M223" s="39"/>
      <c r="N223" s="33"/>
      <c r="O223" s="40"/>
      <c r="P223" s="35"/>
      <c r="Q223" s="33"/>
      <c r="R223" s="33"/>
      <c r="S223" s="35"/>
      <c r="T223" s="35"/>
      <c r="U223" s="33"/>
      <c r="V223" s="36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</row>
    <row r="224">
      <c r="A224" s="99" t="s">
        <v>26</v>
      </c>
      <c r="B224" s="100">
        <v>45143.0</v>
      </c>
      <c r="C224" s="22">
        <v>457400.0</v>
      </c>
      <c r="D224" s="23">
        <v>357800.0</v>
      </c>
      <c r="E224" s="24">
        <f>1000+1000+2200+550+680+320</f>
        <v>5750</v>
      </c>
      <c r="F224" s="25">
        <v>15400.0</v>
      </c>
      <c r="G224" s="35">
        <f>153275+112225</f>
        <v>265500</v>
      </c>
      <c r="H224" s="171">
        <v>22550.0</v>
      </c>
      <c r="I224" s="28"/>
      <c r="J224" s="29">
        <v>89050.0</v>
      </c>
      <c r="K224" s="30">
        <v>68350.0</v>
      </c>
      <c r="L224" s="31">
        <f t="shared" si="12"/>
        <v>-11950</v>
      </c>
      <c r="M224" s="39"/>
      <c r="N224" s="33"/>
      <c r="O224" s="40"/>
      <c r="P224" s="35"/>
      <c r="Q224" s="33"/>
      <c r="R224" s="33"/>
      <c r="S224" s="35"/>
      <c r="T224" s="35"/>
      <c r="U224" s="33"/>
      <c r="V224" s="36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</row>
    <row r="225">
      <c r="A225" s="150" t="s">
        <v>27</v>
      </c>
      <c r="B225" s="100">
        <v>45144.0</v>
      </c>
      <c r="C225" s="160"/>
      <c r="D225" s="160"/>
      <c r="E225" s="160"/>
      <c r="F225" s="160"/>
      <c r="G225" s="160"/>
      <c r="H225" s="176"/>
      <c r="I225" s="28"/>
      <c r="J225" s="160"/>
      <c r="K225" s="160"/>
      <c r="L225" s="31">
        <f t="shared" si="12"/>
        <v>0</v>
      </c>
      <c r="M225" s="39"/>
      <c r="N225" s="33"/>
      <c r="O225" s="40"/>
      <c r="P225" s="35"/>
      <c r="Q225" s="33"/>
      <c r="R225" s="33"/>
      <c r="S225" s="35"/>
      <c r="T225" s="35"/>
      <c r="U225" s="33"/>
      <c r="V225" s="36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</row>
    <row r="226">
      <c r="A226" s="99" t="s">
        <v>21</v>
      </c>
      <c r="B226" s="100">
        <v>45145.0</v>
      </c>
      <c r="C226" s="22">
        <v>441845.0</v>
      </c>
      <c r="D226" s="23">
        <v>185750.0</v>
      </c>
      <c r="E226" s="24">
        <f>700+2500+1450+620+180</f>
        <v>5450</v>
      </c>
      <c r="F226" s="25">
        <f>17400</f>
        <v>17400</v>
      </c>
      <c r="G226" s="35">
        <f>37850+124700</f>
        <v>162550</v>
      </c>
      <c r="H226" s="27">
        <v>84150.0</v>
      </c>
      <c r="I226" s="177"/>
      <c r="J226" s="178">
        <v>89900.0</v>
      </c>
      <c r="K226" s="30">
        <v>115085.0</v>
      </c>
      <c r="L226" s="31">
        <f t="shared" si="12"/>
        <v>9840</v>
      </c>
      <c r="M226" s="39"/>
      <c r="N226" s="33"/>
      <c r="O226" s="40"/>
      <c r="P226" s="35"/>
      <c r="Q226" s="33"/>
      <c r="R226" s="33"/>
      <c r="S226" s="35"/>
      <c r="T226" s="35"/>
      <c r="U226" s="33"/>
      <c r="V226" s="36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</row>
    <row r="227">
      <c r="A227" s="99" t="s">
        <v>22</v>
      </c>
      <c r="B227" s="100">
        <v>45146.0</v>
      </c>
      <c r="C227" s="22">
        <v>622377.0</v>
      </c>
      <c r="D227" s="23">
        <f>169165+128890</f>
        <v>298055</v>
      </c>
      <c r="E227" s="24">
        <f>1600+2900+900+660+260</f>
        <v>6320</v>
      </c>
      <c r="F227" s="25">
        <f>6000+400+300+1000+1000+800+900+5000+1000+1000+1000+1000</f>
        <v>19400</v>
      </c>
      <c r="G227" s="35">
        <f>89950+121350</f>
        <v>211300</v>
      </c>
      <c r="H227" s="27">
        <v>103480.0</v>
      </c>
      <c r="I227" s="177"/>
      <c r="J227" s="178">
        <v>165550.0</v>
      </c>
      <c r="K227" s="30">
        <v>142090.0</v>
      </c>
      <c r="L227" s="31">
        <f t="shared" si="12"/>
        <v>43</v>
      </c>
      <c r="M227" s="39"/>
      <c r="N227" s="33"/>
      <c r="O227" s="40"/>
      <c r="P227" s="35"/>
      <c r="Q227" s="33"/>
      <c r="R227" s="33"/>
      <c r="S227" s="35"/>
      <c r="T227" s="35"/>
      <c r="U227" s="33"/>
      <c r="V227" s="36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</row>
    <row r="228">
      <c r="A228" s="99" t="s">
        <v>32</v>
      </c>
      <c r="B228" s="100">
        <v>45147.0</v>
      </c>
      <c r="C228" s="22">
        <v>557405.0</v>
      </c>
      <c r="D228" s="23">
        <v>419940.0</v>
      </c>
      <c r="E228" s="24">
        <v>2300.0</v>
      </c>
      <c r="F228" s="25">
        <v>16800.0</v>
      </c>
      <c r="G228" s="35">
        <f>85840+107800</f>
        <v>193640</v>
      </c>
      <c r="H228" s="27">
        <v>160620.0</v>
      </c>
      <c r="I228" s="28"/>
      <c r="J228" s="29">
        <v>110150.0</v>
      </c>
      <c r="K228" s="30">
        <v>119945.0</v>
      </c>
      <c r="L228" s="31">
        <f t="shared" si="12"/>
        <v>26950</v>
      </c>
      <c r="M228" s="39"/>
      <c r="N228" s="33"/>
      <c r="O228" s="40"/>
      <c r="P228" s="35"/>
      <c r="Q228" s="33"/>
      <c r="R228" s="33"/>
      <c r="S228" s="35"/>
      <c r="T228" s="35"/>
      <c r="U228" s="33"/>
      <c r="V228" s="36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</row>
    <row r="229">
      <c r="A229" s="99" t="s">
        <v>24</v>
      </c>
      <c r="B229" s="100">
        <v>45148.0</v>
      </c>
      <c r="C229" s="22">
        <v>569250.0</v>
      </c>
      <c r="D229" s="23">
        <v>303500.0</v>
      </c>
      <c r="E229" s="24">
        <f>1200+3300+800+1100+250-1000</f>
        <v>5650</v>
      </c>
      <c r="F229" s="25">
        <f>4000+300+400+1000+800+900+4000+1000+1000+1000+1000</f>
        <v>15400</v>
      </c>
      <c r="G229" s="35">
        <f>135450+46150</f>
        <v>181600</v>
      </c>
      <c r="H229" s="27">
        <v>76950.0</v>
      </c>
      <c r="I229" s="28"/>
      <c r="J229" s="29">
        <v>133500.0</v>
      </c>
      <c r="K229" s="30">
        <v>145350.0</v>
      </c>
      <c r="L229" s="31">
        <f t="shared" si="12"/>
        <v>-31850</v>
      </c>
      <c r="M229" s="39"/>
      <c r="N229" s="33"/>
      <c r="O229" s="40"/>
      <c r="P229" s="35"/>
      <c r="Q229" s="33"/>
      <c r="R229" s="33"/>
      <c r="S229" s="35"/>
      <c r="T229" s="35"/>
      <c r="U229" s="33"/>
      <c r="V229" s="36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</row>
    <row r="230">
      <c r="A230" s="99" t="s">
        <v>25</v>
      </c>
      <c r="B230" s="100">
        <v>45149.0</v>
      </c>
      <c r="C230" s="22">
        <v>542140.0</v>
      </c>
      <c r="D230" s="23">
        <v>312730.0</v>
      </c>
      <c r="E230" s="24">
        <v>6000.0</v>
      </c>
      <c r="F230" s="25">
        <v>18400.0</v>
      </c>
      <c r="G230" s="35">
        <v>188050.0</v>
      </c>
      <c r="H230" s="27">
        <v>89940.0</v>
      </c>
      <c r="I230" s="28"/>
      <c r="J230" s="29">
        <v>129290.0</v>
      </c>
      <c r="K230" s="30">
        <v>130210.0</v>
      </c>
      <c r="L230" s="31">
        <f t="shared" si="12"/>
        <v>-4650</v>
      </c>
      <c r="M230" s="39"/>
      <c r="N230" s="33"/>
      <c r="O230" s="40"/>
      <c r="P230" s="35"/>
      <c r="Q230" s="33"/>
      <c r="R230" s="33"/>
      <c r="S230" s="35"/>
      <c r="T230" s="35"/>
      <c r="U230" s="33"/>
      <c r="V230" s="36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</row>
    <row r="231">
      <c r="A231" s="99" t="s">
        <v>26</v>
      </c>
      <c r="B231" s="100">
        <v>45150.0</v>
      </c>
      <c r="C231" s="22">
        <v>511040.0</v>
      </c>
      <c r="D231" s="23">
        <v>289400.0</v>
      </c>
      <c r="E231" s="24">
        <f>1400+500+1600+400+400+1000+380+300</f>
        <v>5980</v>
      </c>
      <c r="F231" s="25">
        <f>6000+1000+1000+1000+800+1000+400+500+400</f>
        <v>12100</v>
      </c>
      <c r="G231" s="35">
        <f>53050+131650</f>
        <v>184700</v>
      </c>
      <c r="H231" s="27">
        <v>68000.0</v>
      </c>
      <c r="I231" s="28"/>
      <c r="J231" s="29">
        <v>85400.0</v>
      </c>
      <c r="K231" s="30">
        <v>178490.0</v>
      </c>
      <c r="L231" s="31">
        <f t="shared" si="12"/>
        <v>5550</v>
      </c>
      <c r="M231" s="39"/>
      <c r="N231" s="33"/>
      <c r="O231" s="40"/>
      <c r="P231" s="35"/>
      <c r="Q231" s="33"/>
      <c r="R231" s="33"/>
      <c r="S231" s="35"/>
      <c r="T231" s="35"/>
      <c r="U231" s="33"/>
      <c r="V231" s="36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</row>
    <row r="232">
      <c r="A232" s="150" t="s">
        <v>27</v>
      </c>
      <c r="B232" s="100">
        <v>45151.0</v>
      </c>
      <c r="C232" s="160"/>
      <c r="D232" s="160"/>
      <c r="E232" s="160"/>
      <c r="F232" s="160"/>
      <c r="G232" s="160"/>
      <c r="H232" s="160"/>
      <c r="I232" s="28"/>
      <c r="J232" s="160"/>
      <c r="K232" s="160"/>
      <c r="L232" s="31">
        <f t="shared" si="12"/>
        <v>0</v>
      </c>
      <c r="M232" s="39"/>
      <c r="N232" s="33"/>
      <c r="O232" s="40"/>
      <c r="P232" s="35"/>
      <c r="Q232" s="33"/>
      <c r="R232" s="33"/>
      <c r="S232" s="35"/>
      <c r="T232" s="35"/>
      <c r="U232" s="33"/>
      <c r="V232" s="36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</row>
    <row r="233">
      <c r="A233" s="99" t="s">
        <v>21</v>
      </c>
      <c r="B233" s="100">
        <v>45152.0</v>
      </c>
      <c r="C233" s="22">
        <v>451780.0</v>
      </c>
      <c r="D233" s="23">
        <v>242210.0</v>
      </c>
      <c r="E233" s="24">
        <f>1000+1200+150+1000+740+840+280</f>
        <v>5210</v>
      </c>
      <c r="F233" s="25">
        <f>800+3000+800+400+400+1000+4000+2000+1000</f>
        <v>13400</v>
      </c>
      <c r="G233" s="35">
        <f>70550+111050</f>
        <v>181600</v>
      </c>
      <c r="H233" s="27">
        <v>56390.0</v>
      </c>
      <c r="I233" s="28"/>
      <c r="J233" s="29">
        <v>71610.0</v>
      </c>
      <c r="K233" s="30">
        <v>130380.0</v>
      </c>
      <c r="L233" s="31">
        <f t="shared" si="12"/>
        <v>-11800</v>
      </c>
      <c r="M233" s="39"/>
      <c r="N233" s="33"/>
      <c r="O233" s="40"/>
      <c r="P233" s="35"/>
      <c r="Q233" s="33"/>
      <c r="R233" s="33"/>
      <c r="S233" s="35"/>
      <c r="T233" s="35"/>
      <c r="U233" s="33"/>
      <c r="V233" s="36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</row>
    <row r="234">
      <c r="A234" s="99" t="s">
        <v>22</v>
      </c>
      <c r="B234" s="100">
        <v>45153.0</v>
      </c>
      <c r="C234" s="22">
        <v>430720.0</v>
      </c>
      <c r="D234" s="23">
        <v>271660.0</v>
      </c>
      <c r="E234" s="24">
        <v>5400.0</v>
      </c>
      <c r="F234" s="25">
        <v>12000.0</v>
      </c>
      <c r="G234" s="35">
        <f>143650+21100</f>
        <v>164750</v>
      </c>
      <c r="H234" s="27">
        <v>63150.0</v>
      </c>
      <c r="I234" s="28"/>
      <c r="J234" s="29">
        <v>84220.0</v>
      </c>
      <c r="K234" s="30">
        <v>98540.0</v>
      </c>
      <c r="L234" s="31">
        <f t="shared" si="12"/>
        <v>-20060</v>
      </c>
      <c r="M234" s="39"/>
      <c r="N234" s="33"/>
      <c r="O234" s="40"/>
      <c r="P234" s="35"/>
      <c r="Q234" s="33"/>
      <c r="R234" s="33"/>
      <c r="S234" s="35"/>
      <c r="T234" s="35"/>
      <c r="U234" s="33"/>
      <c r="V234" s="36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</row>
    <row r="235">
      <c r="A235" s="99" t="s">
        <v>32</v>
      </c>
      <c r="B235" s="100">
        <v>45154.0</v>
      </c>
      <c r="C235" s="22">
        <v>519335.0</v>
      </c>
      <c r="D235" s="23">
        <v>340780.0</v>
      </c>
      <c r="E235" s="24">
        <v>8000.0</v>
      </c>
      <c r="F235" s="25">
        <v>12000.0</v>
      </c>
      <c r="G235" s="35">
        <v>87300.0</v>
      </c>
      <c r="H235" s="27">
        <v>161730.0</v>
      </c>
      <c r="I235" s="28"/>
      <c r="J235" s="29">
        <v>98540.0</v>
      </c>
      <c r="K235" s="30">
        <v>107515.0</v>
      </c>
      <c r="L235" s="31">
        <f t="shared" si="12"/>
        <v>-64250</v>
      </c>
      <c r="M235" s="39"/>
      <c r="N235" s="33"/>
      <c r="O235" s="40"/>
      <c r="P235" s="35"/>
      <c r="Q235" s="33"/>
      <c r="R235" s="33"/>
      <c r="S235" s="35"/>
      <c r="T235" s="35"/>
      <c r="U235" s="33"/>
      <c r="V235" s="36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</row>
    <row r="236">
      <c r="A236" s="99" t="s">
        <v>24</v>
      </c>
      <c r="B236" s="100">
        <v>45155.0</v>
      </c>
      <c r="C236" s="22">
        <f>424095-53000</f>
        <v>371095</v>
      </c>
      <c r="D236" s="23">
        <v>264170.0</v>
      </c>
      <c r="E236" s="24">
        <f>1600+500+1900+1100</f>
        <v>5100</v>
      </c>
      <c r="F236" s="25"/>
      <c r="G236" s="35">
        <f>57650+129650</f>
        <v>187300</v>
      </c>
      <c r="H236" s="27">
        <v>68140.0</v>
      </c>
      <c r="I236" s="28"/>
      <c r="J236" s="29">
        <v>44740.0</v>
      </c>
      <c r="K236" s="30">
        <v>87085.0</v>
      </c>
      <c r="L236" s="31">
        <f t="shared" si="12"/>
        <v>16170</v>
      </c>
      <c r="M236" s="39"/>
      <c r="N236" s="33"/>
      <c r="O236" s="40"/>
      <c r="P236" s="35"/>
      <c r="Q236" s="33"/>
      <c r="R236" s="33"/>
      <c r="S236" s="35"/>
      <c r="T236" s="35"/>
      <c r="U236" s="33"/>
      <c r="V236" s="36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</row>
    <row r="237">
      <c r="A237" s="99" t="s">
        <v>25</v>
      </c>
      <c r="B237" s="100">
        <v>45156.0</v>
      </c>
      <c r="C237" s="22">
        <v>516060.0</v>
      </c>
      <c r="D237" s="23">
        <v>293670.0</v>
      </c>
      <c r="E237" s="24">
        <v>6000.0</v>
      </c>
      <c r="F237" s="25">
        <v>12000.0</v>
      </c>
      <c r="G237" s="35">
        <v>179450.0</v>
      </c>
      <c r="H237" s="27">
        <v>95270.0</v>
      </c>
      <c r="I237" s="28"/>
      <c r="J237" s="29">
        <v>147400.0</v>
      </c>
      <c r="K237" s="30">
        <v>92240.0</v>
      </c>
      <c r="L237" s="31">
        <f t="shared" si="12"/>
        <v>-1700</v>
      </c>
      <c r="M237" s="39"/>
      <c r="N237" s="33"/>
      <c r="O237" s="40"/>
      <c r="P237" s="35"/>
      <c r="Q237" s="33"/>
      <c r="R237" s="33"/>
      <c r="S237" s="35"/>
      <c r="T237" s="35"/>
      <c r="U237" s="33"/>
      <c r="V237" s="36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</row>
    <row r="238">
      <c r="A238" s="99" t="s">
        <v>26</v>
      </c>
      <c r="B238" s="100">
        <v>45157.0</v>
      </c>
      <c r="C238" s="22">
        <v>508125.0</v>
      </c>
      <c r="D238" s="23">
        <v>291775.0</v>
      </c>
      <c r="E238" s="24">
        <f>1000+2500+750+400+440+150</f>
        <v>5240</v>
      </c>
      <c r="F238" s="25"/>
      <c r="G238" s="35">
        <f>187100+18300</f>
        <v>205400</v>
      </c>
      <c r="H238" s="27">
        <v>51140.0</v>
      </c>
      <c r="I238" s="28"/>
      <c r="J238" s="29">
        <v>83000.0</v>
      </c>
      <c r="K238" s="30">
        <v>165800.0</v>
      </c>
      <c r="L238" s="31">
        <f t="shared" si="12"/>
        <v>-2785</v>
      </c>
      <c r="M238" s="39"/>
      <c r="N238" s="33"/>
      <c r="O238" s="40"/>
      <c r="P238" s="35"/>
      <c r="Q238" s="33"/>
      <c r="R238" s="33"/>
      <c r="S238" s="35"/>
      <c r="T238" s="35"/>
      <c r="U238" s="33"/>
      <c r="V238" s="36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</row>
    <row r="239">
      <c r="A239" s="150" t="s">
        <v>27</v>
      </c>
      <c r="B239" s="100">
        <v>45158.0</v>
      </c>
      <c r="C239" s="160"/>
      <c r="D239" s="160"/>
      <c r="E239" s="160"/>
      <c r="F239" s="160"/>
      <c r="G239" s="160"/>
      <c r="H239" s="160"/>
      <c r="I239" s="28"/>
      <c r="J239" s="160"/>
      <c r="K239" s="160"/>
      <c r="L239" s="31">
        <f t="shared" si="12"/>
        <v>0</v>
      </c>
      <c r="M239" s="32"/>
      <c r="N239" s="33"/>
      <c r="O239" s="40"/>
      <c r="P239" s="35"/>
      <c r="Q239" s="33"/>
      <c r="R239" s="33"/>
      <c r="S239" s="35"/>
      <c r="T239" s="35"/>
      <c r="U239" s="33"/>
      <c r="V239" s="36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</row>
    <row r="240">
      <c r="A240" s="99" t="s">
        <v>21</v>
      </c>
      <c r="B240" s="100">
        <v>45159.0</v>
      </c>
      <c r="C240" s="22">
        <v>407575.0</v>
      </c>
      <c r="D240" s="23">
        <v>259375.0</v>
      </c>
      <c r="E240" s="24">
        <v>6000.0</v>
      </c>
      <c r="F240" s="25">
        <v>12000.0</v>
      </c>
      <c r="G240" s="35">
        <v>135200.0</v>
      </c>
      <c r="H240" s="27">
        <v>98980.0</v>
      </c>
      <c r="I240" s="28"/>
      <c r="J240" s="29">
        <v>56450.0</v>
      </c>
      <c r="K240" s="30">
        <v>104195.0</v>
      </c>
      <c r="L240" s="31">
        <f t="shared" si="12"/>
        <v>-12750</v>
      </c>
      <c r="M240" s="39"/>
      <c r="N240" s="33"/>
      <c r="O240" s="40"/>
      <c r="P240" s="35"/>
      <c r="Q240" s="33"/>
      <c r="R240" s="33"/>
      <c r="S240" s="35"/>
      <c r="T240" s="35"/>
      <c r="U240" s="33"/>
      <c r="V240" s="36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</row>
    <row r="241">
      <c r="A241" s="99" t="s">
        <v>22</v>
      </c>
      <c r="B241" s="100">
        <v>45160.0</v>
      </c>
      <c r="C241" s="22">
        <v>536690.0</v>
      </c>
      <c r="D241" s="23">
        <v>238900.0</v>
      </c>
      <c r="E241" s="24">
        <f>1200+1600+1100+940+250+800+500</f>
        <v>6390</v>
      </c>
      <c r="F241" s="25">
        <f>800+1000+800+400+700+2000</f>
        <v>5700</v>
      </c>
      <c r="G241" s="35">
        <f>89550+55000</f>
        <v>144550</v>
      </c>
      <c r="H241" s="27">
        <v>121550.0</v>
      </c>
      <c r="I241" s="28"/>
      <c r="J241" s="29">
        <v>118450.0</v>
      </c>
      <c r="K241" s="30">
        <v>136180.0</v>
      </c>
      <c r="L241" s="31">
        <f t="shared" si="12"/>
        <v>-15960</v>
      </c>
      <c r="M241" s="32"/>
      <c r="N241" s="33"/>
      <c r="O241" s="40"/>
      <c r="P241" s="35"/>
      <c r="Q241" s="33"/>
      <c r="R241" s="33"/>
      <c r="S241" s="35"/>
      <c r="T241" s="35"/>
      <c r="U241" s="33"/>
      <c r="V241" s="36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</row>
    <row r="242">
      <c r="A242" s="99" t="s">
        <v>32</v>
      </c>
      <c r="B242" s="100">
        <v>45161.0</v>
      </c>
      <c r="C242" s="22">
        <v>660350.0</v>
      </c>
      <c r="D242" s="23">
        <v>391840.0</v>
      </c>
      <c r="E242" s="24">
        <v>5000.0</v>
      </c>
      <c r="F242" s="25">
        <v>5000.0</v>
      </c>
      <c r="G242" s="35">
        <v>247600.0</v>
      </c>
      <c r="H242" s="179">
        <v>92890.0</v>
      </c>
      <c r="I242" s="28"/>
      <c r="J242" s="29">
        <v>144130.0</v>
      </c>
      <c r="K242" s="30">
        <v>137380.0</v>
      </c>
      <c r="L242" s="31">
        <f t="shared" si="12"/>
        <v>-38350</v>
      </c>
      <c r="M242" s="39"/>
      <c r="N242" s="33"/>
      <c r="O242" s="40"/>
      <c r="P242" s="35"/>
      <c r="Q242" s="33"/>
      <c r="R242" s="33"/>
      <c r="S242" s="35"/>
      <c r="T242" s="35"/>
      <c r="U242" s="33"/>
      <c r="V242" s="36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</row>
    <row r="243">
      <c r="A243" s="99" t="s">
        <v>24</v>
      </c>
      <c r="B243" s="100">
        <v>45162.0</v>
      </c>
      <c r="C243" s="22">
        <v>606900.0</v>
      </c>
      <c r="D243" s="23">
        <v>332350.0</v>
      </c>
      <c r="E243" s="24">
        <f>900+1300+1050+400+300+360+300</f>
        <v>4610</v>
      </c>
      <c r="F243" s="25">
        <f>2000+400+700+800+800+1000</f>
        <v>5700</v>
      </c>
      <c r="G243" s="35">
        <f>167300+31250</f>
        <v>198550</v>
      </c>
      <c r="H243" s="27">
        <v>57960.0</v>
      </c>
      <c r="I243" s="28"/>
      <c r="J243" s="29">
        <v>164850.0</v>
      </c>
      <c r="K243" s="30">
        <v>155550.0</v>
      </c>
      <c r="L243" s="31">
        <f t="shared" si="12"/>
        <v>-29990</v>
      </c>
      <c r="M243" s="39"/>
      <c r="N243" s="33"/>
      <c r="O243" s="40"/>
      <c r="P243" s="35"/>
      <c r="Q243" s="33"/>
      <c r="R243" s="33"/>
      <c r="S243" s="35"/>
      <c r="T243" s="35"/>
      <c r="U243" s="33"/>
      <c r="V243" s="36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</row>
    <row r="244">
      <c r="A244" s="99" t="s">
        <v>25</v>
      </c>
      <c r="B244" s="100">
        <v>45163.0</v>
      </c>
      <c r="C244" s="22">
        <v>523675.0</v>
      </c>
      <c r="D244" s="23">
        <v>274390.0</v>
      </c>
      <c r="E244" s="24">
        <v>5000.0</v>
      </c>
      <c r="F244" s="25">
        <v>10000.0</v>
      </c>
      <c r="G244" s="35">
        <v>191650.0</v>
      </c>
      <c r="H244" s="27">
        <v>67390.0</v>
      </c>
      <c r="I244" s="180"/>
      <c r="J244" s="181">
        <v>89500.0</v>
      </c>
      <c r="K244" s="30">
        <v>172085.0</v>
      </c>
      <c r="L244" s="31">
        <f t="shared" si="12"/>
        <v>-3050</v>
      </c>
      <c r="M244" s="32"/>
      <c r="N244" s="33"/>
      <c r="O244" s="40"/>
      <c r="P244" s="35"/>
      <c r="Q244" s="33"/>
      <c r="R244" s="33"/>
      <c r="S244" s="35"/>
      <c r="T244" s="35"/>
      <c r="U244" s="33"/>
      <c r="V244" s="36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</row>
    <row r="245">
      <c r="A245" s="99" t="s">
        <v>26</v>
      </c>
      <c r="B245" s="100">
        <v>45164.0</v>
      </c>
      <c r="C245" s="22">
        <v>568650.0</v>
      </c>
      <c r="D245" s="23">
        <v>441200.0</v>
      </c>
      <c r="E245" s="24">
        <v>5000.0</v>
      </c>
      <c r="F245" s="25">
        <f>10000+8000+2400+2000+400+800+700+1000+800</f>
        <v>26100</v>
      </c>
      <c r="G245" s="35">
        <f>220150+109400</f>
        <v>329550</v>
      </c>
      <c r="H245" s="27">
        <v>55497.0</v>
      </c>
      <c r="I245" s="177"/>
      <c r="J245" s="178">
        <v>89200.0</v>
      </c>
      <c r="K245" s="30">
        <v>91150.0</v>
      </c>
      <c r="L245" s="31">
        <f t="shared" si="12"/>
        <v>-3253</v>
      </c>
      <c r="M245" s="32"/>
      <c r="N245" s="33"/>
      <c r="O245" s="40"/>
      <c r="P245" s="35"/>
      <c r="Q245" s="33"/>
      <c r="R245" s="33"/>
      <c r="S245" s="35"/>
      <c r="T245" s="35"/>
      <c r="U245" s="33"/>
      <c r="V245" s="36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</row>
    <row r="246">
      <c r="A246" s="150" t="s">
        <v>27</v>
      </c>
      <c r="B246" s="100">
        <v>45165.0</v>
      </c>
      <c r="C246" s="160"/>
      <c r="D246" s="160"/>
      <c r="E246" s="160"/>
      <c r="F246" s="160"/>
      <c r="G246" s="160"/>
      <c r="H246" s="160"/>
      <c r="I246" s="28"/>
      <c r="J246" s="160"/>
      <c r="K246" s="160"/>
      <c r="L246" s="31">
        <f t="shared" si="12"/>
        <v>0</v>
      </c>
      <c r="M246" s="32"/>
      <c r="N246" s="33"/>
      <c r="O246" s="40"/>
      <c r="P246" s="35"/>
      <c r="Q246" s="33"/>
      <c r="R246" s="33"/>
      <c r="S246" s="35"/>
      <c r="T246" s="35"/>
      <c r="U246" s="33"/>
      <c r="V246" s="36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</row>
    <row r="247">
      <c r="A247" s="99" t="s">
        <v>21</v>
      </c>
      <c r="B247" s="100">
        <v>45166.0</v>
      </c>
      <c r="C247" s="182">
        <v>506868.0</v>
      </c>
      <c r="D247" s="183">
        <v>379988.0</v>
      </c>
      <c r="E247" s="184">
        <v>5000.0</v>
      </c>
      <c r="F247" s="185">
        <v>26100.0</v>
      </c>
      <c r="G247" s="186">
        <v>206650.0</v>
      </c>
      <c r="H247" s="171">
        <v>101998.0</v>
      </c>
      <c r="I247" s="177"/>
      <c r="J247" s="178">
        <v>87280.0</v>
      </c>
      <c r="K247" s="30">
        <v>93910.0</v>
      </c>
      <c r="L247" s="31">
        <f t="shared" si="12"/>
        <v>-17030</v>
      </c>
      <c r="M247" s="39"/>
      <c r="N247" s="33"/>
      <c r="O247" s="40"/>
      <c r="P247" s="35"/>
      <c r="Q247" s="33"/>
      <c r="R247" s="33"/>
      <c r="S247" s="35"/>
      <c r="T247" s="35"/>
      <c r="U247" s="33"/>
      <c r="V247" s="36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</row>
    <row r="248">
      <c r="A248" s="99" t="s">
        <v>22</v>
      </c>
      <c r="B248" s="100">
        <v>45167.0</v>
      </c>
      <c r="C248" s="182">
        <v>720270.0</v>
      </c>
      <c r="D248" s="183">
        <v>404970.0</v>
      </c>
      <c r="E248" s="184">
        <f>4000+600+700+250</f>
        <v>5550</v>
      </c>
      <c r="F248" s="185">
        <f>4000+8000+8000+1000+4000</f>
        <v>25000</v>
      </c>
      <c r="G248" s="186">
        <f>131200+101200</f>
        <v>232400</v>
      </c>
      <c r="H248" s="171">
        <v>114617.0</v>
      </c>
      <c r="I248" s="177"/>
      <c r="J248" s="178">
        <v>145100.0</v>
      </c>
      <c r="K248" s="30">
        <v>148900.0</v>
      </c>
      <c r="L248" s="31">
        <f t="shared" si="12"/>
        <v>-79253</v>
      </c>
      <c r="M248" s="32"/>
      <c r="N248" s="33"/>
      <c r="O248" s="40"/>
      <c r="P248" s="35"/>
      <c r="Q248" s="33"/>
      <c r="R248" s="33"/>
      <c r="S248" s="35"/>
      <c r="T248" s="35"/>
      <c r="U248" s="33"/>
      <c r="V248" s="36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</row>
    <row r="249">
      <c r="A249" s="99" t="s">
        <v>23</v>
      </c>
      <c r="B249" s="100">
        <v>45168.0</v>
      </c>
      <c r="C249" s="22">
        <v>578470.0</v>
      </c>
      <c r="D249" s="23">
        <v>323990.0</v>
      </c>
      <c r="E249" s="24">
        <v>6000.0</v>
      </c>
      <c r="F249" s="25">
        <v>25000.0</v>
      </c>
      <c r="G249" s="35">
        <v>188200.0</v>
      </c>
      <c r="H249" s="179">
        <v>112830.0</v>
      </c>
      <c r="I249" s="28"/>
      <c r="J249" s="29">
        <v>126600.0</v>
      </c>
      <c r="K249" s="30">
        <v>152730.0</v>
      </c>
      <c r="L249" s="31">
        <f t="shared" si="12"/>
        <v>1890</v>
      </c>
      <c r="M249" s="39"/>
      <c r="N249" s="33"/>
      <c r="O249" s="40"/>
      <c r="P249" s="35"/>
      <c r="Q249" s="33"/>
      <c r="R249" s="33"/>
      <c r="S249" s="35"/>
      <c r="T249" s="35"/>
      <c r="U249" s="33"/>
      <c r="V249" s="36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</row>
    <row r="250">
      <c r="A250" s="99" t="s">
        <v>24</v>
      </c>
      <c r="B250" s="100">
        <v>45169.0</v>
      </c>
      <c r="C250" s="22">
        <f>754740-206150</f>
        <v>548590</v>
      </c>
      <c r="D250" s="23">
        <v>487610.0</v>
      </c>
      <c r="E250" s="24">
        <f>900+3200+900+460+680+180</f>
        <v>6320</v>
      </c>
      <c r="F250" s="25">
        <f>3000+5000+8000+10000+400+800+1000+1000+800-2000</f>
        <v>28000</v>
      </c>
      <c r="G250" s="35">
        <f>6400+142790</f>
        <v>149190</v>
      </c>
      <c r="H250" s="187">
        <v>110970.0</v>
      </c>
      <c r="I250" s="28"/>
      <c r="J250" s="29">
        <v>168030.0</v>
      </c>
      <c r="K250" s="30">
        <v>127650.0</v>
      </c>
      <c r="L250" s="31">
        <f t="shared" si="12"/>
        <v>7250</v>
      </c>
      <c r="M250" s="39"/>
      <c r="N250" s="33"/>
      <c r="O250" s="40"/>
      <c r="P250" s="35"/>
      <c r="Q250" s="33"/>
      <c r="R250" s="33"/>
      <c r="S250" s="35"/>
      <c r="T250" s="35"/>
      <c r="U250" s="33"/>
      <c r="V250" s="36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</row>
    <row r="251">
      <c r="A251" s="93" t="s">
        <v>28</v>
      </c>
      <c r="B251" s="188" t="s">
        <v>43</v>
      </c>
      <c r="C251" s="189">
        <f t="shared" ref="C251:D251" si="13">SUM(C220:C250)</f>
        <v>14190887</v>
      </c>
      <c r="D251" s="189">
        <f t="shared" si="13"/>
        <v>8684813</v>
      </c>
      <c r="E251" s="189"/>
      <c r="F251" s="189"/>
      <c r="G251" s="189">
        <f t="shared" ref="G251:H251" si="14">SUM(G220:G250)</f>
        <v>5102870</v>
      </c>
      <c r="H251" s="190">
        <f t="shared" si="14"/>
        <v>2335189</v>
      </c>
      <c r="I251" s="191"/>
      <c r="J251" s="189">
        <f t="shared" ref="J251:K251" si="15">SUM(J220:J250)</f>
        <v>2941420</v>
      </c>
      <c r="K251" s="73">
        <f t="shared" si="15"/>
        <v>3496877</v>
      </c>
      <c r="L251" s="74">
        <f>SUM(E251:K251)</f>
        <v>13876356</v>
      </c>
      <c r="M251" s="166">
        <f>C251-L251</f>
        <v>314531</v>
      </c>
      <c r="N251" s="33"/>
      <c r="O251" s="40"/>
      <c r="P251" s="35"/>
      <c r="Q251" s="33"/>
      <c r="R251" s="33"/>
      <c r="S251" s="35"/>
      <c r="T251" s="35"/>
      <c r="U251" s="33"/>
      <c r="V251" s="36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</row>
    <row r="252">
      <c r="A252" s="192" t="s">
        <v>25</v>
      </c>
      <c r="B252" s="100">
        <v>44440.0</v>
      </c>
      <c r="C252" s="22">
        <v>485490.0</v>
      </c>
      <c r="D252" s="23">
        <v>283690.0</v>
      </c>
      <c r="E252" s="24">
        <v>7000.0</v>
      </c>
      <c r="F252" s="25">
        <v>28000.0</v>
      </c>
      <c r="G252" s="35">
        <v>160400.0</v>
      </c>
      <c r="H252" s="187">
        <v>81190.0</v>
      </c>
      <c r="I252" s="28"/>
      <c r="J252" s="29">
        <v>116200.0</v>
      </c>
      <c r="K252" s="30">
        <v>129900.0</v>
      </c>
      <c r="L252" s="31">
        <f t="shared" ref="L252:L253" si="16">(K252+J252+H252+G252)-C252</f>
        <v>2200</v>
      </c>
      <c r="M252" s="39"/>
      <c r="N252" s="33"/>
      <c r="O252" s="40"/>
      <c r="P252" s="35"/>
      <c r="Q252" s="33"/>
      <c r="R252" s="33"/>
      <c r="S252" s="35"/>
      <c r="T252" s="35"/>
      <c r="U252" s="33"/>
      <c r="V252" s="36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</row>
    <row r="253">
      <c r="A253" s="99" t="s">
        <v>26</v>
      </c>
      <c r="B253" s="100">
        <v>44441.0</v>
      </c>
      <c r="C253" s="22">
        <v>511990.0</v>
      </c>
      <c r="D253" s="23">
        <v>356340.0</v>
      </c>
      <c r="E253" s="24">
        <f>700+2300+1000+700+500+160+280+400</f>
        <v>6040</v>
      </c>
      <c r="F253" s="25">
        <f>400+800+1000+1000+800+4000+7000+11000</f>
        <v>26000</v>
      </c>
      <c r="G253" s="35">
        <f>34850+204500</f>
        <v>239350</v>
      </c>
      <c r="H253" s="187">
        <v>84290.0</v>
      </c>
      <c r="I253" s="28"/>
      <c r="J253" s="29">
        <v>66950.0</v>
      </c>
      <c r="K253" s="30">
        <v>112850.0</v>
      </c>
      <c r="L253" s="31">
        <f t="shared" si="16"/>
        <v>-8550</v>
      </c>
      <c r="M253" s="39"/>
      <c r="N253" s="145"/>
      <c r="O253" s="146"/>
      <c r="P253" s="147"/>
      <c r="Q253" s="145"/>
      <c r="R253" s="145"/>
      <c r="S253" s="147"/>
      <c r="T253" s="147"/>
      <c r="U253" s="33"/>
      <c r="V253" s="36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</row>
    <row r="254">
      <c r="A254" s="150" t="s">
        <v>27</v>
      </c>
      <c r="B254" s="100">
        <v>44442.0</v>
      </c>
      <c r="C254" s="160"/>
      <c r="D254" s="160"/>
      <c r="E254" s="160"/>
      <c r="F254" s="160"/>
      <c r="G254" s="160"/>
      <c r="H254" s="193"/>
      <c r="I254" s="28"/>
      <c r="J254" s="160"/>
      <c r="K254" s="160"/>
      <c r="L254" s="31"/>
      <c r="M254" s="32"/>
      <c r="N254" s="33"/>
      <c r="O254" s="40"/>
      <c r="P254" s="35"/>
      <c r="Q254" s="33"/>
      <c r="R254" s="33"/>
      <c r="S254" s="35"/>
      <c r="T254" s="35"/>
      <c r="U254" s="33"/>
      <c r="V254" s="36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</row>
    <row r="255">
      <c r="A255" s="99" t="s">
        <v>21</v>
      </c>
      <c r="B255" s="100">
        <v>44443.0</v>
      </c>
      <c r="C255" s="22">
        <v>532590.0</v>
      </c>
      <c r="D255" s="23">
        <v>346060.0</v>
      </c>
      <c r="E255" s="24">
        <v>6000.0</v>
      </c>
      <c r="F255" s="25">
        <v>24000.0</v>
      </c>
      <c r="G255" s="35">
        <v>205800.0</v>
      </c>
      <c r="H255" s="187">
        <v>105670.0</v>
      </c>
      <c r="I255" s="177"/>
      <c r="J255" s="178">
        <v>78840.0</v>
      </c>
      <c r="K255" s="30">
        <v>111730.0</v>
      </c>
      <c r="L255" s="31">
        <f t="shared" ref="L255:L260" si="17">(K255+J255+H255+G255)-C255</f>
        <v>-30550</v>
      </c>
      <c r="M255" s="32"/>
      <c r="N255" s="33"/>
      <c r="O255" s="40"/>
      <c r="P255" s="35"/>
      <c r="Q255" s="33"/>
      <c r="R255" s="33"/>
      <c r="S255" s="35"/>
      <c r="T255" s="35"/>
      <c r="U255" s="33"/>
      <c r="V255" s="36"/>
      <c r="W255" s="194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</row>
    <row r="256">
      <c r="A256" s="99" t="s">
        <v>22</v>
      </c>
      <c r="B256" s="100">
        <v>44444.0</v>
      </c>
      <c r="C256" s="22">
        <v>534730.0</v>
      </c>
      <c r="D256" s="23">
        <v>360125.0</v>
      </c>
      <c r="E256" s="24">
        <f>600+3300+300+620+500+360+250</f>
        <v>5930</v>
      </c>
      <c r="F256" s="25">
        <f>4000+10000+800+800+400</f>
        <v>16000</v>
      </c>
      <c r="G256" s="35">
        <f>13060+192600</f>
        <v>205660</v>
      </c>
      <c r="H256" s="187">
        <v>96570.0</v>
      </c>
      <c r="I256" s="177"/>
      <c r="J256" s="178">
        <v>83515.0</v>
      </c>
      <c r="K256" s="30">
        <v>126355.0</v>
      </c>
      <c r="L256" s="31">
        <f t="shared" si="17"/>
        <v>-22630</v>
      </c>
      <c r="M256" s="32"/>
      <c r="N256" s="33"/>
      <c r="O256" s="40"/>
      <c r="P256" s="35"/>
      <c r="Q256" s="33"/>
      <c r="R256" s="33"/>
      <c r="S256" s="35"/>
      <c r="T256" s="35"/>
      <c r="U256" s="33"/>
      <c r="V256" s="36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</row>
    <row r="257">
      <c r="A257" s="99" t="s">
        <v>32</v>
      </c>
      <c r="B257" s="100">
        <v>44445.0</v>
      </c>
      <c r="C257" s="22">
        <v>634370.0</v>
      </c>
      <c r="D257" s="23">
        <v>446875.0</v>
      </c>
      <c r="E257" s="24">
        <v>6000.0</v>
      </c>
      <c r="F257" s="25">
        <v>16000.0</v>
      </c>
      <c r="G257" s="26">
        <v>180500.0</v>
      </c>
      <c r="H257" s="187">
        <v>185430.0</v>
      </c>
      <c r="I257" s="28"/>
      <c r="J257" s="29">
        <v>104295.0</v>
      </c>
      <c r="K257" s="30">
        <v>138995.0</v>
      </c>
      <c r="L257" s="31">
        <f t="shared" si="17"/>
        <v>-25150</v>
      </c>
      <c r="M257" s="39"/>
      <c r="N257" s="33"/>
      <c r="O257" s="40"/>
      <c r="P257" s="35"/>
      <c r="Q257" s="33"/>
      <c r="R257" s="33"/>
      <c r="S257" s="35"/>
      <c r="T257" s="35"/>
      <c r="U257" s="33"/>
      <c r="V257" s="36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</row>
    <row r="258">
      <c r="A258" s="99" t="s">
        <v>24</v>
      </c>
      <c r="B258" s="100">
        <v>44446.0</v>
      </c>
      <c r="C258" s="22">
        <v>585435.0</v>
      </c>
      <c r="D258" s="23">
        <v>329085.0</v>
      </c>
      <c r="E258" s="24">
        <f>1200+500+3400+950+400+360+300+220+200</f>
        <v>7530</v>
      </c>
      <c r="F258" s="25">
        <f>3000+10000+800+400+800</f>
        <v>15000</v>
      </c>
      <c r="G258" s="186">
        <f>149050+11400</f>
        <v>160450</v>
      </c>
      <c r="H258" s="171">
        <v>94470.0</v>
      </c>
      <c r="I258" s="28"/>
      <c r="J258" s="29">
        <v>133155.0</v>
      </c>
      <c r="K258" s="30">
        <v>183850.0</v>
      </c>
      <c r="L258" s="31">
        <f t="shared" si="17"/>
        <v>-13510</v>
      </c>
      <c r="M258" s="32"/>
      <c r="N258" s="33"/>
      <c r="O258" s="40"/>
      <c r="P258" s="35"/>
      <c r="Q258" s="33"/>
      <c r="R258" s="33"/>
      <c r="S258" s="35"/>
      <c r="T258" s="35"/>
      <c r="U258" s="33"/>
      <c r="V258" s="36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</row>
    <row r="259">
      <c r="A259" s="99" t="s">
        <v>25</v>
      </c>
      <c r="B259" s="100">
        <v>44447.0</v>
      </c>
      <c r="C259" s="22">
        <v>458745.0</v>
      </c>
      <c r="D259" s="23">
        <v>249815.0</v>
      </c>
      <c r="E259" s="24">
        <v>6500.0</v>
      </c>
      <c r="F259" s="25">
        <v>15000.0</v>
      </c>
      <c r="G259" s="186">
        <v>160250.0</v>
      </c>
      <c r="H259" s="171">
        <v>49490.0</v>
      </c>
      <c r="I259" s="28"/>
      <c r="J259" s="29">
        <v>104615.0</v>
      </c>
      <c r="K259" s="30">
        <v>149930.0</v>
      </c>
      <c r="L259" s="31">
        <f t="shared" si="17"/>
        <v>5540</v>
      </c>
      <c r="M259" s="39"/>
      <c r="N259" s="33"/>
      <c r="O259" s="40"/>
      <c r="P259" s="35"/>
      <c r="Q259" s="33"/>
      <c r="R259" s="33"/>
      <c r="S259" s="35"/>
      <c r="T259" s="35"/>
      <c r="U259" s="33"/>
      <c r="V259" s="36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</row>
    <row r="260">
      <c r="A260" s="99" t="s">
        <v>26</v>
      </c>
      <c r="B260" s="100">
        <v>44448.0</v>
      </c>
      <c r="C260" s="22">
        <v>520990.0</v>
      </c>
      <c r="D260" s="23">
        <v>366600.0</v>
      </c>
      <c r="E260" s="24">
        <f>1700+1000+900+220</f>
        <v>3820</v>
      </c>
      <c r="F260" s="25">
        <f>2000+3000+7000</f>
        <v>12000</v>
      </c>
      <c r="G260" s="186">
        <f>29150+248350</f>
        <v>277500</v>
      </c>
      <c r="H260" s="171">
        <v>36900.0</v>
      </c>
      <c r="I260" s="28"/>
      <c r="J260" s="29">
        <v>106500.0</v>
      </c>
      <c r="K260" s="30">
        <v>105840.0</v>
      </c>
      <c r="L260" s="31">
        <f t="shared" si="17"/>
        <v>5750</v>
      </c>
      <c r="M260" s="39"/>
      <c r="N260" s="33"/>
      <c r="O260" s="40"/>
      <c r="P260" s="35"/>
      <c r="Q260" s="33"/>
      <c r="R260" s="33"/>
      <c r="S260" s="35"/>
      <c r="T260" s="35"/>
      <c r="U260" s="33"/>
      <c r="V260" s="36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</row>
    <row r="261">
      <c r="A261" s="150" t="s">
        <v>27</v>
      </c>
      <c r="B261" s="100">
        <v>44449.0</v>
      </c>
      <c r="C261" s="160"/>
      <c r="D261" s="160"/>
      <c r="E261" s="160"/>
      <c r="F261" s="160"/>
      <c r="G261" s="160"/>
      <c r="H261" s="193"/>
      <c r="I261" s="28"/>
      <c r="J261" s="160"/>
      <c r="K261" s="160"/>
      <c r="L261" s="31"/>
      <c r="M261" s="32"/>
      <c r="N261" s="33"/>
      <c r="O261" s="40"/>
      <c r="P261" s="35"/>
      <c r="Q261" s="33"/>
      <c r="R261" s="33"/>
      <c r="S261" s="35"/>
      <c r="T261" s="35"/>
      <c r="U261" s="33"/>
      <c r="V261" s="36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</row>
    <row r="262">
      <c r="A262" s="99" t="s">
        <v>21</v>
      </c>
      <c r="B262" s="100">
        <v>44450.0</v>
      </c>
      <c r="C262" s="22">
        <v>387675.0</v>
      </c>
      <c r="D262" s="23">
        <v>231345.0</v>
      </c>
      <c r="E262" s="24">
        <v>3000.0</v>
      </c>
      <c r="F262" s="25">
        <v>3900.0</v>
      </c>
      <c r="G262" s="35">
        <v>148250.0</v>
      </c>
      <c r="H262" s="187">
        <v>66680.0</v>
      </c>
      <c r="I262" s="177"/>
      <c r="J262" s="178">
        <v>73095.0</v>
      </c>
      <c r="K262" s="30">
        <v>116350.0</v>
      </c>
      <c r="L262" s="31">
        <f t="shared" ref="L262:L267" si="18">(K262+J262+H262+G262)-C262</f>
        <v>16700</v>
      </c>
      <c r="M262" s="39"/>
      <c r="N262" s="33"/>
      <c r="O262" s="40"/>
      <c r="P262" s="35"/>
      <c r="Q262" s="33"/>
      <c r="R262" s="33"/>
      <c r="S262" s="35"/>
      <c r="T262" s="35"/>
      <c r="U262" s="33"/>
      <c r="V262" s="36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</row>
    <row r="263">
      <c r="A263" s="99" t="s">
        <v>22</v>
      </c>
      <c r="B263" s="100">
        <v>44451.0</v>
      </c>
      <c r="C263" s="22">
        <v>599830.0</v>
      </c>
      <c r="D263" s="23">
        <v>439830.0</v>
      </c>
      <c r="E263" s="24">
        <f>500+2700+1100+700+820+300</f>
        <v>6120</v>
      </c>
      <c r="F263" s="25">
        <f>3000+900</f>
        <v>3900</v>
      </c>
      <c r="G263" s="186">
        <f>93680+100900</f>
        <v>194580</v>
      </c>
      <c r="H263" s="171">
        <v>135250.0</v>
      </c>
      <c r="I263" s="177"/>
      <c r="J263" s="178">
        <v>169840.0</v>
      </c>
      <c r="K263" s="30">
        <v>112360.0</v>
      </c>
      <c r="L263" s="31">
        <f t="shared" si="18"/>
        <v>12200</v>
      </c>
      <c r="M263" s="32"/>
      <c r="N263" s="33"/>
      <c r="O263" s="40"/>
      <c r="P263" s="35"/>
      <c r="Q263" s="33"/>
      <c r="R263" s="33"/>
      <c r="S263" s="35"/>
      <c r="T263" s="35"/>
      <c r="U263" s="33"/>
      <c r="V263" s="36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</row>
    <row r="264">
      <c r="A264" s="99" t="s">
        <v>32</v>
      </c>
      <c r="B264" s="100">
        <v>44452.0</v>
      </c>
      <c r="C264" s="22">
        <v>574280.0</v>
      </c>
      <c r="D264" s="23">
        <v>354880.0</v>
      </c>
      <c r="E264" s="24">
        <v>5000.0</v>
      </c>
      <c r="F264" s="25">
        <v>3900.0</v>
      </c>
      <c r="G264" s="195">
        <v>216390.0</v>
      </c>
      <c r="H264" s="171">
        <v>108480.0</v>
      </c>
      <c r="I264" s="28"/>
      <c r="J264" s="29">
        <v>102010.0</v>
      </c>
      <c r="K264" s="30">
        <v>137000.0</v>
      </c>
      <c r="L264" s="31">
        <f t="shared" si="18"/>
        <v>-10400</v>
      </c>
      <c r="M264" s="39"/>
      <c r="N264" s="33"/>
      <c r="O264" s="40"/>
      <c r="P264" s="35"/>
      <c r="Q264" s="33"/>
      <c r="R264" s="33"/>
      <c r="S264" s="35"/>
      <c r="T264" s="35"/>
      <c r="U264" s="33"/>
      <c r="V264" s="36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</row>
    <row r="265">
      <c r="A265" s="99" t="s">
        <v>24</v>
      </c>
      <c r="B265" s="100">
        <v>44453.0</v>
      </c>
      <c r="C265" s="22">
        <v>561850.0</v>
      </c>
      <c r="D265" s="23">
        <v>370290.0</v>
      </c>
      <c r="E265" s="24">
        <v>5000.0</v>
      </c>
      <c r="F265" s="25">
        <v>3900.0</v>
      </c>
      <c r="G265" s="186">
        <v>176150.0</v>
      </c>
      <c r="H265" s="171">
        <v>163750.0</v>
      </c>
      <c r="I265" s="28"/>
      <c r="J265" s="29">
        <v>89110.0</v>
      </c>
      <c r="K265" s="30">
        <v>148740.0</v>
      </c>
      <c r="L265" s="31">
        <f t="shared" si="18"/>
        <v>15900</v>
      </c>
      <c r="M265" s="196"/>
      <c r="N265" s="33"/>
      <c r="O265" s="40"/>
      <c r="P265" s="35"/>
      <c r="Q265" s="33"/>
      <c r="R265" s="33"/>
      <c r="S265" s="35"/>
      <c r="T265" s="35"/>
      <c r="U265" s="33"/>
      <c r="V265" s="36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</row>
    <row r="266">
      <c r="A266" s="99" t="s">
        <v>25</v>
      </c>
      <c r="B266" s="100">
        <v>44454.0</v>
      </c>
      <c r="C266" s="22">
        <v>641820.0</v>
      </c>
      <c r="D266" s="23">
        <v>4211190.0</v>
      </c>
      <c r="E266" s="24">
        <f>500+4000+650+1400+320</f>
        <v>6870</v>
      </c>
      <c r="F266" s="25">
        <v>7300.0</v>
      </c>
      <c r="G266" s="186">
        <f>161400+101620</f>
        <v>263020</v>
      </c>
      <c r="H266" s="171">
        <v>102980.0</v>
      </c>
      <c r="I266" s="28"/>
      <c r="J266" s="29">
        <v>117320.0</v>
      </c>
      <c r="K266" s="30">
        <v>147550.0</v>
      </c>
      <c r="L266" s="31">
        <f t="shared" si="18"/>
        <v>-10950</v>
      </c>
      <c r="M266" s="39"/>
      <c r="N266" s="33"/>
      <c r="O266" s="40"/>
      <c r="P266" s="35"/>
      <c r="Q266" s="33"/>
      <c r="R266" s="33"/>
      <c r="S266" s="35"/>
      <c r="T266" s="35"/>
      <c r="U266" s="33"/>
      <c r="V266" s="36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</row>
    <row r="267">
      <c r="A267" s="99" t="s">
        <v>26</v>
      </c>
      <c r="B267" s="100">
        <v>44455.0</v>
      </c>
      <c r="C267" s="22">
        <v>427600.0</v>
      </c>
      <c r="D267" s="23">
        <v>265380.0</v>
      </c>
      <c r="E267" s="24">
        <v>7000.0</v>
      </c>
      <c r="F267" s="25">
        <v>7300.0</v>
      </c>
      <c r="G267" s="35">
        <v>192500.0</v>
      </c>
      <c r="H267" s="27">
        <v>47300.0</v>
      </c>
      <c r="I267" s="28"/>
      <c r="J267" s="29">
        <v>69770.0</v>
      </c>
      <c r="K267" s="30">
        <v>119400.0</v>
      </c>
      <c r="L267" s="31">
        <f t="shared" si="18"/>
        <v>1370</v>
      </c>
      <c r="M267" s="39"/>
      <c r="N267" s="33"/>
      <c r="O267" s="40"/>
      <c r="P267" s="35"/>
      <c r="Q267" s="33"/>
      <c r="R267" s="33"/>
      <c r="S267" s="35"/>
      <c r="T267" s="35"/>
      <c r="U267" s="33"/>
      <c r="V267" s="36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</row>
    <row r="268">
      <c r="A268" s="150" t="s">
        <v>27</v>
      </c>
      <c r="B268" s="100">
        <v>44456.0</v>
      </c>
      <c r="C268" s="160"/>
      <c r="D268" s="160"/>
      <c r="E268" s="160"/>
      <c r="F268" s="160"/>
      <c r="G268" s="160"/>
      <c r="H268" s="193"/>
      <c r="I268" s="28"/>
      <c r="J268" s="160"/>
      <c r="K268" s="160"/>
      <c r="L268" s="31"/>
      <c r="M268" s="32"/>
      <c r="N268" s="33"/>
      <c r="O268" s="40"/>
      <c r="P268" s="35"/>
      <c r="Q268" s="33"/>
      <c r="R268" s="33"/>
      <c r="S268" s="35"/>
      <c r="T268" s="35"/>
      <c r="U268" s="33"/>
      <c r="V268" s="36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</row>
    <row r="269">
      <c r="A269" s="99" t="s">
        <v>21</v>
      </c>
      <c r="B269" s="100">
        <v>44457.0</v>
      </c>
      <c r="C269" s="22">
        <v>487450.0</v>
      </c>
      <c r="D269" s="23">
        <v>254800.0</v>
      </c>
      <c r="E269" s="24">
        <v>7000.0</v>
      </c>
      <c r="F269" s="25">
        <v>6300.0</v>
      </c>
      <c r="G269" s="35">
        <v>179240.0</v>
      </c>
      <c r="H269" s="187">
        <v>42300.0</v>
      </c>
      <c r="I269" s="177"/>
      <c r="J269" s="178">
        <v>115650.0</v>
      </c>
      <c r="K269" s="30">
        <v>141400.0</v>
      </c>
      <c r="L269" s="31">
        <f t="shared" ref="L269:L274" si="19">(K269+J269+H269+G269)-C269</f>
        <v>-8860</v>
      </c>
      <c r="M269" s="32"/>
      <c r="N269" s="33"/>
      <c r="O269" s="40"/>
      <c r="P269" s="35"/>
      <c r="Q269" s="33"/>
      <c r="R269" s="33"/>
      <c r="S269" s="35"/>
      <c r="T269" s="35"/>
      <c r="U269" s="33"/>
      <c r="V269" s="36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</row>
    <row r="270">
      <c r="A270" s="99" t="s">
        <v>22</v>
      </c>
      <c r="B270" s="100">
        <v>44458.0</v>
      </c>
      <c r="C270" s="22">
        <f>150690+349160</f>
        <v>499850</v>
      </c>
      <c r="D270" s="23">
        <v>280670.0</v>
      </c>
      <c r="E270" s="24">
        <f>1500+3700+700+500+520+300</f>
        <v>7220</v>
      </c>
      <c r="F270" s="25">
        <v>4800.0</v>
      </c>
      <c r="G270" s="35">
        <f>60860+134200</f>
        <v>195060</v>
      </c>
      <c r="H270" s="27">
        <v>90620.0</v>
      </c>
      <c r="I270" s="28"/>
      <c r="J270" s="29"/>
      <c r="K270" s="30"/>
      <c r="L270" s="31">
        <f t="shared" si="19"/>
        <v>-214170</v>
      </c>
      <c r="M270" s="32"/>
      <c r="N270" s="33"/>
      <c r="O270" s="40"/>
      <c r="P270" s="35"/>
      <c r="Q270" s="33"/>
      <c r="R270" s="33"/>
      <c r="S270" s="35"/>
      <c r="T270" s="35"/>
      <c r="U270" s="33"/>
      <c r="V270" s="36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</row>
    <row r="271">
      <c r="A271" s="99" t="s">
        <v>32</v>
      </c>
      <c r="B271" s="100">
        <v>44459.0</v>
      </c>
      <c r="C271" s="22">
        <v>646345.0</v>
      </c>
      <c r="D271" s="23">
        <v>497185.0</v>
      </c>
      <c r="E271" s="24">
        <v>4200.0</v>
      </c>
      <c r="F271" s="25">
        <v>4800.0</v>
      </c>
      <c r="G271" s="197">
        <v>261764.0</v>
      </c>
      <c r="H271" s="27">
        <v>99670.0</v>
      </c>
      <c r="I271" s="28"/>
      <c r="J271" s="29">
        <v>176665.0</v>
      </c>
      <c r="K271" s="30">
        <v>99060.0</v>
      </c>
      <c r="L271" s="31">
        <f t="shared" si="19"/>
        <v>-9186</v>
      </c>
      <c r="M271" s="39"/>
      <c r="N271" s="33"/>
      <c r="O271" s="40"/>
      <c r="P271" s="35"/>
      <c r="Q271" s="33"/>
      <c r="R271" s="33"/>
      <c r="S271" s="35"/>
      <c r="T271" s="35"/>
      <c r="U271" s="33"/>
      <c r="V271" s="36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</row>
    <row r="272">
      <c r="A272" s="99" t="s">
        <v>24</v>
      </c>
      <c r="B272" s="100">
        <v>44460.0</v>
      </c>
      <c r="C272" s="22">
        <v>612825.0</v>
      </c>
      <c r="D272" s="23">
        <v>372625.0</v>
      </c>
      <c r="E272" s="24">
        <f>2000+3200+300+400+560+350</f>
        <v>6810</v>
      </c>
      <c r="F272" s="25">
        <f>4000+800+3000</f>
        <v>7800</v>
      </c>
      <c r="G272" s="35">
        <f>194450+66750</f>
        <v>261200</v>
      </c>
      <c r="H272" s="171">
        <v>75360.0</v>
      </c>
      <c r="I272" s="177"/>
      <c r="J272" s="178">
        <v>126365.0</v>
      </c>
      <c r="K272" s="30">
        <v>144800.0</v>
      </c>
      <c r="L272" s="31">
        <f t="shared" si="19"/>
        <v>-5100</v>
      </c>
      <c r="M272" s="32"/>
      <c r="N272" s="33"/>
      <c r="O272" s="40"/>
      <c r="P272" s="35"/>
      <c r="Q272" s="33"/>
      <c r="R272" s="33"/>
      <c r="S272" s="35"/>
      <c r="T272" s="35"/>
      <c r="U272" s="33"/>
      <c r="V272" s="36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</row>
    <row r="273">
      <c r="A273" s="99" t="s">
        <v>25</v>
      </c>
      <c r="B273" s="100">
        <v>44461.0</v>
      </c>
      <c r="C273" s="22">
        <v>629820.0</v>
      </c>
      <c r="D273" s="23">
        <v>468420.0</v>
      </c>
      <c r="E273" s="24">
        <v>4200.0</v>
      </c>
      <c r="F273" s="25">
        <v>11100.0</v>
      </c>
      <c r="G273" s="35">
        <v>277600.0</v>
      </c>
      <c r="H273" s="187">
        <v>133430.0</v>
      </c>
      <c r="I273" s="177"/>
      <c r="J273" s="178">
        <v>57240.0</v>
      </c>
      <c r="K273" s="30">
        <v>150750.0</v>
      </c>
      <c r="L273" s="31">
        <f t="shared" si="19"/>
        <v>-10800</v>
      </c>
      <c r="M273" s="32"/>
      <c r="N273" s="33"/>
      <c r="O273" s="40"/>
      <c r="P273" s="35"/>
      <c r="Q273" s="33"/>
      <c r="R273" s="33"/>
      <c r="S273" s="35"/>
      <c r="T273" s="35"/>
      <c r="U273" s="33"/>
      <c r="V273" s="36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</row>
    <row r="274">
      <c r="A274" s="99" t="s">
        <v>26</v>
      </c>
      <c r="B274" s="100">
        <v>44462.0</v>
      </c>
      <c r="C274" s="22">
        <v>402400.0</v>
      </c>
      <c r="D274" s="23">
        <v>287800.0</v>
      </c>
      <c r="E274" s="24">
        <f>1200+600+2500+50+440+540+230</f>
        <v>5560</v>
      </c>
      <c r="F274" s="25">
        <f>2000+7000+1100</f>
        <v>10100</v>
      </c>
      <c r="G274" s="186">
        <f>153800+68400</f>
        <v>222200</v>
      </c>
      <c r="H274" s="187">
        <v>42900.0</v>
      </c>
      <c r="I274" s="177"/>
      <c r="J274" s="178">
        <v>37900.0</v>
      </c>
      <c r="K274" s="30">
        <v>99600.0</v>
      </c>
      <c r="L274" s="31">
        <f t="shared" si="19"/>
        <v>200</v>
      </c>
      <c r="M274" s="39"/>
      <c r="N274" s="33"/>
      <c r="O274" s="40"/>
      <c r="P274" s="35"/>
      <c r="Q274" s="33"/>
      <c r="R274" s="33"/>
      <c r="S274" s="35"/>
      <c r="T274" s="35"/>
      <c r="U274" s="33"/>
      <c r="V274" s="36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</row>
    <row r="275">
      <c r="A275" s="150" t="s">
        <v>27</v>
      </c>
      <c r="B275" s="100">
        <v>44463.0</v>
      </c>
      <c r="C275" s="160"/>
      <c r="D275" s="160"/>
      <c r="E275" s="160"/>
      <c r="F275" s="160"/>
      <c r="G275" s="160"/>
      <c r="H275" s="193"/>
      <c r="I275" s="28"/>
      <c r="J275" s="160"/>
      <c r="K275" s="160"/>
      <c r="L275" s="31"/>
      <c r="M275" s="32"/>
      <c r="N275" s="33"/>
      <c r="O275" s="40"/>
      <c r="P275" s="35"/>
      <c r="Q275" s="33"/>
      <c r="R275" s="33"/>
      <c r="S275" s="35"/>
      <c r="T275" s="35"/>
      <c r="U275" s="33"/>
      <c r="V275" s="36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</row>
    <row r="276">
      <c r="A276" s="99" t="s">
        <v>21</v>
      </c>
      <c r="B276" s="100">
        <v>44464.0</v>
      </c>
      <c r="C276" s="22">
        <v>462010.0</v>
      </c>
      <c r="D276" s="23">
        <v>230015.0</v>
      </c>
      <c r="E276" s="24">
        <v>5100.0</v>
      </c>
      <c r="F276" s="25">
        <v>7100.0</v>
      </c>
      <c r="G276" s="35">
        <v>148350.0</v>
      </c>
      <c r="H276" s="187">
        <v>48600.0</v>
      </c>
      <c r="I276" s="177"/>
      <c r="J276" s="178">
        <v>95315.0</v>
      </c>
      <c r="K276" s="30">
        <v>168095.0</v>
      </c>
      <c r="L276" s="31">
        <f t="shared" ref="L276:L281" si="20">(K276+J276+H276+G276)-C276</f>
        <v>-1650</v>
      </c>
      <c r="M276" s="39"/>
      <c r="N276" s="33"/>
      <c r="O276" s="40"/>
      <c r="P276" s="35"/>
      <c r="Q276" s="33"/>
      <c r="R276" s="33"/>
      <c r="S276" s="35"/>
      <c r="T276" s="35"/>
      <c r="U276" s="33"/>
      <c r="V276" s="36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</row>
    <row r="277">
      <c r="A277" s="99" t="s">
        <v>22</v>
      </c>
      <c r="B277" s="100">
        <v>44465.0</v>
      </c>
      <c r="C277" s="22">
        <v>692055.0</v>
      </c>
      <c r="D277" s="23">
        <v>534865.0</v>
      </c>
      <c r="E277" s="24">
        <f>900+1300+2700+400+400+560+180</f>
        <v>6440</v>
      </c>
      <c r="F277" s="25">
        <f>4000+2000+700+400</f>
        <v>7100</v>
      </c>
      <c r="G277" s="35">
        <f>7300+109400+134900</f>
        <v>251600</v>
      </c>
      <c r="H277" s="187">
        <v>153630.0</v>
      </c>
      <c r="I277" s="28"/>
      <c r="J277" s="29">
        <v>108395.0</v>
      </c>
      <c r="K277" s="30">
        <v>119130.0</v>
      </c>
      <c r="L277" s="31">
        <f t="shared" si="20"/>
        <v>-59300</v>
      </c>
      <c r="M277" s="32"/>
      <c r="N277" s="33"/>
      <c r="O277" s="40"/>
      <c r="P277" s="35"/>
      <c r="Q277" s="33"/>
      <c r="R277" s="33"/>
      <c r="S277" s="35"/>
      <c r="T277" s="35"/>
      <c r="U277" s="33"/>
      <c r="V277" s="36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</row>
    <row r="278">
      <c r="A278" s="99" t="s">
        <v>32</v>
      </c>
      <c r="B278" s="100">
        <v>44466.0</v>
      </c>
      <c r="C278" s="22">
        <v>623250.0</v>
      </c>
      <c r="D278" s="23">
        <v>423390.0</v>
      </c>
      <c r="E278" s="24">
        <v>5000.0</v>
      </c>
      <c r="F278" s="25">
        <v>6100.0</v>
      </c>
      <c r="G278" s="26">
        <v>241050.0</v>
      </c>
      <c r="H278" s="27">
        <v>120190.0</v>
      </c>
      <c r="I278" s="198"/>
      <c r="J278" s="199">
        <v>150900.0</v>
      </c>
      <c r="K278" s="30">
        <v>122510.0</v>
      </c>
      <c r="L278" s="31">
        <f t="shared" si="20"/>
        <v>11400</v>
      </c>
      <c r="M278" s="39"/>
      <c r="N278" s="33"/>
      <c r="O278" s="40"/>
      <c r="P278" s="35"/>
      <c r="Q278" s="33"/>
      <c r="R278" s="33"/>
      <c r="S278" s="35"/>
      <c r="T278" s="35"/>
      <c r="U278" s="33"/>
      <c r="V278" s="36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</row>
    <row r="279">
      <c r="A279" s="99" t="s">
        <v>24</v>
      </c>
      <c r="B279" s="100">
        <v>44467.0</v>
      </c>
      <c r="C279" s="22">
        <v>622440.0</v>
      </c>
      <c r="D279" s="23">
        <v>386660.0</v>
      </c>
      <c r="E279" s="24">
        <f>1200+2700+100+620+460+200</f>
        <v>5280</v>
      </c>
      <c r="F279" s="25">
        <f>6000+1100</f>
        <v>7100</v>
      </c>
      <c r="G279" s="35">
        <f>13750+240100</f>
        <v>253850</v>
      </c>
      <c r="H279" s="27">
        <v>120850.0</v>
      </c>
      <c r="I279" s="177"/>
      <c r="J279" s="178">
        <v>102950.0</v>
      </c>
      <c r="K279" s="30">
        <v>128380.0</v>
      </c>
      <c r="L279" s="31">
        <f t="shared" si="20"/>
        <v>-16410</v>
      </c>
      <c r="M279" s="32"/>
      <c r="N279" s="33"/>
      <c r="O279" s="40"/>
      <c r="P279" s="35"/>
      <c r="Q279" s="33"/>
      <c r="R279" s="33"/>
      <c r="S279" s="35"/>
      <c r="T279" s="35"/>
      <c r="U279" s="33"/>
      <c r="V279" s="36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</row>
    <row r="280">
      <c r="A280" s="99" t="s">
        <v>25</v>
      </c>
      <c r="B280" s="100">
        <v>44468.0</v>
      </c>
      <c r="C280" s="22">
        <v>574750.0</v>
      </c>
      <c r="D280" s="23">
        <v>308740.0</v>
      </c>
      <c r="E280" s="24">
        <v>5300.0</v>
      </c>
      <c r="F280" s="25">
        <v>9300.0</v>
      </c>
      <c r="G280" s="200">
        <v>222560.0</v>
      </c>
      <c r="H280" s="27">
        <v>81390.0</v>
      </c>
      <c r="I280" s="177"/>
      <c r="J280" s="178">
        <v>135600.0</v>
      </c>
      <c r="K280" s="30">
        <v>130960.0</v>
      </c>
      <c r="L280" s="31">
        <f t="shared" si="20"/>
        <v>-4240</v>
      </c>
      <c r="M280" s="39"/>
      <c r="N280" s="33"/>
      <c r="O280" s="40"/>
      <c r="P280" s="35"/>
      <c r="Q280" s="33"/>
      <c r="R280" s="33"/>
      <c r="S280" s="35"/>
      <c r="T280" s="35"/>
      <c r="U280" s="33"/>
      <c r="V280" s="36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</row>
    <row r="281">
      <c r="A281" s="99" t="s">
        <v>26</v>
      </c>
      <c r="B281" s="100">
        <v>44469.0</v>
      </c>
      <c r="C281" s="22">
        <f>1094765-574750</f>
        <v>520015</v>
      </c>
      <c r="D281" s="23">
        <v>222500.0</v>
      </c>
      <c r="E281" s="24">
        <v>4300.0</v>
      </c>
      <c r="F281" s="25" t="s">
        <v>44</v>
      </c>
      <c r="G281" s="35">
        <f>114500+152300</f>
        <v>266800</v>
      </c>
      <c r="H281" s="27">
        <v>67150.0</v>
      </c>
      <c r="I281" s="198"/>
      <c r="J281" s="199">
        <f>235175-135600</f>
        <v>99575</v>
      </c>
      <c r="K281" s="30">
        <f>223450-130960</f>
        <v>92490</v>
      </c>
      <c r="L281" s="31">
        <f t="shared" si="20"/>
        <v>6000</v>
      </c>
      <c r="M281" s="39"/>
      <c r="N281" s="33"/>
      <c r="O281" s="40"/>
      <c r="P281" s="35"/>
      <c r="Q281" s="33"/>
      <c r="R281" s="33"/>
      <c r="S281" s="35"/>
      <c r="T281" s="35"/>
      <c r="U281" s="33"/>
      <c r="V281" s="36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</row>
    <row r="282">
      <c r="A282" s="93" t="s">
        <v>28</v>
      </c>
      <c r="B282" s="129" t="s">
        <v>45</v>
      </c>
      <c r="C282" s="73">
        <f t="shared" ref="C282:D282" si="21">SUM(C252:C281)</f>
        <v>14230605</v>
      </c>
      <c r="D282" s="73">
        <f t="shared" si="21"/>
        <v>12879175</v>
      </c>
      <c r="E282" s="73"/>
      <c r="F282" s="73"/>
      <c r="G282" s="73">
        <f t="shared" ref="G282:H282" si="22">SUM(G252:G281)</f>
        <v>5562074</v>
      </c>
      <c r="H282" s="73">
        <f t="shared" si="22"/>
        <v>2434540</v>
      </c>
      <c r="I282" s="198"/>
      <c r="J282" s="201">
        <f t="shared" ref="J282:K282" si="23">SUM(J252:J281)</f>
        <v>2621770</v>
      </c>
      <c r="K282" s="73">
        <f t="shared" si="23"/>
        <v>3238025</v>
      </c>
      <c r="L282" s="74">
        <f>SUM(E282:K282)</f>
        <v>13856409</v>
      </c>
      <c r="M282" s="166">
        <f>C282-L282</f>
        <v>374196</v>
      </c>
      <c r="N282" s="33"/>
      <c r="O282" s="40"/>
      <c r="P282" s="35"/>
      <c r="Q282" s="33"/>
      <c r="R282" s="33"/>
      <c r="S282" s="35"/>
      <c r="T282" s="35"/>
      <c r="U282" s="33"/>
      <c r="V282" s="36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</row>
    <row r="283">
      <c r="A283" s="202" t="s">
        <v>27</v>
      </c>
      <c r="B283" s="100">
        <v>44835.0</v>
      </c>
      <c r="C283" s="160"/>
      <c r="D283" s="160"/>
      <c r="E283" s="160"/>
      <c r="F283" s="160"/>
      <c r="G283" s="160"/>
      <c r="H283" s="160"/>
      <c r="I283" s="28"/>
      <c r="J283" s="160"/>
      <c r="K283" s="160"/>
      <c r="L283" s="203"/>
      <c r="M283" s="172"/>
      <c r="N283" s="33"/>
      <c r="O283" s="40"/>
      <c r="P283" s="35"/>
      <c r="Q283" s="33"/>
      <c r="R283" s="33"/>
      <c r="S283" s="35"/>
      <c r="T283" s="35"/>
      <c r="U283" s="33"/>
      <c r="V283" s="36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</row>
    <row r="284">
      <c r="A284" s="54" t="s">
        <v>21</v>
      </c>
      <c r="B284" s="100">
        <v>44836.0</v>
      </c>
      <c r="C284" s="22">
        <v>455690.0</v>
      </c>
      <c r="D284" s="23">
        <v>272820.0</v>
      </c>
      <c r="E284" s="24">
        <v>3000.0</v>
      </c>
      <c r="F284" s="204">
        <v>9200.0</v>
      </c>
      <c r="G284" s="26">
        <v>152350.0</v>
      </c>
      <c r="H284" s="27">
        <v>107370.0</v>
      </c>
      <c r="I284" s="28"/>
      <c r="J284" s="29">
        <v>98275.0</v>
      </c>
      <c r="K284" s="30">
        <v>88695.0</v>
      </c>
      <c r="L284" s="31">
        <f t="shared" ref="L284:L289" si="24">(K284+J284+H284+G284)-C284</f>
        <v>-9000</v>
      </c>
      <c r="M284" s="39"/>
      <c r="N284" s="33"/>
      <c r="O284" s="40"/>
      <c r="P284" s="35"/>
      <c r="Q284" s="33"/>
      <c r="R284" s="33"/>
      <c r="S284" s="35"/>
      <c r="T284" s="35"/>
      <c r="U284" s="33"/>
      <c r="V284" s="36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</row>
    <row r="285">
      <c r="A285" s="54" t="s">
        <v>22</v>
      </c>
      <c r="B285" s="100">
        <v>44837.0</v>
      </c>
      <c r="C285" s="22">
        <v>685630.0</v>
      </c>
      <c r="D285" s="23">
        <v>276800.0</v>
      </c>
      <c r="E285" s="24">
        <v>1200.0</v>
      </c>
      <c r="F285" s="204">
        <v>7300.0</v>
      </c>
      <c r="G285" s="26">
        <f>95350+136000</f>
        <v>231350</v>
      </c>
      <c r="H285" s="27">
        <v>138260.0</v>
      </c>
      <c r="I285" s="28"/>
      <c r="J285" s="29">
        <v>83380.0</v>
      </c>
      <c r="K285" s="30">
        <v>155850.0</v>
      </c>
      <c r="L285" s="31">
        <f t="shared" si="24"/>
        <v>-76790</v>
      </c>
      <c r="M285" s="39"/>
      <c r="N285" s="173"/>
      <c r="O285" s="174"/>
      <c r="P285" s="175"/>
      <c r="Q285" s="173"/>
      <c r="R285" s="173"/>
      <c r="S285" s="175"/>
      <c r="T285" s="175"/>
      <c r="U285" s="33"/>
      <c r="V285" s="36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</row>
    <row r="286">
      <c r="A286" s="54" t="s">
        <v>32</v>
      </c>
      <c r="B286" s="100">
        <v>44838.0</v>
      </c>
      <c r="C286" s="22">
        <v>556870.0</v>
      </c>
      <c r="D286" s="23">
        <v>196120.0</v>
      </c>
      <c r="E286" s="24">
        <v>1200.0</v>
      </c>
      <c r="F286" s="204">
        <v>7300.0</v>
      </c>
      <c r="G286" s="26">
        <v>205550.0</v>
      </c>
      <c r="H286" s="27">
        <v>122570.0</v>
      </c>
      <c r="I286" s="198"/>
      <c r="J286" s="199">
        <v>91000.0</v>
      </c>
      <c r="K286" s="30" t="s">
        <v>46</v>
      </c>
      <c r="L286" s="31" t="str">
        <f t="shared" si="24"/>
        <v>#VALUE!</v>
      </c>
      <c r="M286" s="39"/>
      <c r="N286" s="33"/>
      <c r="O286" s="40"/>
      <c r="P286" s="35"/>
      <c r="Q286" s="33"/>
      <c r="R286" s="33"/>
      <c r="S286" s="35"/>
      <c r="T286" s="35"/>
      <c r="U286" s="33"/>
      <c r="V286" s="36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</row>
    <row r="287">
      <c r="A287" s="54" t="s">
        <v>24</v>
      </c>
      <c r="B287" s="100">
        <v>44839.0</v>
      </c>
      <c r="C287" s="22">
        <v>695270.0</v>
      </c>
      <c r="D287" s="23">
        <v>318270.0</v>
      </c>
      <c r="E287" s="24">
        <v>3500.0</v>
      </c>
      <c r="F287" s="204">
        <v>6300.0</v>
      </c>
      <c r="G287" s="26">
        <v>209620.0</v>
      </c>
      <c r="H287" s="27">
        <v>211220.0</v>
      </c>
      <c r="I287" s="28"/>
      <c r="J287" s="29">
        <v>103500.0</v>
      </c>
      <c r="K287" s="30">
        <v>108500.0</v>
      </c>
      <c r="L287" s="31">
        <f t="shared" si="24"/>
        <v>-62430</v>
      </c>
      <c r="M287" s="32"/>
      <c r="N287" s="33"/>
      <c r="O287" s="40"/>
      <c r="P287" s="35"/>
      <c r="Q287" s="33"/>
      <c r="R287" s="33"/>
      <c r="S287" s="35"/>
      <c r="T287" s="35"/>
      <c r="U287" s="33"/>
      <c r="V287" s="36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</row>
    <row r="288">
      <c r="A288" s="54" t="s">
        <v>25</v>
      </c>
      <c r="B288" s="100">
        <v>44840.0</v>
      </c>
      <c r="C288" s="22">
        <f>721540-167700</f>
        <v>553840</v>
      </c>
      <c r="D288" s="23">
        <v>406590.0</v>
      </c>
      <c r="E288" s="24">
        <v>1800.0</v>
      </c>
      <c r="F288" s="204">
        <v>17000.0</v>
      </c>
      <c r="G288" s="26">
        <f>199350+47000</f>
        <v>246350</v>
      </c>
      <c r="H288" s="27">
        <v>59580.0</v>
      </c>
      <c r="I288" s="28"/>
      <c r="J288" s="29">
        <v>90010.0</v>
      </c>
      <c r="K288" s="30">
        <v>146850.0</v>
      </c>
      <c r="L288" s="31">
        <f t="shared" si="24"/>
        <v>-11050</v>
      </c>
      <c r="M288" s="32"/>
      <c r="N288" s="33"/>
      <c r="O288" s="40"/>
      <c r="P288" s="35"/>
      <c r="Q288" s="33"/>
      <c r="R288" s="33"/>
      <c r="S288" s="35"/>
      <c r="T288" s="35"/>
      <c r="U288" s="33"/>
      <c r="V288" s="36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</row>
    <row r="289">
      <c r="A289" s="54" t="s">
        <v>33</v>
      </c>
      <c r="B289" s="100">
        <v>44841.0</v>
      </c>
      <c r="C289" s="22">
        <v>473620.0</v>
      </c>
      <c r="D289" s="23">
        <v>233930.0</v>
      </c>
      <c r="E289" s="24">
        <f>1600+2100+1000+440+500+170</f>
        <v>5810</v>
      </c>
      <c r="F289" s="204">
        <f>4000+3000+500+6000</f>
        <v>13500</v>
      </c>
      <c r="G289" s="26">
        <f>233930</f>
        <v>233930</v>
      </c>
      <c r="H289" s="27">
        <v>40890.0</v>
      </c>
      <c r="I289" s="28"/>
      <c r="J289" s="29">
        <v>75300.0</v>
      </c>
      <c r="K289" s="30">
        <v>123500.0</v>
      </c>
      <c r="L289" s="31">
        <f t="shared" si="24"/>
        <v>0</v>
      </c>
      <c r="M289" s="32"/>
      <c r="N289" s="33"/>
      <c r="O289" s="40"/>
      <c r="P289" s="35"/>
      <c r="Q289" s="33"/>
      <c r="R289" s="33"/>
      <c r="S289" s="35"/>
      <c r="T289" s="35"/>
      <c r="U289" s="33"/>
      <c r="V289" s="36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</row>
    <row r="290">
      <c r="A290" s="205" t="s">
        <v>27</v>
      </c>
      <c r="B290" s="100">
        <v>44842.0</v>
      </c>
      <c r="C290" s="160"/>
      <c r="D290" s="160"/>
      <c r="E290" s="160"/>
      <c r="F290" s="160"/>
      <c r="G290" s="160"/>
      <c r="H290" s="160"/>
      <c r="I290" s="28"/>
      <c r="J290" s="160"/>
      <c r="K290" s="160"/>
      <c r="L290" s="31"/>
      <c r="M290" s="39"/>
      <c r="N290" s="33"/>
      <c r="O290" s="40"/>
      <c r="P290" s="35"/>
      <c r="Q290" s="33"/>
      <c r="R290" s="33"/>
      <c r="S290" s="35"/>
      <c r="T290" s="35"/>
      <c r="U290" s="33"/>
      <c r="V290" s="36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</row>
    <row r="291">
      <c r="A291" s="54" t="s">
        <v>21</v>
      </c>
      <c r="B291" s="100">
        <v>44843.0</v>
      </c>
      <c r="C291" s="22">
        <v>481950.0</v>
      </c>
      <c r="D291" s="23">
        <v>243740.0</v>
      </c>
      <c r="E291" s="24">
        <v>2100.0</v>
      </c>
      <c r="F291" s="204">
        <v>11000.0</v>
      </c>
      <c r="G291" s="26">
        <v>168250.0</v>
      </c>
      <c r="H291" s="27">
        <v>87840.0</v>
      </c>
      <c r="I291" s="28"/>
      <c r="J291" s="29">
        <v>99210.0</v>
      </c>
      <c r="K291" s="30">
        <v>88300.0</v>
      </c>
      <c r="L291" s="31">
        <f t="shared" ref="L291:L296" si="25">(K291+J291+H291+G291)-C291</f>
        <v>-38350</v>
      </c>
      <c r="M291" s="39"/>
      <c r="N291" s="33"/>
      <c r="O291" s="40"/>
      <c r="P291" s="35"/>
      <c r="Q291" s="33"/>
      <c r="R291" s="33"/>
      <c r="S291" s="35"/>
      <c r="T291" s="35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</row>
    <row r="292">
      <c r="A292" s="54" t="s">
        <v>22</v>
      </c>
      <c r="B292" s="100">
        <v>44844.0</v>
      </c>
      <c r="C292" s="22">
        <v>582286.0</v>
      </c>
      <c r="D292" s="23">
        <v>258091.0</v>
      </c>
      <c r="E292" s="24">
        <f>500+3000+800+400+520+240</f>
        <v>5460</v>
      </c>
      <c r="F292" s="204">
        <f>4000+500+3000</f>
        <v>7500</v>
      </c>
      <c r="G292" s="26">
        <f>9700+117100</f>
        <v>126800</v>
      </c>
      <c r="H292" s="27">
        <v>131640.0</v>
      </c>
      <c r="I292" s="28"/>
      <c r="J292" s="29">
        <v>149940.0</v>
      </c>
      <c r="K292" s="30">
        <v>144905.0</v>
      </c>
      <c r="L292" s="31">
        <f t="shared" si="25"/>
        <v>-29001</v>
      </c>
      <c r="M292" s="39"/>
      <c r="N292" s="33"/>
      <c r="O292" s="40"/>
      <c r="P292" s="35"/>
      <c r="Q292" s="33"/>
      <c r="R292" s="33"/>
      <c r="S292" s="35"/>
      <c r="T292" s="35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</row>
    <row r="293">
      <c r="A293" s="54" t="s">
        <v>32</v>
      </c>
      <c r="B293" s="100">
        <v>44845.0</v>
      </c>
      <c r="C293" s="22">
        <v>670171.0</v>
      </c>
      <c r="D293" s="23">
        <v>369461.0</v>
      </c>
      <c r="E293" s="24">
        <v>15000.0</v>
      </c>
      <c r="F293" s="204">
        <v>7500.0</v>
      </c>
      <c r="G293" s="26">
        <v>219400.0</v>
      </c>
      <c r="H293" s="27">
        <v>152540.0</v>
      </c>
      <c r="I293" s="28"/>
      <c r="J293" s="29">
        <v>152430.0</v>
      </c>
      <c r="K293" s="30">
        <v>150130.0</v>
      </c>
      <c r="L293" s="31">
        <f t="shared" si="25"/>
        <v>4329</v>
      </c>
      <c r="M293" s="206"/>
      <c r="N293" s="33"/>
      <c r="O293" s="40"/>
      <c r="P293" s="35"/>
      <c r="Q293" s="33"/>
      <c r="R293" s="33"/>
      <c r="S293" s="35"/>
      <c r="T293" s="35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</row>
    <row r="294">
      <c r="A294" s="54" t="s">
        <v>24</v>
      </c>
      <c r="B294" s="100">
        <v>44846.0</v>
      </c>
      <c r="C294" s="22">
        <v>620300.0</v>
      </c>
      <c r="D294" s="23">
        <v>371190.0</v>
      </c>
      <c r="E294" s="24">
        <f>1000+400+1700+250+400+300+240</f>
        <v>4290</v>
      </c>
      <c r="F294" s="204">
        <f>4000+600+2000</f>
        <v>6600</v>
      </c>
      <c r="G294" s="26">
        <f>49250+158410</f>
        <v>207660</v>
      </c>
      <c r="H294" s="27">
        <v>105430.0</v>
      </c>
      <c r="I294" s="28"/>
      <c r="J294" s="29">
        <v>82100.0</v>
      </c>
      <c r="K294" s="30">
        <v>127050.0</v>
      </c>
      <c r="L294" s="31">
        <f t="shared" si="25"/>
        <v>-98060</v>
      </c>
      <c r="M294" s="32"/>
      <c r="N294" s="33"/>
      <c r="O294" s="40"/>
      <c r="P294" s="35"/>
      <c r="Q294" s="33"/>
      <c r="R294" s="33"/>
      <c r="S294" s="35"/>
      <c r="T294" s="35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</row>
    <row r="295">
      <c r="A295" s="54" t="s">
        <v>25</v>
      </c>
      <c r="B295" s="100">
        <v>44847.0</v>
      </c>
      <c r="C295" s="22">
        <v>479740.0</v>
      </c>
      <c r="D295" s="23">
        <v>237590.0</v>
      </c>
      <c r="E295" s="24">
        <v>3500.0</v>
      </c>
      <c r="F295" s="204">
        <v>6600.0</v>
      </c>
      <c r="G295" s="26">
        <v>189450.0</v>
      </c>
      <c r="H295" s="27">
        <v>77740.0</v>
      </c>
      <c r="I295" s="28"/>
      <c r="J295" s="29">
        <v>126150.0</v>
      </c>
      <c r="K295" s="30">
        <v>110200.0</v>
      </c>
      <c r="L295" s="31">
        <f t="shared" si="25"/>
        <v>23800</v>
      </c>
      <c r="M295" s="32"/>
      <c r="N295" s="40"/>
      <c r="O295" s="40"/>
      <c r="P295" s="34"/>
      <c r="Q295" s="40"/>
      <c r="R295" s="40"/>
      <c r="S295" s="34"/>
      <c r="T295" s="34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  <c r="AE295" s="207"/>
      <c r="AF295" s="207"/>
      <c r="AG295" s="207"/>
      <c r="AH295" s="207"/>
      <c r="AI295" s="207"/>
    </row>
    <row r="296">
      <c r="A296" s="54" t="s">
        <v>33</v>
      </c>
      <c r="B296" s="208" t="s">
        <v>47</v>
      </c>
      <c r="C296" s="22">
        <v>561135.0</v>
      </c>
      <c r="D296" s="23">
        <v>333700.0</v>
      </c>
      <c r="E296" s="24">
        <v>3400.0</v>
      </c>
      <c r="F296" s="204">
        <v>8500.0</v>
      </c>
      <c r="G296" s="26">
        <f>26000+235360</f>
        <v>261360</v>
      </c>
      <c r="H296" s="27">
        <v>75940.0</v>
      </c>
      <c r="I296" s="28"/>
      <c r="J296" s="29">
        <v>123750.0</v>
      </c>
      <c r="K296" s="30">
        <v>98685.0</v>
      </c>
      <c r="L296" s="31">
        <f t="shared" si="25"/>
        <v>-1400</v>
      </c>
      <c r="M296" s="39"/>
      <c r="N296" s="33"/>
      <c r="O296" s="40"/>
      <c r="P296" s="35"/>
      <c r="Q296" s="33"/>
      <c r="R296" s="33"/>
      <c r="S296" s="35"/>
      <c r="T296" s="35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</row>
    <row r="297">
      <c r="A297" s="209" t="s">
        <v>27</v>
      </c>
      <c r="B297" s="100">
        <v>44849.0</v>
      </c>
      <c r="C297" s="160"/>
      <c r="D297" s="160"/>
      <c r="E297" s="160"/>
      <c r="F297" s="160"/>
      <c r="G297" s="160"/>
      <c r="H297" s="160"/>
      <c r="I297" s="28"/>
      <c r="J297" s="160"/>
      <c r="K297" s="160"/>
      <c r="L297" s="31"/>
      <c r="M297" s="32"/>
      <c r="N297" s="33"/>
      <c r="O297" s="40"/>
      <c r="P297" s="35"/>
      <c r="Q297" s="33"/>
      <c r="R297" s="33"/>
      <c r="S297" s="35"/>
      <c r="T297" s="35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</row>
    <row r="298">
      <c r="A298" s="210" t="s">
        <v>21</v>
      </c>
      <c r="B298" s="100">
        <v>44850.0</v>
      </c>
      <c r="C298" s="22"/>
      <c r="D298" s="23"/>
      <c r="E298" s="24"/>
      <c r="F298" s="204"/>
      <c r="G298" s="26"/>
      <c r="H298" s="27"/>
      <c r="I298" s="28"/>
      <c r="J298" s="29"/>
      <c r="K298" s="30"/>
      <c r="L298" s="49" t="s">
        <v>48</v>
      </c>
      <c r="M298" s="39"/>
      <c r="N298" s="33"/>
      <c r="O298" s="40"/>
      <c r="P298" s="35"/>
      <c r="Q298" s="33"/>
      <c r="R298" s="33"/>
      <c r="S298" s="35"/>
      <c r="T298" s="35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</row>
    <row r="299">
      <c r="A299" s="54" t="s">
        <v>22</v>
      </c>
      <c r="B299" s="100">
        <v>44851.0</v>
      </c>
      <c r="C299" s="22">
        <v>531680.0</v>
      </c>
      <c r="D299" s="23">
        <v>233780.0</v>
      </c>
      <c r="E299" s="24">
        <v>3600.0</v>
      </c>
      <c r="F299" s="204">
        <v>7800.0</v>
      </c>
      <c r="G299" s="26">
        <f>84250+74800</f>
        <v>159050</v>
      </c>
      <c r="H299" s="27">
        <v>86230.0</v>
      </c>
      <c r="I299" s="28"/>
      <c r="J299" s="29">
        <v>95500.0</v>
      </c>
      <c r="K299" s="30">
        <v>159250.0</v>
      </c>
      <c r="L299" s="31">
        <f t="shared" ref="L299:L313" si="26">(K299+J299+H299+G299)-C299</f>
        <v>-31650</v>
      </c>
      <c r="M299" s="39"/>
      <c r="N299" s="33"/>
      <c r="O299" s="40"/>
      <c r="P299" s="35"/>
      <c r="Q299" s="33"/>
      <c r="R299" s="33"/>
      <c r="S299" s="35"/>
      <c r="T299" s="35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</row>
    <row r="300">
      <c r="A300" s="54" t="s">
        <v>32</v>
      </c>
      <c r="B300" s="100">
        <v>44852.0</v>
      </c>
      <c r="C300" s="22">
        <v>707320.0</v>
      </c>
      <c r="D300" s="23">
        <v>381820.0</v>
      </c>
      <c r="E300" s="24">
        <v>4000.0</v>
      </c>
      <c r="F300" s="204">
        <v>7800.0</v>
      </c>
      <c r="G300" s="26">
        <v>199550.0</v>
      </c>
      <c r="H300" s="27">
        <v>201970.0</v>
      </c>
      <c r="I300" s="28"/>
      <c r="J300" s="29">
        <v>179800.0</v>
      </c>
      <c r="K300" s="30">
        <v>148850.0</v>
      </c>
      <c r="L300" s="31">
        <f t="shared" si="26"/>
        <v>22850</v>
      </c>
      <c r="M300" s="39"/>
      <c r="N300" s="33"/>
      <c r="O300" s="40"/>
      <c r="P300" s="35"/>
      <c r="Q300" s="33"/>
      <c r="R300" s="33"/>
      <c r="S300" s="35"/>
      <c r="T300" s="35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</row>
    <row r="301">
      <c r="A301" s="54" t="s">
        <v>24</v>
      </c>
      <c r="B301" s="100">
        <v>44853.0</v>
      </c>
      <c r="C301" s="22">
        <v>660880.0</v>
      </c>
      <c r="D301" s="23">
        <v>336480.0</v>
      </c>
      <c r="E301" s="24">
        <f>540+5200+200</f>
        <v>5940</v>
      </c>
      <c r="F301" s="204">
        <f>4000+800+3000</f>
        <v>7800</v>
      </c>
      <c r="G301" s="26">
        <f>25250+198500</f>
        <v>223750</v>
      </c>
      <c r="H301" s="27">
        <v>119180.0</v>
      </c>
      <c r="I301" s="28"/>
      <c r="J301" s="29">
        <v>128300.0</v>
      </c>
      <c r="K301" s="30">
        <v>140750.0</v>
      </c>
      <c r="L301" s="31">
        <f t="shared" si="26"/>
        <v>-48900</v>
      </c>
      <c r="M301" s="32"/>
      <c r="N301" s="33"/>
      <c r="O301" s="40"/>
      <c r="P301" s="35"/>
      <c r="Q301" s="33"/>
      <c r="R301" s="33"/>
      <c r="S301" s="35"/>
      <c r="T301" s="35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</row>
    <row r="302">
      <c r="A302" s="54" t="s">
        <v>25</v>
      </c>
      <c r="B302" s="100">
        <v>44854.0</v>
      </c>
      <c r="C302" s="22">
        <v>576055.0</v>
      </c>
      <c r="D302" s="23">
        <v>319240.0</v>
      </c>
      <c r="E302" s="24">
        <v>6000.0</v>
      </c>
      <c r="F302" s="204">
        <v>8000.0</v>
      </c>
      <c r="G302" s="26">
        <v>183550.0</v>
      </c>
      <c r="H302" s="27">
        <v>125010.0</v>
      </c>
      <c r="I302" s="28"/>
      <c r="J302" s="29">
        <v>130900.0</v>
      </c>
      <c r="K302" s="30">
        <v>139935.0</v>
      </c>
      <c r="L302" s="31">
        <f t="shared" si="26"/>
        <v>3340</v>
      </c>
      <c r="M302" s="32"/>
      <c r="N302" s="33"/>
      <c r="O302" s="40"/>
      <c r="P302" s="35"/>
      <c r="Q302" s="33"/>
      <c r="R302" s="33"/>
      <c r="S302" s="35"/>
      <c r="T302" s="35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</row>
    <row r="303">
      <c r="A303" s="54" t="s">
        <v>33</v>
      </c>
      <c r="B303" s="100">
        <v>44855.0</v>
      </c>
      <c r="C303" s="80">
        <v>524690.0</v>
      </c>
      <c r="D303" s="23">
        <v>294250.0</v>
      </c>
      <c r="E303" s="24">
        <f>200+1000+3600+300+300+180+140</f>
        <v>5720</v>
      </c>
      <c r="F303" s="204">
        <f>1000+4000+1800</f>
        <v>6800</v>
      </c>
      <c r="G303" s="26">
        <f>161700+84300</f>
        <v>246000</v>
      </c>
      <c r="H303" s="27">
        <v>29800.0</v>
      </c>
      <c r="I303" s="28"/>
      <c r="J303" s="29">
        <v>88550.0</v>
      </c>
      <c r="K303" s="30">
        <v>152540.0</v>
      </c>
      <c r="L303" s="31">
        <f t="shared" si="26"/>
        <v>-7800</v>
      </c>
      <c r="M303" s="32"/>
      <c r="N303" s="33"/>
      <c r="O303" s="40"/>
      <c r="P303" s="35"/>
      <c r="Q303" s="33"/>
      <c r="R303" s="33"/>
      <c r="S303" s="35"/>
      <c r="T303" s="35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</row>
    <row r="304">
      <c r="A304" s="209" t="s">
        <v>27</v>
      </c>
      <c r="B304" s="100">
        <v>44856.0</v>
      </c>
      <c r="C304" s="160"/>
      <c r="D304" s="160"/>
      <c r="E304" s="160"/>
      <c r="F304" s="160"/>
      <c r="G304" s="160"/>
      <c r="H304" s="160"/>
      <c r="I304" s="28"/>
      <c r="J304" s="160"/>
      <c r="K304" s="160"/>
      <c r="L304" s="31">
        <f t="shared" si="26"/>
        <v>0</v>
      </c>
      <c r="M304" s="32"/>
      <c r="N304" s="33"/>
      <c r="O304" s="40"/>
      <c r="P304" s="35"/>
      <c r="Q304" s="33"/>
      <c r="R304" s="33"/>
      <c r="S304" s="35"/>
      <c r="T304" s="35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</row>
    <row r="305">
      <c r="A305" s="54" t="s">
        <v>21</v>
      </c>
      <c r="B305" s="100">
        <v>44857.0</v>
      </c>
      <c r="C305" s="22">
        <v>479885.0</v>
      </c>
      <c r="D305" s="23">
        <v>252440.0</v>
      </c>
      <c r="E305" s="24">
        <v>5300.0</v>
      </c>
      <c r="F305" s="204">
        <v>6800.0</v>
      </c>
      <c r="G305" s="26">
        <v>179500.0</v>
      </c>
      <c r="H305" s="27">
        <v>47790.0</v>
      </c>
      <c r="I305" s="28"/>
      <c r="J305" s="29">
        <v>68405.0</v>
      </c>
      <c r="K305" s="30">
        <v>134940.0</v>
      </c>
      <c r="L305" s="31">
        <f t="shared" si="26"/>
        <v>-49250</v>
      </c>
      <c r="M305" s="39"/>
      <c r="N305" s="33"/>
      <c r="O305" s="40"/>
      <c r="P305" s="35"/>
      <c r="Q305" s="33"/>
      <c r="R305" s="33"/>
      <c r="S305" s="35"/>
      <c r="T305" s="35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</row>
    <row r="306">
      <c r="A306" s="54" t="s">
        <v>22</v>
      </c>
      <c r="B306" s="100">
        <v>44858.0</v>
      </c>
      <c r="C306" s="22">
        <v>543505.0</v>
      </c>
      <c r="D306" s="23">
        <v>319360.0</v>
      </c>
      <c r="E306" s="24">
        <f>1000+3100+650+760+170</f>
        <v>5680</v>
      </c>
      <c r="F306" s="204">
        <f>4000+800+1000</f>
        <v>5800</v>
      </c>
      <c r="G306" s="26">
        <f>21650+175750</f>
        <v>197400</v>
      </c>
      <c r="H306" s="27">
        <v>123760.0</v>
      </c>
      <c r="I306" s="28"/>
      <c r="J306" s="29">
        <v>78995.0</v>
      </c>
      <c r="K306" s="30">
        <v>118950.0</v>
      </c>
      <c r="L306" s="31">
        <f t="shared" si="26"/>
        <v>-24400</v>
      </c>
      <c r="M306" s="32"/>
      <c r="N306" s="33"/>
      <c r="O306" s="40"/>
      <c r="P306" s="35"/>
      <c r="Q306" s="33"/>
      <c r="R306" s="33"/>
      <c r="S306" s="35"/>
      <c r="T306" s="35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</row>
    <row r="307">
      <c r="A307" s="54" t="s">
        <v>32</v>
      </c>
      <c r="B307" s="100">
        <v>44859.0</v>
      </c>
      <c r="C307" s="22">
        <v>602370.0</v>
      </c>
      <c r="D307" s="23">
        <v>340820.0</v>
      </c>
      <c r="E307" s="24">
        <v>3500.0</v>
      </c>
      <c r="F307" s="204">
        <v>4800.0</v>
      </c>
      <c r="G307" s="26">
        <v>198650.0</v>
      </c>
      <c r="H307" s="27">
        <v>133976.0</v>
      </c>
      <c r="I307" s="28"/>
      <c r="J307" s="29">
        <v>111750.0</v>
      </c>
      <c r="K307" s="30">
        <v>159300.0</v>
      </c>
      <c r="L307" s="31">
        <f t="shared" si="26"/>
        <v>1306</v>
      </c>
      <c r="M307" s="39"/>
      <c r="N307" s="33"/>
      <c r="O307" s="40"/>
      <c r="P307" s="35"/>
      <c r="Q307" s="33"/>
      <c r="R307" s="33"/>
      <c r="S307" s="35"/>
      <c r="T307" s="35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</row>
    <row r="308">
      <c r="A308" s="54" t="s">
        <v>24</v>
      </c>
      <c r="B308" s="100">
        <v>44860.0</v>
      </c>
      <c r="C308" s="22">
        <v>699560.0</v>
      </c>
      <c r="D308" s="23">
        <v>395360.0</v>
      </c>
      <c r="E308" s="24">
        <f>600+500+1100+150+840+160</f>
        <v>3350</v>
      </c>
      <c r="F308" s="204">
        <f>4000+1800</f>
        <v>5800</v>
      </c>
      <c r="G308" s="26">
        <f>224091+23950</f>
        <v>248041</v>
      </c>
      <c r="H308" s="27">
        <v>187271.0</v>
      </c>
      <c r="I308" s="28"/>
      <c r="J308" s="29">
        <v>158250.0</v>
      </c>
      <c r="K308" s="30">
        <v>94050.0</v>
      </c>
      <c r="L308" s="31">
        <f t="shared" si="26"/>
        <v>-11948</v>
      </c>
      <c r="M308" s="32"/>
      <c r="N308" s="33"/>
      <c r="O308" s="40"/>
      <c r="P308" s="35"/>
      <c r="Q308" s="33"/>
      <c r="R308" s="33"/>
      <c r="S308" s="35"/>
      <c r="T308" s="35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</row>
    <row r="309">
      <c r="A309" s="38" t="s">
        <v>25</v>
      </c>
      <c r="B309" s="100">
        <v>44861.0</v>
      </c>
      <c r="C309" s="22">
        <v>567870.0</v>
      </c>
      <c r="D309" s="23">
        <v>309020.0</v>
      </c>
      <c r="E309" s="24">
        <v>3350.0</v>
      </c>
      <c r="F309" s="204">
        <v>5800.0</v>
      </c>
      <c r="G309" s="26">
        <v>189950.0</v>
      </c>
      <c r="H309" s="27">
        <v>140847.0</v>
      </c>
      <c r="I309" s="28"/>
      <c r="J309" s="29">
        <v>153500.0</v>
      </c>
      <c r="K309" s="30">
        <v>101250.0</v>
      </c>
      <c r="L309" s="31">
        <f t="shared" si="26"/>
        <v>17677</v>
      </c>
      <c r="M309" s="32"/>
      <c r="N309" s="33"/>
      <c r="O309" s="40"/>
      <c r="P309" s="35"/>
      <c r="Q309" s="33"/>
      <c r="R309" s="33"/>
      <c r="S309" s="35"/>
      <c r="T309" s="35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</row>
    <row r="310">
      <c r="A310" s="38" t="s">
        <v>26</v>
      </c>
      <c r="B310" s="100">
        <v>44862.0</v>
      </c>
      <c r="C310" s="22">
        <v>505110.0</v>
      </c>
      <c r="D310" s="23">
        <v>290230.0</v>
      </c>
      <c r="E310" s="24">
        <f>500+1000+2100+650+500+440+230</f>
        <v>5420</v>
      </c>
      <c r="F310" s="204">
        <f>1300+500+200+4000+1000</f>
        <v>7000</v>
      </c>
      <c r="G310" s="26">
        <f>188050+31100</f>
        <v>219150</v>
      </c>
      <c r="H310" s="27">
        <v>56880.0</v>
      </c>
      <c r="I310" s="28"/>
      <c r="J310" s="29">
        <v>69150.0</v>
      </c>
      <c r="K310" s="30">
        <v>141830.0</v>
      </c>
      <c r="L310" s="31">
        <f t="shared" si="26"/>
        <v>-18100</v>
      </c>
      <c r="M310" s="39"/>
      <c r="N310" s="33"/>
      <c r="O310" s="40"/>
      <c r="P310" s="35"/>
      <c r="Q310" s="33"/>
      <c r="R310" s="33"/>
      <c r="S310" s="35"/>
      <c r="T310" s="35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</row>
    <row r="311">
      <c r="A311" s="150" t="s">
        <v>27</v>
      </c>
      <c r="B311" s="100">
        <v>44863.0</v>
      </c>
      <c r="C311" s="160"/>
      <c r="D311" s="160"/>
      <c r="E311" s="160"/>
      <c r="F311" s="160"/>
      <c r="G311" s="160"/>
      <c r="H311" s="160"/>
      <c r="I311" s="28"/>
      <c r="J311" s="160"/>
      <c r="K311" s="160"/>
      <c r="L311" s="31">
        <f t="shared" si="26"/>
        <v>0</v>
      </c>
      <c r="M311" s="32"/>
      <c r="N311" s="33"/>
      <c r="O311" s="40"/>
      <c r="P311" s="35"/>
      <c r="Q311" s="33"/>
      <c r="R311" s="33"/>
      <c r="S311" s="35"/>
      <c r="T311" s="35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</row>
    <row r="312">
      <c r="A312" s="38" t="s">
        <v>21</v>
      </c>
      <c r="B312" s="100">
        <v>44864.0</v>
      </c>
      <c r="C312" s="22">
        <v>508630.0</v>
      </c>
      <c r="D312" s="23">
        <v>246230.0</v>
      </c>
      <c r="E312" s="24">
        <v>5000.0</v>
      </c>
      <c r="F312" s="204">
        <v>7000.0</v>
      </c>
      <c r="G312" s="26">
        <v>157760.0</v>
      </c>
      <c r="H312" s="27">
        <v>94221.0</v>
      </c>
      <c r="I312" s="28"/>
      <c r="J312" s="29">
        <v>93800.0</v>
      </c>
      <c r="K312" s="30">
        <v>163550.0</v>
      </c>
      <c r="L312" s="31">
        <f t="shared" si="26"/>
        <v>701</v>
      </c>
      <c r="M312" s="39"/>
      <c r="N312" s="33"/>
      <c r="O312" s="40"/>
      <c r="P312" s="35"/>
      <c r="Q312" s="33"/>
      <c r="R312" s="33"/>
      <c r="S312" s="35"/>
      <c r="T312" s="35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</row>
    <row r="313">
      <c r="A313" s="38" t="s">
        <v>22</v>
      </c>
      <c r="B313" s="100">
        <v>44865.0</v>
      </c>
      <c r="C313" s="22">
        <f>845320-248900</f>
        <v>596420</v>
      </c>
      <c r="D313" s="23">
        <v>491470.0</v>
      </c>
      <c r="E313" s="24">
        <f>1000+1300+400+200+400+460+40+240</f>
        <v>4040</v>
      </c>
      <c r="F313" s="25">
        <f>4000+500+1000+500+300+200</f>
        <v>6500</v>
      </c>
      <c r="G313" s="35">
        <f>144850+5900</f>
        <v>150750</v>
      </c>
      <c r="H313" s="27">
        <v>93420.0</v>
      </c>
      <c r="I313" s="28"/>
      <c r="J313" s="29">
        <v>156150.0</v>
      </c>
      <c r="K313" s="30">
        <v>172700.0</v>
      </c>
      <c r="L313" s="31">
        <f t="shared" si="26"/>
        <v>-23400</v>
      </c>
      <c r="M313" s="32"/>
      <c r="N313" s="33"/>
      <c r="O313" s="40"/>
      <c r="P313" s="35"/>
      <c r="Q313" s="33"/>
      <c r="R313" s="33"/>
      <c r="S313" s="35"/>
      <c r="T313" s="35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</row>
    <row r="314">
      <c r="A314" s="93" t="s">
        <v>28</v>
      </c>
      <c r="B314" s="129" t="s">
        <v>49</v>
      </c>
      <c r="C314" s="95">
        <f t="shared" ref="C314:D314" si="27">SUM(C284:C313)</f>
        <v>14320477</v>
      </c>
      <c r="D314" s="95">
        <f t="shared" si="27"/>
        <v>7728802</v>
      </c>
      <c r="E314" s="95"/>
      <c r="F314" s="95"/>
      <c r="G314" s="95">
        <f t="shared" ref="G314:H314" si="28">SUM(G284:G313)</f>
        <v>5005171</v>
      </c>
      <c r="H314" s="95">
        <f t="shared" si="28"/>
        <v>2751375</v>
      </c>
      <c r="I314" s="96"/>
      <c r="J314" s="95">
        <f t="shared" ref="J314:K314" si="29">SUM(J284:J313)</f>
        <v>2788095</v>
      </c>
      <c r="K314" s="73">
        <f t="shared" si="29"/>
        <v>3170560</v>
      </c>
      <c r="L314" s="74">
        <f>SUM(E314:K314)</f>
        <v>13715201</v>
      </c>
      <c r="M314" s="166">
        <f>C314-L314</f>
        <v>605276</v>
      </c>
      <c r="N314" s="33"/>
      <c r="O314" s="40"/>
      <c r="P314" s="35"/>
      <c r="Q314" s="33"/>
      <c r="R314" s="33"/>
      <c r="S314" s="35"/>
      <c r="T314" s="35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</row>
    <row r="315">
      <c r="A315" s="38" t="s">
        <v>32</v>
      </c>
      <c r="B315" s="100">
        <v>44866.0</v>
      </c>
      <c r="C315" s="22">
        <v>734140.0</v>
      </c>
      <c r="D315" s="23">
        <v>415270.0</v>
      </c>
      <c r="E315" s="24">
        <v>5000.0</v>
      </c>
      <c r="F315" s="25">
        <v>1500.0</v>
      </c>
      <c r="G315" s="26">
        <v>232215.0</v>
      </c>
      <c r="H315" s="27">
        <v>188095.0</v>
      </c>
      <c r="I315" s="28"/>
      <c r="J315" s="29">
        <v>154350.0</v>
      </c>
      <c r="K315" s="30">
        <v>171220.0</v>
      </c>
      <c r="L315" s="31">
        <f t="shared" ref="L315:L344" si="30">(K315+J315+H315+G315+I315+F315+E315)-C315</f>
        <v>18240</v>
      </c>
      <c r="M315" s="39"/>
      <c r="N315" s="33"/>
      <c r="O315" s="40"/>
      <c r="P315" s="35"/>
      <c r="Q315" s="33"/>
      <c r="R315" s="33"/>
      <c r="S315" s="35"/>
      <c r="T315" s="35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</row>
    <row r="316">
      <c r="A316" s="38" t="s">
        <v>24</v>
      </c>
      <c r="B316" s="100">
        <v>44867.0</v>
      </c>
      <c r="C316" s="22">
        <v>588410.0</v>
      </c>
      <c r="D316" s="23">
        <v>329900.0</v>
      </c>
      <c r="E316" s="24">
        <f>1000+2300+800+1200+180</f>
        <v>5480</v>
      </c>
      <c r="F316" s="25">
        <f>1000+400+500+4000</f>
        <v>5900</v>
      </c>
      <c r="G316" s="26">
        <f>139800+5800</f>
        <v>145600</v>
      </c>
      <c r="H316" s="27">
        <v>181826.0</v>
      </c>
      <c r="I316" s="28"/>
      <c r="J316" s="29">
        <v>131300.0</v>
      </c>
      <c r="K316" s="30">
        <v>126960.0</v>
      </c>
      <c r="L316" s="31">
        <f t="shared" si="30"/>
        <v>8656</v>
      </c>
      <c r="M316" s="32"/>
      <c r="N316" s="211"/>
      <c r="O316" s="174"/>
      <c r="P316" s="175"/>
      <c r="Q316" s="173"/>
      <c r="R316" s="173"/>
      <c r="S316" s="211"/>
      <c r="T316" s="211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</row>
    <row r="317">
      <c r="A317" s="38" t="s">
        <v>25</v>
      </c>
      <c r="B317" s="100">
        <v>44868.0</v>
      </c>
      <c r="C317" s="22">
        <v>610610.0</v>
      </c>
      <c r="D317" s="23">
        <v>314820.0</v>
      </c>
      <c r="E317" s="24"/>
      <c r="F317" s="25">
        <v>5900.0</v>
      </c>
      <c r="G317" s="26">
        <v>208640.0</v>
      </c>
      <c r="H317" s="27">
        <v>99842.0</v>
      </c>
      <c r="I317" s="28"/>
      <c r="J317" s="29">
        <v>181250.0</v>
      </c>
      <c r="K317" s="30">
        <v>124640.0</v>
      </c>
      <c r="L317" s="31">
        <f t="shared" si="30"/>
        <v>9662</v>
      </c>
      <c r="M317" s="39"/>
      <c r="N317" s="39"/>
      <c r="O317" s="206"/>
      <c r="P317" s="32"/>
      <c r="Q317" s="39"/>
      <c r="R317" s="39"/>
      <c r="S317" s="32"/>
      <c r="T317" s="32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</row>
    <row r="318">
      <c r="A318" s="38" t="s">
        <v>33</v>
      </c>
      <c r="B318" s="100">
        <v>44869.0</v>
      </c>
      <c r="C318" s="22">
        <v>427580.0</v>
      </c>
      <c r="D318" s="23">
        <v>215200.0</v>
      </c>
      <c r="E318" s="24">
        <f>1000+2200+500+460+400+160+280+500</f>
        <v>5500</v>
      </c>
      <c r="F318" s="25">
        <f>1000+300+600+4000+2000</f>
        <v>7900</v>
      </c>
      <c r="G318" s="26">
        <f>33700+6350+132050</f>
        <v>172100</v>
      </c>
      <c r="H318" s="27">
        <v>50591.0</v>
      </c>
      <c r="I318" s="28"/>
      <c r="J318" s="29">
        <v>90000.0</v>
      </c>
      <c r="K318" s="30">
        <v>119130.0</v>
      </c>
      <c r="L318" s="31">
        <f t="shared" si="30"/>
        <v>17641</v>
      </c>
      <c r="M318" s="39"/>
      <c r="N318" s="33"/>
      <c r="O318" s="40"/>
      <c r="P318" s="35"/>
      <c r="Q318" s="33"/>
      <c r="R318" s="33"/>
      <c r="S318" s="35"/>
      <c r="T318" s="35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</row>
    <row r="319">
      <c r="A319" s="212" t="s">
        <v>27</v>
      </c>
      <c r="B319" s="100">
        <v>44870.0</v>
      </c>
      <c r="C319" s="160"/>
      <c r="D319" s="160"/>
      <c r="E319" s="160"/>
      <c r="F319" s="160"/>
      <c r="G319" s="160"/>
      <c r="H319" s="160"/>
      <c r="I319" s="160"/>
      <c r="J319" s="160"/>
      <c r="K319" s="160"/>
      <c r="L319" s="31">
        <f t="shared" si="30"/>
        <v>0</v>
      </c>
      <c r="M319" s="32"/>
      <c r="N319" s="33"/>
      <c r="O319" s="40"/>
      <c r="P319" s="35"/>
      <c r="Q319" s="33"/>
      <c r="R319" s="33"/>
      <c r="S319" s="35"/>
      <c r="T319" s="35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</row>
    <row r="320">
      <c r="A320" s="38" t="s">
        <v>21</v>
      </c>
      <c r="B320" s="100">
        <v>44871.0</v>
      </c>
      <c r="C320" s="22">
        <v>545880.0</v>
      </c>
      <c r="D320" s="23">
        <v>272430.0</v>
      </c>
      <c r="E320" s="24">
        <v>5000.0</v>
      </c>
      <c r="F320" s="25">
        <v>6400.0</v>
      </c>
      <c r="G320" s="26">
        <v>173500.0</v>
      </c>
      <c r="H320" s="27">
        <v>95026.0</v>
      </c>
      <c r="I320" s="28"/>
      <c r="J320" s="29">
        <v>70950.0</v>
      </c>
      <c r="K320" s="30">
        <v>140400.0</v>
      </c>
      <c r="L320" s="31">
        <f t="shared" si="30"/>
        <v>-54604</v>
      </c>
      <c r="M320" s="32"/>
      <c r="N320" s="33"/>
      <c r="O320" s="40"/>
      <c r="P320" s="35"/>
      <c r="Q320" s="33"/>
      <c r="R320" s="33"/>
      <c r="S320" s="35"/>
      <c r="T320" s="35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</row>
    <row r="321">
      <c r="A321" s="38" t="s">
        <v>22</v>
      </c>
      <c r="B321" s="100">
        <v>44872.0</v>
      </c>
      <c r="C321" s="22">
        <f>1235075-C320</f>
        <v>689195</v>
      </c>
      <c r="D321" s="23">
        <f>688060-D320</f>
        <v>415630</v>
      </c>
      <c r="E321" s="24">
        <f>1700+1500+700+840+230</f>
        <v>4970</v>
      </c>
      <c r="F321" s="25">
        <f>400+500+500+2000+3000-2000</f>
        <v>4400</v>
      </c>
      <c r="G321" s="26">
        <f>2900+153700</f>
        <v>156600</v>
      </c>
      <c r="H321" s="27">
        <v>266369.5</v>
      </c>
      <c r="I321" s="28"/>
      <c r="J321" s="29">
        <f>79650-J320</f>
        <v>8700</v>
      </c>
      <c r="K321" s="30">
        <f>274665-K320</f>
        <v>134265</v>
      </c>
      <c r="L321" s="31">
        <f t="shared" si="30"/>
        <v>-113890.5</v>
      </c>
      <c r="M321" s="39"/>
      <c r="N321" s="33"/>
      <c r="O321" s="40"/>
      <c r="P321" s="35"/>
      <c r="Q321" s="33"/>
      <c r="R321" s="33"/>
      <c r="S321" s="35"/>
      <c r="T321" s="35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</row>
    <row r="322">
      <c r="A322" s="38" t="s">
        <v>32</v>
      </c>
      <c r="B322" s="100">
        <v>44873.0</v>
      </c>
      <c r="C322" s="22">
        <v>766274.0</v>
      </c>
      <c r="D322" s="23">
        <v>476730.0</v>
      </c>
      <c r="E322" s="24">
        <v>2000.0</v>
      </c>
      <c r="F322" s="25">
        <v>4400.0</v>
      </c>
      <c r="G322" s="26">
        <v>260600.0</v>
      </c>
      <c r="H322" s="27">
        <v>217377.0</v>
      </c>
      <c r="I322" s="28"/>
      <c r="J322" s="29">
        <v>118774.0</v>
      </c>
      <c r="K322" s="30">
        <v>157520.0</v>
      </c>
      <c r="L322" s="31">
        <f t="shared" si="30"/>
        <v>-5603</v>
      </c>
      <c r="M322" s="213"/>
      <c r="N322" s="33"/>
      <c r="O322" s="40"/>
      <c r="P322" s="35"/>
      <c r="Q322" s="33"/>
      <c r="R322" s="33"/>
      <c r="S322" s="35"/>
      <c r="T322" s="35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</row>
    <row r="323">
      <c r="A323" s="38" t="s">
        <v>24</v>
      </c>
      <c r="B323" s="100">
        <v>44874.0</v>
      </c>
      <c r="C323" s="22">
        <v>678270.0</v>
      </c>
      <c r="D323" s="23">
        <v>416050.0</v>
      </c>
      <c r="E323" s="24">
        <f>1900+1300+500+600+320+190</f>
        <v>4810</v>
      </c>
      <c r="F323" s="25">
        <f>3000+500+900</f>
        <v>4400</v>
      </c>
      <c r="G323" s="26">
        <f>178650+88160</f>
        <v>266810</v>
      </c>
      <c r="H323" s="27">
        <v>169691.0</v>
      </c>
      <c r="I323" s="28"/>
      <c r="J323" s="29">
        <v>74900.0</v>
      </c>
      <c r="K323" s="30">
        <v>128820.0</v>
      </c>
      <c r="L323" s="31">
        <f t="shared" si="30"/>
        <v>-28839</v>
      </c>
      <c r="M323" s="32"/>
      <c r="N323" s="33"/>
      <c r="O323" s="40"/>
      <c r="P323" s="35"/>
      <c r="Q323" s="33"/>
      <c r="R323" s="33"/>
      <c r="S323" s="35"/>
      <c r="T323" s="35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</row>
    <row r="324">
      <c r="A324" s="38" t="s">
        <v>25</v>
      </c>
      <c r="B324" s="100">
        <v>44875.0</v>
      </c>
      <c r="C324" s="22">
        <v>513610.0</v>
      </c>
      <c r="D324" s="23">
        <v>286910.0</v>
      </c>
      <c r="E324" s="24">
        <v>4000.0</v>
      </c>
      <c r="F324" s="25">
        <v>6400.0</v>
      </c>
      <c r="G324" s="26">
        <v>185970.0</v>
      </c>
      <c r="H324" s="27">
        <v>101200.0</v>
      </c>
      <c r="I324" s="28"/>
      <c r="J324" s="29">
        <v>163550.0</v>
      </c>
      <c r="K324" s="30">
        <v>94800.0</v>
      </c>
      <c r="L324" s="31">
        <f t="shared" si="30"/>
        <v>42310</v>
      </c>
      <c r="M324" s="32"/>
      <c r="N324" s="213"/>
      <c r="O324" s="214"/>
      <c r="P324" s="104"/>
      <c r="Q324" s="213"/>
      <c r="R324" s="213"/>
      <c r="S324" s="104"/>
      <c r="T324" s="104"/>
      <c r="U324" s="213"/>
      <c r="V324" s="213"/>
      <c r="W324" s="213"/>
      <c r="X324" s="213"/>
      <c r="Y324" s="213"/>
      <c r="Z324" s="213"/>
      <c r="AA324" s="213"/>
      <c r="AB324" s="213"/>
      <c r="AC324" s="213"/>
      <c r="AD324" s="213"/>
      <c r="AE324" s="213"/>
      <c r="AF324" s="213"/>
      <c r="AG324" s="213"/>
      <c r="AH324" s="213"/>
      <c r="AI324" s="213"/>
    </row>
    <row r="325">
      <c r="A325" s="38" t="s">
        <v>33</v>
      </c>
      <c r="B325" s="100">
        <v>44876.0</v>
      </c>
      <c r="C325" s="22">
        <v>577610.0</v>
      </c>
      <c r="D325" s="23">
        <v>359890.0</v>
      </c>
      <c r="E325" s="24">
        <f>190+2800+1000+200+600+420</f>
        <v>5210</v>
      </c>
      <c r="F325" s="25">
        <f>2000+3000+1400</f>
        <v>6400</v>
      </c>
      <c r="G325" s="26">
        <f>20600+242600+1500</f>
        <v>264700</v>
      </c>
      <c r="H325" s="27">
        <v>70550.0</v>
      </c>
      <c r="I325" s="28"/>
      <c r="J325" s="29">
        <v>98850.0</v>
      </c>
      <c r="K325" s="30">
        <v>123470.0</v>
      </c>
      <c r="L325" s="31">
        <f t="shared" si="30"/>
        <v>-8430</v>
      </c>
      <c r="M325" s="39"/>
      <c r="N325" s="33"/>
      <c r="O325" s="40"/>
      <c r="P325" s="35"/>
      <c r="Q325" s="33"/>
      <c r="R325" s="33"/>
      <c r="S325" s="35"/>
      <c r="T325" s="35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</row>
    <row r="326">
      <c r="A326" s="150" t="s">
        <v>27</v>
      </c>
      <c r="B326" s="100">
        <v>44877.0</v>
      </c>
      <c r="C326" s="160"/>
      <c r="D326" s="160"/>
      <c r="E326" s="160"/>
      <c r="F326" s="160"/>
      <c r="G326" s="160"/>
      <c r="H326" s="160"/>
      <c r="I326" s="160"/>
      <c r="J326" s="160"/>
      <c r="K326" s="160"/>
      <c r="L326" s="31">
        <f t="shared" si="30"/>
        <v>0</v>
      </c>
      <c r="M326" s="32"/>
      <c r="N326" s="33"/>
      <c r="O326" s="40"/>
      <c r="P326" s="35"/>
      <c r="Q326" s="33"/>
      <c r="R326" s="33"/>
      <c r="S326" s="35"/>
      <c r="T326" s="35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>
      <c r="A327" s="38" t="s">
        <v>21</v>
      </c>
      <c r="B327" s="100">
        <v>44878.0</v>
      </c>
      <c r="C327" s="22">
        <v>627085.0</v>
      </c>
      <c r="D327" s="23">
        <v>308400.0</v>
      </c>
      <c r="E327" s="24">
        <v>5000.0</v>
      </c>
      <c r="F327" s="25">
        <v>6400.0</v>
      </c>
      <c r="G327" s="26">
        <v>203440.0</v>
      </c>
      <c r="H327" s="27">
        <v>120316.0</v>
      </c>
      <c r="I327" s="28"/>
      <c r="J327" s="29">
        <v>67855.0</v>
      </c>
      <c r="K327" s="30">
        <v>187300.0</v>
      </c>
      <c r="L327" s="31">
        <f t="shared" si="30"/>
        <v>-36774</v>
      </c>
      <c r="M327" s="39"/>
      <c r="N327" s="33"/>
      <c r="O327" s="40"/>
      <c r="P327" s="35"/>
      <c r="Q327" s="33"/>
      <c r="R327" s="33"/>
      <c r="S327" s="35"/>
      <c r="T327" s="35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</row>
    <row r="328">
      <c r="A328" s="38" t="s">
        <v>22</v>
      </c>
      <c r="B328" s="100">
        <v>44879.0</v>
      </c>
      <c r="C328" s="22">
        <v>691400.0</v>
      </c>
      <c r="D328" s="23">
        <v>418420.0</v>
      </c>
      <c r="E328" s="24">
        <v>4000.0</v>
      </c>
      <c r="F328" s="25">
        <v>6400.0</v>
      </c>
      <c r="G328" s="26">
        <f>410120-145696</f>
        <v>264424</v>
      </c>
      <c r="H328" s="27">
        <v>145696.0</v>
      </c>
      <c r="I328" s="28">
        <v>61300.0</v>
      </c>
      <c r="J328" s="29">
        <v>65000.0</v>
      </c>
      <c r="K328" s="30">
        <v>141680.0</v>
      </c>
      <c r="L328" s="31">
        <f t="shared" si="30"/>
        <v>-2900</v>
      </c>
      <c r="M328" s="32"/>
      <c r="N328" s="33"/>
      <c r="O328" s="40"/>
      <c r="P328" s="35"/>
      <c r="Q328" s="33"/>
      <c r="R328" s="33"/>
      <c r="S328" s="35"/>
      <c r="T328" s="35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</row>
    <row r="329">
      <c r="A329" s="38" t="s">
        <v>32</v>
      </c>
      <c r="B329" s="100">
        <v>44880.0</v>
      </c>
      <c r="C329" s="22">
        <v>632120.0</v>
      </c>
      <c r="D329" s="23">
        <v>346320.0</v>
      </c>
      <c r="E329" s="24">
        <v>4000.0</v>
      </c>
      <c r="F329" s="25">
        <v>7400.0</v>
      </c>
      <c r="G329" s="26">
        <v>134750.0</v>
      </c>
      <c r="H329" s="27">
        <v>215977.0</v>
      </c>
      <c r="I329" s="28">
        <v>16000.0</v>
      </c>
      <c r="J329" s="29">
        <v>178000.0</v>
      </c>
      <c r="K329" s="30">
        <v>92800.0</v>
      </c>
      <c r="L329" s="31">
        <f t="shared" si="30"/>
        <v>16807</v>
      </c>
      <c r="M329" s="37"/>
      <c r="N329" s="33"/>
      <c r="O329" s="40"/>
      <c r="P329" s="35"/>
      <c r="Q329" s="33"/>
      <c r="R329" s="33"/>
      <c r="S329" s="35"/>
      <c r="T329" s="35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</row>
    <row r="330">
      <c r="A330" s="38" t="s">
        <v>24</v>
      </c>
      <c r="B330" s="100">
        <v>44881.0</v>
      </c>
      <c r="C330" s="22">
        <v>629030.0</v>
      </c>
      <c r="D330" s="23">
        <v>354930.0</v>
      </c>
      <c r="E330" s="24">
        <f>2300+850+700</f>
        <v>3850</v>
      </c>
      <c r="F330" s="25">
        <f>3000+1400</f>
        <v>4400</v>
      </c>
      <c r="G330" s="26">
        <f>2900+206800</f>
        <v>209700</v>
      </c>
      <c r="H330" s="27">
        <v>144372.0</v>
      </c>
      <c r="I330" s="28">
        <v>37300.0</v>
      </c>
      <c r="J330" s="29">
        <v>88750.0</v>
      </c>
      <c r="K330" s="30">
        <v>156950.0</v>
      </c>
      <c r="L330" s="31">
        <f t="shared" si="30"/>
        <v>16292</v>
      </c>
      <c r="M330" s="32"/>
      <c r="N330" s="33"/>
      <c r="O330" s="40"/>
      <c r="P330" s="35"/>
      <c r="Q330" s="33"/>
      <c r="R330" s="33"/>
      <c r="S330" s="35"/>
      <c r="T330" s="35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</row>
    <row r="331">
      <c r="A331" s="38" t="s">
        <v>25</v>
      </c>
      <c r="B331" s="100">
        <v>44882.0</v>
      </c>
      <c r="C331" s="22">
        <v>514025.0</v>
      </c>
      <c r="D331" s="23">
        <v>293875.0</v>
      </c>
      <c r="E331" s="24">
        <v>5000.0</v>
      </c>
      <c r="F331" s="25">
        <v>4400.0</v>
      </c>
      <c r="G331" s="26">
        <v>174250.0</v>
      </c>
      <c r="H331" s="27">
        <v>147586.0</v>
      </c>
      <c r="I331" s="28"/>
      <c r="J331" s="29">
        <v>100950.0</v>
      </c>
      <c r="K331" s="30">
        <v>92350.0</v>
      </c>
      <c r="L331" s="31">
        <f t="shared" si="30"/>
        <v>10511</v>
      </c>
      <c r="M331" s="32"/>
      <c r="N331" s="37"/>
      <c r="O331" s="207"/>
      <c r="P331" s="160"/>
      <c r="Q331" s="37"/>
      <c r="R331" s="37"/>
      <c r="S331" s="160"/>
      <c r="T331" s="160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</row>
    <row r="332">
      <c r="A332" s="38" t="s">
        <v>33</v>
      </c>
      <c r="B332" s="100">
        <v>44883.0</v>
      </c>
      <c r="C332" s="22">
        <v>577660.0</v>
      </c>
      <c r="D332" s="23">
        <v>315490.0</v>
      </c>
      <c r="E332" s="24">
        <v>3000.0</v>
      </c>
      <c r="F332" s="25">
        <v>4400.0</v>
      </c>
      <c r="G332" s="26">
        <f>92350+196749</f>
        <v>289099</v>
      </c>
      <c r="H332" s="27">
        <v>49090.0</v>
      </c>
      <c r="I332" s="28"/>
      <c r="J332" s="29">
        <v>102670.0</v>
      </c>
      <c r="K332" s="30">
        <v>139200.0</v>
      </c>
      <c r="L332" s="31">
        <f t="shared" si="30"/>
        <v>9799</v>
      </c>
      <c r="M332" s="32"/>
      <c r="N332" s="33"/>
      <c r="O332" s="40"/>
      <c r="P332" s="35"/>
      <c r="Q332" s="33"/>
      <c r="R332" s="33"/>
      <c r="S332" s="35"/>
      <c r="T332" s="35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</row>
    <row r="333">
      <c r="A333" s="212" t="s">
        <v>27</v>
      </c>
      <c r="B333" s="100">
        <v>44884.0</v>
      </c>
      <c r="C333" s="160"/>
      <c r="D333" s="160"/>
      <c r="E333" s="160"/>
      <c r="F333" s="160"/>
      <c r="G333" s="160"/>
      <c r="H333" s="160"/>
      <c r="I333" s="160"/>
      <c r="J333" s="160"/>
      <c r="K333" s="160"/>
      <c r="L333" s="31">
        <f t="shared" si="30"/>
        <v>0</v>
      </c>
      <c r="M333" s="32"/>
      <c r="N333" s="33"/>
      <c r="O333" s="40"/>
      <c r="P333" s="35"/>
      <c r="Q333" s="33"/>
      <c r="R333" s="33"/>
      <c r="S333" s="35"/>
      <c r="T333" s="35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</row>
    <row r="334">
      <c r="A334" s="38" t="s">
        <v>21</v>
      </c>
      <c r="B334" s="100">
        <v>44885.0</v>
      </c>
      <c r="C334" s="22">
        <v>447090.0</v>
      </c>
      <c r="D334" s="23">
        <v>276890.0</v>
      </c>
      <c r="E334" s="24">
        <v>3000.0</v>
      </c>
      <c r="F334" s="25">
        <v>13400.0</v>
      </c>
      <c r="G334" s="26">
        <v>179700.0</v>
      </c>
      <c r="H334" s="27">
        <v>100906.0</v>
      </c>
      <c r="I334" s="28"/>
      <c r="J334" s="29">
        <v>83950.0</v>
      </c>
      <c r="K334" s="30">
        <v>86050.0</v>
      </c>
      <c r="L334" s="31">
        <f t="shared" si="30"/>
        <v>19916</v>
      </c>
      <c r="M334" s="32"/>
      <c r="N334" s="33"/>
      <c r="O334" s="40"/>
      <c r="P334" s="35"/>
      <c r="Q334" s="33"/>
      <c r="R334" s="33"/>
      <c r="S334" s="35"/>
      <c r="T334" s="35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</row>
    <row r="335">
      <c r="A335" s="38" t="s">
        <v>22</v>
      </c>
      <c r="B335" s="100">
        <v>44886.0</v>
      </c>
      <c r="C335" s="22">
        <v>517470.0</v>
      </c>
      <c r="D335" s="23">
        <v>328370.0</v>
      </c>
      <c r="E335" s="24">
        <f>600+2000+3400+400+240+370</f>
        <v>7010</v>
      </c>
      <c r="F335" s="25">
        <f>7000+2000+1100+1400</f>
        <v>11500</v>
      </c>
      <c r="G335" s="26">
        <f>145425+15250</f>
        <v>160675</v>
      </c>
      <c r="H335" s="27">
        <v>170427.0</v>
      </c>
      <c r="I335" s="28">
        <v>9500.0</v>
      </c>
      <c r="J335" s="29">
        <v>39850.0</v>
      </c>
      <c r="K335" s="30">
        <v>133250.0</v>
      </c>
      <c r="L335" s="31">
        <f t="shared" si="30"/>
        <v>14742</v>
      </c>
      <c r="M335" s="39"/>
      <c r="N335" s="33"/>
      <c r="O335" s="40"/>
      <c r="P335" s="35"/>
      <c r="Q335" s="33"/>
      <c r="R335" s="33"/>
      <c r="S335" s="35"/>
      <c r="T335" s="35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</row>
    <row r="336">
      <c r="A336" s="38" t="s">
        <v>32</v>
      </c>
      <c r="B336" s="100">
        <v>44887.0</v>
      </c>
      <c r="C336" s="22">
        <v>657970.0</v>
      </c>
      <c r="D336" s="23">
        <v>277670.0</v>
      </c>
      <c r="E336" s="24">
        <v>5000.0</v>
      </c>
      <c r="F336" s="25">
        <v>11500.0</v>
      </c>
      <c r="G336" s="26">
        <v>191550.0</v>
      </c>
      <c r="H336" s="27">
        <v>148842.0</v>
      </c>
      <c r="I336" s="28">
        <v>33200.0</v>
      </c>
      <c r="J336" s="29">
        <v>133200.0</v>
      </c>
      <c r="K336" s="30">
        <v>143600.0</v>
      </c>
      <c r="L336" s="31">
        <f t="shared" si="30"/>
        <v>8922</v>
      </c>
      <c r="M336" s="213"/>
      <c r="N336" s="33"/>
      <c r="O336" s="40"/>
      <c r="P336" s="35"/>
      <c r="Q336" s="33"/>
      <c r="R336" s="33"/>
      <c r="S336" s="35"/>
      <c r="T336" s="35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</row>
    <row r="337">
      <c r="A337" s="38" t="s">
        <v>24</v>
      </c>
      <c r="B337" s="100">
        <v>44888.0</v>
      </c>
      <c r="C337" s="22">
        <f>1258790-657970</f>
        <v>600820</v>
      </c>
      <c r="D337" s="23">
        <v>341060.0</v>
      </c>
      <c r="E337" s="24">
        <v>5000.0</v>
      </c>
      <c r="F337" s="25">
        <v>11500.0</v>
      </c>
      <c r="G337" s="26">
        <f>194900+8700</f>
        <v>203600</v>
      </c>
      <c r="H337" s="27">
        <v>144182.0</v>
      </c>
      <c r="I337" s="28">
        <f>69800-33200</f>
        <v>36600</v>
      </c>
      <c r="J337" s="29">
        <v>125400.0</v>
      </c>
      <c r="K337" s="30">
        <f>143600-22160</f>
        <v>121440</v>
      </c>
      <c r="L337" s="31">
        <f t="shared" si="30"/>
        <v>46902</v>
      </c>
      <c r="M337" s="32"/>
      <c r="N337" s="33"/>
      <c r="O337" s="40"/>
      <c r="P337" s="35"/>
      <c r="Q337" s="33"/>
      <c r="R337" s="33"/>
      <c r="S337" s="35"/>
      <c r="T337" s="35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</row>
    <row r="338">
      <c r="A338" s="38" t="s">
        <v>25</v>
      </c>
      <c r="B338" s="100">
        <v>44889.0</v>
      </c>
      <c r="C338" s="22">
        <v>613960.0</v>
      </c>
      <c r="D338" s="23">
        <v>417310.0</v>
      </c>
      <c r="E338" s="24">
        <v>5000.0</v>
      </c>
      <c r="F338" s="25">
        <v>11500.0</v>
      </c>
      <c r="G338" s="26">
        <f>230700+23200</f>
        <v>253900</v>
      </c>
      <c r="H338" s="27">
        <v>168910.0</v>
      </c>
      <c r="I338" s="28">
        <v>2900.0</v>
      </c>
      <c r="J338" s="29">
        <v>88650.0</v>
      </c>
      <c r="K338" s="30">
        <v>105800.0</v>
      </c>
      <c r="L338" s="31">
        <f t="shared" si="30"/>
        <v>22700</v>
      </c>
      <c r="M338" s="32"/>
      <c r="N338" s="213"/>
      <c r="O338" s="214"/>
      <c r="P338" s="104"/>
      <c r="Q338" s="213"/>
      <c r="R338" s="213"/>
      <c r="S338" s="104"/>
      <c r="T338" s="104"/>
      <c r="U338" s="213"/>
      <c r="V338" s="213"/>
      <c r="W338" s="213"/>
      <c r="X338" s="213"/>
      <c r="Y338" s="213"/>
      <c r="Z338" s="213"/>
      <c r="AA338" s="213"/>
      <c r="AB338" s="213"/>
      <c r="AC338" s="213"/>
      <c r="AD338" s="213"/>
      <c r="AE338" s="213"/>
      <c r="AF338" s="213"/>
      <c r="AG338" s="213"/>
      <c r="AH338" s="213"/>
      <c r="AI338" s="213"/>
    </row>
    <row r="339">
      <c r="A339" s="38" t="s">
        <v>33</v>
      </c>
      <c r="B339" s="100">
        <v>44890.0</v>
      </c>
      <c r="C339" s="22">
        <v>451030.0</v>
      </c>
      <c r="D339" s="23">
        <v>250330.0</v>
      </c>
      <c r="E339" s="24">
        <f>1050+1200+2300+80+90+300</f>
        <v>5020</v>
      </c>
      <c r="F339" s="25">
        <f>4000+1000+500+500+1100+400</f>
        <v>7500</v>
      </c>
      <c r="G339" s="26">
        <f>164250+10700</f>
        <v>174950</v>
      </c>
      <c r="H339" s="27">
        <v>74366.0</v>
      </c>
      <c r="I339" s="28"/>
      <c r="J339" s="29">
        <v>76750.0</v>
      </c>
      <c r="K339" s="30">
        <v>124050.0</v>
      </c>
      <c r="L339" s="31">
        <f t="shared" si="30"/>
        <v>11606</v>
      </c>
      <c r="M339" s="39"/>
      <c r="N339" s="33"/>
      <c r="O339" s="40"/>
      <c r="P339" s="35"/>
      <c r="Q339" s="33"/>
      <c r="R339" s="33"/>
      <c r="S339" s="35"/>
      <c r="T339" s="35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</row>
    <row r="340">
      <c r="A340" s="150" t="s">
        <v>27</v>
      </c>
      <c r="B340" s="100">
        <v>44891.0</v>
      </c>
      <c r="C340" s="160"/>
      <c r="D340" s="160"/>
      <c r="E340" s="160"/>
      <c r="F340" s="160"/>
      <c r="G340" s="160"/>
      <c r="H340" s="160"/>
      <c r="I340" s="160"/>
      <c r="J340" s="160"/>
      <c r="K340" s="160"/>
      <c r="L340" s="31">
        <f t="shared" si="30"/>
        <v>0</v>
      </c>
      <c r="M340" s="32"/>
      <c r="N340" s="33"/>
      <c r="O340" s="40"/>
      <c r="P340" s="35"/>
      <c r="Q340" s="33"/>
      <c r="R340" s="33"/>
      <c r="S340" s="35"/>
      <c r="T340" s="35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</row>
    <row r="341">
      <c r="A341" s="38" t="s">
        <v>21</v>
      </c>
      <c r="B341" s="100">
        <v>44892.0</v>
      </c>
      <c r="C341" s="22">
        <v>491300.0</v>
      </c>
      <c r="D341" s="23">
        <v>214930.0</v>
      </c>
      <c r="E341" s="24">
        <v>5700.0</v>
      </c>
      <c r="F341" s="25">
        <v>6300.0</v>
      </c>
      <c r="G341" s="26">
        <v>106750.0</v>
      </c>
      <c r="H341" s="27">
        <v>120652.0</v>
      </c>
      <c r="I341" s="28">
        <v>44200.0</v>
      </c>
      <c r="J341" s="29">
        <v>107800.0</v>
      </c>
      <c r="K341" s="30">
        <v>124550.0</v>
      </c>
      <c r="L341" s="31">
        <f t="shared" si="30"/>
        <v>24652</v>
      </c>
      <c r="M341" s="32"/>
      <c r="N341" s="33"/>
      <c r="O341" s="40"/>
      <c r="P341" s="35"/>
      <c r="Q341" s="33"/>
      <c r="R341" s="33"/>
      <c r="S341" s="35"/>
      <c r="T341" s="35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</row>
    <row r="342">
      <c r="A342" s="38" t="s">
        <v>22</v>
      </c>
      <c r="B342" s="100">
        <v>44893.0</v>
      </c>
      <c r="C342" s="22">
        <v>543455.0</v>
      </c>
      <c r="D342" s="23">
        <v>258980.0</v>
      </c>
      <c r="E342" s="24">
        <v>4500.0</v>
      </c>
      <c r="F342" s="25">
        <v>6500.0</v>
      </c>
      <c r="G342" s="26">
        <v>150300.0</v>
      </c>
      <c r="H342" s="27">
        <v>128096.0</v>
      </c>
      <c r="I342" s="28">
        <v>44100.0</v>
      </c>
      <c r="J342" s="29">
        <v>92750.0</v>
      </c>
      <c r="K342" s="30">
        <v>139775.0</v>
      </c>
      <c r="L342" s="31">
        <f t="shared" si="30"/>
        <v>22566</v>
      </c>
      <c r="M342" s="32"/>
      <c r="N342" s="33"/>
      <c r="O342" s="40"/>
      <c r="P342" s="35"/>
      <c r="Q342" s="33"/>
      <c r="R342" s="33"/>
      <c r="S342" s="35"/>
      <c r="T342" s="35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</row>
    <row r="343">
      <c r="A343" s="38" t="s">
        <v>23</v>
      </c>
      <c r="B343" s="100">
        <v>44894.0</v>
      </c>
      <c r="C343" s="22">
        <v>869020.0</v>
      </c>
      <c r="D343" s="23">
        <v>603540.0</v>
      </c>
      <c r="E343" s="24">
        <v>5000.0</v>
      </c>
      <c r="F343" s="25">
        <v>4500.0</v>
      </c>
      <c r="G343" s="35">
        <v>286610.0</v>
      </c>
      <c r="H343" s="27">
        <v>181767.0</v>
      </c>
      <c r="I343" s="28">
        <v>4000.0</v>
      </c>
      <c r="J343" s="29">
        <v>169910.0</v>
      </c>
      <c r="K343" s="30">
        <v>164180.0</v>
      </c>
      <c r="L343" s="31">
        <f t="shared" si="30"/>
        <v>-53053</v>
      </c>
      <c r="M343" s="32"/>
      <c r="N343" s="33"/>
      <c r="O343" s="40"/>
      <c r="P343" s="35"/>
      <c r="Q343" s="33"/>
      <c r="R343" s="33"/>
      <c r="S343" s="35"/>
      <c r="T343" s="35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</row>
    <row r="344">
      <c r="A344" s="38" t="s">
        <v>24</v>
      </c>
      <c r="B344" s="100">
        <v>44895.0</v>
      </c>
      <c r="C344" s="22">
        <v>718822.0</v>
      </c>
      <c r="D344" s="23">
        <v>452562.0</v>
      </c>
      <c r="E344" s="24">
        <v>3500.0</v>
      </c>
      <c r="F344" s="25">
        <v>4500.0</v>
      </c>
      <c r="G344" s="35">
        <v>221706.0</v>
      </c>
      <c r="H344" s="27">
        <v>214347.0</v>
      </c>
      <c r="I344" s="28">
        <v>16000.0</v>
      </c>
      <c r="J344" s="29">
        <v>101496.0</v>
      </c>
      <c r="K344" s="30">
        <v>149730.0</v>
      </c>
      <c r="L344" s="31">
        <f t="shared" si="30"/>
        <v>-7543</v>
      </c>
      <c r="M344" s="32"/>
      <c r="N344" s="33"/>
      <c r="O344" s="40"/>
      <c r="P344" s="35"/>
      <c r="Q344" s="33"/>
      <c r="R344" s="33"/>
      <c r="S344" s="35"/>
      <c r="T344" s="35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</row>
    <row r="345">
      <c r="A345" s="215" t="s">
        <v>28</v>
      </c>
      <c r="B345" s="129" t="s">
        <v>50</v>
      </c>
      <c r="C345" s="216">
        <f t="shared" ref="C345:K345" si="31">SUM(C315:C344)</f>
        <v>15713836</v>
      </c>
      <c r="D345" s="216">
        <f t="shared" si="31"/>
        <v>8961907</v>
      </c>
      <c r="E345" s="216">
        <f t="shared" si="31"/>
        <v>115550</v>
      </c>
      <c r="F345" s="216">
        <f t="shared" si="31"/>
        <v>175700</v>
      </c>
      <c r="G345" s="216">
        <f t="shared" si="31"/>
        <v>5272139</v>
      </c>
      <c r="H345" s="216">
        <f t="shared" si="31"/>
        <v>3716099.5</v>
      </c>
      <c r="I345" s="216">
        <f t="shared" si="31"/>
        <v>305100</v>
      </c>
      <c r="J345" s="216">
        <f t="shared" si="31"/>
        <v>2715605</v>
      </c>
      <c r="K345" s="216">
        <f t="shared" si="31"/>
        <v>3423930</v>
      </c>
      <c r="L345" s="74">
        <f>SUM(E345:K345)</f>
        <v>15724123.5</v>
      </c>
      <c r="M345" s="166">
        <f>C345-L345</f>
        <v>-10287.5</v>
      </c>
      <c r="N345" s="217">
        <f>SUM(M314,M282,M251,M219,M187)</f>
        <v>1670017</v>
      </c>
      <c r="O345" s="34"/>
      <c r="P345" s="35"/>
      <c r="Q345" s="33"/>
      <c r="R345" s="33"/>
      <c r="S345" s="35"/>
      <c r="T345" s="35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</row>
    <row r="346">
      <c r="A346" s="38" t="s">
        <v>25</v>
      </c>
      <c r="B346" s="100">
        <v>44896.0</v>
      </c>
      <c r="C346" s="22">
        <v>646680.0</v>
      </c>
      <c r="D346" s="23">
        <v>883290.0</v>
      </c>
      <c r="E346" s="24">
        <v>7000.0</v>
      </c>
      <c r="F346" s="25">
        <v>4500.0</v>
      </c>
      <c r="G346" s="26">
        <v>402030.0</v>
      </c>
      <c r="H346" s="218">
        <v>84300.0</v>
      </c>
      <c r="I346" s="28">
        <v>492400.0</v>
      </c>
      <c r="J346" s="29">
        <v>129410.0</v>
      </c>
      <c r="K346" s="30">
        <v>135310.0</v>
      </c>
      <c r="L346" s="49"/>
      <c r="M346" s="32"/>
      <c r="N346" s="33"/>
      <c r="O346" s="34"/>
      <c r="P346" s="35"/>
      <c r="Q346" s="33"/>
      <c r="R346" s="33"/>
      <c r="S346" s="35"/>
      <c r="T346" s="35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</row>
    <row r="347">
      <c r="A347" s="38" t="s">
        <v>33</v>
      </c>
      <c r="B347" s="100">
        <v>44897.0</v>
      </c>
      <c r="C347" s="22">
        <v>538515.0</v>
      </c>
      <c r="D347" s="23">
        <v>447730.0</v>
      </c>
      <c r="E347" s="24">
        <v>4200.0</v>
      </c>
      <c r="F347" s="25">
        <v>4500.0</v>
      </c>
      <c r="G347" s="26">
        <f>317150+8600</f>
        <v>325750</v>
      </c>
      <c r="H347" s="27">
        <v>72576.0</v>
      </c>
      <c r="I347" s="28"/>
      <c r="J347" s="29">
        <v>58480.0</v>
      </c>
      <c r="K347" s="30">
        <v>89185.0</v>
      </c>
      <c r="L347" s="31"/>
      <c r="M347" s="32"/>
      <c r="N347" s="76"/>
      <c r="O347" s="77"/>
      <c r="P347" s="77"/>
      <c r="Q347" s="77"/>
      <c r="R347" s="77"/>
      <c r="S347" s="76"/>
      <c r="T347" s="76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</row>
    <row r="348">
      <c r="A348" s="219" t="s">
        <v>27</v>
      </c>
      <c r="B348" s="100">
        <v>44898.0</v>
      </c>
      <c r="C348" s="160"/>
      <c r="D348" s="160"/>
      <c r="E348" s="160"/>
      <c r="F348" s="160"/>
      <c r="G348" s="160"/>
      <c r="H348" s="160"/>
      <c r="I348" s="160"/>
      <c r="J348" s="160"/>
      <c r="K348" s="160"/>
      <c r="L348" s="31"/>
      <c r="M348" s="39"/>
      <c r="N348" s="33"/>
      <c r="O348" s="40"/>
      <c r="P348" s="35"/>
      <c r="Q348" s="33"/>
      <c r="R348" s="33"/>
      <c r="S348" s="35"/>
      <c r="T348" s="35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</row>
    <row r="349">
      <c r="A349" s="38" t="s">
        <v>21</v>
      </c>
      <c r="B349" s="100">
        <v>44899.0</v>
      </c>
      <c r="C349" s="22">
        <v>806340.0</v>
      </c>
      <c r="D349" s="23">
        <v>460700.0</v>
      </c>
      <c r="E349" s="24">
        <v>7000.0</v>
      </c>
      <c r="F349" s="25">
        <v>9500.0</v>
      </c>
      <c r="G349" s="26">
        <v>259520.0</v>
      </c>
      <c r="H349" s="27">
        <v>158066.0</v>
      </c>
      <c r="I349" s="28">
        <v>39500.0</v>
      </c>
      <c r="J349" s="29">
        <v>168300.0</v>
      </c>
      <c r="K349" s="30">
        <v>184720.0</v>
      </c>
      <c r="L349" s="31"/>
      <c r="M349" s="32"/>
      <c r="N349" s="33"/>
      <c r="O349" s="40"/>
      <c r="P349" s="35"/>
      <c r="Q349" s="33"/>
      <c r="R349" s="33"/>
      <c r="S349" s="35"/>
      <c r="T349" s="35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</row>
    <row r="350">
      <c r="A350" s="38" t="s">
        <v>22</v>
      </c>
      <c r="B350" s="100">
        <v>44900.0</v>
      </c>
      <c r="C350" s="22">
        <v>854630.0</v>
      </c>
      <c r="D350" s="23">
        <v>485770.0</v>
      </c>
      <c r="E350" s="24">
        <v>7000.0</v>
      </c>
      <c r="F350" s="25">
        <v>9500.0</v>
      </c>
      <c r="G350" s="26">
        <v>249540.0</v>
      </c>
      <c r="H350" s="27">
        <v>163690.0</v>
      </c>
      <c r="I350" s="28">
        <v>72000.0</v>
      </c>
      <c r="J350" s="29">
        <v>172940.0</v>
      </c>
      <c r="K350" s="30">
        <v>207620.0</v>
      </c>
      <c r="L350" s="49"/>
      <c r="M350" s="39"/>
      <c r="N350" s="33"/>
      <c r="O350" s="40"/>
      <c r="P350" s="35"/>
      <c r="Q350" s="33"/>
      <c r="R350" s="33"/>
      <c r="S350" s="35"/>
      <c r="T350" s="35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</row>
    <row r="351">
      <c r="A351" s="38" t="s">
        <v>32</v>
      </c>
      <c r="B351" s="100">
        <v>44901.0</v>
      </c>
      <c r="C351" s="22">
        <f>1608726-C350</f>
        <v>754096</v>
      </c>
      <c r="D351" s="23">
        <f>1054376-D350</f>
        <v>568606</v>
      </c>
      <c r="E351" s="24">
        <f>1500+2600+650+80+270</f>
        <v>5100</v>
      </c>
      <c r="F351" s="25">
        <f>6000+1000+1100+900+500</f>
        <v>9500</v>
      </c>
      <c r="G351" s="26">
        <f>21550+161650</f>
        <v>183200</v>
      </c>
      <c r="H351" s="27">
        <v>234495.0</v>
      </c>
      <c r="I351" s="28">
        <f>117700-I350</f>
        <v>45700</v>
      </c>
      <c r="J351" s="29">
        <f>355126-J350</f>
        <v>182186</v>
      </c>
      <c r="K351" s="30">
        <f>307860-K350</f>
        <v>100240</v>
      </c>
      <c r="L351" s="31"/>
      <c r="M351" s="32"/>
      <c r="N351" s="33"/>
      <c r="O351" s="40"/>
      <c r="P351" s="35"/>
      <c r="Q351" s="33"/>
      <c r="R351" s="33"/>
      <c r="S351" s="35"/>
      <c r="T351" s="35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</row>
    <row r="352">
      <c r="A352" s="38" t="s">
        <v>24</v>
      </c>
      <c r="B352" s="100">
        <v>44902.0</v>
      </c>
      <c r="C352" s="22">
        <v>875100.0</v>
      </c>
      <c r="D352" s="23">
        <v>641940.0</v>
      </c>
      <c r="E352" s="24">
        <v>2500.0</v>
      </c>
      <c r="F352" s="25">
        <v>6500.0</v>
      </c>
      <c r="G352" s="26">
        <v>295500.0</v>
      </c>
      <c r="H352" s="27">
        <v>197646.0</v>
      </c>
      <c r="I352" s="28">
        <v>29400.0</v>
      </c>
      <c r="J352" s="29">
        <v>220910.0</v>
      </c>
      <c r="K352" s="30">
        <v>177680.0</v>
      </c>
      <c r="L352" s="49"/>
      <c r="M352" s="32"/>
      <c r="N352" s="39"/>
      <c r="O352" s="206"/>
      <c r="P352" s="32"/>
      <c r="Q352" s="39"/>
      <c r="R352" s="39"/>
      <c r="S352" s="32"/>
      <c r="T352" s="32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</row>
    <row r="353">
      <c r="A353" s="38" t="s">
        <v>25</v>
      </c>
      <c r="B353" s="100">
        <v>44903.0</v>
      </c>
      <c r="C353" s="22">
        <f>1195365-875100+265470</f>
        <v>585735</v>
      </c>
      <c r="D353" s="23">
        <v>430350.0</v>
      </c>
      <c r="E353" s="24">
        <v>6400.0</v>
      </c>
      <c r="F353" s="25">
        <v>4500.0</v>
      </c>
      <c r="G353" s="26">
        <v>276940.0</v>
      </c>
      <c r="H353" s="27">
        <v>85541.0</v>
      </c>
      <c r="I353" s="28"/>
      <c r="J353" s="29">
        <f>279020-220910+65650</f>
        <v>123760</v>
      </c>
      <c r="K353" s="30">
        <f>244465-177680+54770</f>
        <v>121555</v>
      </c>
      <c r="L353" s="49"/>
      <c r="M353" s="39"/>
      <c r="N353" s="33"/>
      <c r="O353" s="40"/>
      <c r="P353" s="35"/>
      <c r="Q353" s="33"/>
      <c r="R353" s="33"/>
      <c r="S353" s="35"/>
      <c r="T353" s="35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</row>
    <row r="354">
      <c r="A354" s="38" t="s">
        <v>33</v>
      </c>
      <c r="B354" s="100">
        <v>44904.0</v>
      </c>
      <c r="C354" s="22">
        <v>514670.0</v>
      </c>
      <c r="D354" s="23">
        <v>415410.0</v>
      </c>
      <c r="E354" s="24">
        <v>13500.0</v>
      </c>
      <c r="F354" s="25">
        <v>4500.0</v>
      </c>
      <c r="G354" s="26">
        <v>317180.0</v>
      </c>
      <c r="H354" s="27">
        <v>29105.0</v>
      </c>
      <c r="I354" s="28"/>
      <c r="J354" s="29">
        <v>67130.0</v>
      </c>
      <c r="K354" s="30">
        <v>87760.0</v>
      </c>
      <c r="L354" s="31"/>
      <c r="M354" s="32"/>
      <c r="N354" s="33"/>
      <c r="O354" s="40"/>
      <c r="P354" s="35"/>
      <c r="Q354" s="33"/>
      <c r="R354" s="33"/>
      <c r="S354" s="35"/>
      <c r="T354" s="35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</row>
    <row r="355">
      <c r="A355" s="219" t="s">
        <v>27</v>
      </c>
      <c r="B355" s="100">
        <v>44905.0</v>
      </c>
      <c r="C355" s="160"/>
      <c r="D355" s="160"/>
      <c r="E355" s="160"/>
      <c r="F355" s="160"/>
      <c r="G355" s="160"/>
      <c r="H355" s="160"/>
      <c r="I355" s="28"/>
      <c r="J355" s="160"/>
      <c r="K355" s="160"/>
      <c r="L355" s="49"/>
      <c r="M355" s="39"/>
      <c r="N355" s="33"/>
      <c r="O355" s="40"/>
      <c r="P355" s="35"/>
      <c r="Q355" s="33"/>
      <c r="R355" s="33"/>
      <c r="S355" s="35"/>
      <c r="T355" s="35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</row>
    <row r="356">
      <c r="A356" s="38" t="s">
        <v>21</v>
      </c>
      <c r="B356" s="100">
        <v>44906.0</v>
      </c>
      <c r="C356" s="22">
        <v>522030.0</v>
      </c>
      <c r="D356" s="23">
        <v>410960.0</v>
      </c>
      <c r="E356" s="24">
        <v>6000.0</v>
      </c>
      <c r="F356" s="25">
        <v>3800.0</v>
      </c>
      <c r="G356" s="26">
        <v>174150.0</v>
      </c>
      <c r="H356" s="27">
        <v>137542.0</v>
      </c>
      <c r="I356" s="28"/>
      <c r="J356" s="29">
        <v>123620.0</v>
      </c>
      <c r="K356" s="30">
        <v>102470.0</v>
      </c>
      <c r="L356" s="31"/>
      <c r="M356" s="39"/>
      <c r="N356" s="33"/>
      <c r="O356" s="40"/>
      <c r="P356" s="35"/>
      <c r="Q356" s="33"/>
      <c r="R356" s="33"/>
      <c r="S356" s="35"/>
      <c r="T356" s="35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</row>
    <row r="357">
      <c r="A357" s="38" t="s">
        <v>22</v>
      </c>
      <c r="B357" s="100">
        <v>44907.0</v>
      </c>
      <c r="C357" s="22">
        <v>637880.0</v>
      </c>
      <c r="D357" s="23">
        <v>493600.0</v>
      </c>
      <c r="E357" s="24"/>
      <c r="F357" s="25">
        <v>3600.0</v>
      </c>
      <c r="G357" s="26">
        <v>168330.0</v>
      </c>
      <c r="H357" s="27">
        <v>158219.0</v>
      </c>
      <c r="I357" s="28"/>
      <c r="J357" s="29">
        <v>145810.0</v>
      </c>
      <c r="K357" s="30">
        <v>144280.0</v>
      </c>
      <c r="L357" s="39"/>
      <c r="M357" s="39"/>
      <c r="N357" s="33"/>
      <c r="O357" s="40"/>
      <c r="P357" s="35"/>
      <c r="Q357" s="33"/>
      <c r="R357" s="33"/>
      <c r="S357" s="35"/>
      <c r="T357" s="35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</row>
    <row r="358">
      <c r="A358" s="38" t="s">
        <v>32</v>
      </c>
      <c r="B358" s="100">
        <v>44908.0</v>
      </c>
      <c r="C358" s="22">
        <v>774000.0</v>
      </c>
      <c r="D358" s="23">
        <v>607180.0</v>
      </c>
      <c r="E358" s="24">
        <v>2650.0</v>
      </c>
      <c r="F358" s="25">
        <v>3600.0</v>
      </c>
      <c r="G358" s="26">
        <v>196720.0</v>
      </c>
      <c r="H358" s="27">
        <v>301551.0</v>
      </c>
      <c r="I358" s="28">
        <v>50000.0</v>
      </c>
      <c r="J358" s="29">
        <v>115380.0</v>
      </c>
      <c r="K358" s="30">
        <v>119970.0</v>
      </c>
      <c r="L358" s="31"/>
      <c r="M358" s="32"/>
      <c r="N358" s="33"/>
      <c r="O358" s="40"/>
      <c r="P358" s="35"/>
      <c r="Q358" s="33"/>
      <c r="R358" s="33"/>
      <c r="S358" s="35"/>
      <c r="T358" s="35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</row>
    <row r="359">
      <c r="A359" s="38" t="s">
        <v>24</v>
      </c>
      <c r="B359" s="100">
        <v>44909.0</v>
      </c>
      <c r="C359" s="22">
        <v>751000.0</v>
      </c>
      <c r="D359" s="23">
        <v>581410.0</v>
      </c>
      <c r="E359" s="24">
        <v>3000.0</v>
      </c>
      <c r="F359" s="25">
        <v>2600.0</v>
      </c>
      <c r="G359" s="26">
        <v>178160.0</v>
      </c>
      <c r="H359" s="27">
        <v>340963.0</v>
      </c>
      <c r="I359" s="28"/>
      <c r="J359" s="29">
        <v>107590.0</v>
      </c>
      <c r="K359" s="30">
        <v>149190.0</v>
      </c>
      <c r="L359" s="31"/>
      <c r="M359" s="39"/>
      <c r="N359" s="39"/>
      <c r="O359" s="206"/>
      <c r="P359" s="32"/>
      <c r="Q359" s="39"/>
      <c r="R359" s="39"/>
      <c r="S359" s="32"/>
      <c r="T359" s="32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</row>
    <row r="360">
      <c r="A360" s="38" t="s">
        <v>25</v>
      </c>
      <c r="B360" s="100">
        <v>44910.0</v>
      </c>
      <c r="C360" s="22">
        <v>434400.0</v>
      </c>
      <c r="D360" s="23">
        <v>266590.0</v>
      </c>
      <c r="E360" s="24">
        <v>10000.0</v>
      </c>
      <c r="F360" s="25">
        <v>2000.0</v>
      </c>
      <c r="G360" s="26">
        <v>142570.0</v>
      </c>
      <c r="H360" s="27">
        <v>77880.0</v>
      </c>
      <c r="I360" s="28"/>
      <c r="J360" s="29">
        <v>69930.0</v>
      </c>
      <c r="K360" s="30">
        <v>161610.0</v>
      </c>
      <c r="L360" s="31"/>
      <c r="M360" s="39"/>
      <c r="N360" s="33"/>
      <c r="O360" s="40"/>
      <c r="P360" s="35"/>
      <c r="Q360" s="33"/>
      <c r="R360" s="33"/>
      <c r="S360" s="35"/>
      <c r="T360" s="35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</row>
    <row r="361">
      <c r="A361" s="38" t="s">
        <v>33</v>
      </c>
      <c r="B361" s="100">
        <v>44911.0</v>
      </c>
      <c r="C361" s="22">
        <v>431845.0</v>
      </c>
      <c r="D361" s="23">
        <v>330860.0</v>
      </c>
      <c r="E361" s="24">
        <v>3300.0</v>
      </c>
      <c r="F361" s="25">
        <v>2000.0</v>
      </c>
      <c r="G361" s="26">
        <v>184030.0</v>
      </c>
      <c r="H361" s="27">
        <v>87475.5</v>
      </c>
      <c r="I361" s="28"/>
      <c r="J361" s="29">
        <v>66250.0</v>
      </c>
      <c r="K361" s="30">
        <v>95685.0</v>
      </c>
      <c r="L361" s="31"/>
      <c r="M361" s="32"/>
      <c r="N361" s="33"/>
      <c r="O361" s="40"/>
      <c r="P361" s="35"/>
      <c r="Q361" s="33"/>
      <c r="R361" s="33"/>
      <c r="S361" s="35"/>
      <c r="T361" s="35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</row>
    <row r="362">
      <c r="A362" s="219" t="s">
        <v>27</v>
      </c>
      <c r="B362" s="100">
        <v>44912.0</v>
      </c>
      <c r="C362" s="160"/>
      <c r="D362" s="160"/>
      <c r="E362" s="160"/>
      <c r="F362" s="160"/>
      <c r="G362" s="160"/>
      <c r="H362" s="160"/>
      <c r="I362" s="28"/>
      <c r="J362" s="160"/>
      <c r="K362" s="160"/>
      <c r="L362" s="31"/>
      <c r="M362" s="39"/>
      <c r="N362" s="33"/>
      <c r="O362" s="40"/>
      <c r="P362" s="35"/>
      <c r="Q362" s="33"/>
      <c r="R362" s="33"/>
      <c r="S362" s="35"/>
      <c r="T362" s="35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</row>
    <row r="363">
      <c r="A363" s="38" t="s">
        <v>21</v>
      </c>
      <c r="B363" s="100">
        <v>44913.0</v>
      </c>
      <c r="C363" s="22">
        <v>586340.0</v>
      </c>
      <c r="D363" s="23">
        <v>422620.0</v>
      </c>
      <c r="E363" s="24">
        <v>1000.0</v>
      </c>
      <c r="F363" s="25">
        <v>3200.0</v>
      </c>
      <c r="G363" s="26">
        <v>188160.0</v>
      </c>
      <c r="H363" s="27">
        <v>127736.5</v>
      </c>
      <c r="I363" s="28"/>
      <c r="J363" s="29">
        <v>122560.0</v>
      </c>
      <c r="K363" s="30">
        <v>158320.0</v>
      </c>
      <c r="L363" s="31"/>
      <c r="M363" s="39"/>
      <c r="N363" s="33"/>
      <c r="O363" s="40"/>
      <c r="P363" s="35"/>
      <c r="Q363" s="33"/>
      <c r="R363" s="33"/>
      <c r="S363" s="35"/>
      <c r="T363" s="35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</row>
    <row r="364">
      <c r="A364" s="38" t="s">
        <v>22</v>
      </c>
      <c r="B364" s="100">
        <v>44914.0</v>
      </c>
      <c r="C364" s="22">
        <v>824976.0</v>
      </c>
      <c r="D364" s="23">
        <v>545000.0</v>
      </c>
      <c r="E364" s="24"/>
      <c r="F364" s="25">
        <v>300.0</v>
      </c>
      <c r="G364" s="26">
        <v>218750.0</v>
      </c>
      <c r="H364" s="27">
        <v>157407.0</v>
      </c>
      <c r="I364" s="28">
        <v>49100.0</v>
      </c>
      <c r="J364" s="29">
        <v>170210.0</v>
      </c>
      <c r="K364" s="30">
        <v>219576.0</v>
      </c>
      <c r="L364" s="39"/>
      <c r="M364" s="32"/>
      <c r="N364" s="33"/>
      <c r="O364" s="40"/>
      <c r="P364" s="35"/>
      <c r="Q364" s="33"/>
      <c r="R364" s="33"/>
      <c r="S364" s="35"/>
      <c r="T364" s="35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</row>
    <row r="365">
      <c r="A365" s="38" t="s">
        <v>32</v>
      </c>
      <c r="B365" s="100">
        <v>44915.0</v>
      </c>
      <c r="C365" s="22">
        <v>756500.0</v>
      </c>
      <c r="D365" s="23">
        <v>564600.0</v>
      </c>
      <c r="E365" s="24"/>
      <c r="F365" s="25">
        <v>300.0</v>
      </c>
      <c r="G365" s="26">
        <v>259510.0</v>
      </c>
      <c r="H365" s="27">
        <v>206011.0</v>
      </c>
      <c r="I365" s="28"/>
      <c r="J365" s="29">
        <v>150780.0</v>
      </c>
      <c r="K365" s="30">
        <v>165580.0</v>
      </c>
      <c r="L365" s="31"/>
      <c r="M365" s="32"/>
      <c r="N365" s="33"/>
      <c r="O365" s="40"/>
      <c r="P365" s="35"/>
      <c r="Q365" s="33"/>
      <c r="R365" s="33"/>
      <c r="S365" s="35"/>
      <c r="T365" s="35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</row>
    <row r="366">
      <c r="A366" s="38" t="s">
        <v>24</v>
      </c>
      <c r="B366" s="100">
        <v>44916.0</v>
      </c>
      <c r="C366" s="22">
        <v>721835.0</v>
      </c>
      <c r="D366" s="23">
        <v>561085.0</v>
      </c>
      <c r="E366" s="24">
        <f>2300+2000+400+180+20</f>
        <v>4900</v>
      </c>
      <c r="F366" s="25">
        <v>400.0</v>
      </c>
      <c r="G366" s="26">
        <v>272530.0</v>
      </c>
      <c r="H366" s="27">
        <v>169370.0</v>
      </c>
      <c r="I366" s="28"/>
      <c r="J366" s="29">
        <v>141315.0</v>
      </c>
      <c r="K366" s="30">
        <v>130320.0</v>
      </c>
      <c r="L366" s="31"/>
      <c r="M366" s="39"/>
      <c r="N366" s="39"/>
      <c r="O366" s="206"/>
      <c r="P366" s="32"/>
      <c r="Q366" s="39"/>
      <c r="R366" s="39"/>
      <c r="S366" s="32"/>
      <c r="T366" s="32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</row>
    <row r="367">
      <c r="A367" s="38" t="s">
        <v>25</v>
      </c>
      <c r="B367" s="100">
        <v>44917.0</v>
      </c>
      <c r="C367" s="22">
        <v>759351.0</v>
      </c>
      <c r="D367" s="23">
        <v>624896.0</v>
      </c>
      <c r="E367" s="24">
        <v>5500.0</v>
      </c>
      <c r="F367" s="25">
        <v>3400.0</v>
      </c>
      <c r="G367" s="26">
        <v>277890.0</v>
      </c>
      <c r="H367" s="27">
        <v>172954.0</v>
      </c>
      <c r="I367" s="28"/>
      <c r="J367" s="29">
        <v>179220.0</v>
      </c>
      <c r="K367" s="30">
        <v>136105.0</v>
      </c>
      <c r="L367" s="31"/>
      <c r="M367" s="39"/>
      <c r="N367" s="33"/>
      <c r="O367" s="40"/>
      <c r="P367" s="35"/>
      <c r="Q367" s="33"/>
      <c r="R367" s="33"/>
      <c r="S367" s="35"/>
      <c r="T367" s="35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</row>
    <row r="368">
      <c r="A368" s="38" t="s">
        <v>33</v>
      </c>
      <c r="B368" s="100">
        <v>44918.0</v>
      </c>
      <c r="C368" s="22">
        <v>602805.0</v>
      </c>
      <c r="D368" s="23">
        <v>448775.0</v>
      </c>
      <c r="E368" s="24">
        <v>10350.0</v>
      </c>
      <c r="F368" s="25">
        <v>3400.0</v>
      </c>
      <c r="G368" s="26">
        <v>257770.0</v>
      </c>
      <c r="H368" s="27">
        <v>96981.0</v>
      </c>
      <c r="I368" s="28"/>
      <c r="J368" s="29">
        <v>94280.0</v>
      </c>
      <c r="K368" s="30">
        <v>116670.0</v>
      </c>
      <c r="L368" s="31"/>
      <c r="M368" s="39"/>
      <c r="N368" s="33"/>
      <c r="O368" s="40"/>
      <c r="P368" s="35"/>
      <c r="Q368" s="33"/>
      <c r="R368" s="33"/>
      <c r="S368" s="35"/>
      <c r="T368" s="35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</row>
    <row r="369">
      <c r="A369" s="212" t="s">
        <v>27</v>
      </c>
      <c r="B369" s="100">
        <v>44919.0</v>
      </c>
      <c r="C369" s="160"/>
      <c r="D369" s="160"/>
      <c r="E369" s="160"/>
      <c r="F369" s="160"/>
      <c r="G369" s="160"/>
      <c r="H369" s="160"/>
      <c r="I369" s="28"/>
      <c r="J369" s="160"/>
      <c r="K369" s="160"/>
      <c r="L369" s="31"/>
      <c r="M369" s="32"/>
      <c r="N369" s="33"/>
      <c r="O369" s="40"/>
      <c r="P369" s="35"/>
      <c r="Q369" s="33"/>
      <c r="R369" s="33"/>
      <c r="S369" s="35"/>
      <c r="T369" s="35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</row>
    <row r="370">
      <c r="A370" s="38" t="s">
        <v>21</v>
      </c>
      <c r="B370" s="100">
        <v>44920.0</v>
      </c>
      <c r="C370" s="22"/>
      <c r="D370" s="23"/>
      <c r="E370" s="24"/>
      <c r="F370" s="25"/>
      <c r="G370" s="26"/>
      <c r="H370" s="27"/>
      <c r="I370" s="28"/>
      <c r="J370" s="29"/>
      <c r="K370" s="30"/>
      <c r="L370" s="31"/>
      <c r="M370" s="39"/>
      <c r="N370" s="33"/>
      <c r="O370" s="40"/>
      <c r="P370" s="35"/>
      <c r="Q370" s="33"/>
      <c r="R370" s="33"/>
      <c r="S370" s="35"/>
      <c r="T370" s="35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</row>
    <row r="371">
      <c r="A371" s="38" t="s">
        <v>22</v>
      </c>
      <c r="B371" s="100">
        <v>44921.0</v>
      </c>
      <c r="C371" s="22">
        <v>567510.0</v>
      </c>
      <c r="D371" s="23">
        <v>381750.0</v>
      </c>
      <c r="E371" s="24">
        <v>11000.0</v>
      </c>
      <c r="F371" s="25">
        <v>4600.0</v>
      </c>
      <c r="G371" s="26">
        <f>7500+173570</f>
        <v>181070</v>
      </c>
      <c r="H371" s="27">
        <v>78492.0</v>
      </c>
      <c r="I371" s="28">
        <v>37100.0</v>
      </c>
      <c r="J371" s="29">
        <v>132720.0</v>
      </c>
      <c r="K371" s="30">
        <v>138760.0</v>
      </c>
      <c r="L371" s="213"/>
      <c r="M371" s="213"/>
      <c r="N371" s="33"/>
      <c r="O371" s="40"/>
      <c r="P371" s="35"/>
      <c r="Q371" s="33"/>
      <c r="R371" s="33"/>
      <c r="S371" s="35"/>
      <c r="T371" s="35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</row>
    <row r="372">
      <c r="A372" s="38" t="s">
        <v>32</v>
      </c>
      <c r="B372" s="100">
        <v>44922.0</v>
      </c>
      <c r="C372" s="22">
        <v>646980.0</v>
      </c>
      <c r="D372" s="23">
        <v>477000.0</v>
      </c>
      <c r="E372" s="24"/>
      <c r="F372" s="25"/>
      <c r="G372" s="26">
        <v>199700.0</v>
      </c>
      <c r="H372" s="27">
        <v>124010.0</v>
      </c>
      <c r="I372" s="28"/>
      <c r="J372" s="29">
        <v>208230.0</v>
      </c>
      <c r="K372" s="30">
        <v>122250.0</v>
      </c>
      <c r="L372" s="31"/>
      <c r="M372" s="32"/>
      <c r="N372" s="33"/>
      <c r="O372" s="40"/>
      <c r="P372" s="35"/>
      <c r="Q372" s="33"/>
      <c r="R372" s="33"/>
      <c r="S372" s="35"/>
      <c r="T372" s="35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</row>
    <row r="373">
      <c r="A373" s="38" t="s">
        <v>24</v>
      </c>
      <c r="B373" s="100">
        <v>44923.0</v>
      </c>
      <c r="C373" s="22">
        <v>715150.0</v>
      </c>
      <c r="D373" s="23">
        <v>434150.0</v>
      </c>
      <c r="E373" s="24"/>
      <c r="F373" s="25">
        <v>7400.0</v>
      </c>
      <c r="G373" s="26">
        <v>119800.0</v>
      </c>
      <c r="H373" s="27">
        <v>137486.0</v>
      </c>
      <c r="I373" s="28">
        <v>68900.0</v>
      </c>
      <c r="J373" s="29">
        <v>220600.0</v>
      </c>
      <c r="K373" s="30">
        <v>175700.0</v>
      </c>
      <c r="L373" s="31"/>
      <c r="M373" s="39"/>
      <c r="N373" s="213"/>
      <c r="O373" s="214"/>
      <c r="P373" s="104"/>
      <c r="Q373" s="213"/>
      <c r="R373" s="213"/>
      <c r="S373" s="104"/>
      <c r="T373" s="104"/>
      <c r="U373" s="213"/>
      <c r="V373" s="213"/>
      <c r="W373" s="213"/>
      <c r="X373" s="213"/>
      <c r="Y373" s="213"/>
      <c r="Z373" s="213"/>
      <c r="AA373" s="213"/>
      <c r="AB373" s="213"/>
      <c r="AC373" s="213"/>
      <c r="AD373" s="213"/>
      <c r="AE373" s="213"/>
      <c r="AF373" s="213"/>
      <c r="AG373" s="213"/>
      <c r="AH373" s="213"/>
      <c r="AI373" s="213"/>
    </row>
    <row r="374">
      <c r="A374" s="38" t="s">
        <v>25</v>
      </c>
      <c r="B374" s="100">
        <v>44924.0</v>
      </c>
      <c r="C374" s="22">
        <v>783300.0</v>
      </c>
      <c r="D374" s="23">
        <v>650920.0</v>
      </c>
      <c r="E374" s="24"/>
      <c r="F374" s="25">
        <v>7400.0</v>
      </c>
      <c r="G374" s="26">
        <v>309090.0</v>
      </c>
      <c r="H374" s="27">
        <v>96561.0</v>
      </c>
      <c r="I374" s="28"/>
      <c r="J374" s="29">
        <v>256030.0</v>
      </c>
      <c r="K374" s="30">
        <v>102380.0</v>
      </c>
      <c r="L374" s="31"/>
      <c r="M374" s="39"/>
      <c r="N374" s="33"/>
      <c r="O374" s="40"/>
      <c r="P374" s="35"/>
      <c r="Q374" s="33"/>
      <c r="R374" s="33"/>
      <c r="S374" s="35"/>
      <c r="T374" s="35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</row>
    <row r="375">
      <c r="A375" s="220" t="s">
        <v>26</v>
      </c>
      <c r="B375" s="100">
        <v>44925.0</v>
      </c>
      <c r="C375" s="22">
        <v>515020.0</v>
      </c>
      <c r="D375" s="23">
        <v>404040.0</v>
      </c>
      <c r="E375" s="24">
        <f>600+1900+200+500+520+170</f>
        <v>3890</v>
      </c>
      <c r="F375" s="25">
        <f>7000+400</f>
        <v>7400</v>
      </c>
      <c r="G375" s="26">
        <f>257570+4000</f>
        <v>261570</v>
      </c>
      <c r="H375" s="27">
        <v>48290.0</v>
      </c>
      <c r="I375" s="28"/>
      <c r="J375" s="29">
        <v>101140.0</v>
      </c>
      <c r="K375" s="30">
        <v>108210.0</v>
      </c>
      <c r="L375" s="31"/>
      <c r="M375" s="39"/>
      <c r="N375" s="33"/>
      <c r="O375" s="40"/>
      <c r="P375" s="35"/>
      <c r="Q375" s="33"/>
      <c r="R375" s="33"/>
      <c r="S375" s="35"/>
      <c r="T375" s="35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</row>
    <row r="376">
      <c r="A376" s="68" t="s">
        <v>28</v>
      </c>
      <c r="B376" s="129" t="s">
        <v>51</v>
      </c>
      <c r="C376" s="70">
        <f>SUM(C346:C375)</f>
        <v>16606688</v>
      </c>
      <c r="D376" s="71"/>
      <c r="E376" s="71"/>
      <c r="F376" s="71"/>
      <c r="G376" s="70"/>
      <c r="H376" s="70"/>
      <c r="I376" s="72"/>
      <c r="J376" s="70"/>
      <c r="K376" s="73">
        <f>SUM(K356:K375)</f>
        <v>2347076</v>
      </c>
      <c r="L376" s="31"/>
      <c r="M376" s="39"/>
      <c r="N376" s="33"/>
      <c r="O376" s="40"/>
      <c r="P376" s="35"/>
      <c r="Q376" s="33"/>
      <c r="R376" s="33"/>
      <c r="S376" s="35"/>
      <c r="T376" s="35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</row>
    <row r="377">
      <c r="A377" s="221"/>
      <c r="B377" s="129"/>
      <c r="C377" s="70"/>
      <c r="D377" s="71"/>
      <c r="E377" s="71"/>
      <c r="F377" s="71"/>
      <c r="G377" s="70"/>
      <c r="H377" s="70"/>
      <c r="I377" s="222"/>
      <c r="J377" s="223"/>
      <c r="K377" s="73"/>
      <c r="L377" s="74"/>
      <c r="M377" s="75"/>
      <c r="N377" s="33"/>
      <c r="O377" s="40"/>
      <c r="P377" s="35"/>
      <c r="Q377" s="33"/>
      <c r="R377" s="33"/>
      <c r="S377" s="35"/>
      <c r="T377" s="35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</row>
    <row r="378">
      <c r="A378" s="224"/>
      <c r="B378" s="100"/>
      <c r="C378" s="22"/>
      <c r="D378" s="23"/>
      <c r="E378" s="24"/>
      <c r="F378" s="25"/>
      <c r="G378" s="35"/>
      <c r="H378" s="27"/>
      <c r="I378" s="28"/>
      <c r="J378" s="29"/>
      <c r="K378" s="30"/>
      <c r="L378" s="31"/>
      <c r="M378" s="39"/>
      <c r="N378" s="33"/>
      <c r="O378" s="40"/>
      <c r="P378" s="35"/>
      <c r="Q378" s="33"/>
      <c r="R378" s="33"/>
      <c r="S378" s="35"/>
      <c r="T378" s="35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</row>
    <row r="379">
      <c r="A379" s="224"/>
      <c r="B379" s="100"/>
      <c r="C379" s="225"/>
      <c r="D379" s="226"/>
      <c r="E379" s="227"/>
      <c r="F379" s="228"/>
      <c r="G379" s="33"/>
      <c r="H379" s="143"/>
      <c r="I379" s="111"/>
      <c r="J379" s="112"/>
      <c r="K379" s="30">
        <f t="shared" ref="K379:K417" si="32">SUM(C379-G379-H379-J379)</f>
        <v>0</v>
      </c>
      <c r="L379" s="31"/>
      <c r="M379" s="39"/>
      <c r="N379" s="76"/>
      <c r="O379" s="77"/>
      <c r="P379" s="77"/>
      <c r="Q379" s="77"/>
      <c r="R379" s="77"/>
      <c r="S379" s="76"/>
      <c r="T379" s="76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</row>
    <row r="380">
      <c r="A380" s="224"/>
      <c r="B380" s="100"/>
      <c r="C380" s="225"/>
      <c r="D380" s="226"/>
      <c r="E380" s="227"/>
      <c r="F380" s="228"/>
      <c r="G380" s="33"/>
      <c r="H380" s="143"/>
      <c r="I380" s="111"/>
      <c r="J380" s="112"/>
      <c r="K380" s="30">
        <f t="shared" si="32"/>
        <v>0</v>
      </c>
      <c r="L380" s="31"/>
      <c r="M380" s="39"/>
      <c r="N380" s="33"/>
      <c r="O380" s="33"/>
      <c r="P380" s="35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</row>
    <row r="381">
      <c r="A381" s="224"/>
      <c r="B381" s="100"/>
      <c r="C381" s="225"/>
      <c r="D381" s="226"/>
      <c r="E381" s="227"/>
      <c r="F381" s="228"/>
      <c r="G381" s="33"/>
      <c r="H381" s="143"/>
      <c r="I381" s="111"/>
      <c r="J381" s="112"/>
      <c r="K381" s="30">
        <f t="shared" si="32"/>
        <v>0</v>
      </c>
      <c r="L381" s="31"/>
      <c r="M381" s="39"/>
      <c r="N381" s="33"/>
      <c r="O381" s="33"/>
      <c r="P381" s="35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</row>
    <row r="382">
      <c r="A382" s="224"/>
      <c r="B382" s="100"/>
      <c r="C382" s="225"/>
      <c r="D382" s="226"/>
      <c r="E382" s="227"/>
      <c r="F382" s="228"/>
      <c r="G382" s="33"/>
      <c r="H382" s="143"/>
      <c r="I382" s="111"/>
      <c r="J382" s="112"/>
      <c r="K382" s="30">
        <f t="shared" si="32"/>
        <v>0</v>
      </c>
      <c r="L382" s="31"/>
      <c r="M382" s="39"/>
      <c r="N382" s="33"/>
      <c r="O382" s="33"/>
      <c r="P382" s="35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</row>
    <row r="383">
      <c r="A383" s="224"/>
      <c r="B383" s="100"/>
      <c r="C383" s="225"/>
      <c r="D383" s="226"/>
      <c r="E383" s="227"/>
      <c r="F383" s="228"/>
      <c r="G383" s="33"/>
      <c r="H383" s="143"/>
      <c r="I383" s="111"/>
      <c r="J383" s="112"/>
      <c r="K383" s="30">
        <f t="shared" si="32"/>
        <v>0</v>
      </c>
      <c r="L383" s="31"/>
      <c r="M383" s="39"/>
      <c r="N383" s="33"/>
      <c r="O383" s="33"/>
      <c r="P383" s="35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</row>
    <row r="384">
      <c r="A384" s="224"/>
      <c r="B384" s="100"/>
      <c r="C384" s="225"/>
      <c r="D384" s="226"/>
      <c r="E384" s="227"/>
      <c r="F384" s="228"/>
      <c r="G384" s="33"/>
      <c r="H384" s="143"/>
      <c r="I384" s="111"/>
      <c r="J384" s="112"/>
      <c r="K384" s="30">
        <f t="shared" si="32"/>
        <v>0</v>
      </c>
      <c r="L384" s="31"/>
      <c r="M384" s="39"/>
      <c r="N384" s="33"/>
      <c r="O384" s="33"/>
      <c r="P384" s="35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</row>
    <row r="385">
      <c r="A385" s="224"/>
      <c r="B385" s="100"/>
      <c r="C385" s="225"/>
      <c r="D385" s="226"/>
      <c r="E385" s="227"/>
      <c r="F385" s="228"/>
      <c r="G385" s="33"/>
      <c r="H385" s="143"/>
      <c r="I385" s="111"/>
      <c r="J385" s="112"/>
      <c r="K385" s="30">
        <f t="shared" si="32"/>
        <v>0</v>
      </c>
      <c r="L385" s="31"/>
      <c r="M385" s="39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</row>
    <row r="386">
      <c r="A386" s="224"/>
      <c r="B386" s="100"/>
      <c r="C386" s="225"/>
      <c r="D386" s="226"/>
      <c r="E386" s="227"/>
      <c r="F386" s="228"/>
      <c r="G386" s="33"/>
      <c r="H386" s="143"/>
      <c r="I386" s="111"/>
      <c r="J386" s="112"/>
      <c r="K386" s="30">
        <f t="shared" si="32"/>
        <v>0</v>
      </c>
      <c r="L386" s="31"/>
      <c r="M386" s="39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</row>
    <row r="387">
      <c r="A387" s="224"/>
      <c r="B387" s="100"/>
      <c r="C387" s="225"/>
      <c r="D387" s="226"/>
      <c r="E387" s="227"/>
      <c r="F387" s="228"/>
      <c r="G387" s="33"/>
      <c r="H387" s="143"/>
      <c r="I387" s="111"/>
      <c r="J387" s="112"/>
      <c r="K387" s="30">
        <f t="shared" si="32"/>
        <v>0</v>
      </c>
      <c r="L387" s="31"/>
      <c r="M387" s="39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</row>
    <row r="388">
      <c r="A388" s="224"/>
      <c r="B388" s="100"/>
      <c r="C388" s="225"/>
      <c r="D388" s="226"/>
      <c r="E388" s="227"/>
      <c r="F388" s="228"/>
      <c r="G388" s="33"/>
      <c r="H388" s="143"/>
      <c r="I388" s="111"/>
      <c r="J388" s="112"/>
      <c r="K388" s="30">
        <f t="shared" si="32"/>
        <v>0</v>
      </c>
      <c r="L388" s="31"/>
      <c r="M388" s="39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</row>
    <row r="389">
      <c r="A389" s="224"/>
      <c r="B389" s="100"/>
      <c r="C389" s="225"/>
      <c r="D389" s="226"/>
      <c r="E389" s="227"/>
      <c r="F389" s="228"/>
      <c r="G389" s="33"/>
      <c r="H389" s="143"/>
      <c r="I389" s="111"/>
      <c r="J389" s="112"/>
      <c r="K389" s="30">
        <f t="shared" si="32"/>
        <v>0</v>
      </c>
      <c r="L389" s="31"/>
      <c r="M389" s="39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</row>
    <row r="390">
      <c r="A390" s="224"/>
      <c r="B390" s="100"/>
      <c r="C390" s="225"/>
      <c r="D390" s="226"/>
      <c r="E390" s="227"/>
      <c r="F390" s="228"/>
      <c r="G390" s="33"/>
      <c r="H390" s="143"/>
      <c r="I390" s="111"/>
      <c r="J390" s="112"/>
      <c r="K390" s="30">
        <f t="shared" si="32"/>
        <v>0</v>
      </c>
      <c r="L390" s="31"/>
      <c r="M390" s="39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</row>
    <row r="391">
      <c r="A391" s="224"/>
      <c r="B391" s="100"/>
      <c r="C391" s="225"/>
      <c r="D391" s="226"/>
      <c r="E391" s="227"/>
      <c r="F391" s="228"/>
      <c r="G391" s="33"/>
      <c r="H391" s="143"/>
      <c r="I391" s="111"/>
      <c r="J391" s="112"/>
      <c r="K391" s="30">
        <f t="shared" si="32"/>
        <v>0</v>
      </c>
      <c r="L391" s="31"/>
      <c r="M391" s="39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</row>
    <row r="392">
      <c r="A392" s="224"/>
      <c r="B392" s="100"/>
      <c r="C392" s="225"/>
      <c r="D392" s="226"/>
      <c r="E392" s="227"/>
      <c r="F392" s="228"/>
      <c r="G392" s="33"/>
      <c r="H392" s="143"/>
      <c r="I392" s="111"/>
      <c r="J392" s="112"/>
      <c r="K392" s="30">
        <f t="shared" si="32"/>
        <v>0</v>
      </c>
      <c r="L392" s="31"/>
      <c r="M392" s="39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</row>
    <row r="393">
      <c r="A393" s="224"/>
      <c r="B393" s="100"/>
      <c r="C393" s="225"/>
      <c r="D393" s="226"/>
      <c r="E393" s="227"/>
      <c r="F393" s="228"/>
      <c r="G393" s="33"/>
      <c r="H393" s="143"/>
      <c r="I393" s="111"/>
      <c r="J393" s="112"/>
      <c r="K393" s="30">
        <f t="shared" si="32"/>
        <v>0</v>
      </c>
      <c r="L393" s="31"/>
      <c r="M393" s="39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</row>
    <row r="394">
      <c r="A394" s="224"/>
      <c r="B394" s="100"/>
      <c r="C394" s="225"/>
      <c r="D394" s="226"/>
      <c r="E394" s="227"/>
      <c r="F394" s="228"/>
      <c r="G394" s="33"/>
      <c r="H394" s="143"/>
      <c r="I394" s="111"/>
      <c r="J394" s="112"/>
      <c r="K394" s="30">
        <f t="shared" si="32"/>
        <v>0</v>
      </c>
      <c r="L394" s="31"/>
      <c r="M394" s="39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</row>
    <row r="395">
      <c r="A395" s="224"/>
      <c r="B395" s="100"/>
      <c r="C395" s="225"/>
      <c r="D395" s="226"/>
      <c r="E395" s="227"/>
      <c r="F395" s="228"/>
      <c r="G395" s="33"/>
      <c r="H395" s="143"/>
      <c r="I395" s="111"/>
      <c r="J395" s="112"/>
      <c r="K395" s="30">
        <f t="shared" si="32"/>
        <v>0</v>
      </c>
      <c r="L395" s="31"/>
      <c r="M395" s="39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</row>
    <row r="396">
      <c r="A396" s="224"/>
      <c r="B396" s="100"/>
      <c r="C396" s="225"/>
      <c r="D396" s="226"/>
      <c r="E396" s="227"/>
      <c r="F396" s="228"/>
      <c r="G396" s="33"/>
      <c r="H396" s="143"/>
      <c r="I396" s="111"/>
      <c r="J396" s="112"/>
      <c r="K396" s="30">
        <f t="shared" si="32"/>
        <v>0</v>
      </c>
      <c r="L396" s="31"/>
      <c r="M396" s="39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</row>
    <row r="397">
      <c r="A397" s="224"/>
      <c r="B397" s="100"/>
      <c r="C397" s="225"/>
      <c r="D397" s="226"/>
      <c r="E397" s="227"/>
      <c r="F397" s="228"/>
      <c r="G397" s="33"/>
      <c r="H397" s="143"/>
      <c r="I397" s="111"/>
      <c r="J397" s="112"/>
      <c r="K397" s="30">
        <f t="shared" si="32"/>
        <v>0</v>
      </c>
      <c r="L397" s="31"/>
      <c r="M397" s="39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</row>
    <row r="398">
      <c r="A398" s="224"/>
      <c r="B398" s="100"/>
      <c r="C398" s="225"/>
      <c r="D398" s="226"/>
      <c r="E398" s="227"/>
      <c r="F398" s="228"/>
      <c r="G398" s="33"/>
      <c r="H398" s="143"/>
      <c r="I398" s="111"/>
      <c r="J398" s="112"/>
      <c r="K398" s="30">
        <f t="shared" si="32"/>
        <v>0</v>
      </c>
      <c r="L398" s="31"/>
      <c r="M398" s="39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</row>
    <row r="399">
      <c r="A399" s="224"/>
      <c r="B399" s="100"/>
      <c r="C399" s="225"/>
      <c r="D399" s="226"/>
      <c r="E399" s="227"/>
      <c r="F399" s="228"/>
      <c r="G399" s="33"/>
      <c r="H399" s="143"/>
      <c r="I399" s="111"/>
      <c r="J399" s="112"/>
      <c r="K399" s="30">
        <f t="shared" si="32"/>
        <v>0</v>
      </c>
      <c r="L399" s="31"/>
      <c r="M399" s="39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</row>
    <row r="400">
      <c r="A400" s="224"/>
      <c r="B400" s="100"/>
      <c r="C400" s="225"/>
      <c r="D400" s="226"/>
      <c r="E400" s="227"/>
      <c r="F400" s="228"/>
      <c r="G400" s="33"/>
      <c r="H400" s="143"/>
      <c r="I400" s="111"/>
      <c r="J400" s="112"/>
      <c r="K400" s="30">
        <f t="shared" si="32"/>
        <v>0</v>
      </c>
      <c r="L400" s="31"/>
      <c r="M400" s="39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</row>
    <row r="401">
      <c r="A401" s="224"/>
      <c r="B401" s="100"/>
      <c r="C401" s="225"/>
      <c r="D401" s="226"/>
      <c r="E401" s="227"/>
      <c r="F401" s="228"/>
      <c r="G401" s="33"/>
      <c r="H401" s="143"/>
      <c r="I401" s="111"/>
      <c r="J401" s="112"/>
      <c r="K401" s="30">
        <f t="shared" si="32"/>
        <v>0</v>
      </c>
      <c r="L401" s="31"/>
      <c r="M401" s="39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</row>
    <row r="402">
      <c r="A402" s="224"/>
      <c r="B402" s="100"/>
      <c r="C402" s="225"/>
      <c r="D402" s="226"/>
      <c r="E402" s="227"/>
      <c r="F402" s="228"/>
      <c r="G402" s="33"/>
      <c r="H402" s="143"/>
      <c r="I402" s="111"/>
      <c r="J402" s="112"/>
      <c r="K402" s="30">
        <f t="shared" si="32"/>
        <v>0</v>
      </c>
      <c r="L402" s="31"/>
      <c r="M402" s="39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</row>
    <row r="403">
      <c r="A403" s="224"/>
      <c r="B403" s="229"/>
      <c r="C403" s="225"/>
      <c r="D403" s="226"/>
      <c r="E403" s="227"/>
      <c r="F403" s="228"/>
      <c r="G403" s="33"/>
      <c r="H403" s="143"/>
      <c r="I403" s="111"/>
      <c r="J403" s="112"/>
      <c r="K403" s="30">
        <f t="shared" si="32"/>
        <v>0</v>
      </c>
      <c r="L403" s="31"/>
      <c r="M403" s="39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</row>
    <row r="404">
      <c r="A404" s="224"/>
      <c r="B404" s="229"/>
      <c r="C404" s="225"/>
      <c r="D404" s="226"/>
      <c r="E404" s="227"/>
      <c r="F404" s="228"/>
      <c r="G404" s="33"/>
      <c r="H404" s="143"/>
      <c r="I404" s="111"/>
      <c r="J404" s="112"/>
      <c r="K404" s="30">
        <f t="shared" si="32"/>
        <v>0</v>
      </c>
      <c r="L404" s="31"/>
      <c r="M404" s="39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</row>
    <row r="405">
      <c r="A405" s="224"/>
      <c r="B405" s="229"/>
      <c r="C405" s="225"/>
      <c r="D405" s="226"/>
      <c r="E405" s="227"/>
      <c r="F405" s="228"/>
      <c r="G405" s="33"/>
      <c r="H405" s="143"/>
      <c r="I405" s="111"/>
      <c r="J405" s="112"/>
      <c r="K405" s="30">
        <f t="shared" si="32"/>
        <v>0</v>
      </c>
      <c r="L405" s="31"/>
      <c r="M405" s="39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</row>
    <row r="406">
      <c r="A406" s="224"/>
      <c r="B406" s="229"/>
      <c r="C406" s="225"/>
      <c r="D406" s="226"/>
      <c r="E406" s="227"/>
      <c r="F406" s="228"/>
      <c r="G406" s="33"/>
      <c r="H406" s="143"/>
      <c r="I406" s="111"/>
      <c r="J406" s="112"/>
      <c r="K406" s="30">
        <f t="shared" si="32"/>
        <v>0</v>
      </c>
      <c r="L406" s="31"/>
      <c r="M406" s="39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</row>
    <row r="407">
      <c r="A407" s="224"/>
      <c r="B407" s="229"/>
      <c r="C407" s="225"/>
      <c r="D407" s="226"/>
      <c r="E407" s="227"/>
      <c r="F407" s="228"/>
      <c r="G407" s="33"/>
      <c r="H407" s="143"/>
      <c r="I407" s="111"/>
      <c r="J407" s="112"/>
      <c r="K407" s="30">
        <f t="shared" si="32"/>
        <v>0</v>
      </c>
      <c r="L407" s="31"/>
      <c r="M407" s="39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</row>
    <row r="408">
      <c r="A408" s="224"/>
      <c r="B408" s="229"/>
      <c r="C408" s="225"/>
      <c r="D408" s="226"/>
      <c r="E408" s="227"/>
      <c r="F408" s="228"/>
      <c r="G408" s="33"/>
      <c r="H408" s="143"/>
      <c r="I408" s="111"/>
      <c r="J408" s="112"/>
      <c r="K408" s="30">
        <f t="shared" si="32"/>
        <v>0</v>
      </c>
      <c r="L408" s="31"/>
      <c r="M408" s="39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</row>
    <row r="409">
      <c r="A409" s="224"/>
      <c r="B409" s="229"/>
      <c r="C409" s="225"/>
      <c r="D409" s="226"/>
      <c r="E409" s="227"/>
      <c r="F409" s="228"/>
      <c r="G409" s="33"/>
      <c r="H409" s="143"/>
      <c r="I409" s="111"/>
      <c r="J409" s="112"/>
      <c r="K409" s="30">
        <f t="shared" si="32"/>
        <v>0</v>
      </c>
      <c r="L409" s="31"/>
      <c r="M409" s="39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</row>
    <row r="410">
      <c r="A410" s="224"/>
      <c r="B410" s="229"/>
      <c r="C410" s="225"/>
      <c r="D410" s="226"/>
      <c r="E410" s="227"/>
      <c r="F410" s="228"/>
      <c r="G410" s="33"/>
      <c r="H410" s="143"/>
      <c r="I410" s="111"/>
      <c r="J410" s="112"/>
      <c r="K410" s="30">
        <f t="shared" si="32"/>
        <v>0</v>
      </c>
      <c r="L410" s="31"/>
      <c r="M410" s="39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</row>
    <row r="411">
      <c r="A411" s="224"/>
      <c r="B411" s="229"/>
      <c r="C411" s="225"/>
      <c r="D411" s="226"/>
      <c r="E411" s="227"/>
      <c r="F411" s="228"/>
      <c r="G411" s="33"/>
      <c r="H411" s="143"/>
      <c r="I411" s="111"/>
      <c r="J411" s="112"/>
      <c r="K411" s="30">
        <f t="shared" si="32"/>
        <v>0</v>
      </c>
      <c r="L411" s="31"/>
      <c r="M411" s="39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</row>
    <row r="412">
      <c r="A412" s="224"/>
      <c r="B412" s="229"/>
      <c r="C412" s="225"/>
      <c r="D412" s="226"/>
      <c r="E412" s="227"/>
      <c r="F412" s="228"/>
      <c r="G412" s="33"/>
      <c r="H412" s="143"/>
      <c r="I412" s="111"/>
      <c r="J412" s="112"/>
      <c r="K412" s="30">
        <f t="shared" si="32"/>
        <v>0</v>
      </c>
      <c r="L412" s="31"/>
      <c r="M412" s="39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</row>
    <row r="413">
      <c r="A413" s="224"/>
      <c r="B413" s="229"/>
      <c r="C413" s="225"/>
      <c r="D413" s="226"/>
      <c r="E413" s="227"/>
      <c r="F413" s="228"/>
      <c r="G413" s="33"/>
      <c r="H413" s="143"/>
      <c r="I413" s="111"/>
      <c r="J413" s="112"/>
      <c r="K413" s="30">
        <f t="shared" si="32"/>
        <v>0</v>
      </c>
      <c r="L413" s="31"/>
      <c r="M413" s="39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</row>
    <row r="414">
      <c r="A414" s="224"/>
      <c r="B414" s="229"/>
      <c r="C414" s="225"/>
      <c r="D414" s="226"/>
      <c r="E414" s="227"/>
      <c r="F414" s="228"/>
      <c r="G414" s="33"/>
      <c r="H414" s="143"/>
      <c r="I414" s="111"/>
      <c r="J414" s="112"/>
      <c r="K414" s="30">
        <f t="shared" si="32"/>
        <v>0</v>
      </c>
      <c r="L414" s="31"/>
      <c r="M414" s="39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</row>
    <row r="415">
      <c r="A415" s="224"/>
      <c r="B415" s="229"/>
      <c r="C415" s="225"/>
      <c r="D415" s="226"/>
      <c r="E415" s="227"/>
      <c r="F415" s="228"/>
      <c r="G415" s="33"/>
      <c r="H415" s="143"/>
      <c r="I415" s="111"/>
      <c r="J415" s="112"/>
      <c r="K415" s="30">
        <f t="shared" si="32"/>
        <v>0</v>
      </c>
      <c r="L415" s="31"/>
      <c r="M415" s="39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</row>
    <row r="416">
      <c r="A416" s="224"/>
      <c r="B416" s="229"/>
      <c r="C416" s="225"/>
      <c r="D416" s="226"/>
      <c r="E416" s="227"/>
      <c r="F416" s="228"/>
      <c r="G416" s="33"/>
      <c r="H416" s="143"/>
      <c r="I416" s="111"/>
      <c r="J416" s="112"/>
      <c r="K416" s="30">
        <f t="shared" si="32"/>
        <v>0</v>
      </c>
      <c r="L416" s="31"/>
      <c r="M416" s="39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</row>
    <row r="417">
      <c r="A417" s="224"/>
      <c r="B417" s="229"/>
      <c r="C417" s="225"/>
      <c r="D417" s="226"/>
      <c r="E417" s="227"/>
      <c r="F417" s="228"/>
      <c r="G417" s="33"/>
      <c r="H417" s="143"/>
      <c r="I417" s="111"/>
      <c r="J417" s="112"/>
      <c r="K417" s="30">
        <f t="shared" si="32"/>
        <v>0</v>
      </c>
      <c r="L417" s="31"/>
      <c r="M417" s="39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</row>
    <row r="418">
      <c r="A418" s="224"/>
      <c r="B418" s="229"/>
      <c r="C418" s="225"/>
      <c r="D418" s="226"/>
      <c r="E418" s="227"/>
      <c r="F418" s="228"/>
      <c r="G418" s="33"/>
      <c r="H418" s="143"/>
      <c r="I418" s="111"/>
      <c r="J418" s="112"/>
      <c r="K418" s="230"/>
      <c r="L418" s="31"/>
      <c r="M418" s="39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</row>
    <row r="419">
      <c r="A419" s="224"/>
      <c r="B419" s="229"/>
      <c r="C419" s="225"/>
      <c r="D419" s="226"/>
      <c r="E419" s="227"/>
      <c r="F419" s="228"/>
      <c r="G419" s="33"/>
      <c r="H419" s="143"/>
      <c r="I419" s="111"/>
      <c r="J419" s="112"/>
      <c r="K419" s="230"/>
      <c r="L419" s="31"/>
      <c r="M419" s="39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</row>
    <row r="420">
      <c r="A420" s="224"/>
      <c r="B420" s="229"/>
      <c r="C420" s="225"/>
      <c r="D420" s="226"/>
      <c r="E420" s="227"/>
      <c r="F420" s="228"/>
      <c r="G420" s="33"/>
      <c r="H420" s="143"/>
      <c r="I420" s="111"/>
      <c r="J420" s="112"/>
      <c r="K420" s="230"/>
      <c r="L420" s="31"/>
      <c r="M420" s="39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</row>
    <row r="421">
      <c r="A421" s="224"/>
      <c r="B421" s="229"/>
      <c r="C421" s="225"/>
      <c r="D421" s="226"/>
      <c r="E421" s="227"/>
      <c r="F421" s="228"/>
      <c r="G421" s="33"/>
      <c r="H421" s="143"/>
      <c r="I421" s="111"/>
      <c r="J421" s="112"/>
      <c r="K421" s="230"/>
      <c r="L421" s="31"/>
      <c r="M421" s="39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</row>
    <row r="422">
      <c r="A422" s="224"/>
      <c r="B422" s="229"/>
      <c r="C422" s="225"/>
      <c r="D422" s="226"/>
      <c r="E422" s="227"/>
      <c r="F422" s="228"/>
      <c r="G422" s="33"/>
      <c r="H422" s="143"/>
      <c r="I422" s="111"/>
      <c r="J422" s="112"/>
      <c r="K422" s="230"/>
      <c r="L422" s="31"/>
      <c r="M422" s="39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</row>
    <row r="423">
      <c r="A423" s="224"/>
      <c r="B423" s="229"/>
      <c r="C423" s="225"/>
      <c r="D423" s="226"/>
      <c r="E423" s="227"/>
      <c r="F423" s="228"/>
      <c r="G423" s="33"/>
      <c r="H423" s="143"/>
      <c r="I423" s="111"/>
      <c r="J423" s="112"/>
      <c r="K423" s="230"/>
      <c r="L423" s="31"/>
      <c r="M423" s="39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</row>
    <row r="424">
      <c r="A424" s="224"/>
      <c r="B424" s="229"/>
      <c r="C424" s="225"/>
      <c r="D424" s="226"/>
      <c r="E424" s="227"/>
      <c r="F424" s="228"/>
      <c r="G424" s="33"/>
      <c r="H424" s="143"/>
      <c r="I424" s="111"/>
      <c r="J424" s="112"/>
      <c r="K424" s="230"/>
      <c r="L424" s="31"/>
      <c r="M424" s="39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</row>
    <row r="425">
      <c r="A425" s="224"/>
      <c r="B425" s="229"/>
      <c r="C425" s="225"/>
      <c r="D425" s="226"/>
      <c r="E425" s="227"/>
      <c r="F425" s="228"/>
      <c r="G425" s="33"/>
      <c r="H425" s="143"/>
      <c r="I425" s="111"/>
      <c r="J425" s="112"/>
      <c r="K425" s="230"/>
      <c r="L425" s="31"/>
      <c r="M425" s="39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</row>
    <row r="426">
      <c r="A426" s="224"/>
      <c r="B426" s="229"/>
      <c r="C426" s="225"/>
      <c r="D426" s="226"/>
      <c r="E426" s="227"/>
      <c r="F426" s="228"/>
      <c r="G426" s="33"/>
      <c r="H426" s="143"/>
      <c r="I426" s="111"/>
      <c r="J426" s="112"/>
      <c r="K426" s="230"/>
      <c r="L426" s="31"/>
      <c r="M426" s="39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</row>
    <row r="427">
      <c r="A427" s="224"/>
      <c r="B427" s="229"/>
      <c r="C427" s="225"/>
      <c r="D427" s="226"/>
      <c r="E427" s="227"/>
      <c r="F427" s="228"/>
      <c r="G427" s="33"/>
      <c r="H427" s="143"/>
      <c r="I427" s="111"/>
      <c r="J427" s="112"/>
      <c r="K427" s="230"/>
      <c r="L427" s="31"/>
      <c r="M427" s="39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</row>
    <row r="428">
      <c r="A428" s="224"/>
      <c r="B428" s="229"/>
      <c r="C428" s="225"/>
      <c r="D428" s="226"/>
      <c r="E428" s="227"/>
      <c r="F428" s="228"/>
      <c r="G428" s="33"/>
      <c r="H428" s="143"/>
      <c r="I428" s="111"/>
      <c r="J428" s="112"/>
      <c r="K428" s="230"/>
      <c r="L428" s="31"/>
      <c r="M428" s="39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</row>
    <row r="429">
      <c r="A429" s="224"/>
      <c r="B429" s="229"/>
      <c r="C429" s="225"/>
      <c r="D429" s="226"/>
      <c r="E429" s="227"/>
      <c r="F429" s="228"/>
      <c r="G429" s="33"/>
      <c r="H429" s="143"/>
      <c r="I429" s="111"/>
      <c r="J429" s="112"/>
      <c r="K429" s="230"/>
      <c r="L429" s="31"/>
      <c r="M429" s="39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</row>
    <row r="430">
      <c r="A430" s="224"/>
      <c r="B430" s="229"/>
      <c r="C430" s="225"/>
      <c r="D430" s="226"/>
      <c r="E430" s="227"/>
      <c r="F430" s="228"/>
      <c r="G430" s="33"/>
      <c r="H430" s="143"/>
      <c r="I430" s="111"/>
      <c r="J430" s="112"/>
      <c r="K430" s="230"/>
      <c r="L430" s="31"/>
      <c r="M430" s="39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</row>
    <row r="431">
      <c r="A431" s="224"/>
      <c r="B431" s="229"/>
      <c r="C431" s="225"/>
      <c r="D431" s="226"/>
      <c r="E431" s="227"/>
      <c r="F431" s="228"/>
      <c r="G431" s="33"/>
      <c r="H431" s="143"/>
      <c r="I431" s="111"/>
      <c r="J431" s="112"/>
      <c r="K431" s="230"/>
      <c r="L431" s="31"/>
      <c r="M431" s="39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</row>
    <row r="432">
      <c r="A432" s="224"/>
      <c r="B432" s="229"/>
      <c r="C432" s="225"/>
      <c r="D432" s="226"/>
      <c r="E432" s="227"/>
      <c r="F432" s="228"/>
      <c r="G432" s="33"/>
      <c r="H432" s="143"/>
      <c r="I432" s="111"/>
      <c r="J432" s="112"/>
      <c r="K432" s="230"/>
      <c r="L432" s="31"/>
      <c r="M432" s="39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</row>
    <row r="433">
      <c r="A433" s="224"/>
      <c r="B433" s="229"/>
      <c r="C433" s="225"/>
      <c r="D433" s="226"/>
      <c r="E433" s="227"/>
      <c r="F433" s="228"/>
      <c r="G433" s="33"/>
      <c r="H433" s="143"/>
      <c r="I433" s="111"/>
      <c r="J433" s="112"/>
      <c r="K433" s="230"/>
      <c r="L433" s="31"/>
      <c r="M433" s="39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</row>
    <row r="434">
      <c r="A434" s="224"/>
      <c r="B434" s="229"/>
      <c r="C434" s="225"/>
      <c r="D434" s="226"/>
      <c r="E434" s="227"/>
      <c r="F434" s="228"/>
      <c r="G434" s="33"/>
      <c r="H434" s="143"/>
      <c r="I434" s="111"/>
      <c r="J434" s="112"/>
      <c r="K434" s="230"/>
      <c r="L434" s="31"/>
      <c r="M434" s="39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</row>
    <row r="435">
      <c r="A435" s="224"/>
      <c r="B435" s="229"/>
      <c r="C435" s="225"/>
      <c r="D435" s="226"/>
      <c r="E435" s="227"/>
      <c r="F435" s="228"/>
      <c r="G435" s="33"/>
      <c r="H435" s="143"/>
      <c r="I435" s="111"/>
      <c r="J435" s="112"/>
      <c r="K435" s="230"/>
      <c r="L435" s="31"/>
      <c r="M435" s="39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</row>
    <row r="436">
      <c r="A436" s="224"/>
      <c r="B436" s="229"/>
      <c r="C436" s="225"/>
      <c r="D436" s="226"/>
      <c r="E436" s="227"/>
      <c r="F436" s="228"/>
      <c r="G436" s="33"/>
      <c r="H436" s="143"/>
      <c r="I436" s="111"/>
      <c r="J436" s="112"/>
      <c r="K436" s="230"/>
      <c r="L436" s="31"/>
      <c r="M436" s="39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</row>
    <row r="437">
      <c r="A437" s="224"/>
      <c r="B437" s="229"/>
      <c r="C437" s="225"/>
      <c r="D437" s="226"/>
      <c r="E437" s="227"/>
      <c r="F437" s="228"/>
      <c r="G437" s="33"/>
      <c r="H437" s="143"/>
      <c r="I437" s="111"/>
      <c r="J437" s="112"/>
      <c r="K437" s="230"/>
      <c r="L437" s="31"/>
      <c r="M437" s="39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</row>
    <row r="438">
      <c r="A438" s="224"/>
      <c r="B438" s="229"/>
      <c r="C438" s="225"/>
      <c r="D438" s="226"/>
      <c r="E438" s="227"/>
      <c r="F438" s="228"/>
      <c r="G438" s="33"/>
      <c r="H438" s="143"/>
      <c r="I438" s="111"/>
      <c r="J438" s="112"/>
      <c r="K438" s="230"/>
      <c r="L438" s="31"/>
      <c r="M438" s="39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</row>
    <row r="439">
      <c r="A439" s="224"/>
      <c r="B439" s="229"/>
      <c r="C439" s="225"/>
      <c r="D439" s="226"/>
      <c r="E439" s="227"/>
      <c r="F439" s="228"/>
      <c r="G439" s="33"/>
      <c r="H439" s="143"/>
      <c r="I439" s="111"/>
      <c r="J439" s="112"/>
      <c r="K439" s="230"/>
      <c r="L439" s="31"/>
      <c r="M439" s="39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</row>
    <row r="440">
      <c r="A440" s="224"/>
      <c r="B440" s="229"/>
      <c r="C440" s="225"/>
      <c r="D440" s="226"/>
      <c r="E440" s="227"/>
      <c r="F440" s="228"/>
      <c r="G440" s="33"/>
      <c r="H440" s="143"/>
      <c r="I440" s="111"/>
      <c r="J440" s="112"/>
      <c r="K440" s="230"/>
      <c r="L440" s="31"/>
      <c r="M440" s="39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</row>
    <row r="441">
      <c r="A441" s="224"/>
      <c r="B441" s="229"/>
      <c r="C441" s="225"/>
      <c r="D441" s="226"/>
      <c r="E441" s="227"/>
      <c r="F441" s="228"/>
      <c r="G441" s="33"/>
      <c r="H441" s="143"/>
      <c r="I441" s="111"/>
      <c r="J441" s="112"/>
      <c r="K441" s="230"/>
      <c r="L441" s="31"/>
      <c r="M441" s="39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</row>
    <row r="442">
      <c r="A442" s="224"/>
      <c r="B442" s="229"/>
      <c r="C442" s="225"/>
      <c r="D442" s="226"/>
      <c r="E442" s="227"/>
      <c r="F442" s="228"/>
      <c r="G442" s="33"/>
      <c r="H442" s="143"/>
      <c r="I442" s="111"/>
      <c r="J442" s="112"/>
      <c r="K442" s="230"/>
      <c r="L442" s="31"/>
      <c r="M442" s="39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</row>
    <row r="443">
      <c r="A443" s="224"/>
      <c r="B443" s="229"/>
      <c r="C443" s="225"/>
      <c r="D443" s="226"/>
      <c r="E443" s="227"/>
      <c r="F443" s="228"/>
      <c r="G443" s="33"/>
      <c r="H443" s="143"/>
      <c r="I443" s="111"/>
      <c r="J443" s="112"/>
      <c r="K443" s="230"/>
      <c r="L443" s="31"/>
      <c r="M443" s="39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</row>
    <row r="444">
      <c r="A444" s="224"/>
      <c r="B444" s="229"/>
      <c r="C444" s="225"/>
      <c r="D444" s="226"/>
      <c r="E444" s="227"/>
      <c r="F444" s="228"/>
      <c r="G444" s="33"/>
      <c r="H444" s="143"/>
      <c r="I444" s="111"/>
      <c r="J444" s="112"/>
      <c r="K444" s="230"/>
      <c r="L444" s="31"/>
      <c r="M444" s="39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</row>
    <row r="445">
      <c r="A445" s="224"/>
      <c r="B445" s="229"/>
      <c r="C445" s="225"/>
      <c r="D445" s="226"/>
      <c r="E445" s="227"/>
      <c r="F445" s="228"/>
      <c r="G445" s="33"/>
      <c r="H445" s="143"/>
      <c r="I445" s="111"/>
      <c r="J445" s="112"/>
      <c r="K445" s="230"/>
      <c r="L445" s="31"/>
      <c r="M445" s="39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</row>
    <row r="446">
      <c r="A446" s="224"/>
      <c r="B446" s="229"/>
      <c r="C446" s="225"/>
      <c r="D446" s="226"/>
      <c r="E446" s="227"/>
      <c r="F446" s="228"/>
      <c r="G446" s="33"/>
      <c r="H446" s="143"/>
      <c r="I446" s="111"/>
      <c r="J446" s="112"/>
      <c r="K446" s="230"/>
      <c r="L446" s="31"/>
      <c r="M446" s="39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</row>
    <row r="447">
      <c r="A447" s="224"/>
      <c r="B447" s="229"/>
      <c r="C447" s="225"/>
      <c r="D447" s="226"/>
      <c r="E447" s="227"/>
      <c r="F447" s="228"/>
      <c r="G447" s="33"/>
      <c r="H447" s="143"/>
      <c r="I447" s="111"/>
      <c r="J447" s="112"/>
      <c r="K447" s="230"/>
      <c r="L447" s="31"/>
      <c r="M447" s="39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</row>
    <row r="448">
      <c r="A448" s="224"/>
      <c r="B448" s="229"/>
      <c r="C448" s="225"/>
      <c r="D448" s="226"/>
      <c r="E448" s="227"/>
      <c r="F448" s="228"/>
      <c r="G448" s="33"/>
      <c r="H448" s="143"/>
      <c r="I448" s="111"/>
      <c r="J448" s="112"/>
      <c r="K448" s="230"/>
      <c r="L448" s="31"/>
      <c r="M448" s="39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</row>
    <row r="449">
      <c r="A449" s="224"/>
      <c r="B449" s="229"/>
      <c r="C449" s="225"/>
      <c r="D449" s="226"/>
      <c r="E449" s="227"/>
      <c r="F449" s="228"/>
      <c r="G449" s="33"/>
      <c r="H449" s="143"/>
      <c r="I449" s="111"/>
      <c r="J449" s="112"/>
      <c r="K449" s="230"/>
      <c r="L449" s="31"/>
      <c r="M449" s="39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</row>
    <row r="450">
      <c r="A450" s="224"/>
      <c r="B450" s="229"/>
      <c r="C450" s="225"/>
      <c r="D450" s="226"/>
      <c r="E450" s="227"/>
      <c r="F450" s="228"/>
      <c r="G450" s="33"/>
      <c r="H450" s="143"/>
      <c r="I450" s="111"/>
      <c r="J450" s="112"/>
      <c r="K450" s="230"/>
      <c r="L450" s="31"/>
      <c r="M450" s="39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</row>
    <row r="451">
      <c r="A451" s="224"/>
      <c r="B451" s="229"/>
      <c r="C451" s="225"/>
      <c r="D451" s="226"/>
      <c r="E451" s="227"/>
      <c r="F451" s="228"/>
      <c r="G451" s="33"/>
      <c r="H451" s="143"/>
      <c r="I451" s="111"/>
      <c r="J451" s="112"/>
      <c r="K451" s="230"/>
      <c r="L451" s="31"/>
      <c r="M451" s="39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</row>
    <row r="452">
      <c r="A452" s="224"/>
      <c r="B452" s="229"/>
      <c r="C452" s="225"/>
      <c r="D452" s="226"/>
      <c r="E452" s="227"/>
      <c r="F452" s="228"/>
      <c r="G452" s="33"/>
      <c r="H452" s="143"/>
      <c r="I452" s="111"/>
      <c r="J452" s="112"/>
      <c r="K452" s="230"/>
      <c r="L452" s="31"/>
      <c r="M452" s="39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</row>
    <row r="453">
      <c r="A453" s="224"/>
      <c r="B453" s="229"/>
      <c r="C453" s="225"/>
      <c r="D453" s="226"/>
      <c r="E453" s="227"/>
      <c r="F453" s="228"/>
      <c r="G453" s="33"/>
      <c r="H453" s="143"/>
      <c r="I453" s="111"/>
      <c r="J453" s="112"/>
      <c r="K453" s="230"/>
      <c r="L453" s="31"/>
      <c r="M453" s="39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</row>
    <row r="454">
      <c r="A454" s="224"/>
      <c r="B454" s="229"/>
      <c r="C454" s="225"/>
      <c r="D454" s="226"/>
      <c r="E454" s="227"/>
      <c r="F454" s="228"/>
      <c r="G454" s="33"/>
      <c r="H454" s="143"/>
      <c r="I454" s="111"/>
      <c r="J454" s="112"/>
      <c r="K454" s="230"/>
      <c r="L454" s="31"/>
      <c r="M454" s="39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</row>
    <row r="455">
      <c r="A455" s="224"/>
      <c r="B455" s="229"/>
      <c r="C455" s="225"/>
      <c r="D455" s="226"/>
      <c r="E455" s="227"/>
      <c r="F455" s="228"/>
      <c r="G455" s="33"/>
      <c r="H455" s="143"/>
      <c r="I455" s="111"/>
      <c r="J455" s="112"/>
      <c r="K455" s="230"/>
      <c r="L455" s="31"/>
      <c r="M455" s="39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</row>
    <row r="456">
      <c r="A456" s="224"/>
      <c r="B456" s="229"/>
      <c r="C456" s="225"/>
      <c r="D456" s="226"/>
      <c r="E456" s="227"/>
      <c r="F456" s="228"/>
      <c r="G456" s="33"/>
      <c r="H456" s="143"/>
      <c r="I456" s="111"/>
      <c r="J456" s="112"/>
      <c r="K456" s="230"/>
      <c r="L456" s="31"/>
      <c r="M456" s="39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</row>
    <row r="457">
      <c r="A457" s="224"/>
      <c r="B457" s="229"/>
      <c r="C457" s="225"/>
      <c r="D457" s="226"/>
      <c r="E457" s="227"/>
      <c r="F457" s="228"/>
      <c r="G457" s="33"/>
      <c r="H457" s="143"/>
      <c r="I457" s="111"/>
      <c r="J457" s="112"/>
      <c r="K457" s="230"/>
      <c r="L457" s="31"/>
      <c r="M457" s="39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</row>
    <row r="458">
      <c r="A458" s="224"/>
      <c r="B458" s="229"/>
      <c r="C458" s="225"/>
      <c r="D458" s="226"/>
      <c r="E458" s="227"/>
      <c r="F458" s="228"/>
      <c r="G458" s="33"/>
      <c r="H458" s="143"/>
      <c r="I458" s="111"/>
      <c r="J458" s="112"/>
      <c r="K458" s="230"/>
      <c r="L458" s="31"/>
      <c r="M458" s="39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</row>
    <row r="459">
      <c r="A459" s="224"/>
      <c r="B459" s="229"/>
      <c r="C459" s="225"/>
      <c r="D459" s="226"/>
      <c r="E459" s="227"/>
      <c r="F459" s="228"/>
      <c r="G459" s="33"/>
      <c r="H459" s="143"/>
      <c r="I459" s="111"/>
      <c r="J459" s="112"/>
      <c r="K459" s="230"/>
      <c r="L459" s="31"/>
      <c r="M459" s="39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</row>
    <row r="460">
      <c r="A460" s="224"/>
      <c r="B460" s="229"/>
      <c r="C460" s="225"/>
      <c r="D460" s="226"/>
      <c r="E460" s="227"/>
      <c r="F460" s="228"/>
      <c r="G460" s="33"/>
      <c r="H460" s="143"/>
      <c r="I460" s="111"/>
      <c r="J460" s="112"/>
      <c r="K460" s="230"/>
      <c r="L460" s="31"/>
      <c r="M460" s="39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</row>
    <row r="461">
      <c r="A461" s="224"/>
      <c r="B461" s="229"/>
      <c r="C461" s="225"/>
      <c r="D461" s="226"/>
      <c r="E461" s="227"/>
      <c r="F461" s="228"/>
      <c r="G461" s="33"/>
      <c r="H461" s="143"/>
      <c r="I461" s="111"/>
      <c r="J461" s="112"/>
      <c r="K461" s="230"/>
      <c r="L461" s="31"/>
      <c r="M461" s="39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</row>
    <row r="462">
      <c r="A462" s="224"/>
      <c r="B462" s="229"/>
      <c r="C462" s="225"/>
      <c r="D462" s="226"/>
      <c r="E462" s="227"/>
      <c r="F462" s="228"/>
      <c r="G462" s="33"/>
      <c r="H462" s="143"/>
      <c r="I462" s="111"/>
      <c r="J462" s="112"/>
      <c r="K462" s="230"/>
      <c r="L462" s="31"/>
      <c r="M462" s="39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</row>
    <row r="463">
      <c r="A463" s="224"/>
      <c r="B463" s="229"/>
      <c r="C463" s="225"/>
      <c r="D463" s="226"/>
      <c r="E463" s="227"/>
      <c r="F463" s="228"/>
      <c r="G463" s="33"/>
      <c r="H463" s="143"/>
      <c r="I463" s="111"/>
      <c r="J463" s="112"/>
      <c r="K463" s="230"/>
      <c r="L463" s="31"/>
      <c r="M463" s="39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</row>
    <row r="464">
      <c r="A464" s="224"/>
      <c r="B464" s="229"/>
      <c r="C464" s="225"/>
      <c r="D464" s="226"/>
      <c r="E464" s="227"/>
      <c r="F464" s="228"/>
      <c r="G464" s="33"/>
      <c r="H464" s="143"/>
      <c r="I464" s="111"/>
      <c r="J464" s="112"/>
      <c r="K464" s="230"/>
      <c r="L464" s="31"/>
      <c r="M464" s="39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</row>
    <row r="465">
      <c r="A465" s="224"/>
      <c r="B465" s="229"/>
      <c r="C465" s="225"/>
      <c r="D465" s="226"/>
      <c r="E465" s="227"/>
      <c r="F465" s="228"/>
      <c r="G465" s="33"/>
      <c r="H465" s="143"/>
      <c r="I465" s="111"/>
      <c r="J465" s="112"/>
      <c r="K465" s="230"/>
      <c r="L465" s="31"/>
      <c r="M465" s="39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</row>
    <row r="466">
      <c r="A466" s="224"/>
      <c r="B466" s="229"/>
      <c r="C466" s="225"/>
      <c r="D466" s="226"/>
      <c r="E466" s="227"/>
      <c r="F466" s="228"/>
      <c r="G466" s="33"/>
      <c r="H466" s="143"/>
      <c r="I466" s="111"/>
      <c r="J466" s="112"/>
      <c r="K466" s="230"/>
      <c r="L466" s="31"/>
      <c r="M466" s="39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</row>
    <row r="467">
      <c r="A467" s="224"/>
      <c r="B467" s="229"/>
      <c r="C467" s="225"/>
      <c r="D467" s="226"/>
      <c r="E467" s="227"/>
      <c r="F467" s="228"/>
      <c r="G467" s="33"/>
      <c r="H467" s="143"/>
      <c r="I467" s="111"/>
      <c r="J467" s="112"/>
      <c r="K467" s="230"/>
      <c r="L467" s="31"/>
      <c r="M467" s="39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</row>
    <row r="468">
      <c r="A468" s="224"/>
      <c r="B468" s="229"/>
      <c r="C468" s="225"/>
      <c r="D468" s="226"/>
      <c r="E468" s="227"/>
      <c r="F468" s="228"/>
      <c r="G468" s="33"/>
      <c r="H468" s="143"/>
      <c r="I468" s="111"/>
      <c r="J468" s="112"/>
      <c r="K468" s="230"/>
      <c r="L468" s="31"/>
      <c r="M468" s="39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</row>
    <row r="469">
      <c r="A469" s="224"/>
      <c r="B469" s="229"/>
      <c r="C469" s="225"/>
      <c r="D469" s="226"/>
      <c r="E469" s="227"/>
      <c r="F469" s="228"/>
      <c r="G469" s="33"/>
      <c r="H469" s="143"/>
      <c r="I469" s="111"/>
      <c r="J469" s="112"/>
      <c r="K469" s="230"/>
      <c r="L469" s="31"/>
      <c r="M469" s="39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</row>
    <row r="470">
      <c r="A470" s="224"/>
      <c r="B470" s="229"/>
      <c r="C470" s="225"/>
      <c r="D470" s="226"/>
      <c r="E470" s="227"/>
      <c r="F470" s="228"/>
      <c r="G470" s="33"/>
      <c r="H470" s="143"/>
      <c r="I470" s="111"/>
      <c r="J470" s="112"/>
      <c r="K470" s="230"/>
      <c r="L470" s="31"/>
      <c r="M470" s="39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</row>
    <row r="471">
      <c r="A471" s="224"/>
      <c r="B471" s="229"/>
      <c r="C471" s="225"/>
      <c r="D471" s="226"/>
      <c r="E471" s="227"/>
      <c r="F471" s="228"/>
      <c r="G471" s="33"/>
      <c r="H471" s="143"/>
      <c r="I471" s="111"/>
      <c r="J471" s="112"/>
      <c r="K471" s="230"/>
      <c r="L471" s="31"/>
      <c r="M471" s="39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</row>
    <row r="472">
      <c r="A472" s="224"/>
      <c r="B472" s="229"/>
      <c r="C472" s="225"/>
      <c r="D472" s="226"/>
      <c r="E472" s="227"/>
      <c r="F472" s="228"/>
      <c r="G472" s="33"/>
      <c r="H472" s="143"/>
      <c r="I472" s="111"/>
      <c r="J472" s="112"/>
      <c r="K472" s="230"/>
      <c r="L472" s="31"/>
      <c r="M472" s="39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</row>
    <row r="473">
      <c r="A473" s="224"/>
      <c r="B473" s="229"/>
      <c r="C473" s="225"/>
      <c r="D473" s="226"/>
      <c r="E473" s="227"/>
      <c r="F473" s="228"/>
      <c r="G473" s="33"/>
      <c r="H473" s="143"/>
      <c r="I473" s="111"/>
      <c r="J473" s="112"/>
      <c r="K473" s="230"/>
      <c r="L473" s="31"/>
      <c r="M473" s="39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</row>
    <row r="474">
      <c r="A474" s="224"/>
      <c r="B474" s="229"/>
      <c r="C474" s="225"/>
      <c r="D474" s="226"/>
      <c r="E474" s="227"/>
      <c r="F474" s="228"/>
      <c r="G474" s="33"/>
      <c r="H474" s="143"/>
      <c r="I474" s="111"/>
      <c r="J474" s="112"/>
      <c r="K474" s="230"/>
      <c r="L474" s="31"/>
      <c r="M474" s="39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</row>
    <row r="475">
      <c r="A475" s="224"/>
      <c r="B475" s="229"/>
      <c r="C475" s="225"/>
      <c r="D475" s="226"/>
      <c r="E475" s="227"/>
      <c r="F475" s="228"/>
      <c r="G475" s="33"/>
      <c r="H475" s="143"/>
      <c r="I475" s="111"/>
      <c r="J475" s="112"/>
      <c r="K475" s="230"/>
      <c r="L475" s="31"/>
      <c r="M475" s="39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</row>
    <row r="476">
      <c r="A476" s="224"/>
      <c r="B476" s="229"/>
      <c r="C476" s="225"/>
      <c r="D476" s="226"/>
      <c r="E476" s="227"/>
      <c r="F476" s="228"/>
      <c r="G476" s="33"/>
      <c r="H476" s="143"/>
      <c r="I476" s="111"/>
      <c r="J476" s="112"/>
      <c r="K476" s="230"/>
      <c r="L476" s="31"/>
      <c r="M476" s="39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</row>
    <row r="477">
      <c r="A477" s="224"/>
      <c r="B477" s="229"/>
      <c r="C477" s="225"/>
      <c r="D477" s="226"/>
      <c r="E477" s="227"/>
      <c r="F477" s="228"/>
      <c r="G477" s="33"/>
      <c r="H477" s="143"/>
      <c r="I477" s="111"/>
      <c r="J477" s="112"/>
      <c r="K477" s="230"/>
      <c r="L477" s="31"/>
      <c r="M477" s="39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</row>
    <row r="478">
      <c r="A478" s="224"/>
      <c r="B478" s="229"/>
      <c r="C478" s="225"/>
      <c r="D478" s="226"/>
      <c r="E478" s="227"/>
      <c r="F478" s="228"/>
      <c r="G478" s="33"/>
      <c r="H478" s="143"/>
      <c r="I478" s="111"/>
      <c r="J478" s="112"/>
      <c r="K478" s="230"/>
      <c r="L478" s="31"/>
      <c r="M478" s="39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</row>
    <row r="479">
      <c r="A479" s="224"/>
      <c r="B479" s="229"/>
      <c r="C479" s="225"/>
      <c r="D479" s="226"/>
      <c r="E479" s="227"/>
      <c r="F479" s="228"/>
      <c r="G479" s="33"/>
      <c r="H479" s="143"/>
      <c r="I479" s="111"/>
      <c r="J479" s="112"/>
      <c r="K479" s="230"/>
      <c r="L479" s="31"/>
      <c r="M479" s="39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</row>
    <row r="480">
      <c r="A480" s="224"/>
      <c r="B480" s="229"/>
      <c r="C480" s="225"/>
      <c r="D480" s="226"/>
      <c r="E480" s="227"/>
      <c r="F480" s="228"/>
      <c r="G480" s="33"/>
      <c r="H480" s="143"/>
      <c r="I480" s="111"/>
      <c r="J480" s="112"/>
      <c r="K480" s="230"/>
      <c r="L480" s="31"/>
      <c r="M480" s="39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</row>
    <row r="481">
      <c r="A481" s="224"/>
      <c r="B481" s="229"/>
      <c r="C481" s="225"/>
      <c r="D481" s="226"/>
      <c r="E481" s="227"/>
      <c r="F481" s="228"/>
      <c r="G481" s="33"/>
      <c r="H481" s="143"/>
      <c r="I481" s="111"/>
      <c r="J481" s="112"/>
      <c r="K481" s="230"/>
      <c r="L481" s="31"/>
      <c r="M481" s="39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</row>
    <row r="482">
      <c r="A482" s="224"/>
      <c r="B482" s="229"/>
      <c r="C482" s="225"/>
      <c r="D482" s="226"/>
      <c r="E482" s="227"/>
      <c r="F482" s="228"/>
      <c r="G482" s="33"/>
      <c r="H482" s="143"/>
      <c r="I482" s="111"/>
      <c r="J482" s="112"/>
      <c r="K482" s="230"/>
      <c r="L482" s="31"/>
      <c r="M482" s="39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</row>
    <row r="483">
      <c r="A483" s="224"/>
      <c r="B483" s="229"/>
      <c r="C483" s="225"/>
      <c r="D483" s="226"/>
      <c r="E483" s="227"/>
      <c r="F483" s="228"/>
      <c r="G483" s="33"/>
      <c r="H483" s="143"/>
      <c r="I483" s="111"/>
      <c r="J483" s="112"/>
      <c r="K483" s="230"/>
      <c r="L483" s="31"/>
      <c r="M483" s="39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</row>
    <row r="484">
      <c r="A484" s="224"/>
      <c r="B484" s="229"/>
      <c r="C484" s="225"/>
      <c r="D484" s="226"/>
      <c r="E484" s="227"/>
      <c r="F484" s="228"/>
      <c r="G484" s="33"/>
      <c r="H484" s="143"/>
      <c r="I484" s="111"/>
      <c r="J484" s="112"/>
      <c r="K484" s="230"/>
      <c r="L484" s="31"/>
      <c r="M484" s="39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</row>
    <row r="485">
      <c r="A485" s="224"/>
      <c r="B485" s="229"/>
      <c r="C485" s="225"/>
      <c r="D485" s="226"/>
      <c r="E485" s="227"/>
      <c r="F485" s="228"/>
      <c r="G485" s="33"/>
      <c r="H485" s="143"/>
      <c r="I485" s="111"/>
      <c r="J485" s="112"/>
      <c r="K485" s="230"/>
      <c r="L485" s="31"/>
      <c r="M485" s="39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</row>
    <row r="486">
      <c r="A486" s="224"/>
      <c r="B486" s="229"/>
      <c r="C486" s="225"/>
      <c r="D486" s="226"/>
      <c r="E486" s="227"/>
      <c r="F486" s="228"/>
      <c r="G486" s="33"/>
      <c r="H486" s="143"/>
      <c r="I486" s="111"/>
      <c r="J486" s="112"/>
      <c r="K486" s="230"/>
      <c r="L486" s="31"/>
      <c r="M486" s="39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</row>
    <row r="487">
      <c r="A487" s="224"/>
      <c r="B487" s="229"/>
      <c r="C487" s="225"/>
      <c r="D487" s="226"/>
      <c r="E487" s="227"/>
      <c r="F487" s="228"/>
      <c r="G487" s="33"/>
      <c r="H487" s="143"/>
      <c r="I487" s="111"/>
      <c r="J487" s="112"/>
      <c r="K487" s="230"/>
      <c r="L487" s="31"/>
      <c r="M487" s="39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</row>
    <row r="488">
      <c r="A488" s="224"/>
      <c r="B488" s="229"/>
      <c r="C488" s="225"/>
      <c r="D488" s="226"/>
      <c r="E488" s="227"/>
      <c r="F488" s="228"/>
      <c r="G488" s="33"/>
      <c r="H488" s="143"/>
      <c r="I488" s="111"/>
      <c r="J488" s="112"/>
      <c r="K488" s="230"/>
      <c r="L488" s="31"/>
      <c r="M488" s="39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</row>
    <row r="489">
      <c r="A489" s="224"/>
      <c r="B489" s="229"/>
      <c r="C489" s="225"/>
      <c r="D489" s="226"/>
      <c r="E489" s="227"/>
      <c r="F489" s="228"/>
      <c r="G489" s="33"/>
      <c r="H489" s="143"/>
      <c r="I489" s="111"/>
      <c r="J489" s="112"/>
      <c r="K489" s="230"/>
      <c r="L489" s="31"/>
      <c r="M489" s="39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</row>
    <row r="490">
      <c r="A490" s="224"/>
      <c r="B490" s="229"/>
      <c r="C490" s="225"/>
      <c r="D490" s="226"/>
      <c r="E490" s="227"/>
      <c r="F490" s="228"/>
      <c r="G490" s="33"/>
      <c r="H490" s="143"/>
      <c r="I490" s="111"/>
      <c r="J490" s="112"/>
      <c r="K490" s="230"/>
      <c r="L490" s="31"/>
      <c r="M490" s="39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</row>
    <row r="491">
      <c r="A491" s="224"/>
      <c r="B491" s="229"/>
      <c r="C491" s="225"/>
      <c r="D491" s="226"/>
      <c r="E491" s="227"/>
      <c r="F491" s="228"/>
      <c r="G491" s="33"/>
      <c r="H491" s="143"/>
      <c r="I491" s="111"/>
      <c r="J491" s="112"/>
      <c r="K491" s="230"/>
      <c r="L491" s="31"/>
      <c r="M491" s="39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</row>
    <row r="492">
      <c r="A492" s="224"/>
      <c r="B492" s="229"/>
      <c r="C492" s="225"/>
      <c r="D492" s="226"/>
      <c r="E492" s="227"/>
      <c r="F492" s="228"/>
      <c r="G492" s="33"/>
      <c r="H492" s="143"/>
      <c r="I492" s="111"/>
      <c r="J492" s="112"/>
      <c r="K492" s="230"/>
      <c r="L492" s="31"/>
      <c r="M492" s="39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</row>
    <row r="493">
      <c r="A493" s="224"/>
      <c r="B493" s="229"/>
      <c r="C493" s="225"/>
      <c r="D493" s="226"/>
      <c r="E493" s="227"/>
      <c r="F493" s="228"/>
      <c r="G493" s="33"/>
      <c r="H493" s="143"/>
      <c r="I493" s="111"/>
      <c r="J493" s="112"/>
      <c r="K493" s="230"/>
      <c r="L493" s="31"/>
      <c r="M493" s="39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</row>
    <row r="494">
      <c r="A494" s="224"/>
      <c r="B494" s="229"/>
      <c r="C494" s="225"/>
      <c r="D494" s="226"/>
      <c r="E494" s="227"/>
      <c r="F494" s="228"/>
      <c r="G494" s="33"/>
      <c r="H494" s="143"/>
      <c r="I494" s="111"/>
      <c r="J494" s="112"/>
      <c r="K494" s="230"/>
      <c r="L494" s="31"/>
      <c r="M494" s="39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</row>
    <row r="495">
      <c r="A495" s="224"/>
      <c r="B495" s="229"/>
      <c r="C495" s="225"/>
      <c r="D495" s="226"/>
      <c r="E495" s="227"/>
      <c r="F495" s="228"/>
      <c r="G495" s="33"/>
      <c r="H495" s="143"/>
      <c r="I495" s="111"/>
      <c r="J495" s="112"/>
      <c r="K495" s="230"/>
      <c r="L495" s="31"/>
      <c r="M495" s="39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</row>
    <row r="496">
      <c r="A496" s="224"/>
      <c r="B496" s="229"/>
      <c r="C496" s="225"/>
      <c r="D496" s="226"/>
      <c r="E496" s="227"/>
      <c r="F496" s="228"/>
      <c r="G496" s="33"/>
      <c r="H496" s="143"/>
      <c r="I496" s="111"/>
      <c r="J496" s="112"/>
      <c r="K496" s="230"/>
      <c r="L496" s="31"/>
      <c r="M496" s="39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</row>
    <row r="497">
      <c r="A497" s="224"/>
      <c r="B497" s="229"/>
      <c r="C497" s="225"/>
      <c r="D497" s="226"/>
      <c r="E497" s="227"/>
      <c r="F497" s="228"/>
      <c r="G497" s="33"/>
      <c r="H497" s="143"/>
      <c r="I497" s="111"/>
      <c r="J497" s="112"/>
      <c r="K497" s="230"/>
      <c r="L497" s="31"/>
      <c r="M497" s="39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</row>
    <row r="498">
      <c r="A498" s="224"/>
      <c r="B498" s="229"/>
      <c r="C498" s="225"/>
      <c r="D498" s="226"/>
      <c r="E498" s="227"/>
      <c r="F498" s="228"/>
      <c r="G498" s="33"/>
      <c r="H498" s="143"/>
      <c r="I498" s="111"/>
      <c r="J498" s="112"/>
      <c r="K498" s="230"/>
      <c r="L498" s="31"/>
      <c r="M498" s="39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</row>
    <row r="499">
      <c r="A499" s="224"/>
      <c r="B499" s="229"/>
      <c r="C499" s="225"/>
      <c r="D499" s="226"/>
      <c r="E499" s="227"/>
      <c r="F499" s="228"/>
      <c r="G499" s="33"/>
      <c r="H499" s="143"/>
      <c r="I499" s="111"/>
      <c r="J499" s="112"/>
      <c r="K499" s="230"/>
      <c r="L499" s="31"/>
      <c r="M499" s="39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</row>
    <row r="500">
      <c r="A500" s="224"/>
      <c r="B500" s="229"/>
      <c r="C500" s="225"/>
      <c r="D500" s="226"/>
      <c r="E500" s="227"/>
      <c r="F500" s="228"/>
      <c r="G500" s="33"/>
      <c r="H500" s="143"/>
      <c r="I500" s="111"/>
      <c r="J500" s="112"/>
      <c r="K500" s="230"/>
      <c r="L500" s="31"/>
      <c r="M500" s="39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</row>
    <row r="501">
      <c r="A501" s="224"/>
      <c r="B501" s="229"/>
      <c r="C501" s="225"/>
      <c r="D501" s="226"/>
      <c r="E501" s="227"/>
      <c r="F501" s="228"/>
      <c r="G501" s="33"/>
      <c r="H501" s="143"/>
      <c r="I501" s="111"/>
      <c r="J501" s="112"/>
      <c r="K501" s="230"/>
      <c r="L501" s="31"/>
      <c r="M501" s="39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</row>
    <row r="502">
      <c r="A502" s="224"/>
      <c r="B502" s="229"/>
      <c r="C502" s="225"/>
      <c r="D502" s="226"/>
      <c r="E502" s="227"/>
      <c r="F502" s="228"/>
      <c r="G502" s="33"/>
      <c r="H502" s="143"/>
      <c r="I502" s="111"/>
      <c r="J502" s="112"/>
      <c r="K502" s="230"/>
      <c r="L502" s="31"/>
      <c r="M502" s="39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</row>
    <row r="503">
      <c r="A503" s="224"/>
      <c r="B503" s="229"/>
      <c r="C503" s="225"/>
      <c r="D503" s="226"/>
      <c r="E503" s="227"/>
      <c r="F503" s="228"/>
      <c r="G503" s="33"/>
      <c r="H503" s="143"/>
      <c r="I503" s="111"/>
      <c r="J503" s="112"/>
      <c r="K503" s="230"/>
      <c r="L503" s="31"/>
      <c r="M503" s="39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</row>
    <row r="504">
      <c r="A504" s="224"/>
      <c r="B504" s="229"/>
      <c r="C504" s="225"/>
      <c r="D504" s="226"/>
      <c r="E504" s="227"/>
      <c r="F504" s="228"/>
      <c r="G504" s="33"/>
      <c r="H504" s="143"/>
      <c r="I504" s="111"/>
      <c r="J504" s="112"/>
      <c r="K504" s="230"/>
      <c r="L504" s="31"/>
      <c r="M504" s="39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</row>
    <row r="505">
      <c r="A505" s="224"/>
      <c r="B505" s="229"/>
      <c r="C505" s="225"/>
      <c r="D505" s="226"/>
      <c r="E505" s="227"/>
      <c r="F505" s="228"/>
      <c r="G505" s="33"/>
      <c r="H505" s="143"/>
      <c r="I505" s="111"/>
      <c r="J505" s="112"/>
      <c r="K505" s="230"/>
      <c r="L505" s="31"/>
      <c r="M505" s="39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</row>
    <row r="506">
      <c r="A506" s="224"/>
      <c r="B506" s="229"/>
      <c r="C506" s="225"/>
      <c r="D506" s="226"/>
      <c r="E506" s="227"/>
      <c r="F506" s="228"/>
      <c r="G506" s="33"/>
      <c r="H506" s="143"/>
      <c r="I506" s="111"/>
      <c r="J506" s="112"/>
      <c r="K506" s="230"/>
      <c r="L506" s="31"/>
      <c r="M506" s="39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</row>
    <row r="507">
      <c r="A507" s="224"/>
      <c r="B507" s="229"/>
      <c r="C507" s="225"/>
      <c r="D507" s="226"/>
      <c r="E507" s="227"/>
      <c r="F507" s="228"/>
      <c r="G507" s="33"/>
      <c r="H507" s="143"/>
      <c r="I507" s="111"/>
      <c r="J507" s="112"/>
      <c r="K507" s="230"/>
      <c r="L507" s="31"/>
      <c r="M507" s="39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</row>
    <row r="508">
      <c r="A508" s="224"/>
      <c r="B508" s="229"/>
      <c r="C508" s="225"/>
      <c r="D508" s="226"/>
      <c r="E508" s="227"/>
      <c r="F508" s="228"/>
      <c r="G508" s="33"/>
      <c r="H508" s="143"/>
      <c r="I508" s="111"/>
      <c r="J508" s="112"/>
      <c r="K508" s="230"/>
      <c r="L508" s="31"/>
      <c r="M508" s="39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</row>
    <row r="509">
      <c r="A509" s="224"/>
      <c r="B509" s="229"/>
      <c r="C509" s="225"/>
      <c r="D509" s="226"/>
      <c r="E509" s="227"/>
      <c r="F509" s="228"/>
      <c r="G509" s="33"/>
      <c r="H509" s="143"/>
      <c r="I509" s="111"/>
      <c r="J509" s="112"/>
      <c r="K509" s="230"/>
      <c r="L509" s="31"/>
      <c r="M509" s="39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</row>
    <row r="510">
      <c r="A510" s="224"/>
      <c r="B510" s="229"/>
      <c r="C510" s="225"/>
      <c r="D510" s="226"/>
      <c r="E510" s="227"/>
      <c r="F510" s="228"/>
      <c r="G510" s="33"/>
      <c r="H510" s="143"/>
      <c r="I510" s="111"/>
      <c r="J510" s="112"/>
      <c r="K510" s="230"/>
      <c r="L510" s="31"/>
      <c r="M510" s="39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</row>
    <row r="511">
      <c r="A511" s="224"/>
      <c r="B511" s="229"/>
      <c r="C511" s="225"/>
      <c r="D511" s="226"/>
      <c r="E511" s="227"/>
      <c r="F511" s="228"/>
      <c r="G511" s="33"/>
      <c r="H511" s="143"/>
      <c r="I511" s="111"/>
      <c r="J511" s="112"/>
      <c r="K511" s="230"/>
      <c r="L511" s="31"/>
      <c r="M511" s="39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</row>
    <row r="512">
      <c r="A512" s="224"/>
      <c r="B512" s="229"/>
      <c r="C512" s="225"/>
      <c r="D512" s="226"/>
      <c r="E512" s="227"/>
      <c r="F512" s="228"/>
      <c r="G512" s="33"/>
      <c r="H512" s="143"/>
      <c r="I512" s="111"/>
      <c r="J512" s="112"/>
      <c r="K512" s="230"/>
      <c r="L512" s="31"/>
      <c r="M512" s="39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</row>
    <row r="513">
      <c r="A513" s="224"/>
      <c r="B513" s="229"/>
      <c r="C513" s="225"/>
      <c r="D513" s="226"/>
      <c r="E513" s="227"/>
      <c r="F513" s="228"/>
      <c r="G513" s="33"/>
      <c r="H513" s="143"/>
      <c r="I513" s="111"/>
      <c r="J513" s="112"/>
      <c r="K513" s="230"/>
      <c r="L513" s="31"/>
      <c r="M513" s="39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</row>
    <row r="514">
      <c r="A514" s="224"/>
      <c r="B514" s="229"/>
      <c r="C514" s="225"/>
      <c r="D514" s="226"/>
      <c r="E514" s="227"/>
      <c r="F514" s="228"/>
      <c r="G514" s="33"/>
      <c r="H514" s="143"/>
      <c r="I514" s="111"/>
      <c r="J514" s="112"/>
      <c r="K514" s="230"/>
      <c r="L514" s="31"/>
      <c r="M514" s="39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</row>
    <row r="515">
      <c r="A515" s="224"/>
      <c r="B515" s="229"/>
      <c r="C515" s="225"/>
      <c r="D515" s="226"/>
      <c r="E515" s="227"/>
      <c r="F515" s="228"/>
      <c r="G515" s="33"/>
      <c r="H515" s="143"/>
      <c r="I515" s="111"/>
      <c r="J515" s="112"/>
      <c r="K515" s="230"/>
      <c r="L515" s="31"/>
      <c r="M515" s="39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</row>
    <row r="516">
      <c r="A516" s="224"/>
      <c r="B516" s="229"/>
      <c r="C516" s="225"/>
      <c r="D516" s="226"/>
      <c r="E516" s="227"/>
      <c r="F516" s="228"/>
      <c r="G516" s="33"/>
      <c r="H516" s="143"/>
      <c r="I516" s="111"/>
      <c r="J516" s="112"/>
      <c r="K516" s="230"/>
      <c r="L516" s="31"/>
      <c r="M516" s="39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</row>
    <row r="517">
      <c r="A517" s="224"/>
      <c r="B517" s="229"/>
      <c r="C517" s="225"/>
      <c r="D517" s="226"/>
      <c r="E517" s="227"/>
      <c r="F517" s="228"/>
      <c r="G517" s="33"/>
      <c r="H517" s="143"/>
      <c r="I517" s="111"/>
      <c r="J517" s="112"/>
      <c r="K517" s="230"/>
      <c r="L517" s="31"/>
      <c r="M517" s="39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</row>
    <row r="518">
      <c r="A518" s="224"/>
      <c r="B518" s="229"/>
      <c r="C518" s="225"/>
      <c r="D518" s="226"/>
      <c r="E518" s="227"/>
      <c r="F518" s="228"/>
      <c r="G518" s="33"/>
      <c r="H518" s="143"/>
      <c r="I518" s="111"/>
      <c r="J518" s="112"/>
      <c r="K518" s="230"/>
      <c r="L518" s="31"/>
      <c r="M518" s="39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</row>
    <row r="519">
      <c r="A519" s="224"/>
      <c r="B519" s="229"/>
      <c r="C519" s="225"/>
      <c r="D519" s="226"/>
      <c r="E519" s="227"/>
      <c r="F519" s="228"/>
      <c r="G519" s="33"/>
      <c r="H519" s="143"/>
      <c r="I519" s="111"/>
      <c r="J519" s="112"/>
      <c r="K519" s="230"/>
      <c r="L519" s="31"/>
      <c r="M519" s="39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</row>
    <row r="520">
      <c r="A520" s="224"/>
      <c r="B520" s="229"/>
      <c r="C520" s="225"/>
      <c r="D520" s="226"/>
      <c r="E520" s="227"/>
      <c r="F520" s="228"/>
      <c r="G520" s="33"/>
      <c r="H520" s="143"/>
      <c r="I520" s="111"/>
      <c r="J520" s="112"/>
      <c r="K520" s="230"/>
      <c r="L520" s="31"/>
      <c r="M520" s="39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</row>
    <row r="521">
      <c r="A521" s="224"/>
      <c r="B521" s="229"/>
      <c r="C521" s="225"/>
      <c r="D521" s="226"/>
      <c r="E521" s="227"/>
      <c r="F521" s="228"/>
      <c r="G521" s="33"/>
      <c r="H521" s="143"/>
      <c r="I521" s="111"/>
      <c r="J521" s="112"/>
      <c r="K521" s="230"/>
      <c r="L521" s="31"/>
      <c r="M521" s="39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</row>
    <row r="522">
      <c r="A522" s="224"/>
      <c r="B522" s="229"/>
      <c r="C522" s="225"/>
      <c r="D522" s="226"/>
      <c r="E522" s="227"/>
      <c r="F522" s="228"/>
      <c r="G522" s="33"/>
      <c r="H522" s="143"/>
      <c r="I522" s="111"/>
      <c r="J522" s="112"/>
      <c r="K522" s="230"/>
      <c r="L522" s="31"/>
      <c r="M522" s="39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</row>
    <row r="523">
      <c r="A523" s="224"/>
      <c r="B523" s="229"/>
      <c r="C523" s="225"/>
      <c r="D523" s="226"/>
      <c r="E523" s="227"/>
      <c r="F523" s="228"/>
      <c r="G523" s="33"/>
      <c r="H523" s="143"/>
      <c r="I523" s="111"/>
      <c r="J523" s="112"/>
      <c r="K523" s="230"/>
      <c r="L523" s="31"/>
      <c r="M523" s="39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</row>
    <row r="524">
      <c r="A524" s="224"/>
      <c r="B524" s="229"/>
      <c r="C524" s="225"/>
      <c r="D524" s="226"/>
      <c r="E524" s="227"/>
      <c r="F524" s="228"/>
      <c r="G524" s="33"/>
      <c r="H524" s="143"/>
      <c r="I524" s="111"/>
      <c r="J524" s="112"/>
      <c r="K524" s="230"/>
      <c r="L524" s="31"/>
      <c r="M524" s="39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</row>
    <row r="525">
      <c r="A525" s="224"/>
      <c r="B525" s="229"/>
      <c r="C525" s="225"/>
      <c r="D525" s="226"/>
      <c r="E525" s="227"/>
      <c r="F525" s="228"/>
      <c r="G525" s="33"/>
      <c r="H525" s="143"/>
      <c r="I525" s="111"/>
      <c r="J525" s="112"/>
      <c r="K525" s="230"/>
      <c r="L525" s="31"/>
      <c r="M525" s="39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</row>
    <row r="526">
      <c r="A526" s="224"/>
      <c r="B526" s="229"/>
      <c r="C526" s="225"/>
      <c r="D526" s="226"/>
      <c r="E526" s="227"/>
      <c r="F526" s="228"/>
      <c r="G526" s="33"/>
      <c r="H526" s="143"/>
      <c r="I526" s="111"/>
      <c r="J526" s="112"/>
      <c r="K526" s="230"/>
      <c r="L526" s="31"/>
      <c r="M526" s="39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</row>
    <row r="527">
      <c r="A527" s="224"/>
      <c r="B527" s="229"/>
      <c r="C527" s="225"/>
      <c r="D527" s="226"/>
      <c r="E527" s="227"/>
      <c r="F527" s="228"/>
      <c r="G527" s="33"/>
      <c r="H527" s="143"/>
      <c r="I527" s="111"/>
      <c r="J527" s="112"/>
      <c r="K527" s="230"/>
      <c r="L527" s="31"/>
      <c r="M527" s="39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</row>
    <row r="528">
      <c r="A528" s="224"/>
      <c r="B528" s="229"/>
      <c r="C528" s="225"/>
      <c r="D528" s="226"/>
      <c r="E528" s="227"/>
      <c r="F528" s="228"/>
      <c r="G528" s="33"/>
      <c r="H528" s="143"/>
      <c r="I528" s="111"/>
      <c r="J528" s="112"/>
      <c r="K528" s="230"/>
      <c r="L528" s="31"/>
      <c r="M528" s="39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</row>
    <row r="529">
      <c r="A529" s="224"/>
      <c r="B529" s="229"/>
      <c r="C529" s="225"/>
      <c r="D529" s="226"/>
      <c r="E529" s="227"/>
      <c r="F529" s="228"/>
      <c r="G529" s="33"/>
      <c r="H529" s="143"/>
      <c r="I529" s="111"/>
      <c r="J529" s="112"/>
      <c r="K529" s="230"/>
      <c r="L529" s="31"/>
      <c r="M529" s="39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</row>
    <row r="530">
      <c r="A530" s="224"/>
      <c r="B530" s="229"/>
      <c r="C530" s="225"/>
      <c r="D530" s="226"/>
      <c r="E530" s="227"/>
      <c r="F530" s="228"/>
      <c r="G530" s="33"/>
      <c r="H530" s="143"/>
      <c r="I530" s="111"/>
      <c r="J530" s="112"/>
      <c r="K530" s="230"/>
      <c r="L530" s="31"/>
      <c r="M530" s="39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</row>
    <row r="531">
      <c r="A531" s="224"/>
      <c r="B531" s="229"/>
      <c r="C531" s="225"/>
      <c r="D531" s="226"/>
      <c r="E531" s="227"/>
      <c r="F531" s="228"/>
      <c r="G531" s="33"/>
      <c r="H531" s="143"/>
      <c r="I531" s="111"/>
      <c r="J531" s="112"/>
      <c r="K531" s="230"/>
      <c r="L531" s="31"/>
      <c r="M531" s="39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</row>
    <row r="532">
      <c r="A532" s="224"/>
      <c r="B532" s="229"/>
      <c r="C532" s="225"/>
      <c r="D532" s="226"/>
      <c r="E532" s="227"/>
      <c r="F532" s="228"/>
      <c r="G532" s="33"/>
      <c r="H532" s="143"/>
      <c r="I532" s="111"/>
      <c r="J532" s="112"/>
      <c r="K532" s="230"/>
      <c r="L532" s="31"/>
      <c r="M532" s="39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</row>
    <row r="533">
      <c r="A533" s="224"/>
      <c r="B533" s="229"/>
      <c r="C533" s="225"/>
      <c r="D533" s="226"/>
      <c r="E533" s="227"/>
      <c r="F533" s="228"/>
      <c r="G533" s="33"/>
      <c r="H533" s="143"/>
      <c r="I533" s="111"/>
      <c r="J533" s="112"/>
      <c r="K533" s="230"/>
      <c r="L533" s="31"/>
      <c r="M533" s="39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</row>
    <row r="534">
      <c r="A534" s="224"/>
      <c r="B534" s="229"/>
      <c r="C534" s="225"/>
      <c r="D534" s="226"/>
      <c r="E534" s="227"/>
      <c r="F534" s="228"/>
      <c r="G534" s="33"/>
      <c r="H534" s="143"/>
      <c r="I534" s="111"/>
      <c r="J534" s="112"/>
      <c r="K534" s="230"/>
      <c r="L534" s="31"/>
      <c r="M534" s="39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</row>
    <row r="535">
      <c r="A535" s="224"/>
      <c r="B535" s="229"/>
      <c r="C535" s="225"/>
      <c r="D535" s="226"/>
      <c r="E535" s="227"/>
      <c r="F535" s="228"/>
      <c r="G535" s="33"/>
      <c r="H535" s="143"/>
      <c r="I535" s="111"/>
      <c r="J535" s="112"/>
      <c r="K535" s="230"/>
      <c r="L535" s="31"/>
      <c r="M535" s="39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</row>
    <row r="536">
      <c r="A536" s="224"/>
      <c r="B536" s="229"/>
      <c r="C536" s="225"/>
      <c r="D536" s="226"/>
      <c r="E536" s="227"/>
      <c r="F536" s="228"/>
      <c r="G536" s="33"/>
      <c r="H536" s="143"/>
      <c r="I536" s="111"/>
      <c r="J536" s="112"/>
      <c r="K536" s="230"/>
      <c r="L536" s="31"/>
      <c r="M536" s="39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</row>
    <row r="537">
      <c r="A537" s="224"/>
      <c r="B537" s="229"/>
      <c r="C537" s="225"/>
      <c r="D537" s="226"/>
      <c r="E537" s="227"/>
      <c r="F537" s="228"/>
      <c r="G537" s="33"/>
      <c r="H537" s="143"/>
      <c r="I537" s="111"/>
      <c r="J537" s="112"/>
      <c r="K537" s="230"/>
      <c r="L537" s="31"/>
      <c r="M537" s="39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</row>
    <row r="538">
      <c r="A538" s="224"/>
      <c r="B538" s="229"/>
      <c r="C538" s="225"/>
      <c r="D538" s="226"/>
      <c r="E538" s="227"/>
      <c r="F538" s="228"/>
      <c r="G538" s="33"/>
      <c r="H538" s="143"/>
      <c r="I538" s="111"/>
      <c r="J538" s="112"/>
      <c r="K538" s="230"/>
      <c r="L538" s="31"/>
      <c r="M538" s="39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</row>
    <row r="539">
      <c r="A539" s="224"/>
      <c r="B539" s="229"/>
      <c r="C539" s="225"/>
      <c r="D539" s="226"/>
      <c r="E539" s="227"/>
      <c r="F539" s="228"/>
      <c r="G539" s="33"/>
      <c r="H539" s="143"/>
      <c r="I539" s="111"/>
      <c r="J539" s="112"/>
      <c r="K539" s="230"/>
      <c r="L539" s="31"/>
      <c r="M539" s="39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</row>
    <row r="540">
      <c r="A540" s="224"/>
      <c r="B540" s="229"/>
      <c r="C540" s="225"/>
      <c r="D540" s="226"/>
      <c r="E540" s="227"/>
      <c r="F540" s="228"/>
      <c r="G540" s="33"/>
      <c r="H540" s="143"/>
      <c r="I540" s="111"/>
      <c r="J540" s="112"/>
      <c r="K540" s="230"/>
      <c r="L540" s="31"/>
      <c r="M540" s="39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</row>
    <row r="541">
      <c r="A541" s="224"/>
      <c r="B541" s="229"/>
      <c r="C541" s="225"/>
      <c r="D541" s="226"/>
      <c r="E541" s="227"/>
      <c r="F541" s="228"/>
      <c r="G541" s="33"/>
      <c r="H541" s="143"/>
      <c r="I541" s="111"/>
      <c r="J541" s="112"/>
      <c r="K541" s="230"/>
      <c r="L541" s="31"/>
      <c r="M541" s="39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</row>
    <row r="542">
      <c r="A542" s="224"/>
      <c r="B542" s="229"/>
      <c r="C542" s="225"/>
      <c r="D542" s="226"/>
      <c r="E542" s="227"/>
      <c r="F542" s="228"/>
      <c r="G542" s="33"/>
      <c r="H542" s="143"/>
      <c r="I542" s="111"/>
      <c r="J542" s="112"/>
      <c r="K542" s="230"/>
      <c r="L542" s="31"/>
      <c r="M542" s="39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</row>
    <row r="543">
      <c r="A543" s="224"/>
      <c r="B543" s="229"/>
      <c r="C543" s="225"/>
      <c r="D543" s="226"/>
      <c r="E543" s="227"/>
      <c r="F543" s="228"/>
      <c r="G543" s="33"/>
      <c r="H543" s="143"/>
      <c r="I543" s="111"/>
      <c r="J543" s="112"/>
      <c r="K543" s="230"/>
      <c r="L543" s="31"/>
      <c r="M543" s="39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</row>
    <row r="544">
      <c r="A544" s="224"/>
      <c r="B544" s="229"/>
      <c r="C544" s="225"/>
      <c r="D544" s="226"/>
      <c r="E544" s="227"/>
      <c r="F544" s="228"/>
      <c r="G544" s="33"/>
      <c r="H544" s="143"/>
      <c r="I544" s="111"/>
      <c r="J544" s="112"/>
      <c r="K544" s="230"/>
      <c r="L544" s="31"/>
      <c r="M544" s="39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</row>
    <row r="545">
      <c r="A545" s="224"/>
      <c r="B545" s="229"/>
      <c r="C545" s="225"/>
      <c r="D545" s="226"/>
      <c r="E545" s="227"/>
      <c r="F545" s="228"/>
      <c r="G545" s="33"/>
      <c r="H545" s="143"/>
      <c r="I545" s="111"/>
      <c r="J545" s="112"/>
      <c r="K545" s="230"/>
      <c r="L545" s="31"/>
      <c r="M545" s="39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</row>
    <row r="546">
      <c r="A546" s="224"/>
      <c r="B546" s="229"/>
      <c r="C546" s="225"/>
      <c r="D546" s="226"/>
      <c r="E546" s="227"/>
      <c r="F546" s="228"/>
      <c r="G546" s="33"/>
      <c r="H546" s="143"/>
      <c r="I546" s="111"/>
      <c r="J546" s="112"/>
      <c r="K546" s="230"/>
      <c r="L546" s="31"/>
      <c r="M546" s="39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</row>
    <row r="547">
      <c r="A547" s="224"/>
      <c r="B547" s="229"/>
      <c r="C547" s="225"/>
      <c r="D547" s="226"/>
      <c r="E547" s="227"/>
      <c r="F547" s="228"/>
      <c r="G547" s="33"/>
      <c r="H547" s="143"/>
      <c r="I547" s="111"/>
      <c r="J547" s="112"/>
      <c r="K547" s="230"/>
      <c r="L547" s="31"/>
      <c r="M547" s="39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</row>
    <row r="548">
      <c r="A548" s="224"/>
      <c r="B548" s="229"/>
      <c r="C548" s="225"/>
      <c r="D548" s="226"/>
      <c r="E548" s="227"/>
      <c r="F548" s="228"/>
      <c r="G548" s="33"/>
      <c r="H548" s="143"/>
      <c r="I548" s="111"/>
      <c r="J548" s="112"/>
      <c r="K548" s="230"/>
      <c r="L548" s="31"/>
      <c r="M548" s="39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</row>
    <row r="549">
      <c r="A549" s="224"/>
      <c r="B549" s="229"/>
      <c r="C549" s="225"/>
      <c r="D549" s="226"/>
      <c r="E549" s="227"/>
      <c r="F549" s="228"/>
      <c r="G549" s="33"/>
      <c r="H549" s="143"/>
      <c r="I549" s="111"/>
      <c r="J549" s="112"/>
      <c r="K549" s="230"/>
      <c r="L549" s="31"/>
      <c r="M549" s="39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</row>
    <row r="550">
      <c r="A550" s="224"/>
      <c r="B550" s="229"/>
      <c r="C550" s="225"/>
      <c r="D550" s="226"/>
      <c r="E550" s="227"/>
      <c r="F550" s="228"/>
      <c r="G550" s="33"/>
      <c r="H550" s="143"/>
      <c r="I550" s="111"/>
      <c r="J550" s="112"/>
      <c r="K550" s="230"/>
      <c r="L550" s="31"/>
      <c r="M550" s="39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</row>
    <row r="551">
      <c r="A551" s="224"/>
      <c r="B551" s="229"/>
      <c r="C551" s="225"/>
      <c r="D551" s="226"/>
      <c r="E551" s="227"/>
      <c r="F551" s="228"/>
      <c r="G551" s="33"/>
      <c r="H551" s="143"/>
      <c r="I551" s="111"/>
      <c r="J551" s="112"/>
      <c r="K551" s="230"/>
      <c r="L551" s="31"/>
      <c r="M551" s="39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</row>
    <row r="552">
      <c r="A552" s="224"/>
      <c r="B552" s="229"/>
      <c r="C552" s="225"/>
      <c r="D552" s="226"/>
      <c r="E552" s="227"/>
      <c r="F552" s="228"/>
      <c r="G552" s="33"/>
      <c r="H552" s="143"/>
      <c r="I552" s="111"/>
      <c r="J552" s="112"/>
      <c r="K552" s="230"/>
      <c r="L552" s="31"/>
      <c r="M552" s="39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</row>
    <row r="553">
      <c r="A553" s="224"/>
      <c r="B553" s="229"/>
      <c r="C553" s="225"/>
      <c r="D553" s="226"/>
      <c r="E553" s="227"/>
      <c r="F553" s="228"/>
      <c r="G553" s="33"/>
      <c r="H553" s="143"/>
      <c r="I553" s="111"/>
      <c r="J553" s="112"/>
      <c r="K553" s="230"/>
      <c r="L553" s="31"/>
      <c r="M553" s="39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</row>
    <row r="554">
      <c r="A554" s="224"/>
      <c r="B554" s="229"/>
      <c r="C554" s="225"/>
      <c r="D554" s="226"/>
      <c r="E554" s="227"/>
      <c r="F554" s="228"/>
      <c r="G554" s="33"/>
      <c r="H554" s="143"/>
      <c r="I554" s="111"/>
      <c r="J554" s="112"/>
      <c r="K554" s="230"/>
      <c r="L554" s="31"/>
      <c r="M554" s="39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</row>
    <row r="555">
      <c r="A555" s="224"/>
      <c r="B555" s="229"/>
      <c r="C555" s="225"/>
      <c r="D555" s="226"/>
      <c r="E555" s="227"/>
      <c r="F555" s="228"/>
      <c r="G555" s="33"/>
      <c r="H555" s="143"/>
      <c r="I555" s="111"/>
      <c r="J555" s="112"/>
      <c r="K555" s="230"/>
      <c r="L555" s="31"/>
      <c r="M555" s="39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</row>
    <row r="556">
      <c r="A556" s="224"/>
      <c r="B556" s="229"/>
      <c r="C556" s="225"/>
      <c r="D556" s="226"/>
      <c r="E556" s="227"/>
      <c r="F556" s="228"/>
      <c r="G556" s="33"/>
      <c r="H556" s="143"/>
      <c r="I556" s="111"/>
      <c r="J556" s="112"/>
      <c r="K556" s="230"/>
      <c r="L556" s="31"/>
      <c r="M556" s="39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</row>
    <row r="557">
      <c r="A557" s="224"/>
      <c r="B557" s="229"/>
      <c r="C557" s="225"/>
      <c r="D557" s="226"/>
      <c r="E557" s="227"/>
      <c r="F557" s="228"/>
      <c r="G557" s="33"/>
      <c r="H557" s="143"/>
      <c r="I557" s="111"/>
      <c r="J557" s="112"/>
      <c r="K557" s="230"/>
      <c r="L557" s="31"/>
      <c r="M557" s="39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</row>
    <row r="558">
      <c r="A558" s="224"/>
      <c r="B558" s="229"/>
      <c r="C558" s="225"/>
      <c r="D558" s="226"/>
      <c r="E558" s="227"/>
      <c r="F558" s="228"/>
      <c r="G558" s="33"/>
      <c r="H558" s="143"/>
      <c r="I558" s="111"/>
      <c r="J558" s="112"/>
      <c r="K558" s="230"/>
      <c r="L558" s="31"/>
      <c r="M558" s="39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</row>
    <row r="559">
      <c r="A559" s="224"/>
      <c r="B559" s="229"/>
      <c r="C559" s="225"/>
      <c r="D559" s="226"/>
      <c r="E559" s="227"/>
      <c r="F559" s="228"/>
      <c r="G559" s="33"/>
      <c r="H559" s="143"/>
      <c r="I559" s="111"/>
      <c r="J559" s="112"/>
      <c r="K559" s="230"/>
      <c r="L559" s="31"/>
      <c r="M559" s="39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</row>
    <row r="560">
      <c r="A560" s="224"/>
      <c r="B560" s="229"/>
      <c r="C560" s="225"/>
      <c r="D560" s="226"/>
      <c r="E560" s="227"/>
      <c r="F560" s="228"/>
      <c r="G560" s="33"/>
      <c r="H560" s="143"/>
      <c r="I560" s="111"/>
      <c r="J560" s="112"/>
      <c r="K560" s="230"/>
      <c r="L560" s="31"/>
      <c r="M560" s="39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</row>
    <row r="561">
      <c r="A561" s="224"/>
      <c r="B561" s="229"/>
      <c r="C561" s="225"/>
      <c r="D561" s="226"/>
      <c r="E561" s="227"/>
      <c r="F561" s="228"/>
      <c r="G561" s="33"/>
      <c r="H561" s="143"/>
      <c r="I561" s="111"/>
      <c r="J561" s="112"/>
      <c r="K561" s="230"/>
      <c r="L561" s="31"/>
      <c r="M561" s="39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</row>
    <row r="562">
      <c r="A562" s="224"/>
      <c r="B562" s="229"/>
      <c r="C562" s="225"/>
      <c r="D562" s="226"/>
      <c r="E562" s="227"/>
      <c r="F562" s="228"/>
      <c r="G562" s="33"/>
      <c r="H562" s="143"/>
      <c r="I562" s="111"/>
      <c r="J562" s="112"/>
      <c r="K562" s="230"/>
      <c r="L562" s="31"/>
      <c r="M562" s="39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</row>
    <row r="563">
      <c r="A563" s="224"/>
      <c r="B563" s="229"/>
      <c r="C563" s="225"/>
      <c r="D563" s="226"/>
      <c r="E563" s="227"/>
      <c r="F563" s="228"/>
      <c r="G563" s="33"/>
      <c r="H563" s="143"/>
      <c r="I563" s="111"/>
      <c r="J563" s="112"/>
      <c r="K563" s="230"/>
      <c r="L563" s="31"/>
      <c r="M563" s="39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</row>
    <row r="564">
      <c r="A564" s="224"/>
      <c r="B564" s="229"/>
      <c r="C564" s="225"/>
      <c r="D564" s="226"/>
      <c r="E564" s="227"/>
      <c r="F564" s="228"/>
      <c r="G564" s="33"/>
      <c r="H564" s="143"/>
      <c r="I564" s="111"/>
      <c r="J564" s="112"/>
      <c r="K564" s="230"/>
      <c r="L564" s="31"/>
      <c r="M564" s="39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</row>
    <row r="565">
      <c r="A565" s="224"/>
      <c r="B565" s="229"/>
      <c r="C565" s="225"/>
      <c r="D565" s="226"/>
      <c r="E565" s="227"/>
      <c r="F565" s="228"/>
      <c r="G565" s="33"/>
      <c r="H565" s="143"/>
      <c r="I565" s="111"/>
      <c r="J565" s="112"/>
      <c r="K565" s="230"/>
      <c r="L565" s="31"/>
      <c r="M565" s="39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</row>
    <row r="566">
      <c r="A566" s="224"/>
      <c r="B566" s="229"/>
      <c r="C566" s="225"/>
      <c r="D566" s="226"/>
      <c r="E566" s="227"/>
      <c r="F566" s="228"/>
      <c r="G566" s="33"/>
      <c r="H566" s="143"/>
      <c r="I566" s="111"/>
      <c r="J566" s="112"/>
      <c r="K566" s="230"/>
      <c r="L566" s="31"/>
      <c r="M566" s="39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</row>
    <row r="567">
      <c r="A567" s="224"/>
      <c r="B567" s="229"/>
      <c r="C567" s="225"/>
      <c r="D567" s="226"/>
      <c r="E567" s="227"/>
      <c r="F567" s="228"/>
      <c r="G567" s="33"/>
      <c r="H567" s="143"/>
      <c r="I567" s="111"/>
      <c r="J567" s="112"/>
      <c r="K567" s="230"/>
      <c r="L567" s="31"/>
      <c r="M567" s="39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</row>
    <row r="568">
      <c r="A568" s="224"/>
      <c r="B568" s="229"/>
      <c r="C568" s="225"/>
      <c r="D568" s="226"/>
      <c r="E568" s="227"/>
      <c r="F568" s="228"/>
      <c r="G568" s="33"/>
      <c r="H568" s="143"/>
      <c r="I568" s="111"/>
      <c r="J568" s="112"/>
      <c r="K568" s="230"/>
      <c r="L568" s="31"/>
      <c r="M568" s="39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</row>
    <row r="569">
      <c r="A569" s="224"/>
      <c r="B569" s="229"/>
      <c r="C569" s="225"/>
      <c r="D569" s="226"/>
      <c r="E569" s="227"/>
      <c r="F569" s="228"/>
      <c r="G569" s="33"/>
      <c r="H569" s="143"/>
      <c r="I569" s="111"/>
      <c r="J569" s="112"/>
      <c r="K569" s="230"/>
      <c r="L569" s="31"/>
      <c r="M569" s="39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</row>
    <row r="570">
      <c r="A570" s="224"/>
      <c r="B570" s="229"/>
      <c r="C570" s="225"/>
      <c r="D570" s="226"/>
      <c r="E570" s="227"/>
      <c r="F570" s="228"/>
      <c r="G570" s="33"/>
      <c r="H570" s="143"/>
      <c r="I570" s="111"/>
      <c r="J570" s="112"/>
      <c r="K570" s="230"/>
      <c r="L570" s="31"/>
      <c r="M570" s="39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</row>
    <row r="571">
      <c r="A571" s="224"/>
      <c r="B571" s="229"/>
      <c r="C571" s="225"/>
      <c r="D571" s="226"/>
      <c r="E571" s="227"/>
      <c r="F571" s="228"/>
      <c r="G571" s="33"/>
      <c r="H571" s="143"/>
      <c r="I571" s="111"/>
      <c r="J571" s="112"/>
      <c r="K571" s="230"/>
      <c r="L571" s="31"/>
      <c r="M571" s="39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</row>
    <row r="572">
      <c r="A572" s="224"/>
      <c r="B572" s="229"/>
      <c r="C572" s="225"/>
      <c r="D572" s="226"/>
      <c r="E572" s="227"/>
      <c r="F572" s="228"/>
      <c r="G572" s="33"/>
      <c r="H572" s="143"/>
      <c r="I572" s="111"/>
      <c r="J572" s="112"/>
      <c r="K572" s="230"/>
      <c r="L572" s="31"/>
      <c r="M572" s="39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</row>
    <row r="573">
      <c r="A573" s="224"/>
      <c r="B573" s="229"/>
      <c r="C573" s="225"/>
      <c r="D573" s="226"/>
      <c r="E573" s="227"/>
      <c r="F573" s="228"/>
      <c r="G573" s="33"/>
      <c r="H573" s="143"/>
      <c r="I573" s="111"/>
      <c r="J573" s="112"/>
      <c r="K573" s="230"/>
      <c r="L573" s="31"/>
      <c r="M573" s="39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</row>
    <row r="574">
      <c r="A574" s="224"/>
      <c r="B574" s="229"/>
      <c r="C574" s="225"/>
      <c r="D574" s="226"/>
      <c r="E574" s="227"/>
      <c r="F574" s="228"/>
      <c r="G574" s="33"/>
      <c r="H574" s="143"/>
      <c r="I574" s="111"/>
      <c r="J574" s="112"/>
      <c r="K574" s="230"/>
      <c r="L574" s="31"/>
      <c r="M574" s="39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</row>
    <row r="575">
      <c r="A575" s="224"/>
      <c r="B575" s="229"/>
      <c r="C575" s="225"/>
      <c r="D575" s="226"/>
      <c r="E575" s="227"/>
      <c r="F575" s="228"/>
      <c r="G575" s="33"/>
      <c r="H575" s="143"/>
      <c r="I575" s="111"/>
      <c r="J575" s="112"/>
      <c r="K575" s="230"/>
      <c r="L575" s="31"/>
      <c r="M575" s="39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</row>
    <row r="576">
      <c r="A576" s="224"/>
      <c r="B576" s="229"/>
      <c r="C576" s="225"/>
      <c r="D576" s="226"/>
      <c r="E576" s="227"/>
      <c r="F576" s="228"/>
      <c r="G576" s="33"/>
      <c r="H576" s="143"/>
      <c r="I576" s="111"/>
      <c r="J576" s="112"/>
      <c r="K576" s="230"/>
      <c r="L576" s="31"/>
      <c r="M576" s="39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</row>
    <row r="577">
      <c r="A577" s="224"/>
      <c r="B577" s="229"/>
      <c r="C577" s="225"/>
      <c r="D577" s="226"/>
      <c r="E577" s="227"/>
      <c r="F577" s="228"/>
      <c r="G577" s="33"/>
      <c r="H577" s="143"/>
      <c r="I577" s="111"/>
      <c r="J577" s="112"/>
      <c r="K577" s="230"/>
      <c r="L577" s="31"/>
      <c r="M577" s="39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</row>
    <row r="578">
      <c r="A578" s="224"/>
      <c r="B578" s="229"/>
      <c r="C578" s="225"/>
      <c r="D578" s="226"/>
      <c r="E578" s="227"/>
      <c r="F578" s="228"/>
      <c r="G578" s="33"/>
      <c r="H578" s="143"/>
      <c r="I578" s="111"/>
      <c r="J578" s="112"/>
      <c r="K578" s="230"/>
      <c r="L578" s="31"/>
      <c r="M578" s="39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</row>
    <row r="579">
      <c r="A579" s="224"/>
      <c r="B579" s="229"/>
      <c r="C579" s="225"/>
      <c r="D579" s="226"/>
      <c r="E579" s="227"/>
      <c r="F579" s="228"/>
      <c r="G579" s="33"/>
      <c r="H579" s="143"/>
      <c r="I579" s="111"/>
      <c r="J579" s="112"/>
      <c r="K579" s="230"/>
      <c r="L579" s="31"/>
      <c r="M579" s="39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</row>
    <row r="580">
      <c r="A580" s="224"/>
      <c r="B580" s="229"/>
      <c r="C580" s="225"/>
      <c r="D580" s="226"/>
      <c r="E580" s="227"/>
      <c r="F580" s="228"/>
      <c r="G580" s="33"/>
      <c r="H580" s="143"/>
      <c r="I580" s="111"/>
      <c r="J580" s="112"/>
      <c r="K580" s="230"/>
      <c r="L580" s="31"/>
      <c r="M580" s="39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</row>
    <row r="581">
      <c r="A581" s="224"/>
      <c r="B581" s="229"/>
      <c r="C581" s="225"/>
      <c r="D581" s="226"/>
      <c r="E581" s="227"/>
      <c r="F581" s="228"/>
      <c r="G581" s="33"/>
      <c r="H581" s="143"/>
      <c r="I581" s="111"/>
      <c r="J581" s="112"/>
      <c r="K581" s="230"/>
      <c r="L581" s="31"/>
      <c r="M581" s="39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</row>
    <row r="582">
      <c r="A582" s="224"/>
      <c r="B582" s="229"/>
      <c r="C582" s="225"/>
      <c r="D582" s="226"/>
      <c r="E582" s="227"/>
      <c r="F582" s="228"/>
      <c r="G582" s="33"/>
      <c r="H582" s="143"/>
      <c r="I582" s="111"/>
      <c r="J582" s="112"/>
      <c r="K582" s="230"/>
      <c r="L582" s="31"/>
      <c r="M582" s="39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</row>
    <row r="583">
      <c r="A583" s="224"/>
      <c r="B583" s="229"/>
      <c r="C583" s="225"/>
      <c r="D583" s="226"/>
      <c r="E583" s="227"/>
      <c r="F583" s="228"/>
      <c r="G583" s="33"/>
      <c r="H583" s="143"/>
      <c r="I583" s="111"/>
      <c r="J583" s="112"/>
      <c r="K583" s="230"/>
      <c r="L583" s="31"/>
      <c r="M583" s="39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</row>
    <row r="584">
      <c r="A584" s="224"/>
      <c r="B584" s="229"/>
      <c r="C584" s="225"/>
      <c r="D584" s="226"/>
      <c r="E584" s="227"/>
      <c r="F584" s="228"/>
      <c r="G584" s="33"/>
      <c r="H584" s="143"/>
      <c r="I584" s="111"/>
      <c r="J584" s="112"/>
      <c r="K584" s="230"/>
      <c r="L584" s="31"/>
      <c r="M584" s="39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</row>
    <row r="585">
      <c r="A585" s="224"/>
      <c r="B585" s="229"/>
      <c r="C585" s="225"/>
      <c r="D585" s="226"/>
      <c r="E585" s="227"/>
      <c r="F585" s="228"/>
      <c r="G585" s="33"/>
      <c r="H585" s="143"/>
      <c r="I585" s="111"/>
      <c r="J585" s="112"/>
      <c r="K585" s="230"/>
      <c r="L585" s="31"/>
      <c r="M585" s="39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</row>
    <row r="586">
      <c r="A586" s="224"/>
      <c r="B586" s="229"/>
      <c r="C586" s="225"/>
      <c r="D586" s="226"/>
      <c r="E586" s="227"/>
      <c r="F586" s="228"/>
      <c r="G586" s="33"/>
      <c r="H586" s="143"/>
      <c r="I586" s="111"/>
      <c r="J586" s="112"/>
      <c r="K586" s="230"/>
      <c r="L586" s="31"/>
      <c r="M586" s="39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</row>
    <row r="587">
      <c r="A587" s="224"/>
      <c r="B587" s="229"/>
      <c r="C587" s="225"/>
      <c r="D587" s="226"/>
      <c r="E587" s="227"/>
      <c r="F587" s="228"/>
      <c r="G587" s="33"/>
      <c r="H587" s="143"/>
      <c r="I587" s="111"/>
      <c r="J587" s="112"/>
      <c r="K587" s="230"/>
      <c r="L587" s="31"/>
      <c r="M587" s="39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</row>
    <row r="588">
      <c r="A588" s="224"/>
      <c r="B588" s="229"/>
      <c r="C588" s="225"/>
      <c r="D588" s="226"/>
      <c r="E588" s="227"/>
      <c r="F588" s="228"/>
      <c r="G588" s="33"/>
      <c r="H588" s="143"/>
      <c r="I588" s="111"/>
      <c r="J588" s="112"/>
      <c r="K588" s="230"/>
      <c r="L588" s="31"/>
      <c r="M588" s="39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</row>
    <row r="589">
      <c r="A589" s="224"/>
      <c r="B589" s="229"/>
      <c r="C589" s="225"/>
      <c r="D589" s="226"/>
      <c r="E589" s="227"/>
      <c r="F589" s="228"/>
      <c r="G589" s="33"/>
      <c r="H589" s="143"/>
      <c r="I589" s="111"/>
      <c r="J589" s="112"/>
      <c r="K589" s="230"/>
      <c r="L589" s="31"/>
      <c r="M589" s="39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</row>
    <row r="590">
      <c r="A590" s="224"/>
      <c r="B590" s="229"/>
      <c r="C590" s="225"/>
      <c r="D590" s="226"/>
      <c r="E590" s="227"/>
      <c r="F590" s="228"/>
      <c r="G590" s="33"/>
      <c r="H590" s="143"/>
      <c r="I590" s="111"/>
      <c r="J590" s="112"/>
      <c r="K590" s="230"/>
      <c r="L590" s="31"/>
      <c r="M590" s="39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</row>
    <row r="591">
      <c r="A591" s="224"/>
      <c r="B591" s="229"/>
      <c r="C591" s="225"/>
      <c r="D591" s="226"/>
      <c r="E591" s="227"/>
      <c r="F591" s="228"/>
      <c r="G591" s="33"/>
      <c r="H591" s="143"/>
      <c r="I591" s="111"/>
      <c r="J591" s="112"/>
      <c r="K591" s="230"/>
      <c r="L591" s="31"/>
      <c r="M591" s="39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</row>
    <row r="592">
      <c r="A592" s="224"/>
      <c r="B592" s="229"/>
      <c r="C592" s="225"/>
      <c r="D592" s="226"/>
      <c r="E592" s="227"/>
      <c r="F592" s="228"/>
      <c r="G592" s="33"/>
      <c r="H592" s="143"/>
      <c r="I592" s="111"/>
      <c r="J592" s="112"/>
      <c r="K592" s="230"/>
      <c r="L592" s="31"/>
      <c r="M592" s="39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</row>
    <row r="593">
      <c r="A593" s="224"/>
      <c r="B593" s="229"/>
      <c r="C593" s="225"/>
      <c r="D593" s="226"/>
      <c r="E593" s="227"/>
      <c r="F593" s="228"/>
      <c r="G593" s="33"/>
      <c r="H593" s="143"/>
      <c r="I593" s="111"/>
      <c r="J593" s="112"/>
      <c r="K593" s="230"/>
      <c r="L593" s="31"/>
      <c r="M593" s="39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</row>
    <row r="594">
      <c r="A594" s="224"/>
      <c r="B594" s="229"/>
      <c r="C594" s="225"/>
      <c r="D594" s="226"/>
      <c r="E594" s="227"/>
      <c r="F594" s="228"/>
      <c r="G594" s="33"/>
      <c r="H594" s="143"/>
      <c r="I594" s="111"/>
      <c r="J594" s="112"/>
      <c r="K594" s="230"/>
      <c r="L594" s="31"/>
      <c r="M594" s="39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</row>
    <row r="595">
      <c r="A595" s="224"/>
      <c r="B595" s="229"/>
      <c r="C595" s="225"/>
      <c r="D595" s="226"/>
      <c r="E595" s="227"/>
      <c r="F595" s="228"/>
      <c r="G595" s="33"/>
      <c r="H595" s="143"/>
      <c r="I595" s="111"/>
      <c r="J595" s="112"/>
      <c r="K595" s="230"/>
      <c r="L595" s="31"/>
      <c r="M595" s="39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</row>
    <row r="596">
      <c r="A596" s="224"/>
      <c r="B596" s="229"/>
      <c r="C596" s="225"/>
      <c r="D596" s="226"/>
      <c r="E596" s="227"/>
      <c r="F596" s="228"/>
      <c r="G596" s="33"/>
      <c r="H596" s="143"/>
      <c r="I596" s="111"/>
      <c r="J596" s="112"/>
      <c r="K596" s="230"/>
      <c r="L596" s="31"/>
      <c r="M596" s="39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</row>
    <row r="597">
      <c r="A597" s="224"/>
      <c r="B597" s="229"/>
      <c r="C597" s="225"/>
      <c r="D597" s="226"/>
      <c r="E597" s="227"/>
      <c r="F597" s="228"/>
      <c r="G597" s="33"/>
      <c r="H597" s="143"/>
      <c r="I597" s="111"/>
      <c r="J597" s="112"/>
      <c r="K597" s="230"/>
      <c r="L597" s="31"/>
      <c r="M597" s="39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</row>
    <row r="598">
      <c r="A598" s="224"/>
      <c r="B598" s="229"/>
      <c r="C598" s="225"/>
      <c r="D598" s="226"/>
      <c r="E598" s="227"/>
      <c r="F598" s="228"/>
      <c r="G598" s="33"/>
      <c r="H598" s="143"/>
      <c r="I598" s="111"/>
      <c r="J598" s="112"/>
      <c r="K598" s="230"/>
      <c r="L598" s="31"/>
      <c r="M598" s="39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</row>
    <row r="599">
      <c r="A599" s="224"/>
      <c r="B599" s="229"/>
      <c r="C599" s="225"/>
      <c r="D599" s="226"/>
      <c r="E599" s="227"/>
      <c r="F599" s="228"/>
      <c r="G599" s="33"/>
      <c r="H599" s="143"/>
      <c r="I599" s="111"/>
      <c r="J599" s="112"/>
      <c r="K599" s="230"/>
      <c r="L599" s="31"/>
      <c r="M599" s="39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</row>
    <row r="600">
      <c r="A600" s="224"/>
      <c r="B600" s="229"/>
      <c r="C600" s="225"/>
      <c r="D600" s="226"/>
      <c r="E600" s="227"/>
      <c r="F600" s="228"/>
      <c r="G600" s="33"/>
      <c r="H600" s="143"/>
      <c r="I600" s="111"/>
      <c r="J600" s="112"/>
      <c r="K600" s="230"/>
      <c r="L600" s="31"/>
      <c r="M600" s="39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</row>
    <row r="601">
      <c r="A601" s="224"/>
      <c r="B601" s="229"/>
      <c r="C601" s="225"/>
      <c r="D601" s="226"/>
      <c r="E601" s="227"/>
      <c r="F601" s="228"/>
      <c r="G601" s="33"/>
      <c r="H601" s="143"/>
      <c r="I601" s="111"/>
      <c r="J601" s="112"/>
      <c r="K601" s="230"/>
      <c r="L601" s="31"/>
      <c r="M601" s="39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</row>
    <row r="602">
      <c r="A602" s="224"/>
      <c r="B602" s="229"/>
      <c r="C602" s="225"/>
      <c r="D602" s="226"/>
      <c r="E602" s="227"/>
      <c r="F602" s="228"/>
      <c r="G602" s="33"/>
      <c r="H602" s="143"/>
      <c r="I602" s="111"/>
      <c r="J602" s="112"/>
      <c r="K602" s="230"/>
      <c r="L602" s="31"/>
      <c r="M602" s="39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</row>
    <row r="603">
      <c r="A603" s="224"/>
      <c r="B603" s="229"/>
      <c r="C603" s="225"/>
      <c r="D603" s="226"/>
      <c r="E603" s="227"/>
      <c r="F603" s="228"/>
      <c r="G603" s="33"/>
      <c r="H603" s="143"/>
      <c r="I603" s="111"/>
      <c r="J603" s="112"/>
      <c r="K603" s="230"/>
      <c r="L603" s="31"/>
      <c r="M603" s="39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</row>
    <row r="604">
      <c r="A604" s="224"/>
      <c r="B604" s="229"/>
      <c r="C604" s="225"/>
      <c r="D604" s="226"/>
      <c r="E604" s="227"/>
      <c r="F604" s="228"/>
      <c r="G604" s="33"/>
      <c r="H604" s="143"/>
      <c r="I604" s="111"/>
      <c r="J604" s="112"/>
      <c r="K604" s="230"/>
      <c r="L604" s="31"/>
      <c r="M604" s="39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</row>
    <row r="605">
      <c r="A605" s="224"/>
      <c r="B605" s="229"/>
      <c r="C605" s="225"/>
      <c r="D605" s="226"/>
      <c r="E605" s="227"/>
      <c r="F605" s="228"/>
      <c r="G605" s="33"/>
      <c r="H605" s="143"/>
      <c r="I605" s="111"/>
      <c r="J605" s="112"/>
      <c r="K605" s="230"/>
      <c r="L605" s="31"/>
      <c r="M605" s="39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</row>
    <row r="606">
      <c r="A606" s="224"/>
      <c r="B606" s="229"/>
      <c r="C606" s="225"/>
      <c r="D606" s="226"/>
      <c r="E606" s="227"/>
      <c r="F606" s="228"/>
      <c r="G606" s="33"/>
      <c r="H606" s="143"/>
      <c r="I606" s="111"/>
      <c r="J606" s="112"/>
      <c r="K606" s="230"/>
      <c r="L606" s="31"/>
      <c r="M606" s="39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</row>
    <row r="607">
      <c r="A607" s="224"/>
      <c r="B607" s="229"/>
      <c r="C607" s="225"/>
      <c r="D607" s="226"/>
      <c r="E607" s="227"/>
      <c r="F607" s="228"/>
      <c r="G607" s="33"/>
      <c r="H607" s="143"/>
      <c r="I607" s="111"/>
      <c r="J607" s="112"/>
      <c r="K607" s="230"/>
      <c r="L607" s="31"/>
      <c r="M607" s="39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</row>
    <row r="608">
      <c r="A608" s="224"/>
      <c r="B608" s="229"/>
      <c r="C608" s="225"/>
      <c r="D608" s="226"/>
      <c r="E608" s="227"/>
      <c r="F608" s="228"/>
      <c r="G608" s="33"/>
      <c r="H608" s="143"/>
      <c r="I608" s="111"/>
      <c r="J608" s="112"/>
      <c r="K608" s="230"/>
      <c r="L608" s="31"/>
      <c r="M608" s="39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</row>
    <row r="609">
      <c r="A609" s="224"/>
      <c r="B609" s="229"/>
      <c r="C609" s="225"/>
      <c r="D609" s="226"/>
      <c r="E609" s="227"/>
      <c r="F609" s="228"/>
      <c r="G609" s="33"/>
      <c r="H609" s="143"/>
      <c r="I609" s="111"/>
      <c r="J609" s="112"/>
      <c r="K609" s="230"/>
      <c r="L609" s="31"/>
      <c r="M609" s="39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</row>
    <row r="610">
      <c r="A610" s="224"/>
      <c r="B610" s="229"/>
      <c r="C610" s="225"/>
      <c r="D610" s="226"/>
      <c r="E610" s="227"/>
      <c r="F610" s="228"/>
      <c r="G610" s="33"/>
      <c r="H610" s="143"/>
      <c r="I610" s="111"/>
      <c r="J610" s="112"/>
      <c r="K610" s="230"/>
      <c r="L610" s="31"/>
      <c r="M610" s="39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</row>
    <row r="611">
      <c r="A611" s="224"/>
      <c r="B611" s="229"/>
      <c r="C611" s="225"/>
      <c r="D611" s="226"/>
      <c r="E611" s="227"/>
      <c r="F611" s="228"/>
      <c r="G611" s="33"/>
      <c r="H611" s="143"/>
      <c r="I611" s="111"/>
      <c r="J611" s="112"/>
      <c r="K611" s="230"/>
      <c r="L611" s="31"/>
      <c r="M611" s="39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</row>
    <row r="612">
      <c r="A612" s="224"/>
      <c r="B612" s="229"/>
      <c r="C612" s="225"/>
      <c r="D612" s="226"/>
      <c r="E612" s="227"/>
      <c r="F612" s="228"/>
      <c r="G612" s="33"/>
      <c r="H612" s="143"/>
      <c r="I612" s="111"/>
      <c r="J612" s="112"/>
      <c r="K612" s="230"/>
      <c r="L612" s="31"/>
      <c r="M612" s="39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</row>
    <row r="613">
      <c r="A613" s="224"/>
      <c r="B613" s="229"/>
      <c r="C613" s="225"/>
      <c r="D613" s="226"/>
      <c r="E613" s="227"/>
      <c r="F613" s="228"/>
      <c r="G613" s="33"/>
      <c r="H613" s="143"/>
      <c r="I613" s="111"/>
      <c r="J613" s="112"/>
      <c r="K613" s="230"/>
      <c r="L613" s="31"/>
      <c r="M613" s="39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</row>
    <row r="614">
      <c r="A614" s="224"/>
      <c r="B614" s="229"/>
      <c r="C614" s="225"/>
      <c r="D614" s="226"/>
      <c r="E614" s="227"/>
      <c r="F614" s="228"/>
      <c r="G614" s="33"/>
      <c r="H614" s="143"/>
      <c r="I614" s="111"/>
      <c r="J614" s="112"/>
      <c r="K614" s="230"/>
      <c r="L614" s="31"/>
      <c r="M614" s="39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</row>
    <row r="615">
      <c r="A615" s="224"/>
      <c r="B615" s="229"/>
      <c r="C615" s="225"/>
      <c r="D615" s="226"/>
      <c r="E615" s="227"/>
      <c r="F615" s="228"/>
      <c r="G615" s="33"/>
      <c r="H615" s="143"/>
      <c r="I615" s="111"/>
      <c r="J615" s="112"/>
      <c r="K615" s="230"/>
      <c r="L615" s="31"/>
      <c r="M615" s="39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</row>
    <row r="616">
      <c r="A616" s="224"/>
      <c r="B616" s="229"/>
      <c r="C616" s="225"/>
      <c r="D616" s="226"/>
      <c r="E616" s="227"/>
      <c r="F616" s="228"/>
      <c r="G616" s="33"/>
      <c r="H616" s="143"/>
      <c r="I616" s="111"/>
      <c r="J616" s="112"/>
      <c r="K616" s="230"/>
      <c r="L616" s="31"/>
      <c r="M616" s="39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</row>
    <row r="617">
      <c r="A617" s="224"/>
      <c r="B617" s="229"/>
      <c r="C617" s="225"/>
      <c r="D617" s="226"/>
      <c r="E617" s="227"/>
      <c r="F617" s="228"/>
      <c r="G617" s="33"/>
      <c r="H617" s="143"/>
      <c r="I617" s="111"/>
      <c r="J617" s="112"/>
      <c r="K617" s="230"/>
      <c r="L617" s="31"/>
      <c r="M617" s="39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</row>
    <row r="618">
      <c r="A618" s="224"/>
      <c r="B618" s="229"/>
      <c r="C618" s="225"/>
      <c r="D618" s="226"/>
      <c r="E618" s="227"/>
      <c r="F618" s="228"/>
      <c r="G618" s="33"/>
      <c r="H618" s="143"/>
      <c r="I618" s="111"/>
      <c r="J618" s="112"/>
      <c r="K618" s="230"/>
      <c r="L618" s="31"/>
      <c r="M618" s="39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</row>
    <row r="619">
      <c r="A619" s="224"/>
      <c r="B619" s="229"/>
      <c r="C619" s="225"/>
      <c r="D619" s="226"/>
      <c r="E619" s="227"/>
      <c r="F619" s="228"/>
      <c r="G619" s="33"/>
      <c r="H619" s="143"/>
      <c r="I619" s="111"/>
      <c r="J619" s="112"/>
      <c r="K619" s="230"/>
      <c r="L619" s="31"/>
      <c r="M619" s="39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</row>
    <row r="620">
      <c r="A620" s="224"/>
      <c r="B620" s="229"/>
      <c r="C620" s="225"/>
      <c r="D620" s="226"/>
      <c r="E620" s="227"/>
      <c r="F620" s="228"/>
      <c r="G620" s="33"/>
      <c r="H620" s="143"/>
      <c r="I620" s="111"/>
      <c r="J620" s="112"/>
      <c r="K620" s="230"/>
      <c r="L620" s="31"/>
      <c r="M620" s="39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</row>
    <row r="621">
      <c r="A621" s="224"/>
      <c r="B621" s="229"/>
      <c r="C621" s="225"/>
      <c r="D621" s="226"/>
      <c r="E621" s="227"/>
      <c r="F621" s="228"/>
      <c r="G621" s="33"/>
      <c r="H621" s="143"/>
      <c r="I621" s="111"/>
      <c r="J621" s="112"/>
      <c r="K621" s="230"/>
      <c r="L621" s="31"/>
      <c r="M621" s="39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</row>
    <row r="622">
      <c r="A622" s="224"/>
      <c r="B622" s="229"/>
      <c r="C622" s="225"/>
      <c r="D622" s="226"/>
      <c r="E622" s="227"/>
      <c r="F622" s="228"/>
      <c r="G622" s="33"/>
      <c r="H622" s="143"/>
      <c r="I622" s="111"/>
      <c r="J622" s="112"/>
      <c r="K622" s="230"/>
      <c r="L622" s="31"/>
      <c r="M622" s="39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</row>
    <row r="623">
      <c r="A623" s="224"/>
      <c r="B623" s="229"/>
      <c r="C623" s="225"/>
      <c r="D623" s="226"/>
      <c r="E623" s="227"/>
      <c r="F623" s="228"/>
      <c r="G623" s="33"/>
      <c r="H623" s="143"/>
      <c r="I623" s="111"/>
      <c r="J623" s="112"/>
      <c r="K623" s="230"/>
      <c r="L623" s="31"/>
      <c r="M623" s="39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</row>
    <row r="624">
      <c r="A624" s="224"/>
      <c r="B624" s="229"/>
      <c r="C624" s="225"/>
      <c r="D624" s="226"/>
      <c r="E624" s="227"/>
      <c r="F624" s="228"/>
      <c r="G624" s="33"/>
      <c r="H624" s="143"/>
      <c r="I624" s="111"/>
      <c r="J624" s="112"/>
      <c r="K624" s="230"/>
      <c r="L624" s="31"/>
      <c r="M624" s="39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</row>
    <row r="625">
      <c r="A625" s="224"/>
      <c r="B625" s="229"/>
      <c r="C625" s="225"/>
      <c r="D625" s="226"/>
      <c r="E625" s="227"/>
      <c r="F625" s="228"/>
      <c r="G625" s="33"/>
      <c r="H625" s="143"/>
      <c r="I625" s="111"/>
      <c r="J625" s="112"/>
      <c r="K625" s="230"/>
      <c r="L625" s="31"/>
      <c r="M625" s="39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</row>
    <row r="626">
      <c r="A626" s="224"/>
      <c r="B626" s="229"/>
      <c r="C626" s="225"/>
      <c r="D626" s="226"/>
      <c r="E626" s="227"/>
      <c r="F626" s="228"/>
      <c r="G626" s="33"/>
      <c r="H626" s="143"/>
      <c r="I626" s="111"/>
      <c r="J626" s="112"/>
      <c r="K626" s="230"/>
      <c r="L626" s="31"/>
      <c r="M626" s="39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</row>
    <row r="627">
      <c r="A627" s="224"/>
      <c r="B627" s="229"/>
      <c r="C627" s="225"/>
      <c r="D627" s="226"/>
      <c r="E627" s="227"/>
      <c r="F627" s="228"/>
      <c r="G627" s="33"/>
      <c r="H627" s="143"/>
      <c r="I627" s="111"/>
      <c r="J627" s="112"/>
      <c r="K627" s="230"/>
      <c r="L627" s="31"/>
      <c r="M627" s="39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</row>
    <row r="628">
      <c r="A628" s="224"/>
      <c r="B628" s="229"/>
      <c r="C628" s="225"/>
      <c r="D628" s="226"/>
      <c r="E628" s="227"/>
      <c r="F628" s="228"/>
      <c r="G628" s="33"/>
      <c r="H628" s="143"/>
      <c r="I628" s="111"/>
      <c r="J628" s="112"/>
      <c r="K628" s="230"/>
      <c r="L628" s="31"/>
      <c r="M628" s="39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</row>
    <row r="629">
      <c r="A629" s="224"/>
      <c r="B629" s="229"/>
      <c r="C629" s="225"/>
      <c r="D629" s="226"/>
      <c r="E629" s="227"/>
      <c r="F629" s="228"/>
      <c r="G629" s="33"/>
      <c r="H629" s="143"/>
      <c r="I629" s="111"/>
      <c r="J629" s="112"/>
      <c r="K629" s="230"/>
      <c r="L629" s="31"/>
      <c r="M629" s="39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</row>
    <row r="630">
      <c r="A630" s="224"/>
      <c r="B630" s="229"/>
      <c r="C630" s="225"/>
      <c r="D630" s="226"/>
      <c r="E630" s="227"/>
      <c r="F630" s="228"/>
      <c r="G630" s="33"/>
      <c r="H630" s="143"/>
      <c r="I630" s="111"/>
      <c r="J630" s="112"/>
      <c r="K630" s="230"/>
      <c r="L630" s="31"/>
      <c r="M630" s="39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</row>
    <row r="631">
      <c r="A631" s="224"/>
      <c r="B631" s="229"/>
      <c r="C631" s="225"/>
      <c r="D631" s="226"/>
      <c r="E631" s="227"/>
      <c r="F631" s="228"/>
      <c r="G631" s="33"/>
      <c r="H631" s="143"/>
      <c r="I631" s="111"/>
      <c r="J631" s="112"/>
      <c r="K631" s="230"/>
      <c r="L631" s="31"/>
      <c r="M631" s="39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</row>
    <row r="632">
      <c r="A632" s="224"/>
      <c r="B632" s="229"/>
      <c r="C632" s="225"/>
      <c r="D632" s="226"/>
      <c r="E632" s="227"/>
      <c r="F632" s="228"/>
      <c r="G632" s="33"/>
      <c r="H632" s="143"/>
      <c r="I632" s="111"/>
      <c r="J632" s="112"/>
      <c r="K632" s="230"/>
      <c r="L632" s="31"/>
      <c r="M632" s="39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</row>
    <row r="633">
      <c r="A633" s="224"/>
      <c r="B633" s="229"/>
      <c r="C633" s="225"/>
      <c r="D633" s="226"/>
      <c r="E633" s="227"/>
      <c r="F633" s="228"/>
      <c r="G633" s="33"/>
      <c r="H633" s="143"/>
      <c r="I633" s="111"/>
      <c r="J633" s="112"/>
      <c r="K633" s="230"/>
      <c r="L633" s="31"/>
      <c r="M633" s="39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</row>
    <row r="634">
      <c r="A634" s="224"/>
      <c r="B634" s="229"/>
      <c r="C634" s="225"/>
      <c r="D634" s="226"/>
      <c r="E634" s="227"/>
      <c r="F634" s="228"/>
      <c r="G634" s="33"/>
      <c r="H634" s="143"/>
      <c r="I634" s="111"/>
      <c r="J634" s="112"/>
      <c r="K634" s="230"/>
      <c r="L634" s="31"/>
      <c r="M634" s="39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</row>
    <row r="635">
      <c r="A635" s="224"/>
      <c r="B635" s="229"/>
      <c r="C635" s="225"/>
      <c r="D635" s="226"/>
      <c r="E635" s="227"/>
      <c r="F635" s="228"/>
      <c r="G635" s="33"/>
      <c r="H635" s="143"/>
      <c r="I635" s="111"/>
      <c r="J635" s="112"/>
      <c r="K635" s="230"/>
      <c r="L635" s="31"/>
      <c r="M635" s="39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</row>
    <row r="636">
      <c r="A636" s="224"/>
      <c r="B636" s="229"/>
      <c r="C636" s="225"/>
      <c r="D636" s="226"/>
      <c r="E636" s="227"/>
      <c r="F636" s="228"/>
      <c r="G636" s="33"/>
      <c r="H636" s="143"/>
      <c r="I636" s="111"/>
      <c r="J636" s="112"/>
      <c r="K636" s="230"/>
      <c r="L636" s="31"/>
      <c r="M636" s="39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</row>
    <row r="637">
      <c r="A637" s="224"/>
      <c r="B637" s="229"/>
      <c r="C637" s="225"/>
      <c r="D637" s="226"/>
      <c r="E637" s="227"/>
      <c r="F637" s="228"/>
      <c r="G637" s="33"/>
      <c r="H637" s="143"/>
      <c r="I637" s="111"/>
      <c r="J637" s="112"/>
      <c r="K637" s="230"/>
      <c r="L637" s="31"/>
      <c r="M637" s="39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</row>
    <row r="638">
      <c r="A638" s="224"/>
      <c r="B638" s="229"/>
      <c r="C638" s="225"/>
      <c r="D638" s="226"/>
      <c r="E638" s="227"/>
      <c r="F638" s="228"/>
      <c r="G638" s="33"/>
      <c r="H638" s="143"/>
      <c r="I638" s="111"/>
      <c r="J638" s="112"/>
      <c r="K638" s="230"/>
      <c r="L638" s="31"/>
      <c r="M638" s="39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</row>
    <row r="639">
      <c r="A639" s="224"/>
      <c r="B639" s="229"/>
      <c r="C639" s="225"/>
      <c r="D639" s="226"/>
      <c r="E639" s="227"/>
      <c r="F639" s="228"/>
      <c r="G639" s="33"/>
      <c r="H639" s="143"/>
      <c r="I639" s="111"/>
      <c r="J639" s="112"/>
      <c r="K639" s="230"/>
      <c r="L639" s="31"/>
      <c r="M639" s="39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</row>
    <row r="640">
      <c r="A640" s="224"/>
      <c r="B640" s="229"/>
      <c r="C640" s="225"/>
      <c r="D640" s="226"/>
      <c r="E640" s="227"/>
      <c r="F640" s="228"/>
      <c r="G640" s="33"/>
      <c r="H640" s="143"/>
      <c r="I640" s="111"/>
      <c r="J640" s="112"/>
      <c r="K640" s="230"/>
      <c r="L640" s="31"/>
      <c r="M640" s="39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</row>
    <row r="641">
      <c r="A641" s="224"/>
      <c r="B641" s="229"/>
      <c r="C641" s="225"/>
      <c r="D641" s="226"/>
      <c r="E641" s="227"/>
      <c r="F641" s="228"/>
      <c r="G641" s="33"/>
      <c r="H641" s="143"/>
      <c r="I641" s="111"/>
      <c r="J641" s="112"/>
      <c r="K641" s="230"/>
      <c r="L641" s="31"/>
      <c r="M641" s="39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</row>
    <row r="642">
      <c r="A642" s="224"/>
      <c r="B642" s="229"/>
      <c r="C642" s="225"/>
      <c r="D642" s="226"/>
      <c r="E642" s="227"/>
      <c r="F642" s="228"/>
      <c r="G642" s="33"/>
      <c r="H642" s="143"/>
      <c r="I642" s="111"/>
      <c r="J642" s="112"/>
      <c r="K642" s="230"/>
      <c r="L642" s="31"/>
      <c r="M642" s="39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</row>
    <row r="643">
      <c r="A643" s="224"/>
      <c r="B643" s="229"/>
      <c r="C643" s="225"/>
      <c r="D643" s="226"/>
      <c r="E643" s="227"/>
      <c r="F643" s="228"/>
      <c r="G643" s="33"/>
      <c r="H643" s="143"/>
      <c r="I643" s="111"/>
      <c r="J643" s="112"/>
      <c r="K643" s="230"/>
      <c r="L643" s="31"/>
      <c r="M643" s="39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</row>
    <row r="644">
      <c r="A644" s="224"/>
      <c r="B644" s="229"/>
      <c r="C644" s="225"/>
      <c r="D644" s="226"/>
      <c r="E644" s="227"/>
      <c r="F644" s="228"/>
      <c r="G644" s="33"/>
      <c r="H644" s="143"/>
      <c r="I644" s="111"/>
      <c r="J644" s="112"/>
      <c r="K644" s="230"/>
      <c r="L644" s="31"/>
      <c r="M644" s="39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</row>
    <row r="645">
      <c r="A645" s="224"/>
      <c r="B645" s="229"/>
      <c r="C645" s="225"/>
      <c r="D645" s="226"/>
      <c r="E645" s="227"/>
      <c r="F645" s="228"/>
      <c r="G645" s="33"/>
      <c r="H645" s="143"/>
      <c r="I645" s="111"/>
      <c r="J645" s="112"/>
      <c r="K645" s="230"/>
      <c r="L645" s="31"/>
      <c r="M645" s="39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</row>
    <row r="646">
      <c r="A646" s="224"/>
      <c r="B646" s="229"/>
      <c r="C646" s="225"/>
      <c r="D646" s="226"/>
      <c r="E646" s="227"/>
      <c r="F646" s="228"/>
      <c r="G646" s="33"/>
      <c r="H646" s="143"/>
      <c r="I646" s="111"/>
      <c r="J646" s="112"/>
      <c r="K646" s="230"/>
      <c r="L646" s="31"/>
      <c r="M646" s="39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</row>
    <row r="647">
      <c r="A647" s="224"/>
      <c r="B647" s="229"/>
      <c r="C647" s="225"/>
      <c r="D647" s="226"/>
      <c r="E647" s="227"/>
      <c r="F647" s="228"/>
      <c r="G647" s="33"/>
      <c r="H647" s="143"/>
      <c r="I647" s="111"/>
      <c r="J647" s="112"/>
      <c r="K647" s="230"/>
      <c r="L647" s="31"/>
      <c r="M647" s="39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</row>
    <row r="648">
      <c r="A648" s="224"/>
      <c r="B648" s="229"/>
      <c r="C648" s="225"/>
      <c r="D648" s="226"/>
      <c r="E648" s="227"/>
      <c r="F648" s="228"/>
      <c r="G648" s="33"/>
      <c r="H648" s="143"/>
      <c r="I648" s="111"/>
      <c r="J648" s="112"/>
      <c r="K648" s="230"/>
      <c r="L648" s="31"/>
      <c r="M648" s="39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</row>
    <row r="649">
      <c r="A649" s="224"/>
      <c r="B649" s="229"/>
      <c r="C649" s="225"/>
      <c r="D649" s="226"/>
      <c r="E649" s="227"/>
      <c r="F649" s="228"/>
      <c r="G649" s="33"/>
      <c r="H649" s="143"/>
      <c r="I649" s="111"/>
      <c r="J649" s="112"/>
      <c r="K649" s="230"/>
      <c r="L649" s="31"/>
      <c r="M649" s="39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</row>
    <row r="650">
      <c r="A650" s="224"/>
      <c r="B650" s="229"/>
      <c r="C650" s="225"/>
      <c r="D650" s="226"/>
      <c r="E650" s="227"/>
      <c r="F650" s="228"/>
      <c r="G650" s="33"/>
      <c r="H650" s="143"/>
      <c r="I650" s="111"/>
      <c r="J650" s="112"/>
      <c r="K650" s="230"/>
      <c r="L650" s="31"/>
      <c r="M650" s="39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</row>
    <row r="651">
      <c r="A651" s="224"/>
      <c r="B651" s="229"/>
      <c r="C651" s="225"/>
      <c r="D651" s="226"/>
      <c r="E651" s="227"/>
      <c r="F651" s="228"/>
      <c r="G651" s="33"/>
      <c r="H651" s="143"/>
      <c r="I651" s="111"/>
      <c r="J651" s="112"/>
      <c r="K651" s="230"/>
      <c r="L651" s="31"/>
      <c r="M651" s="39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</row>
    <row r="652">
      <c r="A652" s="224"/>
      <c r="B652" s="229"/>
      <c r="C652" s="225"/>
      <c r="D652" s="226"/>
      <c r="E652" s="227"/>
      <c r="F652" s="228"/>
      <c r="G652" s="33"/>
      <c r="H652" s="143"/>
      <c r="I652" s="111"/>
      <c r="J652" s="112"/>
      <c r="K652" s="230"/>
      <c r="L652" s="31"/>
      <c r="M652" s="39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</row>
    <row r="653">
      <c r="A653" s="224"/>
      <c r="B653" s="229"/>
      <c r="C653" s="225"/>
      <c r="D653" s="226"/>
      <c r="E653" s="227"/>
      <c r="F653" s="228"/>
      <c r="G653" s="33"/>
      <c r="H653" s="143"/>
      <c r="I653" s="111"/>
      <c r="J653" s="112"/>
      <c r="K653" s="230"/>
      <c r="L653" s="31"/>
      <c r="M653" s="39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</row>
    <row r="654">
      <c r="A654" s="224"/>
      <c r="B654" s="229"/>
      <c r="C654" s="225"/>
      <c r="D654" s="226"/>
      <c r="E654" s="227"/>
      <c r="F654" s="228"/>
      <c r="G654" s="33"/>
      <c r="H654" s="143"/>
      <c r="I654" s="111"/>
      <c r="J654" s="112"/>
      <c r="K654" s="230"/>
      <c r="L654" s="31"/>
      <c r="M654" s="39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</row>
    <row r="655">
      <c r="A655" s="224"/>
      <c r="B655" s="229"/>
      <c r="C655" s="225"/>
      <c r="D655" s="226"/>
      <c r="E655" s="227"/>
      <c r="F655" s="228"/>
      <c r="G655" s="33"/>
      <c r="H655" s="143"/>
      <c r="I655" s="111"/>
      <c r="J655" s="112"/>
      <c r="K655" s="230"/>
      <c r="L655" s="31"/>
      <c r="M655" s="39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</row>
    <row r="656">
      <c r="A656" s="224"/>
      <c r="B656" s="229"/>
      <c r="C656" s="225"/>
      <c r="D656" s="226"/>
      <c r="E656" s="227"/>
      <c r="F656" s="228"/>
      <c r="G656" s="33"/>
      <c r="H656" s="143"/>
      <c r="I656" s="111"/>
      <c r="J656" s="112"/>
      <c r="K656" s="230"/>
      <c r="L656" s="31"/>
      <c r="M656" s="39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</row>
    <row r="657">
      <c r="A657" s="224"/>
      <c r="B657" s="229"/>
      <c r="C657" s="225"/>
      <c r="D657" s="226"/>
      <c r="E657" s="227"/>
      <c r="F657" s="228"/>
      <c r="G657" s="33"/>
      <c r="H657" s="143"/>
      <c r="I657" s="111"/>
      <c r="J657" s="112"/>
      <c r="K657" s="230"/>
      <c r="L657" s="31"/>
      <c r="M657" s="39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</row>
    <row r="658">
      <c r="A658" s="224"/>
      <c r="B658" s="229"/>
      <c r="C658" s="225"/>
      <c r="D658" s="226"/>
      <c r="E658" s="227"/>
      <c r="F658" s="228"/>
      <c r="G658" s="33"/>
      <c r="H658" s="143"/>
      <c r="I658" s="111"/>
      <c r="J658" s="112"/>
      <c r="K658" s="230"/>
      <c r="L658" s="31"/>
      <c r="M658" s="39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</row>
    <row r="659">
      <c r="A659" s="224"/>
      <c r="B659" s="229"/>
      <c r="C659" s="225"/>
      <c r="D659" s="226"/>
      <c r="E659" s="227"/>
      <c r="F659" s="228"/>
      <c r="G659" s="33"/>
      <c r="H659" s="143"/>
      <c r="I659" s="111"/>
      <c r="J659" s="112"/>
      <c r="K659" s="230"/>
      <c r="L659" s="31"/>
      <c r="M659" s="39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</row>
    <row r="660">
      <c r="A660" s="224"/>
      <c r="B660" s="229"/>
      <c r="C660" s="225"/>
      <c r="D660" s="226"/>
      <c r="E660" s="227"/>
      <c r="F660" s="228"/>
      <c r="G660" s="33"/>
      <c r="H660" s="143"/>
      <c r="I660" s="111"/>
      <c r="J660" s="112"/>
      <c r="K660" s="230"/>
      <c r="L660" s="31"/>
      <c r="M660" s="39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</row>
    <row r="661">
      <c r="A661" s="224"/>
      <c r="B661" s="229"/>
      <c r="C661" s="225"/>
      <c r="D661" s="226"/>
      <c r="E661" s="227"/>
      <c r="F661" s="228"/>
      <c r="G661" s="33"/>
      <c r="H661" s="143"/>
      <c r="I661" s="111"/>
      <c r="J661" s="112"/>
      <c r="K661" s="230"/>
      <c r="L661" s="31"/>
      <c r="M661" s="39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</row>
    <row r="662">
      <c r="A662" s="224"/>
      <c r="B662" s="229"/>
      <c r="C662" s="225"/>
      <c r="D662" s="226"/>
      <c r="E662" s="227"/>
      <c r="F662" s="228"/>
      <c r="G662" s="33"/>
      <c r="H662" s="143"/>
      <c r="I662" s="111"/>
      <c r="J662" s="112"/>
      <c r="K662" s="230"/>
      <c r="L662" s="31"/>
      <c r="M662" s="39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</row>
    <row r="663">
      <c r="A663" s="224"/>
      <c r="B663" s="229"/>
      <c r="C663" s="225"/>
      <c r="D663" s="226"/>
      <c r="E663" s="227"/>
      <c r="F663" s="228"/>
      <c r="G663" s="33"/>
      <c r="H663" s="143"/>
      <c r="I663" s="111"/>
      <c r="J663" s="112"/>
      <c r="K663" s="230"/>
      <c r="L663" s="31"/>
      <c r="M663" s="39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</row>
    <row r="664">
      <c r="A664" s="224"/>
      <c r="B664" s="229"/>
      <c r="C664" s="225"/>
      <c r="D664" s="226"/>
      <c r="E664" s="227"/>
      <c r="F664" s="228"/>
      <c r="G664" s="33"/>
      <c r="H664" s="143"/>
      <c r="I664" s="111"/>
      <c r="J664" s="112"/>
      <c r="K664" s="230"/>
      <c r="L664" s="31"/>
      <c r="M664" s="39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</row>
    <row r="665">
      <c r="A665" s="224"/>
      <c r="B665" s="229"/>
      <c r="C665" s="225"/>
      <c r="D665" s="226"/>
      <c r="E665" s="227"/>
      <c r="F665" s="228"/>
      <c r="G665" s="33"/>
      <c r="H665" s="143"/>
      <c r="I665" s="111"/>
      <c r="J665" s="112"/>
      <c r="K665" s="230"/>
      <c r="L665" s="31"/>
      <c r="M665" s="39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</row>
    <row r="666">
      <c r="A666" s="224"/>
      <c r="B666" s="229"/>
      <c r="C666" s="225"/>
      <c r="D666" s="226"/>
      <c r="E666" s="227"/>
      <c r="F666" s="228"/>
      <c r="G666" s="33"/>
      <c r="H666" s="143"/>
      <c r="I666" s="111"/>
      <c r="J666" s="112"/>
      <c r="K666" s="230"/>
      <c r="L666" s="31"/>
      <c r="M666" s="39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</row>
    <row r="667">
      <c r="A667" s="224"/>
      <c r="B667" s="229"/>
      <c r="C667" s="225"/>
      <c r="D667" s="226"/>
      <c r="E667" s="227"/>
      <c r="F667" s="228"/>
      <c r="G667" s="33"/>
      <c r="H667" s="143"/>
      <c r="I667" s="111"/>
      <c r="J667" s="112"/>
      <c r="K667" s="230"/>
      <c r="L667" s="31"/>
      <c r="M667" s="39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</row>
    <row r="668">
      <c r="A668" s="224"/>
      <c r="B668" s="229"/>
      <c r="C668" s="225"/>
      <c r="D668" s="226"/>
      <c r="E668" s="227"/>
      <c r="F668" s="228"/>
      <c r="G668" s="33"/>
      <c r="H668" s="143"/>
      <c r="I668" s="111"/>
      <c r="J668" s="112"/>
      <c r="K668" s="230"/>
      <c r="L668" s="31"/>
      <c r="M668" s="39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</row>
    <row r="669">
      <c r="A669" s="224"/>
      <c r="B669" s="229"/>
      <c r="C669" s="225"/>
      <c r="D669" s="226"/>
      <c r="E669" s="227"/>
      <c r="F669" s="228"/>
      <c r="G669" s="33"/>
      <c r="H669" s="143"/>
      <c r="I669" s="111"/>
      <c r="J669" s="112"/>
      <c r="K669" s="230"/>
      <c r="L669" s="31"/>
      <c r="M669" s="39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</row>
    <row r="670">
      <c r="A670" s="224"/>
      <c r="B670" s="229"/>
      <c r="C670" s="225"/>
      <c r="D670" s="226"/>
      <c r="E670" s="227"/>
      <c r="F670" s="228"/>
      <c r="G670" s="33"/>
      <c r="H670" s="143"/>
      <c r="I670" s="111"/>
      <c r="J670" s="112"/>
      <c r="K670" s="230"/>
      <c r="L670" s="31"/>
      <c r="M670" s="39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</row>
    <row r="671">
      <c r="A671" s="224"/>
      <c r="B671" s="229"/>
      <c r="C671" s="225"/>
      <c r="D671" s="226"/>
      <c r="E671" s="227"/>
      <c r="F671" s="228"/>
      <c r="G671" s="33"/>
      <c r="H671" s="143"/>
      <c r="I671" s="111"/>
      <c r="J671" s="112"/>
      <c r="K671" s="230"/>
      <c r="L671" s="31"/>
      <c r="M671" s="39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</row>
    <row r="672">
      <c r="A672" s="224"/>
      <c r="B672" s="229"/>
      <c r="C672" s="225"/>
      <c r="D672" s="226"/>
      <c r="E672" s="227"/>
      <c r="F672" s="228"/>
      <c r="G672" s="33"/>
      <c r="H672" s="143"/>
      <c r="I672" s="111"/>
      <c r="J672" s="112"/>
      <c r="K672" s="230"/>
      <c r="L672" s="31"/>
      <c r="M672" s="39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</row>
    <row r="673">
      <c r="A673" s="224"/>
      <c r="B673" s="229"/>
      <c r="C673" s="225"/>
      <c r="D673" s="226"/>
      <c r="E673" s="227"/>
      <c r="F673" s="228"/>
      <c r="G673" s="33"/>
      <c r="H673" s="143"/>
      <c r="I673" s="111"/>
      <c r="J673" s="112"/>
      <c r="K673" s="230"/>
      <c r="L673" s="31"/>
      <c r="M673" s="39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</row>
    <row r="674">
      <c r="A674" s="224"/>
      <c r="B674" s="229"/>
      <c r="C674" s="225"/>
      <c r="D674" s="226"/>
      <c r="E674" s="227"/>
      <c r="F674" s="228"/>
      <c r="G674" s="33"/>
      <c r="H674" s="143"/>
      <c r="I674" s="111"/>
      <c r="J674" s="112"/>
      <c r="K674" s="230"/>
      <c r="L674" s="31"/>
      <c r="M674" s="39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</row>
    <row r="675">
      <c r="A675" s="224"/>
      <c r="B675" s="229"/>
      <c r="C675" s="225"/>
      <c r="D675" s="226"/>
      <c r="E675" s="227"/>
      <c r="F675" s="228"/>
      <c r="G675" s="33"/>
      <c r="H675" s="143"/>
      <c r="I675" s="111"/>
      <c r="J675" s="112"/>
      <c r="K675" s="230"/>
      <c r="L675" s="31"/>
      <c r="M675" s="39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</row>
    <row r="676">
      <c r="A676" s="224"/>
      <c r="B676" s="229"/>
      <c r="C676" s="225"/>
      <c r="D676" s="226"/>
      <c r="E676" s="227"/>
      <c r="F676" s="228"/>
      <c r="G676" s="33"/>
      <c r="H676" s="143"/>
      <c r="I676" s="111"/>
      <c r="J676" s="112"/>
      <c r="K676" s="230"/>
      <c r="L676" s="31"/>
      <c r="M676" s="39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</row>
    <row r="677">
      <c r="A677" s="224"/>
      <c r="B677" s="229"/>
      <c r="C677" s="225"/>
      <c r="D677" s="226"/>
      <c r="E677" s="227"/>
      <c r="F677" s="228"/>
      <c r="G677" s="33"/>
      <c r="H677" s="143"/>
      <c r="I677" s="111"/>
      <c r="J677" s="112"/>
      <c r="K677" s="230"/>
      <c r="L677" s="31"/>
      <c r="M677" s="39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</row>
    <row r="678">
      <c r="A678" s="224"/>
      <c r="B678" s="229"/>
      <c r="C678" s="225"/>
      <c r="D678" s="226"/>
      <c r="E678" s="227"/>
      <c r="F678" s="228"/>
      <c r="G678" s="33"/>
      <c r="H678" s="143"/>
      <c r="I678" s="111"/>
      <c r="J678" s="112"/>
      <c r="K678" s="230"/>
      <c r="L678" s="31"/>
      <c r="M678" s="39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</row>
    <row r="679">
      <c r="A679" s="224"/>
      <c r="B679" s="229"/>
      <c r="C679" s="225"/>
      <c r="D679" s="226"/>
      <c r="E679" s="227"/>
      <c r="F679" s="228"/>
      <c r="G679" s="33"/>
      <c r="H679" s="143"/>
      <c r="I679" s="111"/>
      <c r="J679" s="112"/>
      <c r="K679" s="230"/>
      <c r="L679" s="31"/>
      <c r="M679" s="39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</row>
    <row r="680">
      <c r="A680" s="224"/>
      <c r="B680" s="229"/>
      <c r="C680" s="225"/>
      <c r="D680" s="226"/>
      <c r="E680" s="227"/>
      <c r="F680" s="228"/>
      <c r="G680" s="33"/>
      <c r="H680" s="143"/>
      <c r="I680" s="111"/>
      <c r="J680" s="112"/>
      <c r="K680" s="230"/>
      <c r="L680" s="31"/>
      <c r="M680" s="39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</row>
    <row r="681">
      <c r="A681" s="224"/>
      <c r="B681" s="229"/>
      <c r="C681" s="225"/>
      <c r="D681" s="226"/>
      <c r="E681" s="227"/>
      <c r="F681" s="228"/>
      <c r="G681" s="33"/>
      <c r="H681" s="143"/>
      <c r="I681" s="111"/>
      <c r="J681" s="112"/>
      <c r="K681" s="230"/>
      <c r="L681" s="31"/>
      <c r="M681" s="39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</row>
    <row r="682">
      <c r="A682" s="224"/>
      <c r="B682" s="229"/>
      <c r="C682" s="225"/>
      <c r="D682" s="226"/>
      <c r="E682" s="227"/>
      <c r="F682" s="228"/>
      <c r="G682" s="33"/>
      <c r="H682" s="143"/>
      <c r="I682" s="111"/>
      <c r="J682" s="112"/>
      <c r="K682" s="230"/>
      <c r="L682" s="31"/>
      <c r="M682" s="39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</row>
    <row r="683">
      <c r="A683" s="224"/>
      <c r="B683" s="229"/>
      <c r="C683" s="225"/>
      <c r="D683" s="226"/>
      <c r="E683" s="227"/>
      <c r="F683" s="228"/>
      <c r="G683" s="33"/>
      <c r="H683" s="143"/>
      <c r="I683" s="111"/>
      <c r="J683" s="112"/>
      <c r="K683" s="230"/>
      <c r="L683" s="31"/>
      <c r="M683" s="39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</row>
    <row r="684">
      <c r="A684" s="224"/>
      <c r="B684" s="229"/>
      <c r="C684" s="225"/>
      <c r="D684" s="226"/>
      <c r="E684" s="227"/>
      <c r="F684" s="228"/>
      <c r="G684" s="33"/>
      <c r="H684" s="143"/>
      <c r="I684" s="111"/>
      <c r="J684" s="112"/>
      <c r="K684" s="230"/>
      <c r="L684" s="31"/>
      <c r="M684" s="39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</row>
    <row r="685">
      <c r="A685" s="224"/>
      <c r="B685" s="229"/>
      <c r="C685" s="225"/>
      <c r="D685" s="226"/>
      <c r="E685" s="227"/>
      <c r="F685" s="228"/>
      <c r="G685" s="33"/>
      <c r="H685" s="143"/>
      <c r="I685" s="111"/>
      <c r="J685" s="112"/>
      <c r="K685" s="230"/>
      <c r="L685" s="31"/>
      <c r="M685" s="39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</row>
    <row r="686">
      <c r="A686" s="224"/>
      <c r="B686" s="229"/>
      <c r="C686" s="225"/>
      <c r="D686" s="226"/>
      <c r="E686" s="227"/>
      <c r="F686" s="228"/>
      <c r="G686" s="33"/>
      <c r="H686" s="143"/>
      <c r="I686" s="111"/>
      <c r="J686" s="112"/>
      <c r="K686" s="230"/>
      <c r="L686" s="31"/>
      <c r="M686" s="39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</row>
    <row r="687">
      <c r="A687" s="224"/>
      <c r="B687" s="229"/>
      <c r="C687" s="225"/>
      <c r="D687" s="226"/>
      <c r="E687" s="227"/>
      <c r="F687" s="228"/>
      <c r="G687" s="33"/>
      <c r="H687" s="143"/>
      <c r="I687" s="111"/>
      <c r="J687" s="112"/>
      <c r="K687" s="230"/>
      <c r="L687" s="31"/>
      <c r="M687" s="39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</row>
    <row r="688">
      <c r="A688" s="224"/>
      <c r="B688" s="229"/>
      <c r="C688" s="225"/>
      <c r="D688" s="226"/>
      <c r="E688" s="227"/>
      <c r="F688" s="228"/>
      <c r="G688" s="33"/>
      <c r="H688" s="143"/>
      <c r="I688" s="111"/>
      <c r="J688" s="112"/>
      <c r="K688" s="230"/>
      <c r="L688" s="31"/>
      <c r="M688" s="39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</row>
    <row r="689">
      <c r="A689" s="224"/>
      <c r="B689" s="229"/>
      <c r="C689" s="225"/>
      <c r="D689" s="226"/>
      <c r="E689" s="227"/>
      <c r="F689" s="228"/>
      <c r="G689" s="33"/>
      <c r="H689" s="143"/>
      <c r="I689" s="111"/>
      <c r="J689" s="112"/>
      <c r="K689" s="230"/>
      <c r="L689" s="31"/>
      <c r="M689" s="39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</row>
    <row r="690">
      <c r="A690" s="224"/>
      <c r="B690" s="229"/>
      <c r="C690" s="225"/>
      <c r="D690" s="226"/>
      <c r="E690" s="227"/>
      <c r="F690" s="228"/>
      <c r="G690" s="33"/>
      <c r="H690" s="143"/>
      <c r="I690" s="111"/>
      <c r="J690" s="112"/>
      <c r="K690" s="230"/>
      <c r="L690" s="31"/>
      <c r="M690" s="39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</row>
    <row r="691">
      <c r="A691" s="224"/>
      <c r="B691" s="229"/>
      <c r="C691" s="225"/>
      <c r="D691" s="226"/>
      <c r="E691" s="227"/>
      <c r="F691" s="228"/>
      <c r="G691" s="33"/>
      <c r="H691" s="143"/>
      <c r="I691" s="111"/>
      <c r="J691" s="112"/>
      <c r="K691" s="230"/>
      <c r="L691" s="31"/>
      <c r="M691" s="39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</row>
    <row r="692">
      <c r="A692" s="224"/>
      <c r="B692" s="229"/>
      <c r="C692" s="225"/>
      <c r="D692" s="226"/>
      <c r="E692" s="227"/>
      <c r="F692" s="228"/>
      <c r="G692" s="33"/>
      <c r="H692" s="143"/>
      <c r="I692" s="111"/>
      <c r="J692" s="112"/>
      <c r="K692" s="230"/>
      <c r="L692" s="31"/>
      <c r="M692" s="39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</row>
    <row r="693">
      <c r="A693" s="224"/>
      <c r="B693" s="229"/>
      <c r="C693" s="225"/>
      <c r="D693" s="226"/>
      <c r="E693" s="227"/>
      <c r="F693" s="228"/>
      <c r="G693" s="33"/>
      <c r="H693" s="143"/>
      <c r="I693" s="111"/>
      <c r="J693" s="112"/>
      <c r="K693" s="230"/>
      <c r="L693" s="31"/>
      <c r="M693" s="39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</row>
    <row r="694">
      <c r="A694" s="224"/>
      <c r="B694" s="229"/>
      <c r="C694" s="225"/>
      <c r="D694" s="226"/>
      <c r="E694" s="227"/>
      <c r="F694" s="228"/>
      <c r="G694" s="33"/>
      <c r="H694" s="143"/>
      <c r="I694" s="111"/>
      <c r="J694" s="112"/>
      <c r="K694" s="230"/>
      <c r="L694" s="31"/>
      <c r="M694" s="39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</row>
    <row r="695">
      <c r="A695" s="224"/>
      <c r="B695" s="229"/>
      <c r="C695" s="225"/>
      <c r="D695" s="226"/>
      <c r="E695" s="227"/>
      <c r="F695" s="228"/>
      <c r="G695" s="33"/>
      <c r="H695" s="143"/>
      <c r="I695" s="111"/>
      <c r="J695" s="112"/>
      <c r="K695" s="230"/>
      <c r="L695" s="31"/>
      <c r="M695" s="39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</row>
    <row r="696">
      <c r="A696" s="224"/>
      <c r="B696" s="229"/>
      <c r="C696" s="225"/>
      <c r="D696" s="226"/>
      <c r="E696" s="227"/>
      <c r="F696" s="228"/>
      <c r="G696" s="33"/>
      <c r="H696" s="143"/>
      <c r="I696" s="111"/>
      <c r="J696" s="112"/>
      <c r="K696" s="230"/>
      <c r="L696" s="31"/>
      <c r="M696" s="39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</row>
    <row r="697">
      <c r="A697" s="224"/>
      <c r="B697" s="229"/>
      <c r="C697" s="225"/>
      <c r="D697" s="226"/>
      <c r="E697" s="227"/>
      <c r="F697" s="228"/>
      <c r="G697" s="33"/>
      <c r="H697" s="143"/>
      <c r="I697" s="111"/>
      <c r="J697" s="112"/>
      <c r="K697" s="230"/>
      <c r="L697" s="31"/>
      <c r="M697" s="39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</row>
    <row r="698">
      <c r="A698" s="224"/>
      <c r="B698" s="229"/>
      <c r="C698" s="225"/>
      <c r="D698" s="226"/>
      <c r="E698" s="227"/>
      <c r="F698" s="228"/>
      <c r="G698" s="33"/>
      <c r="H698" s="143"/>
      <c r="I698" s="111"/>
      <c r="J698" s="112"/>
      <c r="K698" s="230"/>
      <c r="L698" s="31"/>
      <c r="M698" s="39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</row>
    <row r="699">
      <c r="A699" s="224"/>
      <c r="B699" s="229"/>
      <c r="C699" s="225"/>
      <c r="D699" s="226"/>
      <c r="E699" s="227"/>
      <c r="F699" s="228"/>
      <c r="G699" s="33"/>
      <c r="H699" s="143"/>
      <c r="I699" s="111"/>
      <c r="J699" s="112"/>
      <c r="K699" s="230"/>
      <c r="L699" s="31"/>
      <c r="M699" s="39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</row>
    <row r="700">
      <c r="A700" s="224"/>
      <c r="B700" s="229"/>
      <c r="C700" s="225"/>
      <c r="D700" s="226"/>
      <c r="E700" s="227"/>
      <c r="F700" s="228"/>
      <c r="G700" s="33"/>
      <c r="H700" s="143"/>
      <c r="I700" s="111"/>
      <c r="J700" s="112"/>
      <c r="K700" s="230"/>
      <c r="L700" s="31"/>
      <c r="M700" s="39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</row>
    <row r="701">
      <c r="A701" s="224"/>
      <c r="B701" s="229"/>
      <c r="C701" s="225"/>
      <c r="D701" s="226"/>
      <c r="E701" s="227"/>
      <c r="F701" s="228"/>
      <c r="G701" s="33"/>
      <c r="H701" s="143"/>
      <c r="I701" s="111"/>
      <c r="J701" s="112"/>
      <c r="K701" s="230"/>
      <c r="L701" s="31"/>
      <c r="M701" s="39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</row>
    <row r="702">
      <c r="A702" s="224"/>
      <c r="B702" s="229"/>
      <c r="C702" s="225"/>
      <c r="D702" s="226"/>
      <c r="E702" s="227"/>
      <c r="F702" s="228"/>
      <c r="G702" s="33"/>
      <c r="H702" s="143"/>
      <c r="I702" s="111"/>
      <c r="J702" s="112"/>
      <c r="K702" s="230"/>
      <c r="L702" s="31"/>
      <c r="M702" s="39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</row>
    <row r="703">
      <c r="A703" s="224"/>
      <c r="B703" s="229"/>
      <c r="C703" s="225"/>
      <c r="D703" s="226"/>
      <c r="E703" s="227"/>
      <c r="F703" s="228"/>
      <c r="G703" s="33"/>
      <c r="H703" s="143"/>
      <c r="I703" s="111"/>
      <c r="J703" s="112"/>
      <c r="K703" s="230"/>
      <c r="L703" s="31"/>
      <c r="M703" s="39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</row>
    <row r="704">
      <c r="A704" s="224"/>
      <c r="B704" s="229"/>
      <c r="C704" s="225"/>
      <c r="D704" s="226"/>
      <c r="E704" s="227"/>
      <c r="F704" s="228"/>
      <c r="G704" s="33"/>
      <c r="H704" s="143"/>
      <c r="I704" s="111"/>
      <c r="J704" s="112"/>
      <c r="K704" s="230"/>
      <c r="L704" s="31"/>
      <c r="M704" s="39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</row>
    <row r="705">
      <c r="A705" s="224"/>
      <c r="B705" s="229"/>
      <c r="C705" s="225"/>
      <c r="D705" s="226"/>
      <c r="E705" s="227"/>
      <c r="F705" s="228"/>
      <c r="G705" s="33"/>
      <c r="H705" s="143"/>
      <c r="I705" s="111"/>
      <c r="J705" s="112"/>
      <c r="K705" s="230"/>
      <c r="L705" s="31"/>
      <c r="M705" s="39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</row>
    <row r="706">
      <c r="A706" s="224"/>
      <c r="B706" s="229"/>
      <c r="C706" s="225"/>
      <c r="D706" s="226"/>
      <c r="E706" s="227"/>
      <c r="F706" s="228"/>
      <c r="G706" s="33"/>
      <c r="H706" s="143"/>
      <c r="I706" s="111"/>
      <c r="J706" s="112"/>
      <c r="K706" s="230"/>
      <c r="L706" s="31"/>
      <c r="M706" s="39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</row>
    <row r="707">
      <c r="A707" s="224"/>
      <c r="B707" s="229"/>
      <c r="C707" s="225"/>
      <c r="D707" s="226"/>
      <c r="E707" s="227"/>
      <c r="F707" s="228"/>
      <c r="G707" s="33"/>
      <c r="H707" s="143"/>
      <c r="I707" s="111"/>
      <c r="J707" s="112"/>
      <c r="K707" s="230"/>
      <c r="L707" s="31"/>
      <c r="M707" s="39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</row>
    <row r="708">
      <c r="A708" s="224"/>
      <c r="B708" s="229"/>
      <c r="C708" s="225"/>
      <c r="D708" s="226"/>
      <c r="E708" s="227"/>
      <c r="F708" s="228"/>
      <c r="G708" s="33"/>
      <c r="H708" s="143"/>
      <c r="I708" s="111"/>
      <c r="J708" s="112"/>
      <c r="K708" s="230"/>
      <c r="L708" s="31"/>
      <c r="M708" s="39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</row>
    <row r="709">
      <c r="A709" s="224"/>
      <c r="B709" s="229"/>
      <c r="C709" s="225"/>
      <c r="D709" s="226"/>
      <c r="E709" s="227"/>
      <c r="F709" s="228"/>
      <c r="G709" s="33"/>
      <c r="H709" s="143"/>
      <c r="I709" s="111"/>
      <c r="J709" s="112"/>
      <c r="K709" s="230"/>
      <c r="L709" s="31"/>
      <c r="M709" s="39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</row>
    <row r="710">
      <c r="A710" s="224"/>
      <c r="B710" s="229"/>
      <c r="C710" s="225"/>
      <c r="D710" s="226"/>
      <c r="E710" s="227"/>
      <c r="F710" s="228"/>
      <c r="G710" s="33"/>
      <c r="H710" s="143"/>
      <c r="I710" s="111"/>
      <c r="J710" s="112"/>
      <c r="K710" s="230"/>
      <c r="L710" s="31"/>
      <c r="M710" s="39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</row>
    <row r="711">
      <c r="A711" s="224"/>
      <c r="B711" s="229"/>
      <c r="C711" s="225"/>
      <c r="D711" s="226"/>
      <c r="E711" s="227"/>
      <c r="F711" s="228"/>
      <c r="G711" s="33"/>
      <c r="H711" s="143"/>
      <c r="I711" s="111"/>
      <c r="J711" s="112"/>
      <c r="K711" s="230"/>
      <c r="L711" s="31"/>
      <c r="M711" s="39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</row>
    <row r="712">
      <c r="A712" s="224"/>
      <c r="B712" s="229"/>
      <c r="C712" s="225"/>
      <c r="D712" s="226"/>
      <c r="E712" s="227"/>
      <c r="F712" s="228"/>
      <c r="G712" s="33"/>
      <c r="H712" s="143"/>
      <c r="I712" s="111"/>
      <c r="J712" s="112"/>
      <c r="K712" s="230"/>
      <c r="L712" s="31"/>
      <c r="M712" s="39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</row>
    <row r="713">
      <c r="A713" s="224"/>
      <c r="B713" s="229"/>
      <c r="C713" s="225"/>
      <c r="D713" s="226"/>
      <c r="E713" s="227"/>
      <c r="F713" s="228"/>
      <c r="G713" s="33"/>
      <c r="H713" s="143"/>
      <c r="I713" s="111"/>
      <c r="J713" s="112"/>
      <c r="K713" s="230"/>
      <c r="L713" s="31"/>
      <c r="M713" s="39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</row>
    <row r="714">
      <c r="A714" s="224"/>
      <c r="B714" s="229"/>
      <c r="C714" s="225"/>
      <c r="D714" s="226"/>
      <c r="E714" s="227"/>
      <c r="F714" s="228"/>
      <c r="G714" s="33"/>
      <c r="H714" s="143"/>
      <c r="I714" s="111"/>
      <c r="J714" s="112"/>
      <c r="K714" s="230"/>
      <c r="L714" s="31"/>
      <c r="M714" s="39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</row>
    <row r="715">
      <c r="A715" s="224"/>
      <c r="B715" s="229"/>
      <c r="C715" s="225"/>
      <c r="D715" s="226"/>
      <c r="E715" s="227"/>
      <c r="F715" s="228"/>
      <c r="G715" s="33"/>
      <c r="H715" s="143"/>
      <c r="I715" s="111"/>
      <c r="J715" s="112"/>
      <c r="K715" s="230"/>
      <c r="L715" s="31"/>
      <c r="M715" s="39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</row>
    <row r="716">
      <c r="A716" s="224"/>
      <c r="B716" s="229"/>
      <c r="C716" s="225"/>
      <c r="D716" s="226"/>
      <c r="E716" s="227"/>
      <c r="F716" s="228"/>
      <c r="G716" s="33"/>
      <c r="H716" s="143"/>
      <c r="I716" s="111"/>
      <c r="J716" s="112"/>
      <c r="K716" s="230"/>
      <c r="L716" s="31"/>
      <c r="M716" s="39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</row>
    <row r="717">
      <c r="A717" s="224"/>
      <c r="B717" s="229"/>
      <c r="C717" s="225"/>
      <c r="D717" s="226"/>
      <c r="E717" s="227"/>
      <c r="F717" s="228"/>
      <c r="G717" s="33"/>
      <c r="H717" s="143"/>
      <c r="I717" s="111"/>
      <c r="J717" s="112"/>
      <c r="K717" s="230"/>
      <c r="L717" s="31"/>
      <c r="M717" s="39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</row>
    <row r="718">
      <c r="A718" s="224"/>
      <c r="B718" s="229"/>
      <c r="C718" s="225"/>
      <c r="D718" s="226"/>
      <c r="E718" s="227"/>
      <c r="F718" s="228"/>
      <c r="G718" s="33"/>
      <c r="H718" s="143"/>
      <c r="I718" s="111"/>
      <c r="J718" s="112"/>
      <c r="K718" s="230"/>
      <c r="L718" s="31"/>
      <c r="M718" s="39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</row>
    <row r="719">
      <c r="A719" s="224"/>
      <c r="B719" s="229"/>
      <c r="C719" s="225"/>
      <c r="D719" s="226"/>
      <c r="E719" s="227"/>
      <c r="F719" s="228"/>
      <c r="G719" s="33"/>
      <c r="H719" s="143"/>
      <c r="I719" s="111"/>
      <c r="J719" s="112"/>
      <c r="K719" s="230"/>
      <c r="L719" s="31"/>
      <c r="M719" s="39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</row>
    <row r="720">
      <c r="A720" s="224"/>
      <c r="B720" s="229"/>
      <c r="C720" s="225"/>
      <c r="D720" s="226"/>
      <c r="E720" s="227"/>
      <c r="F720" s="228"/>
      <c r="G720" s="33"/>
      <c r="H720" s="143"/>
      <c r="I720" s="111"/>
      <c r="J720" s="112"/>
      <c r="K720" s="230"/>
      <c r="L720" s="31"/>
      <c r="M720" s="39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</row>
    <row r="721">
      <c r="A721" s="224"/>
      <c r="B721" s="229"/>
      <c r="C721" s="225"/>
      <c r="D721" s="226"/>
      <c r="E721" s="227"/>
      <c r="F721" s="228"/>
      <c r="G721" s="33"/>
      <c r="H721" s="143"/>
      <c r="I721" s="111"/>
      <c r="J721" s="112"/>
      <c r="K721" s="230"/>
      <c r="L721" s="31"/>
      <c r="M721" s="39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</row>
    <row r="722">
      <c r="A722" s="224"/>
      <c r="B722" s="229"/>
      <c r="C722" s="225"/>
      <c r="D722" s="226"/>
      <c r="E722" s="227"/>
      <c r="F722" s="228"/>
      <c r="G722" s="33"/>
      <c r="H722" s="143"/>
      <c r="I722" s="111"/>
      <c r="J722" s="112"/>
      <c r="K722" s="230"/>
      <c r="L722" s="31"/>
      <c r="M722" s="39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</row>
    <row r="723">
      <c r="A723" s="224"/>
      <c r="B723" s="229"/>
      <c r="C723" s="225"/>
      <c r="D723" s="226"/>
      <c r="E723" s="227"/>
      <c r="F723" s="228"/>
      <c r="G723" s="33"/>
      <c r="H723" s="143"/>
      <c r="I723" s="111"/>
      <c r="J723" s="112"/>
      <c r="K723" s="230"/>
      <c r="L723" s="31"/>
      <c r="M723" s="39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</row>
    <row r="724">
      <c r="A724" s="224"/>
      <c r="B724" s="229"/>
      <c r="C724" s="225"/>
      <c r="D724" s="226"/>
      <c r="E724" s="227"/>
      <c r="F724" s="228"/>
      <c r="G724" s="33"/>
      <c r="H724" s="143"/>
      <c r="I724" s="111"/>
      <c r="J724" s="112"/>
      <c r="K724" s="230"/>
      <c r="L724" s="31"/>
      <c r="M724" s="39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</row>
    <row r="725">
      <c r="A725" s="224"/>
      <c r="B725" s="229"/>
      <c r="C725" s="225"/>
      <c r="D725" s="226"/>
      <c r="E725" s="227"/>
      <c r="F725" s="228"/>
      <c r="G725" s="33"/>
      <c r="H725" s="143"/>
      <c r="I725" s="111"/>
      <c r="J725" s="112"/>
      <c r="K725" s="230"/>
      <c r="L725" s="31"/>
      <c r="M725" s="39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</row>
    <row r="726">
      <c r="A726" s="224"/>
      <c r="B726" s="229"/>
      <c r="C726" s="225"/>
      <c r="D726" s="226"/>
      <c r="E726" s="227"/>
      <c r="F726" s="228"/>
      <c r="G726" s="33"/>
      <c r="H726" s="143"/>
      <c r="I726" s="111"/>
      <c r="J726" s="112"/>
      <c r="K726" s="230"/>
      <c r="L726" s="31"/>
      <c r="M726" s="39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</row>
    <row r="727">
      <c r="A727" s="224"/>
      <c r="B727" s="229"/>
      <c r="C727" s="225"/>
      <c r="D727" s="226"/>
      <c r="E727" s="227"/>
      <c r="F727" s="228"/>
      <c r="G727" s="33"/>
      <c r="H727" s="143"/>
      <c r="I727" s="111"/>
      <c r="J727" s="112"/>
      <c r="K727" s="230"/>
      <c r="L727" s="31"/>
      <c r="M727" s="39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</row>
    <row r="728">
      <c r="A728" s="224"/>
      <c r="B728" s="229"/>
      <c r="C728" s="225"/>
      <c r="D728" s="226"/>
      <c r="E728" s="227"/>
      <c r="F728" s="228"/>
      <c r="G728" s="33"/>
      <c r="H728" s="143"/>
      <c r="I728" s="111"/>
      <c r="J728" s="112"/>
      <c r="K728" s="230"/>
      <c r="L728" s="31"/>
      <c r="M728" s="39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</row>
    <row r="729">
      <c r="A729" s="224"/>
      <c r="B729" s="229"/>
      <c r="C729" s="225"/>
      <c r="D729" s="226"/>
      <c r="E729" s="227"/>
      <c r="F729" s="228"/>
      <c r="G729" s="33"/>
      <c r="H729" s="143"/>
      <c r="I729" s="111"/>
      <c r="J729" s="112"/>
      <c r="K729" s="230"/>
      <c r="L729" s="31"/>
      <c r="M729" s="39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</row>
    <row r="730">
      <c r="A730" s="224"/>
      <c r="B730" s="229"/>
      <c r="C730" s="225"/>
      <c r="D730" s="226"/>
      <c r="E730" s="227"/>
      <c r="F730" s="228"/>
      <c r="G730" s="33"/>
      <c r="H730" s="143"/>
      <c r="I730" s="111"/>
      <c r="J730" s="112"/>
      <c r="K730" s="230"/>
      <c r="L730" s="31"/>
      <c r="M730" s="39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</row>
    <row r="731">
      <c r="A731" s="224"/>
      <c r="B731" s="229"/>
      <c r="C731" s="225"/>
      <c r="D731" s="226"/>
      <c r="E731" s="227"/>
      <c r="F731" s="228"/>
      <c r="G731" s="33"/>
      <c r="H731" s="143"/>
      <c r="I731" s="111"/>
      <c r="J731" s="112"/>
      <c r="K731" s="230"/>
      <c r="L731" s="31"/>
      <c r="M731" s="39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</row>
    <row r="732">
      <c r="A732" s="224"/>
      <c r="B732" s="229"/>
      <c r="C732" s="225"/>
      <c r="D732" s="226"/>
      <c r="E732" s="227"/>
      <c r="F732" s="228"/>
      <c r="G732" s="33"/>
      <c r="H732" s="143"/>
      <c r="I732" s="111"/>
      <c r="J732" s="112"/>
      <c r="K732" s="230"/>
      <c r="L732" s="31"/>
      <c r="M732" s="39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</row>
    <row r="733">
      <c r="A733" s="224"/>
      <c r="B733" s="229"/>
      <c r="C733" s="225"/>
      <c r="D733" s="226"/>
      <c r="E733" s="227"/>
      <c r="F733" s="228"/>
      <c r="G733" s="33"/>
      <c r="H733" s="143"/>
      <c r="I733" s="111"/>
      <c r="J733" s="112"/>
      <c r="K733" s="230"/>
      <c r="L733" s="31"/>
      <c r="M733" s="39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</row>
    <row r="734">
      <c r="A734" s="224"/>
      <c r="B734" s="229"/>
      <c r="C734" s="225"/>
      <c r="D734" s="226"/>
      <c r="E734" s="227"/>
      <c r="F734" s="228"/>
      <c r="G734" s="33"/>
      <c r="H734" s="143"/>
      <c r="I734" s="111"/>
      <c r="J734" s="112"/>
      <c r="K734" s="230"/>
      <c r="L734" s="31"/>
      <c r="M734" s="39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</row>
    <row r="735">
      <c r="A735" s="224"/>
      <c r="B735" s="229"/>
      <c r="C735" s="225"/>
      <c r="D735" s="226"/>
      <c r="E735" s="227"/>
      <c r="F735" s="228"/>
      <c r="G735" s="33"/>
      <c r="H735" s="143"/>
      <c r="I735" s="111"/>
      <c r="J735" s="112"/>
      <c r="K735" s="230"/>
      <c r="L735" s="31"/>
      <c r="M735" s="39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</row>
    <row r="736">
      <c r="A736" s="224"/>
      <c r="B736" s="229"/>
      <c r="C736" s="225"/>
      <c r="D736" s="226"/>
      <c r="E736" s="227"/>
      <c r="F736" s="228"/>
      <c r="G736" s="33"/>
      <c r="H736" s="143"/>
      <c r="I736" s="111"/>
      <c r="J736" s="112"/>
      <c r="K736" s="230"/>
      <c r="L736" s="31"/>
      <c r="M736" s="39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</row>
    <row r="737">
      <c r="A737" s="224"/>
      <c r="B737" s="229"/>
      <c r="C737" s="225"/>
      <c r="D737" s="226"/>
      <c r="E737" s="227"/>
      <c r="F737" s="228"/>
      <c r="G737" s="33"/>
      <c r="H737" s="143"/>
      <c r="I737" s="111"/>
      <c r="J737" s="112"/>
      <c r="K737" s="230"/>
      <c r="L737" s="31"/>
      <c r="M737" s="39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</row>
    <row r="738">
      <c r="A738" s="224"/>
      <c r="B738" s="229"/>
      <c r="C738" s="225"/>
      <c r="D738" s="226"/>
      <c r="E738" s="227"/>
      <c r="F738" s="228"/>
      <c r="G738" s="33"/>
      <c r="H738" s="143"/>
      <c r="I738" s="111"/>
      <c r="J738" s="112"/>
      <c r="K738" s="230"/>
      <c r="L738" s="31"/>
      <c r="M738" s="39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</row>
    <row r="739">
      <c r="A739" s="224"/>
      <c r="B739" s="229"/>
      <c r="C739" s="225"/>
      <c r="D739" s="226"/>
      <c r="E739" s="227"/>
      <c r="F739" s="228"/>
      <c r="G739" s="33"/>
      <c r="H739" s="143"/>
      <c r="I739" s="111"/>
      <c r="J739" s="112"/>
      <c r="K739" s="230"/>
      <c r="L739" s="31"/>
      <c r="M739" s="39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</row>
    <row r="740">
      <c r="A740" s="224"/>
      <c r="B740" s="229"/>
      <c r="C740" s="225"/>
      <c r="D740" s="226"/>
      <c r="E740" s="227"/>
      <c r="F740" s="228"/>
      <c r="G740" s="33"/>
      <c r="H740" s="143"/>
      <c r="I740" s="111"/>
      <c r="J740" s="112"/>
      <c r="K740" s="230"/>
      <c r="L740" s="31"/>
      <c r="M740" s="39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</row>
    <row r="741">
      <c r="A741" s="224"/>
      <c r="B741" s="229"/>
      <c r="C741" s="225"/>
      <c r="D741" s="226"/>
      <c r="E741" s="227"/>
      <c r="F741" s="228"/>
      <c r="G741" s="33"/>
      <c r="H741" s="143"/>
      <c r="I741" s="111"/>
      <c r="J741" s="112"/>
      <c r="K741" s="230"/>
      <c r="L741" s="31"/>
      <c r="M741" s="39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</row>
    <row r="742">
      <c r="A742" s="224"/>
      <c r="B742" s="229"/>
      <c r="C742" s="225"/>
      <c r="D742" s="226"/>
      <c r="E742" s="227"/>
      <c r="F742" s="228"/>
      <c r="G742" s="33"/>
      <c r="H742" s="143"/>
      <c r="I742" s="111"/>
      <c r="J742" s="112"/>
      <c r="K742" s="230"/>
      <c r="L742" s="31"/>
      <c r="M742" s="39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</row>
    <row r="743">
      <c r="A743" s="224"/>
      <c r="B743" s="229"/>
      <c r="C743" s="225"/>
      <c r="D743" s="226"/>
      <c r="E743" s="227"/>
      <c r="F743" s="228"/>
      <c r="G743" s="33"/>
      <c r="H743" s="143"/>
      <c r="I743" s="111"/>
      <c r="J743" s="112"/>
      <c r="K743" s="230"/>
      <c r="L743" s="31"/>
      <c r="M743" s="39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</row>
    <row r="744">
      <c r="A744" s="224"/>
      <c r="B744" s="229"/>
      <c r="C744" s="225"/>
      <c r="D744" s="226"/>
      <c r="E744" s="227"/>
      <c r="F744" s="228"/>
      <c r="G744" s="33"/>
      <c r="H744" s="143"/>
      <c r="I744" s="111"/>
      <c r="J744" s="112"/>
      <c r="K744" s="230"/>
      <c r="L744" s="31"/>
      <c r="M744" s="39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</row>
    <row r="745">
      <c r="A745" s="224"/>
      <c r="B745" s="229"/>
      <c r="C745" s="225"/>
      <c r="D745" s="226"/>
      <c r="E745" s="227"/>
      <c r="F745" s="228"/>
      <c r="G745" s="33"/>
      <c r="H745" s="143"/>
      <c r="I745" s="111"/>
      <c r="J745" s="112"/>
      <c r="K745" s="230"/>
      <c r="L745" s="31"/>
      <c r="M745" s="39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</row>
    <row r="746">
      <c r="A746" s="224"/>
      <c r="B746" s="229"/>
      <c r="C746" s="225"/>
      <c r="D746" s="226"/>
      <c r="E746" s="227"/>
      <c r="F746" s="228"/>
      <c r="G746" s="33"/>
      <c r="H746" s="143"/>
      <c r="I746" s="111"/>
      <c r="J746" s="112"/>
      <c r="K746" s="230"/>
      <c r="L746" s="31"/>
      <c r="M746" s="39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</row>
    <row r="747">
      <c r="A747" s="224"/>
      <c r="B747" s="229"/>
      <c r="C747" s="225"/>
      <c r="D747" s="226"/>
      <c r="E747" s="227"/>
      <c r="F747" s="228"/>
      <c r="G747" s="33"/>
      <c r="H747" s="143"/>
      <c r="I747" s="111"/>
      <c r="J747" s="112"/>
      <c r="K747" s="230"/>
      <c r="L747" s="31"/>
      <c r="M747" s="39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</row>
    <row r="748">
      <c r="A748" s="224"/>
      <c r="B748" s="229"/>
      <c r="C748" s="225"/>
      <c r="D748" s="226"/>
      <c r="E748" s="227"/>
      <c r="F748" s="228"/>
      <c r="G748" s="33"/>
      <c r="H748" s="143"/>
      <c r="I748" s="111"/>
      <c r="J748" s="112"/>
      <c r="K748" s="230"/>
      <c r="L748" s="31"/>
      <c r="M748" s="39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</row>
    <row r="749">
      <c r="A749" s="224"/>
      <c r="B749" s="229"/>
      <c r="C749" s="225"/>
      <c r="D749" s="226"/>
      <c r="E749" s="227"/>
      <c r="F749" s="228"/>
      <c r="G749" s="33"/>
      <c r="H749" s="143"/>
      <c r="I749" s="111"/>
      <c r="J749" s="112"/>
      <c r="K749" s="230"/>
      <c r="L749" s="31"/>
      <c r="M749" s="39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</row>
    <row r="750">
      <c r="A750" s="224"/>
      <c r="B750" s="229"/>
      <c r="C750" s="225"/>
      <c r="D750" s="226"/>
      <c r="E750" s="227"/>
      <c r="F750" s="228"/>
      <c r="G750" s="33"/>
      <c r="H750" s="143"/>
      <c r="I750" s="111"/>
      <c r="J750" s="112"/>
      <c r="K750" s="230"/>
      <c r="L750" s="31"/>
      <c r="M750" s="39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</row>
    <row r="751">
      <c r="A751" s="224"/>
      <c r="B751" s="229"/>
      <c r="C751" s="225"/>
      <c r="D751" s="226"/>
      <c r="E751" s="227"/>
      <c r="F751" s="228"/>
      <c r="G751" s="33"/>
      <c r="H751" s="143"/>
      <c r="I751" s="111"/>
      <c r="J751" s="112"/>
      <c r="K751" s="230"/>
      <c r="L751" s="31"/>
      <c r="M751" s="39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</row>
    <row r="752">
      <c r="A752" s="224"/>
      <c r="B752" s="229"/>
      <c r="C752" s="225"/>
      <c r="D752" s="226"/>
      <c r="E752" s="227"/>
      <c r="F752" s="228"/>
      <c r="G752" s="33"/>
      <c r="H752" s="143"/>
      <c r="I752" s="111"/>
      <c r="J752" s="112"/>
      <c r="K752" s="230"/>
      <c r="L752" s="31"/>
      <c r="M752" s="39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</row>
    <row r="753">
      <c r="A753" s="224"/>
      <c r="B753" s="229"/>
      <c r="C753" s="225"/>
      <c r="D753" s="226"/>
      <c r="E753" s="227"/>
      <c r="F753" s="228"/>
      <c r="G753" s="33"/>
      <c r="H753" s="143"/>
      <c r="I753" s="111"/>
      <c r="J753" s="112"/>
      <c r="K753" s="230"/>
      <c r="L753" s="31"/>
      <c r="M753" s="39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</row>
    <row r="754">
      <c r="A754" s="224"/>
      <c r="B754" s="229"/>
      <c r="C754" s="225"/>
      <c r="D754" s="226"/>
      <c r="E754" s="227"/>
      <c r="F754" s="228"/>
      <c r="G754" s="33"/>
      <c r="H754" s="143"/>
      <c r="I754" s="111"/>
      <c r="J754" s="112"/>
      <c r="K754" s="230"/>
      <c r="L754" s="31"/>
      <c r="M754" s="39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</row>
    <row r="755">
      <c r="A755" s="224"/>
      <c r="B755" s="229"/>
      <c r="C755" s="225"/>
      <c r="D755" s="226"/>
      <c r="E755" s="227"/>
      <c r="F755" s="228"/>
      <c r="G755" s="33"/>
      <c r="H755" s="143"/>
      <c r="I755" s="111"/>
      <c r="J755" s="112"/>
      <c r="K755" s="230"/>
      <c r="L755" s="31"/>
      <c r="M755" s="39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</row>
    <row r="756">
      <c r="A756" s="224"/>
      <c r="B756" s="229"/>
      <c r="C756" s="225"/>
      <c r="D756" s="226"/>
      <c r="E756" s="227"/>
      <c r="F756" s="228"/>
      <c r="G756" s="33"/>
      <c r="H756" s="143"/>
      <c r="I756" s="111"/>
      <c r="J756" s="112"/>
      <c r="K756" s="230"/>
      <c r="L756" s="31"/>
      <c r="M756" s="39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</row>
    <row r="757">
      <c r="A757" s="224"/>
      <c r="B757" s="229"/>
      <c r="C757" s="225"/>
      <c r="D757" s="226"/>
      <c r="E757" s="227"/>
      <c r="F757" s="228"/>
      <c r="G757" s="33"/>
      <c r="H757" s="143"/>
      <c r="I757" s="111"/>
      <c r="J757" s="112"/>
      <c r="K757" s="230"/>
      <c r="L757" s="31"/>
      <c r="M757" s="39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</row>
    <row r="758">
      <c r="A758" s="224"/>
      <c r="B758" s="229"/>
      <c r="C758" s="225"/>
      <c r="D758" s="226"/>
      <c r="E758" s="227"/>
      <c r="F758" s="228"/>
      <c r="G758" s="33"/>
      <c r="H758" s="143"/>
      <c r="I758" s="111"/>
      <c r="J758" s="112"/>
      <c r="K758" s="230"/>
      <c r="L758" s="31"/>
      <c r="M758" s="39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</row>
    <row r="759">
      <c r="A759" s="224"/>
      <c r="B759" s="229"/>
      <c r="C759" s="225"/>
      <c r="D759" s="226"/>
      <c r="E759" s="227"/>
      <c r="F759" s="228"/>
      <c r="G759" s="33"/>
      <c r="H759" s="143"/>
      <c r="I759" s="111"/>
      <c r="J759" s="112"/>
      <c r="K759" s="230"/>
      <c r="L759" s="31"/>
      <c r="M759" s="39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</row>
    <row r="760">
      <c r="A760" s="224"/>
      <c r="B760" s="229"/>
      <c r="C760" s="225"/>
      <c r="D760" s="226"/>
      <c r="E760" s="227"/>
      <c r="F760" s="228"/>
      <c r="G760" s="33"/>
      <c r="H760" s="143"/>
      <c r="I760" s="111"/>
      <c r="J760" s="112"/>
      <c r="K760" s="230"/>
      <c r="L760" s="31"/>
      <c r="M760" s="39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</row>
    <row r="761">
      <c r="A761" s="224"/>
      <c r="B761" s="229"/>
      <c r="C761" s="225"/>
      <c r="D761" s="226"/>
      <c r="E761" s="227"/>
      <c r="F761" s="228"/>
      <c r="G761" s="33"/>
      <c r="H761" s="143"/>
      <c r="I761" s="111"/>
      <c r="J761" s="112"/>
      <c r="K761" s="230"/>
      <c r="L761" s="31"/>
      <c r="M761" s="39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</row>
    <row r="762">
      <c r="A762" s="224"/>
      <c r="B762" s="229"/>
      <c r="C762" s="225"/>
      <c r="D762" s="226"/>
      <c r="E762" s="227"/>
      <c r="F762" s="228"/>
      <c r="G762" s="33"/>
      <c r="H762" s="143"/>
      <c r="I762" s="111"/>
      <c r="J762" s="112"/>
      <c r="K762" s="230"/>
      <c r="L762" s="31"/>
      <c r="M762" s="39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</row>
    <row r="763">
      <c r="A763" s="224"/>
      <c r="B763" s="229"/>
      <c r="C763" s="225"/>
      <c r="D763" s="226"/>
      <c r="E763" s="227"/>
      <c r="F763" s="228"/>
      <c r="G763" s="33"/>
      <c r="H763" s="143"/>
      <c r="I763" s="111"/>
      <c r="J763" s="112"/>
      <c r="K763" s="230"/>
      <c r="L763" s="31"/>
      <c r="M763" s="39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</row>
    <row r="764">
      <c r="A764" s="224"/>
      <c r="B764" s="229"/>
      <c r="C764" s="225"/>
      <c r="D764" s="226"/>
      <c r="E764" s="227"/>
      <c r="F764" s="228"/>
      <c r="G764" s="33"/>
      <c r="H764" s="143"/>
      <c r="I764" s="111"/>
      <c r="J764" s="112"/>
      <c r="K764" s="230"/>
      <c r="L764" s="31"/>
      <c r="M764" s="39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</row>
    <row r="765">
      <c r="A765" s="224"/>
      <c r="B765" s="229"/>
      <c r="C765" s="225"/>
      <c r="D765" s="226"/>
      <c r="E765" s="227"/>
      <c r="F765" s="228"/>
      <c r="G765" s="33"/>
      <c r="H765" s="143"/>
      <c r="I765" s="111"/>
      <c r="J765" s="112"/>
      <c r="K765" s="230"/>
      <c r="L765" s="31"/>
      <c r="M765" s="39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</row>
    <row r="766">
      <c r="A766" s="224"/>
      <c r="B766" s="229"/>
      <c r="C766" s="225"/>
      <c r="D766" s="226"/>
      <c r="E766" s="227"/>
      <c r="F766" s="228"/>
      <c r="G766" s="33"/>
      <c r="H766" s="143"/>
      <c r="I766" s="111"/>
      <c r="J766" s="112"/>
      <c r="K766" s="230"/>
      <c r="L766" s="31"/>
      <c r="M766" s="39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</row>
    <row r="767">
      <c r="A767" s="224"/>
      <c r="B767" s="229"/>
      <c r="C767" s="225"/>
      <c r="D767" s="226"/>
      <c r="E767" s="227"/>
      <c r="F767" s="228"/>
      <c r="G767" s="33"/>
      <c r="H767" s="143"/>
      <c r="I767" s="111"/>
      <c r="J767" s="112"/>
      <c r="K767" s="230"/>
      <c r="L767" s="31"/>
      <c r="M767" s="39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</row>
    <row r="768">
      <c r="A768" s="224"/>
      <c r="B768" s="229"/>
      <c r="C768" s="225"/>
      <c r="D768" s="226"/>
      <c r="E768" s="227"/>
      <c r="F768" s="228"/>
      <c r="G768" s="33"/>
      <c r="H768" s="143"/>
      <c r="I768" s="111"/>
      <c r="J768" s="112"/>
      <c r="K768" s="230"/>
      <c r="L768" s="31"/>
      <c r="M768" s="39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</row>
    <row r="769">
      <c r="A769" s="224"/>
      <c r="B769" s="229"/>
      <c r="C769" s="225"/>
      <c r="D769" s="226"/>
      <c r="E769" s="227"/>
      <c r="F769" s="228"/>
      <c r="G769" s="33"/>
      <c r="H769" s="143"/>
      <c r="I769" s="111"/>
      <c r="J769" s="112"/>
      <c r="K769" s="230"/>
      <c r="L769" s="31"/>
      <c r="M769" s="39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</row>
    <row r="770">
      <c r="A770" s="224"/>
      <c r="B770" s="229"/>
      <c r="C770" s="225"/>
      <c r="D770" s="226"/>
      <c r="E770" s="227"/>
      <c r="F770" s="228"/>
      <c r="G770" s="33"/>
      <c r="H770" s="143"/>
      <c r="I770" s="111"/>
      <c r="J770" s="112"/>
      <c r="K770" s="230"/>
      <c r="L770" s="31"/>
      <c r="M770" s="39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</row>
    <row r="771">
      <c r="A771" s="224"/>
      <c r="B771" s="229"/>
      <c r="C771" s="225"/>
      <c r="D771" s="226"/>
      <c r="E771" s="227"/>
      <c r="F771" s="228"/>
      <c r="G771" s="33"/>
      <c r="H771" s="143"/>
      <c r="I771" s="111"/>
      <c r="J771" s="112"/>
      <c r="K771" s="230"/>
      <c r="L771" s="31"/>
      <c r="M771" s="39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</row>
    <row r="772">
      <c r="A772" s="224"/>
      <c r="B772" s="229"/>
      <c r="C772" s="225"/>
      <c r="D772" s="226"/>
      <c r="E772" s="227"/>
      <c r="F772" s="228"/>
      <c r="G772" s="33"/>
      <c r="H772" s="143"/>
      <c r="I772" s="111"/>
      <c r="J772" s="112"/>
      <c r="K772" s="230"/>
      <c r="L772" s="31"/>
      <c r="M772" s="39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</row>
    <row r="773">
      <c r="A773" s="224"/>
      <c r="B773" s="229"/>
      <c r="C773" s="225"/>
      <c r="D773" s="226"/>
      <c r="E773" s="227"/>
      <c r="F773" s="228"/>
      <c r="G773" s="33"/>
      <c r="H773" s="143"/>
      <c r="I773" s="111"/>
      <c r="J773" s="112"/>
      <c r="K773" s="230"/>
      <c r="L773" s="31"/>
      <c r="M773" s="39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</row>
    <row r="774">
      <c r="A774" s="224"/>
      <c r="B774" s="229"/>
      <c r="C774" s="225"/>
      <c r="D774" s="226"/>
      <c r="E774" s="227"/>
      <c r="F774" s="228"/>
      <c r="G774" s="33"/>
      <c r="H774" s="143"/>
      <c r="I774" s="111"/>
      <c r="J774" s="112"/>
      <c r="K774" s="230"/>
      <c r="L774" s="31"/>
      <c r="M774" s="39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</row>
    <row r="775">
      <c r="A775" s="224"/>
      <c r="B775" s="229"/>
      <c r="C775" s="225"/>
      <c r="D775" s="226"/>
      <c r="E775" s="227"/>
      <c r="F775" s="228"/>
      <c r="G775" s="33"/>
      <c r="H775" s="143"/>
      <c r="I775" s="111"/>
      <c r="J775" s="112"/>
      <c r="K775" s="230"/>
      <c r="L775" s="31"/>
      <c r="M775" s="39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</row>
    <row r="776">
      <c r="A776" s="224"/>
      <c r="B776" s="229"/>
      <c r="C776" s="225"/>
      <c r="D776" s="226"/>
      <c r="E776" s="227"/>
      <c r="F776" s="228"/>
      <c r="G776" s="33"/>
      <c r="H776" s="143"/>
      <c r="I776" s="111"/>
      <c r="J776" s="112"/>
      <c r="K776" s="230"/>
      <c r="L776" s="31"/>
      <c r="M776" s="39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</row>
    <row r="777">
      <c r="A777" s="224"/>
      <c r="B777" s="229"/>
      <c r="C777" s="225"/>
      <c r="D777" s="226"/>
      <c r="E777" s="227"/>
      <c r="F777" s="228"/>
      <c r="G777" s="33"/>
      <c r="H777" s="143"/>
      <c r="I777" s="111"/>
      <c r="J777" s="112"/>
      <c r="K777" s="230"/>
      <c r="L777" s="31"/>
      <c r="M777" s="39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</row>
    <row r="778">
      <c r="A778" s="224"/>
      <c r="B778" s="229"/>
      <c r="C778" s="225"/>
      <c r="D778" s="226"/>
      <c r="E778" s="227"/>
      <c r="F778" s="228"/>
      <c r="G778" s="33"/>
      <c r="H778" s="143"/>
      <c r="I778" s="111"/>
      <c r="J778" s="112"/>
      <c r="K778" s="230"/>
      <c r="L778" s="31"/>
      <c r="M778" s="39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</row>
    <row r="779">
      <c r="A779" s="224"/>
      <c r="B779" s="229"/>
      <c r="C779" s="225"/>
      <c r="D779" s="226"/>
      <c r="E779" s="227"/>
      <c r="F779" s="228"/>
      <c r="G779" s="33"/>
      <c r="H779" s="143"/>
      <c r="I779" s="111"/>
      <c r="J779" s="112"/>
      <c r="K779" s="230"/>
      <c r="L779" s="31"/>
      <c r="M779" s="39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</row>
    <row r="780">
      <c r="A780" s="224"/>
      <c r="B780" s="229"/>
      <c r="C780" s="225"/>
      <c r="D780" s="226"/>
      <c r="E780" s="227"/>
      <c r="F780" s="228"/>
      <c r="G780" s="33"/>
      <c r="H780" s="143"/>
      <c r="I780" s="111"/>
      <c r="J780" s="112"/>
      <c r="K780" s="230"/>
      <c r="L780" s="31"/>
      <c r="M780" s="39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</row>
    <row r="781">
      <c r="A781" s="224"/>
      <c r="B781" s="229"/>
      <c r="C781" s="225"/>
      <c r="D781" s="226"/>
      <c r="E781" s="227"/>
      <c r="F781" s="228"/>
      <c r="G781" s="33"/>
      <c r="H781" s="143"/>
      <c r="I781" s="111"/>
      <c r="J781" s="112"/>
      <c r="K781" s="230"/>
      <c r="L781" s="31"/>
      <c r="M781" s="39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</row>
    <row r="782">
      <c r="A782" s="224"/>
      <c r="B782" s="229"/>
      <c r="C782" s="225"/>
      <c r="D782" s="226"/>
      <c r="E782" s="227"/>
      <c r="F782" s="228"/>
      <c r="G782" s="33"/>
      <c r="H782" s="143"/>
      <c r="I782" s="111"/>
      <c r="J782" s="112"/>
      <c r="K782" s="230"/>
      <c r="L782" s="31"/>
      <c r="M782" s="39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</row>
    <row r="783">
      <c r="A783" s="224"/>
      <c r="B783" s="229"/>
      <c r="C783" s="225"/>
      <c r="D783" s="226"/>
      <c r="E783" s="227"/>
      <c r="F783" s="228"/>
      <c r="G783" s="33"/>
      <c r="H783" s="143"/>
      <c r="I783" s="111"/>
      <c r="J783" s="112"/>
      <c r="K783" s="230"/>
      <c r="L783" s="31"/>
      <c r="M783" s="39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</row>
    <row r="784">
      <c r="A784" s="224"/>
      <c r="B784" s="229"/>
      <c r="C784" s="225"/>
      <c r="D784" s="226"/>
      <c r="E784" s="227"/>
      <c r="F784" s="228"/>
      <c r="G784" s="33"/>
      <c r="H784" s="143"/>
      <c r="I784" s="111"/>
      <c r="J784" s="112"/>
      <c r="K784" s="230"/>
      <c r="L784" s="31"/>
      <c r="M784" s="39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</row>
    <row r="785">
      <c r="A785" s="224"/>
      <c r="B785" s="229"/>
      <c r="C785" s="225"/>
      <c r="D785" s="226"/>
      <c r="E785" s="227"/>
      <c r="F785" s="228"/>
      <c r="G785" s="33"/>
      <c r="H785" s="143"/>
      <c r="I785" s="111"/>
      <c r="J785" s="112"/>
      <c r="K785" s="230"/>
      <c r="L785" s="31"/>
      <c r="M785" s="39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</row>
    <row r="786">
      <c r="A786" s="224"/>
      <c r="B786" s="229"/>
      <c r="C786" s="225"/>
      <c r="D786" s="226"/>
      <c r="E786" s="227"/>
      <c r="F786" s="228"/>
      <c r="G786" s="33"/>
      <c r="H786" s="143"/>
      <c r="I786" s="111"/>
      <c r="J786" s="112"/>
      <c r="K786" s="230"/>
      <c r="L786" s="31"/>
      <c r="M786" s="39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</row>
    <row r="787">
      <c r="A787" s="224"/>
      <c r="B787" s="229"/>
      <c r="C787" s="225"/>
      <c r="D787" s="226"/>
      <c r="E787" s="227"/>
      <c r="F787" s="228"/>
      <c r="G787" s="33"/>
      <c r="H787" s="143"/>
      <c r="I787" s="111"/>
      <c r="J787" s="112"/>
      <c r="K787" s="230"/>
      <c r="L787" s="31"/>
      <c r="M787" s="39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</row>
    <row r="788">
      <c r="A788" s="224"/>
      <c r="B788" s="229"/>
      <c r="C788" s="225"/>
      <c r="D788" s="226"/>
      <c r="E788" s="227"/>
      <c r="F788" s="228"/>
      <c r="G788" s="33"/>
      <c r="H788" s="143"/>
      <c r="I788" s="111"/>
      <c r="J788" s="112"/>
      <c r="K788" s="230"/>
      <c r="L788" s="31"/>
      <c r="M788" s="39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</row>
    <row r="789">
      <c r="A789" s="224"/>
      <c r="B789" s="229"/>
      <c r="C789" s="225"/>
      <c r="D789" s="226"/>
      <c r="E789" s="227"/>
      <c r="F789" s="228"/>
      <c r="G789" s="33"/>
      <c r="H789" s="143"/>
      <c r="I789" s="111"/>
      <c r="J789" s="112"/>
      <c r="K789" s="230"/>
      <c r="L789" s="31"/>
      <c r="M789" s="39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</row>
    <row r="790">
      <c r="A790" s="224"/>
      <c r="B790" s="229"/>
      <c r="C790" s="225"/>
      <c r="D790" s="226"/>
      <c r="E790" s="227"/>
      <c r="F790" s="228"/>
      <c r="G790" s="33"/>
      <c r="H790" s="143"/>
      <c r="I790" s="111"/>
      <c r="J790" s="112"/>
      <c r="K790" s="230"/>
      <c r="L790" s="31"/>
      <c r="M790" s="39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</row>
    <row r="791">
      <c r="A791" s="224"/>
      <c r="B791" s="229"/>
      <c r="C791" s="225"/>
      <c r="D791" s="226"/>
      <c r="E791" s="227"/>
      <c r="F791" s="228"/>
      <c r="G791" s="33"/>
      <c r="H791" s="143"/>
      <c r="I791" s="111"/>
      <c r="J791" s="112"/>
      <c r="K791" s="230"/>
      <c r="L791" s="31"/>
      <c r="M791" s="39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</row>
    <row r="792">
      <c r="A792" s="224"/>
      <c r="B792" s="229"/>
      <c r="C792" s="225"/>
      <c r="D792" s="226"/>
      <c r="E792" s="227"/>
      <c r="F792" s="228"/>
      <c r="G792" s="33"/>
      <c r="H792" s="143"/>
      <c r="I792" s="111"/>
      <c r="J792" s="112"/>
      <c r="K792" s="230"/>
      <c r="L792" s="31"/>
      <c r="M792" s="39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</row>
    <row r="793">
      <c r="A793" s="224"/>
      <c r="B793" s="229"/>
      <c r="C793" s="225"/>
      <c r="D793" s="226"/>
      <c r="E793" s="227"/>
      <c r="F793" s="228"/>
      <c r="G793" s="33"/>
      <c r="H793" s="143"/>
      <c r="I793" s="111"/>
      <c r="J793" s="112"/>
      <c r="K793" s="230"/>
      <c r="L793" s="31"/>
      <c r="M793" s="39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</row>
    <row r="794">
      <c r="A794" s="224"/>
      <c r="B794" s="229"/>
      <c r="C794" s="225"/>
      <c r="D794" s="226"/>
      <c r="E794" s="227"/>
      <c r="F794" s="228"/>
      <c r="G794" s="33"/>
      <c r="H794" s="143"/>
      <c r="I794" s="111"/>
      <c r="J794" s="112"/>
      <c r="K794" s="230"/>
      <c r="L794" s="31"/>
      <c r="M794" s="39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</row>
    <row r="795">
      <c r="A795" s="224"/>
      <c r="B795" s="229"/>
      <c r="C795" s="225"/>
      <c r="D795" s="226"/>
      <c r="E795" s="227"/>
      <c r="F795" s="228"/>
      <c r="G795" s="33"/>
      <c r="H795" s="143"/>
      <c r="I795" s="111"/>
      <c r="J795" s="112"/>
      <c r="K795" s="230"/>
      <c r="L795" s="31"/>
      <c r="M795" s="39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</row>
    <row r="796">
      <c r="A796" s="224"/>
      <c r="B796" s="229"/>
      <c r="C796" s="225"/>
      <c r="D796" s="226"/>
      <c r="E796" s="227"/>
      <c r="F796" s="228"/>
      <c r="G796" s="33"/>
      <c r="H796" s="143"/>
      <c r="I796" s="111"/>
      <c r="J796" s="112"/>
      <c r="K796" s="230"/>
      <c r="L796" s="31"/>
      <c r="M796" s="39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</row>
    <row r="797">
      <c r="A797" s="224"/>
      <c r="B797" s="229"/>
      <c r="C797" s="225"/>
      <c r="D797" s="226"/>
      <c r="E797" s="227"/>
      <c r="F797" s="228"/>
      <c r="G797" s="33"/>
      <c r="H797" s="143"/>
      <c r="I797" s="111"/>
      <c r="J797" s="112"/>
      <c r="K797" s="230"/>
      <c r="L797" s="31"/>
      <c r="M797" s="39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</row>
    <row r="798">
      <c r="A798" s="224"/>
      <c r="B798" s="229"/>
      <c r="C798" s="225"/>
      <c r="D798" s="226"/>
      <c r="E798" s="227"/>
      <c r="F798" s="228"/>
      <c r="G798" s="33"/>
      <c r="H798" s="143"/>
      <c r="I798" s="111"/>
      <c r="J798" s="112"/>
      <c r="K798" s="230"/>
      <c r="L798" s="31"/>
      <c r="M798" s="39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</row>
    <row r="799">
      <c r="A799" s="224"/>
      <c r="B799" s="229"/>
      <c r="C799" s="225"/>
      <c r="D799" s="226"/>
      <c r="E799" s="227"/>
      <c r="F799" s="228"/>
      <c r="G799" s="33"/>
      <c r="H799" s="143"/>
      <c r="I799" s="111"/>
      <c r="J799" s="112"/>
      <c r="K799" s="230"/>
      <c r="L799" s="31"/>
      <c r="M799" s="39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</row>
    <row r="800">
      <c r="A800" s="224"/>
      <c r="B800" s="229"/>
      <c r="C800" s="225"/>
      <c r="D800" s="226"/>
      <c r="E800" s="227"/>
      <c r="F800" s="228"/>
      <c r="G800" s="33"/>
      <c r="H800" s="143"/>
      <c r="I800" s="111"/>
      <c r="J800" s="112"/>
      <c r="K800" s="230"/>
      <c r="L800" s="31"/>
      <c r="M800" s="39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</row>
    <row r="801">
      <c r="A801" s="224"/>
      <c r="B801" s="229"/>
      <c r="C801" s="225"/>
      <c r="D801" s="226"/>
      <c r="E801" s="227"/>
      <c r="F801" s="228"/>
      <c r="G801" s="33"/>
      <c r="H801" s="143"/>
      <c r="I801" s="111"/>
      <c r="J801" s="112"/>
      <c r="K801" s="230"/>
      <c r="L801" s="31"/>
      <c r="M801" s="39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</row>
    <row r="802">
      <c r="A802" s="224"/>
      <c r="B802" s="229"/>
      <c r="C802" s="225"/>
      <c r="D802" s="226"/>
      <c r="E802" s="227"/>
      <c r="F802" s="228"/>
      <c r="G802" s="33"/>
      <c r="H802" s="143"/>
      <c r="I802" s="111"/>
      <c r="J802" s="112"/>
      <c r="K802" s="230"/>
      <c r="L802" s="31"/>
      <c r="M802" s="39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</row>
    <row r="803">
      <c r="A803" s="224"/>
      <c r="B803" s="229"/>
      <c r="C803" s="225"/>
      <c r="D803" s="226"/>
      <c r="E803" s="227"/>
      <c r="F803" s="228"/>
      <c r="G803" s="33"/>
      <c r="H803" s="143"/>
      <c r="I803" s="111"/>
      <c r="J803" s="112"/>
      <c r="K803" s="230"/>
      <c r="L803" s="31"/>
      <c r="M803" s="39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</row>
    <row r="804">
      <c r="A804" s="224"/>
      <c r="B804" s="229"/>
      <c r="C804" s="225"/>
      <c r="D804" s="226"/>
      <c r="E804" s="227"/>
      <c r="F804" s="228"/>
      <c r="G804" s="33"/>
      <c r="H804" s="143"/>
      <c r="I804" s="111"/>
      <c r="J804" s="112"/>
      <c r="K804" s="230"/>
      <c r="L804" s="31"/>
      <c r="M804" s="39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</row>
    <row r="805">
      <c r="A805" s="224"/>
      <c r="B805" s="229"/>
      <c r="C805" s="225"/>
      <c r="D805" s="226"/>
      <c r="E805" s="227"/>
      <c r="F805" s="228"/>
      <c r="G805" s="33"/>
      <c r="H805" s="143"/>
      <c r="I805" s="111"/>
      <c r="J805" s="112"/>
      <c r="K805" s="230"/>
      <c r="L805" s="31"/>
      <c r="M805" s="39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</row>
    <row r="806">
      <c r="A806" s="224"/>
      <c r="B806" s="229"/>
      <c r="C806" s="225"/>
      <c r="D806" s="226"/>
      <c r="E806" s="227"/>
      <c r="F806" s="228"/>
      <c r="G806" s="33"/>
      <c r="H806" s="143"/>
      <c r="I806" s="111"/>
      <c r="J806" s="112"/>
      <c r="K806" s="230"/>
      <c r="L806" s="31"/>
      <c r="M806" s="39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</row>
    <row r="807">
      <c r="A807" s="224"/>
      <c r="B807" s="229"/>
      <c r="C807" s="225"/>
      <c r="D807" s="226"/>
      <c r="E807" s="227"/>
      <c r="F807" s="228"/>
      <c r="G807" s="33"/>
      <c r="H807" s="143"/>
      <c r="I807" s="111"/>
      <c r="J807" s="112"/>
      <c r="K807" s="230"/>
      <c r="L807" s="31"/>
      <c r="M807" s="39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</row>
    <row r="808">
      <c r="A808" s="224"/>
      <c r="B808" s="229"/>
      <c r="C808" s="225"/>
      <c r="D808" s="226"/>
      <c r="E808" s="227"/>
      <c r="F808" s="228"/>
      <c r="G808" s="33"/>
      <c r="H808" s="143"/>
      <c r="I808" s="111"/>
      <c r="J808" s="112"/>
      <c r="K808" s="230"/>
      <c r="L808" s="31"/>
      <c r="M808" s="39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</row>
    <row r="809">
      <c r="A809" s="224"/>
      <c r="B809" s="229"/>
      <c r="C809" s="225"/>
      <c r="D809" s="226"/>
      <c r="E809" s="227"/>
      <c r="F809" s="228"/>
      <c r="G809" s="33"/>
      <c r="H809" s="143"/>
      <c r="I809" s="111"/>
      <c r="J809" s="112"/>
      <c r="K809" s="230"/>
      <c r="L809" s="31"/>
      <c r="M809" s="39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</row>
    <row r="810">
      <c r="A810" s="224"/>
      <c r="B810" s="229"/>
      <c r="C810" s="225"/>
      <c r="D810" s="226"/>
      <c r="E810" s="227"/>
      <c r="F810" s="228"/>
      <c r="G810" s="33"/>
      <c r="H810" s="143"/>
      <c r="I810" s="111"/>
      <c r="J810" s="112"/>
      <c r="K810" s="230"/>
      <c r="L810" s="31"/>
      <c r="M810" s="39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</row>
    <row r="811">
      <c r="A811" s="224"/>
      <c r="B811" s="229"/>
      <c r="C811" s="225"/>
      <c r="D811" s="226"/>
      <c r="E811" s="227"/>
      <c r="F811" s="228"/>
      <c r="G811" s="33"/>
      <c r="H811" s="143"/>
      <c r="I811" s="111"/>
      <c r="J811" s="112"/>
      <c r="K811" s="230"/>
      <c r="L811" s="31"/>
      <c r="M811" s="39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</row>
    <row r="812">
      <c r="A812" s="224"/>
      <c r="B812" s="229"/>
      <c r="C812" s="225"/>
      <c r="D812" s="226"/>
      <c r="E812" s="227"/>
      <c r="F812" s="228"/>
      <c r="G812" s="33"/>
      <c r="H812" s="143"/>
      <c r="I812" s="111"/>
      <c r="J812" s="112"/>
      <c r="K812" s="230"/>
      <c r="L812" s="31"/>
      <c r="M812" s="39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</row>
    <row r="813">
      <c r="A813" s="224"/>
      <c r="B813" s="229"/>
      <c r="C813" s="225"/>
      <c r="D813" s="226"/>
      <c r="E813" s="227"/>
      <c r="F813" s="228"/>
      <c r="G813" s="33"/>
      <c r="H813" s="143"/>
      <c r="I813" s="111"/>
      <c r="J813" s="112"/>
      <c r="K813" s="230"/>
      <c r="L813" s="31"/>
      <c r="M813" s="39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</row>
    <row r="814">
      <c r="A814" s="224"/>
      <c r="B814" s="229"/>
      <c r="C814" s="225"/>
      <c r="D814" s="226"/>
      <c r="E814" s="227"/>
      <c r="F814" s="228"/>
      <c r="G814" s="33"/>
      <c r="H814" s="143"/>
      <c r="I814" s="111"/>
      <c r="J814" s="112"/>
      <c r="K814" s="230"/>
      <c r="L814" s="31"/>
      <c r="M814" s="39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</row>
    <row r="815">
      <c r="A815" s="224"/>
      <c r="B815" s="229"/>
      <c r="C815" s="225"/>
      <c r="D815" s="226"/>
      <c r="E815" s="227"/>
      <c r="F815" s="228"/>
      <c r="G815" s="33"/>
      <c r="H815" s="143"/>
      <c r="I815" s="111"/>
      <c r="J815" s="112"/>
      <c r="K815" s="230"/>
      <c r="L815" s="31"/>
      <c r="M815" s="39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</row>
    <row r="816">
      <c r="A816" s="224"/>
      <c r="B816" s="229"/>
      <c r="C816" s="225"/>
      <c r="D816" s="226"/>
      <c r="E816" s="227"/>
      <c r="F816" s="228"/>
      <c r="G816" s="33"/>
      <c r="H816" s="143"/>
      <c r="I816" s="111"/>
      <c r="J816" s="112"/>
      <c r="K816" s="230"/>
      <c r="L816" s="31"/>
      <c r="M816" s="39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</row>
    <row r="817">
      <c r="A817" s="224"/>
      <c r="B817" s="229"/>
      <c r="C817" s="225"/>
      <c r="D817" s="226"/>
      <c r="E817" s="227"/>
      <c r="F817" s="228"/>
      <c r="G817" s="33"/>
      <c r="H817" s="143"/>
      <c r="I817" s="111"/>
      <c r="J817" s="112"/>
      <c r="K817" s="230"/>
      <c r="L817" s="31"/>
      <c r="M817" s="39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</row>
    <row r="818">
      <c r="A818" s="224"/>
      <c r="B818" s="229"/>
      <c r="C818" s="225"/>
      <c r="D818" s="226"/>
      <c r="E818" s="227"/>
      <c r="F818" s="228"/>
      <c r="G818" s="33"/>
      <c r="H818" s="143"/>
      <c r="I818" s="111"/>
      <c r="J818" s="112"/>
      <c r="K818" s="230"/>
      <c r="L818" s="31"/>
      <c r="M818" s="39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</row>
    <row r="819">
      <c r="A819" s="224"/>
      <c r="B819" s="229"/>
      <c r="C819" s="225"/>
      <c r="D819" s="226"/>
      <c r="E819" s="227"/>
      <c r="F819" s="228"/>
      <c r="G819" s="33"/>
      <c r="H819" s="143"/>
      <c r="I819" s="111"/>
      <c r="J819" s="112"/>
      <c r="K819" s="230"/>
      <c r="L819" s="31"/>
      <c r="M819" s="39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</row>
    <row r="820">
      <c r="A820" s="224"/>
      <c r="B820" s="229"/>
      <c r="C820" s="225"/>
      <c r="D820" s="226"/>
      <c r="E820" s="227"/>
      <c r="F820" s="228"/>
      <c r="G820" s="33"/>
      <c r="H820" s="143"/>
      <c r="I820" s="111"/>
      <c r="J820" s="112"/>
      <c r="K820" s="230"/>
      <c r="L820" s="31"/>
      <c r="M820" s="39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</row>
    <row r="821">
      <c r="A821" s="224"/>
      <c r="B821" s="229"/>
      <c r="C821" s="225"/>
      <c r="D821" s="226"/>
      <c r="E821" s="227"/>
      <c r="F821" s="228"/>
      <c r="G821" s="33"/>
      <c r="H821" s="143"/>
      <c r="I821" s="111"/>
      <c r="J821" s="112"/>
      <c r="K821" s="230"/>
      <c r="L821" s="31"/>
      <c r="M821" s="39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</row>
    <row r="822">
      <c r="A822" s="224"/>
      <c r="B822" s="229"/>
      <c r="C822" s="225"/>
      <c r="D822" s="226"/>
      <c r="E822" s="227"/>
      <c r="F822" s="228"/>
      <c r="G822" s="33"/>
      <c r="H822" s="143"/>
      <c r="I822" s="111"/>
      <c r="J822" s="112"/>
      <c r="K822" s="230"/>
      <c r="L822" s="31"/>
      <c r="M822" s="39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</row>
    <row r="823">
      <c r="A823" s="224"/>
      <c r="B823" s="229"/>
      <c r="C823" s="225"/>
      <c r="D823" s="226"/>
      <c r="E823" s="227"/>
      <c r="F823" s="228"/>
      <c r="G823" s="33"/>
      <c r="H823" s="143"/>
      <c r="I823" s="111"/>
      <c r="J823" s="112"/>
      <c r="K823" s="230"/>
      <c r="L823" s="31"/>
      <c r="M823" s="39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</row>
    <row r="824">
      <c r="A824" s="224"/>
      <c r="B824" s="229"/>
      <c r="C824" s="225"/>
      <c r="D824" s="226"/>
      <c r="E824" s="227"/>
      <c r="F824" s="228"/>
      <c r="G824" s="33"/>
      <c r="H824" s="143"/>
      <c r="I824" s="111"/>
      <c r="J824" s="112"/>
      <c r="K824" s="230"/>
      <c r="L824" s="31"/>
      <c r="M824" s="39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</row>
    <row r="825">
      <c r="A825" s="224"/>
      <c r="B825" s="229"/>
      <c r="C825" s="225"/>
      <c r="D825" s="226"/>
      <c r="E825" s="227"/>
      <c r="F825" s="228"/>
      <c r="G825" s="33"/>
      <c r="H825" s="143"/>
      <c r="I825" s="111"/>
      <c r="J825" s="112"/>
      <c r="K825" s="230"/>
      <c r="L825" s="31"/>
      <c r="M825" s="39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</row>
    <row r="826">
      <c r="A826" s="224"/>
      <c r="B826" s="229"/>
      <c r="C826" s="225"/>
      <c r="D826" s="226"/>
      <c r="E826" s="227"/>
      <c r="F826" s="228"/>
      <c r="G826" s="33"/>
      <c r="H826" s="143"/>
      <c r="I826" s="111"/>
      <c r="J826" s="112"/>
      <c r="K826" s="230"/>
      <c r="L826" s="31"/>
      <c r="M826" s="39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</row>
    <row r="827">
      <c r="A827" s="224"/>
      <c r="B827" s="229"/>
      <c r="C827" s="225"/>
      <c r="D827" s="226"/>
      <c r="E827" s="227"/>
      <c r="F827" s="228"/>
      <c r="G827" s="33"/>
      <c r="H827" s="143"/>
      <c r="I827" s="111"/>
      <c r="J827" s="112"/>
      <c r="K827" s="230"/>
      <c r="L827" s="31"/>
      <c r="M827" s="39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</row>
    <row r="828">
      <c r="A828" s="224"/>
      <c r="B828" s="229"/>
      <c r="C828" s="225"/>
      <c r="D828" s="226"/>
      <c r="E828" s="227"/>
      <c r="F828" s="228"/>
      <c r="G828" s="33"/>
      <c r="H828" s="143"/>
      <c r="I828" s="111"/>
      <c r="J828" s="112"/>
      <c r="K828" s="230"/>
      <c r="L828" s="31"/>
      <c r="M828" s="39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</row>
    <row r="829">
      <c r="A829" s="224"/>
      <c r="B829" s="229"/>
      <c r="C829" s="225"/>
      <c r="D829" s="226"/>
      <c r="E829" s="227"/>
      <c r="F829" s="228"/>
      <c r="G829" s="33"/>
      <c r="H829" s="143"/>
      <c r="I829" s="111"/>
      <c r="J829" s="112"/>
      <c r="K829" s="230"/>
      <c r="L829" s="31"/>
      <c r="M829" s="39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</row>
    <row r="830">
      <c r="A830" s="224"/>
      <c r="B830" s="229"/>
      <c r="C830" s="225"/>
      <c r="D830" s="226"/>
      <c r="E830" s="227"/>
      <c r="F830" s="228"/>
      <c r="G830" s="33"/>
      <c r="H830" s="143"/>
      <c r="I830" s="111"/>
      <c r="J830" s="112"/>
      <c r="K830" s="230"/>
      <c r="L830" s="31"/>
      <c r="M830" s="39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</row>
    <row r="831">
      <c r="A831" s="224"/>
      <c r="B831" s="229"/>
      <c r="C831" s="225"/>
      <c r="D831" s="226"/>
      <c r="E831" s="227"/>
      <c r="F831" s="228"/>
      <c r="G831" s="33"/>
      <c r="H831" s="143"/>
      <c r="I831" s="111"/>
      <c r="J831" s="112"/>
      <c r="K831" s="230"/>
      <c r="L831" s="31"/>
      <c r="M831" s="39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</row>
    <row r="832">
      <c r="A832" s="224"/>
      <c r="B832" s="229"/>
      <c r="C832" s="225"/>
      <c r="D832" s="226"/>
      <c r="E832" s="227"/>
      <c r="F832" s="228"/>
      <c r="G832" s="33"/>
      <c r="H832" s="143"/>
      <c r="I832" s="111"/>
      <c r="J832" s="112"/>
      <c r="K832" s="230"/>
      <c r="L832" s="31"/>
      <c r="M832" s="39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</row>
    <row r="833">
      <c r="A833" s="224"/>
      <c r="B833" s="229"/>
      <c r="C833" s="225"/>
      <c r="D833" s="226"/>
      <c r="E833" s="227"/>
      <c r="F833" s="228"/>
      <c r="G833" s="33"/>
      <c r="H833" s="143"/>
      <c r="I833" s="111"/>
      <c r="J833" s="112"/>
      <c r="K833" s="230"/>
      <c r="L833" s="31"/>
      <c r="M833" s="39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</row>
    <row r="834">
      <c r="A834" s="224"/>
      <c r="B834" s="229"/>
      <c r="C834" s="225"/>
      <c r="D834" s="226"/>
      <c r="E834" s="227"/>
      <c r="F834" s="228"/>
      <c r="G834" s="33"/>
      <c r="H834" s="143"/>
      <c r="I834" s="111"/>
      <c r="J834" s="112"/>
      <c r="K834" s="230"/>
      <c r="L834" s="31"/>
      <c r="M834" s="39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</row>
    <row r="835">
      <c r="A835" s="224"/>
      <c r="B835" s="229"/>
      <c r="C835" s="225"/>
      <c r="D835" s="226"/>
      <c r="E835" s="227"/>
      <c r="F835" s="228"/>
      <c r="G835" s="33"/>
      <c r="H835" s="143"/>
      <c r="I835" s="111"/>
      <c r="J835" s="112"/>
      <c r="K835" s="230"/>
      <c r="L835" s="31"/>
      <c r="M835" s="39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</row>
    <row r="836">
      <c r="A836" s="224"/>
      <c r="B836" s="229"/>
      <c r="C836" s="225"/>
      <c r="D836" s="226"/>
      <c r="E836" s="227"/>
      <c r="F836" s="228"/>
      <c r="G836" s="33"/>
      <c r="H836" s="143"/>
      <c r="I836" s="111"/>
      <c r="J836" s="112"/>
      <c r="K836" s="230"/>
      <c r="L836" s="31"/>
      <c r="M836" s="39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</row>
    <row r="837">
      <c r="A837" s="224"/>
      <c r="B837" s="229"/>
      <c r="C837" s="225"/>
      <c r="D837" s="226"/>
      <c r="E837" s="227"/>
      <c r="F837" s="228"/>
      <c r="G837" s="33"/>
      <c r="H837" s="143"/>
      <c r="I837" s="111"/>
      <c r="J837" s="112"/>
      <c r="K837" s="230"/>
      <c r="L837" s="31"/>
      <c r="M837" s="39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</row>
    <row r="838">
      <c r="A838" s="224"/>
      <c r="B838" s="229"/>
      <c r="C838" s="225"/>
      <c r="D838" s="226"/>
      <c r="E838" s="227"/>
      <c r="F838" s="228"/>
      <c r="G838" s="33"/>
      <c r="H838" s="143"/>
      <c r="I838" s="111"/>
      <c r="J838" s="112"/>
      <c r="K838" s="230"/>
      <c r="L838" s="31"/>
      <c r="M838" s="39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</row>
    <row r="839">
      <c r="A839" s="224"/>
      <c r="B839" s="229"/>
      <c r="C839" s="225"/>
      <c r="D839" s="226"/>
      <c r="E839" s="227"/>
      <c r="F839" s="228"/>
      <c r="G839" s="33"/>
      <c r="H839" s="143"/>
      <c r="I839" s="111"/>
      <c r="J839" s="112"/>
      <c r="K839" s="230"/>
      <c r="L839" s="31"/>
      <c r="M839" s="39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</row>
    <row r="840">
      <c r="A840" s="224"/>
      <c r="B840" s="229"/>
      <c r="C840" s="225"/>
      <c r="D840" s="226"/>
      <c r="E840" s="227"/>
      <c r="F840" s="228"/>
      <c r="G840" s="33"/>
      <c r="H840" s="143"/>
      <c r="I840" s="111"/>
      <c r="J840" s="112"/>
      <c r="K840" s="230"/>
      <c r="L840" s="31"/>
      <c r="M840" s="39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</row>
    <row r="841">
      <c r="A841" s="224"/>
      <c r="B841" s="229"/>
      <c r="C841" s="225"/>
      <c r="D841" s="226"/>
      <c r="E841" s="227"/>
      <c r="F841" s="228"/>
      <c r="G841" s="33"/>
      <c r="H841" s="143"/>
      <c r="I841" s="111"/>
      <c r="J841" s="112"/>
      <c r="K841" s="230"/>
      <c r="L841" s="31"/>
      <c r="M841" s="39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</row>
    <row r="842">
      <c r="A842" s="224"/>
      <c r="B842" s="229"/>
      <c r="C842" s="225"/>
      <c r="D842" s="226"/>
      <c r="E842" s="227"/>
      <c r="F842" s="228"/>
      <c r="G842" s="33"/>
      <c r="H842" s="143"/>
      <c r="I842" s="111"/>
      <c r="J842" s="112"/>
      <c r="K842" s="230"/>
      <c r="L842" s="31"/>
      <c r="M842" s="39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</row>
    <row r="843">
      <c r="A843" s="224"/>
      <c r="B843" s="229"/>
      <c r="C843" s="225"/>
      <c r="D843" s="226"/>
      <c r="E843" s="227"/>
      <c r="F843" s="228"/>
      <c r="G843" s="33"/>
      <c r="H843" s="143"/>
      <c r="I843" s="111"/>
      <c r="J843" s="112"/>
      <c r="K843" s="230"/>
      <c r="L843" s="31"/>
      <c r="M843" s="39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</row>
    <row r="844">
      <c r="A844" s="224"/>
      <c r="B844" s="229"/>
      <c r="C844" s="225"/>
      <c r="D844" s="226"/>
      <c r="E844" s="227"/>
      <c r="F844" s="228"/>
      <c r="G844" s="33"/>
      <c r="H844" s="143"/>
      <c r="I844" s="111"/>
      <c r="J844" s="112"/>
      <c r="K844" s="230"/>
      <c r="L844" s="31"/>
      <c r="M844" s="39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</row>
    <row r="845">
      <c r="A845" s="224"/>
      <c r="B845" s="229"/>
      <c r="C845" s="225"/>
      <c r="D845" s="226"/>
      <c r="E845" s="227"/>
      <c r="F845" s="228"/>
      <c r="G845" s="33"/>
      <c r="H845" s="143"/>
      <c r="I845" s="111"/>
      <c r="J845" s="112"/>
      <c r="K845" s="230"/>
      <c r="L845" s="31"/>
      <c r="M845" s="39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</row>
    <row r="846">
      <c r="A846" s="224"/>
      <c r="B846" s="229"/>
      <c r="C846" s="225"/>
      <c r="D846" s="226"/>
      <c r="E846" s="227"/>
      <c r="F846" s="228"/>
      <c r="G846" s="33"/>
      <c r="H846" s="143"/>
      <c r="I846" s="111"/>
      <c r="J846" s="112"/>
      <c r="K846" s="230"/>
      <c r="L846" s="31"/>
      <c r="M846" s="39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</row>
    <row r="847">
      <c r="A847" s="224"/>
      <c r="B847" s="229"/>
      <c r="C847" s="225"/>
      <c r="D847" s="226"/>
      <c r="E847" s="227"/>
      <c r="F847" s="228"/>
      <c r="G847" s="33"/>
      <c r="H847" s="143"/>
      <c r="I847" s="111"/>
      <c r="J847" s="112"/>
      <c r="K847" s="230"/>
      <c r="L847" s="31"/>
      <c r="M847" s="39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</row>
    <row r="848">
      <c r="A848" s="224"/>
      <c r="B848" s="229"/>
      <c r="C848" s="225"/>
      <c r="D848" s="226"/>
      <c r="E848" s="227"/>
      <c r="F848" s="228"/>
      <c r="G848" s="33"/>
      <c r="H848" s="143"/>
      <c r="I848" s="111"/>
      <c r="J848" s="112"/>
      <c r="K848" s="230"/>
      <c r="L848" s="31"/>
      <c r="M848" s="39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</row>
    <row r="849">
      <c r="B849" s="229"/>
      <c r="C849" s="225"/>
      <c r="D849" s="226"/>
      <c r="E849" s="227"/>
      <c r="F849" s="228"/>
      <c r="G849" s="33"/>
      <c r="H849" s="143"/>
      <c r="I849" s="111"/>
      <c r="J849" s="112"/>
      <c r="K849" s="230"/>
      <c r="L849" s="31"/>
      <c r="M849" s="39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</row>
    <row r="850">
      <c r="B850" s="229"/>
      <c r="C850" s="225"/>
      <c r="D850" s="226"/>
      <c r="E850" s="227"/>
      <c r="F850" s="228"/>
      <c r="G850" s="33"/>
      <c r="H850" s="143"/>
      <c r="I850" s="111"/>
      <c r="J850" s="112"/>
      <c r="K850" s="230"/>
      <c r="L850" s="31"/>
      <c r="M850" s="39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</row>
    <row r="851">
      <c r="C851" s="225"/>
      <c r="D851" s="226"/>
      <c r="E851" s="227"/>
      <c r="F851" s="228"/>
      <c r="G851" s="33"/>
      <c r="H851" s="143"/>
      <c r="I851" s="111"/>
      <c r="J851" s="112"/>
      <c r="K851" s="230"/>
      <c r="L851" s="31"/>
      <c r="M851" s="39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</row>
    <row r="852">
      <c r="I852" s="78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</row>
    <row r="853">
      <c r="I853" s="78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</row>
  </sheetData>
  <mergeCells count="1">
    <mergeCell ref="O1:P1"/>
  </mergeCells>
  <conditionalFormatting sqref="N2:N63 N65:N315 N317:N843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conditionalFormatting sqref="K417:K438">
    <cfRule type="notContainsBlanks" dxfId="0" priority="2">
      <formula>LEN(TRIM(K417))&gt;0</formula>
    </cfRule>
  </conditionalFormatting>
  <printOptions gridLines="1" horizontalCentered="1"/>
  <pageMargins bottom="0.18897637795275593" footer="0.0" header="0.0" left="0.16190187764990918" right="0.18897637795275593" top="0.7735311932162329"/>
  <pageSetup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/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39">
        <v>12848.82</v>
      </c>
      <c r="C2" s="240"/>
      <c r="D2" s="241"/>
      <c r="E2" s="242"/>
      <c r="F2" s="243"/>
      <c r="G2" s="244" t="s">
        <v>58</v>
      </c>
      <c r="H2" s="245">
        <v>102.0</v>
      </c>
      <c r="I2" s="2" t="s">
        <v>59</v>
      </c>
    </row>
    <row r="3">
      <c r="A3" s="246" t="s">
        <v>60</v>
      </c>
      <c r="B3" s="247"/>
      <c r="C3" s="248"/>
      <c r="D3" s="249"/>
      <c r="F3" s="250">
        <v>1495.0</v>
      </c>
      <c r="G3" s="2" t="s">
        <v>61</v>
      </c>
      <c r="H3" s="251"/>
    </row>
    <row r="4">
      <c r="A4" s="246"/>
      <c r="B4" s="247"/>
      <c r="C4" s="252"/>
      <c r="D4" s="253"/>
      <c r="F4" s="250">
        <v>3000.0</v>
      </c>
      <c r="G4" s="2" t="s">
        <v>62</v>
      </c>
      <c r="H4" s="251"/>
    </row>
    <row r="5">
      <c r="A5" s="246"/>
      <c r="B5" s="247"/>
      <c r="C5" s="248"/>
      <c r="D5" s="249"/>
      <c r="F5" s="250">
        <v>276.0</v>
      </c>
      <c r="G5" s="2" t="s">
        <v>63</v>
      </c>
      <c r="H5" s="251"/>
    </row>
    <row r="6">
      <c r="A6" s="246"/>
      <c r="B6" s="247">
        <v>25500.0</v>
      </c>
      <c r="C6" s="248"/>
      <c r="D6" s="249"/>
      <c r="F6" s="250"/>
      <c r="G6" s="254" t="s">
        <v>64</v>
      </c>
      <c r="H6" s="251"/>
    </row>
    <row r="7">
      <c r="A7" s="246"/>
      <c r="B7" s="247">
        <v>10266.47</v>
      </c>
      <c r="C7" s="248"/>
      <c r="D7" s="249"/>
      <c r="F7" s="250"/>
      <c r="G7" s="254" t="s">
        <v>65</v>
      </c>
      <c r="H7" s="251"/>
    </row>
    <row r="8">
      <c r="A8" s="246"/>
      <c r="B8" s="247">
        <f>3298*3</f>
        <v>9894</v>
      </c>
      <c r="C8" s="248"/>
      <c r="D8" s="249"/>
      <c r="F8" s="250"/>
      <c r="G8" s="254" t="s">
        <v>66</v>
      </c>
      <c r="H8" s="251"/>
    </row>
    <row r="9">
      <c r="A9" s="246"/>
      <c r="B9" s="247"/>
      <c r="C9" s="248"/>
      <c r="D9" s="249"/>
      <c r="F9" s="250">
        <v>300.0</v>
      </c>
      <c r="G9" s="254" t="s">
        <v>67</v>
      </c>
      <c r="H9" s="251"/>
    </row>
    <row r="10">
      <c r="A10" s="246"/>
      <c r="B10" s="247"/>
      <c r="C10" s="248"/>
      <c r="D10" s="249"/>
      <c r="F10" s="250">
        <v>7300.0</v>
      </c>
      <c r="G10" s="254" t="s">
        <v>68</v>
      </c>
      <c r="H10" s="251"/>
    </row>
    <row r="11">
      <c r="A11" s="246"/>
      <c r="B11" s="247"/>
      <c r="C11" s="248"/>
      <c r="D11" s="249"/>
      <c r="F11" s="250">
        <v>421.0</v>
      </c>
      <c r="G11" s="254" t="s">
        <v>69</v>
      </c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70</v>
      </c>
      <c r="B15" s="239"/>
      <c r="C15" s="263">
        <v>51121.27</v>
      </c>
      <c r="D15" s="264"/>
      <c r="E15" s="242"/>
      <c r="F15" s="250"/>
      <c r="G15" s="2" t="s">
        <v>71</v>
      </c>
      <c r="H15" s="245">
        <v>77.0</v>
      </c>
      <c r="I15" s="2" t="s">
        <v>72</v>
      </c>
    </row>
    <row r="16">
      <c r="A16" s="265"/>
      <c r="B16" s="247">
        <v>30616.38</v>
      </c>
      <c r="C16" s="248"/>
      <c r="D16" s="249"/>
      <c r="F16" s="266"/>
      <c r="G16" s="2" t="s">
        <v>73</v>
      </c>
      <c r="H16" s="251"/>
    </row>
    <row r="17">
      <c r="A17" s="265"/>
      <c r="B17" s="247">
        <v>22910.3</v>
      </c>
      <c r="C17" s="248"/>
      <c r="D17" s="249"/>
      <c r="F17" s="250"/>
      <c r="G17" s="2" t="s">
        <v>74</v>
      </c>
      <c r="H17" s="251"/>
    </row>
    <row r="18">
      <c r="A18" s="265"/>
      <c r="B18" s="247">
        <f>42480-1800</f>
        <v>40680</v>
      </c>
      <c r="C18" s="252"/>
      <c r="D18" s="249"/>
      <c r="F18" s="250"/>
      <c r="G18" s="2" t="s">
        <v>75</v>
      </c>
      <c r="H18" s="251"/>
    </row>
    <row r="19">
      <c r="A19" s="265"/>
      <c r="B19" s="247"/>
      <c r="C19" s="248"/>
      <c r="D19" s="249">
        <v>16000.0</v>
      </c>
      <c r="F19" s="250"/>
      <c r="G19" s="2" t="s">
        <v>76</v>
      </c>
      <c r="H19" s="251"/>
    </row>
    <row r="20">
      <c r="A20" s="265"/>
      <c r="B20" s="247"/>
      <c r="C20" s="252"/>
      <c r="D20" s="249">
        <v>8275.19</v>
      </c>
      <c r="F20" s="250"/>
      <c r="G20" s="2" t="s">
        <v>77</v>
      </c>
      <c r="H20" s="251"/>
    </row>
    <row r="21">
      <c r="A21" s="265"/>
      <c r="B21" s="247"/>
      <c r="C21" s="252"/>
      <c r="D21" s="253"/>
      <c r="F21" s="250">
        <v>2750.0</v>
      </c>
      <c r="G21" s="254" t="s">
        <v>78</v>
      </c>
      <c r="H21" s="251"/>
    </row>
    <row r="22">
      <c r="A22" s="265"/>
      <c r="B22" s="247"/>
      <c r="C22" s="252"/>
      <c r="D22" s="249">
        <v>19200.0</v>
      </c>
      <c r="F22" s="250"/>
      <c r="G22" s="254" t="s">
        <v>79</v>
      </c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80</v>
      </c>
      <c r="B28" s="239">
        <v>5590.0</v>
      </c>
      <c r="C28" s="240"/>
      <c r="D28" s="241"/>
      <c r="E28" s="242"/>
      <c r="F28" s="243"/>
      <c r="G28" s="276" t="s">
        <v>81</v>
      </c>
      <c r="H28" s="245">
        <v>67.5</v>
      </c>
      <c r="I28" s="2" t="s">
        <v>72</v>
      </c>
    </row>
    <row r="29">
      <c r="A29" s="265"/>
      <c r="B29" s="247">
        <v>6545.77</v>
      </c>
      <c r="C29" s="248"/>
      <c r="D29" s="249"/>
      <c r="F29" s="250"/>
      <c r="G29" s="2" t="s">
        <v>82</v>
      </c>
      <c r="H29" s="267"/>
    </row>
    <row r="30">
      <c r="A30" s="265"/>
      <c r="B30" s="247"/>
      <c r="C30" s="248"/>
      <c r="D30" s="249"/>
      <c r="F30" s="250">
        <v>740.0</v>
      </c>
      <c r="G30" s="254" t="s">
        <v>83</v>
      </c>
      <c r="H30" s="251"/>
    </row>
    <row r="31">
      <c r="A31" s="265"/>
      <c r="B31" s="247"/>
      <c r="C31" s="248">
        <v>44931.91</v>
      </c>
      <c r="D31" s="249"/>
      <c r="F31" s="250"/>
      <c r="G31" s="254" t="s">
        <v>84</v>
      </c>
      <c r="H31" s="251"/>
    </row>
    <row r="32">
      <c r="A32" s="265"/>
      <c r="B32" s="247"/>
      <c r="C32" s="252"/>
      <c r="D32" s="249"/>
      <c r="F32" s="250">
        <v>1000.0</v>
      </c>
      <c r="G32" s="254" t="s">
        <v>85</v>
      </c>
      <c r="H32" s="251"/>
    </row>
    <row r="33">
      <c r="A33" s="265"/>
      <c r="B33" s="247">
        <v>4080.0</v>
      </c>
      <c r="C33" s="252"/>
      <c r="D33" s="249"/>
      <c r="F33" s="250"/>
      <c r="G33" s="254" t="s">
        <v>86</v>
      </c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8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25500.0</v>
      </c>
      <c r="C42" s="248"/>
      <c r="D42" s="249"/>
      <c r="F42" s="250"/>
      <c r="G42" s="254" t="s">
        <v>87</v>
      </c>
      <c r="H42" s="267"/>
      <c r="I42" s="2" t="s">
        <v>88</v>
      </c>
    </row>
    <row r="43">
      <c r="A43" s="280"/>
      <c r="B43" s="277"/>
      <c r="C43" s="248">
        <v>25550.52</v>
      </c>
      <c r="D43" s="249"/>
      <c r="F43" s="250"/>
      <c r="G43" s="254" t="s">
        <v>89</v>
      </c>
      <c r="H43" s="267">
        <v>81.0</v>
      </c>
      <c r="I43" s="2" t="s">
        <v>59</v>
      </c>
    </row>
    <row r="44">
      <c r="A44" s="280" t="s">
        <v>90</v>
      </c>
      <c r="B44" s="247">
        <v>10896.05</v>
      </c>
      <c r="C44" s="248"/>
      <c r="D44" s="249"/>
      <c r="F44" s="250"/>
      <c r="G44" s="254" t="s">
        <v>91</v>
      </c>
      <c r="H44" s="251"/>
    </row>
    <row r="45">
      <c r="A45" s="265"/>
      <c r="B45" s="247"/>
      <c r="C45" s="252"/>
      <c r="D45" s="249">
        <v>40232.5</v>
      </c>
      <c r="F45" s="250"/>
      <c r="G45" s="254" t="s">
        <v>92</v>
      </c>
      <c r="H45" s="251"/>
    </row>
    <row r="46">
      <c r="A46" s="265"/>
      <c r="B46" s="247"/>
      <c r="C46" s="248"/>
      <c r="D46" s="249"/>
      <c r="F46" s="250">
        <v>8000.0</v>
      </c>
      <c r="G46" s="254" t="s">
        <v>93</v>
      </c>
      <c r="H46" s="251"/>
    </row>
    <row r="47">
      <c r="A47" s="265"/>
      <c r="B47" s="247"/>
      <c r="C47" s="252"/>
      <c r="D47" s="253"/>
      <c r="F47" s="250">
        <v>686.0</v>
      </c>
      <c r="G47" s="254" t="s">
        <v>94</v>
      </c>
      <c r="H47" s="251"/>
    </row>
    <row r="48">
      <c r="A48" s="265"/>
      <c r="B48" s="247"/>
      <c r="C48" s="248"/>
      <c r="D48" s="249"/>
      <c r="F48" s="250">
        <v>10000.0</v>
      </c>
      <c r="G48" s="254" t="s">
        <v>95</v>
      </c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52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96</v>
      </c>
      <c r="B54" s="239"/>
      <c r="C54" s="263"/>
      <c r="D54" s="241"/>
      <c r="E54" s="242"/>
      <c r="F54" s="243">
        <f>489+239</f>
        <v>728</v>
      </c>
      <c r="G54" s="276" t="s">
        <v>97</v>
      </c>
      <c r="H54" s="245">
        <v>60.0</v>
      </c>
      <c r="I54" s="2" t="s">
        <v>72</v>
      </c>
    </row>
    <row r="55">
      <c r="A55" s="265"/>
      <c r="B55" s="247">
        <v>38990.0</v>
      </c>
      <c r="C55" s="248"/>
      <c r="D55" s="253"/>
      <c r="F55" s="250"/>
      <c r="G55" s="254" t="s">
        <v>75</v>
      </c>
      <c r="H55" s="267">
        <v>5000.0</v>
      </c>
      <c r="I55" s="2" t="s">
        <v>98</v>
      </c>
    </row>
    <row r="56">
      <c r="A56" s="265"/>
      <c r="B56" s="247">
        <v>6545.77</v>
      </c>
      <c r="C56" s="248"/>
      <c r="D56" s="253"/>
      <c r="F56" s="250"/>
      <c r="G56" s="254" t="s">
        <v>82</v>
      </c>
      <c r="H56" s="251"/>
    </row>
    <row r="57">
      <c r="A57" s="265"/>
      <c r="B57" s="247">
        <v>12684.0</v>
      </c>
      <c r="C57" s="248"/>
      <c r="D57" s="249"/>
      <c r="F57" s="250"/>
      <c r="G57" s="254" t="s">
        <v>99</v>
      </c>
      <c r="H57" s="267"/>
    </row>
    <row r="58">
      <c r="A58" s="265"/>
      <c r="B58" s="247">
        <v>64832.77</v>
      </c>
      <c r="C58" s="248"/>
      <c r="D58" s="253"/>
      <c r="F58" s="250"/>
      <c r="G58" s="254" t="s">
        <v>100</v>
      </c>
      <c r="H58" s="251"/>
    </row>
    <row r="59">
      <c r="A59" s="265"/>
      <c r="B59" s="247"/>
      <c r="C59" s="252"/>
      <c r="D59" s="249"/>
      <c r="F59" s="250">
        <v>3000.0</v>
      </c>
      <c r="G59" s="254" t="s">
        <v>101</v>
      </c>
      <c r="H59" s="251"/>
    </row>
    <row r="60">
      <c r="A60" s="265"/>
      <c r="B60" s="247"/>
      <c r="C60" s="252"/>
      <c r="D60" s="253"/>
      <c r="F60" s="250">
        <v>1300.0</v>
      </c>
      <c r="G60" s="254" t="s">
        <v>102</v>
      </c>
      <c r="H60" s="251"/>
    </row>
    <row r="61">
      <c r="A61" s="265"/>
      <c r="B61" s="247">
        <v>43689.1</v>
      </c>
      <c r="C61" s="252"/>
      <c r="D61" s="253"/>
      <c r="F61" s="250"/>
      <c r="G61" s="254" t="s">
        <v>103</v>
      </c>
      <c r="H61" s="251"/>
    </row>
    <row r="62">
      <c r="A62" s="265"/>
      <c r="B62" s="268"/>
      <c r="C62" s="248"/>
      <c r="D62" s="253"/>
      <c r="F62" s="250">
        <v>10000.0</v>
      </c>
      <c r="G62" s="254" t="s">
        <v>104</v>
      </c>
      <c r="H62" s="251"/>
    </row>
    <row r="63">
      <c r="A63" s="265"/>
      <c r="B63" s="268"/>
      <c r="C63" s="248"/>
      <c r="D63" s="249"/>
      <c r="F63" s="250">
        <f>1375+1930</f>
        <v>3305</v>
      </c>
      <c r="G63" s="254" t="s">
        <v>105</v>
      </c>
      <c r="H63" s="251"/>
    </row>
    <row r="64">
      <c r="A64" s="265"/>
      <c r="B64" s="268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106</v>
      </c>
      <c r="B68" s="239">
        <v>25500.0</v>
      </c>
      <c r="C68" s="263"/>
      <c r="D68" s="264"/>
      <c r="E68" s="242"/>
      <c r="F68" s="243"/>
      <c r="G68" s="276" t="s">
        <v>87</v>
      </c>
      <c r="H68" s="245">
        <v>38.0</v>
      </c>
      <c r="I68" s="2" t="s">
        <v>107</v>
      </c>
    </row>
    <row r="69">
      <c r="A69" s="265"/>
      <c r="B69" s="247"/>
      <c r="C69" s="248"/>
      <c r="D69" s="249"/>
      <c r="F69" s="250">
        <v>250.0</v>
      </c>
      <c r="G69" s="254" t="s">
        <v>108</v>
      </c>
      <c r="H69" s="251"/>
      <c r="I69" s="2" t="s">
        <v>109</v>
      </c>
    </row>
    <row r="70">
      <c r="A70" s="265"/>
      <c r="B70" s="247"/>
      <c r="C70" s="252"/>
      <c r="D70" s="253"/>
      <c r="F70" s="250">
        <v>9600.0</v>
      </c>
      <c r="G70" s="254" t="s">
        <v>110</v>
      </c>
      <c r="H70" s="267"/>
    </row>
    <row r="71">
      <c r="A71" s="265"/>
      <c r="B71" s="247"/>
      <c r="C71" s="248"/>
      <c r="D71" s="253"/>
      <c r="F71" s="250">
        <v>600.0</v>
      </c>
      <c r="G71" s="254" t="s">
        <v>111</v>
      </c>
      <c r="H71" s="251"/>
    </row>
    <row r="72">
      <c r="A72" s="265"/>
      <c r="B72" s="247"/>
      <c r="C72" s="248"/>
      <c r="D72" s="249"/>
      <c r="F72" s="250">
        <v>600.0</v>
      </c>
      <c r="G72" s="254" t="s">
        <v>112</v>
      </c>
      <c r="H72" s="251"/>
    </row>
    <row r="73">
      <c r="A73" s="265"/>
      <c r="B73" s="247"/>
      <c r="C73" s="248"/>
      <c r="D73" s="253"/>
      <c r="F73" s="250"/>
      <c r="G73" s="254"/>
      <c r="H73" s="251"/>
    </row>
    <row r="74">
      <c r="A74" s="265"/>
      <c r="B74" s="247"/>
      <c r="C74" s="252"/>
      <c r="D74" s="253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113</v>
      </c>
      <c r="B80" s="239">
        <f>18543.25+23313.68</f>
        <v>41856.93</v>
      </c>
      <c r="C80" s="263"/>
      <c r="D80" s="241"/>
      <c r="E80" s="242"/>
      <c r="F80" s="243"/>
      <c r="G80" s="276" t="s">
        <v>71</v>
      </c>
      <c r="H80" s="245">
        <v>72.0</v>
      </c>
      <c r="I80" s="2" t="s">
        <v>59</v>
      </c>
    </row>
    <row r="81">
      <c r="A81" s="265"/>
      <c r="B81" s="247">
        <v>16382.4</v>
      </c>
      <c r="C81" s="248"/>
      <c r="D81" s="253"/>
      <c r="F81" s="250"/>
      <c r="G81" s="254" t="s">
        <v>114</v>
      </c>
      <c r="H81" s="251"/>
      <c r="I81" s="2" t="s">
        <v>115</v>
      </c>
    </row>
    <row r="82">
      <c r="A82" s="265"/>
      <c r="B82" s="247">
        <v>9818.64</v>
      </c>
      <c r="C82" s="248"/>
      <c r="D82" s="249"/>
      <c r="F82" s="250"/>
      <c r="G82" s="254" t="s">
        <v>82</v>
      </c>
      <c r="H82" s="251"/>
    </row>
    <row r="83">
      <c r="A83" s="265"/>
      <c r="B83" s="247">
        <v>15350.0</v>
      </c>
      <c r="C83" s="248"/>
      <c r="D83" s="249"/>
      <c r="F83" s="250"/>
      <c r="G83" s="254" t="s">
        <v>75</v>
      </c>
      <c r="H83" s="251"/>
    </row>
    <row r="84">
      <c r="A84" s="265"/>
      <c r="B84" s="85"/>
      <c r="C84" s="248"/>
      <c r="D84" s="249"/>
      <c r="F84" s="250">
        <v>1000.0</v>
      </c>
      <c r="G84" s="254" t="s">
        <v>85</v>
      </c>
      <c r="H84" s="251"/>
    </row>
    <row r="85">
      <c r="A85" s="265"/>
      <c r="B85" s="281"/>
      <c r="C85" s="252"/>
      <c r="D85" s="249"/>
      <c r="F85" s="266">
        <v>240.0</v>
      </c>
      <c r="G85" s="254" t="s">
        <v>97</v>
      </c>
      <c r="H85" s="251"/>
    </row>
    <row r="86">
      <c r="A86" s="265"/>
      <c r="B86" s="281"/>
      <c r="C86" s="252"/>
      <c r="D86" s="249"/>
      <c r="F86" s="250">
        <v>500.0</v>
      </c>
      <c r="G86" s="254" t="s">
        <v>116</v>
      </c>
      <c r="H86" s="251"/>
    </row>
    <row r="87">
      <c r="A87" s="265"/>
      <c r="B87" s="247">
        <v>4954.0</v>
      </c>
      <c r="C87" s="252"/>
      <c r="D87" s="249"/>
      <c r="F87" s="250"/>
      <c r="G87" s="254" t="s">
        <v>117</v>
      </c>
      <c r="H87" s="251"/>
    </row>
    <row r="88">
      <c r="A88" s="265"/>
      <c r="B88" s="247">
        <v>9300.0</v>
      </c>
      <c r="C88" s="252"/>
      <c r="D88" s="253"/>
      <c r="F88" s="250"/>
      <c r="G88" s="254" t="s">
        <v>118</v>
      </c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119</v>
      </c>
      <c r="B96" s="239"/>
      <c r="C96" s="263"/>
      <c r="D96" s="264"/>
      <c r="E96" s="242"/>
      <c r="F96" s="250">
        <v>7300.0</v>
      </c>
      <c r="G96" s="276" t="s">
        <v>120</v>
      </c>
      <c r="H96" s="245">
        <v>70.0</v>
      </c>
      <c r="I96" s="2" t="s">
        <v>72</v>
      </c>
    </row>
    <row r="97">
      <c r="A97" s="265"/>
      <c r="B97" s="247">
        <v>20928.83</v>
      </c>
      <c r="C97" s="248"/>
      <c r="D97" s="249"/>
      <c r="F97" s="250"/>
      <c r="G97" s="254" t="s">
        <v>74</v>
      </c>
      <c r="H97" s="251"/>
    </row>
    <row r="98">
      <c r="A98" s="265"/>
      <c r="B98" s="247">
        <v>7278.56</v>
      </c>
      <c r="C98" s="248"/>
      <c r="D98" s="249"/>
      <c r="F98" s="250"/>
      <c r="G98" s="254" t="s">
        <v>73</v>
      </c>
      <c r="H98" s="251"/>
    </row>
    <row r="99">
      <c r="A99" s="265"/>
      <c r="B99" s="247">
        <v>15000.0</v>
      </c>
      <c r="C99" s="248"/>
      <c r="D99" s="249"/>
      <c r="F99" s="250"/>
      <c r="G99" s="254" t="s">
        <v>76</v>
      </c>
      <c r="H99" s="251"/>
    </row>
    <row r="100">
      <c r="A100" s="265"/>
      <c r="B100" s="247">
        <v>6007.65</v>
      </c>
      <c r="C100" s="248"/>
      <c r="D100" s="253"/>
      <c r="F100" s="250"/>
      <c r="G100" s="254" t="s">
        <v>91</v>
      </c>
      <c r="H100" s="251"/>
    </row>
    <row r="101">
      <c r="A101" s="265"/>
      <c r="B101" s="247"/>
      <c r="C101" s="252"/>
      <c r="D101" s="253"/>
      <c r="F101" s="250">
        <v>800.0</v>
      </c>
      <c r="G101" s="254" t="s">
        <v>121</v>
      </c>
      <c r="H101" s="251"/>
    </row>
    <row r="102">
      <c r="A102" s="265"/>
      <c r="B102" s="247"/>
      <c r="C102" s="252"/>
      <c r="D102" s="249"/>
      <c r="F102" s="250">
        <v>900.0</v>
      </c>
      <c r="G102" s="254" t="s">
        <v>122</v>
      </c>
      <c r="H102" s="251"/>
    </row>
    <row r="103">
      <c r="A103" s="265"/>
      <c r="B103" s="247">
        <v>19200.0</v>
      </c>
      <c r="C103" s="252"/>
      <c r="D103" s="253"/>
      <c r="F103" s="250"/>
      <c r="G103" s="254" t="s">
        <v>79</v>
      </c>
      <c r="H103" s="251"/>
    </row>
    <row r="104">
      <c r="A104" s="265"/>
      <c r="B104" s="247">
        <v>20100.0</v>
      </c>
      <c r="C104" s="248"/>
      <c r="D104" s="253"/>
      <c r="F104" s="250"/>
      <c r="G104" s="254" t="s">
        <v>122</v>
      </c>
      <c r="H104" s="251"/>
    </row>
    <row r="105">
      <c r="A105" s="265"/>
      <c r="B105" s="247"/>
      <c r="C105" s="252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123</v>
      </c>
      <c r="B110" s="239"/>
      <c r="C110" s="263"/>
      <c r="D110" s="264"/>
      <c r="E110" s="242"/>
      <c r="F110" s="243">
        <v>3000.0</v>
      </c>
      <c r="G110" s="276" t="s">
        <v>62</v>
      </c>
      <c r="H110" s="245">
        <v>90.0</v>
      </c>
      <c r="I110" s="2" t="s">
        <v>72</v>
      </c>
    </row>
    <row r="111">
      <c r="A111" s="265"/>
      <c r="B111" s="247">
        <v>25500.0</v>
      </c>
      <c r="C111" s="252"/>
      <c r="D111" s="249"/>
      <c r="F111" s="250"/>
      <c r="G111" s="254" t="s">
        <v>64</v>
      </c>
      <c r="H111" s="267">
        <v>12000.0</v>
      </c>
      <c r="I111" s="2" t="s">
        <v>124</v>
      </c>
    </row>
    <row r="112">
      <c r="A112" s="265"/>
      <c r="B112" s="247">
        <v>25632.24</v>
      </c>
      <c r="C112" s="248"/>
      <c r="D112" s="249"/>
      <c r="F112" s="250"/>
      <c r="G112" s="26" t="s">
        <v>125</v>
      </c>
      <c r="H112" s="251"/>
    </row>
    <row r="113">
      <c r="A113" s="265"/>
      <c r="B113" s="247"/>
      <c r="C113" s="248">
        <v>107749.67</v>
      </c>
      <c r="D113" s="249"/>
      <c r="F113" s="250"/>
      <c r="G113" s="254" t="s">
        <v>84</v>
      </c>
      <c r="H113" s="251"/>
    </row>
    <row r="114">
      <c r="A114" s="265"/>
      <c r="B114" s="247"/>
      <c r="C114" s="248">
        <v>22331.81</v>
      </c>
      <c r="D114" s="249"/>
      <c r="F114" s="250"/>
      <c r="G114" s="254" t="s">
        <v>89</v>
      </c>
      <c r="H114" s="251"/>
    </row>
    <row r="115">
      <c r="A115" s="265"/>
      <c r="B115" s="247">
        <v>6545.77</v>
      </c>
      <c r="C115" s="252"/>
      <c r="D115" s="253"/>
      <c r="F115" s="250"/>
      <c r="G115" s="254" t="s">
        <v>82</v>
      </c>
      <c r="H115" s="251"/>
    </row>
    <row r="116">
      <c r="A116" s="265"/>
      <c r="B116" s="247"/>
      <c r="C116" s="252"/>
      <c r="D116" s="253"/>
      <c r="F116" s="250"/>
      <c r="G116" s="254"/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126</v>
      </c>
      <c r="B128" s="239"/>
      <c r="C128" s="263"/>
      <c r="D128" s="264"/>
      <c r="E128" s="242"/>
      <c r="F128" s="243">
        <f>1700+808+1426</f>
        <v>3934</v>
      </c>
      <c r="G128" s="276" t="s">
        <v>63</v>
      </c>
      <c r="H128" s="245">
        <v>58.0</v>
      </c>
      <c r="I128" s="2" t="s">
        <v>107</v>
      </c>
    </row>
    <row r="129">
      <c r="A129" s="265"/>
      <c r="B129" s="247"/>
      <c r="C129" s="252"/>
      <c r="D129" s="249"/>
      <c r="F129" s="250">
        <v>1800.0</v>
      </c>
      <c r="G129" s="254" t="s">
        <v>127</v>
      </c>
      <c r="H129" s="251"/>
    </row>
    <row r="130">
      <c r="A130" s="265"/>
      <c r="B130" s="247"/>
      <c r="C130" s="248"/>
      <c r="D130" s="249"/>
      <c r="F130" s="250">
        <v>1000.0</v>
      </c>
      <c r="G130" s="254" t="s">
        <v>85</v>
      </c>
      <c r="H130" s="251"/>
    </row>
    <row r="131">
      <c r="A131" s="265"/>
      <c r="B131" s="247"/>
      <c r="C131" s="248"/>
      <c r="D131" s="249"/>
      <c r="F131" s="250">
        <v>11800.0</v>
      </c>
      <c r="G131" s="254" t="s">
        <v>128</v>
      </c>
      <c r="H131" s="251"/>
    </row>
    <row r="132">
      <c r="A132" s="265"/>
      <c r="B132" s="247"/>
      <c r="C132" s="248"/>
      <c r="D132" s="253"/>
      <c r="F132" s="250"/>
      <c r="G132" s="254"/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53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129</v>
      </c>
      <c r="B143" s="239">
        <v>38400.0</v>
      </c>
      <c r="C143" s="263"/>
      <c r="D143" s="241"/>
      <c r="E143" s="242"/>
      <c r="F143" s="243"/>
      <c r="G143" s="276" t="s">
        <v>75</v>
      </c>
      <c r="H143" s="245">
        <v>85.0</v>
      </c>
      <c r="I143" s="2" t="s">
        <v>72</v>
      </c>
    </row>
    <row r="144">
      <c r="A144" s="265"/>
      <c r="B144" s="247"/>
      <c r="C144" s="252"/>
      <c r="D144" s="253"/>
      <c r="F144" s="250">
        <v>511.0</v>
      </c>
      <c r="G144" s="254" t="s">
        <v>97</v>
      </c>
      <c r="H144" s="251"/>
    </row>
    <row r="145">
      <c r="A145" s="265"/>
      <c r="B145" s="247"/>
      <c r="C145" s="252"/>
      <c r="D145" s="249"/>
      <c r="F145" s="284">
        <v>1000.0</v>
      </c>
      <c r="G145" s="285" t="s">
        <v>85</v>
      </c>
      <c r="H145" s="251"/>
      <c r="I145" s="2">
        <v>413.0</v>
      </c>
    </row>
    <row r="146">
      <c r="A146" s="265"/>
      <c r="B146" s="247">
        <v>13075.81</v>
      </c>
      <c r="C146" s="252"/>
      <c r="D146" s="253"/>
      <c r="F146" s="250"/>
      <c r="G146" s="254" t="s">
        <v>82</v>
      </c>
      <c r="H146" s="251"/>
    </row>
    <row r="147">
      <c r="A147" s="265"/>
      <c r="B147" s="247"/>
      <c r="C147" s="252"/>
      <c r="D147" s="249"/>
      <c r="F147" s="250">
        <v>4500.0</v>
      </c>
      <c r="G147" s="254" t="s">
        <v>62</v>
      </c>
      <c r="H147" s="251"/>
    </row>
    <row r="148">
      <c r="A148" s="265"/>
      <c r="B148" s="247"/>
      <c r="C148" s="248"/>
      <c r="D148" s="249"/>
      <c r="F148" s="250">
        <v>9000.0</v>
      </c>
      <c r="G148" s="254" t="s">
        <v>130</v>
      </c>
      <c r="H148" s="251"/>
    </row>
    <row r="149">
      <c r="A149" s="265"/>
      <c r="B149" s="247"/>
      <c r="C149" s="248">
        <v>78650.0</v>
      </c>
      <c r="D149" s="249"/>
      <c r="F149" s="250"/>
      <c r="G149" s="254" t="s">
        <v>131</v>
      </c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132</v>
      </c>
      <c r="B158" s="239"/>
      <c r="C158" s="263">
        <v>45747.2</v>
      </c>
      <c r="D158" s="264"/>
      <c r="E158" s="242"/>
      <c r="F158" s="243"/>
      <c r="G158" s="276" t="s">
        <v>71</v>
      </c>
      <c r="H158" s="245">
        <v>44.0</v>
      </c>
      <c r="I158" s="2" t="s">
        <v>72</v>
      </c>
    </row>
    <row r="159">
      <c r="A159" s="265"/>
      <c r="B159" s="247">
        <v>25500.0</v>
      </c>
      <c r="C159" s="252"/>
      <c r="D159" s="253"/>
      <c r="F159" s="250"/>
      <c r="G159" s="254" t="s">
        <v>87</v>
      </c>
      <c r="H159" s="251"/>
    </row>
    <row r="160">
      <c r="A160" s="265"/>
      <c r="B160" s="247"/>
      <c r="C160" s="248"/>
      <c r="D160" s="249"/>
      <c r="F160" s="250">
        <v>12800.0</v>
      </c>
      <c r="G160" s="254" t="s">
        <v>110</v>
      </c>
      <c r="H160" s="251"/>
    </row>
    <row r="161">
      <c r="A161" s="265"/>
      <c r="B161" s="247"/>
      <c r="C161" s="248"/>
      <c r="D161" s="249"/>
      <c r="F161" s="250">
        <v>3000.0</v>
      </c>
      <c r="G161" s="254" t="s">
        <v>133</v>
      </c>
      <c r="H161" s="251"/>
    </row>
    <row r="162">
      <c r="A162" s="265"/>
      <c r="B162" s="247"/>
      <c r="C162" s="252"/>
      <c r="D162" s="253"/>
      <c r="F162" s="250"/>
      <c r="G162" s="254"/>
      <c r="H162" s="251"/>
    </row>
    <row r="163">
      <c r="A163" s="265"/>
      <c r="B163" s="247"/>
      <c r="C163" s="248"/>
      <c r="D163" s="249"/>
      <c r="F163" s="250"/>
      <c r="G163" s="254"/>
      <c r="H163" s="251"/>
    </row>
    <row r="164">
      <c r="A164" s="265"/>
      <c r="B164" s="247"/>
      <c r="C164" s="248"/>
      <c r="D164" s="249"/>
      <c r="F164" s="250"/>
      <c r="G164" s="254"/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134</v>
      </c>
      <c r="B168" s="239"/>
      <c r="C168" s="263"/>
      <c r="D168" s="264"/>
      <c r="E168" s="244"/>
      <c r="F168" s="250">
        <v>210.0</v>
      </c>
      <c r="G168" s="276" t="s">
        <v>135</v>
      </c>
      <c r="H168" s="245"/>
      <c r="I168" s="2" t="s">
        <v>136</v>
      </c>
    </row>
    <row r="169">
      <c r="A169" s="265"/>
      <c r="B169" s="247"/>
      <c r="C169" s="252"/>
      <c r="D169" s="249"/>
      <c r="F169" s="250">
        <v>210.0</v>
      </c>
      <c r="G169" s="254" t="s">
        <v>137</v>
      </c>
      <c r="H169" s="267">
        <v>48.0</v>
      </c>
      <c r="I169" s="2" t="s">
        <v>107</v>
      </c>
    </row>
    <row r="170">
      <c r="A170" s="265"/>
      <c r="B170" s="247"/>
      <c r="C170" s="248"/>
      <c r="D170" s="249">
        <v>35100.0</v>
      </c>
      <c r="F170" s="250"/>
      <c r="G170" s="254" t="s">
        <v>75</v>
      </c>
      <c r="H170" s="251"/>
    </row>
    <row r="171">
      <c r="A171" s="265"/>
      <c r="B171" s="247"/>
      <c r="C171" s="248"/>
      <c r="D171" s="249"/>
      <c r="F171" s="250">
        <v>4500.0</v>
      </c>
      <c r="G171" s="254" t="s">
        <v>101</v>
      </c>
      <c r="H171" s="251"/>
    </row>
    <row r="172">
      <c r="A172" s="265"/>
      <c r="B172" s="247">
        <v>10211.36</v>
      </c>
      <c r="C172" s="248"/>
      <c r="D172" s="249"/>
      <c r="E172" s="254"/>
      <c r="F172" s="250"/>
      <c r="G172" s="254" t="s">
        <v>82</v>
      </c>
      <c r="H172" s="251"/>
      <c r="I172" s="269"/>
    </row>
    <row r="173">
      <c r="A173" s="265"/>
      <c r="B173" s="247"/>
      <c r="C173" s="252"/>
      <c r="D173" s="249"/>
      <c r="F173" s="250">
        <v>5200.0</v>
      </c>
      <c r="G173" s="254" t="s">
        <v>138</v>
      </c>
      <c r="H173" s="251"/>
    </row>
    <row r="174">
      <c r="A174" s="265"/>
      <c r="B174" s="247"/>
      <c r="C174" s="252"/>
      <c r="D174" s="249"/>
      <c r="F174" s="250">
        <v>7400.0</v>
      </c>
      <c r="G174" s="254" t="s">
        <v>139</v>
      </c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140</v>
      </c>
      <c r="B183" s="247">
        <v>11174.77</v>
      </c>
      <c r="C183" s="248"/>
      <c r="D183" s="253"/>
      <c r="F183" s="250"/>
      <c r="G183" s="254" t="s">
        <v>114</v>
      </c>
      <c r="H183" s="286">
        <v>80.0</v>
      </c>
    </row>
    <row r="184">
      <c r="A184" s="265"/>
      <c r="B184" s="247">
        <v>4506.26</v>
      </c>
      <c r="C184" s="248"/>
      <c r="D184" s="249"/>
      <c r="F184" s="250"/>
      <c r="G184" s="254" t="s">
        <v>74</v>
      </c>
      <c r="H184" s="251"/>
    </row>
    <row r="185">
      <c r="A185" s="265"/>
      <c r="B185" s="247">
        <v>10532.23</v>
      </c>
      <c r="C185" s="252"/>
      <c r="D185" s="249"/>
      <c r="F185" s="250"/>
      <c r="G185" s="254" t="s">
        <v>73</v>
      </c>
      <c r="H185" s="251"/>
    </row>
    <row r="186">
      <c r="A186" s="265"/>
      <c r="B186" s="247">
        <v>12800.0</v>
      </c>
      <c r="C186" s="248"/>
      <c r="D186" s="249"/>
      <c r="F186" s="250"/>
      <c r="G186" s="254" t="s">
        <v>76</v>
      </c>
      <c r="H186" s="251"/>
    </row>
    <row r="187">
      <c r="A187" s="265"/>
      <c r="B187" s="247">
        <v>6596.0</v>
      </c>
      <c r="C187" s="248"/>
      <c r="D187" s="249"/>
      <c r="F187" s="250"/>
      <c r="G187" s="254" t="s">
        <v>66</v>
      </c>
      <c r="H187" s="251"/>
    </row>
    <row r="188">
      <c r="A188" s="265"/>
      <c r="B188" s="247">
        <v>9600.0</v>
      </c>
      <c r="C188" s="252"/>
      <c r="D188" s="249"/>
      <c r="F188" s="250"/>
      <c r="G188" s="254" t="s">
        <v>79</v>
      </c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53"/>
      <c r="F191" s="250"/>
      <c r="G191" s="254"/>
      <c r="H191" s="251"/>
    </row>
    <row r="192">
      <c r="A192" s="265"/>
      <c r="B192" s="247"/>
      <c r="C192" s="252"/>
      <c r="D192" s="253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141</v>
      </c>
      <c r="B199" s="239">
        <v>25500.0</v>
      </c>
      <c r="C199" s="263"/>
      <c r="D199" s="264"/>
      <c r="E199" s="244"/>
      <c r="F199" s="243"/>
      <c r="G199" s="276" t="s">
        <v>87</v>
      </c>
      <c r="H199" s="245">
        <v>70.0</v>
      </c>
      <c r="I199" s="2" t="s">
        <v>72</v>
      </c>
    </row>
    <row r="200">
      <c r="A200" s="265"/>
      <c r="B200" s="247"/>
      <c r="C200" s="248">
        <v>22193.1</v>
      </c>
      <c r="D200" s="249"/>
      <c r="F200" s="250"/>
      <c r="G200" s="254" t="s">
        <v>89</v>
      </c>
      <c r="H200" s="267"/>
    </row>
    <row r="201">
      <c r="A201" s="265"/>
      <c r="B201" s="247">
        <v>18938.53</v>
      </c>
      <c r="C201" s="252"/>
      <c r="D201" s="253"/>
      <c r="F201" s="250"/>
      <c r="G201" s="254" t="s">
        <v>142</v>
      </c>
      <c r="H201" s="251"/>
    </row>
    <row r="202">
      <c r="A202" s="265"/>
      <c r="B202" s="247">
        <v>6807.58</v>
      </c>
      <c r="C202" s="248"/>
      <c r="D202" s="249"/>
      <c r="F202" s="250"/>
      <c r="G202" s="254" t="s">
        <v>82</v>
      </c>
      <c r="H202" s="251"/>
    </row>
    <row r="203">
      <c r="A203" s="265"/>
      <c r="B203" s="247"/>
      <c r="C203" s="248"/>
      <c r="D203" s="249"/>
      <c r="F203" s="250">
        <v>1300.0</v>
      </c>
      <c r="G203" s="254" t="s">
        <v>143</v>
      </c>
      <c r="H203" s="251"/>
    </row>
    <row r="204">
      <c r="A204" s="265"/>
      <c r="B204" s="247"/>
      <c r="C204" s="248"/>
      <c r="D204" s="249">
        <v>48354.62</v>
      </c>
      <c r="F204" s="250"/>
      <c r="G204" s="254" t="s">
        <v>92</v>
      </c>
      <c r="H204" s="267"/>
    </row>
    <row r="205">
      <c r="A205" s="265"/>
      <c r="B205" s="247"/>
      <c r="C205" s="248"/>
      <c r="D205" s="249">
        <v>35000.0</v>
      </c>
      <c r="F205" s="250"/>
      <c r="G205" s="254" t="s">
        <v>144</v>
      </c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145</v>
      </c>
      <c r="B214" s="239"/>
      <c r="C214" s="263"/>
      <c r="D214" s="264"/>
      <c r="E214" s="242"/>
      <c r="F214" s="243">
        <v>905.0</v>
      </c>
      <c r="G214" s="276" t="s">
        <v>97</v>
      </c>
      <c r="H214" s="245">
        <v>56.0</v>
      </c>
      <c r="I214" s="2" t="s">
        <v>146</v>
      </c>
    </row>
    <row r="215">
      <c r="A215" s="265"/>
      <c r="B215" s="247"/>
      <c r="C215" s="248"/>
      <c r="D215" s="249"/>
      <c r="F215" s="250">
        <v>356.0</v>
      </c>
      <c r="G215" s="254" t="s">
        <v>147</v>
      </c>
      <c r="H215" s="251"/>
    </row>
    <row r="216">
      <c r="A216" s="265"/>
      <c r="B216" s="247">
        <v>40180.73</v>
      </c>
      <c r="C216" s="252"/>
      <c r="D216" s="249"/>
      <c r="F216" s="250"/>
      <c r="G216" s="254" t="s">
        <v>103</v>
      </c>
      <c r="H216" s="251"/>
    </row>
    <row r="217">
      <c r="A217" s="265"/>
      <c r="B217" s="247"/>
      <c r="C217" s="248"/>
      <c r="D217" s="249"/>
      <c r="F217" s="250"/>
      <c r="G217" s="254"/>
      <c r="H217" s="251"/>
    </row>
    <row r="218">
      <c r="A218" s="265"/>
      <c r="B218" s="247"/>
      <c r="C218" s="252"/>
      <c r="D218" s="253"/>
      <c r="F218" s="250"/>
      <c r="G218" s="254"/>
      <c r="H218" s="251"/>
    </row>
    <row r="219">
      <c r="A219" s="265"/>
      <c r="B219" s="247"/>
      <c r="C219" s="252"/>
      <c r="D219" s="253"/>
      <c r="F219" s="250"/>
      <c r="G219" s="254"/>
      <c r="H219" s="251"/>
    </row>
    <row r="220">
      <c r="A220" s="265"/>
      <c r="B220" s="247"/>
      <c r="C220" s="252"/>
      <c r="D220" s="253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148</v>
      </c>
      <c r="B226" s="239">
        <v>28650.0</v>
      </c>
      <c r="C226" s="263"/>
      <c r="D226" s="264"/>
      <c r="E226" s="287"/>
      <c r="F226" s="243"/>
      <c r="G226" s="276" t="s">
        <v>75</v>
      </c>
      <c r="H226" s="245">
        <v>64.0</v>
      </c>
      <c r="I226" s="254" t="s">
        <v>149</v>
      </c>
      <c r="J226" s="269"/>
      <c r="K226" s="269"/>
    </row>
    <row r="227">
      <c r="A227" s="265"/>
      <c r="B227" s="247">
        <v>10211.36</v>
      </c>
      <c r="C227" s="252"/>
      <c r="D227" s="249"/>
      <c r="F227" s="250"/>
      <c r="G227" s="254" t="s">
        <v>82</v>
      </c>
      <c r="H227" s="251"/>
      <c r="I227" s="269"/>
      <c r="J227" s="269"/>
      <c r="K227" s="269"/>
    </row>
    <row r="228">
      <c r="A228" s="265"/>
      <c r="B228" s="247"/>
      <c r="C228" s="252"/>
      <c r="D228" s="249"/>
      <c r="F228" s="250">
        <f>455+750</f>
        <v>1205</v>
      </c>
      <c r="G228" s="254" t="s">
        <v>97</v>
      </c>
      <c r="H228" s="251"/>
      <c r="I228" s="269"/>
      <c r="J228" s="269"/>
      <c r="K228" s="269"/>
    </row>
    <row r="229">
      <c r="A229" s="265"/>
      <c r="B229" s="247">
        <v>16940.0</v>
      </c>
      <c r="C229" s="248"/>
      <c r="D229" s="253"/>
      <c r="E229" s="269"/>
      <c r="F229" s="250"/>
      <c r="G229" s="254" t="s">
        <v>150</v>
      </c>
      <c r="H229" s="251"/>
      <c r="I229" s="269"/>
      <c r="J229" s="269"/>
      <c r="K229" s="269"/>
    </row>
    <row r="230">
      <c r="A230" s="265"/>
      <c r="B230" s="247">
        <v>1500.0</v>
      </c>
      <c r="C230" s="248"/>
      <c r="D230" s="253"/>
      <c r="E230" s="269"/>
      <c r="F230" s="250"/>
      <c r="G230" s="254" t="s">
        <v>151</v>
      </c>
      <c r="H230" s="251"/>
      <c r="I230" s="269"/>
      <c r="J230" s="269"/>
      <c r="K230" s="269"/>
    </row>
    <row r="231">
      <c r="A231" s="265"/>
      <c r="B231" s="247"/>
      <c r="C231" s="248"/>
      <c r="D231" s="249">
        <v>8032.0</v>
      </c>
      <c r="E231" s="269"/>
      <c r="F231" s="250"/>
      <c r="G231" s="254" t="s">
        <v>152</v>
      </c>
      <c r="H231" s="251"/>
      <c r="I231" s="269"/>
      <c r="J231" s="269"/>
      <c r="K231" s="269"/>
    </row>
    <row r="232">
      <c r="A232" s="265"/>
      <c r="B232" s="247"/>
      <c r="C232" s="252"/>
      <c r="D232" s="249">
        <v>9600.0</v>
      </c>
      <c r="E232" s="269"/>
      <c r="F232" s="250"/>
      <c r="G232" s="254" t="s">
        <v>153</v>
      </c>
      <c r="H232" s="251"/>
      <c r="I232" s="269"/>
      <c r="J232" s="269"/>
      <c r="K232" s="269"/>
    </row>
    <row r="233">
      <c r="A233" s="265"/>
      <c r="B233" s="247"/>
      <c r="C233" s="252"/>
      <c r="D233" s="288">
        <v>6000.0</v>
      </c>
      <c r="E233" s="269"/>
      <c r="F233" s="250"/>
      <c r="G233" s="254" t="s">
        <v>154</v>
      </c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155</v>
      </c>
      <c r="B241" s="239"/>
      <c r="C241" s="263"/>
      <c r="D241" s="241"/>
      <c r="E241" s="242"/>
      <c r="F241" s="243">
        <v>6400.0</v>
      </c>
      <c r="G241" s="2" t="s">
        <v>110</v>
      </c>
      <c r="H241" s="245">
        <v>6.0</v>
      </c>
      <c r="I241" s="2" t="s">
        <v>146</v>
      </c>
    </row>
    <row r="242">
      <c r="A242" s="265"/>
      <c r="B242" s="247"/>
      <c r="C242" s="252"/>
      <c r="D242" s="253"/>
      <c r="F242" s="250">
        <v>28400.0</v>
      </c>
      <c r="G242" s="254" t="s">
        <v>156</v>
      </c>
      <c r="H242" s="267"/>
    </row>
    <row r="243">
      <c r="A243" s="265"/>
      <c r="B243" s="247"/>
      <c r="C243" s="248"/>
      <c r="D243" s="249"/>
      <c r="F243" s="250">
        <v>12000.0</v>
      </c>
      <c r="G243" s="254" t="s">
        <v>157</v>
      </c>
      <c r="H243" s="251"/>
    </row>
    <row r="244">
      <c r="A244" s="265"/>
      <c r="B244" s="247"/>
      <c r="C244" s="248"/>
      <c r="D244" s="253"/>
      <c r="F244" s="250">
        <v>3000.0</v>
      </c>
      <c r="G244" s="254" t="s">
        <v>158</v>
      </c>
      <c r="H244" s="251"/>
    </row>
    <row r="245">
      <c r="A245" s="265"/>
      <c r="B245" s="247"/>
      <c r="C245" s="252"/>
      <c r="D245" s="253"/>
      <c r="F245" s="250">
        <v>600.0</v>
      </c>
      <c r="G245" s="254" t="s">
        <v>85</v>
      </c>
      <c r="H245" s="267"/>
    </row>
    <row r="246">
      <c r="A246" s="265"/>
      <c r="B246" s="247">
        <v>25500.0</v>
      </c>
      <c r="C246" s="248"/>
      <c r="D246" s="253"/>
      <c r="F246" s="250"/>
      <c r="G246" s="254" t="s">
        <v>87</v>
      </c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159</v>
      </c>
      <c r="B255" s="239"/>
      <c r="C255" s="263"/>
      <c r="D255" s="264"/>
      <c r="E255" s="242"/>
      <c r="F255" s="243">
        <v>5000.0</v>
      </c>
      <c r="G255" s="276" t="s">
        <v>160</v>
      </c>
      <c r="H255" s="245">
        <v>64.0</v>
      </c>
      <c r="I255" s="2" t="s">
        <v>149</v>
      </c>
    </row>
    <row r="256">
      <c r="A256" s="265"/>
      <c r="B256" s="247"/>
      <c r="C256" s="248"/>
      <c r="D256" s="253"/>
      <c r="F256" s="250">
        <v>1000.0</v>
      </c>
      <c r="G256" s="254" t="s">
        <v>161</v>
      </c>
      <c r="H256" s="251"/>
    </row>
    <row r="257">
      <c r="A257" s="265"/>
      <c r="B257" s="247"/>
      <c r="C257" s="252">
        <f>40896.79+32479.11</f>
        <v>73375.9</v>
      </c>
      <c r="D257" s="249"/>
      <c r="F257" s="250"/>
      <c r="G257" s="254" t="s">
        <v>71</v>
      </c>
      <c r="H257" s="251"/>
    </row>
    <row r="258">
      <c r="A258" s="265"/>
      <c r="B258" s="247"/>
      <c r="C258" s="248"/>
      <c r="D258" s="249">
        <v>19297.12</v>
      </c>
      <c r="F258" s="250"/>
      <c r="G258" s="254" t="s">
        <v>74</v>
      </c>
      <c r="H258" s="251"/>
    </row>
    <row r="259">
      <c r="A259" s="265"/>
      <c r="B259" s="247"/>
      <c r="C259" s="248"/>
      <c r="D259" s="249">
        <v>13944.43</v>
      </c>
      <c r="F259" s="250"/>
      <c r="G259" s="254" t="s">
        <v>73</v>
      </c>
      <c r="H259" s="251"/>
    </row>
    <row r="260">
      <c r="A260" s="265"/>
      <c r="B260" s="247"/>
      <c r="C260" s="248">
        <v>21473.58</v>
      </c>
      <c r="D260" s="249"/>
      <c r="F260" s="250"/>
      <c r="G260" s="254" t="s">
        <v>89</v>
      </c>
      <c r="H260" s="251"/>
    </row>
    <row r="261">
      <c r="A261" s="265"/>
      <c r="B261" s="247">
        <v>9837.74</v>
      </c>
      <c r="C261" s="252"/>
      <c r="D261" s="249"/>
      <c r="F261" s="250"/>
      <c r="G261" s="254" t="s">
        <v>82</v>
      </c>
      <c r="H261" s="251"/>
    </row>
    <row r="262">
      <c r="A262" s="265"/>
      <c r="B262" s="247"/>
      <c r="C262" s="252"/>
      <c r="D262" s="253"/>
      <c r="F262" s="250">
        <v>741.5</v>
      </c>
      <c r="G262" s="254" t="s">
        <v>97</v>
      </c>
      <c r="H262" s="251"/>
    </row>
    <row r="263">
      <c r="A263" s="265"/>
      <c r="B263" s="247">
        <v>25900.0</v>
      </c>
      <c r="C263" s="252"/>
      <c r="D263" s="253"/>
      <c r="F263" s="250"/>
      <c r="G263" s="254" t="s">
        <v>75</v>
      </c>
      <c r="H263" s="251"/>
    </row>
    <row r="264">
      <c r="A264" s="265"/>
      <c r="B264" s="247"/>
      <c r="C264" s="252"/>
      <c r="D264" s="249">
        <v>14779.28</v>
      </c>
      <c r="F264" s="250"/>
      <c r="G264" s="254" t="s">
        <v>114</v>
      </c>
      <c r="H264" s="251"/>
    </row>
    <row r="265">
      <c r="A265" s="265"/>
      <c r="B265" s="247"/>
      <c r="C265" s="252"/>
      <c r="D265" s="253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162</v>
      </c>
      <c r="B270" s="239"/>
      <c r="C270" s="263"/>
      <c r="D270" s="253"/>
      <c r="F270" s="250">
        <v>7600.0</v>
      </c>
      <c r="G270" s="254" t="s">
        <v>68</v>
      </c>
      <c r="H270" s="245">
        <v>34.0</v>
      </c>
      <c r="I270" s="2" t="s">
        <v>146</v>
      </c>
    </row>
    <row r="271">
      <c r="A271" s="265"/>
      <c r="B271" s="247"/>
      <c r="C271" s="248"/>
      <c r="D271" s="249">
        <v>22500.0</v>
      </c>
      <c r="F271" s="250"/>
      <c r="G271" s="254" t="s">
        <v>122</v>
      </c>
      <c r="H271" s="267"/>
    </row>
    <row r="272">
      <c r="A272" s="265"/>
      <c r="B272" s="247"/>
      <c r="C272" s="252"/>
      <c r="D272" s="253"/>
      <c r="F272" s="250">
        <v>430.0</v>
      </c>
      <c r="G272" s="254" t="s">
        <v>163</v>
      </c>
      <c r="H272" s="251"/>
    </row>
    <row r="273">
      <c r="A273" s="265"/>
      <c r="B273" s="247"/>
      <c r="C273" s="248"/>
      <c r="D273" s="253"/>
      <c r="F273" s="250">
        <v>815.0</v>
      </c>
      <c r="G273" s="254" t="s">
        <v>164</v>
      </c>
      <c r="H273" s="251"/>
    </row>
    <row r="274">
      <c r="A274" s="265"/>
      <c r="B274" s="247"/>
      <c r="C274" s="252"/>
      <c r="D274" s="253"/>
      <c r="F274" s="250">
        <v>46000.0</v>
      </c>
      <c r="G274" s="254" t="s">
        <v>165</v>
      </c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166</v>
      </c>
      <c r="B283" s="239">
        <v>6807.58</v>
      </c>
      <c r="C283" s="263"/>
      <c r="D283" s="264"/>
      <c r="E283" s="244"/>
      <c r="F283" s="243"/>
      <c r="G283" s="276" t="s">
        <v>82</v>
      </c>
      <c r="H283" s="245">
        <v>58.0</v>
      </c>
      <c r="I283" s="2" t="s">
        <v>107</v>
      </c>
    </row>
    <row r="284">
      <c r="A284" s="265"/>
      <c r="B284" s="247"/>
      <c r="C284" s="252"/>
      <c r="D284" s="249"/>
      <c r="F284" s="250">
        <f>1481</f>
        <v>1481</v>
      </c>
      <c r="G284" s="254" t="s">
        <v>97</v>
      </c>
      <c r="H284" s="267"/>
    </row>
    <row r="285">
      <c r="A285" s="265"/>
      <c r="B285" s="247">
        <v>25500.0</v>
      </c>
      <c r="C285" s="248"/>
      <c r="D285" s="249"/>
      <c r="F285" s="250"/>
      <c r="G285" s="254" t="s">
        <v>87</v>
      </c>
      <c r="H285" s="251"/>
    </row>
    <row r="286">
      <c r="A286" s="265"/>
      <c r="B286" s="247"/>
      <c r="C286" s="248">
        <v>49368.0</v>
      </c>
      <c r="D286" s="249"/>
      <c r="F286" s="250"/>
      <c r="G286" s="254" t="s">
        <v>167</v>
      </c>
      <c r="H286" s="251"/>
    </row>
    <row r="287">
      <c r="A287" s="265"/>
      <c r="B287" s="247"/>
      <c r="C287" s="252"/>
      <c r="D287" s="249">
        <v>25748.8</v>
      </c>
      <c r="F287" s="250"/>
      <c r="G287" s="254" t="s">
        <v>168</v>
      </c>
      <c r="H287" s="251"/>
    </row>
    <row r="288">
      <c r="A288" s="265"/>
      <c r="B288" s="247"/>
      <c r="C288" s="248"/>
      <c r="D288" s="249"/>
      <c r="F288" s="250">
        <v>4000.0</v>
      </c>
      <c r="G288" s="254" t="s">
        <v>101</v>
      </c>
      <c r="H288" s="251"/>
    </row>
    <row r="289">
      <c r="A289" s="265"/>
      <c r="B289" s="247"/>
      <c r="C289" s="248"/>
      <c r="D289" s="249"/>
      <c r="F289" s="250">
        <v>540.0</v>
      </c>
      <c r="G289" s="254" t="s">
        <v>169</v>
      </c>
      <c r="H289" s="251"/>
    </row>
    <row r="290">
      <c r="A290" s="265"/>
      <c r="B290" s="247"/>
      <c r="C290" s="248"/>
      <c r="D290" s="249"/>
      <c r="F290" s="250">
        <v>1000.0</v>
      </c>
      <c r="G290" s="254" t="s">
        <v>85</v>
      </c>
      <c r="H290" s="251"/>
    </row>
    <row r="291">
      <c r="A291" s="265"/>
      <c r="B291" s="247">
        <v>1800.0</v>
      </c>
      <c r="C291" s="252"/>
      <c r="D291" s="249"/>
      <c r="F291" s="250"/>
      <c r="G291" s="254" t="s">
        <v>170</v>
      </c>
      <c r="H291" s="251"/>
    </row>
    <row r="292">
      <c r="A292" s="265"/>
      <c r="B292" s="247">
        <v>2634.0</v>
      </c>
      <c r="C292" s="252"/>
      <c r="D292" s="249"/>
      <c r="F292" s="250"/>
      <c r="G292" s="254" t="s">
        <v>171</v>
      </c>
      <c r="H292" s="251"/>
    </row>
    <row r="293">
      <c r="A293" s="265"/>
      <c r="B293" s="247"/>
      <c r="C293" s="252"/>
      <c r="D293" s="253"/>
      <c r="F293" s="250">
        <v>250.0</v>
      </c>
      <c r="G293" s="254" t="s">
        <v>172</v>
      </c>
      <c r="H293" s="251"/>
    </row>
    <row r="294">
      <c r="A294" s="265"/>
      <c r="B294" s="268"/>
      <c r="C294" s="252"/>
      <c r="D294" s="253"/>
      <c r="F294" s="250"/>
      <c r="G294" s="269"/>
      <c r="H294" s="251"/>
    </row>
    <row r="295">
      <c r="A295" s="265"/>
      <c r="B295" s="268"/>
      <c r="C295" s="252"/>
      <c r="D295" s="253"/>
      <c r="F295" s="250"/>
      <c r="G295" s="269"/>
      <c r="H295" s="251"/>
    </row>
    <row r="296">
      <c r="A296" s="270"/>
      <c r="B296" s="271"/>
      <c r="C296" s="272"/>
      <c r="D296" s="273"/>
      <c r="E296" s="18"/>
      <c r="F296" s="274"/>
      <c r="G296" s="275"/>
      <c r="H296" s="261"/>
    </row>
    <row r="297">
      <c r="A297" s="262" t="s">
        <v>173</v>
      </c>
      <c r="B297" s="239"/>
      <c r="C297" s="263">
        <v>12956.0</v>
      </c>
      <c r="D297" s="241"/>
      <c r="E297" s="242"/>
      <c r="F297" s="243"/>
      <c r="G297" s="276" t="s">
        <v>89</v>
      </c>
      <c r="H297" s="245">
        <v>74.0</v>
      </c>
      <c r="I297" s="2" t="s">
        <v>107</v>
      </c>
    </row>
    <row r="298">
      <c r="A298" s="265"/>
      <c r="B298" s="247">
        <f>30419.4+750.2</f>
        <v>31169.6</v>
      </c>
      <c r="C298" s="248"/>
      <c r="D298" s="249"/>
      <c r="F298" s="250"/>
      <c r="G298" s="254" t="s">
        <v>91</v>
      </c>
      <c r="H298" s="267">
        <v>20000.0</v>
      </c>
      <c r="I298" s="2" t="s">
        <v>174</v>
      </c>
    </row>
    <row r="299">
      <c r="A299" s="265"/>
      <c r="B299" s="247"/>
      <c r="C299" s="248"/>
      <c r="D299" s="253"/>
      <c r="F299" s="250">
        <v>11800.0</v>
      </c>
      <c r="G299" s="254" t="s">
        <v>128</v>
      </c>
      <c r="H299" s="251"/>
    </row>
    <row r="300">
      <c r="A300" s="265"/>
      <c r="B300" s="247"/>
      <c r="C300" s="248"/>
      <c r="D300" s="249">
        <v>65000.0</v>
      </c>
      <c r="F300" s="250"/>
      <c r="G300" s="254" t="s">
        <v>175</v>
      </c>
      <c r="H300" s="251"/>
    </row>
    <row r="301">
      <c r="A301" s="265"/>
      <c r="B301" s="247"/>
      <c r="C301" s="252"/>
      <c r="D301" s="253"/>
      <c r="F301" s="250">
        <f>700+290</f>
        <v>990</v>
      </c>
      <c r="G301" s="254" t="s">
        <v>97</v>
      </c>
      <c r="H301" s="251"/>
    </row>
    <row r="302">
      <c r="A302" s="265"/>
      <c r="B302" s="247">
        <v>2550.0</v>
      </c>
      <c r="C302" s="248"/>
      <c r="D302" s="249"/>
      <c r="F302" s="250"/>
      <c r="G302" s="254" t="s">
        <v>176</v>
      </c>
      <c r="H302" s="251"/>
    </row>
    <row r="303">
      <c r="A303" s="265"/>
      <c r="B303" s="247">
        <v>2613.0</v>
      </c>
      <c r="C303" s="248"/>
      <c r="D303" s="253"/>
      <c r="F303" s="250"/>
      <c r="G303" s="254" t="s">
        <v>177</v>
      </c>
      <c r="H303" s="251"/>
    </row>
    <row r="304">
      <c r="A304" s="265"/>
      <c r="B304" s="247">
        <v>2135.0</v>
      </c>
      <c r="C304" s="248"/>
      <c r="D304" s="253"/>
      <c r="F304" s="250"/>
      <c r="G304" s="254" t="s">
        <v>178</v>
      </c>
      <c r="H304" s="251"/>
    </row>
    <row r="305">
      <c r="A305" s="265"/>
      <c r="B305" s="247"/>
      <c r="C305" s="252"/>
      <c r="D305" s="253"/>
      <c r="F305" s="250"/>
      <c r="G305" s="254"/>
      <c r="H305" s="251"/>
    </row>
    <row r="306">
      <c r="A306" s="265"/>
      <c r="B306" s="268"/>
      <c r="C306" s="252"/>
      <c r="D306" s="253"/>
      <c r="F306" s="250"/>
      <c r="G306" s="254"/>
      <c r="H306" s="251"/>
    </row>
    <row r="307">
      <c r="A307" s="265"/>
      <c r="B307" s="268"/>
      <c r="C307" s="252"/>
      <c r="D307" s="253"/>
      <c r="F307" s="250"/>
      <c r="G307" s="254"/>
      <c r="H307" s="251"/>
    </row>
    <row r="308">
      <c r="A308" s="265"/>
      <c r="B308" s="268"/>
      <c r="C308" s="252"/>
      <c r="D308" s="253"/>
      <c r="F308" s="250"/>
      <c r="G308" s="269"/>
      <c r="H308" s="251"/>
    </row>
    <row r="309">
      <c r="A309" s="265"/>
      <c r="B309" s="268"/>
      <c r="C309" s="252"/>
      <c r="D309" s="253"/>
      <c r="F309" s="250"/>
      <c r="G309" s="269"/>
      <c r="H309" s="251"/>
    </row>
    <row r="310">
      <c r="A310" s="265"/>
      <c r="B310" s="268"/>
      <c r="C310" s="252"/>
      <c r="D310" s="253"/>
      <c r="F310" s="250"/>
      <c r="G310" s="269"/>
      <c r="H310" s="251"/>
    </row>
    <row r="311">
      <c r="A311" s="270"/>
      <c r="B311" s="271"/>
      <c r="C311" s="272"/>
      <c r="D311" s="273"/>
      <c r="E311" s="18"/>
      <c r="F311" s="274"/>
      <c r="G311" s="275"/>
      <c r="H311" s="261"/>
    </row>
    <row r="312">
      <c r="A312" s="262" t="s">
        <v>179</v>
      </c>
      <c r="B312" s="239">
        <v>34600.0</v>
      </c>
      <c r="C312" s="263"/>
      <c r="D312" s="264"/>
      <c r="E312" s="242"/>
      <c r="F312" s="250"/>
      <c r="G312" s="254" t="s">
        <v>75</v>
      </c>
      <c r="H312" s="245">
        <v>84.0</v>
      </c>
      <c r="I312" s="2" t="s">
        <v>72</v>
      </c>
    </row>
    <row r="313">
      <c r="A313" s="265"/>
      <c r="B313" s="247"/>
      <c r="C313" s="252"/>
      <c r="D313" s="253"/>
      <c r="F313" s="250">
        <v>440.0</v>
      </c>
      <c r="G313" s="254" t="s">
        <v>97</v>
      </c>
      <c r="H313" s="267"/>
    </row>
    <row r="314">
      <c r="A314" s="265"/>
      <c r="B314" s="247"/>
      <c r="C314" s="248"/>
      <c r="D314" s="249"/>
      <c r="F314" s="250"/>
      <c r="G314" s="254" t="s">
        <v>180</v>
      </c>
      <c r="H314" s="251"/>
    </row>
    <row r="315">
      <c r="A315" s="265"/>
      <c r="B315" s="247">
        <v>9080.2</v>
      </c>
      <c r="C315" s="248"/>
      <c r="D315" s="249"/>
      <c r="F315" s="250"/>
      <c r="G315" s="254" t="s">
        <v>82</v>
      </c>
      <c r="H315" s="251"/>
    </row>
    <row r="316">
      <c r="A316" s="265"/>
      <c r="B316" s="247"/>
      <c r="C316" s="252"/>
      <c r="D316" s="249"/>
      <c r="F316" s="250">
        <v>25000.0</v>
      </c>
      <c r="G316" s="254" t="s">
        <v>181</v>
      </c>
      <c r="H316" s="251"/>
    </row>
    <row r="317">
      <c r="A317" s="265"/>
      <c r="B317" s="247">
        <v>33989.91</v>
      </c>
      <c r="C317" s="252"/>
      <c r="D317" s="249"/>
      <c r="F317" s="250"/>
      <c r="G317" s="254" t="s">
        <v>103</v>
      </c>
      <c r="H317" s="267"/>
    </row>
    <row r="318">
      <c r="A318" s="265"/>
      <c r="B318" s="247"/>
      <c r="C318" s="252"/>
      <c r="D318" s="249"/>
      <c r="F318" s="250"/>
      <c r="G318" s="254"/>
      <c r="H318" s="251"/>
    </row>
    <row r="319">
      <c r="A319" s="265"/>
      <c r="B319" s="247"/>
      <c r="C319" s="252"/>
      <c r="D319" s="253"/>
      <c r="F319" s="250"/>
      <c r="G319" s="254"/>
      <c r="H319" s="251"/>
    </row>
    <row r="320">
      <c r="A320" s="265"/>
      <c r="B320" s="268"/>
      <c r="C320" s="252"/>
      <c r="D320" s="253"/>
      <c r="F320" s="250"/>
      <c r="G320" s="254"/>
      <c r="H320" s="251"/>
    </row>
    <row r="321">
      <c r="A321" s="265"/>
      <c r="B321" s="268"/>
      <c r="C321" s="252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47"/>
      <c r="C323" s="252"/>
      <c r="D323" s="253"/>
      <c r="F323" s="250"/>
      <c r="G323" s="269"/>
      <c r="H323" s="251"/>
    </row>
    <row r="324">
      <c r="A324" s="265"/>
      <c r="B324" s="268"/>
      <c r="C324" s="252"/>
      <c r="D324" s="253"/>
      <c r="F324" s="250"/>
      <c r="G324" s="269"/>
      <c r="H324" s="251"/>
    </row>
    <row r="325">
      <c r="A325" s="265"/>
      <c r="B325" s="268"/>
      <c r="C325" s="252"/>
      <c r="D325" s="253"/>
      <c r="F325" s="250"/>
      <c r="G325" s="269"/>
      <c r="H325" s="251"/>
    </row>
    <row r="326">
      <c r="A326" s="270"/>
      <c r="B326" s="271"/>
      <c r="C326" s="272"/>
      <c r="D326" s="273"/>
      <c r="E326" s="18"/>
      <c r="F326" s="274"/>
      <c r="G326" s="18"/>
      <c r="H326" s="261"/>
    </row>
    <row r="327">
      <c r="A327" s="262" t="s">
        <v>182</v>
      </c>
      <c r="B327" s="239">
        <v>13923.59</v>
      </c>
      <c r="C327" s="263"/>
      <c r="D327" s="264"/>
      <c r="E327" s="242"/>
      <c r="F327" s="243"/>
      <c r="G327" s="244" t="s">
        <v>74</v>
      </c>
      <c r="H327" s="245">
        <v>60.0</v>
      </c>
      <c r="I327" s="2" t="s">
        <v>72</v>
      </c>
    </row>
    <row r="328">
      <c r="A328" s="265"/>
      <c r="B328" s="247">
        <v>8923.01</v>
      </c>
      <c r="C328" s="248"/>
      <c r="D328" s="249"/>
      <c r="F328" s="250"/>
      <c r="G328" s="2" t="s">
        <v>73</v>
      </c>
      <c r="H328" s="267"/>
      <c r="I328" s="2" t="s">
        <v>183</v>
      </c>
    </row>
    <row r="329">
      <c r="A329" s="265"/>
      <c r="B329" s="247">
        <v>11600.0</v>
      </c>
      <c r="C329" s="248"/>
      <c r="D329" s="249"/>
      <c r="F329" s="250"/>
      <c r="G329" s="2" t="s">
        <v>76</v>
      </c>
      <c r="H329" s="251"/>
    </row>
    <row r="330">
      <c r="A330" s="265"/>
      <c r="B330" s="247">
        <v>25500.0</v>
      </c>
      <c r="C330" s="252"/>
      <c r="D330" s="253"/>
      <c r="F330" s="250"/>
      <c r="G330" s="2" t="s">
        <v>87</v>
      </c>
      <c r="H330" s="251"/>
    </row>
    <row r="331">
      <c r="A331" s="265"/>
      <c r="B331" s="247"/>
      <c r="C331" s="248"/>
      <c r="D331" s="249">
        <v>10560.0</v>
      </c>
      <c r="F331" s="250"/>
      <c r="G331" s="2" t="s">
        <v>79</v>
      </c>
      <c r="H331" s="251"/>
    </row>
    <row r="332">
      <c r="A332" s="265"/>
      <c r="B332" s="247"/>
      <c r="C332" s="252"/>
      <c r="D332" s="249"/>
      <c r="F332" s="250"/>
      <c r="H332" s="251"/>
    </row>
    <row r="333">
      <c r="A333" s="265"/>
      <c r="B333" s="247"/>
      <c r="C333" s="252"/>
      <c r="D333" s="249"/>
      <c r="F333" s="250"/>
      <c r="H333" s="251"/>
    </row>
    <row r="334">
      <c r="A334" s="265"/>
      <c r="B334" s="247"/>
      <c r="C334" s="252"/>
      <c r="D334" s="253"/>
      <c r="F334" s="250"/>
      <c r="H334" s="251"/>
    </row>
    <row r="335">
      <c r="A335" s="265"/>
      <c r="B335" s="247"/>
      <c r="C335" s="252"/>
      <c r="D335" s="249"/>
      <c r="F335" s="250"/>
      <c r="H335" s="251"/>
    </row>
    <row r="336">
      <c r="A336" s="265"/>
      <c r="B336" s="247"/>
      <c r="C336" s="252"/>
      <c r="D336" s="253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70"/>
      <c r="B339" s="271"/>
      <c r="C339" s="272"/>
      <c r="D339" s="273"/>
      <c r="E339" s="18"/>
      <c r="F339" s="259"/>
      <c r="G339" s="293"/>
      <c r="H339" s="261"/>
    </row>
    <row r="340">
      <c r="A340" s="262" t="s">
        <v>184</v>
      </c>
      <c r="B340" s="239"/>
      <c r="C340" s="263"/>
      <c r="D340" s="264"/>
      <c r="E340" s="242"/>
      <c r="F340" s="243">
        <v>210.0</v>
      </c>
      <c r="G340" s="244" t="s">
        <v>97</v>
      </c>
      <c r="H340" s="245"/>
      <c r="I340" s="2" t="s">
        <v>185</v>
      </c>
    </row>
    <row r="341">
      <c r="A341" s="265"/>
      <c r="B341" s="247"/>
      <c r="C341" s="248"/>
      <c r="D341" s="249"/>
      <c r="F341" s="250">
        <v>1000.0</v>
      </c>
      <c r="G341" s="2" t="s">
        <v>85</v>
      </c>
      <c r="H341" s="267">
        <f>70-7</f>
        <v>63</v>
      </c>
      <c r="I341" s="2" t="s">
        <v>107</v>
      </c>
    </row>
    <row r="342">
      <c r="A342" s="265"/>
      <c r="B342" s="247">
        <v>10447.43</v>
      </c>
      <c r="C342" s="248"/>
      <c r="D342" s="249"/>
      <c r="F342" s="250"/>
      <c r="G342" s="2" t="s">
        <v>82</v>
      </c>
      <c r="H342" s="267"/>
    </row>
    <row r="343">
      <c r="A343" s="265"/>
      <c r="B343" s="247">
        <v>16074.21</v>
      </c>
      <c r="C343" s="248"/>
      <c r="D343" s="249"/>
      <c r="F343" s="250"/>
      <c r="G343" s="2" t="s">
        <v>114</v>
      </c>
      <c r="H343" s="251"/>
    </row>
    <row r="344">
      <c r="A344" s="265"/>
      <c r="B344" s="247">
        <v>18900.0</v>
      </c>
      <c r="C344" s="248"/>
      <c r="D344" s="249"/>
      <c r="F344" s="250"/>
      <c r="G344" s="2" t="s">
        <v>75</v>
      </c>
      <c r="H344" s="251"/>
    </row>
    <row r="345">
      <c r="A345" s="265"/>
      <c r="B345" s="247"/>
      <c r="C345" s="252">
        <f>50569.77</f>
        <v>50569.77</v>
      </c>
      <c r="D345" s="249"/>
      <c r="F345" s="250"/>
      <c r="G345" s="2" t="s">
        <v>71</v>
      </c>
      <c r="H345" s="251"/>
    </row>
    <row r="346">
      <c r="A346" s="265"/>
      <c r="B346" s="247">
        <v>6596.0</v>
      </c>
      <c r="C346" s="252"/>
      <c r="D346" s="249"/>
      <c r="F346" s="250"/>
      <c r="G346" s="2" t="s">
        <v>66</v>
      </c>
      <c r="H346" s="251"/>
    </row>
    <row r="347">
      <c r="A347" s="265"/>
      <c r="B347" s="247"/>
      <c r="C347" s="252"/>
      <c r="D347" s="249"/>
      <c r="F347" s="250">
        <v>3500.0</v>
      </c>
      <c r="G347" s="2" t="s">
        <v>101</v>
      </c>
      <c r="H347" s="251"/>
    </row>
    <row r="348">
      <c r="A348" s="265"/>
      <c r="B348" s="247"/>
      <c r="C348" s="252"/>
      <c r="D348" s="253"/>
      <c r="F348" s="250">
        <v>7900.0</v>
      </c>
      <c r="G348" s="2" t="s">
        <v>68</v>
      </c>
      <c r="H348" s="251"/>
    </row>
    <row r="349">
      <c r="A349" s="265"/>
      <c r="B349" s="247"/>
      <c r="C349" s="252"/>
      <c r="D349" s="253"/>
      <c r="F349" s="250"/>
      <c r="H349" s="251"/>
    </row>
    <row r="350">
      <c r="A350" s="265"/>
      <c r="B350" s="268"/>
      <c r="C350" s="252"/>
      <c r="D350" s="253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68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68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70"/>
      <c r="B357" s="271"/>
      <c r="C357" s="272"/>
      <c r="D357" s="273"/>
      <c r="E357" s="18"/>
      <c r="F357" s="274"/>
      <c r="G357" s="18"/>
      <c r="H357" s="261"/>
    </row>
    <row r="358">
      <c r="A358" s="262" t="s">
        <v>186</v>
      </c>
      <c r="B358" s="239">
        <v>6000.0</v>
      </c>
      <c r="C358" s="240"/>
      <c r="D358" s="264"/>
      <c r="E358" s="242"/>
      <c r="F358" s="243"/>
      <c r="G358" s="244" t="s">
        <v>76</v>
      </c>
      <c r="H358" s="245">
        <v>87.0</v>
      </c>
      <c r="I358" s="2" t="s">
        <v>72</v>
      </c>
    </row>
    <row r="359">
      <c r="A359" s="265"/>
      <c r="B359" s="247"/>
      <c r="C359" s="248"/>
      <c r="D359" s="249"/>
      <c r="F359" s="250"/>
      <c r="H359" s="267"/>
    </row>
    <row r="360">
      <c r="A360" s="265"/>
      <c r="B360" s="247"/>
      <c r="C360" s="248"/>
      <c r="D360" s="253"/>
      <c r="F360" s="250"/>
      <c r="H360" s="251"/>
    </row>
    <row r="361">
      <c r="A361" s="265"/>
      <c r="B361" s="247"/>
      <c r="C361" s="248"/>
      <c r="D361" s="249"/>
      <c r="F361" s="250"/>
      <c r="H361" s="251"/>
    </row>
    <row r="362">
      <c r="A362" s="265"/>
      <c r="B362" s="247"/>
      <c r="C362" s="252"/>
      <c r="D362" s="249"/>
      <c r="F362" s="250"/>
      <c r="H362" s="251"/>
    </row>
    <row r="363">
      <c r="A363" s="265"/>
      <c r="B363" s="247"/>
      <c r="C363" s="252"/>
      <c r="D363" s="253"/>
      <c r="F363" s="250"/>
      <c r="H363" s="251"/>
    </row>
    <row r="364">
      <c r="A364" s="265"/>
      <c r="B364" s="247"/>
      <c r="C364" s="252"/>
      <c r="D364" s="253"/>
      <c r="F364" s="250"/>
      <c r="H364" s="251"/>
    </row>
    <row r="365">
      <c r="A365" s="265"/>
      <c r="B365" s="268"/>
      <c r="C365" s="252"/>
      <c r="D365" s="249"/>
      <c r="F365" s="250"/>
      <c r="H365" s="251"/>
    </row>
    <row r="366">
      <c r="A366" s="265"/>
      <c r="B366" s="268"/>
      <c r="C366" s="252"/>
      <c r="D366" s="253"/>
      <c r="F366" s="250"/>
      <c r="H366" s="251"/>
    </row>
    <row r="367">
      <c r="A367" s="265"/>
      <c r="B367" s="247"/>
      <c r="C367" s="252"/>
      <c r="D367" s="253"/>
      <c r="F367" s="250"/>
      <c r="H367" s="251"/>
    </row>
    <row r="368">
      <c r="A368" s="265"/>
      <c r="B368" s="268"/>
      <c r="C368" s="252"/>
      <c r="D368" s="253"/>
      <c r="F368" s="250"/>
      <c r="H368" s="251"/>
    </row>
    <row r="369">
      <c r="A369" s="265"/>
      <c r="B369" s="247"/>
      <c r="C369" s="252"/>
      <c r="D369" s="253"/>
      <c r="F369" s="250"/>
      <c r="H369" s="251"/>
    </row>
    <row r="370">
      <c r="A370" s="265"/>
      <c r="B370" s="268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68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70"/>
      <c r="B375" s="271"/>
      <c r="C375" s="272"/>
      <c r="D375" s="273"/>
      <c r="E375" s="18"/>
      <c r="F375" s="274"/>
      <c r="G375" s="18"/>
      <c r="H375" s="261"/>
    </row>
    <row r="376">
      <c r="A376" s="262"/>
      <c r="B376" s="239"/>
      <c r="C376" s="240"/>
      <c r="D376" s="264"/>
      <c r="E376" s="242"/>
      <c r="F376" s="243"/>
      <c r="H376" s="245"/>
    </row>
    <row r="377">
      <c r="A377" s="265"/>
      <c r="B377" s="247"/>
      <c r="C377" s="248"/>
      <c r="D377" s="288"/>
      <c r="F377" s="250"/>
      <c r="H377" s="267"/>
    </row>
    <row r="378">
      <c r="A378" s="265"/>
      <c r="B378" s="247"/>
      <c r="C378" s="248"/>
      <c r="D378" s="249"/>
      <c r="F378" s="250"/>
      <c r="H378" s="267"/>
    </row>
    <row r="379">
      <c r="A379" s="265"/>
      <c r="B379" s="247"/>
      <c r="C379" s="252"/>
      <c r="D379" s="249"/>
      <c r="F379" s="250"/>
      <c r="H379" s="251"/>
    </row>
    <row r="380">
      <c r="A380" s="265"/>
      <c r="B380" s="268"/>
      <c r="C380" s="252"/>
      <c r="D380" s="253"/>
      <c r="F380" s="250"/>
      <c r="H380" s="294"/>
    </row>
    <row r="381">
      <c r="A381" s="265"/>
      <c r="B381" s="247"/>
      <c r="C381" s="252"/>
      <c r="D381" s="249"/>
      <c r="F381" s="250"/>
      <c r="H381" s="251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67"/>
    </row>
    <row r="384">
      <c r="A384" s="265"/>
      <c r="B384" s="268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67"/>
    </row>
    <row r="386">
      <c r="A386" s="270"/>
      <c r="B386" s="271"/>
      <c r="C386" s="272"/>
      <c r="D386" s="295"/>
      <c r="E386" s="18"/>
      <c r="F386" s="274"/>
      <c r="G386" s="293"/>
      <c r="H386" s="261"/>
    </row>
    <row r="387">
      <c r="A387" s="262" t="s">
        <v>187</v>
      </c>
      <c r="B387" s="239"/>
      <c r="C387" s="240"/>
      <c r="D387" s="296">
        <v>43980.85</v>
      </c>
      <c r="E387" s="242"/>
      <c r="F387" s="243"/>
      <c r="G387" s="2" t="s">
        <v>188</v>
      </c>
      <c r="H387" s="297">
        <v>44928.0</v>
      </c>
      <c r="I387" s="2" t="s">
        <v>189</v>
      </c>
    </row>
    <row r="388">
      <c r="A388" s="265"/>
      <c r="B388" s="247"/>
      <c r="C388" s="248"/>
      <c r="D388" s="298">
        <v>14165.27</v>
      </c>
      <c r="F388" s="250"/>
      <c r="G388" s="2" t="s">
        <v>190</v>
      </c>
      <c r="H388" s="294">
        <v>44939.0</v>
      </c>
    </row>
    <row r="389">
      <c r="A389" s="265"/>
      <c r="B389" s="247"/>
      <c r="C389" s="248"/>
      <c r="D389" s="249">
        <v>4033.03</v>
      </c>
      <c r="F389" s="250"/>
      <c r="G389" s="2" t="s">
        <v>191</v>
      </c>
      <c r="H389" s="294">
        <v>44939.0</v>
      </c>
    </row>
    <row r="390">
      <c r="A390" s="265"/>
      <c r="B390" s="268"/>
      <c r="C390" s="252"/>
      <c r="D390" s="249">
        <v>66550.0</v>
      </c>
      <c r="F390" s="250"/>
      <c r="G390" s="2" t="s">
        <v>192</v>
      </c>
      <c r="H390" s="294">
        <v>44946.0</v>
      </c>
    </row>
    <row r="391">
      <c r="A391" s="265"/>
      <c r="B391" s="268"/>
      <c r="C391" s="252"/>
      <c r="D391" s="253"/>
      <c r="F391" s="250">
        <v>46000.0</v>
      </c>
      <c r="G391" s="2" t="s">
        <v>193</v>
      </c>
      <c r="H391" s="294">
        <v>44950.0</v>
      </c>
    </row>
    <row r="392">
      <c r="A392" s="265"/>
      <c r="B392" s="247"/>
      <c r="C392" s="252"/>
      <c r="D392" s="249">
        <v>46621.0</v>
      </c>
      <c r="F392" s="250"/>
      <c r="G392" s="2" t="s">
        <v>194</v>
      </c>
      <c r="H392" s="294">
        <v>44951.0</v>
      </c>
      <c r="I392" s="2" t="s">
        <v>195</v>
      </c>
    </row>
    <row r="393">
      <c r="A393" s="265"/>
      <c r="B393" s="247"/>
      <c r="C393" s="252"/>
      <c r="D393" s="249">
        <v>36000.0</v>
      </c>
      <c r="F393" s="250"/>
      <c r="G393" s="2" t="s">
        <v>196</v>
      </c>
      <c r="H393" s="294">
        <v>44930.0</v>
      </c>
    </row>
    <row r="394">
      <c r="A394" s="265"/>
      <c r="B394" s="247">
        <v>8044.76</v>
      </c>
      <c r="C394" s="252"/>
      <c r="D394" s="249"/>
      <c r="F394" s="250"/>
      <c r="G394" s="2" t="s">
        <v>197</v>
      </c>
      <c r="H394" s="294">
        <v>44940.0</v>
      </c>
      <c r="I394" s="2" t="s">
        <v>198</v>
      </c>
    </row>
    <row r="395">
      <c r="A395" s="265"/>
      <c r="B395" s="268"/>
      <c r="C395" s="252"/>
      <c r="D395" s="249">
        <v>7747.65</v>
      </c>
      <c r="F395" s="250"/>
      <c r="G395" s="2" t="s">
        <v>199</v>
      </c>
      <c r="H395" s="294"/>
      <c r="I395" s="2" t="s">
        <v>189</v>
      </c>
    </row>
    <row r="396">
      <c r="A396" s="265"/>
      <c r="B396" s="247"/>
      <c r="C396" s="252"/>
      <c r="D396" s="249">
        <v>17419.0</v>
      </c>
      <c r="F396" s="250"/>
      <c r="G396" s="2" t="s">
        <v>200</v>
      </c>
      <c r="H396" s="294"/>
      <c r="I396" s="2" t="s">
        <v>189</v>
      </c>
    </row>
    <row r="397">
      <c r="A397" s="265"/>
      <c r="B397" s="278"/>
      <c r="C397" s="248"/>
      <c r="D397" s="296">
        <v>7260.43</v>
      </c>
      <c r="F397" s="282"/>
      <c r="G397" s="2" t="s">
        <v>201</v>
      </c>
      <c r="H397" s="294"/>
      <c r="I397" s="2" t="s">
        <v>189</v>
      </c>
    </row>
    <row r="398">
      <c r="A398" s="270"/>
      <c r="B398" s="278"/>
      <c r="C398" s="248"/>
      <c r="D398" s="295"/>
      <c r="F398" s="282"/>
      <c r="H398" s="294"/>
    </row>
    <row r="399">
      <c r="A399" s="299"/>
      <c r="B399" s="278"/>
      <c r="C399" s="248"/>
      <c r="D399" s="300">
        <v>218554.77</v>
      </c>
      <c r="F399" s="282"/>
      <c r="G399" s="2" t="s">
        <v>202</v>
      </c>
      <c r="H399" s="301">
        <v>44936.0</v>
      </c>
      <c r="I399" s="2" t="s">
        <v>203</v>
      </c>
    </row>
    <row r="400">
      <c r="A400" s="299"/>
      <c r="B400" s="278"/>
      <c r="C400" s="248"/>
      <c r="D400" s="295"/>
      <c r="F400" s="250"/>
      <c r="G400" s="2" t="s">
        <v>204</v>
      </c>
      <c r="H400" s="301"/>
    </row>
    <row r="401">
      <c r="A401" s="299"/>
      <c r="B401" s="278"/>
      <c r="C401" s="252"/>
      <c r="D401" s="253"/>
      <c r="F401" s="250"/>
      <c r="G401" s="2" t="s">
        <v>205</v>
      </c>
      <c r="H401" s="302"/>
    </row>
    <row r="402">
      <c r="A402" s="303"/>
      <c r="B402" s="268"/>
      <c r="C402" s="252"/>
      <c r="D402" s="249">
        <v>327219.72</v>
      </c>
      <c r="F402" s="250"/>
      <c r="G402" s="2" t="s">
        <v>206</v>
      </c>
      <c r="H402" s="294">
        <v>44946.0</v>
      </c>
      <c r="I402" s="2" t="s">
        <v>207</v>
      </c>
    </row>
    <row r="403">
      <c r="A403" s="303"/>
      <c r="B403" s="247"/>
      <c r="C403" s="252"/>
      <c r="D403" s="249">
        <v>10953.07</v>
      </c>
      <c r="F403" s="250"/>
      <c r="G403" s="2" t="s">
        <v>208</v>
      </c>
      <c r="H403" s="294">
        <v>44936.0</v>
      </c>
    </row>
    <row r="404">
      <c r="A404" s="303"/>
      <c r="B404" s="268"/>
      <c r="C404" s="252"/>
      <c r="D404" s="300">
        <v>142499.15</v>
      </c>
      <c r="F404" s="250"/>
      <c r="G404" s="2" t="s">
        <v>209</v>
      </c>
      <c r="H404" s="294">
        <v>44936.0</v>
      </c>
    </row>
    <row r="405">
      <c r="A405" s="303"/>
      <c r="B405" s="268"/>
      <c r="C405" s="252"/>
      <c r="D405" s="249">
        <v>26285.78</v>
      </c>
      <c r="F405" s="250"/>
      <c r="G405" s="2" t="s">
        <v>210</v>
      </c>
      <c r="H405" s="294">
        <v>44956.0</v>
      </c>
      <c r="I405" s="2" t="s">
        <v>203</v>
      </c>
    </row>
    <row r="406">
      <c r="A406" s="303"/>
      <c r="B406" s="268"/>
      <c r="C406" s="252"/>
      <c r="D406" s="253"/>
      <c r="F406" s="250"/>
      <c r="H406" s="251"/>
    </row>
    <row r="407">
      <c r="A407" s="303"/>
      <c r="B407" s="268"/>
      <c r="C407" s="252"/>
      <c r="D407" s="253"/>
      <c r="F407" s="250"/>
      <c r="H407" s="251"/>
    </row>
    <row r="408">
      <c r="A408" s="304"/>
      <c r="B408" s="271"/>
      <c r="C408" s="272"/>
      <c r="D408" s="273"/>
      <c r="E408" s="18"/>
      <c r="F408" s="274"/>
      <c r="G408" s="18"/>
      <c r="H408" s="261"/>
    </row>
    <row r="409">
      <c r="A409" s="305"/>
      <c r="B409" s="306"/>
      <c r="C409" s="240"/>
      <c r="D409" s="241"/>
      <c r="E409" s="242"/>
      <c r="F409" s="243"/>
      <c r="G409" s="244"/>
      <c r="H409" s="307"/>
    </row>
    <row r="410">
      <c r="A410" s="265"/>
      <c r="B410" s="268"/>
      <c r="C410" s="252"/>
      <c r="D410" s="253"/>
      <c r="F410" s="250"/>
      <c r="H410" s="251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70"/>
      <c r="B418" s="271"/>
      <c r="C418" s="272"/>
      <c r="D418" s="273"/>
      <c r="E418" s="18"/>
      <c r="F418" s="274"/>
      <c r="G418" s="18"/>
      <c r="H418" s="261"/>
    </row>
    <row r="419">
      <c r="A419" s="305"/>
      <c r="B419" s="306"/>
      <c r="C419" s="240"/>
      <c r="D419" s="241"/>
      <c r="E419" s="242"/>
      <c r="F419" s="243"/>
      <c r="G419" s="244"/>
      <c r="H419" s="307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70"/>
      <c r="B428" s="271"/>
      <c r="C428" s="272"/>
      <c r="D428" s="273"/>
      <c r="E428" s="18"/>
      <c r="F428" s="274"/>
      <c r="G428" s="18"/>
      <c r="H428" s="261"/>
    </row>
    <row r="429">
      <c r="B429" s="306"/>
      <c r="C429" s="240"/>
      <c r="D429" s="241"/>
      <c r="E429" s="242"/>
      <c r="F429" s="243"/>
      <c r="G429" s="244"/>
      <c r="H429" s="307"/>
    </row>
    <row r="430">
      <c r="B430" s="268"/>
      <c r="C430" s="252"/>
      <c r="D430" s="253"/>
      <c r="F430" s="250"/>
      <c r="H430" s="251"/>
    </row>
    <row r="431">
      <c r="B431" s="268"/>
      <c r="C431" s="252"/>
      <c r="D431" s="253"/>
      <c r="F431" s="250"/>
      <c r="H431" s="251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2:A326"/>
    <mergeCell ref="A327:A339"/>
    <mergeCell ref="A340:A357"/>
    <mergeCell ref="A358:A375"/>
    <mergeCell ref="A376:A386"/>
    <mergeCell ref="A387:A398"/>
    <mergeCell ref="A409:A418"/>
    <mergeCell ref="A419:A428"/>
    <mergeCell ref="A214:A225"/>
    <mergeCell ref="A226:A240"/>
    <mergeCell ref="A241:A254"/>
    <mergeCell ref="A255:A269"/>
    <mergeCell ref="A270:A282"/>
    <mergeCell ref="A283:A296"/>
    <mergeCell ref="A297:A3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39">
        <v>10560.0</v>
      </c>
      <c r="C2" s="240"/>
      <c r="D2" s="241"/>
      <c r="E2" s="242"/>
      <c r="F2" s="243"/>
      <c r="G2" s="244" t="s">
        <v>79</v>
      </c>
      <c r="H2" s="245">
        <v>77.0</v>
      </c>
      <c r="I2" s="2" t="s">
        <v>72</v>
      </c>
    </row>
    <row r="3">
      <c r="A3" s="246" t="s">
        <v>212</v>
      </c>
      <c r="B3" s="247"/>
      <c r="C3" s="248"/>
      <c r="D3" s="249"/>
      <c r="F3" s="250">
        <v>765.0</v>
      </c>
      <c r="G3" s="2" t="s">
        <v>97</v>
      </c>
      <c r="H3" s="251"/>
      <c r="I3" s="2" t="s">
        <v>213</v>
      </c>
    </row>
    <row r="4">
      <c r="A4" s="246"/>
      <c r="B4" s="247">
        <v>25500.0</v>
      </c>
      <c r="C4" s="252"/>
      <c r="D4" s="253"/>
      <c r="F4" s="250"/>
      <c r="G4" s="2" t="s">
        <v>87</v>
      </c>
      <c r="H4" s="251"/>
    </row>
    <row r="5">
      <c r="A5" s="246"/>
      <c r="B5" s="247">
        <v>6807.58</v>
      </c>
      <c r="C5" s="248"/>
      <c r="D5" s="249"/>
      <c r="F5" s="250"/>
      <c r="G5" s="2" t="s">
        <v>82</v>
      </c>
      <c r="H5" s="251"/>
    </row>
    <row r="6">
      <c r="A6" s="246"/>
      <c r="B6" s="247"/>
      <c r="C6" s="248">
        <v>31938.65</v>
      </c>
      <c r="D6" s="249"/>
      <c r="F6" s="250"/>
      <c r="G6" s="254" t="s">
        <v>84</v>
      </c>
      <c r="H6" s="251"/>
    </row>
    <row r="7">
      <c r="A7" s="246"/>
      <c r="B7" s="247"/>
      <c r="C7" s="248">
        <v>36514.0</v>
      </c>
      <c r="D7" s="249"/>
      <c r="F7" s="250"/>
      <c r="G7" s="254" t="s">
        <v>89</v>
      </c>
      <c r="H7" s="251"/>
    </row>
    <row r="8">
      <c r="A8" s="246"/>
      <c r="B8" s="247"/>
      <c r="C8" s="248"/>
      <c r="D8" s="249"/>
      <c r="F8" s="250">
        <v>3715.0</v>
      </c>
      <c r="G8" s="254" t="s">
        <v>97</v>
      </c>
      <c r="H8" s="251"/>
    </row>
    <row r="9">
      <c r="A9" s="246"/>
      <c r="B9" s="247">
        <v>6000.0</v>
      </c>
      <c r="C9" s="248"/>
      <c r="D9" s="249"/>
      <c r="F9" s="250"/>
      <c r="G9" s="254" t="s">
        <v>214</v>
      </c>
      <c r="H9" s="251"/>
    </row>
    <row r="10">
      <c r="A10" s="246"/>
      <c r="B10" s="247"/>
      <c r="C10" s="248"/>
      <c r="D10" s="249"/>
      <c r="F10" s="250">
        <v>4000.0</v>
      </c>
      <c r="G10" s="254" t="s">
        <v>215</v>
      </c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216</v>
      </c>
      <c r="B15" s="239">
        <v>34825.75</v>
      </c>
      <c r="C15" s="263"/>
      <c r="D15" s="264"/>
      <c r="E15" s="242"/>
      <c r="F15" s="250"/>
      <c r="G15" s="2" t="s">
        <v>142</v>
      </c>
      <c r="H15" s="245">
        <v>87.0</v>
      </c>
      <c r="I15" s="2" t="s">
        <v>107</v>
      </c>
    </row>
    <row r="16">
      <c r="A16" s="265"/>
      <c r="B16" s="247">
        <v>12060.17</v>
      </c>
      <c r="C16" s="248"/>
      <c r="D16" s="249"/>
      <c r="F16" s="266"/>
      <c r="G16" s="2" t="s">
        <v>114</v>
      </c>
      <c r="H16" s="251"/>
      <c r="I16" s="2" t="s">
        <v>217</v>
      </c>
    </row>
    <row r="17">
      <c r="A17" s="265"/>
      <c r="B17" s="247"/>
      <c r="C17" s="248"/>
      <c r="D17" s="249"/>
      <c r="F17" s="250">
        <v>500.0</v>
      </c>
      <c r="G17" s="2" t="s">
        <v>218</v>
      </c>
      <c r="H17" s="251"/>
    </row>
    <row r="18">
      <c r="A18" s="265"/>
      <c r="B18" s="247"/>
      <c r="C18" s="252"/>
      <c r="D18" s="249"/>
      <c r="F18" s="250">
        <v>421.0</v>
      </c>
      <c r="G18" s="2" t="s">
        <v>219</v>
      </c>
      <c r="H18" s="251"/>
    </row>
    <row r="19">
      <c r="A19" s="265"/>
      <c r="B19" s="247"/>
      <c r="C19" s="248"/>
      <c r="D19" s="249">
        <v>15673.09</v>
      </c>
      <c r="F19" s="250"/>
      <c r="G19" s="2" t="s">
        <v>220</v>
      </c>
      <c r="H19" s="251"/>
    </row>
    <row r="20">
      <c r="A20" s="265"/>
      <c r="B20" s="247"/>
      <c r="C20" s="252"/>
      <c r="D20" s="249"/>
      <c r="F20" s="250">
        <v>2000.0</v>
      </c>
      <c r="G20" s="2" t="s">
        <v>221</v>
      </c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222</v>
      </c>
      <c r="B28" s="239"/>
      <c r="C28" s="240"/>
      <c r="D28" s="241"/>
      <c r="E28" s="242"/>
      <c r="F28" s="243">
        <v>225.0</v>
      </c>
      <c r="G28" s="276" t="s">
        <v>137</v>
      </c>
      <c r="H28" s="245">
        <v>42.0</v>
      </c>
      <c r="I28" s="2" t="s">
        <v>107</v>
      </c>
    </row>
    <row r="29">
      <c r="A29" s="265"/>
      <c r="B29" s="247"/>
      <c r="C29" s="248"/>
      <c r="D29" s="249"/>
      <c r="F29" s="250">
        <v>430.0</v>
      </c>
      <c r="G29" s="2" t="s">
        <v>99</v>
      </c>
      <c r="H29" s="267"/>
    </row>
    <row r="30">
      <c r="A30" s="265"/>
      <c r="B30" s="247"/>
      <c r="C30" s="248"/>
      <c r="D30" s="249"/>
      <c r="F30" s="250"/>
      <c r="G30" s="254" t="s">
        <v>101</v>
      </c>
      <c r="H30" s="251"/>
    </row>
    <row r="31">
      <c r="A31" s="265"/>
      <c r="B31" s="247"/>
      <c r="C31" s="248"/>
      <c r="D31" s="249"/>
      <c r="F31" s="250">
        <v>206.0</v>
      </c>
      <c r="G31" s="254" t="s">
        <v>97</v>
      </c>
      <c r="H31" s="251"/>
    </row>
    <row r="32">
      <c r="A32" s="265"/>
      <c r="B32" s="247">
        <v>37900.0</v>
      </c>
      <c r="C32" s="252"/>
      <c r="D32" s="249"/>
      <c r="F32" s="250"/>
      <c r="G32" s="254" t="s">
        <v>75</v>
      </c>
      <c r="H32" s="251"/>
    </row>
    <row r="33">
      <c r="A33" s="265"/>
      <c r="B33" s="247"/>
      <c r="C33" s="248">
        <v>38563.52</v>
      </c>
      <c r="D33" s="249"/>
      <c r="F33" s="250"/>
      <c r="G33" s="254" t="s">
        <v>89</v>
      </c>
      <c r="H33" s="267"/>
    </row>
    <row r="34">
      <c r="A34" s="265"/>
      <c r="B34" s="247"/>
      <c r="C34" s="248"/>
      <c r="D34" s="249">
        <v>58443.0</v>
      </c>
      <c r="F34" s="250"/>
      <c r="G34" s="254" t="s">
        <v>92</v>
      </c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8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/>
      <c r="C42" s="248"/>
      <c r="D42" s="249"/>
      <c r="F42" s="250">
        <v>600.0</v>
      </c>
      <c r="G42" s="254" t="s">
        <v>85</v>
      </c>
      <c r="H42" s="267">
        <v>71.0</v>
      </c>
      <c r="I42" s="2" t="s">
        <v>107</v>
      </c>
    </row>
    <row r="43">
      <c r="A43" s="280"/>
      <c r="B43" s="277">
        <v>25500.0</v>
      </c>
      <c r="C43" s="248"/>
      <c r="D43" s="249"/>
      <c r="F43" s="250"/>
      <c r="G43" s="254" t="s">
        <v>87</v>
      </c>
      <c r="H43" s="267"/>
    </row>
    <row r="44">
      <c r="A44" s="280" t="s">
        <v>223</v>
      </c>
      <c r="B44" s="247"/>
      <c r="C44" s="248"/>
      <c r="D44" s="249"/>
      <c r="F44" s="250">
        <v>8200.0</v>
      </c>
      <c r="G44" s="254" t="s">
        <v>68</v>
      </c>
      <c r="H44" s="251"/>
    </row>
    <row r="45">
      <c r="A45" s="265"/>
      <c r="B45" s="247"/>
      <c r="C45" s="252"/>
      <c r="D45" s="249"/>
      <c r="F45" s="250"/>
      <c r="G45" s="254"/>
      <c r="H45" s="251"/>
    </row>
    <row r="46">
      <c r="A46" s="265"/>
      <c r="B46" s="247"/>
      <c r="C46" s="248"/>
      <c r="D46" s="249"/>
      <c r="F46" s="250"/>
      <c r="G46" s="254"/>
      <c r="H46" s="251"/>
    </row>
    <row r="47">
      <c r="A47" s="265"/>
      <c r="B47" s="247"/>
      <c r="C47" s="252"/>
      <c r="D47" s="253"/>
      <c r="F47" s="250"/>
      <c r="G47" s="254"/>
      <c r="H47" s="251"/>
    </row>
    <row r="48">
      <c r="A48" s="265"/>
      <c r="B48" s="247"/>
      <c r="C48" s="248"/>
      <c r="D48" s="249"/>
      <c r="F48" s="250"/>
      <c r="G48" s="254"/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52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224</v>
      </c>
      <c r="B54" s="239"/>
      <c r="C54" s="263"/>
      <c r="D54" s="241"/>
      <c r="E54" s="242"/>
      <c r="F54" s="243">
        <v>3800.0</v>
      </c>
      <c r="G54" s="276" t="s">
        <v>101</v>
      </c>
      <c r="H54" s="245"/>
      <c r="I54" s="2" t="s">
        <v>225</v>
      </c>
    </row>
    <row r="55">
      <c r="A55" s="265"/>
      <c r="B55" s="247">
        <v>6706.69</v>
      </c>
      <c r="C55" s="248"/>
      <c r="D55" s="253"/>
      <c r="F55" s="250"/>
      <c r="G55" s="254" t="s">
        <v>226</v>
      </c>
      <c r="H55" s="267">
        <v>55.0</v>
      </c>
      <c r="I55" s="2" t="s">
        <v>107</v>
      </c>
    </row>
    <row r="56">
      <c r="A56" s="265"/>
      <c r="B56" s="247"/>
      <c r="C56" s="248"/>
      <c r="D56" s="253"/>
      <c r="F56" s="250">
        <v>902.0</v>
      </c>
      <c r="G56" s="254" t="s">
        <v>227</v>
      </c>
      <c r="H56" s="251"/>
    </row>
    <row r="57">
      <c r="A57" s="265"/>
      <c r="B57" s="247"/>
      <c r="C57" s="248"/>
      <c r="D57" s="249"/>
      <c r="F57" s="250">
        <v>480.0</v>
      </c>
      <c r="G57" s="254" t="s">
        <v>228</v>
      </c>
      <c r="H57" s="267"/>
    </row>
    <row r="58">
      <c r="A58" s="265"/>
      <c r="B58" s="247"/>
      <c r="C58" s="248"/>
      <c r="D58" s="253"/>
      <c r="F58" s="250">
        <v>314.0</v>
      </c>
      <c r="G58" s="254" t="s">
        <v>137</v>
      </c>
      <c r="H58" s="251"/>
    </row>
    <row r="59">
      <c r="A59" s="265"/>
      <c r="B59" s="247">
        <v>11300.0</v>
      </c>
      <c r="C59" s="252"/>
      <c r="D59" s="249"/>
      <c r="F59" s="250"/>
      <c r="G59" s="254" t="s">
        <v>75</v>
      </c>
      <c r="H59" s="251"/>
    </row>
    <row r="60">
      <c r="A60" s="265"/>
      <c r="B60" s="247"/>
      <c r="C60" s="252">
        <f>25632.16+22702.02</f>
        <v>48334.18</v>
      </c>
      <c r="D60" s="253"/>
      <c r="F60" s="250"/>
      <c r="G60" s="254" t="s">
        <v>71</v>
      </c>
      <c r="H60" s="251"/>
    </row>
    <row r="61">
      <c r="A61" s="265"/>
      <c r="B61" s="247"/>
      <c r="C61" s="252"/>
      <c r="D61" s="253"/>
      <c r="F61" s="250">
        <v>1000.0</v>
      </c>
      <c r="G61" s="254" t="s">
        <v>102</v>
      </c>
      <c r="H61" s="251"/>
    </row>
    <row r="62">
      <c r="A62" s="265"/>
      <c r="B62" s="268"/>
      <c r="C62" s="248"/>
      <c r="D62" s="253"/>
      <c r="F62" s="250"/>
      <c r="G62" s="254" t="s">
        <v>229</v>
      </c>
      <c r="H62" s="251"/>
    </row>
    <row r="63">
      <c r="A63" s="265"/>
      <c r="B63" s="268"/>
      <c r="C63" s="248"/>
      <c r="D63" s="249"/>
      <c r="F63" s="250"/>
      <c r="G63" s="254"/>
      <c r="H63" s="251"/>
    </row>
    <row r="64">
      <c r="A64" s="265"/>
      <c r="B64" s="268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230</v>
      </c>
      <c r="B68" s="239">
        <v>3523.98</v>
      </c>
      <c r="C68" s="263"/>
      <c r="D68" s="264"/>
      <c r="E68" s="242"/>
      <c r="F68" s="243"/>
      <c r="G68" s="276" t="s">
        <v>73</v>
      </c>
      <c r="H68" s="245">
        <v>30.0</v>
      </c>
      <c r="I68" s="2" t="s">
        <v>107</v>
      </c>
    </row>
    <row r="69">
      <c r="A69" s="265"/>
      <c r="B69" s="247">
        <v>25614.21</v>
      </c>
      <c r="C69" s="248"/>
      <c r="D69" s="249"/>
      <c r="F69" s="250"/>
      <c r="G69" s="254" t="s">
        <v>74</v>
      </c>
      <c r="H69" s="267">
        <v>20.0</v>
      </c>
      <c r="I69" s="2" t="s">
        <v>231</v>
      </c>
    </row>
    <row r="70">
      <c r="A70" s="265"/>
      <c r="B70" s="247">
        <v>13878.36</v>
      </c>
      <c r="C70" s="252"/>
      <c r="D70" s="253"/>
      <c r="F70" s="250"/>
      <c r="G70" s="254" t="s">
        <v>114</v>
      </c>
      <c r="H70" s="310" t="s">
        <v>232</v>
      </c>
      <c r="I70" s="2" t="s">
        <v>233</v>
      </c>
    </row>
    <row r="71">
      <c r="A71" s="265"/>
      <c r="B71" s="247"/>
      <c r="C71" s="248"/>
      <c r="D71" s="249">
        <v>21742.0</v>
      </c>
      <c r="F71" s="250"/>
      <c r="G71" s="254" t="s">
        <v>99</v>
      </c>
      <c r="H71" s="251"/>
    </row>
    <row r="72">
      <c r="A72" s="265"/>
      <c r="B72" s="247">
        <v>8263.0</v>
      </c>
      <c r="C72" s="248"/>
      <c r="D72" s="249"/>
      <c r="F72" s="250"/>
      <c r="G72" s="254" t="s">
        <v>234</v>
      </c>
      <c r="H72" s="251"/>
    </row>
    <row r="73">
      <c r="A73" s="265"/>
      <c r="B73" s="247"/>
      <c r="C73" s="248"/>
      <c r="D73" s="253"/>
      <c r="F73" s="250">
        <v>824.0</v>
      </c>
      <c r="G73" s="254" t="s">
        <v>227</v>
      </c>
      <c r="H73" s="251"/>
    </row>
    <row r="74">
      <c r="A74" s="265"/>
      <c r="B74" s="247"/>
      <c r="C74" s="252"/>
      <c r="D74" s="249">
        <v>46827.0</v>
      </c>
      <c r="F74" s="250"/>
      <c r="G74" s="254" t="s">
        <v>235</v>
      </c>
      <c r="H74" s="251"/>
      <c r="I74" s="2" t="s">
        <v>236</v>
      </c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237</v>
      </c>
      <c r="B80" s="239">
        <v>34306.03</v>
      </c>
      <c r="C80" s="263"/>
      <c r="D80" s="241"/>
      <c r="E80" s="242"/>
      <c r="F80" s="243"/>
      <c r="G80" s="276" t="s">
        <v>103</v>
      </c>
      <c r="H80" s="245">
        <v>50.0</v>
      </c>
      <c r="I80" s="2" t="s">
        <v>107</v>
      </c>
    </row>
    <row r="81">
      <c r="A81" s="265"/>
      <c r="B81" s="247">
        <v>6807.58</v>
      </c>
      <c r="C81" s="248"/>
      <c r="D81" s="253"/>
      <c r="F81" s="250"/>
      <c r="G81" s="254" t="s">
        <v>82</v>
      </c>
      <c r="H81" s="311">
        <v>45063.0</v>
      </c>
      <c r="I81" s="2" t="s">
        <v>238</v>
      </c>
    </row>
    <row r="82">
      <c r="A82" s="265"/>
      <c r="B82" s="247">
        <v>10129.01</v>
      </c>
      <c r="C82" s="248"/>
      <c r="D82" s="249"/>
      <c r="F82" s="250"/>
      <c r="G82" s="254" t="s">
        <v>239</v>
      </c>
      <c r="H82" s="251"/>
    </row>
    <row r="83">
      <c r="A83" s="265"/>
      <c r="B83" s="247">
        <v>27597.1</v>
      </c>
      <c r="C83" s="248"/>
      <c r="D83" s="249"/>
      <c r="F83" s="250"/>
      <c r="G83" s="254" t="s">
        <v>142</v>
      </c>
      <c r="H83" s="251"/>
    </row>
    <row r="84">
      <c r="A84" s="265"/>
      <c r="B84" s="85"/>
      <c r="C84" s="248">
        <v>15469.69</v>
      </c>
      <c r="D84" s="249"/>
      <c r="F84" s="250"/>
      <c r="G84" s="254" t="s">
        <v>84</v>
      </c>
      <c r="H84" s="251"/>
    </row>
    <row r="85">
      <c r="A85" s="265"/>
      <c r="B85" s="281">
        <v>28000.0</v>
      </c>
      <c r="C85" s="252"/>
      <c r="D85" s="249"/>
      <c r="F85" s="266"/>
      <c r="G85" s="254" t="s">
        <v>75</v>
      </c>
      <c r="H85" s="251"/>
    </row>
    <row r="86">
      <c r="A86" s="265"/>
      <c r="B86" s="281"/>
      <c r="C86" s="252"/>
      <c r="D86" s="249"/>
      <c r="F86" s="250">
        <v>1700.0</v>
      </c>
      <c r="G86" s="254" t="s">
        <v>110</v>
      </c>
      <c r="H86" s="251"/>
    </row>
    <row r="87">
      <c r="A87" s="265"/>
      <c r="B87" s="247">
        <v>10560.0</v>
      </c>
      <c r="C87" s="252"/>
      <c r="D87" s="249"/>
      <c r="F87" s="250"/>
      <c r="G87" s="254" t="s">
        <v>79</v>
      </c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240</v>
      </c>
      <c r="B96" s="239"/>
      <c r="C96" s="263"/>
      <c r="D96" s="264"/>
      <c r="E96" s="242"/>
      <c r="F96" s="250">
        <v>640.0</v>
      </c>
      <c r="G96" s="276" t="s">
        <v>97</v>
      </c>
      <c r="H96" s="245">
        <v>20.0</v>
      </c>
      <c r="I96" s="2" t="s">
        <v>241</v>
      </c>
    </row>
    <row r="97">
      <c r="A97" s="265"/>
      <c r="B97" s="247"/>
      <c r="C97" s="248"/>
      <c r="D97" s="249"/>
      <c r="F97" s="250">
        <v>600.0</v>
      </c>
      <c r="G97" s="254" t="s">
        <v>85</v>
      </c>
      <c r="H97" s="267">
        <v>37.0</v>
      </c>
      <c r="I97" s="2" t="s">
        <v>107</v>
      </c>
    </row>
    <row r="98">
      <c r="A98" s="265"/>
      <c r="B98" s="247">
        <v>5600.0</v>
      </c>
      <c r="C98" s="248"/>
      <c r="D98" s="249"/>
      <c r="F98" s="250"/>
      <c r="G98" s="254" t="s">
        <v>76</v>
      </c>
      <c r="H98" s="267"/>
    </row>
    <row r="99">
      <c r="A99" s="265"/>
      <c r="B99" s="247">
        <v>25500.0</v>
      </c>
      <c r="C99" s="248"/>
      <c r="D99" s="249"/>
      <c r="F99" s="250"/>
      <c r="G99" s="254" t="s">
        <v>87</v>
      </c>
      <c r="H99" s="251"/>
    </row>
    <row r="100">
      <c r="A100" s="265"/>
      <c r="B100" s="312">
        <v>22500.0</v>
      </c>
      <c r="C100" s="313"/>
      <c r="D100" s="314"/>
      <c r="E100" s="290"/>
      <c r="F100" s="291"/>
      <c r="G100" s="292" t="s">
        <v>242</v>
      </c>
      <c r="H100" s="251"/>
    </row>
    <row r="101">
      <c r="A101" s="265"/>
      <c r="B101" s="247"/>
      <c r="C101" s="252"/>
      <c r="D101" s="253"/>
      <c r="F101" s="250">
        <v>12800.0</v>
      </c>
      <c r="G101" s="254" t="s">
        <v>128</v>
      </c>
      <c r="H101" s="251"/>
    </row>
    <row r="102">
      <c r="A102" s="265"/>
      <c r="B102" s="247"/>
      <c r="C102" s="252"/>
      <c r="D102" s="249"/>
      <c r="F102" s="250">
        <v>1000.0</v>
      </c>
      <c r="G102" s="254" t="s">
        <v>85</v>
      </c>
      <c r="H102" s="251"/>
    </row>
    <row r="103">
      <c r="A103" s="265"/>
      <c r="B103" s="247">
        <v>9100.0</v>
      </c>
      <c r="C103" s="252"/>
      <c r="D103" s="253"/>
      <c r="F103" s="250"/>
      <c r="G103" s="254" t="s">
        <v>118</v>
      </c>
      <c r="H103" s="251"/>
    </row>
    <row r="104">
      <c r="A104" s="265"/>
      <c r="B104" s="247"/>
      <c r="C104" s="248"/>
      <c r="D104" s="253"/>
      <c r="F104" s="250">
        <v>500.0</v>
      </c>
      <c r="G104" s="254" t="s">
        <v>243</v>
      </c>
      <c r="H104" s="251"/>
    </row>
    <row r="105">
      <c r="A105" s="265"/>
      <c r="B105" s="247"/>
      <c r="C105" s="252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244</v>
      </c>
      <c r="B110" s="239"/>
      <c r="C110" s="263"/>
      <c r="D110" s="264"/>
      <c r="E110" s="242"/>
      <c r="F110" s="243">
        <f>330+252</f>
        <v>582</v>
      </c>
      <c r="G110" s="276" t="s">
        <v>97</v>
      </c>
      <c r="H110" s="245">
        <v>30.0</v>
      </c>
      <c r="I110" s="2" t="s">
        <v>238</v>
      </c>
    </row>
    <row r="111">
      <c r="A111" s="265"/>
      <c r="B111" s="247"/>
      <c r="C111" s="252"/>
      <c r="D111" s="249"/>
      <c r="F111" s="250">
        <v>661.0</v>
      </c>
      <c r="G111" s="254" t="s">
        <v>245</v>
      </c>
      <c r="H111" s="267"/>
    </row>
    <row r="112">
      <c r="A112" s="265"/>
      <c r="B112" s="247">
        <v>9284.75</v>
      </c>
      <c r="C112" s="248"/>
      <c r="D112" s="249"/>
      <c r="F112" s="250"/>
      <c r="G112" s="26" t="s">
        <v>82</v>
      </c>
      <c r="H112" s="251"/>
    </row>
    <row r="113">
      <c r="A113" s="265"/>
      <c r="B113" s="247"/>
      <c r="C113" s="248"/>
      <c r="D113" s="249"/>
      <c r="F113" s="250">
        <v>4000.0</v>
      </c>
      <c r="G113" s="254" t="s">
        <v>101</v>
      </c>
      <c r="H113" s="251"/>
    </row>
    <row r="114">
      <c r="A114" s="265"/>
      <c r="B114" s="247"/>
      <c r="C114" s="248"/>
      <c r="D114" s="249"/>
      <c r="F114" s="250"/>
      <c r="G114" s="254"/>
      <c r="H114" s="251"/>
    </row>
    <row r="115">
      <c r="A115" s="265"/>
      <c r="B115" s="247"/>
      <c r="C115" s="252"/>
      <c r="D115" s="253"/>
      <c r="F115" s="250"/>
      <c r="G115" s="254"/>
      <c r="H115" s="251"/>
    </row>
    <row r="116">
      <c r="A116" s="265"/>
      <c r="B116" s="247"/>
      <c r="C116" s="252"/>
      <c r="D116" s="253"/>
      <c r="F116" s="250"/>
      <c r="G116" s="254"/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246</v>
      </c>
      <c r="B128" s="239"/>
      <c r="C128" s="263"/>
      <c r="D128" s="264"/>
      <c r="E128" s="242"/>
      <c r="F128" s="243"/>
      <c r="G128" s="276"/>
      <c r="H128" s="245">
        <v>20.0</v>
      </c>
      <c r="I128" s="2" t="s">
        <v>72</v>
      </c>
    </row>
    <row r="129">
      <c r="A129" s="265"/>
      <c r="B129" s="247"/>
      <c r="C129" s="252"/>
      <c r="D129" s="249"/>
      <c r="F129" s="250"/>
      <c r="G129" s="254"/>
      <c r="H129" s="267">
        <v>19.0</v>
      </c>
      <c r="I129" s="2" t="s">
        <v>247</v>
      </c>
    </row>
    <row r="130">
      <c r="A130" s="265"/>
      <c r="B130" s="247"/>
      <c r="C130" s="248"/>
      <c r="D130" s="249"/>
      <c r="F130" s="250"/>
      <c r="G130" s="254"/>
      <c r="H130" s="251"/>
    </row>
    <row r="131">
      <c r="A131" s="265"/>
      <c r="B131" s="247"/>
      <c r="C131" s="248"/>
      <c r="D131" s="249"/>
      <c r="F131" s="250"/>
      <c r="G131" s="254"/>
      <c r="H131" s="251"/>
    </row>
    <row r="132">
      <c r="A132" s="265"/>
      <c r="B132" s="247"/>
      <c r="C132" s="248"/>
      <c r="D132" s="253"/>
      <c r="F132" s="250"/>
      <c r="G132" s="254"/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53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248</v>
      </c>
      <c r="B143" s="239"/>
      <c r="C143" s="263"/>
      <c r="D143" s="241"/>
      <c r="E143" s="242"/>
      <c r="F143" s="243">
        <v>550.0</v>
      </c>
      <c r="G143" s="276" t="s">
        <v>97</v>
      </c>
      <c r="H143" s="245">
        <v>60.0</v>
      </c>
      <c r="I143" s="2" t="s">
        <v>72</v>
      </c>
    </row>
    <row r="144">
      <c r="A144" s="265"/>
      <c r="B144" s="247">
        <v>43300.0</v>
      </c>
      <c r="C144" s="252"/>
      <c r="D144" s="253"/>
      <c r="F144" s="250"/>
      <c r="G144" s="254" t="s">
        <v>249</v>
      </c>
      <c r="H144" s="251"/>
    </row>
    <row r="145">
      <c r="A145" s="265"/>
      <c r="B145" s="247"/>
      <c r="C145" s="252">
        <f>32508.13+21189.28</f>
        <v>53697.41</v>
      </c>
      <c r="D145" s="249"/>
      <c r="F145" s="284"/>
      <c r="G145" s="285" t="s">
        <v>71</v>
      </c>
      <c r="H145" s="251"/>
    </row>
    <row r="146">
      <c r="A146" s="265"/>
      <c r="B146" s="247">
        <v>6807.58</v>
      </c>
      <c r="C146" s="252"/>
      <c r="D146" s="253"/>
      <c r="F146" s="250"/>
      <c r="G146" s="254" t="s">
        <v>82</v>
      </c>
      <c r="H146" s="251"/>
    </row>
    <row r="147">
      <c r="A147" s="265"/>
      <c r="B147" s="247">
        <v>11600.0</v>
      </c>
      <c r="C147" s="252"/>
      <c r="D147" s="249"/>
      <c r="F147" s="250"/>
      <c r="G147" s="254" t="s">
        <v>76</v>
      </c>
      <c r="H147" s="251"/>
    </row>
    <row r="148">
      <c r="A148" s="265"/>
      <c r="B148" s="247">
        <v>13375.35</v>
      </c>
      <c r="C148" s="248"/>
      <c r="D148" s="249"/>
      <c r="F148" s="250"/>
      <c r="G148" s="254" t="s">
        <v>114</v>
      </c>
      <c r="H148" s="251"/>
    </row>
    <row r="149">
      <c r="A149" s="265"/>
      <c r="B149" s="247"/>
      <c r="C149" s="248"/>
      <c r="D149" s="249"/>
      <c r="F149" s="250">
        <v>4000.0</v>
      </c>
      <c r="G149" s="254" t="s">
        <v>101</v>
      </c>
      <c r="H149" s="251"/>
    </row>
    <row r="150">
      <c r="A150" s="265"/>
      <c r="B150" s="247">
        <v>6000.0</v>
      </c>
      <c r="C150" s="252"/>
      <c r="D150" s="249"/>
      <c r="F150" s="250"/>
      <c r="G150" s="254" t="s">
        <v>250</v>
      </c>
      <c r="H150" s="251"/>
    </row>
    <row r="151">
      <c r="A151" s="265"/>
      <c r="B151" s="268"/>
      <c r="C151" s="252"/>
      <c r="D151" s="249"/>
      <c r="F151" s="250">
        <v>1000.0</v>
      </c>
      <c r="G151" s="254" t="s">
        <v>85</v>
      </c>
      <c r="H151" s="251"/>
    </row>
    <row r="152">
      <c r="A152" s="265"/>
      <c r="B152" s="247"/>
      <c r="C152" s="252"/>
      <c r="D152" s="253"/>
      <c r="F152" s="250">
        <v>9300.0</v>
      </c>
      <c r="G152" s="254" t="s">
        <v>68</v>
      </c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251</v>
      </c>
      <c r="B158" s="239">
        <v>23400.0</v>
      </c>
      <c r="C158" s="263"/>
      <c r="D158" s="264"/>
      <c r="E158" s="242"/>
      <c r="F158" s="243"/>
      <c r="G158" s="276" t="s">
        <v>122</v>
      </c>
      <c r="H158" s="245">
        <v>63.0</v>
      </c>
      <c r="I158" s="2" t="s">
        <v>72</v>
      </c>
    </row>
    <row r="159">
      <c r="A159" s="265"/>
      <c r="B159" s="247"/>
      <c r="C159" s="252"/>
      <c r="D159" s="253"/>
      <c r="F159" s="250">
        <v>4700.0</v>
      </c>
      <c r="G159" s="254" t="s">
        <v>252</v>
      </c>
      <c r="H159" s="251"/>
    </row>
    <row r="160">
      <c r="A160" s="265"/>
      <c r="B160" s="247">
        <v>6076.0</v>
      </c>
      <c r="C160" s="248"/>
      <c r="D160" s="249"/>
      <c r="F160" s="250"/>
      <c r="G160" s="254" t="s">
        <v>253</v>
      </c>
      <c r="H160" s="251"/>
    </row>
    <row r="161">
      <c r="A161" s="265"/>
      <c r="B161" s="247"/>
      <c r="C161" s="248"/>
      <c r="D161" s="249">
        <v>7444.0</v>
      </c>
      <c r="F161" s="250"/>
      <c r="G161" s="254" t="s">
        <v>66</v>
      </c>
      <c r="H161" s="251"/>
    </row>
    <row r="162">
      <c r="A162" s="265"/>
      <c r="B162" s="247"/>
      <c r="C162" s="252"/>
      <c r="D162" s="253"/>
      <c r="F162" s="250"/>
      <c r="G162" s="254" t="s">
        <v>254</v>
      </c>
      <c r="H162" s="251"/>
    </row>
    <row r="163">
      <c r="A163" s="265"/>
      <c r="B163" s="247"/>
      <c r="C163" s="248"/>
      <c r="D163" s="249"/>
      <c r="F163" s="250">
        <v>2118.0</v>
      </c>
      <c r="G163" s="254" t="s">
        <v>255</v>
      </c>
      <c r="H163" s="251"/>
    </row>
    <row r="164">
      <c r="A164" s="265"/>
      <c r="B164" s="247"/>
      <c r="C164" s="248"/>
      <c r="D164" s="249"/>
      <c r="F164" s="250"/>
      <c r="G164" s="254" t="s">
        <v>46</v>
      </c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256</v>
      </c>
      <c r="B168" s="239">
        <v>7420.16</v>
      </c>
      <c r="C168" s="263"/>
      <c r="D168" s="264"/>
      <c r="E168" s="244"/>
      <c r="F168" s="250"/>
      <c r="G168" s="276" t="s">
        <v>82</v>
      </c>
      <c r="H168" s="245">
        <v>3000.0</v>
      </c>
      <c r="I168" s="2" t="s">
        <v>257</v>
      </c>
    </row>
    <row r="169">
      <c r="A169" s="265"/>
      <c r="B169" s="247"/>
      <c r="C169" s="315">
        <v>33010.76</v>
      </c>
      <c r="D169" s="249"/>
      <c r="F169" s="250"/>
      <c r="G169" s="254" t="s">
        <v>84</v>
      </c>
      <c r="H169" s="267">
        <v>65.0</v>
      </c>
      <c r="I169" s="2" t="s">
        <v>72</v>
      </c>
    </row>
    <row r="170">
      <c r="A170" s="265"/>
      <c r="B170" s="247">
        <v>25500.0</v>
      </c>
      <c r="C170" s="248"/>
      <c r="D170" s="249"/>
      <c r="F170" s="250"/>
      <c r="G170" s="254" t="s">
        <v>87</v>
      </c>
      <c r="H170" s="267">
        <v>15259.0</v>
      </c>
      <c r="I170" s="2" t="s">
        <v>258</v>
      </c>
    </row>
    <row r="171">
      <c r="A171" s="265"/>
      <c r="B171" s="247"/>
      <c r="C171" s="248"/>
      <c r="D171" s="249">
        <v>14000.0</v>
      </c>
      <c r="F171" s="250"/>
      <c r="G171" s="254" t="s">
        <v>75</v>
      </c>
      <c r="H171" s="251"/>
    </row>
    <row r="172">
      <c r="A172" s="265"/>
      <c r="B172" s="247">
        <v>8100.0</v>
      </c>
      <c r="C172" s="248"/>
      <c r="D172" s="249"/>
      <c r="E172" s="254"/>
      <c r="F172" s="250"/>
      <c r="G172" s="254" t="s">
        <v>259</v>
      </c>
      <c r="H172" s="251"/>
      <c r="I172" s="269"/>
    </row>
    <row r="173">
      <c r="A173" s="265"/>
      <c r="B173" s="247"/>
      <c r="C173" s="252"/>
      <c r="D173" s="249"/>
      <c r="F173" s="250">
        <v>2980.0</v>
      </c>
      <c r="G173" s="254" t="s">
        <v>260</v>
      </c>
      <c r="H173" s="251"/>
    </row>
    <row r="174">
      <c r="A174" s="265"/>
      <c r="B174" s="247"/>
      <c r="C174" s="252"/>
      <c r="D174" s="249"/>
      <c r="F174" s="250">
        <v>787.37</v>
      </c>
      <c r="G174" s="254" t="s">
        <v>97</v>
      </c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261</v>
      </c>
      <c r="B183" s="247"/>
      <c r="C183" s="248"/>
      <c r="D183" s="253"/>
      <c r="F183" s="250">
        <v>8000.0</v>
      </c>
      <c r="G183" s="254" t="s">
        <v>262</v>
      </c>
      <c r="H183" s="286">
        <v>79.0</v>
      </c>
      <c r="I183" s="2" t="s">
        <v>107</v>
      </c>
    </row>
    <row r="184">
      <c r="A184" s="265"/>
      <c r="B184" s="247"/>
      <c r="C184" s="248"/>
      <c r="D184" s="249"/>
      <c r="F184" s="250">
        <v>1400.0</v>
      </c>
      <c r="G184" s="254" t="s">
        <v>263</v>
      </c>
      <c r="H184" s="251"/>
    </row>
    <row r="185">
      <c r="A185" s="265"/>
      <c r="B185" s="247"/>
      <c r="C185" s="252"/>
      <c r="D185" s="249"/>
      <c r="F185" s="250">
        <v>1600.0</v>
      </c>
      <c r="G185" s="254" t="s">
        <v>229</v>
      </c>
      <c r="H185" s="251"/>
    </row>
    <row r="186">
      <c r="A186" s="265"/>
      <c r="B186" s="247"/>
      <c r="C186" s="248"/>
      <c r="D186" s="249"/>
      <c r="F186" s="250">
        <v>1000.0</v>
      </c>
      <c r="G186" s="254" t="s">
        <v>85</v>
      </c>
      <c r="H186" s="251"/>
    </row>
    <row r="187">
      <c r="A187" s="265"/>
      <c r="B187" s="247">
        <v>21120.0</v>
      </c>
      <c r="C187" s="248"/>
      <c r="D187" s="249"/>
      <c r="F187" s="250"/>
      <c r="G187" s="254" t="s">
        <v>79</v>
      </c>
      <c r="H187" s="251"/>
    </row>
    <row r="188">
      <c r="A188" s="265"/>
      <c r="B188" s="247">
        <v>22405.74</v>
      </c>
      <c r="C188" s="252"/>
      <c r="D188" s="249"/>
      <c r="F188" s="250"/>
      <c r="G188" s="254" t="s">
        <v>91</v>
      </c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53"/>
      <c r="F191" s="250"/>
      <c r="G191" s="254"/>
      <c r="H191" s="251"/>
    </row>
    <row r="192">
      <c r="A192" s="265"/>
      <c r="B192" s="247"/>
      <c r="C192" s="252"/>
      <c r="D192" s="253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264</v>
      </c>
      <c r="B199" s="239">
        <v>42788.62</v>
      </c>
      <c r="C199" s="263"/>
      <c r="D199" s="264"/>
      <c r="E199" s="244"/>
      <c r="F199" s="243"/>
      <c r="G199" s="276" t="s">
        <v>265</v>
      </c>
      <c r="H199" s="245"/>
      <c r="I199" s="2" t="s">
        <v>266</v>
      </c>
    </row>
    <row r="200">
      <c r="A200" s="265"/>
      <c r="B200" s="247">
        <v>11040.0</v>
      </c>
      <c r="C200" s="248"/>
      <c r="D200" s="249"/>
      <c r="F200" s="250"/>
      <c r="G200" s="254" t="s">
        <v>82</v>
      </c>
      <c r="H200" s="267">
        <v>30.0</v>
      </c>
      <c r="I200" s="2" t="s">
        <v>72</v>
      </c>
    </row>
    <row r="201">
      <c r="A201" s="265"/>
      <c r="B201" s="247"/>
      <c r="C201" s="252"/>
      <c r="D201" s="253"/>
      <c r="F201" s="250">
        <v>440.0</v>
      </c>
      <c r="G201" s="254" t="s">
        <v>137</v>
      </c>
      <c r="H201" s="251"/>
    </row>
    <row r="202">
      <c r="A202" s="265"/>
      <c r="B202" s="247">
        <v>17000.0</v>
      </c>
      <c r="C202" s="248"/>
      <c r="D202" s="249"/>
      <c r="F202" s="250"/>
      <c r="G202" s="254" t="s">
        <v>75</v>
      </c>
      <c r="H202" s="251"/>
      <c r="I202" s="2" t="s">
        <v>46</v>
      </c>
    </row>
    <row r="203">
      <c r="A203" s="265"/>
      <c r="B203" s="247">
        <v>6500.0</v>
      </c>
      <c r="C203" s="248"/>
      <c r="D203" s="249"/>
      <c r="F203" s="250"/>
      <c r="G203" s="254" t="s">
        <v>267</v>
      </c>
      <c r="H203" s="251"/>
    </row>
    <row r="204">
      <c r="A204" s="265"/>
      <c r="B204" s="247"/>
      <c r="C204" s="248"/>
      <c r="D204" s="249"/>
      <c r="F204" s="250">
        <v>37500.0</v>
      </c>
      <c r="G204" s="254" t="s">
        <v>268</v>
      </c>
      <c r="H204" s="267"/>
    </row>
    <row r="205">
      <c r="A205" s="265"/>
      <c r="B205" s="247"/>
      <c r="C205" s="248"/>
      <c r="D205" s="249"/>
      <c r="F205" s="250">
        <v>4000.0</v>
      </c>
      <c r="G205" s="316" t="s">
        <v>160</v>
      </c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269</v>
      </c>
      <c r="B214" s="239">
        <v>27600.0</v>
      </c>
      <c r="C214" s="263"/>
      <c r="D214" s="264"/>
      <c r="E214" s="242"/>
      <c r="F214" s="243"/>
      <c r="G214" s="276" t="s">
        <v>87</v>
      </c>
      <c r="H214" s="245"/>
      <c r="I214" s="2" t="s">
        <v>270</v>
      </c>
    </row>
    <row r="215">
      <c r="A215" s="265"/>
      <c r="B215" s="247"/>
      <c r="C215" s="248"/>
      <c r="D215" s="249"/>
      <c r="F215" s="250"/>
      <c r="G215" s="254"/>
      <c r="H215" s="267">
        <v>64.0</v>
      </c>
      <c r="I215" s="2" t="s">
        <v>107</v>
      </c>
    </row>
    <row r="216">
      <c r="A216" s="265"/>
      <c r="B216" s="247"/>
      <c r="C216" s="252"/>
      <c r="D216" s="249"/>
      <c r="F216" s="250"/>
      <c r="G216" s="254"/>
      <c r="H216" s="251"/>
    </row>
    <row r="217">
      <c r="A217" s="265"/>
      <c r="B217" s="247"/>
      <c r="C217" s="248"/>
      <c r="D217" s="249"/>
      <c r="F217" s="250"/>
      <c r="G217" s="254"/>
      <c r="H217" s="251"/>
    </row>
    <row r="218">
      <c r="A218" s="265"/>
      <c r="B218" s="247"/>
      <c r="C218" s="252"/>
      <c r="D218" s="253"/>
      <c r="F218" s="250"/>
      <c r="G218" s="254"/>
      <c r="H218" s="251"/>
    </row>
    <row r="219">
      <c r="A219" s="265"/>
      <c r="B219" s="247"/>
      <c r="C219" s="252"/>
      <c r="D219" s="253"/>
      <c r="F219" s="250"/>
      <c r="G219" s="254"/>
      <c r="H219" s="251"/>
    </row>
    <row r="220">
      <c r="A220" s="265"/>
      <c r="B220" s="247"/>
      <c r="C220" s="252"/>
      <c r="D220" s="253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271</v>
      </c>
      <c r="B226" s="239"/>
      <c r="C226" s="263"/>
      <c r="D226" s="264"/>
      <c r="E226" s="287"/>
      <c r="F226" s="243"/>
      <c r="G226" s="276"/>
      <c r="H226" s="245"/>
      <c r="I226" s="254"/>
      <c r="J226" s="269"/>
      <c r="K226" s="269"/>
    </row>
    <row r="227">
      <c r="A227" s="265"/>
      <c r="B227" s="247"/>
      <c r="C227" s="252"/>
      <c r="D227" s="249"/>
      <c r="F227" s="250"/>
      <c r="G227" s="254"/>
      <c r="H227" s="251"/>
      <c r="I227" s="269"/>
      <c r="J227" s="269"/>
      <c r="K227" s="269"/>
    </row>
    <row r="228">
      <c r="A228" s="265"/>
      <c r="B228" s="247"/>
      <c r="C228" s="252"/>
      <c r="D228" s="249"/>
      <c r="F228" s="250"/>
      <c r="G228" s="254"/>
      <c r="H228" s="251"/>
      <c r="I228" s="269"/>
      <c r="J228" s="269"/>
      <c r="K228" s="269"/>
    </row>
    <row r="229">
      <c r="A229" s="265"/>
      <c r="B229" s="247"/>
      <c r="C229" s="248"/>
      <c r="D229" s="253"/>
      <c r="E229" s="269"/>
      <c r="F229" s="250"/>
      <c r="G229" s="254"/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/>
      <c r="G230" s="254"/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/>
      <c r="G231" s="254"/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272</v>
      </c>
      <c r="B241" s="239"/>
      <c r="C241" s="263">
        <v>47269.88</v>
      </c>
      <c r="D241" s="241"/>
      <c r="E241" s="242"/>
      <c r="F241" s="243"/>
      <c r="G241" s="2" t="s">
        <v>71</v>
      </c>
      <c r="H241" s="245">
        <v>26.0</v>
      </c>
      <c r="I241" s="2" t="s">
        <v>107</v>
      </c>
    </row>
    <row r="242">
      <c r="A242" s="265"/>
      <c r="B242" s="247">
        <v>21077.45</v>
      </c>
      <c r="C242" s="252"/>
      <c r="D242" s="253"/>
      <c r="F242" s="250"/>
      <c r="G242" s="254" t="s">
        <v>114</v>
      </c>
      <c r="H242" s="267"/>
    </row>
    <row r="243">
      <c r="A243" s="265"/>
      <c r="B243" s="247" t="s">
        <v>273</v>
      </c>
      <c r="C243" s="248">
        <v>28883.7</v>
      </c>
      <c r="D243" s="249"/>
      <c r="F243" s="250"/>
      <c r="G243" s="254" t="s">
        <v>89</v>
      </c>
      <c r="H243" s="251"/>
    </row>
    <row r="244">
      <c r="A244" s="265"/>
      <c r="B244" s="247">
        <v>4853.23</v>
      </c>
      <c r="C244" s="248"/>
      <c r="D244" s="253"/>
      <c r="F244" s="250"/>
      <c r="G244" s="254" t="s">
        <v>73</v>
      </c>
      <c r="H244" s="251"/>
    </row>
    <row r="245">
      <c r="A245" s="265"/>
      <c r="B245" s="247">
        <v>18908.04</v>
      </c>
      <c r="C245" s="252"/>
      <c r="D245" s="253"/>
      <c r="F245" s="250"/>
      <c r="G245" s="254" t="s">
        <v>74</v>
      </c>
      <c r="H245" s="267"/>
    </row>
    <row r="246">
      <c r="A246" s="265"/>
      <c r="B246" s="247"/>
      <c r="C246" s="248"/>
      <c r="D246" s="253"/>
      <c r="F246" s="250">
        <v>10300.0</v>
      </c>
      <c r="G246" s="254" t="s">
        <v>68</v>
      </c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274</v>
      </c>
      <c r="B255" s="239">
        <v>10723.06</v>
      </c>
      <c r="C255" s="263"/>
      <c r="D255" s="264"/>
      <c r="E255" s="242"/>
      <c r="F255" s="243"/>
      <c r="G255" s="276" t="s">
        <v>82</v>
      </c>
      <c r="H255" s="245">
        <v>90.0</v>
      </c>
      <c r="I255" s="2" t="s">
        <v>72</v>
      </c>
    </row>
    <row r="256">
      <c r="A256" s="265"/>
      <c r="B256" s="247">
        <v>12240.0</v>
      </c>
      <c r="C256" s="248"/>
      <c r="D256" s="253"/>
      <c r="F256" s="250"/>
      <c r="G256" s="254" t="s">
        <v>275</v>
      </c>
      <c r="H256" s="251"/>
    </row>
    <row r="257">
      <c r="A257" s="265"/>
      <c r="B257" s="247">
        <v>58080.0</v>
      </c>
      <c r="C257" s="252"/>
      <c r="D257" s="249"/>
      <c r="E257" s="2" t="s">
        <v>276</v>
      </c>
      <c r="F257" s="250"/>
      <c r="G257" s="254" t="s">
        <v>167</v>
      </c>
      <c r="H257" s="251"/>
    </row>
    <row r="258">
      <c r="A258" s="265"/>
      <c r="B258" s="247">
        <f>36100-400</f>
        <v>35700</v>
      </c>
      <c r="C258" s="248"/>
      <c r="D258" s="249"/>
      <c r="F258" s="250"/>
      <c r="G258" s="254" t="s">
        <v>75</v>
      </c>
      <c r="H258" s="251"/>
    </row>
    <row r="259">
      <c r="A259" s="265"/>
      <c r="B259" s="247">
        <v>19015.93</v>
      </c>
      <c r="C259" s="248"/>
      <c r="D259" s="249"/>
      <c r="F259" s="250"/>
      <c r="G259" s="254" t="s">
        <v>103</v>
      </c>
      <c r="H259" s="251"/>
    </row>
    <row r="260">
      <c r="A260" s="265"/>
      <c r="B260" s="247"/>
      <c r="C260" s="248"/>
      <c r="D260" s="249"/>
      <c r="F260" s="250">
        <v>4000.0</v>
      </c>
      <c r="G260" s="254" t="s">
        <v>160</v>
      </c>
      <c r="H260" s="251"/>
    </row>
    <row r="261">
      <c r="A261" s="265"/>
      <c r="B261" s="247"/>
      <c r="C261" s="252"/>
      <c r="D261" s="249"/>
      <c r="F261" s="250">
        <v>664.0</v>
      </c>
      <c r="G261" s="254" t="s">
        <v>277</v>
      </c>
      <c r="H261" s="251"/>
    </row>
    <row r="262">
      <c r="A262" s="265"/>
      <c r="B262" s="247"/>
      <c r="C262" s="252"/>
      <c r="D262" s="253"/>
      <c r="F262" s="250"/>
      <c r="G262" s="254" t="s">
        <v>278</v>
      </c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53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279</v>
      </c>
      <c r="B270" s="239"/>
      <c r="C270" s="263"/>
      <c r="D270" s="253"/>
      <c r="F270" s="250">
        <v>5520.0</v>
      </c>
      <c r="G270" s="254" t="s">
        <v>280</v>
      </c>
      <c r="H270" s="245">
        <v>95.0</v>
      </c>
      <c r="I270" s="2" t="s">
        <v>107</v>
      </c>
    </row>
    <row r="271">
      <c r="A271" s="265"/>
      <c r="B271" s="247"/>
      <c r="C271" s="248">
        <v>22182.93</v>
      </c>
      <c r="D271" s="249"/>
      <c r="F271" s="250"/>
      <c r="G271" s="254" t="s">
        <v>71</v>
      </c>
      <c r="H271" s="267"/>
    </row>
    <row r="272">
      <c r="A272" s="265"/>
      <c r="B272" s="247"/>
      <c r="C272" s="252"/>
      <c r="D272" s="253"/>
      <c r="F272" s="250">
        <v>1000.0</v>
      </c>
      <c r="G272" s="254" t="s">
        <v>85</v>
      </c>
      <c r="H272" s="251"/>
    </row>
    <row r="273">
      <c r="A273" s="265"/>
      <c r="B273" s="247"/>
      <c r="C273" s="248"/>
      <c r="D273" s="249">
        <v>45648.46</v>
      </c>
      <c r="F273" s="250"/>
      <c r="G273" s="254" t="s">
        <v>77</v>
      </c>
      <c r="H273" s="251"/>
    </row>
    <row r="274">
      <c r="A274" s="265"/>
      <c r="B274" s="247"/>
      <c r="C274" s="248">
        <v>47054.27</v>
      </c>
      <c r="D274" s="253"/>
      <c r="F274" s="250"/>
      <c r="G274" s="254" t="s">
        <v>84</v>
      </c>
      <c r="H274" s="251"/>
    </row>
    <row r="275">
      <c r="A275" s="265"/>
      <c r="B275" s="247">
        <v>13800.04</v>
      </c>
      <c r="C275" s="248"/>
      <c r="D275" s="249"/>
      <c r="F275" s="250"/>
      <c r="G275" s="254" t="s">
        <v>76</v>
      </c>
      <c r="H275" s="251"/>
    </row>
    <row r="276">
      <c r="A276" s="265"/>
      <c r="B276" s="247"/>
      <c r="C276" s="248"/>
      <c r="D276" s="249"/>
      <c r="F276" s="250">
        <v>992.0</v>
      </c>
      <c r="G276" s="254" t="s">
        <v>97</v>
      </c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281</v>
      </c>
      <c r="B283" s="239"/>
      <c r="C283" s="263"/>
      <c r="D283" s="264"/>
      <c r="E283" s="244"/>
      <c r="F283" s="243">
        <v>2900.0</v>
      </c>
      <c r="G283" s="276" t="s">
        <v>101</v>
      </c>
      <c r="H283" s="245">
        <v>105.0</v>
      </c>
      <c r="I283" s="2" t="s">
        <v>282</v>
      </c>
    </row>
    <row r="284">
      <c r="A284" s="265"/>
      <c r="B284" s="247">
        <v>3000.0</v>
      </c>
      <c r="C284" s="252"/>
      <c r="D284" s="249"/>
      <c r="F284" s="250"/>
      <c r="G284" s="254" t="s">
        <v>283</v>
      </c>
      <c r="H284" s="267"/>
    </row>
    <row r="285">
      <c r="A285" s="265"/>
      <c r="B285" s="247"/>
      <c r="C285" s="248"/>
      <c r="D285" s="249"/>
      <c r="F285" s="250">
        <f>172+200</f>
        <v>372</v>
      </c>
      <c r="G285" s="254" t="s">
        <v>97</v>
      </c>
      <c r="H285" s="251"/>
    </row>
    <row r="286">
      <c r="A286" s="265"/>
      <c r="B286" s="247">
        <v>16700.0</v>
      </c>
      <c r="C286" s="248"/>
      <c r="D286" s="249"/>
      <c r="F286" s="250"/>
      <c r="G286" s="254" t="s">
        <v>75</v>
      </c>
      <c r="H286" s="251"/>
    </row>
    <row r="287">
      <c r="A287" s="265"/>
      <c r="B287" s="247">
        <v>7420.16</v>
      </c>
      <c r="C287" s="252"/>
      <c r="D287" s="249"/>
      <c r="F287" s="250"/>
      <c r="G287" s="254" t="s">
        <v>82</v>
      </c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69"/>
      <c r="H294" s="251"/>
    </row>
    <row r="295">
      <c r="A295" s="265"/>
      <c r="B295" s="268"/>
      <c r="C295" s="252"/>
      <c r="D295" s="253"/>
      <c r="F295" s="250"/>
      <c r="G295" s="269"/>
      <c r="H295" s="251"/>
    </row>
    <row r="296">
      <c r="A296" s="270"/>
      <c r="B296" s="271"/>
      <c r="C296" s="272"/>
      <c r="D296" s="273"/>
      <c r="E296" s="18"/>
      <c r="F296" s="274"/>
      <c r="G296" s="275"/>
      <c r="H296" s="261"/>
    </row>
    <row r="297">
      <c r="A297" s="262" t="s">
        <v>284</v>
      </c>
      <c r="B297" s="239">
        <v>30000.0</v>
      </c>
      <c r="C297" s="263"/>
      <c r="D297" s="241"/>
      <c r="E297" s="242"/>
      <c r="F297" s="243"/>
      <c r="G297" s="276" t="s">
        <v>87</v>
      </c>
      <c r="H297" s="245"/>
      <c r="I297" s="2" t="s">
        <v>285</v>
      </c>
    </row>
    <row r="298">
      <c r="A298" s="265"/>
      <c r="B298" s="247"/>
      <c r="C298" s="248">
        <v>14446.74</v>
      </c>
      <c r="D298" s="249"/>
      <c r="F298" s="250"/>
      <c r="G298" s="254" t="s">
        <v>89</v>
      </c>
      <c r="H298" s="267"/>
      <c r="I298" s="2" t="s">
        <v>286</v>
      </c>
    </row>
    <row r="299">
      <c r="A299" s="265"/>
      <c r="B299" s="247">
        <v>22562.44</v>
      </c>
      <c r="C299" s="248"/>
      <c r="D299" s="253"/>
      <c r="F299" s="250"/>
      <c r="G299" s="254" t="s">
        <v>142</v>
      </c>
      <c r="H299" s="251"/>
    </row>
    <row r="300">
      <c r="A300" s="265"/>
      <c r="B300" s="247"/>
      <c r="C300" s="248"/>
      <c r="D300" s="249"/>
      <c r="F300" s="250">
        <f>1425</f>
        <v>1425</v>
      </c>
      <c r="G300" s="254" t="s">
        <v>97</v>
      </c>
      <c r="H300" s="251"/>
      <c r="I300" s="2" t="s">
        <v>287</v>
      </c>
    </row>
    <row r="301">
      <c r="A301" s="265"/>
      <c r="B301" s="247"/>
      <c r="C301" s="252"/>
      <c r="D301" s="253"/>
      <c r="F301" s="250">
        <v>486.0</v>
      </c>
      <c r="G301" s="254" t="s">
        <v>288</v>
      </c>
      <c r="H301" s="251"/>
      <c r="I301" s="2" t="s">
        <v>289</v>
      </c>
    </row>
    <row r="302">
      <c r="A302" s="265"/>
      <c r="B302" s="247"/>
      <c r="C302" s="248"/>
      <c r="D302" s="249"/>
      <c r="F302" s="250"/>
      <c r="G302" s="254"/>
      <c r="H302" s="267">
        <v>85.0</v>
      </c>
      <c r="I302" s="2" t="s">
        <v>107</v>
      </c>
    </row>
    <row r="303">
      <c r="A303" s="265"/>
      <c r="B303" s="247"/>
      <c r="C303" s="248"/>
      <c r="D303" s="253"/>
      <c r="F303" s="250"/>
      <c r="G303" s="254"/>
      <c r="H303" s="251"/>
    </row>
    <row r="304">
      <c r="A304" s="265"/>
      <c r="B304" s="247"/>
      <c r="C304" s="248"/>
      <c r="D304" s="253"/>
      <c r="F304" s="250"/>
      <c r="G304" s="254"/>
      <c r="H304" s="251"/>
    </row>
    <row r="305">
      <c r="A305" s="265"/>
      <c r="B305" s="247"/>
      <c r="C305" s="252"/>
      <c r="D305" s="253"/>
      <c r="F305" s="250"/>
      <c r="G305" s="254"/>
      <c r="H305" s="251"/>
    </row>
    <row r="306">
      <c r="A306" s="265"/>
      <c r="B306" s="268"/>
      <c r="C306" s="252"/>
      <c r="D306" s="253"/>
      <c r="F306" s="250"/>
      <c r="G306" s="254"/>
      <c r="H306" s="251"/>
    </row>
    <row r="307">
      <c r="A307" s="265"/>
      <c r="B307" s="268"/>
      <c r="C307" s="252"/>
      <c r="D307" s="253"/>
      <c r="F307" s="250"/>
      <c r="G307" s="254"/>
      <c r="H307" s="251"/>
    </row>
    <row r="308">
      <c r="A308" s="265"/>
      <c r="B308" s="268"/>
      <c r="C308" s="252"/>
      <c r="D308" s="253"/>
      <c r="F308" s="250"/>
      <c r="G308" s="269"/>
      <c r="H308" s="251"/>
    </row>
    <row r="309">
      <c r="A309" s="265"/>
      <c r="B309" s="268"/>
      <c r="C309" s="252"/>
      <c r="D309" s="253"/>
      <c r="F309" s="250"/>
      <c r="G309" s="269"/>
      <c r="H309" s="251"/>
    </row>
    <row r="310">
      <c r="A310" s="265"/>
      <c r="B310" s="268"/>
      <c r="C310" s="252"/>
      <c r="D310" s="253"/>
      <c r="F310" s="250"/>
      <c r="G310" s="269"/>
      <c r="H310" s="251"/>
    </row>
    <row r="311">
      <c r="A311" s="270"/>
      <c r="B311" s="271"/>
      <c r="C311" s="272"/>
      <c r="D311" s="273"/>
      <c r="E311" s="18"/>
      <c r="F311" s="274"/>
      <c r="G311" s="275"/>
      <c r="H311" s="261"/>
    </row>
    <row r="312">
      <c r="A312" s="262" t="s">
        <v>290</v>
      </c>
      <c r="B312" s="239">
        <v>14433.0</v>
      </c>
      <c r="C312" s="263"/>
      <c r="D312" s="264"/>
      <c r="E312" s="242"/>
      <c r="F312" s="250"/>
      <c r="G312" s="254" t="s">
        <v>82</v>
      </c>
      <c r="H312" s="245">
        <v>51.0</v>
      </c>
      <c r="I312" s="2" t="s">
        <v>72</v>
      </c>
    </row>
    <row r="313">
      <c r="A313" s="265"/>
      <c r="B313" s="247">
        <v>23400.0</v>
      </c>
      <c r="C313" s="252"/>
      <c r="D313" s="253"/>
      <c r="F313" s="250"/>
      <c r="G313" s="254" t="s">
        <v>122</v>
      </c>
      <c r="H313" s="267"/>
    </row>
    <row r="314">
      <c r="A314" s="265"/>
      <c r="B314" s="247">
        <v>33900.0</v>
      </c>
      <c r="C314" s="248"/>
      <c r="D314" s="249"/>
      <c r="F314" s="250"/>
      <c r="G314" s="254" t="s">
        <v>75</v>
      </c>
      <c r="H314" s="251"/>
    </row>
    <row r="315">
      <c r="A315" s="265"/>
      <c r="B315" s="247"/>
      <c r="C315" s="248"/>
      <c r="D315" s="249"/>
      <c r="F315" s="250">
        <v>1950.0</v>
      </c>
      <c r="G315" s="254" t="s">
        <v>291</v>
      </c>
      <c r="H315" s="251"/>
    </row>
    <row r="316">
      <c r="A316" s="265"/>
      <c r="B316" s="247">
        <v>2640.0</v>
      </c>
      <c r="C316" s="252"/>
      <c r="D316" s="249"/>
      <c r="F316" s="250"/>
      <c r="G316" s="254" t="s">
        <v>170</v>
      </c>
      <c r="H316" s="251"/>
    </row>
    <row r="317">
      <c r="A317" s="265"/>
      <c r="B317" s="247"/>
      <c r="C317" s="252"/>
      <c r="D317" s="249"/>
      <c r="F317" s="250">
        <v>400.0</v>
      </c>
      <c r="G317" s="254" t="s">
        <v>97</v>
      </c>
      <c r="H317" s="267"/>
    </row>
    <row r="318">
      <c r="A318" s="265"/>
      <c r="B318" s="247"/>
      <c r="C318" s="252"/>
      <c r="D318" s="249"/>
      <c r="F318" s="250">
        <v>31.0</v>
      </c>
      <c r="G318" s="254" t="s">
        <v>292</v>
      </c>
      <c r="H318" s="251"/>
    </row>
    <row r="319">
      <c r="A319" s="265"/>
      <c r="B319" s="247">
        <v>5047.0</v>
      </c>
      <c r="C319" s="252"/>
      <c r="D319" s="253"/>
      <c r="F319" s="250"/>
      <c r="G319" s="254" t="s">
        <v>293</v>
      </c>
      <c r="H319" s="251"/>
    </row>
    <row r="320">
      <c r="A320" s="265"/>
      <c r="B320" s="268"/>
      <c r="C320" s="252"/>
      <c r="D320" s="253"/>
      <c r="F320" s="250">
        <v>2500.0</v>
      </c>
      <c r="G320" s="254" t="s">
        <v>294</v>
      </c>
      <c r="H320" s="251"/>
    </row>
    <row r="321">
      <c r="A321" s="265"/>
      <c r="B321" s="268"/>
      <c r="C321" s="252"/>
      <c r="D321" s="253"/>
      <c r="F321" s="250">
        <v>6500.0</v>
      </c>
      <c r="G321" s="254" t="s">
        <v>295</v>
      </c>
      <c r="H321" s="251"/>
    </row>
    <row r="322">
      <c r="A322" s="265"/>
      <c r="B322" s="247">
        <v>10600.0</v>
      </c>
      <c r="C322" s="252"/>
      <c r="D322" s="253"/>
      <c r="F322" s="250"/>
      <c r="G322" s="254" t="s">
        <v>296</v>
      </c>
      <c r="H322" s="251"/>
    </row>
    <row r="323">
      <c r="A323" s="265"/>
      <c r="B323" s="247">
        <v>1820.0</v>
      </c>
      <c r="C323" s="252"/>
      <c r="D323" s="253"/>
      <c r="F323" s="250"/>
      <c r="G323" s="254" t="s">
        <v>297</v>
      </c>
      <c r="H323" s="251"/>
    </row>
    <row r="324">
      <c r="A324" s="265"/>
      <c r="B324" s="268"/>
      <c r="C324" s="252"/>
      <c r="D324" s="253"/>
      <c r="F324" s="250">
        <v>4000.0</v>
      </c>
      <c r="G324" s="254" t="s">
        <v>101</v>
      </c>
      <c r="H324" s="251"/>
    </row>
    <row r="325">
      <c r="A325" s="265"/>
      <c r="B325" s="268"/>
      <c r="C325" s="252"/>
      <c r="D325" s="253"/>
      <c r="F325" s="250"/>
      <c r="G325" s="269"/>
      <c r="H325" s="251"/>
    </row>
    <row r="326">
      <c r="A326" s="270"/>
      <c r="B326" s="271"/>
      <c r="C326" s="272"/>
      <c r="D326" s="273"/>
      <c r="E326" s="18"/>
      <c r="F326" s="274"/>
      <c r="G326" s="18"/>
      <c r="H326" s="261"/>
    </row>
    <row r="327">
      <c r="A327" s="262" t="s">
        <v>298</v>
      </c>
      <c r="B327" s="239">
        <v>27073.3</v>
      </c>
      <c r="C327" s="263"/>
      <c r="D327" s="264"/>
      <c r="E327" s="242"/>
      <c r="F327" s="243"/>
      <c r="G327" s="244" t="s">
        <v>114</v>
      </c>
      <c r="H327" s="245"/>
      <c r="I327" s="2" t="s">
        <v>299</v>
      </c>
    </row>
    <row r="328">
      <c r="A328" s="265"/>
      <c r="B328" s="247">
        <v>4246.75</v>
      </c>
      <c r="C328" s="248"/>
      <c r="D328" s="249"/>
      <c r="F328" s="250"/>
      <c r="G328" s="2" t="s">
        <v>74</v>
      </c>
      <c r="H328" s="267">
        <v>73.0</v>
      </c>
      <c r="I328" s="2" t="s">
        <v>72</v>
      </c>
    </row>
    <row r="329">
      <c r="A329" s="265"/>
      <c r="B329" s="247">
        <v>2026.36</v>
      </c>
      <c r="C329" s="248"/>
      <c r="D329" s="249"/>
      <c r="F329" s="250"/>
      <c r="G329" s="2" t="s">
        <v>73</v>
      </c>
      <c r="H329" s="251"/>
    </row>
    <row r="330">
      <c r="A330" s="265"/>
      <c r="B330" s="247"/>
      <c r="C330" s="248">
        <v>17534.11</v>
      </c>
      <c r="D330" s="249"/>
      <c r="F330" s="250"/>
      <c r="G330" s="2" t="s">
        <v>71</v>
      </c>
      <c r="H330" s="251"/>
    </row>
    <row r="331">
      <c r="A331" s="265"/>
      <c r="B331" s="247"/>
      <c r="C331" s="248">
        <v>36765.0</v>
      </c>
      <c r="D331" s="253"/>
      <c r="F331" s="250"/>
      <c r="G331" s="2" t="s">
        <v>300</v>
      </c>
      <c r="H331" s="251"/>
    </row>
    <row r="332">
      <c r="A332" s="265"/>
      <c r="B332" s="247"/>
      <c r="C332" s="248"/>
      <c r="D332" s="249">
        <v>23240.0</v>
      </c>
      <c r="F332" s="250"/>
      <c r="G332" s="2" t="s">
        <v>301</v>
      </c>
      <c r="H332" s="251"/>
    </row>
    <row r="333">
      <c r="A333" s="265"/>
      <c r="B333" s="247">
        <v>8100.0</v>
      </c>
      <c r="C333" s="252"/>
      <c r="D333" s="249"/>
      <c r="F333" s="250"/>
      <c r="G333" s="2" t="s">
        <v>302</v>
      </c>
      <c r="H333" s="251"/>
    </row>
    <row r="334">
      <c r="A334" s="265"/>
      <c r="B334" s="247"/>
      <c r="C334" s="252"/>
      <c r="D334" s="249"/>
      <c r="F334" s="250">
        <v>497.0</v>
      </c>
      <c r="G334" s="2" t="s">
        <v>303</v>
      </c>
      <c r="H334" s="251"/>
    </row>
    <row r="335">
      <c r="A335" s="265"/>
      <c r="B335" s="247">
        <v>6000.0</v>
      </c>
      <c r="C335" s="252"/>
      <c r="D335" s="253"/>
      <c r="F335" s="250"/>
      <c r="G335" s="2" t="s">
        <v>304</v>
      </c>
      <c r="H335" s="251"/>
    </row>
    <row r="336">
      <c r="A336" s="265"/>
      <c r="B336" s="247"/>
      <c r="C336" s="252"/>
      <c r="D336" s="249"/>
      <c r="F336" s="250">
        <v>3000.0</v>
      </c>
      <c r="G336" s="2" t="s">
        <v>305</v>
      </c>
      <c r="H336" s="251"/>
    </row>
    <row r="337">
      <c r="A337" s="265"/>
      <c r="B337" s="247"/>
      <c r="C337" s="252"/>
      <c r="D337" s="253"/>
      <c r="F337" s="250">
        <v>1000.0</v>
      </c>
      <c r="G337" s="2" t="s">
        <v>85</v>
      </c>
      <c r="H337" s="251"/>
    </row>
    <row r="338">
      <c r="A338" s="265"/>
      <c r="B338" s="247"/>
      <c r="C338" s="252"/>
      <c r="D338" s="253"/>
      <c r="F338" s="250">
        <v>11000.0</v>
      </c>
      <c r="G338" s="2" t="s">
        <v>68</v>
      </c>
      <c r="H338" s="251"/>
    </row>
    <row r="339">
      <c r="A339" s="265"/>
      <c r="B339" s="247"/>
      <c r="C339" s="252"/>
      <c r="D339" s="249"/>
      <c r="F339" s="250"/>
      <c r="H339" s="251"/>
    </row>
    <row r="340">
      <c r="A340" s="270"/>
      <c r="B340" s="271"/>
      <c r="C340" s="272"/>
      <c r="D340" s="273"/>
      <c r="E340" s="18"/>
      <c r="F340" s="259"/>
      <c r="G340" s="293"/>
      <c r="H340" s="261"/>
    </row>
    <row r="341">
      <c r="A341" s="262"/>
      <c r="B341" s="239"/>
      <c r="C341" s="263">
        <v>39246.29</v>
      </c>
      <c r="D341" s="264"/>
      <c r="E341" s="242"/>
      <c r="F341" s="243"/>
      <c r="G341" s="244" t="s">
        <v>84</v>
      </c>
      <c r="H341" s="245"/>
    </row>
    <row r="342">
      <c r="A342" s="265"/>
      <c r="B342" s="247">
        <v>10396.64</v>
      </c>
      <c r="C342" s="248"/>
      <c r="D342" s="249"/>
      <c r="F342" s="250"/>
      <c r="G342" s="2" t="s">
        <v>82</v>
      </c>
      <c r="H342" s="267"/>
    </row>
    <row r="343">
      <c r="A343" s="265"/>
      <c r="B343" s="247">
        <v>30000.0</v>
      </c>
      <c r="C343" s="248"/>
      <c r="D343" s="249"/>
      <c r="F343" s="250"/>
      <c r="G343" s="2" t="s">
        <v>87</v>
      </c>
      <c r="H343" s="267"/>
    </row>
    <row r="344">
      <c r="A344" s="265"/>
      <c r="B344" s="247">
        <v>18340.0</v>
      </c>
      <c r="C344" s="248"/>
      <c r="D344" s="249"/>
      <c r="E344" s="2" t="s">
        <v>306</v>
      </c>
      <c r="F344" s="250"/>
      <c r="G344" s="2" t="s">
        <v>75</v>
      </c>
      <c r="H344" s="251"/>
    </row>
    <row r="345">
      <c r="A345" s="265"/>
      <c r="B345" s="247">
        <v>28217.49</v>
      </c>
      <c r="C345" s="248"/>
      <c r="D345" s="249"/>
      <c r="F345" s="250"/>
      <c r="G345" s="2" t="s">
        <v>103</v>
      </c>
      <c r="H345" s="251"/>
    </row>
    <row r="346">
      <c r="A346" s="265"/>
      <c r="B346" s="247"/>
      <c r="C346" s="252"/>
      <c r="D346" s="249"/>
      <c r="F346" s="250"/>
      <c r="H346" s="251"/>
    </row>
    <row r="347">
      <c r="A347" s="265"/>
      <c r="B347" s="247"/>
      <c r="C347" s="252"/>
      <c r="D347" s="249"/>
      <c r="F347" s="250"/>
      <c r="H347" s="251"/>
    </row>
    <row r="348">
      <c r="A348" s="265"/>
      <c r="B348" s="247"/>
      <c r="C348" s="252"/>
      <c r="D348" s="249"/>
      <c r="F348" s="250"/>
      <c r="H348" s="251"/>
    </row>
    <row r="349">
      <c r="A349" s="265"/>
      <c r="B349" s="247"/>
      <c r="C349" s="252"/>
      <c r="D349" s="253"/>
      <c r="F349" s="250"/>
      <c r="H349" s="251"/>
    </row>
    <row r="350">
      <c r="A350" s="265"/>
      <c r="B350" s="247"/>
      <c r="C350" s="252"/>
      <c r="D350" s="253"/>
      <c r="F350" s="250"/>
      <c r="H350" s="251"/>
    </row>
    <row r="351">
      <c r="A351" s="265"/>
      <c r="B351" s="268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68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70"/>
      <c r="B358" s="271"/>
      <c r="C358" s="272"/>
      <c r="D358" s="273"/>
      <c r="E358" s="18"/>
      <c r="F358" s="274"/>
      <c r="G358" s="18"/>
      <c r="H358" s="261"/>
    </row>
    <row r="359">
      <c r="A359" s="262"/>
      <c r="B359" s="239"/>
      <c r="C359" s="240"/>
      <c r="D359" s="264"/>
      <c r="E359" s="242"/>
      <c r="F359" s="243"/>
      <c r="G359" s="244"/>
      <c r="H359" s="245"/>
    </row>
    <row r="360">
      <c r="A360" s="265"/>
      <c r="B360" s="247"/>
      <c r="C360" s="248"/>
      <c r="D360" s="249"/>
      <c r="F360" s="250"/>
      <c r="H360" s="267"/>
    </row>
    <row r="361">
      <c r="A361" s="265"/>
      <c r="B361" s="247"/>
      <c r="C361" s="248"/>
      <c r="D361" s="253"/>
      <c r="F361" s="250"/>
      <c r="H361" s="251"/>
    </row>
    <row r="362">
      <c r="A362" s="265"/>
      <c r="B362" s="247"/>
      <c r="C362" s="248"/>
      <c r="D362" s="249"/>
      <c r="F362" s="250"/>
      <c r="H362" s="251"/>
    </row>
    <row r="363">
      <c r="A363" s="265"/>
      <c r="B363" s="247"/>
      <c r="C363" s="252"/>
      <c r="D363" s="249"/>
      <c r="F363" s="250"/>
      <c r="H363" s="251"/>
    </row>
    <row r="364">
      <c r="A364" s="265"/>
      <c r="B364" s="247"/>
      <c r="C364" s="252"/>
      <c r="D364" s="253"/>
      <c r="F364" s="250"/>
      <c r="H364" s="251"/>
    </row>
    <row r="365">
      <c r="A365" s="265"/>
      <c r="B365" s="247"/>
      <c r="C365" s="252"/>
      <c r="D365" s="253"/>
      <c r="F365" s="250"/>
      <c r="H365" s="251"/>
    </row>
    <row r="366">
      <c r="A366" s="265"/>
      <c r="B366" s="268"/>
      <c r="C366" s="252"/>
      <c r="D366" s="249"/>
      <c r="F366" s="250"/>
      <c r="H366" s="251"/>
    </row>
    <row r="367">
      <c r="A367" s="265"/>
      <c r="B367" s="268"/>
      <c r="C367" s="252"/>
      <c r="D367" s="253"/>
      <c r="F367" s="250"/>
      <c r="H367" s="251"/>
    </row>
    <row r="368">
      <c r="A368" s="265"/>
      <c r="B368" s="247"/>
      <c r="C368" s="252"/>
      <c r="D368" s="253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68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70"/>
      <c r="B376" s="271"/>
      <c r="C376" s="272"/>
      <c r="D376" s="273"/>
      <c r="E376" s="18"/>
      <c r="F376" s="274"/>
      <c r="G376" s="18"/>
      <c r="H376" s="261"/>
    </row>
    <row r="377">
      <c r="A377" s="262"/>
      <c r="B377" s="239"/>
      <c r="C377" s="240"/>
      <c r="D377" s="264"/>
      <c r="E377" s="242"/>
      <c r="F377" s="243"/>
      <c r="H377" s="245"/>
    </row>
    <row r="378">
      <c r="A378" s="265"/>
      <c r="B378" s="247"/>
      <c r="C378" s="248"/>
      <c r="D378" s="288"/>
      <c r="F378" s="250"/>
      <c r="H378" s="267"/>
    </row>
    <row r="379">
      <c r="A379" s="265"/>
      <c r="B379" s="247"/>
      <c r="C379" s="248"/>
      <c r="D379" s="249"/>
      <c r="F379" s="250"/>
      <c r="H379" s="267"/>
    </row>
    <row r="380">
      <c r="A380" s="265"/>
      <c r="B380" s="247"/>
      <c r="C380" s="252"/>
      <c r="D380" s="249"/>
      <c r="F380" s="250"/>
      <c r="H380" s="251"/>
    </row>
    <row r="381">
      <c r="A381" s="265"/>
      <c r="B381" s="268"/>
      <c r="C381" s="252"/>
      <c r="D381" s="253"/>
      <c r="F381" s="250"/>
      <c r="H381" s="294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47"/>
      <c r="C383" s="252"/>
      <c r="D383" s="249"/>
      <c r="F383" s="250"/>
      <c r="H383" s="251"/>
    </row>
    <row r="384">
      <c r="A384" s="265"/>
      <c r="B384" s="268"/>
      <c r="C384" s="252"/>
      <c r="D384" s="249"/>
      <c r="F384" s="250"/>
      <c r="H384" s="267"/>
    </row>
    <row r="385">
      <c r="A385" s="265"/>
      <c r="B385" s="268"/>
      <c r="C385" s="252"/>
      <c r="D385" s="249"/>
      <c r="F385" s="250"/>
      <c r="H385" s="251"/>
    </row>
    <row r="386">
      <c r="A386" s="265"/>
      <c r="B386" s="247"/>
      <c r="C386" s="252"/>
      <c r="D386" s="249"/>
      <c r="F386" s="250"/>
      <c r="H386" s="267"/>
    </row>
    <row r="387">
      <c r="A387" s="270"/>
      <c r="B387" s="271"/>
      <c r="C387" s="272"/>
      <c r="D387" s="295"/>
      <c r="E387" s="18"/>
      <c r="F387" s="274"/>
      <c r="G387" s="293"/>
      <c r="H387" s="261"/>
    </row>
    <row r="388">
      <c r="A388" s="262" t="s">
        <v>187</v>
      </c>
      <c r="B388" s="239"/>
      <c r="C388" s="240"/>
      <c r="D388" s="317">
        <v>58355.44</v>
      </c>
      <c r="E388" s="242"/>
      <c r="F388" s="243"/>
      <c r="G388" s="2" t="s">
        <v>188</v>
      </c>
      <c r="H388" s="297">
        <v>44957.0</v>
      </c>
      <c r="I388" s="2" t="s">
        <v>189</v>
      </c>
    </row>
    <row r="389">
      <c r="A389" s="265"/>
      <c r="B389" s="247"/>
      <c r="C389" s="248"/>
      <c r="D389" s="298">
        <v>13694.49</v>
      </c>
      <c r="F389" s="250"/>
      <c r="G389" s="2" t="s">
        <v>190</v>
      </c>
      <c r="H389" s="294">
        <v>44982.0</v>
      </c>
    </row>
    <row r="390">
      <c r="A390" s="265"/>
      <c r="B390" s="247"/>
      <c r="C390" s="248"/>
      <c r="D390" s="249">
        <v>7361.86</v>
      </c>
      <c r="F390" s="250"/>
      <c r="G390" s="2" t="s">
        <v>191</v>
      </c>
      <c r="H390" s="294">
        <v>44982.0</v>
      </c>
    </row>
    <row r="391">
      <c r="A391" s="265"/>
      <c r="B391" s="268"/>
      <c r="C391" s="252"/>
      <c r="D391" s="249">
        <v>108900.0</v>
      </c>
      <c r="F391" s="250"/>
      <c r="G391" s="2" t="s">
        <v>192</v>
      </c>
      <c r="H391" s="294">
        <v>44971.0</v>
      </c>
    </row>
    <row r="392">
      <c r="A392" s="265"/>
      <c r="B392" s="268"/>
      <c r="C392" s="252"/>
      <c r="D392" s="253"/>
      <c r="F392" s="250">
        <v>31000.0</v>
      </c>
      <c r="G392" s="2" t="s">
        <v>193</v>
      </c>
      <c r="H392" s="294">
        <v>44984.0</v>
      </c>
    </row>
    <row r="393">
      <c r="A393" s="265"/>
      <c r="B393" s="247"/>
      <c r="C393" s="252"/>
      <c r="D393" s="249"/>
      <c r="F393" s="250"/>
      <c r="G393" s="2" t="s">
        <v>194</v>
      </c>
      <c r="H393" s="294"/>
    </row>
    <row r="394">
      <c r="A394" s="265"/>
      <c r="B394" s="247"/>
      <c r="C394" s="252"/>
      <c r="D394" s="249">
        <v>36000.0</v>
      </c>
      <c r="F394" s="250"/>
      <c r="G394" s="2" t="s">
        <v>196</v>
      </c>
      <c r="H394" s="294">
        <v>44958.0</v>
      </c>
      <c r="I394" s="318"/>
    </row>
    <row r="395">
      <c r="A395" s="265"/>
      <c r="B395" s="247">
        <v>8044.76</v>
      </c>
      <c r="C395" s="252"/>
      <c r="D395" s="249"/>
      <c r="F395" s="250"/>
      <c r="G395" s="2" t="s">
        <v>197</v>
      </c>
      <c r="H395" s="294"/>
      <c r="I395" s="2" t="s">
        <v>198</v>
      </c>
    </row>
    <row r="396">
      <c r="A396" s="265"/>
      <c r="B396" s="268"/>
      <c r="C396" s="252"/>
      <c r="D396" s="249">
        <v>9607.09</v>
      </c>
      <c r="F396" s="250"/>
      <c r="G396" s="2" t="s">
        <v>199</v>
      </c>
      <c r="H396" s="294"/>
      <c r="I396" s="2" t="s">
        <v>189</v>
      </c>
    </row>
    <row r="397">
      <c r="A397" s="265"/>
      <c r="B397" s="247"/>
      <c r="C397" s="252"/>
      <c r="D397" s="249">
        <v>17419.0</v>
      </c>
      <c r="F397" s="250"/>
      <c r="G397" s="2" t="s">
        <v>200</v>
      </c>
      <c r="H397" s="294"/>
      <c r="I397" s="2" t="s">
        <v>189</v>
      </c>
    </row>
    <row r="398">
      <c r="A398" s="265"/>
      <c r="B398" s="278"/>
      <c r="C398" s="248"/>
      <c r="D398" s="296">
        <v>7260.43</v>
      </c>
      <c r="F398" s="282"/>
      <c r="G398" s="2" t="s">
        <v>201</v>
      </c>
      <c r="H398" s="294"/>
      <c r="I398" s="2" t="s">
        <v>189</v>
      </c>
    </row>
    <row r="399">
      <c r="A399" s="270"/>
      <c r="B399" s="278"/>
      <c r="C399" s="248"/>
      <c r="D399" s="295"/>
      <c r="F399" s="282"/>
      <c r="H399" s="294"/>
    </row>
    <row r="400">
      <c r="A400" s="299"/>
      <c r="B400" s="278"/>
      <c r="C400" s="248"/>
      <c r="D400" s="300">
        <v>169432.72</v>
      </c>
      <c r="F400" s="282"/>
      <c r="G400" s="2" t="s">
        <v>202</v>
      </c>
      <c r="H400" s="301">
        <v>44967.0</v>
      </c>
      <c r="I400" s="2" t="s">
        <v>203</v>
      </c>
    </row>
    <row r="401">
      <c r="A401" s="299"/>
      <c r="B401" s="278"/>
      <c r="C401" s="248"/>
      <c r="D401" s="295"/>
      <c r="F401" s="250"/>
      <c r="G401" s="2" t="s">
        <v>204</v>
      </c>
      <c r="H401" s="301"/>
    </row>
    <row r="402">
      <c r="A402" s="299"/>
      <c r="B402" s="278"/>
      <c r="C402" s="252"/>
      <c r="D402" s="253"/>
      <c r="F402" s="250"/>
      <c r="G402" s="2" t="s">
        <v>205</v>
      </c>
      <c r="H402" s="302"/>
    </row>
    <row r="403">
      <c r="A403" s="303"/>
      <c r="B403" s="268"/>
      <c r="C403" s="252"/>
      <c r="D403" s="249">
        <v>255849.38</v>
      </c>
      <c r="F403" s="250"/>
      <c r="G403" s="2" t="s">
        <v>206</v>
      </c>
      <c r="H403" s="294">
        <v>44991.0</v>
      </c>
      <c r="I403" s="2" t="s">
        <v>203</v>
      </c>
    </row>
    <row r="404">
      <c r="A404" s="303"/>
      <c r="B404" s="247"/>
      <c r="C404" s="252"/>
      <c r="D404" s="249">
        <v>8624.07</v>
      </c>
      <c r="F404" s="250"/>
      <c r="G404" s="2" t="s">
        <v>208</v>
      </c>
      <c r="H404" s="294">
        <v>44967.0</v>
      </c>
    </row>
    <row r="405">
      <c r="A405" s="303"/>
      <c r="B405" s="268"/>
      <c r="C405" s="252"/>
      <c r="D405" s="300">
        <v>142499.15</v>
      </c>
      <c r="F405" s="250"/>
      <c r="G405" s="2" t="s">
        <v>209</v>
      </c>
      <c r="H405" s="294">
        <v>44965.0</v>
      </c>
    </row>
    <row r="406">
      <c r="A406" s="303"/>
      <c r="B406" s="268"/>
      <c r="C406" s="252"/>
      <c r="D406" s="249"/>
      <c r="F406" s="250"/>
      <c r="H406" s="294"/>
    </row>
    <row r="407">
      <c r="A407" s="303"/>
      <c r="B407" s="268"/>
      <c r="C407" s="252"/>
      <c r="D407" s="253"/>
      <c r="F407" s="250"/>
      <c r="H407" s="251"/>
    </row>
    <row r="408">
      <c r="A408" s="303"/>
      <c r="B408" s="268"/>
      <c r="C408" s="252"/>
      <c r="D408" s="253"/>
      <c r="F408" s="250"/>
      <c r="H408" s="251"/>
    </row>
    <row r="409">
      <c r="A409" s="304"/>
      <c r="B409" s="271"/>
      <c r="C409" s="272"/>
      <c r="D409" s="273"/>
      <c r="E409" s="18"/>
      <c r="F409" s="274"/>
      <c r="G409" s="18"/>
      <c r="H409" s="261"/>
    </row>
    <row r="410">
      <c r="A410" s="305"/>
      <c r="B410" s="306"/>
      <c r="C410" s="240"/>
      <c r="D410" s="241"/>
      <c r="E410" s="242"/>
      <c r="F410" s="243"/>
      <c r="G410" s="244"/>
      <c r="H410" s="307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70"/>
      <c r="B419" s="271"/>
      <c r="C419" s="272"/>
      <c r="D419" s="273"/>
      <c r="E419" s="18"/>
      <c r="F419" s="274"/>
      <c r="G419" s="18"/>
      <c r="H419" s="261"/>
    </row>
    <row r="420">
      <c r="A420" s="305"/>
      <c r="B420" s="306"/>
      <c r="C420" s="240"/>
      <c r="D420" s="241"/>
      <c r="E420" s="242"/>
      <c r="F420" s="243"/>
      <c r="G420" s="244"/>
      <c r="H420" s="307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70"/>
      <c r="B429" s="271"/>
      <c r="C429" s="272"/>
      <c r="D429" s="273"/>
      <c r="E429" s="18"/>
      <c r="F429" s="274"/>
      <c r="G429" s="18"/>
      <c r="H429" s="261"/>
    </row>
    <row r="430">
      <c r="B430" s="306"/>
      <c r="C430" s="240"/>
      <c r="D430" s="241"/>
      <c r="E430" s="242"/>
      <c r="F430" s="243"/>
      <c r="G430" s="244"/>
      <c r="H430" s="307"/>
    </row>
    <row r="431">
      <c r="B431" s="268"/>
      <c r="C431" s="252"/>
      <c r="D431" s="253"/>
      <c r="F431" s="250"/>
      <c r="H431" s="251"/>
    </row>
    <row r="432">
      <c r="B432" s="268"/>
      <c r="C432" s="252"/>
      <c r="D432" s="253"/>
      <c r="F432" s="250"/>
      <c r="H432" s="251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2:A326"/>
    <mergeCell ref="A327:A340"/>
    <mergeCell ref="A341:A358"/>
    <mergeCell ref="A359:A376"/>
    <mergeCell ref="A377:A387"/>
    <mergeCell ref="A388:A399"/>
    <mergeCell ref="A410:A419"/>
    <mergeCell ref="A420:A429"/>
    <mergeCell ref="A214:A225"/>
    <mergeCell ref="A226:A240"/>
    <mergeCell ref="A241:A254"/>
    <mergeCell ref="A255:A269"/>
    <mergeCell ref="A270:A282"/>
    <mergeCell ref="A283:A296"/>
    <mergeCell ref="A297:A3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319"/>
      <c r="C2" s="320">
        <v>39246.29</v>
      </c>
      <c r="D2" s="321"/>
      <c r="E2" s="322"/>
      <c r="F2" s="323"/>
      <c r="G2" s="324" t="s">
        <v>84</v>
      </c>
      <c r="H2" s="245">
        <v>52.5</v>
      </c>
      <c r="I2" s="2" t="s">
        <v>72</v>
      </c>
    </row>
    <row r="3">
      <c r="A3" s="246" t="s">
        <v>212</v>
      </c>
      <c r="B3" s="312">
        <v>10396.64</v>
      </c>
      <c r="C3" s="313"/>
      <c r="D3" s="325"/>
      <c r="E3" s="290"/>
      <c r="F3" s="291"/>
      <c r="G3" s="326" t="s">
        <v>82</v>
      </c>
      <c r="H3" s="251"/>
      <c r="I3" s="327" t="s">
        <v>307</v>
      </c>
      <c r="J3" s="2" t="s">
        <v>308</v>
      </c>
    </row>
    <row r="4">
      <c r="A4" s="246"/>
      <c r="B4" s="312">
        <v>30000.0</v>
      </c>
      <c r="C4" s="328"/>
      <c r="D4" s="314"/>
      <c r="E4" s="290"/>
      <c r="F4" s="291"/>
      <c r="G4" s="326" t="s">
        <v>87</v>
      </c>
      <c r="H4" s="251"/>
    </row>
    <row r="5">
      <c r="A5" s="246"/>
      <c r="B5" s="312">
        <v>18340.0</v>
      </c>
      <c r="C5" s="313"/>
      <c r="D5" s="325"/>
      <c r="E5" s="290"/>
      <c r="F5" s="291"/>
      <c r="G5" s="326" t="s">
        <v>75</v>
      </c>
      <c r="H5" s="251"/>
    </row>
    <row r="6">
      <c r="A6" s="246"/>
      <c r="B6" s="312">
        <v>28217.49</v>
      </c>
      <c r="C6" s="313"/>
      <c r="D6" s="325"/>
      <c r="E6" s="290"/>
      <c r="F6" s="291"/>
      <c r="G6" s="326" t="s">
        <v>103</v>
      </c>
      <c r="H6" s="251"/>
    </row>
    <row r="7">
      <c r="A7" s="246"/>
      <c r="B7" s="329"/>
      <c r="C7" s="313"/>
      <c r="D7" s="325"/>
      <c r="E7" s="290"/>
      <c r="F7" s="291"/>
      <c r="G7" s="326"/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216</v>
      </c>
      <c r="B15" s="239">
        <v>56121.4</v>
      </c>
      <c r="C15" s="263"/>
      <c r="D15" s="264"/>
      <c r="E15" s="242"/>
      <c r="F15" s="250"/>
      <c r="G15" s="2" t="s">
        <v>100</v>
      </c>
      <c r="H15" s="245">
        <v>90.0</v>
      </c>
      <c r="I15" s="2" t="s">
        <v>309</v>
      </c>
    </row>
    <row r="16">
      <c r="A16" s="265"/>
      <c r="B16" s="247"/>
      <c r="C16" s="248"/>
      <c r="D16" s="249"/>
      <c r="F16" s="266">
        <v>770.0</v>
      </c>
      <c r="G16" s="2" t="s">
        <v>310</v>
      </c>
      <c r="H16" s="251"/>
      <c r="I16" s="2" t="s">
        <v>311</v>
      </c>
    </row>
    <row r="17">
      <c r="A17" s="265"/>
      <c r="B17" s="247"/>
      <c r="C17" s="248"/>
      <c r="D17" s="249"/>
      <c r="F17" s="250">
        <v>1000.0</v>
      </c>
      <c r="G17" s="2" t="s">
        <v>85</v>
      </c>
      <c r="H17" s="251"/>
    </row>
    <row r="18">
      <c r="A18" s="265"/>
      <c r="B18" s="247">
        <v>8400.0</v>
      </c>
      <c r="C18" s="252"/>
      <c r="D18" s="249"/>
      <c r="F18" s="250"/>
      <c r="G18" s="2" t="s">
        <v>76</v>
      </c>
      <c r="H18" s="251"/>
    </row>
    <row r="19">
      <c r="A19" s="265"/>
      <c r="B19" s="247"/>
      <c r="C19" s="248"/>
      <c r="D19" s="249"/>
      <c r="F19" s="250"/>
      <c r="H19" s="251"/>
    </row>
    <row r="20">
      <c r="A20" s="265"/>
      <c r="B20" s="247"/>
      <c r="C20" s="252"/>
      <c r="D20" s="249"/>
      <c r="F20" s="250"/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222</v>
      </c>
      <c r="B28" s="239">
        <f>18440-500</f>
        <v>17940</v>
      </c>
      <c r="C28" s="240"/>
      <c r="D28" s="241"/>
      <c r="E28" s="242"/>
      <c r="F28" s="243"/>
      <c r="G28" s="276" t="s">
        <v>75</v>
      </c>
      <c r="H28" s="245">
        <v>31.0</v>
      </c>
      <c r="I28" s="2" t="s">
        <v>72</v>
      </c>
    </row>
    <row r="29">
      <c r="A29" s="265"/>
      <c r="B29" s="247">
        <v>11467.04</v>
      </c>
      <c r="C29" s="248"/>
      <c r="D29" s="249"/>
      <c r="F29" s="250"/>
      <c r="G29" s="2" t="s">
        <v>82</v>
      </c>
      <c r="H29" s="267"/>
    </row>
    <row r="30">
      <c r="A30" s="265"/>
      <c r="B30" s="247"/>
      <c r="C30" s="248"/>
      <c r="D30" s="249"/>
      <c r="F30" s="250">
        <v>2000.0</v>
      </c>
      <c r="G30" s="254" t="s">
        <v>101</v>
      </c>
      <c r="H30" s="251"/>
    </row>
    <row r="31">
      <c r="A31" s="265"/>
      <c r="B31" s="247"/>
      <c r="C31" s="248"/>
      <c r="D31" s="249"/>
      <c r="F31" s="250">
        <v>13200.0</v>
      </c>
      <c r="G31" s="254" t="s">
        <v>128</v>
      </c>
      <c r="H31" s="251"/>
    </row>
    <row r="32">
      <c r="A32" s="265"/>
      <c r="B32" s="247"/>
      <c r="C32" s="252"/>
      <c r="D32" s="249"/>
      <c r="F32" s="250">
        <v>76.0</v>
      </c>
      <c r="G32" s="254" t="s">
        <v>97</v>
      </c>
      <c r="H32" s="251"/>
    </row>
    <row r="33">
      <c r="A33" s="265"/>
      <c r="B33" s="247"/>
      <c r="C33" s="248"/>
      <c r="D33" s="249"/>
      <c r="F33" s="250">
        <v>606.0</v>
      </c>
      <c r="G33" s="254" t="s">
        <v>227</v>
      </c>
      <c r="H33" s="267"/>
    </row>
    <row r="34">
      <c r="A34" s="265"/>
      <c r="B34" s="247">
        <v>4538.0</v>
      </c>
      <c r="C34" s="248"/>
      <c r="D34" s="249"/>
      <c r="F34" s="250"/>
      <c r="G34" s="254" t="s">
        <v>66</v>
      </c>
      <c r="H34" s="251"/>
    </row>
    <row r="35">
      <c r="A35" s="265"/>
      <c r="B35" s="247"/>
      <c r="C35" s="252"/>
      <c r="D35" s="253"/>
      <c r="F35" s="250">
        <v>800.0</v>
      </c>
      <c r="G35" s="254" t="s">
        <v>312</v>
      </c>
      <c r="H35" s="251"/>
    </row>
    <row r="36">
      <c r="A36" s="265"/>
      <c r="B36" s="247"/>
      <c r="C36" s="248"/>
      <c r="D36" s="253"/>
      <c r="F36" s="250">
        <v>1422.0</v>
      </c>
      <c r="G36" s="254" t="s">
        <v>313</v>
      </c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8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/>
      <c r="C42" s="248"/>
      <c r="D42" s="249"/>
      <c r="F42" s="250">
        <v>604.0</v>
      </c>
      <c r="G42" s="254" t="s">
        <v>227</v>
      </c>
      <c r="H42" s="267">
        <v>53.0</v>
      </c>
      <c r="I42" s="2" t="s">
        <v>107</v>
      </c>
    </row>
    <row r="43">
      <c r="A43" s="280"/>
      <c r="B43" s="277">
        <v>30000.0</v>
      </c>
      <c r="C43" s="248"/>
      <c r="D43" s="249"/>
      <c r="F43" s="250"/>
      <c r="G43" s="254" t="s">
        <v>87</v>
      </c>
      <c r="H43" s="267"/>
    </row>
    <row r="44">
      <c r="A44" s="280" t="s">
        <v>223</v>
      </c>
      <c r="B44" s="247"/>
      <c r="C44" s="248">
        <v>14580.0</v>
      </c>
      <c r="D44" s="249"/>
      <c r="F44" s="250"/>
      <c r="G44" s="254" t="s">
        <v>89</v>
      </c>
      <c r="H44" s="251"/>
    </row>
    <row r="45">
      <c r="A45" s="265"/>
      <c r="B45" s="247">
        <v>17457.4</v>
      </c>
      <c r="C45" s="252"/>
      <c r="D45" s="249"/>
      <c r="F45" s="250"/>
      <c r="G45" s="254" t="s">
        <v>142</v>
      </c>
      <c r="H45" s="251"/>
    </row>
    <row r="46">
      <c r="A46" s="265"/>
      <c r="B46" s="247"/>
      <c r="C46" s="248"/>
      <c r="D46" s="249"/>
      <c r="F46" s="250">
        <v>1300.0</v>
      </c>
      <c r="G46" s="254" t="s">
        <v>61</v>
      </c>
      <c r="H46" s="251"/>
    </row>
    <row r="47">
      <c r="A47" s="265"/>
      <c r="B47" s="247"/>
      <c r="C47" s="252"/>
      <c r="D47" s="253"/>
      <c r="F47" s="250">
        <v>650.0</v>
      </c>
      <c r="G47" s="254" t="s">
        <v>314</v>
      </c>
      <c r="H47" s="251"/>
    </row>
    <row r="48">
      <c r="A48" s="265"/>
      <c r="B48" s="247"/>
      <c r="C48" s="248"/>
      <c r="D48" s="249"/>
      <c r="F48" s="250"/>
      <c r="G48" s="254"/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52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224</v>
      </c>
      <c r="B54" s="239">
        <v>7779.2</v>
      </c>
      <c r="C54" s="263"/>
      <c r="D54" s="241"/>
      <c r="E54" s="242"/>
      <c r="F54" s="243"/>
      <c r="G54" s="276" t="s">
        <v>82</v>
      </c>
      <c r="H54" s="245"/>
      <c r="I54" s="327"/>
    </row>
    <row r="55">
      <c r="A55" s="265"/>
      <c r="B55" s="247">
        <v>41300.0</v>
      </c>
      <c r="C55" s="248"/>
      <c r="D55" s="253"/>
      <c r="F55" s="250"/>
      <c r="G55" s="254" t="s">
        <v>75</v>
      </c>
      <c r="H55" s="267">
        <v>73.0</v>
      </c>
      <c r="I55" s="2" t="s">
        <v>107</v>
      </c>
    </row>
    <row r="56">
      <c r="A56" s="265"/>
      <c r="B56" s="247"/>
      <c r="C56" s="248">
        <f>42560.9+48152.74-2395.8</f>
        <v>88317.84</v>
      </c>
      <c r="D56" s="253"/>
      <c r="F56" s="250"/>
      <c r="G56" s="254" t="s">
        <v>71</v>
      </c>
      <c r="H56" s="251"/>
    </row>
    <row r="57">
      <c r="A57" s="265"/>
      <c r="B57" s="247">
        <v>26695.18</v>
      </c>
      <c r="C57" s="248"/>
      <c r="D57" s="249"/>
      <c r="F57" s="250"/>
      <c r="G57" s="254" t="s">
        <v>114</v>
      </c>
      <c r="H57" s="267"/>
    </row>
    <row r="58">
      <c r="A58" s="265"/>
      <c r="B58" s="247"/>
      <c r="C58" s="248"/>
      <c r="D58" s="253"/>
      <c r="F58" s="250">
        <v>648.0</v>
      </c>
      <c r="G58" s="254" t="s">
        <v>137</v>
      </c>
      <c r="H58" s="251"/>
    </row>
    <row r="59">
      <c r="A59" s="265"/>
      <c r="B59" s="247">
        <v>9740.3</v>
      </c>
      <c r="C59" s="252"/>
      <c r="D59" s="249"/>
      <c r="F59" s="250"/>
      <c r="G59" s="254" t="s">
        <v>73</v>
      </c>
      <c r="H59" s="251"/>
    </row>
    <row r="60">
      <c r="A60" s="265"/>
      <c r="B60" s="247">
        <v>29620.4</v>
      </c>
      <c r="C60" s="252"/>
      <c r="D60" s="253"/>
      <c r="F60" s="250"/>
      <c r="G60" s="254" t="s">
        <v>74</v>
      </c>
      <c r="H60" s="251"/>
    </row>
    <row r="61">
      <c r="A61" s="265"/>
      <c r="B61" s="247">
        <v>36874.75</v>
      </c>
      <c r="C61" s="252"/>
      <c r="D61" s="253"/>
      <c r="F61" s="250"/>
      <c r="G61" s="254" t="s">
        <v>92</v>
      </c>
      <c r="H61" s="251"/>
    </row>
    <row r="62">
      <c r="A62" s="265"/>
      <c r="B62" s="268"/>
      <c r="C62" s="248"/>
      <c r="D62" s="253"/>
      <c r="F62" s="250">
        <v>11800.0</v>
      </c>
      <c r="G62" s="254" t="s">
        <v>68</v>
      </c>
      <c r="H62" s="251"/>
    </row>
    <row r="63">
      <c r="A63" s="265"/>
      <c r="B63" s="268"/>
      <c r="C63" s="248"/>
      <c r="D63" s="249"/>
      <c r="F63" s="250">
        <v>1200.0</v>
      </c>
      <c r="G63" s="254" t="s">
        <v>291</v>
      </c>
      <c r="H63" s="251"/>
    </row>
    <row r="64">
      <c r="A64" s="265"/>
      <c r="B64" s="268"/>
      <c r="C64" s="248"/>
      <c r="D64" s="249"/>
      <c r="F64" s="250">
        <v>2000.0</v>
      </c>
      <c r="G64" s="254" t="s">
        <v>85</v>
      </c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230</v>
      </c>
      <c r="B68" s="239">
        <v>42240.0</v>
      </c>
      <c r="C68" s="263"/>
      <c r="D68" s="264"/>
      <c r="E68" s="244" t="s">
        <v>276</v>
      </c>
      <c r="F68" s="243"/>
      <c r="G68" s="276" t="s">
        <v>315</v>
      </c>
      <c r="H68" s="245">
        <v>97.0</v>
      </c>
      <c r="I68" s="2" t="s">
        <v>72</v>
      </c>
    </row>
    <row r="69">
      <c r="A69" s="265"/>
      <c r="B69" s="247"/>
      <c r="C69" s="248"/>
      <c r="D69" s="249">
        <v>69696.0</v>
      </c>
      <c r="E69" s="2" t="s">
        <v>276</v>
      </c>
      <c r="F69" s="250"/>
      <c r="G69" s="254" t="s">
        <v>316</v>
      </c>
      <c r="H69" s="267"/>
      <c r="I69" s="2" t="s">
        <v>317</v>
      </c>
    </row>
    <row r="70">
      <c r="A70" s="265"/>
      <c r="B70" s="247"/>
      <c r="C70" s="252"/>
      <c r="D70" s="249">
        <v>24684.0</v>
      </c>
      <c r="E70" s="2" t="s">
        <v>276</v>
      </c>
      <c r="F70" s="250"/>
      <c r="G70" s="254" t="s">
        <v>318</v>
      </c>
      <c r="H70" s="310"/>
    </row>
    <row r="71">
      <c r="A71" s="265"/>
      <c r="B71" s="247"/>
      <c r="C71" s="248"/>
      <c r="D71" s="249"/>
      <c r="F71" s="250"/>
      <c r="G71" s="254"/>
      <c r="H71" s="251"/>
    </row>
    <row r="72">
      <c r="A72" s="265"/>
      <c r="B72" s="247"/>
      <c r="C72" s="248"/>
      <c r="D72" s="249"/>
      <c r="F72" s="250"/>
      <c r="G72" s="254"/>
      <c r="H72" s="251"/>
    </row>
    <row r="73">
      <c r="A73" s="265"/>
      <c r="B73" s="247"/>
      <c r="C73" s="248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237</v>
      </c>
      <c r="B80" s="239">
        <v>30000.0</v>
      </c>
      <c r="C80" s="263"/>
      <c r="D80" s="241"/>
      <c r="E80" s="242"/>
      <c r="F80" s="243"/>
      <c r="G80" s="276" t="s">
        <v>87</v>
      </c>
      <c r="H80" s="245">
        <v>84.0</v>
      </c>
      <c r="I80" s="2" t="s">
        <v>72</v>
      </c>
    </row>
    <row r="81">
      <c r="A81" s="265"/>
      <c r="B81" s="247">
        <v>39600.0</v>
      </c>
      <c r="C81" s="248"/>
      <c r="D81" s="253"/>
      <c r="F81" s="250"/>
      <c r="G81" s="254" t="s">
        <v>75</v>
      </c>
      <c r="H81" s="267">
        <v>34.0</v>
      </c>
      <c r="I81" s="2" t="s">
        <v>319</v>
      </c>
    </row>
    <row r="82">
      <c r="A82" s="265"/>
      <c r="B82" s="247"/>
      <c r="C82" s="248">
        <v>60331.42</v>
      </c>
      <c r="D82" s="249"/>
      <c r="F82" s="250"/>
      <c r="G82" s="254" t="s">
        <v>84</v>
      </c>
      <c r="H82" s="251"/>
    </row>
    <row r="83">
      <c r="A83" s="265"/>
      <c r="B83" s="247"/>
      <c r="C83" s="248"/>
      <c r="D83" s="249"/>
      <c r="F83" s="250">
        <v>474.0</v>
      </c>
      <c r="G83" s="254" t="s">
        <v>97</v>
      </c>
      <c r="H83" s="251"/>
    </row>
    <row r="84">
      <c r="A84" s="265"/>
      <c r="B84" s="85">
        <v>24100.0</v>
      </c>
      <c r="C84" s="248"/>
      <c r="D84" s="249"/>
      <c r="F84" s="250"/>
      <c r="G84" s="254" t="s">
        <v>122</v>
      </c>
      <c r="H84" s="251"/>
    </row>
    <row r="85">
      <c r="A85" s="265"/>
      <c r="B85" s="281">
        <v>8284.85</v>
      </c>
      <c r="C85" s="252"/>
      <c r="D85" s="249"/>
      <c r="F85" s="266"/>
      <c r="G85" s="254" t="s">
        <v>82</v>
      </c>
      <c r="H85" s="251"/>
    </row>
    <row r="86">
      <c r="A86" s="265"/>
      <c r="B86" s="281">
        <v>26224.71</v>
      </c>
      <c r="C86" s="252"/>
      <c r="D86" s="249"/>
      <c r="F86" s="250"/>
      <c r="G86" s="254" t="s">
        <v>142</v>
      </c>
      <c r="H86" s="251"/>
    </row>
    <row r="87">
      <c r="A87" s="265"/>
      <c r="B87" s="247">
        <v>39158.46</v>
      </c>
      <c r="C87" s="252"/>
      <c r="D87" s="249"/>
      <c r="F87" s="250"/>
      <c r="G87" s="254" t="s">
        <v>103</v>
      </c>
      <c r="H87" s="251"/>
    </row>
    <row r="88">
      <c r="A88" s="265"/>
      <c r="B88" s="247"/>
      <c r="C88" s="252"/>
      <c r="D88" s="253"/>
      <c r="F88" s="250">
        <v>2000.0</v>
      </c>
      <c r="G88" s="254" t="s">
        <v>263</v>
      </c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240</v>
      </c>
      <c r="B96" s="239"/>
      <c r="C96" s="263">
        <v>39943.36</v>
      </c>
      <c r="D96" s="264"/>
      <c r="E96" s="242"/>
      <c r="F96" s="250"/>
      <c r="G96" s="276" t="s">
        <v>89</v>
      </c>
      <c r="H96" s="245">
        <v>90.0</v>
      </c>
      <c r="I96" s="2" t="s">
        <v>107</v>
      </c>
    </row>
    <row r="97">
      <c r="A97" s="265"/>
      <c r="B97" s="247"/>
      <c r="C97" s="248"/>
      <c r="D97" s="249"/>
      <c r="F97" s="250">
        <v>957.0</v>
      </c>
      <c r="G97" s="254" t="s">
        <v>97</v>
      </c>
      <c r="H97" s="267">
        <v>30.0</v>
      </c>
    </row>
    <row r="98">
      <c r="A98" s="265"/>
      <c r="B98" s="247">
        <v>23713.74</v>
      </c>
      <c r="C98" s="248"/>
      <c r="D98" s="249"/>
      <c r="F98" s="250"/>
      <c r="G98" s="254" t="s">
        <v>91</v>
      </c>
      <c r="H98" s="267"/>
    </row>
    <row r="99">
      <c r="A99" s="265"/>
      <c r="B99" s="247">
        <v>18800.0</v>
      </c>
      <c r="C99" s="248"/>
      <c r="D99" s="249"/>
      <c r="F99" s="250"/>
      <c r="G99" s="254" t="s">
        <v>320</v>
      </c>
      <c r="H99" s="251"/>
    </row>
    <row r="100">
      <c r="A100" s="265"/>
      <c r="B100" s="330">
        <v>9953.0</v>
      </c>
      <c r="C100" s="313"/>
      <c r="D100" s="314"/>
      <c r="E100" s="290"/>
      <c r="F100" s="291"/>
      <c r="G100" s="292" t="s">
        <v>321</v>
      </c>
      <c r="H100" s="251"/>
    </row>
    <row r="101">
      <c r="A101" s="265"/>
      <c r="B101" s="247"/>
      <c r="C101" s="252"/>
      <c r="D101" s="253"/>
      <c r="F101" s="250"/>
      <c r="G101" s="254"/>
      <c r="H101" s="251"/>
    </row>
    <row r="102">
      <c r="A102" s="265"/>
      <c r="B102" s="247"/>
      <c r="C102" s="252"/>
      <c r="D102" s="249"/>
      <c r="F102" s="250"/>
      <c r="G102" s="254"/>
      <c r="H102" s="25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52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244</v>
      </c>
      <c r="B110" s="239"/>
      <c r="C110" s="263"/>
      <c r="D110" s="264"/>
      <c r="E110" s="242"/>
      <c r="F110" s="243">
        <v>2000.0</v>
      </c>
      <c r="G110" s="276" t="s">
        <v>85</v>
      </c>
      <c r="H110" s="245">
        <v>40.0</v>
      </c>
    </row>
    <row r="111">
      <c r="A111" s="265"/>
      <c r="B111" s="247">
        <v>16400.0</v>
      </c>
      <c r="C111" s="252"/>
      <c r="D111" s="249"/>
      <c r="F111" s="250"/>
      <c r="G111" s="254" t="s">
        <v>75</v>
      </c>
      <c r="H111" s="267"/>
    </row>
    <row r="112">
      <c r="A112" s="265"/>
      <c r="B112" s="247">
        <v>31500.0</v>
      </c>
      <c r="C112" s="248"/>
      <c r="D112" s="249"/>
      <c r="F112" s="250"/>
      <c r="G112" s="26" t="s">
        <v>87</v>
      </c>
      <c r="H112" s="251"/>
    </row>
    <row r="113">
      <c r="A113" s="265"/>
      <c r="B113" s="247">
        <v>12866.0</v>
      </c>
      <c r="C113" s="248"/>
      <c r="D113" s="249"/>
      <c r="F113" s="250"/>
      <c r="G113" s="254" t="s">
        <v>114</v>
      </c>
      <c r="H113" s="251"/>
    </row>
    <row r="114">
      <c r="A114" s="265"/>
      <c r="B114" s="247"/>
      <c r="C114" s="248"/>
      <c r="D114" s="249"/>
      <c r="F114" s="250">
        <v>4000.0</v>
      </c>
      <c r="G114" s="254" t="s">
        <v>101</v>
      </c>
      <c r="H114" s="251"/>
    </row>
    <row r="115">
      <c r="A115" s="265"/>
      <c r="B115" s="247"/>
      <c r="C115" s="252"/>
      <c r="D115" s="253"/>
      <c r="F115" s="250">
        <v>1200.0</v>
      </c>
      <c r="G115" s="254" t="s">
        <v>102</v>
      </c>
      <c r="H115" s="251"/>
    </row>
    <row r="116">
      <c r="A116" s="265"/>
      <c r="B116" s="247"/>
      <c r="C116" s="252"/>
      <c r="D116" s="253"/>
      <c r="F116" s="250"/>
      <c r="G116" s="254"/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246</v>
      </c>
      <c r="B128" s="239"/>
      <c r="C128" s="263"/>
      <c r="D128" s="264"/>
      <c r="E128" s="242"/>
      <c r="F128" s="243">
        <v>12700.0</v>
      </c>
      <c r="G128" s="276" t="s">
        <v>68</v>
      </c>
      <c r="H128" s="245"/>
      <c r="I128" s="2" t="s">
        <v>322</v>
      </c>
    </row>
    <row r="129">
      <c r="A129" s="265"/>
      <c r="B129" s="247"/>
      <c r="C129" s="252"/>
      <c r="D129" s="249"/>
      <c r="F129" s="250"/>
      <c r="G129" s="254"/>
      <c r="H129" s="267">
        <v>46.0</v>
      </c>
      <c r="I129" s="2" t="s">
        <v>107</v>
      </c>
    </row>
    <row r="130">
      <c r="A130" s="265"/>
      <c r="B130" s="247"/>
      <c r="C130" s="248"/>
      <c r="D130" s="249"/>
      <c r="F130" s="250"/>
      <c r="G130" s="254"/>
      <c r="H130" s="251"/>
    </row>
    <row r="131">
      <c r="A131" s="265"/>
      <c r="B131" s="247"/>
      <c r="C131" s="248"/>
      <c r="D131" s="249"/>
      <c r="F131" s="250"/>
      <c r="G131" s="254"/>
      <c r="H131" s="251"/>
    </row>
    <row r="132">
      <c r="A132" s="265"/>
      <c r="B132" s="247"/>
      <c r="C132" s="248"/>
      <c r="D132" s="253"/>
      <c r="F132" s="250"/>
      <c r="G132" s="254"/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53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248</v>
      </c>
      <c r="B143" s="239"/>
      <c r="C143" s="263"/>
      <c r="D143" s="241"/>
      <c r="E143" s="242"/>
      <c r="F143" s="243">
        <v>1828.0</v>
      </c>
      <c r="G143" s="276" t="s">
        <v>323</v>
      </c>
      <c r="H143" s="245">
        <v>70.0</v>
      </c>
      <c r="I143" s="2" t="s">
        <v>107</v>
      </c>
    </row>
    <row r="144">
      <c r="A144" s="265"/>
      <c r="B144" s="247"/>
      <c r="C144" s="252">
        <f>33371.9+25989.36</f>
        <v>59361.26</v>
      </c>
      <c r="D144" s="253"/>
      <c r="F144" s="250"/>
      <c r="G144" s="254" t="s">
        <v>71</v>
      </c>
      <c r="H144" s="251"/>
    </row>
    <row r="145">
      <c r="A145" s="265"/>
      <c r="B145" s="247"/>
      <c r="C145" s="252"/>
      <c r="D145" s="249"/>
      <c r="F145" s="284">
        <v>664.0</v>
      </c>
      <c r="G145" s="285" t="s">
        <v>324</v>
      </c>
      <c r="H145" s="251"/>
    </row>
    <row r="146">
      <c r="A146" s="265"/>
      <c r="B146" s="247"/>
      <c r="C146" s="252"/>
      <c r="D146" s="253"/>
      <c r="F146" s="250">
        <v>601.0</v>
      </c>
      <c r="G146" s="254" t="s">
        <v>97</v>
      </c>
      <c r="H146" s="251"/>
    </row>
    <row r="147">
      <c r="A147" s="265"/>
      <c r="B147" s="247">
        <v>42000.0</v>
      </c>
      <c r="C147" s="252"/>
      <c r="D147" s="249"/>
      <c r="F147" s="250"/>
      <c r="G147" s="254" t="s">
        <v>75</v>
      </c>
      <c r="H147" s="251"/>
    </row>
    <row r="148">
      <c r="A148" s="265"/>
      <c r="B148" s="247">
        <v>9206.8</v>
      </c>
      <c r="C148" s="248"/>
      <c r="D148" s="249"/>
      <c r="F148" s="250"/>
      <c r="G148" s="254" t="s">
        <v>82</v>
      </c>
      <c r="H148" s="251"/>
    </row>
    <row r="149">
      <c r="A149" s="265"/>
      <c r="B149" s="247">
        <v>21184.0</v>
      </c>
      <c r="C149" s="248"/>
      <c r="D149" s="249"/>
      <c r="F149" s="250"/>
      <c r="G149" s="254" t="s">
        <v>114</v>
      </c>
      <c r="H149" s="251"/>
    </row>
    <row r="150">
      <c r="A150" s="265"/>
      <c r="B150" s="247"/>
      <c r="C150" s="252"/>
      <c r="D150" s="249"/>
      <c r="F150" s="250">
        <v>2600.0</v>
      </c>
      <c r="G150" s="254" t="s">
        <v>325</v>
      </c>
      <c r="H150" s="251"/>
    </row>
    <row r="151">
      <c r="A151" s="265"/>
      <c r="B151" s="268"/>
      <c r="C151" s="252"/>
      <c r="D151" s="249"/>
      <c r="F151" s="250">
        <v>4000.0</v>
      </c>
      <c r="G151" s="254" t="s">
        <v>101</v>
      </c>
      <c r="H151" s="251"/>
    </row>
    <row r="152">
      <c r="A152" s="265"/>
      <c r="B152" s="247"/>
      <c r="C152" s="252"/>
      <c r="D152" s="253"/>
      <c r="F152" s="250">
        <v>1236.0</v>
      </c>
      <c r="G152" s="254" t="s">
        <v>288</v>
      </c>
      <c r="H152" s="251"/>
    </row>
    <row r="153">
      <c r="A153" s="265"/>
      <c r="B153" s="247"/>
      <c r="C153" s="252"/>
      <c r="D153" s="253"/>
      <c r="F153" s="250">
        <v>10000.0</v>
      </c>
      <c r="G153" s="254" t="s">
        <v>326</v>
      </c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251</v>
      </c>
      <c r="B158" s="239"/>
      <c r="C158" s="263">
        <v>3657.0</v>
      </c>
      <c r="D158" s="264"/>
      <c r="E158" s="242"/>
      <c r="F158" s="243"/>
      <c r="G158" s="276" t="s">
        <v>327</v>
      </c>
      <c r="H158" s="245"/>
    </row>
    <row r="159">
      <c r="A159" s="265"/>
      <c r="B159" s="247">
        <v>31680.0</v>
      </c>
      <c r="C159" s="252"/>
      <c r="D159" s="253"/>
      <c r="E159" s="2" t="s">
        <v>328</v>
      </c>
      <c r="F159" s="250"/>
      <c r="G159" s="254" t="s">
        <v>79</v>
      </c>
      <c r="H159" s="267">
        <v>60.0</v>
      </c>
      <c r="I159" s="2" t="s">
        <v>72</v>
      </c>
    </row>
    <row r="160">
      <c r="A160" s="265"/>
      <c r="B160" s="247"/>
      <c r="C160" s="248"/>
      <c r="D160" s="249"/>
      <c r="F160" s="250">
        <v>3606.0</v>
      </c>
      <c r="G160" s="254" t="s">
        <v>329</v>
      </c>
      <c r="H160" s="251"/>
    </row>
    <row r="161">
      <c r="A161" s="265"/>
      <c r="B161" s="247">
        <v>20250.0</v>
      </c>
      <c r="C161" s="248"/>
      <c r="D161" s="249"/>
      <c r="F161" s="250"/>
      <c r="G161" s="254" t="s">
        <v>330</v>
      </c>
      <c r="H161" s="251"/>
    </row>
    <row r="162">
      <c r="A162" s="265"/>
      <c r="B162" s="247">
        <f>21861.31</f>
        <v>21861.31</v>
      </c>
      <c r="C162" s="252"/>
      <c r="D162" s="253"/>
      <c r="F162" s="250"/>
      <c r="G162" s="254" t="s">
        <v>74</v>
      </c>
      <c r="H162" s="251"/>
    </row>
    <row r="163">
      <c r="A163" s="265"/>
      <c r="B163" s="247">
        <f>4023.41+2126.84</f>
        <v>6150.25</v>
      </c>
      <c r="C163" s="248"/>
      <c r="D163" s="249"/>
      <c r="F163" s="250"/>
      <c r="G163" s="254" t="s">
        <v>73</v>
      </c>
      <c r="H163" s="251"/>
    </row>
    <row r="164">
      <c r="A164" s="265"/>
      <c r="B164" s="247"/>
      <c r="C164" s="248"/>
      <c r="D164" s="249"/>
      <c r="F164" s="250">
        <v>622.0</v>
      </c>
      <c r="G164" s="254" t="s">
        <v>288</v>
      </c>
      <c r="H164" s="251"/>
    </row>
    <row r="165">
      <c r="A165" s="265"/>
      <c r="B165" s="247">
        <v>11649.0</v>
      </c>
      <c r="C165" s="252"/>
      <c r="D165" s="249"/>
      <c r="F165" s="250"/>
      <c r="G165" s="254" t="s">
        <v>302</v>
      </c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256</v>
      </c>
      <c r="B168" s="239"/>
      <c r="C168" s="263">
        <v>34857.06</v>
      </c>
      <c r="D168" s="264"/>
      <c r="E168" s="244"/>
      <c r="F168" s="250"/>
      <c r="G168" s="276" t="s">
        <v>84</v>
      </c>
      <c r="H168" s="245"/>
    </row>
    <row r="169">
      <c r="A169" s="265"/>
      <c r="B169" s="247">
        <v>57527.88</v>
      </c>
      <c r="C169" s="315"/>
      <c r="D169" s="249"/>
      <c r="F169" s="250"/>
      <c r="G169" s="254" t="s">
        <v>103</v>
      </c>
      <c r="H169" s="267">
        <v>86.0</v>
      </c>
      <c r="I169" s="2" t="s">
        <v>72</v>
      </c>
    </row>
    <row r="170">
      <c r="A170" s="265"/>
      <c r="B170" s="247">
        <v>16019.051</v>
      </c>
      <c r="C170" s="248"/>
      <c r="D170" s="249"/>
      <c r="F170" s="250"/>
      <c r="G170" s="254" t="s">
        <v>82</v>
      </c>
      <c r="H170" s="267"/>
    </row>
    <row r="171">
      <c r="A171" s="265"/>
      <c r="B171" s="247">
        <v>19100.0</v>
      </c>
      <c r="C171" s="248"/>
      <c r="D171" s="249"/>
      <c r="F171" s="250"/>
      <c r="G171" s="254" t="s">
        <v>75</v>
      </c>
      <c r="H171" s="251"/>
    </row>
    <row r="172">
      <c r="A172" s="265"/>
      <c r="B172" s="247">
        <v>31712.51</v>
      </c>
      <c r="C172" s="248"/>
      <c r="D172" s="249"/>
      <c r="E172" s="254"/>
      <c r="F172" s="250"/>
      <c r="G172" s="254" t="s">
        <v>142</v>
      </c>
      <c r="H172" s="251"/>
      <c r="I172" s="269"/>
    </row>
    <row r="173">
      <c r="A173" s="265"/>
      <c r="B173" s="247"/>
      <c r="C173" s="252"/>
      <c r="D173" s="249">
        <v>100000.0</v>
      </c>
      <c r="F173" s="250"/>
      <c r="G173" s="254" t="s">
        <v>144</v>
      </c>
      <c r="H173" s="251"/>
    </row>
    <row r="174">
      <c r="A174" s="265"/>
      <c r="B174" s="247"/>
      <c r="C174" s="252"/>
      <c r="D174" s="249"/>
      <c r="F174" s="250">
        <v>13200.0</v>
      </c>
      <c r="G174" s="254" t="s">
        <v>128</v>
      </c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261</v>
      </c>
      <c r="B183" s="247"/>
      <c r="C183" s="248">
        <v>36743.25</v>
      </c>
      <c r="D183" s="253"/>
      <c r="F183" s="250"/>
      <c r="G183" s="254" t="s">
        <v>89</v>
      </c>
      <c r="H183" s="286"/>
    </row>
    <row r="184">
      <c r="A184" s="265"/>
      <c r="B184" s="247">
        <v>17700.0</v>
      </c>
      <c r="C184" s="248"/>
      <c r="D184" s="249"/>
      <c r="F184" s="250"/>
      <c r="G184" s="254" t="s">
        <v>331</v>
      </c>
      <c r="H184" s="251"/>
      <c r="I184" s="2" t="s">
        <v>332</v>
      </c>
    </row>
    <row r="185">
      <c r="A185" s="265"/>
      <c r="B185" s="247">
        <v>63979.47</v>
      </c>
      <c r="C185" s="252"/>
      <c r="D185" s="249"/>
      <c r="F185" s="250"/>
      <c r="G185" s="254" t="s">
        <v>114</v>
      </c>
      <c r="H185" s="267">
        <v>61.0</v>
      </c>
      <c r="I185" s="2" t="s">
        <v>107</v>
      </c>
    </row>
    <row r="186">
      <c r="A186" s="265"/>
      <c r="B186" s="247"/>
      <c r="C186" s="248"/>
      <c r="D186" s="249"/>
      <c r="F186" s="250">
        <v>1000.0</v>
      </c>
      <c r="G186" s="254" t="s">
        <v>85</v>
      </c>
      <c r="H186" s="251"/>
    </row>
    <row r="187">
      <c r="A187" s="265"/>
      <c r="B187" s="247">
        <v>15080.0</v>
      </c>
      <c r="C187" s="248"/>
      <c r="D187" s="249"/>
      <c r="F187" s="250"/>
      <c r="G187" s="254" t="s">
        <v>76</v>
      </c>
      <c r="H187" s="251"/>
    </row>
    <row r="188">
      <c r="A188" s="265"/>
      <c r="B188" s="247"/>
      <c r="C188" s="252"/>
      <c r="D188" s="249"/>
      <c r="F188" s="250">
        <v>1000.0</v>
      </c>
      <c r="G188" s="254" t="s">
        <v>333</v>
      </c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53"/>
      <c r="F191" s="250"/>
      <c r="G191" s="254"/>
      <c r="H191" s="251"/>
    </row>
    <row r="192">
      <c r="A192" s="265"/>
      <c r="B192" s="247"/>
      <c r="C192" s="252"/>
      <c r="D192" s="253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264</v>
      </c>
      <c r="B199" s="239"/>
      <c r="C199" s="263"/>
      <c r="D199" s="264"/>
      <c r="E199" s="244"/>
      <c r="F199" s="243"/>
      <c r="G199" s="276"/>
      <c r="H199" s="245" t="s">
        <v>334</v>
      </c>
      <c r="I199" s="2" t="s">
        <v>335</v>
      </c>
    </row>
    <row r="200">
      <c r="A200" s="265"/>
      <c r="B200" s="247">
        <v>8284.85</v>
      </c>
      <c r="C200" s="248"/>
      <c r="D200" s="249"/>
      <c r="F200" s="250"/>
      <c r="G200" s="254" t="s">
        <v>82</v>
      </c>
      <c r="H200" s="267"/>
    </row>
    <row r="201">
      <c r="A201" s="265"/>
      <c r="B201" s="247">
        <v>34800.0</v>
      </c>
      <c r="C201" s="252"/>
      <c r="D201" s="253"/>
      <c r="F201" s="250"/>
      <c r="G201" s="254" t="s">
        <v>75</v>
      </c>
      <c r="H201" s="251"/>
    </row>
    <row r="202">
      <c r="A202" s="265"/>
      <c r="B202" s="247"/>
      <c r="C202" s="248"/>
      <c r="D202" s="249"/>
      <c r="F202" s="250"/>
      <c r="G202" s="254"/>
      <c r="H202" s="251"/>
    </row>
    <row r="203">
      <c r="A203" s="265"/>
      <c r="B203" s="247"/>
      <c r="C203" s="248"/>
      <c r="D203" s="249"/>
      <c r="F203" s="250"/>
      <c r="G203" s="254"/>
      <c r="H203" s="251"/>
    </row>
    <row r="204">
      <c r="A204" s="265"/>
      <c r="B204" s="247"/>
      <c r="C204" s="248"/>
      <c r="D204" s="249"/>
      <c r="F204" s="250"/>
      <c r="G204" s="254"/>
      <c r="H204" s="267"/>
    </row>
    <row r="205">
      <c r="A205" s="265"/>
      <c r="B205" s="247"/>
      <c r="C205" s="248"/>
      <c r="D205" s="249"/>
      <c r="F205" s="250"/>
      <c r="G205" s="316"/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269</v>
      </c>
      <c r="B214" s="239"/>
      <c r="C214" s="263"/>
      <c r="D214" s="264"/>
      <c r="E214" s="242"/>
      <c r="F214" s="243"/>
      <c r="G214" s="276"/>
      <c r="H214" s="245"/>
    </row>
    <row r="215">
      <c r="A215" s="265"/>
      <c r="B215" s="247"/>
      <c r="C215" s="248"/>
      <c r="D215" s="249"/>
      <c r="F215" s="250">
        <v>14200.0</v>
      </c>
      <c r="G215" s="254" t="s">
        <v>68</v>
      </c>
      <c r="H215" s="267">
        <v>56.0</v>
      </c>
    </row>
    <row r="216">
      <c r="A216" s="265"/>
      <c r="B216" s="247"/>
      <c r="C216" s="252"/>
      <c r="D216" s="249"/>
      <c r="F216" s="250"/>
      <c r="G216" s="254"/>
      <c r="H216" s="251"/>
    </row>
    <row r="217">
      <c r="A217" s="265"/>
      <c r="B217" s="247"/>
      <c r="C217" s="248"/>
      <c r="D217" s="249"/>
      <c r="F217" s="250"/>
      <c r="G217" s="254"/>
      <c r="H217" s="251"/>
    </row>
    <row r="218">
      <c r="A218" s="265"/>
      <c r="B218" s="247"/>
      <c r="C218" s="252"/>
      <c r="D218" s="253"/>
      <c r="F218" s="250"/>
      <c r="G218" s="254"/>
      <c r="H218" s="251"/>
    </row>
    <row r="219">
      <c r="A219" s="265"/>
      <c r="B219" s="247"/>
      <c r="C219" s="252"/>
      <c r="D219" s="253"/>
      <c r="F219" s="250"/>
      <c r="G219" s="254"/>
      <c r="H219" s="251"/>
    </row>
    <row r="220">
      <c r="A220" s="265"/>
      <c r="B220" s="247"/>
      <c r="C220" s="252"/>
      <c r="D220" s="253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271</v>
      </c>
      <c r="B226" s="239"/>
      <c r="C226" s="263"/>
      <c r="D226" s="264"/>
      <c r="E226" s="287"/>
      <c r="F226" s="243">
        <v>1850.0</v>
      </c>
      <c r="G226" s="276" t="s">
        <v>291</v>
      </c>
      <c r="H226" s="245">
        <v>116.0</v>
      </c>
      <c r="I226" s="254" t="s">
        <v>336</v>
      </c>
      <c r="J226" s="269"/>
      <c r="K226" s="269"/>
    </row>
    <row r="227">
      <c r="A227" s="265"/>
      <c r="B227" s="247">
        <v>26100.0</v>
      </c>
      <c r="C227" s="252"/>
      <c r="D227" s="249"/>
      <c r="E227" s="2" t="s">
        <v>306</v>
      </c>
      <c r="F227" s="250"/>
      <c r="G227" s="254" t="s">
        <v>75</v>
      </c>
      <c r="H227" s="251"/>
      <c r="I227" s="269"/>
      <c r="J227" s="269"/>
      <c r="K227" s="269"/>
    </row>
    <row r="228">
      <c r="A228" s="265"/>
      <c r="B228" s="247">
        <v>73926.82</v>
      </c>
      <c r="C228" s="252"/>
      <c r="D228" s="249"/>
      <c r="F228" s="250"/>
      <c r="G228" s="254" t="s">
        <v>114</v>
      </c>
      <c r="H228" s="251"/>
      <c r="I228" s="269"/>
      <c r="J228" s="269"/>
      <c r="K228" s="269"/>
    </row>
    <row r="229">
      <c r="A229" s="265"/>
      <c r="B229" s="247">
        <v>27400.0</v>
      </c>
      <c r="C229" s="248"/>
      <c r="D229" s="253"/>
      <c r="E229" s="269"/>
      <c r="F229" s="250"/>
      <c r="G229" s="254" t="s">
        <v>122</v>
      </c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>
        <v>2103.0</v>
      </c>
      <c r="G230" s="254" t="s">
        <v>337</v>
      </c>
      <c r="H230" s="251"/>
      <c r="I230" s="269"/>
      <c r="J230" s="269"/>
      <c r="K230" s="269"/>
    </row>
    <row r="231">
      <c r="A231" s="265"/>
      <c r="B231" s="247">
        <v>14732.17</v>
      </c>
      <c r="C231" s="248"/>
      <c r="D231" s="249"/>
      <c r="E231" s="269"/>
      <c r="F231" s="250"/>
      <c r="G231" s="254" t="s">
        <v>82</v>
      </c>
      <c r="H231" s="251"/>
      <c r="I231" s="269"/>
      <c r="J231" s="269"/>
      <c r="K231" s="269"/>
    </row>
    <row r="232">
      <c r="A232" s="265"/>
      <c r="B232" s="247"/>
      <c r="C232" s="252">
        <f>40630.49+11275.67+13407.78</f>
        <v>65313.94</v>
      </c>
      <c r="D232" s="249"/>
      <c r="E232" s="269"/>
      <c r="F232" s="250"/>
      <c r="G232" s="254" t="s">
        <v>71</v>
      </c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>
        <v>4000.0</v>
      </c>
      <c r="G233" s="254" t="s">
        <v>62</v>
      </c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>
        <v>5500.0</v>
      </c>
      <c r="G234" s="254" t="s">
        <v>338</v>
      </c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272</v>
      </c>
      <c r="B241" s="239"/>
      <c r="C241" s="263"/>
      <c r="D241" s="241"/>
      <c r="E241" s="242"/>
      <c r="F241" s="243">
        <v>2930.0</v>
      </c>
      <c r="G241" s="2" t="s">
        <v>63</v>
      </c>
      <c r="H241" s="245">
        <v>100.0</v>
      </c>
      <c r="I241" s="2" t="s">
        <v>72</v>
      </c>
    </row>
    <row r="242">
      <c r="A242" s="265"/>
      <c r="B242" s="247"/>
      <c r="C242" s="252"/>
      <c r="D242" s="249">
        <v>53224.88</v>
      </c>
      <c r="F242" s="250"/>
      <c r="G242" s="254" t="s">
        <v>92</v>
      </c>
      <c r="H242" s="267"/>
    </row>
    <row r="243">
      <c r="A243" s="265"/>
      <c r="B243" s="247"/>
      <c r="C243" s="248"/>
      <c r="D243" s="249"/>
      <c r="F243" s="250">
        <v>2652.0</v>
      </c>
      <c r="G243" s="254" t="s">
        <v>97</v>
      </c>
      <c r="H243" s="251"/>
    </row>
    <row r="244">
      <c r="A244" s="265"/>
      <c r="B244" s="247"/>
      <c r="C244" s="248">
        <v>60895.71</v>
      </c>
      <c r="D244" s="253"/>
      <c r="F244" s="250"/>
      <c r="G244" s="254" t="s">
        <v>84</v>
      </c>
      <c r="H244" s="251"/>
    </row>
    <row r="245">
      <c r="A245" s="265"/>
      <c r="B245" s="247"/>
      <c r="C245" s="252"/>
      <c r="D245" s="253"/>
      <c r="F245" s="250"/>
      <c r="G245" s="254"/>
      <c r="H245" s="267"/>
    </row>
    <row r="246">
      <c r="A246" s="265"/>
      <c r="B246" s="247"/>
      <c r="C246" s="248"/>
      <c r="D246" s="253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274</v>
      </c>
      <c r="B255" s="239">
        <v>33500.0</v>
      </c>
      <c r="C255" s="263"/>
      <c r="D255" s="264"/>
      <c r="E255" s="242"/>
      <c r="F255" s="243"/>
      <c r="G255" s="276" t="s">
        <v>75</v>
      </c>
      <c r="H255" s="245">
        <v>110.0</v>
      </c>
      <c r="I255" s="2" t="s">
        <v>339</v>
      </c>
    </row>
    <row r="256">
      <c r="A256" s="265"/>
      <c r="B256" s="247">
        <v>10589.75</v>
      </c>
      <c r="C256" s="248"/>
      <c r="D256" s="253"/>
      <c r="F256" s="250"/>
      <c r="G256" s="254" t="s">
        <v>82</v>
      </c>
      <c r="H256" s="251"/>
      <c r="I256" s="2" t="s">
        <v>340</v>
      </c>
    </row>
    <row r="257">
      <c r="A257" s="265"/>
      <c r="B257" s="247">
        <v>20009.99</v>
      </c>
      <c r="C257" s="252"/>
      <c r="D257" s="249"/>
      <c r="F257" s="250"/>
      <c r="G257" s="254" t="s">
        <v>142</v>
      </c>
      <c r="H257" s="251"/>
    </row>
    <row r="258">
      <c r="A258" s="265"/>
      <c r="B258" s="247"/>
      <c r="C258" s="248"/>
      <c r="D258" s="249"/>
      <c r="F258" s="250"/>
      <c r="G258" s="254"/>
      <c r="H258" s="251"/>
    </row>
    <row r="259">
      <c r="A259" s="265"/>
      <c r="B259" s="247"/>
      <c r="C259" s="248"/>
      <c r="D259" s="249"/>
      <c r="F259" s="250"/>
      <c r="G259" s="254"/>
      <c r="H259" s="251"/>
    </row>
    <row r="260">
      <c r="A260" s="265"/>
      <c r="B260" s="247"/>
      <c r="C260" s="248"/>
      <c r="D260" s="249"/>
      <c r="F260" s="250"/>
      <c r="G260" s="254"/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52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53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279</v>
      </c>
      <c r="B270" s="239"/>
      <c r="C270" s="263">
        <v>42502.4</v>
      </c>
      <c r="D270" s="253"/>
      <c r="F270" s="250"/>
      <c r="G270" s="254" t="s">
        <v>89</v>
      </c>
      <c r="H270" s="245">
        <v>84.0</v>
      </c>
      <c r="I270" s="2" t="s">
        <v>107</v>
      </c>
    </row>
    <row r="271">
      <c r="A271" s="265"/>
      <c r="B271" s="247"/>
      <c r="C271" s="248"/>
      <c r="D271" s="249">
        <v>83058.3</v>
      </c>
      <c r="F271" s="250"/>
      <c r="G271" s="254" t="s">
        <v>114</v>
      </c>
      <c r="H271" s="267"/>
    </row>
    <row r="272">
      <c r="A272" s="265"/>
      <c r="B272" s="247"/>
      <c r="C272" s="252"/>
      <c r="D272" s="253"/>
      <c r="F272" s="250">
        <v>2000.0</v>
      </c>
      <c r="G272" s="254" t="s">
        <v>85</v>
      </c>
      <c r="H272" s="251"/>
    </row>
    <row r="273">
      <c r="A273" s="265"/>
      <c r="B273" s="247"/>
      <c r="C273" s="248"/>
      <c r="D273" s="249"/>
      <c r="F273" s="250">
        <v>36240.0</v>
      </c>
      <c r="G273" s="254" t="s">
        <v>341</v>
      </c>
      <c r="H273" s="251"/>
    </row>
    <row r="274">
      <c r="A274" s="265"/>
      <c r="B274" s="247">
        <v>11064.0</v>
      </c>
      <c r="C274" s="248"/>
      <c r="D274" s="253"/>
      <c r="F274" s="250"/>
      <c r="G274" s="254" t="s">
        <v>342</v>
      </c>
      <c r="H274" s="251"/>
    </row>
    <row r="275">
      <c r="A275" s="265"/>
      <c r="B275" s="247"/>
      <c r="C275" s="248"/>
      <c r="D275" s="249"/>
      <c r="F275" s="250">
        <f>2347+2347</f>
        <v>4694</v>
      </c>
      <c r="G275" s="254" t="s">
        <v>343</v>
      </c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281</v>
      </c>
      <c r="B283" s="239"/>
      <c r="C283" s="263"/>
      <c r="D283" s="264"/>
      <c r="E283" s="244"/>
      <c r="F283" s="243">
        <v>796.0</v>
      </c>
      <c r="G283" s="276" t="s">
        <v>245</v>
      </c>
      <c r="H283" s="245"/>
    </row>
    <row r="284">
      <c r="A284" s="265"/>
      <c r="B284" s="247">
        <v>15100.0</v>
      </c>
      <c r="C284" s="252"/>
      <c r="D284" s="249"/>
      <c r="F284" s="250"/>
      <c r="G284" s="254" t="s">
        <v>75</v>
      </c>
      <c r="H284" s="267"/>
    </row>
    <row r="285">
      <c r="A285" s="265"/>
      <c r="B285" s="247">
        <v>17440.0</v>
      </c>
      <c r="C285" s="248"/>
      <c r="D285" s="249"/>
      <c r="F285" s="250"/>
      <c r="G285" s="254" t="s">
        <v>76</v>
      </c>
      <c r="H285" s="251"/>
    </row>
    <row r="286">
      <c r="A286" s="265"/>
      <c r="B286" s="247">
        <v>24321.0</v>
      </c>
      <c r="C286" s="248"/>
      <c r="D286" s="249"/>
      <c r="E286" s="2" t="s">
        <v>276</v>
      </c>
      <c r="F286" s="250"/>
      <c r="G286" s="254" t="s">
        <v>167</v>
      </c>
      <c r="H286" s="251"/>
    </row>
    <row r="287">
      <c r="A287" s="265"/>
      <c r="B287" s="247"/>
      <c r="C287" s="252"/>
      <c r="D287" s="249"/>
      <c r="F287" s="250">
        <v>3000.0</v>
      </c>
      <c r="G287" s="254" t="s">
        <v>101</v>
      </c>
      <c r="H287" s="251"/>
    </row>
    <row r="288">
      <c r="A288" s="265"/>
      <c r="B288" s="247"/>
      <c r="C288" s="248"/>
      <c r="D288" s="249"/>
      <c r="F288" s="250">
        <v>2793.0</v>
      </c>
      <c r="G288" s="254" t="s">
        <v>344</v>
      </c>
      <c r="H288" s="251"/>
    </row>
    <row r="289">
      <c r="A289" s="265"/>
      <c r="B289" s="247"/>
      <c r="C289" s="248"/>
      <c r="D289" s="249">
        <v>54327.29</v>
      </c>
      <c r="F289" s="250"/>
      <c r="G289" s="254" t="s">
        <v>103</v>
      </c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69"/>
      <c r="H294" s="251"/>
    </row>
    <row r="295">
      <c r="A295" s="265"/>
      <c r="B295" s="268"/>
      <c r="C295" s="252"/>
      <c r="D295" s="253"/>
      <c r="F295" s="250"/>
      <c r="G295" s="269"/>
      <c r="H295" s="251"/>
    </row>
    <row r="296">
      <c r="A296" s="270"/>
      <c r="B296" s="271"/>
      <c r="C296" s="272"/>
      <c r="D296" s="273"/>
      <c r="E296" s="18"/>
      <c r="F296" s="274"/>
      <c r="G296" s="275"/>
      <c r="H296" s="261"/>
    </row>
    <row r="297">
      <c r="A297" s="262" t="s">
        <v>284</v>
      </c>
      <c r="B297" s="239"/>
      <c r="C297" s="263"/>
      <c r="D297" s="241"/>
      <c r="E297" s="242"/>
      <c r="F297" s="243">
        <v>2773.0</v>
      </c>
      <c r="G297" s="276" t="s">
        <v>63</v>
      </c>
      <c r="H297" s="245"/>
    </row>
    <row r="298">
      <c r="A298" s="265"/>
      <c r="B298" s="247"/>
      <c r="C298" s="248"/>
      <c r="D298" s="249"/>
      <c r="F298" s="250">
        <v>3520.0</v>
      </c>
      <c r="G298" s="254" t="s">
        <v>345</v>
      </c>
      <c r="H298" s="267"/>
    </row>
    <row r="299">
      <c r="A299" s="265"/>
      <c r="B299" s="247"/>
      <c r="C299" s="248"/>
      <c r="D299" s="253"/>
      <c r="F299" s="250">
        <v>500.0</v>
      </c>
      <c r="G299" s="254" t="s">
        <v>346</v>
      </c>
      <c r="H299" s="251"/>
    </row>
    <row r="300">
      <c r="A300" s="265"/>
      <c r="B300" s="247"/>
      <c r="C300" s="248"/>
      <c r="D300" s="249"/>
      <c r="F300" s="250">
        <v>12700.0</v>
      </c>
      <c r="G300" s="254" t="s">
        <v>120</v>
      </c>
      <c r="H300" s="251"/>
    </row>
    <row r="301">
      <c r="A301" s="265"/>
      <c r="B301" s="247"/>
      <c r="C301" s="252"/>
      <c r="D301" s="253"/>
      <c r="F301" s="250"/>
      <c r="G301" s="254"/>
      <c r="H301" s="251"/>
    </row>
    <row r="302">
      <c r="A302" s="265"/>
      <c r="B302" s="247"/>
      <c r="C302" s="248"/>
      <c r="D302" s="249"/>
      <c r="F302" s="250"/>
      <c r="G302" s="254"/>
      <c r="H302" s="267"/>
    </row>
    <row r="303">
      <c r="A303" s="265"/>
      <c r="B303" s="247"/>
      <c r="C303" s="248"/>
      <c r="D303" s="253"/>
      <c r="F303" s="250"/>
      <c r="G303" s="254"/>
      <c r="H303" s="251"/>
    </row>
    <row r="304">
      <c r="A304" s="265"/>
      <c r="B304" s="247"/>
      <c r="C304" s="248"/>
      <c r="D304" s="253"/>
      <c r="F304" s="250"/>
      <c r="G304" s="254"/>
      <c r="H304" s="251"/>
    </row>
    <row r="305">
      <c r="A305" s="265"/>
      <c r="B305" s="247"/>
      <c r="C305" s="252"/>
      <c r="D305" s="253"/>
      <c r="F305" s="250"/>
      <c r="G305" s="254"/>
      <c r="H305" s="251"/>
    </row>
    <row r="306">
      <c r="A306" s="265"/>
      <c r="B306" s="268"/>
      <c r="C306" s="252"/>
      <c r="D306" s="253"/>
      <c r="F306" s="250"/>
      <c r="G306" s="254"/>
      <c r="H306" s="251"/>
    </row>
    <row r="307">
      <c r="A307" s="265"/>
      <c r="B307" s="268"/>
      <c r="C307" s="252"/>
      <c r="D307" s="253"/>
      <c r="F307" s="250"/>
      <c r="G307" s="254"/>
      <c r="H307" s="251"/>
    </row>
    <row r="308">
      <c r="A308" s="265"/>
      <c r="B308" s="268"/>
      <c r="C308" s="252"/>
      <c r="D308" s="253"/>
      <c r="F308" s="250"/>
      <c r="G308" s="269"/>
      <c r="H308" s="251"/>
    </row>
    <row r="309">
      <c r="A309" s="265"/>
      <c r="B309" s="268"/>
      <c r="C309" s="252"/>
      <c r="D309" s="253"/>
      <c r="F309" s="250"/>
      <c r="G309" s="269"/>
      <c r="H309" s="251"/>
    </row>
    <row r="310">
      <c r="A310" s="265"/>
      <c r="B310" s="268"/>
      <c r="C310" s="252"/>
      <c r="D310" s="253"/>
      <c r="F310" s="250"/>
      <c r="G310" s="269"/>
      <c r="H310" s="251"/>
    </row>
    <row r="311">
      <c r="A311" s="270"/>
      <c r="B311" s="271"/>
      <c r="C311" s="272"/>
      <c r="D311" s="273"/>
      <c r="E311" s="18"/>
      <c r="F311" s="274"/>
      <c r="G311" s="275"/>
      <c r="H311" s="261"/>
    </row>
    <row r="312">
      <c r="A312" s="262" t="s">
        <v>290</v>
      </c>
      <c r="B312" s="239"/>
      <c r="C312" s="263"/>
      <c r="D312" s="264"/>
      <c r="E312" s="242"/>
      <c r="F312" s="250">
        <v>2300.0</v>
      </c>
      <c r="G312" s="254" t="s">
        <v>68</v>
      </c>
      <c r="H312" s="245">
        <v>102.0</v>
      </c>
      <c r="I312" s="2" t="s">
        <v>107</v>
      </c>
    </row>
    <row r="313">
      <c r="A313" s="265"/>
      <c r="B313" s="247"/>
      <c r="C313" s="252"/>
      <c r="D313" s="253"/>
      <c r="F313" s="250">
        <f>747+1498</f>
        <v>2245</v>
      </c>
      <c r="G313" s="254" t="s">
        <v>137</v>
      </c>
      <c r="H313" s="267"/>
    </row>
    <row r="314">
      <c r="A314" s="265"/>
      <c r="B314" s="247"/>
      <c r="C314" s="248"/>
      <c r="D314" s="249"/>
      <c r="F314" s="250">
        <v>3700.0</v>
      </c>
      <c r="G314" s="254" t="s">
        <v>347</v>
      </c>
      <c r="H314" s="251"/>
    </row>
    <row r="315">
      <c r="A315" s="265"/>
      <c r="B315" s="247"/>
      <c r="C315" s="248">
        <f>34168.25+25750.86</f>
        <v>59919.11</v>
      </c>
      <c r="D315" s="249"/>
      <c r="F315" s="250"/>
      <c r="G315" s="254" t="s">
        <v>71</v>
      </c>
      <c r="H315" s="251"/>
    </row>
    <row r="316">
      <c r="A316" s="265"/>
      <c r="B316" s="247">
        <v>19831.83</v>
      </c>
      <c r="C316" s="252"/>
      <c r="D316" s="249"/>
      <c r="F316" s="250"/>
      <c r="G316" s="254" t="s">
        <v>82</v>
      </c>
      <c r="H316" s="251"/>
    </row>
    <row r="317">
      <c r="A317" s="265"/>
      <c r="B317" s="247">
        <v>46800.0</v>
      </c>
      <c r="C317" s="252"/>
      <c r="D317" s="249"/>
      <c r="F317" s="250"/>
      <c r="G317" s="254" t="s">
        <v>75</v>
      </c>
      <c r="H317" s="267"/>
    </row>
    <row r="318">
      <c r="A318" s="265"/>
      <c r="B318" s="247">
        <v>5780.0</v>
      </c>
      <c r="C318" s="252"/>
      <c r="D318" s="249"/>
      <c r="F318" s="250"/>
      <c r="G318" s="254" t="s">
        <v>348</v>
      </c>
      <c r="H318" s="251"/>
    </row>
    <row r="319">
      <c r="A319" s="265"/>
      <c r="B319" s="247"/>
      <c r="C319" s="252"/>
      <c r="D319" s="253"/>
      <c r="F319" s="250">
        <v>2000.0</v>
      </c>
      <c r="G319" s="254" t="s">
        <v>349</v>
      </c>
      <c r="H319" s="251"/>
    </row>
    <row r="320">
      <c r="A320" s="265"/>
      <c r="B320" s="268"/>
      <c r="C320" s="252"/>
      <c r="D320" s="253"/>
      <c r="F320" s="250">
        <v>1640.0</v>
      </c>
      <c r="G320" s="254" t="s">
        <v>291</v>
      </c>
      <c r="H320" s="251"/>
    </row>
    <row r="321">
      <c r="A321" s="265"/>
      <c r="B321" s="268"/>
      <c r="C321" s="252"/>
      <c r="D321" s="253"/>
      <c r="F321" s="250">
        <v>14000.0</v>
      </c>
      <c r="G321" s="254" t="s">
        <v>128</v>
      </c>
      <c r="H321" s="251"/>
    </row>
    <row r="322">
      <c r="A322" s="265"/>
      <c r="B322" s="247"/>
      <c r="C322" s="252"/>
      <c r="D322" s="253"/>
      <c r="F322" s="250"/>
      <c r="G322" s="254"/>
      <c r="H322" s="251"/>
    </row>
    <row r="323">
      <c r="A323" s="265"/>
      <c r="B323" s="247"/>
      <c r="C323" s="252"/>
      <c r="D323" s="253"/>
      <c r="F323" s="250"/>
      <c r="G323" s="254"/>
      <c r="H323" s="251"/>
    </row>
    <row r="324">
      <c r="A324" s="265"/>
      <c r="B324" s="268"/>
      <c r="C324" s="252"/>
      <c r="D324" s="253"/>
      <c r="F324" s="250"/>
      <c r="G324" s="254"/>
      <c r="H324" s="251"/>
    </row>
    <row r="325">
      <c r="A325" s="265"/>
      <c r="B325" s="268"/>
      <c r="C325" s="252"/>
      <c r="D325" s="253"/>
      <c r="F325" s="250"/>
      <c r="G325" s="269"/>
      <c r="H325" s="251"/>
    </row>
    <row r="326">
      <c r="A326" s="270"/>
      <c r="B326" s="271"/>
      <c r="C326" s="272"/>
      <c r="D326" s="273"/>
      <c r="E326" s="18"/>
      <c r="F326" s="274"/>
      <c r="G326" s="18"/>
      <c r="H326" s="261"/>
    </row>
    <row r="327">
      <c r="A327" s="262" t="s">
        <v>298</v>
      </c>
      <c r="B327" s="239">
        <v>10120.0</v>
      </c>
      <c r="C327" s="263"/>
      <c r="D327" s="264"/>
      <c r="E327" s="242"/>
      <c r="F327" s="243"/>
      <c r="G327" s="244" t="s">
        <v>350</v>
      </c>
      <c r="H327" s="245">
        <v>56.0</v>
      </c>
      <c r="I327" s="2" t="s">
        <v>72</v>
      </c>
    </row>
    <row r="328">
      <c r="A328" s="265"/>
      <c r="B328" s="247">
        <v>12955.55</v>
      </c>
      <c r="C328" s="248"/>
      <c r="D328" s="249"/>
      <c r="F328" s="250"/>
      <c r="G328" s="2" t="s">
        <v>74</v>
      </c>
      <c r="H328" s="267"/>
    </row>
    <row r="329">
      <c r="A329" s="265"/>
      <c r="B329" s="247">
        <v>6420.71</v>
      </c>
      <c r="C329" s="248"/>
      <c r="D329" s="249"/>
      <c r="F329" s="250"/>
      <c r="G329" s="2" t="s">
        <v>73</v>
      </c>
      <c r="H329" s="251"/>
    </row>
    <row r="330">
      <c r="A330" s="265"/>
      <c r="B330" s="247">
        <v>96728.46</v>
      </c>
      <c r="C330" s="248"/>
      <c r="D330" s="249"/>
      <c r="F330" s="250"/>
      <c r="G330" s="2" t="s">
        <v>114</v>
      </c>
      <c r="H330" s="251"/>
    </row>
    <row r="331">
      <c r="A331" s="265"/>
      <c r="B331" s="247"/>
      <c r="C331" s="248"/>
      <c r="D331" s="253"/>
      <c r="F331" s="250">
        <v>878.0</v>
      </c>
      <c r="G331" s="2" t="s">
        <v>99</v>
      </c>
      <c r="H331" s="251"/>
    </row>
    <row r="332">
      <c r="A332" s="265"/>
      <c r="B332" s="247">
        <v>10560.0</v>
      </c>
      <c r="C332" s="248"/>
      <c r="D332" s="249"/>
      <c r="F332" s="250"/>
      <c r="G332" s="2" t="s">
        <v>351</v>
      </c>
      <c r="H332" s="251"/>
    </row>
    <row r="333">
      <c r="A333" s="265"/>
      <c r="B333" s="247">
        <v>5547.0</v>
      </c>
      <c r="C333" s="252"/>
      <c r="D333" s="249"/>
      <c r="F333" s="250"/>
      <c r="G333" s="2" t="s">
        <v>352</v>
      </c>
      <c r="H333" s="251"/>
    </row>
    <row r="334">
      <c r="A334" s="265"/>
      <c r="B334" s="247"/>
      <c r="C334" s="252"/>
      <c r="D334" s="249"/>
      <c r="F334" s="250">
        <v>4000.0</v>
      </c>
      <c r="G334" s="2" t="s">
        <v>101</v>
      </c>
      <c r="H334" s="251"/>
    </row>
    <row r="335">
      <c r="A335" s="265"/>
      <c r="B335" s="247"/>
      <c r="C335" s="252"/>
      <c r="D335" s="253"/>
      <c r="F335" s="250">
        <v>2394.0</v>
      </c>
      <c r="G335" s="2" t="s">
        <v>353</v>
      </c>
      <c r="H335" s="251"/>
    </row>
    <row r="336">
      <c r="A336" s="265"/>
      <c r="B336" s="247"/>
      <c r="C336" s="252"/>
      <c r="D336" s="249">
        <v>76048.5</v>
      </c>
      <c r="E336" s="2" t="s">
        <v>276</v>
      </c>
      <c r="F336" s="250"/>
      <c r="G336" s="2" t="s">
        <v>167</v>
      </c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53"/>
      <c r="F338" s="250"/>
      <c r="H338" s="251"/>
    </row>
    <row r="339">
      <c r="A339" s="265"/>
      <c r="B339" s="247"/>
      <c r="C339" s="252"/>
      <c r="D339" s="249"/>
      <c r="F339" s="250"/>
      <c r="H339" s="251"/>
    </row>
    <row r="340">
      <c r="A340" s="270"/>
      <c r="B340" s="271"/>
      <c r="C340" s="272"/>
      <c r="D340" s="273"/>
      <c r="E340" s="18"/>
      <c r="F340" s="259"/>
      <c r="G340" s="293"/>
      <c r="H340" s="261"/>
    </row>
    <row r="341">
      <c r="A341" s="262" t="s">
        <v>354</v>
      </c>
      <c r="B341" s="239">
        <f>20700-2000</f>
        <v>18700</v>
      </c>
      <c r="C341" s="263"/>
      <c r="D341" s="264"/>
      <c r="E341" s="242"/>
      <c r="F341" s="243"/>
      <c r="G341" s="244" t="s">
        <v>75</v>
      </c>
      <c r="H341" s="245"/>
    </row>
    <row r="342">
      <c r="A342" s="265"/>
      <c r="B342" s="247"/>
      <c r="C342" s="248">
        <v>76340.86</v>
      </c>
      <c r="D342" s="249"/>
      <c r="F342" s="250"/>
      <c r="G342" s="2" t="s">
        <v>84</v>
      </c>
      <c r="H342" s="267">
        <v>105.0</v>
      </c>
      <c r="I342" s="2" t="s">
        <v>72</v>
      </c>
    </row>
    <row r="343">
      <c r="A343" s="265"/>
      <c r="B343" s="247">
        <v>12427.27</v>
      </c>
      <c r="C343" s="248"/>
      <c r="D343" s="249"/>
      <c r="F343" s="250"/>
      <c r="G343" s="2" t="s">
        <v>82</v>
      </c>
      <c r="H343" s="267"/>
    </row>
    <row r="344">
      <c r="A344" s="265"/>
      <c r="B344" s="247">
        <v>38266.46</v>
      </c>
      <c r="C344" s="248"/>
      <c r="D344" s="249"/>
      <c r="F344" s="250"/>
      <c r="G344" s="2" t="s">
        <v>142</v>
      </c>
      <c r="H344" s="251"/>
    </row>
    <row r="345">
      <c r="A345" s="265"/>
      <c r="B345" s="247"/>
      <c r="C345" s="248"/>
      <c r="D345" s="249"/>
      <c r="F345" s="250">
        <v>4000.0</v>
      </c>
      <c r="G345" s="2" t="s">
        <v>97</v>
      </c>
      <c r="H345" s="251"/>
    </row>
    <row r="346">
      <c r="A346" s="265"/>
      <c r="B346" s="247"/>
      <c r="C346" s="252"/>
      <c r="D346" s="249"/>
      <c r="F346" s="250"/>
      <c r="H346" s="251"/>
    </row>
    <row r="347">
      <c r="A347" s="265"/>
      <c r="B347" s="247"/>
      <c r="C347" s="252"/>
      <c r="D347" s="249"/>
      <c r="F347" s="250"/>
      <c r="H347" s="251"/>
    </row>
    <row r="348">
      <c r="A348" s="265"/>
      <c r="B348" s="247"/>
      <c r="C348" s="252"/>
      <c r="D348" s="249"/>
      <c r="F348" s="250"/>
      <c r="H348" s="251"/>
    </row>
    <row r="349">
      <c r="A349" s="265"/>
      <c r="B349" s="247"/>
      <c r="C349" s="252"/>
      <c r="D349" s="253"/>
      <c r="F349" s="250"/>
      <c r="H349" s="251"/>
    </row>
    <row r="350">
      <c r="A350" s="265"/>
      <c r="B350" s="247"/>
      <c r="C350" s="252"/>
      <c r="D350" s="253"/>
      <c r="F350" s="250"/>
      <c r="H350" s="251"/>
    </row>
    <row r="351">
      <c r="A351" s="265"/>
      <c r="B351" s="268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68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70"/>
      <c r="B358" s="271"/>
      <c r="C358" s="272"/>
      <c r="D358" s="273"/>
      <c r="E358" s="18"/>
      <c r="F358" s="274"/>
      <c r="G358" s="18"/>
      <c r="H358" s="261"/>
    </row>
    <row r="359">
      <c r="A359" s="262" t="s">
        <v>355</v>
      </c>
      <c r="B359" s="239"/>
      <c r="C359" s="240"/>
      <c r="D359" s="264"/>
      <c r="E359" s="242"/>
      <c r="F359" s="243">
        <f>3098.14+1350</f>
        <v>4448.14</v>
      </c>
      <c r="G359" s="244" t="s">
        <v>97</v>
      </c>
      <c r="H359" s="245">
        <v>55.0</v>
      </c>
      <c r="I359" s="2" t="s">
        <v>356</v>
      </c>
    </row>
    <row r="360">
      <c r="A360" s="265"/>
      <c r="B360" s="247">
        <v>53873.56</v>
      </c>
      <c r="C360" s="248"/>
      <c r="D360" s="249"/>
      <c r="F360" s="250"/>
      <c r="G360" s="2" t="s">
        <v>91</v>
      </c>
      <c r="H360" s="267"/>
      <c r="I360" s="2" t="s">
        <v>357</v>
      </c>
    </row>
    <row r="361">
      <c r="A361" s="265"/>
      <c r="B361" s="247">
        <v>11040.0</v>
      </c>
      <c r="C361" s="248"/>
      <c r="D361" s="253"/>
      <c r="F361" s="250"/>
      <c r="G361" s="2" t="s">
        <v>76</v>
      </c>
      <c r="H361" s="267"/>
    </row>
    <row r="362">
      <c r="A362" s="265"/>
      <c r="B362" s="247">
        <v>9333.34</v>
      </c>
      <c r="C362" s="248"/>
      <c r="D362" s="249"/>
      <c r="F362" s="250"/>
      <c r="G362" s="2" t="s">
        <v>100</v>
      </c>
      <c r="H362" s="251"/>
    </row>
    <row r="363">
      <c r="A363" s="265"/>
      <c r="B363" s="247">
        <v>15230.0</v>
      </c>
      <c r="C363" s="252"/>
      <c r="D363" s="249"/>
      <c r="F363" s="250"/>
      <c r="G363" s="2" t="s">
        <v>99</v>
      </c>
      <c r="H363" s="251"/>
    </row>
    <row r="364">
      <c r="A364" s="265"/>
      <c r="B364" s="247">
        <v>27400.0</v>
      </c>
      <c r="C364" s="252"/>
      <c r="D364" s="253"/>
      <c r="F364" s="250"/>
      <c r="G364" s="2" t="s">
        <v>122</v>
      </c>
      <c r="H364" s="251"/>
    </row>
    <row r="365">
      <c r="A365" s="265"/>
      <c r="B365" s="247"/>
      <c r="C365" s="252"/>
      <c r="D365" s="253"/>
      <c r="F365" s="250">
        <v>5000.0</v>
      </c>
      <c r="G365" s="2" t="s">
        <v>110</v>
      </c>
      <c r="H365" s="251"/>
    </row>
    <row r="366">
      <c r="A366" s="265"/>
      <c r="B366" s="268"/>
      <c r="C366" s="252"/>
      <c r="D366" s="249"/>
      <c r="F366" s="250"/>
      <c r="H366" s="251"/>
    </row>
    <row r="367">
      <c r="A367" s="265"/>
      <c r="B367" s="268"/>
      <c r="C367" s="252"/>
      <c r="D367" s="253"/>
      <c r="F367" s="250"/>
      <c r="H367" s="251"/>
    </row>
    <row r="368">
      <c r="A368" s="265"/>
      <c r="B368" s="247"/>
      <c r="C368" s="252"/>
      <c r="D368" s="253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68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70"/>
      <c r="B376" s="271"/>
      <c r="C376" s="272"/>
      <c r="D376" s="273"/>
      <c r="E376" s="18"/>
      <c r="F376" s="274"/>
      <c r="G376" s="18"/>
      <c r="H376" s="261"/>
    </row>
    <row r="377">
      <c r="A377" s="262" t="s">
        <v>358</v>
      </c>
      <c r="B377" s="239">
        <v>46050.0</v>
      </c>
      <c r="C377" s="240"/>
      <c r="D377" s="264"/>
      <c r="E377" s="242"/>
      <c r="F377" s="243"/>
      <c r="G377" s="2" t="s">
        <v>75</v>
      </c>
      <c r="H377" s="245">
        <v>55.0</v>
      </c>
      <c r="I377" s="2" t="s">
        <v>359</v>
      </c>
    </row>
    <row r="378">
      <c r="A378" s="265"/>
      <c r="B378" s="247">
        <v>16019.51</v>
      </c>
      <c r="C378" s="248"/>
      <c r="D378" s="288"/>
      <c r="F378" s="250"/>
      <c r="G378" s="2" t="s">
        <v>82</v>
      </c>
      <c r="H378" s="267"/>
    </row>
    <row r="379">
      <c r="A379" s="265"/>
      <c r="B379" s="247"/>
      <c r="C379" s="248">
        <v>41376.56</v>
      </c>
      <c r="D379" s="249"/>
      <c r="F379" s="250"/>
      <c r="G379" s="2" t="s">
        <v>89</v>
      </c>
      <c r="H379" s="267"/>
    </row>
    <row r="380">
      <c r="A380" s="265"/>
      <c r="B380" s="247">
        <v>76762.57</v>
      </c>
      <c r="C380" s="252"/>
      <c r="D380" s="249"/>
      <c r="F380" s="250"/>
      <c r="G380" s="2" t="s">
        <v>114</v>
      </c>
      <c r="H380" s="251"/>
    </row>
    <row r="381">
      <c r="A381" s="265"/>
      <c r="B381" s="268"/>
      <c r="C381" s="252"/>
      <c r="D381" s="249">
        <v>45438.98</v>
      </c>
      <c r="F381" s="250"/>
      <c r="G381" s="2" t="s">
        <v>103</v>
      </c>
      <c r="H381" s="294"/>
    </row>
    <row r="382">
      <c r="A382" s="265"/>
      <c r="B382" s="247"/>
      <c r="C382" s="252"/>
      <c r="D382" s="249">
        <v>32940.0</v>
      </c>
      <c r="F382" s="250"/>
      <c r="G382" s="2" t="s">
        <v>360</v>
      </c>
      <c r="H382" s="251"/>
    </row>
    <row r="383">
      <c r="A383" s="265"/>
      <c r="B383" s="247"/>
      <c r="C383" s="252"/>
      <c r="D383" s="249"/>
      <c r="F383" s="250">
        <v>4750.0</v>
      </c>
      <c r="G383" s="2" t="s">
        <v>176</v>
      </c>
      <c r="H383" s="251"/>
    </row>
    <row r="384">
      <c r="A384" s="265"/>
      <c r="B384" s="268"/>
      <c r="C384" s="252"/>
      <c r="D384" s="249"/>
      <c r="F384" s="250">
        <v>4000.0</v>
      </c>
      <c r="G384" s="2" t="s">
        <v>101</v>
      </c>
      <c r="H384" s="267"/>
    </row>
    <row r="385">
      <c r="A385" s="265"/>
      <c r="B385" s="268"/>
      <c r="C385" s="252"/>
      <c r="D385" s="249"/>
      <c r="F385" s="250"/>
      <c r="H385" s="251"/>
    </row>
    <row r="386">
      <c r="A386" s="265"/>
      <c r="B386" s="247"/>
      <c r="C386" s="252"/>
      <c r="D386" s="249"/>
      <c r="F386" s="250"/>
      <c r="H386" s="267"/>
    </row>
    <row r="387">
      <c r="A387" s="270"/>
      <c r="B387" s="271"/>
      <c r="C387" s="272"/>
      <c r="D387" s="295"/>
      <c r="E387" s="18"/>
      <c r="F387" s="274"/>
      <c r="G387" s="293"/>
      <c r="H387" s="261"/>
    </row>
    <row r="388">
      <c r="A388" s="262" t="s">
        <v>187</v>
      </c>
      <c r="B388" s="239"/>
      <c r="C388" s="240"/>
      <c r="D388" s="317"/>
      <c r="E388" s="242"/>
      <c r="F388" s="243"/>
      <c r="G388" s="2" t="s">
        <v>188</v>
      </c>
      <c r="H388" s="297"/>
      <c r="I388" s="2" t="s">
        <v>189</v>
      </c>
    </row>
    <row r="389">
      <c r="A389" s="265"/>
      <c r="B389" s="247"/>
      <c r="C389" s="248"/>
      <c r="D389" s="298">
        <v>11384.21</v>
      </c>
      <c r="F389" s="250"/>
      <c r="G389" s="2" t="s">
        <v>190</v>
      </c>
      <c r="H389" s="294">
        <v>44988.0</v>
      </c>
    </row>
    <row r="390">
      <c r="A390" s="265"/>
      <c r="B390" s="247"/>
      <c r="C390" s="248"/>
      <c r="D390" s="249"/>
      <c r="F390" s="250"/>
      <c r="G390" s="2" t="s">
        <v>191</v>
      </c>
      <c r="H390" s="294"/>
    </row>
    <row r="391">
      <c r="A391" s="265"/>
      <c r="B391" s="268"/>
      <c r="C391" s="252"/>
      <c r="D391" s="249">
        <v>66550.0</v>
      </c>
      <c r="F391" s="250"/>
      <c r="G391" s="2" t="s">
        <v>192</v>
      </c>
      <c r="H391" s="294">
        <v>45006.0</v>
      </c>
    </row>
    <row r="392">
      <c r="A392" s="265"/>
      <c r="B392" s="268"/>
      <c r="C392" s="252"/>
      <c r="D392" s="253"/>
      <c r="F392" s="250">
        <v>46000.0</v>
      </c>
      <c r="G392" s="2" t="s">
        <v>193</v>
      </c>
      <c r="H392" s="294">
        <v>45013.0</v>
      </c>
    </row>
    <row r="393">
      <c r="A393" s="265"/>
      <c r="B393" s="247"/>
      <c r="C393" s="252"/>
      <c r="D393" s="249">
        <v>58633.0</v>
      </c>
      <c r="F393" s="250"/>
      <c r="G393" s="2" t="s">
        <v>194</v>
      </c>
      <c r="H393" s="294">
        <v>45014.0</v>
      </c>
    </row>
    <row r="394">
      <c r="A394" s="265"/>
      <c r="B394" s="247"/>
      <c r="C394" s="252"/>
      <c r="D394" s="249">
        <v>36000.0</v>
      </c>
      <c r="F394" s="250"/>
      <c r="G394" s="2" t="s">
        <v>196</v>
      </c>
      <c r="H394" s="294">
        <v>44988.0</v>
      </c>
      <c r="I394" s="318"/>
    </row>
    <row r="395">
      <c r="A395" s="265"/>
      <c r="B395" s="247">
        <v>8044.76</v>
      </c>
      <c r="C395" s="252"/>
      <c r="D395" s="249"/>
      <c r="F395" s="250"/>
      <c r="G395" s="2" t="s">
        <v>197</v>
      </c>
      <c r="H395" s="294"/>
      <c r="I395" s="2" t="s">
        <v>198</v>
      </c>
    </row>
    <row r="396">
      <c r="A396" s="265"/>
      <c r="B396" s="268"/>
      <c r="C396" s="252"/>
      <c r="D396" s="249">
        <v>9607.09</v>
      </c>
      <c r="F396" s="250"/>
      <c r="G396" s="2" t="s">
        <v>199</v>
      </c>
      <c r="H396" s="294"/>
      <c r="I396" s="2" t="s">
        <v>189</v>
      </c>
    </row>
    <row r="397">
      <c r="A397" s="265"/>
      <c r="B397" s="247"/>
      <c r="C397" s="252"/>
      <c r="D397" s="249">
        <v>17419.0</v>
      </c>
      <c r="F397" s="250"/>
      <c r="G397" s="2" t="s">
        <v>200</v>
      </c>
      <c r="H397" s="294"/>
      <c r="I397" s="2" t="s">
        <v>189</v>
      </c>
    </row>
    <row r="398">
      <c r="A398" s="265"/>
      <c r="B398" s="278"/>
      <c r="C398" s="248"/>
      <c r="D398" s="296">
        <v>7260.43</v>
      </c>
      <c r="F398" s="282"/>
      <c r="G398" s="2" t="s">
        <v>201</v>
      </c>
      <c r="H398" s="294"/>
      <c r="I398" s="2" t="s">
        <v>189</v>
      </c>
    </row>
    <row r="399">
      <c r="A399" s="270"/>
      <c r="B399" s="278"/>
      <c r="C399" s="248"/>
      <c r="D399" s="295"/>
      <c r="F399" s="282"/>
      <c r="H399" s="294"/>
    </row>
    <row r="400">
      <c r="A400" s="299"/>
      <c r="B400" s="278"/>
      <c r="C400" s="248"/>
      <c r="D400" s="300">
        <v>162757.08</v>
      </c>
      <c r="F400" s="282"/>
      <c r="G400" s="2" t="s">
        <v>202</v>
      </c>
      <c r="H400" s="301">
        <v>44996.0</v>
      </c>
      <c r="I400" s="2" t="s">
        <v>203</v>
      </c>
    </row>
    <row r="401">
      <c r="A401" s="299"/>
      <c r="B401" s="278"/>
      <c r="C401" s="248"/>
      <c r="D401" s="295"/>
      <c r="F401" s="250"/>
      <c r="G401" s="2" t="s">
        <v>204</v>
      </c>
      <c r="H401" s="301"/>
    </row>
    <row r="402">
      <c r="A402" s="299"/>
      <c r="B402" s="278"/>
      <c r="C402" s="252"/>
      <c r="D402" s="253"/>
      <c r="F402" s="250"/>
      <c r="G402" s="2" t="s">
        <v>205</v>
      </c>
      <c r="H402" s="302"/>
    </row>
    <row r="403">
      <c r="A403" s="303"/>
      <c r="B403" s="268"/>
      <c r="C403" s="252"/>
      <c r="D403" s="249"/>
      <c r="F403" s="250"/>
      <c r="G403" s="2" t="s">
        <v>206</v>
      </c>
      <c r="H403" s="294"/>
      <c r="I403" s="2" t="s">
        <v>203</v>
      </c>
    </row>
    <row r="404">
      <c r="A404" s="303"/>
      <c r="B404" s="247"/>
      <c r="C404" s="252"/>
      <c r="D404" s="249"/>
      <c r="F404" s="250"/>
      <c r="G404" s="2" t="s">
        <v>208</v>
      </c>
      <c r="H404" s="294"/>
    </row>
    <row r="405">
      <c r="A405" s="303"/>
      <c r="B405" s="268"/>
      <c r="C405" s="252"/>
      <c r="D405" s="300">
        <v>142499.15</v>
      </c>
      <c r="F405" s="250"/>
      <c r="G405" s="2" t="s">
        <v>209</v>
      </c>
      <c r="H405" s="294">
        <v>44994.0</v>
      </c>
    </row>
    <row r="406">
      <c r="A406" s="303"/>
      <c r="B406" s="268"/>
      <c r="C406" s="252"/>
      <c r="D406" s="249">
        <f>2976.38+5040.23</f>
        <v>8016.61</v>
      </c>
      <c r="F406" s="250"/>
      <c r="G406" s="2" t="s">
        <v>361</v>
      </c>
      <c r="H406" s="294"/>
    </row>
    <row r="407">
      <c r="A407" s="303"/>
      <c r="B407" s="268"/>
      <c r="C407" s="252"/>
      <c r="D407" s="331">
        <v>308914.69</v>
      </c>
      <c r="F407" s="332">
        <v>45015.0</v>
      </c>
      <c r="G407" s="2" t="s">
        <v>362</v>
      </c>
      <c r="H407" s="251"/>
    </row>
    <row r="408">
      <c r="A408" s="303"/>
      <c r="B408" s="268"/>
      <c r="C408" s="252"/>
      <c r="D408" s="253"/>
      <c r="F408" s="250"/>
      <c r="H408" s="251"/>
    </row>
    <row r="409">
      <c r="A409" s="304"/>
      <c r="B409" s="271"/>
      <c r="C409" s="272"/>
      <c r="D409" s="273"/>
      <c r="E409" s="18"/>
      <c r="F409" s="274"/>
      <c r="G409" s="18"/>
      <c r="H409" s="261"/>
    </row>
    <row r="410">
      <c r="A410" s="305"/>
      <c r="B410" s="306"/>
      <c r="C410" s="240"/>
      <c r="D410" s="241"/>
      <c r="E410" s="242"/>
      <c r="F410" s="243"/>
      <c r="G410" s="244"/>
      <c r="H410" s="307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70"/>
      <c r="B419" s="271"/>
      <c r="C419" s="272"/>
      <c r="D419" s="273"/>
      <c r="E419" s="18"/>
      <c r="F419" s="274"/>
      <c r="G419" s="18"/>
      <c r="H419" s="261"/>
    </row>
    <row r="420">
      <c r="A420" s="305"/>
      <c r="B420" s="306"/>
      <c r="C420" s="240"/>
      <c r="D420" s="241"/>
      <c r="E420" s="242"/>
      <c r="F420" s="243"/>
      <c r="G420" s="244"/>
      <c r="H420" s="307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70"/>
      <c r="B429" s="271"/>
      <c r="C429" s="272"/>
      <c r="D429" s="273"/>
      <c r="E429" s="18"/>
      <c r="F429" s="274"/>
      <c r="G429" s="18"/>
      <c r="H429" s="261"/>
    </row>
    <row r="430">
      <c r="B430" s="306"/>
      <c r="C430" s="240"/>
      <c r="D430" s="241"/>
      <c r="E430" s="242"/>
      <c r="F430" s="243"/>
      <c r="G430" s="244"/>
      <c r="H430" s="307"/>
    </row>
    <row r="431">
      <c r="B431" s="268"/>
      <c r="C431" s="252"/>
      <c r="D431" s="253"/>
      <c r="F431" s="250"/>
      <c r="H431" s="251"/>
    </row>
    <row r="432">
      <c r="B432" s="268"/>
      <c r="C432" s="252"/>
      <c r="D432" s="253"/>
      <c r="F432" s="250"/>
      <c r="H432" s="251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2:A326"/>
    <mergeCell ref="A327:A340"/>
    <mergeCell ref="A341:A358"/>
    <mergeCell ref="A359:A376"/>
    <mergeCell ref="A377:A387"/>
    <mergeCell ref="A388:A399"/>
    <mergeCell ref="A410:A419"/>
    <mergeCell ref="A420:A429"/>
    <mergeCell ref="A214:A225"/>
    <mergeCell ref="A226:A240"/>
    <mergeCell ref="A241:A254"/>
    <mergeCell ref="A255:A269"/>
    <mergeCell ref="A270:A282"/>
    <mergeCell ref="A283:A296"/>
    <mergeCell ref="A297:A3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f>1450+1450</f>
        <v>2900</v>
      </c>
      <c r="G2" s="334" t="s">
        <v>363</v>
      </c>
      <c r="H2" s="245">
        <v>68.0</v>
      </c>
      <c r="I2" s="2" t="s">
        <v>107</v>
      </c>
    </row>
    <row r="3">
      <c r="A3" s="246" t="s">
        <v>364</v>
      </c>
      <c r="B3" s="312"/>
      <c r="C3" s="313"/>
      <c r="D3" s="325"/>
      <c r="E3" s="290"/>
      <c r="F3" s="335">
        <v>15000.0</v>
      </c>
      <c r="G3" s="336" t="s">
        <v>120</v>
      </c>
      <c r="H3" s="251"/>
      <c r="I3" s="2"/>
    </row>
    <row r="4">
      <c r="A4" s="246"/>
      <c r="B4" s="312"/>
      <c r="C4" s="328"/>
      <c r="D4" s="314"/>
      <c r="E4" s="290"/>
      <c r="F4" s="291"/>
      <c r="G4" s="326"/>
      <c r="H4" s="251"/>
    </row>
    <row r="5">
      <c r="A5" s="246"/>
      <c r="B5" s="312"/>
      <c r="C5" s="313"/>
      <c r="D5" s="325"/>
      <c r="E5" s="290"/>
      <c r="F5" s="291"/>
      <c r="G5" s="326"/>
      <c r="H5" s="251"/>
    </row>
    <row r="6">
      <c r="A6" s="246"/>
      <c r="B6" s="312"/>
      <c r="C6" s="313"/>
      <c r="D6" s="325"/>
      <c r="E6" s="290"/>
      <c r="F6" s="291"/>
      <c r="G6" s="326"/>
      <c r="H6" s="251"/>
    </row>
    <row r="7">
      <c r="A7" s="246"/>
      <c r="B7" s="329"/>
      <c r="C7" s="313"/>
      <c r="D7" s="325"/>
      <c r="E7" s="290"/>
      <c r="F7" s="291"/>
      <c r="G7" s="326"/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365</v>
      </c>
      <c r="B15" s="239"/>
      <c r="C15" s="263"/>
      <c r="D15" s="264"/>
      <c r="E15" s="242"/>
      <c r="F15" s="250">
        <v>1697.0</v>
      </c>
      <c r="G15" s="2" t="s">
        <v>291</v>
      </c>
      <c r="H15" s="245">
        <v>102.0</v>
      </c>
      <c r="I15" s="2" t="s">
        <v>107</v>
      </c>
    </row>
    <row r="16">
      <c r="A16" s="265"/>
      <c r="B16" s="247">
        <v>18002.35</v>
      </c>
      <c r="C16" s="248"/>
      <c r="D16" s="249"/>
      <c r="F16" s="266"/>
      <c r="G16" s="2" t="s">
        <v>82</v>
      </c>
      <c r="H16" s="251"/>
    </row>
    <row r="17">
      <c r="A17" s="265"/>
      <c r="B17" s="247">
        <v>26800.0</v>
      </c>
      <c r="C17" s="248"/>
      <c r="D17" s="249"/>
      <c r="F17" s="250"/>
      <c r="G17" s="2" t="s">
        <v>75</v>
      </c>
      <c r="H17" s="251"/>
    </row>
    <row r="18">
      <c r="A18" s="265"/>
      <c r="B18" s="247">
        <v>27214.77</v>
      </c>
      <c r="C18" s="252"/>
      <c r="D18" s="249"/>
      <c r="F18" s="250"/>
      <c r="G18" s="2" t="s">
        <v>74</v>
      </c>
      <c r="H18" s="251"/>
    </row>
    <row r="19">
      <c r="A19" s="265"/>
      <c r="B19" s="247">
        <v>7971.11</v>
      </c>
      <c r="C19" s="248"/>
      <c r="D19" s="249"/>
      <c r="F19" s="250"/>
      <c r="G19" s="2" t="s">
        <v>73</v>
      </c>
      <c r="H19" s="251"/>
    </row>
    <row r="20">
      <c r="A20" s="265"/>
      <c r="B20" s="247"/>
      <c r="C20" s="248">
        <v>58467.5</v>
      </c>
      <c r="D20" s="249"/>
      <c r="F20" s="250"/>
      <c r="G20" s="2" t="s">
        <v>71</v>
      </c>
      <c r="H20" s="251"/>
    </row>
    <row r="21">
      <c r="A21" s="265"/>
      <c r="B21" s="247">
        <v>6174.79</v>
      </c>
      <c r="C21" s="252"/>
      <c r="D21" s="253"/>
      <c r="F21" s="250"/>
      <c r="G21" s="254" t="s">
        <v>81</v>
      </c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366</v>
      </c>
      <c r="B28" s="239"/>
      <c r="C28" s="240"/>
      <c r="D28" s="241"/>
      <c r="E28" s="242"/>
      <c r="F28" s="243">
        <v>300.0</v>
      </c>
      <c r="G28" s="276" t="s">
        <v>367</v>
      </c>
      <c r="H28" s="245">
        <v>80.0</v>
      </c>
      <c r="I28" s="2" t="s">
        <v>72</v>
      </c>
    </row>
    <row r="29">
      <c r="A29" s="265"/>
      <c r="B29" s="247"/>
      <c r="C29" s="248"/>
      <c r="D29" s="249"/>
      <c r="F29" s="250">
        <v>2156.0</v>
      </c>
      <c r="G29" s="2" t="s">
        <v>368</v>
      </c>
      <c r="H29" s="267"/>
      <c r="I29" s="2" t="s">
        <v>369</v>
      </c>
    </row>
    <row r="30">
      <c r="A30" s="265"/>
      <c r="B30" s="247"/>
      <c r="C30" s="248"/>
      <c r="D30" s="249"/>
      <c r="F30" s="250">
        <v>6020.0</v>
      </c>
      <c r="G30" s="254" t="s">
        <v>87</v>
      </c>
      <c r="H30" s="251"/>
    </row>
    <row r="31">
      <c r="A31" s="265"/>
      <c r="B31" s="247"/>
      <c r="C31" s="248"/>
      <c r="D31" s="249"/>
      <c r="F31" s="250">
        <v>45.0</v>
      </c>
      <c r="G31" s="254" t="s">
        <v>370</v>
      </c>
      <c r="H31" s="251"/>
    </row>
    <row r="32">
      <c r="A32" s="265"/>
      <c r="B32" s="247"/>
      <c r="C32" s="252"/>
      <c r="D32" s="249"/>
      <c r="E32" s="2">
        <v>2798.13</v>
      </c>
      <c r="F32" s="250"/>
      <c r="G32" s="254" t="s">
        <v>371</v>
      </c>
      <c r="H32" s="251"/>
    </row>
    <row r="33">
      <c r="A33" s="265"/>
      <c r="B33" s="247"/>
      <c r="C33" s="248"/>
      <c r="D33" s="249"/>
      <c r="F33" s="250">
        <v>1200.0</v>
      </c>
      <c r="G33" s="254" t="s">
        <v>372</v>
      </c>
      <c r="H33" s="267"/>
    </row>
    <row r="34">
      <c r="A34" s="265"/>
      <c r="B34" s="247"/>
      <c r="C34" s="248"/>
      <c r="D34" s="249">
        <v>60592.32</v>
      </c>
      <c r="F34" s="250"/>
      <c r="G34" s="254" t="s">
        <v>114</v>
      </c>
      <c r="H34" s="251"/>
    </row>
    <row r="35">
      <c r="A35" s="265"/>
      <c r="B35" s="247"/>
      <c r="C35" s="252"/>
      <c r="D35" s="253"/>
      <c r="F35" s="250">
        <v>5000.0</v>
      </c>
      <c r="G35" s="254" t="s">
        <v>101</v>
      </c>
      <c r="H35" s="251"/>
    </row>
    <row r="36">
      <c r="A36" s="265"/>
      <c r="B36" s="247">
        <v>2120.0</v>
      </c>
      <c r="C36" s="248"/>
      <c r="D36" s="253"/>
      <c r="F36" s="250"/>
      <c r="G36" s="254" t="s">
        <v>79</v>
      </c>
      <c r="H36" s="251"/>
    </row>
    <row r="37">
      <c r="A37" s="265"/>
      <c r="B37" s="277">
        <v>4552.0</v>
      </c>
      <c r="C37" s="252"/>
      <c r="D37" s="253"/>
      <c r="F37" s="250"/>
      <c r="G37" s="254" t="s">
        <v>373</v>
      </c>
      <c r="H37" s="251"/>
    </row>
    <row r="38">
      <c r="A38" s="265"/>
      <c r="B38" s="277"/>
      <c r="C38" s="252"/>
      <c r="D38" s="253"/>
      <c r="F38" s="250">
        <v>15000.0</v>
      </c>
      <c r="G38" s="254" t="s">
        <v>68</v>
      </c>
      <c r="H38" s="251"/>
    </row>
    <row r="39">
      <c r="A39" s="265"/>
      <c r="B39" s="277">
        <f>1875+1917</f>
        <v>3792</v>
      </c>
      <c r="C39" s="252"/>
      <c r="D39" s="253"/>
      <c r="F39" s="250"/>
      <c r="G39" s="254" t="s">
        <v>374</v>
      </c>
      <c r="H39" s="251"/>
    </row>
    <row r="40">
      <c r="A40" s="265"/>
      <c r="B40" s="277">
        <v>3977.0</v>
      </c>
      <c r="C40" s="252"/>
      <c r="D40" s="253"/>
      <c r="F40" s="250"/>
      <c r="G40" s="254" t="s">
        <v>375</v>
      </c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51350.0</v>
      </c>
      <c r="C42" s="248"/>
      <c r="D42" s="249"/>
      <c r="F42" s="250"/>
      <c r="G42" s="254" t="s">
        <v>75</v>
      </c>
      <c r="H42" s="267">
        <v>97.0</v>
      </c>
      <c r="I42" s="2" t="s">
        <v>72</v>
      </c>
    </row>
    <row r="43">
      <c r="A43" s="280"/>
      <c r="B43" s="277">
        <v>15414.46</v>
      </c>
      <c r="C43" s="248"/>
      <c r="D43" s="249"/>
      <c r="F43" s="250"/>
      <c r="G43" s="254" t="s">
        <v>82</v>
      </c>
      <c r="H43" s="267"/>
    </row>
    <row r="44">
      <c r="A44" s="280" t="s">
        <v>376</v>
      </c>
      <c r="B44" s="247">
        <v>10880.0</v>
      </c>
      <c r="C44" s="248"/>
      <c r="D44" s="249"/>
      <c r="F44" s="250"/>
      <c r="G44" s="254" t="s">
        <v>77</v>
      </c>
      <c r="H44" s="251"/>
    </row>
    <row r="45">
      <c r="A45" s="265"/>
      <c r="B45" s="247">
        <v>36487.8</v>
      </c>
      <c r="C45" s="252"/>
      <c r="D45" s="249"/>
      <c r="F45" s="250"/>
      <c r="G45" s="254" t="s">
        <v>114</v>
      </c>
      <c r="H45" s="251"/>
    </row>
    <row r="46">
      <c r="A46" s="265"/>
      <c r="B46" s="247"/>
      <c r="C46" s="248"/>
      <c r="D46" s="249">
        <v>52450.0</v>
      </c>
      <c r="F46" s="250"/>
      <c r="G46" s="254" t="s">
        <v>144</v>
      </c>
      <c r="H46" s="251"/>
    </row>
    <row r="47">
      <c r="A47" s="265"/>
      <c r="B47" s="247"/>
      <c r="C47" s="252"/>
      <c r="D47" s="249">
        <v>65340.0</v>
      </c>
      <c r="E47" s="2" t="s">
        <v>328</v>
      </c>
      <c r="F47" s="250"/>
      <c r="G47" s="254" t="s">
        <v>167</v>
      </c>
      <c r="H47" s="251"/>
    </row>
    <row r="48">
      <c r="A48" s="265"/>
      <c r="B48" s="247"/>
      <c r="C48" s="248"/>
      <c r="D48" s="249">
        <v>53920.63</v>
      </c>
      <c r="F48" s="250"/>
      <c r="G48" s="254" t="s">
        <v>92</v>
      </c>
      <c r="H48" s="267"/>
    </row>
    <row r="49">
      <c r="A49" s="265"/>
      <c r="B49" s="247">
        <v>25677.0</v>
      </c>
      <c r="C49" s="252"/>
      <c r="D49" s="253"/>
      <c r="F49" s="250"/>
      <c r="G49" s="254" t="s">
        <v>142</v>
      </c>
      <c r="H49" s="251"/>
    </row>
    <row r="50">
      <c r="A50" s="265"/>
      <c r="B50" s="247">
        <v>9600.0</v>
      </c>
      <c r="C50" s="248"/>
      <c r="D50" s="253"/>
      <c r="F50" s="250"/>
      <c r="G50" s="254" t="s">
        <v>377</v>
      </c>
      <c r="H50" s="251"/>
    </row>
    <row r="51">
      <c r="A51" s="265"/>
      <c r="B51" s="268"/>
      <c r="C51" s="248">
        <v>50736.43</v>
      </c>
      <c r="D51" s="253"/>
      <c r="F51" s="250"/>
      <c r="G51" s="254" t="s">
        <v>84</v>
      </c>
      <c r="H51" s="251"/>
    </row>
    <row r="52">
      <c r="A52" s="265"/>
      <c r="B52" s="268"/>
      <c r="C52" s="252"/>
      <c r="D52" s="253"/>
      <c r="F52" s="250">
        <v>2300.0</v>
      </c>
      <c r="G52" s="254" t="s">
        <v>84</v>
      </c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378</v>
      </c>
      <c r="B54" s="239">
        <v>20520.92</v>
      </c>
      <c r="C54" s="263"/>
      <c r="D54" s="241"/>
      <c r="E54" s="242"/>
      <c r="F54" s="243"/>
      <c r="G54" s="276" t="s">
        <v>82</v>
      </c>
      <c r="H54" s="245">
        <v>90.0</v>
      </c>
      <c r="I54" s="2" t="s">
        <v>107</v>
      </c>
    </row>
    <row r="55">
      <c r="A55" s="265"/>
      <c r="B55" s="247">
        <v>15960.0</v>
      </c>
      <c r="C55" s="248"/>
      <c r="D55" s="253"/>
      <c r="F55" s="250"/>
      <c r="G55" s="254" t="s">
        <v>76</v>
      </c>
      <c r="H55" s="267"/>
    </row>
    <row r="56">
      <c r="A56" s="265"/>
      <c r="B56" s="247"/>
      <c r="C56" s="248">
        <v>64051.0</v>
      </c>
      <c r="D56" s="253"/>
      <c r="F56" s="250"/>
      <c r="G56" s="254" t="s">
        <v>89</v>
      </c>
      <c r="H56" s="251"/>
    </row>
    <row r="57">
      <c r="A57" s="265"/>
      <c r="B57" s="247"/>
      <c r="C57" s="248"/>
      <c r="D57" s="249">
        <v>52282.26</v>
      </c>
      <c r="F57" s="250"/>
      <c r="G57" s="254" t="s">
        <v>379</v>
      </c>
      <c r="H57" s="267"/>
    </row>
    <row r="58">
      <c r="A58" s="265"/>
      <c r="B58" s="247">
        <v>31000.0</v>
      </c>
      <c r="C58" s="248"/>
      <c r="D58" s="253"/>
      <c r="F58" s="250"/>
      <c r="G58" s="254" t="s">
        <v>122</v>
      </c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53"/>
      <c r="F60" s="250"/>
      <c r="G60" s="254"/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68"/>
      <c r="C62" s="248"/>
      <c r="D62" s="253"/>
      <c r="F62" s="250"/>
      <c r="G62" s="254"/>
      <c r="H62" s="251"/>
    </row>
    <row r="63">
      <c r="A63" s="265"/>
      <c r="B63" s="268"/>
      <c r="C63" s="248"/>
      <c r="D63" s="249"/>
      <c r="F63" s="250"/>
      <c r="G63" s="254"/>
      <c r="H63" s="251"/>
    </row>
    <row r="64">
      <c r="A64" s="265"/>
      <c r="B64" s="268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380</v>
      </c>
      <c r="B68" s="239"/>
      <c r="C68" s="263"/>
      <c r="D68" s="264"/>
      <c r="E68" s="244"/>
      <c r="F68" s="243"/>
      <c r="G68" s="276"/>
      <c r="H68" s="245">
        <v>74.0</v>
      </c>
      <c r="I68" s="2" t="s">
        <v>107</v>
      </c>
    </row>
    <row r="69">
      <c r="A69" s="265"/>
      <c r="B69" s="247"/>
      <c r="C69" s="248"/>
      <c r="D69" s="249"/>
      <c r="F69" s="250"/>
      <c r="G69" s="254"/>
      <c r="H69" s="267"/>
    </row>
    <row r="70">
      <c r="A70" s="265"/>
      <c r="B70" s="247"/>
      <c r="C70" s="252"/>
      <c r="D70" s="249"/>
      <c r="F70" s="250"/>
      <c r="G70" s="254"/>
      <c r="H70" s="310"/>
    </row>
    <row r="71">
      <c r="A71" s="265"/>
      <c r="B71" s="247"/>
      <c r="C71" s="248"/>
      <c r="D71" s="249"/>
      <c r="F71" s="250"/>
      <c r="G71" s="254"/>
      <c r="H71" s="251"/>
    </row>
    <row r="72">
      <c r="A72" s="265"/>
      <c r="B72" s="247"/>
      <c r="C72" s="248"/>
      <c r="D72" s="249"/>
      <c r="F72" s="250"/>
      <c r="G72" s="254"/>
      <c r="H72" s="251"/>
    </row>
    <row r="73">
      <c r="A73" s="265"/>
      <c r="B73" s="247"/>
      <c r="C73" s="248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381</v>
      </c>
      <c r="B80" s="239"/>
      <c r="C80" s="263"/>
      <c r="D80" s="241"/>
      <c r="E80" s="242"/>
      <c r="F80" s="243">
        <v>15000.0</v>
      </c>
      <c r="G80" s="276" t="s">
        <v>68</v>
      </c>
      <c r="H80" s="245">
        <v>90.0</v>
      </c>
      <c r="I80" s="2" t="s">
        <v>107</v>
      </c>
    </row>
    <row r="81">
      <c r="A81" s="265"/>
      <c r="B81" s="247"/>
      <c r="C81" s="248"/>
      <c r="D81" s="253"/>
      <c r="F81" s="250"/>
      <c r="G81" s="254"/>
      <c r="H81" s="267"/>
    </row>
    <row r="82">
      <c r="A82" s="265"/>
      <c r="B82" s="247"/>
      <c r="C82" s="248"/>
      <c r="D82" s="249"/>
      <c r="F82" s="250"/>
      <c r="G82" s="254"/>
      <c r="H82" s="251"/>
    </row>
    <row r="83">
      <c r="A83" s="265"/>
      <c r="B83" s="247"/>
      <c r="C83" s="248"/>
      <c r="D83" s="249"/>
      <c r="F83" s="250"/>
      <c r="G83" s="254"/>
      <c r="H83" s="251"/>
    </row>
    <row r="84">
      <c r="A84" s="265"/>
      <c r="B84" s="85"/>
      <c r="C84" s="248"/>
      <c r="D84" s="249"/>
      <c r="F84" s="250"/>
      <c r="G84" s="254"/>
      <c r="H84" s="251"/>
    </row>
    <row r="85">
      <c r="A85" s="265"/>
      <c r="B85" s="281"/>
      <c r="C85" s="252"/>
      <c r="D85" s="249"/>
      <c r="F85" s="266"/>
      <c r="G85" s="254"/>
      <c r="H85" s="251"/>
    </row>
    <row r="86">
      <c r="A86" s="265"/>
      <c r="B86" s="281"/>
      <c r="C86" s="252"/>
      <c r="D86" s="249"/>
      <c r="F86" s="250"/>
      <c r="G86" s="254"/>
      <c r="H86" s="251"/>
    </row>
    <row r="87">
      <c r="A87" s="265"/>
      <c r="B87" s="247"/>
      <c r="C87" s="252"/>
      <c r="D87" s="249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382</v>
      </c>
      <c r="B96" s="239"/>
      <c r="C96" s="263"/>
      <c r="D96" s="264"/>
      <c r="E96" s="242"/>
      <c r="F96" s="250">
        <v>921.0</v>
      </c>
      <c r="G96" s="276" t="s">
        <v>97</v>
      </c>
      <c r="H96" s="245">
        <v>15.0</v>
      </c>
      <c r="I96" s="2" t="s">
        <v>107</v>
      </c>
    </row>
    <row r="97">
      <c r="A97" s="265"/>
      <c r="B97" s="247"/>
      <c r="C97" s="248">
        <f>36325.48+33186.67</f>
        <v>69512.15</v>
      </c>
      <c r="D97" s="249"/>
      <c r="F97" s="250"/>
      <c r="G97" s="254" t="s">
        <v>71</v>
      </c>
      <c r="H97" s="267"/>
      <c r="I97" s="2" t="s">
        <v>383</v>
      </c>
    </row>
    <row r="98">
      <c r="A98" s="265"/>
      <c r="B98" s="247"/>
      <c r="C98" s="248"/>
      <c r="D98" s="249"/>
      <c r="F98" s="250">
        <v>1920.0</v>
      </c>
      <c r="G98" s="254" t="s">
        <v>291</v>
      </c>
      <c r="H98" s="267"/>
    </row>
    <row r="99">
      <c r="A99" s="265"/>
      <c r="B99" s="247">
        <f>47550-450</f>
        <v>47100</v>
      </c>
      <c r="C99" s="248"/>
      <c r="D99" s="249"/>
      <c r="F99" s="250"/>
      <c r="G99" s="254" t="s">
        <v>75</v>
      </c>
      <c r="H99" s="251"/>
    </row>
    <row r="100">
      <c r="A100" s="265"/>
      <c r="B100" s="330">
        <v>13545.75</v>
      </c>
      <c r="C100" s="313"/>
      <c r="D100" s="314"/>
      <c r="E100" s="290"/>
      <c r="F100" s="291"/>
      <c r="G100" s="292" t="s">
        <v>82</v>
      </c>
      <c r="H100" s="251"/>
    </row>
    <row r="101">
      <c r="A101" s="265"/>
      <c r="B101" s="247">
        <v>121869.19</v>
      </c>
      <c r="C101" s="252"/>
      <c r="D101" s="253"/>
      <c r="F101" s="250"/>
      <c r="G101" s="254" t="s">
        <v>114</v>
      </c>
      <c r="H101" s="251"/>
    </row>
    <row r="102">
      <c r="A102" s="265"/>
      <c r="B102" s="247">
        <v>11064.0</v>
      </c>
      <c r="C102" s="252"/>
      <c r="D102" s="249"/>
      <c r="F102" s="250"/>
      <c r="G102" s="254" t="s">
        <v>384</v>
      </c>
      <c r="H102" s="251"/>
    </row>
    <row r="103">
      <c r="A103" s="265"/>
      <c r="B103" s="247"/>
      <c r="C103" s="252"/>
      <c r="D103" s="253"/>
      <c r="F103" s="250">
        <v>5500.0</v>
      </c>
      <c r="G103" s="254" t="s">
        <v>101</v>
      </c>
      <c r="H103" s="251"/>
    </row>
    <row r="104">
      <c r="A104" s="265"/>
      <c r="B104" s="247"/>
      <c r="C104" s="248"/>
      <c r="D104" s="253"/>
      <c r="F104" s="250">
        <v>183.0</v>
      </c>
      <c r="G104" s="254" t="s">
        <v>385</v>
      </c>
      <c r="H104" s="251"/>
    </row>
    <row r="105">
      <c r="A105" s="265"/>
      <c r="B105" s="247"/>
      <c r="C105" s="252"/>
      <c r="D105" s="253"/>
      <c r="F105" s="250">
        <v>473.0</v>
      </c>
      <c r="G105" s="254" t="s">
        <v>108</v>
      </c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386</v>
      </c>
      <c r="B110" s="239"/>
      <c r="C110" s="263"/>
      <c r="D110" s="264"/>
      <c r="E110" s="242"/>
      <c r="F110" s="243">
        <v>2000.0</v>
      </c>
      <c r="G110" s="276" t="s">
        <v>85</v>
      </c>
      <c r="H110" s="245">
        <v>105.0</v>
      </c>
      <c r="I110" s="2" t="s">
        <v>72</v>
      </c>
    </row>
    <row r="111">
      <c r="A111" s="265"/>
      <c r="B111" s="247">
        <v>8450.0</v>
      </c>
      <c r="C111" s="252"/>
      <c r="D111" s="249"/>
      <c r="F111" s="250"/>
      <c r="G111" s="254" t="s">
        <v>73</v>
      </c>
      <c r="H111" s="267"/>
    </row>
    <row r="112">
      <c r="A112" s="265"/>
      <c r="B112" s="247">
        <v>39077.24</v>
      </c>
      <c r="C112" s="248"/>
      <c r="D112" s="249"/>
      <c r="F112" s="250"/>
      <c r="G112" s="26" t="s">
        <v>74</v>
      </c>
      <c r="H112" s="251"/>
    </row>
    <row r="113">
      <c r="A113" s="265"/>
      <c r="B113" s="247"/>
      <c r="C113" s="248"/>
      <c r="D113" s="249"/>
      <c r="F113" s="250">
        <v>37500.0</v>
      </c>
      <c r="G113" s="254" t="s">
        <v>387</v>
      </c>
      <c r="H113" s="251"/>
    </row>
    <row r="114">
      <c r="A114" s="265"/>
      <c r="B114" s="247"/>
      <c r="C114" s="248"/>
      <c r="D114" s="249"/>
      <c r="F114" s="250">
        <v>2400.0</v>
      </c>
      <c r="G114" s="254" t="s">
        <v>388</v>
      </c>
      <c r="H114" s="251"/>
    </row>
    <row r="115">
      <c r="A115" s="265"/>
      <c r="B115" s="247">
        <v>12378.0</v>
      </c>
      <c r="C115" s="252"/>
      <c r="D115" s="253"/>
      <c r="F115" s="250"/>
      <c r="G115" s="254" t="s">
        <v>389</v>
      </c>
      <c r="H115" s="251"/>
    </row>
    <row r="116">
      <c r="A116" s="265"/>
      <c r="B116" s="247"/>
      <c r="C116" s="252"/>
      <c r="D116" s="253"/>
      <c r="F116" s="250"/>
      <c r="G116" s="254"/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390</v>
      </c>
      <c r="B128" s="239">
        <v>20600.0</v>
      </c>
      <c r="C128" s="263"/>
      <c r="D128" s="264"/>
      <c r="E128" s="242"/>
      <c r="F128" s="243"/>
      <c r="G128" s="276" t="s">
        <v>75</v>
      </c>
      <c r="H128" s="245">
        <v>110.0</v>
      </c>
      <c r="I128" s="2" t="s">
        <v>72</v>
      </c>
    </row>
    <row r="129">
      <c r="A129" s="265"/>
      <c r="B129" s="247">
        <v>37437.44</v>
      </c>
      <c r="C129" s="252"/>
      <c r="D129" s="249"/>
      <c r="F129" s="250"/>
      <c r="G129" s="254" t="s">
        <v>142</v>
      </c>
      <c r="H129" s="267"/>
    </row>
    <row r="130">
      <c r="A130" s="265"/>
      <c r="B130" s="247"/>
      <c r="C130" s="248">
        <v>44598.59</v>
      </c>
      <c r="D130" s="249"/>
      <c r="F130" s="250"/>
      <c r="G130" s="254" t="s">
        <v>84</v>
      </c>
      <c r="H130" s="251"/>
    </row>
    <row r="131">
      <c r="A131" s="265"/>
      <c r="B131" s="247"/>
      <c r="C131" s="248"/>
      <c r="D131" s="249"/>
      <c r="F131" s="250">
        <v>514.0</v>
      </c>
      <c r="G131" s="254" t="s">
        <v>391</v>
      </c>
      <c r="H131" s="251"/>
    </row>
    <row r="132">
      <c r="A132" s="265"/>
      <c r="B132" s="247">
        <v>6876.0</v>
      </c>
      <c r="C132" s="248"/>
      <c r="D132" s="253"/>
      <c r="F132" s="250"/>
      <c r="G132" s="254" t="s">
        <v>392</v>
      </c>
      <c r="H132" s="251"/>
    </row>
    <row r="133">
      <c r="A133" s="265"/>
      <c r="B133" s="247"/>
      <c r="C133" s="252"/>
      <c r="D133" s="249"/>
      <c r="F133" s="250">
        <v>4000.0</v>
      </c>
      <c r="G133" s="254" t="s">
        <v>393</v>
      </c>
      <c r="H133" s="251"/>
    </row>
    <row r="134">
      <c r="A134" s="265"/>
      <c r="B134" s="247">
        <v>2120.0</v>
      </c>
      <c r="C134" s="252"/>
      <c r="D134" s="249"/>
      <c r="F134" s="250"/>
      <c r="G134" s="254" t="s">
        <v>394</v>
      </c>
      <c r="H134" s="251"/>
    </row>
    <row r="135">
      <c r="A135" s="265"/>
      <c r="B135" s="283"/>
      <c r="C135" s="248"/>
      <c r="D135" s="249">
        <v>44044.0</v>
      </c>
      <c r="E135" s="2" t="s">
        <v>276</v>
      </c>
      <c r="F135" s="250"/>
      <c r="G135" s="254" t="s">
        <v>235</v>
      </c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395</v>
      </c>
      <c r="B143" s="239"/>
      <c r="C143" s="263"/>
      <c r="D143" s="241"/>
      <c r="E143" s="242"/>
      <c r="F143" s="243">
        <v>723.0</v>
      </c>
      <c r="G143" s="276" t="s">
        <v>255</v>
      </c>
      <c r="H143" s="245">
        <v>28.5</v>
      </c>
      <c r="I143" s="2" t="s">
        <v>107</v>
      </c>
    </row>
    <row r="144">
      <c r="A144" s="265"/>
      <c r="B144" s="247">
        <v>17528.67</v>
      </c>
      <c r="C144" s="252"/>
      <c r="D144" s="253"/>
      <c r="F144" s="250"/>
      <c r="G144" s="254" t="s">
        <v>82</v>
      </c>
      <c r="H144" s="251"/>
    </row>
    <row r="145">
      <c r="A145" s="265"/>
      <c r="B145" s="247">
        <v>8942.27</v>
      </c>
      <c r="C145" s="252"/>
      <c r="D145" s="249"/>
      <c r="F145" s="284"/>
      <c r="G145" s="285" t="s">
        <v>74</v>
      </c>
      <c r="H145" s="251"/>
    </row>
    <row r="146">
      <c r="A146" s="265"/>
      <c r="B146" s="247">
        <v>24224.24</v>
      </c>
      <c r="C146" s="252"/>
      <c r="D146" s="253"/>
      <c r="F146" s="250"/>
      <c r="G146" s="254" t="s">
        <v>91</v>
      </c>
      <c r="H146" s="251"/>
    </row>
    <row r="147">
      <c r="A147" s="265"/>
      <c r="B147" s="247"/>
      <c r="C147" s="252"/>
      <c r="D147" s="249"/>
      <c r="F147" s="250">
        <v>13200.0</v>
      </c>
      <c r="G147" s="254" t="s">
        <v>396</v>
      </c>
      <c r="H147" s="251"/>
    </row>
    <row r="148">
      <c r="A148" s="265"/>
      <c r="B148" s="247">
        <v>25000.0</v>
      </c>
      <c r="C148" s="248"/>
      <c r="D148" s="249"/>
      <c r="F148" s="250"/>
      <c r="G148" s="254" t="s">
        <v>76</v>
      </c>
      <c r="H148" s="251"/>
    </row>
    <row r="149">
      <c r="A149" s="265"/>
      <c r="B149" s="247"/>
      <c r="C149" s="248"/>
      <c r="D149" s="249"/>
      <c r="F149" s="250">
        <v>3500.0</v>
      </c>
      <c r="G149" s="254" t="s">
        <v>397</v>
      </c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398</v>
      </c>
      <c r="B158" s="239">
        <v>34900.0</v>
      </c>
      <c r="C158" s="263"/>
      <c r="D158" s="264"/>
      <c r="E158" s="242"/>
      <c r="F158" s="243"/>
      <c r="G158" s="276" t="s">
        <v>75</v>
      </c>
      <c r="H158" s="245">
        <v>83.0</v>
      </c>
      <c r="I158" s="2" t="s">
        <v>72</v>
      </c>
    </row>
    <row r="159">
      <c r="A159" s="265"/>
      <c r="B159" s="247">
        <v>18061.0</v>
      </c>
      <c r="C159" s="252"/>
      <c r="D159" s="253"/>
      <c r="F159" s="250"/>
      <c r="G159" s="254" t="s">
        <v>82</v>
      </c>
      <c r="H159" s="267"/>
    </row>
    <row r="160">
      <c r="A160" s="265"/>
      <c r="B160" s="247">
        <f>23280+3540</f>
        <v>26820</v>
      </c>
      <c r="C160" s="248"/>
      <c r="D160" s="249"/>
      <c r="F160" s="250"/>
      <c r="G160" s="254" t="s">
        <v>399</v>
      </c>
      <c r="H160" s="251"/>
    </row>
    <row r="161">
      <c r="A161" s="265"/>
      <c r="B161" s="247"/>
      <c r="C161" s="248"/>
      <c r="D161" s="249"/>
      <c r="F161" s="250"/>
      <c r="G161" s="254"/>
      <c r="H161" s="251"/>
    </row>
    <row r="162">
      <c r="A162" s="265"/>
      <c r="B162" s="247"/>
      <c r="C162" s="248">
        <v>43662.89</v>
      </c>
      <c r="D162" s="253"/>
      <c r="F162" s="250"/>
      <c r="G162" s="254" t="s">
        <v>89</v>
      </c>
      <c r="H162" s="251"/>
    </row>
    <row r="163">
      <c r="A163" s="265"/>
      <c r="B163" s="247"/>
      <c r="C163" s="248"/>
      <c r="D163" s="249"/>
      <c r="F163" s="250">
        <v>6000.0</v>
      </c>
      <c r="G163" s="254" t="s">
        <v>101</v>
      </c>
      <c r="H163" s="251"/>
    </row>
    <row r="164">
      <c r="A164" s="265"/>
      <c r="B164" s="247"/>
      <c r="C164" s="248"/>
      <c r="D164" s="249"/>
      <c r="F164" s="250"/>
      <c r="G164" s="254"/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400</v>
      </c>
      <c r="B168" s="239"/>
      <c r="C168" s="263"/>
      <c r="D168" s="264"/>
      <c r="E168" s="244"/>
      <c r="F168" s="250">
        <v>52500.0</v>
      </c>
      <c r="G168" s="276" t="s">
        <v>87</v>
      </c>
      <c r="H168" s="245">
        <v>37.0</v>
      </c>
      <c r="I168" s="2" t="s">
        <v>107</v>
      </c>
    </row>
    <row r="169">
      <c r="A169" s="265"/>
      <c r="B169" s="247"/>
      <c r="C169" s="315"/>
      <c r="D169" s="249"/>
      <c r="F169" s="250">
        <v>15000.0</v>
      </c>
      <c r="G169" s="254" t="s">
        <v>68</v>
      </c>
      <c r="H169" s="267"/>
    </row>
    <row r="170">
      <c r="A170" s="265"/>
      <c r="B170" s="247"/>
      <c r="C170" s="248"/>
      <c r="D170" s="249"/>
      <c r="F170" s="250"/>
      <c r="G170" s="254"/>
      <c r="H170" s="267"/>
    </row>
    <row r="171">
      <c r="A171" s="265"/>
      <c r="B171" s="247"/>
      <c r="C171" s="248"/>
      <c r="D171" s="249"/>
      <c r="F171" s="250"/>
      <c r="G171" s="254"/>
      <c r="H171" s="251"/>
    </row>
    <row r="172">
      <c r="A172" s="265"/>
      <c r="B172" s="247"/>
      <c r="C172" s="248"/>
      <c r="D172" s="249"/>
      <c r="E172" s="254"/>
      <c r="F172" s="250"/>
      <c r="G172" s="254"/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401</v>
      </c>
      <c r="B183" s="247"/>
      <c r="C183" s="248"/>
      <c r="D183" s="253"/>
      <c r="F183" s="250">
        <v>5500.0</v>
      </c>
      <c r="G183" s="254" t="s">
        <v>160</v>
      </c>
      <c r="H183" s="286">
        <v>93.0</v>
      </c>
      <c r="I183" s="2" t="s">
        <v>107</v>
      </c>
    </row>
    <row r="184">
      <c r="A184" s="265"/>
      <c r="B184" s="247"/>
      <c r="C184" s="248"/>
      <c r="D184" s="249"/>
      <c r="F184" s="250">
        <v>1500.0</v>
      </c>
      <c r="G184" s="254" t="s">
        <v>402</v>
      </c>
      <c r="H184" s="251"/>
      <c r="I184" s="2" t="s">
        <v>403</v>
      </c>
    </row>
    <row r="185">
      <c r="A185" s="265"/>
      <c r="B185" s="247"/>
      <c r="C185" s="252">
        <f>31880.96+24244.77</f>
        <v>56125.73</v>
      </c>
      <c r="D185" s="249"/>
      <c r="F185" s="250"/>
      <c r="G185" s="254" t="s">
        <v>71</v>
      </c>
      <c r="H185" s="267"/>
      <c r="I185" s="2" t="s">
        <v>404</v>
      </c>
    </row>
    <row r="186">
      <c r="A186" s="265"/>
      <c r="B186" s="247">
        <v>10680.23</v>
      </c>
      <c r="C186" s="248"/>
      <c r="D186" s="249"/>
      <c r="F186" s="250"/>
      <c r="G186" s="254" t="s">
        <v>73</v>
      </c>
      <c r="H186" s="251"/>
    </row>
    <row r="187">
      <c r="A187" s="265"/>
      <c r="B187" s="247">
        <f>1483+23011.69</f>
        <v>24494.69</v>
      </c>
      <c r="C187" s="248"/>
      <c r="D187" s="249"/>
      <c r="F187" s="250"/>
      <c r="G187" s="254" t="s">
        <v>405</v>
      </c>
      <c r="H187" s="251"/>
    </row>
    <row r="188">
      <c r="A188" s="265"/>
      <c r="B188" s="247">
        <v>13014.77</v>
      </c>
      <c r="C188" s="252"/>
      <c r="D188" s="249"/>
      <c r="F188" s="250"/>
      <c r="G188" s="254" t="s">
        <v>82</v>
      </c>
      <c r="H188" s="251"/>
    </row>
    <row r="189">
      <c r="A189" s="265"/>
      <c r="B189" s="247"/>
      <c r="C189" s="252"/>
      <c r="D189" s="253"/>
      <c r="F189" s="250">
        <v>712.0</v>
      </c>
      <c r="G189" s="254" t="s">
        <v>291</v>
      </c>
      <c r="H189" s="251"/>
    </row>
    <row r="190">
      <c r="A190" s="265"/>
      <c r="B190" s="247"/>
      <c r="C190" s="252"/>
      <c r="D190" s="249"/>
      <c r="F190" s="250">
        <v>1290.0</v>
      </c>
      <c r="G190" s="254" t="s">
        <v>406</v>
      </c>
      <c r="H190" s="251"/>
    </row>
    <row r="191">
      <c r="A191" s="265"/>
      <c r="B191" s="247">
        <v>37700.0</v>
      </c>
      <c r="C191" s="248"/>
      <c r="D191" s="253"/>
      <c r="F191" s="250"/>
      <c r="G191" s="254" t="s">
        <v>75</v>
      </c>
      <c r="H191" s="251"/>
    </row>
    <row r="192">
      <c r="A192" s="265"/>
      <c r="B192" s="247"/>
      <c r="C192" s="252"/>
      <c r="D192" s="249">
        <v>31000.0</v>
      </c>
      <c r="F192" s="250"/>
      <c r="G192" s="254" t="s">
        <v>122</v>
      </c>
      <c r="H192" s="251"/>
    </row>
    <row r="193">
      <c r="A193" s="265"/>
      <c r="B193" s="247"/>
      <c r="C193" s="252"/>
      <c r="D193" s="249">
        <v>41127.97</v>
      </c>
      <c r="F193" s="250"/>
      <c r="G193" s="254" t="s">
        <v>114</v>
      </c>
      <c r="H193" s="251"/>
    </row>
    <row r="194">
      <c r="A194" s="265"/>
      <c r="B194" s="247"/>
      <c r="C194" s="248"/>
      <c r="D194" s="249">
        <v>57874.92</v>
      </c>
      <c r="F194" s="250"/>
      <c r="G194" s="254" t="s">
        <v>407</v>
      </c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408</v>
      </c>
      <c r="B199" s="239"/>
      <c r="C199" s="263"/>
      <c r="D199" s="264"/>
      <c r="E199" s="244"/>
      <c r="F199" s="243"/>
      <c r="G199" s="276" t="s">
        <v>409</v>
      </c>
      <c r="H199" s="245">
        <v>100.0</v>
      </c>
      <c r="I199" s="2" t="s">
        <v>72</v>
      </c>
      <c r="J199" s="2" t="s">
        <v>410</v>
      </c>
    </row>
    <row r="200">
      <c r="A200" s="265"/>
      <c r="B200" s="247">
        <v>11460.0</v>
      </c>
      <c r="C200" s="248"/>
      <c r="D200" s="249"/>
      <c r="F200" s="250"/>
      <c r="G200" s="254" t="s">
        <v>411</v>
      </c>
      <c r="H200" s="267"/>
    </row>
    <row r="201">
      <c r="A201" s="265"/>
      <c r="B201" s="247"/>
      <c r="C201" s="252"/>
      <c r="D201" s="249">
        <v>100000.0</v>
      </c>
      <c r="F201" s="250"/>
      <c r="G201" s="254" t="s">
        <v>144</v>
      </c>
      <c r="H201" s="251"/>
    </row>
    <row r="202">
      <c r="A202" s="265"/>
      <c r="B202" s="247"/>
      <c r="C202" s="248"/>
      <c r="D202" s="249">
        <v>65700.0</v>
      </c>
      <c r="F202" s="250"/>
      <c r="G202" s="254" t="s">
        <v>412</v>
      </c>
      <c r="H202" s="251"/>
    </row>
    <row r="203">
      <c r="A203" s="265"/>
      <c r="B203" s="247"/>
      <c r="C203" s="248"/>
      <c r="D203" s="249">
        <v>34860.0</v>
      </c>
      <c r="E203" s="2" t="s">
        <v>306</v>
      </c>
      <c r="F203" s="250"/>
      <c r="G203" s="254" t="s">
        <v>79</v>
      </c>
      <c r="H203" s="251"/>
    </row>
    <row r="204">
      <c r="A204" s="265"/>
      <c r="B204" s="247"/>
      <c r="C204" s="248"/>
      <c r="D204" s="249"/>
      <c r="F204" s="250">
        <v>290.0</v>
      </c>
      <c r="G204" s="254" t="s">
        <v>260</v>
      </c>
      <c r="H204" s="267"/>
    </row>
    <row r="205">
      <c r="A205" s="265"/>
      <c r="B205" s="247"/>
      <c r="C205" s="248"/>
      <c r="D205" s="249"/>
      <c r="F205" s="250"/>
      <c r="G205" s="316"/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413</v>
      </c>
      <c r="B214" s="239"/>
      <c r="C214" s="263"/>
      <c r="D214" s="264"/>
      <c r="E214" s="242"/>
      <c r="F214" s="243">
        <v>52500.0</v>
      </c>
      <c r="G214" s="276" t="s">
        <v>87</v>
      </c>
      <c r="H214" s="245">
        <v>110.0</v>
      </c>
      <c r="I214" s="2" t="s">
        <v>414</v>
      </c>
    </row>
    <row r="215">
      <c r="A215" s="265"/>
      <c r="B215" s="247">
        <v>13545.75</v>
      </c>
      <c r="C215" s="248"/>
      <c r="D215" s="249"/>
      <c r="F215" s="250"/>
      <c r="G215" s="254" t="s">
        <v>82</v>
      </c>
      <c r="H215" s="267"/>
    </row>
    <row r="216">
      <c r="A216" s="265"/>
      <c r="B216" s="247">
        <v>39204.0</v>
      </c>
      <c r="C216" s="252"/>
      <c r="D216" s="249"/>
      <c r="E216" s="2" t="s">
        <v>276</v>
      </c>
      <c r="F216" s="250"/>
      <c r="G216" s="254" t="s">
        <v>167</v>
      </c>
      <c r="H216" s="251"/>
    </row>
    <row r="217">
      <c r="A217" s="265"/>
      <c r="B217" s="247">
        <v>20600.0</v>
      </c>
      <c r="C217" s="248"/>
      <c r="D217" s="249"/>
      <c r="F217" s="250"/>
      <c r="G217" s="254" t="s">
        <v>75</v>
      </c>
      <c r="H217" s="251"/>
    </row>
    <row r="218">
      <c r="A218" s="265"/>
      <c r="B218" s="247">
        <v>33832.21</v>
      </c>
      <c r="C218" s="252"/>
      <c r="D218" s="253"/>
      <c r="F218" s="250"/>
      <c r="G218" s="254" t="s">
        <v>415</v>
      </c>
      <c r="H218" s="251"/>
    </row>
    <row r="219">
      <c r="A219" s="265"/>
      <c r="B219" s="247"/>
      <c r="C219" s="252"/>
      <c r="D219" s="253"/>
      <c r="F219" s="250">
        <v>7380.0</v>
      </c>
      <c r="G219" s="254" t="s">
        <v>416</v>
      </c>
      <c r="H219" s="251"/>
    </row>
    <row r="220">
      <c r="A220" s="265"/>
      <c r="B220" s="247">
        <v>47816.18</v>
      </c>
      <c r="C220" s="252"/>
      <c r="D220" s="253"/>
      <c r="F220" s="250"/>
      <c r="G220" s="254" t="s">
        <v>92</v>
      </c>
      <c r="H220" s="251"/>
    </row>
    <row r="221">
      <c r="A221" s="265"/>
      <c r="B221" s="247"/>
      <c r="C221" s="252"/>
      <c r="D221" s="253"/>
      <c r="F221" s="250"/>
      <c r="G221" s="254" t="s">
        <v>84</v>
      </c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417</v>
      </c>
      <c r="B226" s="239">
        <v>65812.87</v>
      </c>
      <c r="C226" s="263"/>
      <c r="D226" s="264"/>
      <c r="E226" s="287"/>
      <c r="F226" s="243"/>
      <c r="G226" s="276" t="s">
        <v>100</v>
      </c>
      <c r="H226" s="245">
        <v>113.0</v>
      </c>
      <c r="I226" s="254" t="s">
        <v>107</v>
      </c>
      <c r="J226" s="254"/>
      <c r="K226" s="254"/>
    </row>
    <row r="227">
      <c r="A227" s="265"/>
      <c r="B227" s="247">
        <v>19900.0</v>
      </c>
      <c r="C227" s="252"/>
      <c r="D227" s="249"/>
      <c r="F227" s="250"/>
      <c r="G227" s="254" t="s">
        <v>76</v>
      </c>
      <c r="H227" s="251"/>
      <c r="I227" s="269"/>
      <c r="J227" s="254"/>
      <c r="K227" s="254"/>
    </row>
    <row r="228">
      <c r="A228" s="265"/>
      <c r="B228" s="247"/>
      <c r="C228" s="252"/>
      <c r="D228" s="249"/>
      <c r="F228" s="250"/>
      <c r="G228" s="254"/>
      <c r="H228" s="251"/>
      <c r="I228" s="269"/>
      <c r="J228" s="254"/>
      <c r="K228" s="254"/>
    </row>
    <row r="229">
      <c r="A229" s="265"/>
      <c r="B229" s="247"/>
      <c r="C229" s="248"/>
      <c r="D229" s="253"/>
      <c r="E229" s="269"/>
      <c r="F229" s="250"/>
      <c r="G229" s="254"/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/>
      <c r="G230" s="254"/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/>
      <c r="G231" s="254"/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418</v>
      </c>
      <c r="B241" s="239"/>
      <c r="C241" s="263"/>
      <c r="D241" s="241"/>
      <c r="E241" s="242"/>
      <c r="F241" s="243">
        <v>4200.0</v>
      </c>
      <c r="G241" s="2" t="s">
        <v>101</v>
      </c>
      <c r="H241" s="245">
        <v>90.0</v>
      </c>
      <c r="I241" s="2" t="s">
        <v>419</v>
      </c>
    </row>
    <row r="242">
      <c r="A242" s="265"/>
      <c r="B242" s="247">
        <v>2550.0</v>
      </c>
      <c r="C242" s="252"/>
      <c r="D242" s="249"/>
      <c r="F242" s="250"/>
      <c r="G242" s="254" t="s">
        <v>420</v>
      </c>
      <c r="H242" s="267"/>
    </row>
    <row r="243">
      <c r="A243" s="265"/>
      <c r="B243" s="247"/>
      <c r="C243" s="248"/>
      <c r="D243" s="249"/>
      <c r="F243" s="250">
        <v>52500.0</v>
      </c>
      <c r="G243" s="254" t="s">
        <v>421</v>
      </c>
      <c r="H243" s="251"/>
    </row>
    <row r="244">
      <c r="A244" s="265"/>
      <c r="B244" s="247">
        <v>18200.0</v>
      </c>
      <c r="C244" s="248"/>
      <c r="D244" s="253"/>
      <c r="F244" s="250"/>
      <c r="G244" s="254" t="s">
        <v>75</v>
      </c>
      <c r="H244" s="251"/>
      <c r="I244" s="2" t="s">
        <v>422</v>
      </c>
    </row>
    <row r="245">
      <c r="A245" s="265"/>
      <c r="B245" s="247">
        <v>15064.97</v>
      </c>
      <c r="C245" s="252"/>
      <c r="D245" s="253"/>
      <c r="F245" s="250"/>
      <c r="G245" s="254" t="s">
        <v>82</v>
      </c>
      <c r="H245" s="267"/>
    </row>
    <row r="246">
      <c r="A246" s="265"/>
      <c r="B246" s="247"/>
      <c r="C246" s="248"/>
      <c r="D246" s="253"/>
      <c r="F246" s="250">
        <v>1750.0</v>
      </c>
      <c r="G246" s="254" t="s">
        <v>423</v>
      </c>
      <c r="H246" s="267"/>
    </row>
    <row r="247">
      <c r="A247" s="265"/>
      <c r="B247" s="247"/>
      <c r="C247" s="248"/>
      <c r="D247" s="249"/>
      <c r="F247" s="250"/>
      <c r="G247" s="254" t="s">
        <v>424</v>
      </c>
      <c r="H247" s="251"/>
    </row>
    <row r="248">
      <c r="A248" s="265"/>
      <c r="B248" s="247">
        <v>16667.45</v>
      </c>
      <c r="C248" s="252"/>
      <c r="D248" s="253"/>
      <c r="F248" s="250"/>
      <c r="G248" s="254" t="s">
        <v>425</v>
      </c>
      <c r="H248" s="251"/>
    </row>
    <row r="249">
      <c r="A249" s="265"/>
      <c r="B249" s="247"/>
      <c r="C249" s="252"/>
      <c r="D249" s="253"/>
      <c r="F249" s="250">
        <v>6000.0</v>
      </c>
      <c r="G249" s="254" t="s">
        <v>426</v>
      </c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427</v>
      </c>
      <c r="B255" s="239">
        <v>4422.6</v>
      </c>
      <c r="C255" s="263"/>
      <c r="D255" s="264"/>
      <c r="E255" s="242"/>
      <c r="F255" s="243"/>
      <c r="G255" s="276" t="s">
        <v>323</v>
      </c>
      <c r="H255" s="245">
        <v>94.0</v>
      </c>
      <c r="I255" s="2" t="s">
        <v>107</v>
      </c>
    </row>
    <row r="256">
      <c r="A256" s="265"/>
      <c r="B256" s="247"/>
      <c r="C256" s="248">
        <v>43378.88</v>
      </c>
      <c r="D256" s="253"/>
      <c r="F256" s="250"/>
      <c r="G256" s="254" t="s">
        <v>89</v>
      </c>
      <c r="H256" s="251"/>
    </row>
    <row r="257">
      <c r="A257" s="265"/>
      <c r="B257" s="247"/>
      <c r="C257" s="252"/>
      <c r="D257" s="249"/>
      <c r="F257" s="250">
        <v>15000.0</v>
      </c>
      <c r="G257" s="254" t="s">
        <v>68</v>
      </c>
      <c r="H257" s="251"/>
    </row>
    <row r="258">
      <c r="A258" s="265"/>
      <c r="B258" s="247"/>
      <c r="C258" s="248"/>
      <c r="D258" s="249"/>
      <c r="F258" s="250"/>
      <c r="G258" s="254"/>
      <c r="H258" s="251"/>
    </row>
    <row r="259">
      <c r="A259" s="265"/>
      <c r="B259" s="247"/>
      <c r="C259" s="248"/>
      <c r="D259" s="249"/>
      <c r="F259" s="250"/>
      <c r="G259" s="254"/>
      <c r="H259" s="251"/>
    </row>
    <row r="260">
      <c r="A260" s="265"/>
      <c r="B260" s="247"/>
      <c r="C260" s="248"/>
      <c r="D260" s="249"/>
      <c r="F260" s="250"/>
      <c r="G260" s="254"/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52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53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428</v>
      </c>
      <c r="B270" s="239"/>
      <c r="C270" s="263"/>
      <c r="D270" s="253"/>
      <c r="F270" s="250"/>
      <c r="G270" s="254"/>
      <c r="H270" s="245">
        <v>12.0</v>
      </c>
      <c r="I270" s="2" t="s">
        <v>107</v>
      </c>
    </row>
    <row r="271">
      <c r="A271" s="265"/>
      <c r="B271" s="247"/>
      <c r="C271" s="248"/>
      <c r="D271" s="249">
        <v>44100.0</v>
      </c>
      <c r="F271" s="250"/>
      <c r="G271" s="254" t="s">
        <v>75</v>
      </c>
      <c r="H271" s="267"/>
    </row>
    <row r="272">
      <c r="A272" s="265"/>
      <c r="B272" s="247">
        <v>31000.0</v>
      </c>
      <c r="C272" s="252"/>
      <c r="D272" s="253"/>
      <c r="F272" s="250"/>
      <c r="G272" s="254" t="s">
        <v>122</v>
      </c>
      <c r="H272" s="251"/>
    </row>
    <row r="273">
      <c r="A273" s="265"/>
      <c r="B273" s="247">
        <v>13545.75</v>
      </c>
      <c r="C273" s="248"/>
      <c r="D273" s="249"/>
      <c r="F273" s="250"/>
      <c r="G273" s="254" t="s">
        <v>82</v>
      </c>
      <c r="H273" s="251"/>
    </row>
    <row r="274">
      <c r="A274" s="265"/>
      <c r="B274" s="247"/>
      <c r="C274" s="248"/>
      <c r="D274" s="249">
        <v>11070.0</v>
      </c>
      <c r="F274" s="250"/>
      <c r="G274" s="254" t="s">
        <v>73</v>
      </c>
      <c r="H274" s="251"/>
    </row>
    <row r="275">
      <c r="A275" s="265"/>
      <c r="B275" s="247"/>
      <c r="C275" s="248"/>
      <c r="D275" s="249">
        <v>29399.0</v>
      </c>
      <c r="F275" s="250"/>
      <c r="G275" s="254" t="s">
        <v>74</v>
      </c>
      <c r="H275" s="251"/>
    </row>
    <row r="276">
      <c r="A276" s="265"/>
      <c r="B276" s="247"/>
      <c r="C276" s="248"/>
      <c r="D276" s="249"/>
      <c r="F276" s="250">
        <v>52500.0</v>
      </c>
      <c r="G276" s="254" t="s">
        <v>421</v>
      </c>
      <c r="H276" s="251"/>
    </row>
    <row r="277">
      <c r="A277" s="265"/>
      <c r="B277" s="247"/>
      <c r="C277" s="248"/>
      <c r="D277" s="249"/>
      <c r="F277" s="250">
        <v>30000.0</v>
      </c>
      <c r="G277" s="254" t="s">
        <v>120</v>
      </c>
      <c r="H277" s="251"/>
    </row>
    <row r="278">
      <c r="A278" s="265"/>
      <c r="B278" s="247"/>
      <c r="C278" s="252"/>
      <c r="D278" s="249"/>
      <c r="F278" s="250">
        <v>13500.0</v>
      </c>
      <c r="G278" s="254" t="s">
        <v>429</v>
      </c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430</v>
      </c>
      <c r="B283" s="239"/>
      <c r="C283" s="263">
        <f>114063.74</f>
        <v>114063.74</v>
      </c>
      <c r="D283" s="264"/>
      <c r="E283" s="244"/>
      <c r="F283" s="243"/>
      <c r="G283" s="276" t="s">
        <v>71</v>
      </c>
      <c r="H283" s="245">
        <v>25000.0</v>
      </c>
      <c r="I283" s="2" t="s">
        <v>431</v>
      </c>
    </row>
    <row r="284">
      <c r="A284" s="265"/>
      <c r="B284" s="247"/>
      <c r="C284" s="252"/>
      <c r="D284" s="249">
        <f>32307.04+4031.04</f>
        <v>36338.08</v>
      </c>
      <c r="E284" s="2" t="s">
        <v>306</v>
      </c>
      <c r="F284" s="250"/>
      <c r="G284" s="254" t="s">
        <v>91</v>
      </c>
      <c r="H284" s="267">
        <v>70.0</v>
      </c>
      <c r="I284" s="2" t="s">
        <v>72</v>
      </c>
    </row>
    <row r="285">
      <c r="A285" s="265"/>
      <c r="B285" s="247"/>
      <c r="C285" s="248"/>
      <c r="D285" s="249">
        <v>52080.71</v>
      </c>
      <c r="F285" s="250"/>
      <c r="G285" s="254" t="s">
        <v>114</v>
      </c>
      <c r="H285" s="251"/>
    </row>
    <row r="286">
      <c r="A286" s="265"/>
      <c r="B286" s="247"/>
      <c r="C286" s="248"/>
      <c r="D286" s="249"/>
      <c r="F286" s="250">
        <v>11000.0</v>
      </c>
      <c r="G286" s="254" t="s">
        <v>432</v>
      </c>
      <c r="H286" s="251"/>
    </row>
    <row r="287">
      <c r="A287" s="265"/>
      <c r="B287" s="247"/>
      <c r="C287" s="252"/>
      <c r="D287" s="249"/>
      <c r="F287" s="250">
        <v>18000.0</v>
      </c>
      <c r="G287" s="254" t="s">
        <v>433</v>
      </c>
      <c r="H287" s="251"/>
    </row>
    <row r="288">
      <c r="A288" s="265"/>
      <c r="B288" s="247">
        <v>5547.0</v>
      </c>
      <c r="C288" s="248"/>
      <c r="D288" s="249"/>
      <c r="F288" s="250"/>
      <c r="G288" s="254" t="s">
        <v>434</v>
      </c>
      <c r="H288" s="251"/>
    </row>
    <row r="289">
      <c r="A289" s="265"/>
      <c r="B289" s="247"/>
      <c r="C289" s="248"/>
      <c r="D289" s="249"/>
      <c r="F289" s="250">
        <v>4300.0</v>
      </c>
      <c r="G289" s="254" t="s">
        <v>101</v>
      </c>
      <c r="H289" s="251"/>
    </row>
    <row r="290">
      <c r="A290" s="265"/>
      <c r="B290" s="247"/>
      <c r="C290" s="248"/>
      <c r="D290" s="249"/>
      <c r="F290" s="250">
        <v>467.0</v>
      </c>
      <c r="G290" s="254" t="s">
        <v>435</v>
      </c>
      <c r="H290" s="251"/>
    </row>
    <row r="291">
      <c r="A291" s="265"/>
      <c r="B291" s="247"/>
      <c r="C291" s="252"/>
      <c r="D291" s="249"/>
      <c r="F291" s="250">
        <v>378.0</v>
      </c>
      <c r="G291" s="254" t="s">
        <v>97</v>
      </c>
      <c r="H291" s="251"/>
    </row>
    <row r="292">
      <c r="A292" s="265"/>
      <c r="B292" s="247">
        <v>11620.0</v>
      </c>
      <c r="C292" s="252"/>
      <c r="D292" s="249"/>
      <c r="F292" s="250"/>
      <c r="G292" s="254" t="s">
        <v>351</v>
      </c>
      <c r="H292" s="251"/>
    </row>
    <row r="293">
      <c r="A293" s="265"/>
      <c r="B293" s="247">
        <v>31000.0</v>
      </c>
      <c r="C293" s="252"/>
      <c r="D293" s="253"/>
      <c r="F293" s="250"/>
      <c r="G293" s="254" t="s">
        <v>76</v>
      </c>
      <c r="H293" s="251"/>
    </row>
    <row r="294">
      <c r="A294" s="265"/>
      <c r="B294" s="268"/>
      <c r="C294" s="252"/>
      <c r="D294" s="253"/>
      <c r="F294" s="250">
        <v>3000.0</v>
      </c>
      <c r="G294" s="254" t="s">
        <v>436</v>
      </c>
      <c r="H294" s="251"/>
    </row>
    <row r="295">
      <c r="A295" s="265"/>
      <c r="B295" s="268"/>
      <c r="C295" s="252"/>
      <c r="D295" s="253"/>
      <c r="F295" s="250">
        <v>17500.0</v>
      </c>
      <c r="G295" s="254" t="s">
        <v>437</v>
      </c>
      <c r="H295" s="251"/>
    </row>
    <row r="296">
      <c r="A296" s="265"/>
      <c r="B296" s="278"/>
      <c r="C296" s="252"/>
      <c r="D296" s="253"/>
      <c r="F296" s="250">
        <v>84750.0</v>
      </c>
      <c r="G296" s="254" t="s">
        <v>438</v>
      </c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439</v>
      </c>
      <c r="B299" s="239">
        <v>14100.0</v>
      </c>
      <c r="C299" s="263"/>
      <c r="D299" s="241"/>
      <c r="E299" s="242"/>
      <c r="F299" s="243"/>
      <c r="G299" s="276" t="s">
        <v>75</v>
      </c>
      <c r="H299" s="245">
        <v>70.0</v>
      </c>
      <c r="I299" s="2" t="s">
        <v>72</v>
      </c>
    </row>
    <row r="300">
      <c r="A300" s="265"/>
      <c r="B300" s="247"/>
      <c r="C300" s="248"/>
      <c r="D300" s="249"/>
      <c r="F300" s="250">
        <v>52500.0</v>
      </c>
      <c r="G300" s="254" t="s">
        <v>440</v>
      </c>
      <c r="H300" s="267"/>
    </row>
    <row r="301">
      <c r="A301" s="265"/>
      <c r="B301" s="247">
        <v>20119.81</v>
      </c>
      <c r="C301" s="248"/>
      <c r="D301" s="253"/>
      <c r="F301" s="250"/>
      <c r="G301" s="254" t="s">
        <v>82</v>
      </c>
      <c r="H301" s="251"/>
    </row>
    <row r="302">
      <c r="A302" s="265"/>
      <c r="B302" s="247">
        <v>22000.0</v>
      </c>
      <c r="C302" s="248"/>
      <c r="D302" s="249"/>
      <c r="F302" s="250">
        <v>23809.0</v>
      </c>
      <c r="G302" s="254" t="s">
        <v>142</v>
      </c>
      <c r="H302" s="251"/>
    </row>
    <row r="303">
      <c r="A303" s="265"/>
      <c r="B303" s="247"/>
      <c r="C303" s="252"/>
      <c r="D303" s="249">
        <v>27050.0</v>
      </c>
      <c r="E303" s="2" t="s">
        <v>328</v>
      </c>
      <c r="F303" s="250"/>
      <c r="G303" s="254" t="s">
        <v>99</v>
      </c>
      <c r="H303" s="251"/>
    </row>
    <row r="304">
      <c r="A304" s="265"/>
      <c r="B304" s="247"/>
      <c r="C304" s="248"/>
      <c r="D304" s="249"/>
      <c r="F304" s="250"/>
      <c r="G304" s="254"/>
      <c r="H304" s="267"/>
    </row>
    <row r="305">
      <c r="A305" s="265"/>
      <c r="B305" s="247"/>
      <c r="C305" s="248"/>
      <c r="D305" s="253"/>
      <c r="F305" s="250"/>
      <c r="G305" s="254"/>
      <c r="H305" s="251"/>
    </row>
    <row r="306">
      <c r="A306" s="265"/>
      <c r="B306" s="247"/>
      <c r="C306" s="248"/>
      <c r="D306" s="253"/>
      <c r="F306" s="250"/>
      <c r="G306" s="254" t="s">
        <v>441</v>
      </c>
      <c r="H306" s="251"/>
    </row>
    <row r="307">
      <c r="A307" s="265"/>
      <c r="B307" s="247">
        <v>35000.0</v>
      </c>
      <c r="C307" s="252"/>
      <c r="D307" s="253"/>
      <c r="F307" s="250"/>
      <c r="G307" s="254" t="s">
        <v>442</v>
      </c>
      <c r="H307" s="251"/>
    </row>
    <row r="308">
      <c r="A308" s="265"/>
      <c r="B308" s="268"/>
      <c r="C308" s="252"/>
      <c r="D308" s="249">
        <v>59532.0</v>
      </c>
      <c r="E308" s="2" t="s">
        <v>276</v>
      </c>
      <c r="F308" s="250"/>
      <c r="G308" s="254" t="s">
        <v>235</v>
      </c>
      <c r="H308" s="251"/>
    </row>
    <row r="309">
      <c r="A309" s="265"/>
      <c r="B309" s="268"/>
      <c r="C309" s="252"/>
      <c r="D309" s="253"/>
      <c r="F309" s="250">
        <v>790.0</v>
      </c>
      <c r="G309" s="254" t="s">
        <v>443</v>
      </c>
      <c r="H309" s="251"/>
    </row>
    <row r="310">
      <c r="A310" s="265"/>
      <c r="B310" s="268"/>
      <c r="C310" s="252"/>
      <c r="D310" s="253"/>
      <c r="F310" s="250">
        <v>904.0</v>
      </c>
      <c r="G310" s="254" t="s">
        <v>444</v>
      </c>
      <c r="H310" s="251"/>
    </row>
    <row r="311">
      <c r="A311" s="265"/>
      <c r="B311" s="268"/>
      <c r="C311" s="252"/>
      <c r="D311" s="253"/>
      <c r="F311" s="250">
        <v>1550.0</v>
      </c>
      <c r="G311" s="254" t="s">
        <v>445</v>
      </c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446</v>
      </c>
      <c r="B314" s="239"/>
      <c r="C314" s="263"/>
      <c r="D314" s="264">
        <v>13725.0</v>
      </c>
      <c r="E314" s="242"/>
      <c r="F314" s="250"/>
      <c r="G314" s="254" t="s">
        <v>447</v>
      </c>
      <c r="H314" s="245"/>
      <c r="I314" s="2" t="s">
        <v>448</v>
      </c>
    </row>
    <row r="315">
      <c r="A315" s="265"/>
      <c r="B315" s="247"/>
      <c r="C315" s="252"/>
      <c r="D315" s="253"/>
      <c r="F315" s="250"/>
      <c r="G315" s="254"/>
      <c r="H315" s="267">
        <v>110.0</v>
      </c>
      <c r="I315" s="2" t="s">
        <v>72</v>
      </c>
    </row>
    <row r="316">
      <c r="A316" s="265"/>
      <c r="B316" s="247"/>
      <c r="C316" s="248"/>
      <c r="D316" s="249"/>
      <c r="F316" s="250"/>
      <c r="G316" s="254"/>
      <c r="H316" s="251"/>
    </row>
    <row r="317">
      <c r="A317" s="265"/>
      <c r="B317" s="247"/>
      <c r="C317" s="248"/>
      <c r="D317" s="249"/>
      <c r="F317" s="250"/>
      <c r="G317" s="254"/>
      <c r="H317" s="251"/>
    </row>
    <row r="318">
      <c r="A318" s="265"/>
      <c r="B318" s="247"/>
      <c r="C318" s="252"/>
      <c r="D318" s="249"/>
      <c r="F318" s="250"/>
      <c r="G318" s="254"/>
      <c r="H318" s="251"/>
    </row>
    <row r="319">
      <c r="A319" s="265"/>
      <c r="B319" s="247"/>
      <c r="C319" s="252"/>
      <c r="D319" s="249"/>
      <c r="F319" s="250"/>
      <c r="G319" s="254"/>
      <c r="H319" s="267"/>
    </row>
    <row r="320">
      <c r="A320" s="265"/>
      <c r="B320" s="247"/>
      <c r="C320" s="252"/>
      <c r="D320" s="249"/>
      <c r="F320" s="250"/>
      <c r="G320" s="254"/>
      <c r="H320" s="251"/>
    </row>
    <row r="321">
      <c r="A321" s="265"/>
      <c r="B321" s="247"/>
      <c r="C321" s="252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449</v>
      </c>
      <c r="B329" s="239">
        <v>31850.0</v>
      </c>
      <c r="C329" s="263"/>
      <c r="D329" s="264"/>
      <c r="E329" s="242"/>
      <c r="F329" s="243"/>
      <c r="G329" s="244" t="s">
        <v>75</v>
      </c>
      <c r="H329" s="245"/>
    </row>
    <row r="330">
      <c r="A330" s="265"/>
      <c r="B330" s="247">
        <v>33561.37</v>
      </c>
      <c r="C330" s="248"/>
      <c r="D330" s="249"/>
      <c r="F330" s="250"/>
      <c r="G330" s="2" t="s">
        <v>82</v>
      </c>
      <c r="H330" s="267"/>
    </row>
    <row r="331">
      <c r="A331" s="265"/>
      <c r="B331" s="247"/>
      <c r="C331" s="248"/>
      <c r="D331" s="249">
        <v>58944.96</v>
      </c>
      <c r="F331" s="250"/>
      <c r="G331" s="2" t="s">
        <v>450</v>
      </c>
      <c r="H331" s="251"/>
    </row>
    <row r="332">
      <c r="A332" s="265"/>
      <c r="B332" s="247">
        <v>12530.0</v>
      </c>
      <c r="C332" s="248"/>
      <c r="D332" s="249"/>
      <c r="F332" s="250"/>
      <c r="G332" s="2" t="s">
        <v>451</v>
      </c>
      <c r="H332" s="251"/>
    </row>
    <row r="333">
      <c r="A333" s="265"/>
      <c r="B333" s="247">
        <v>7000.0</v>
      </c>
      <c r="C333" s="248"/>
      <c r="D333" s="253"/>
      <c r="F333" s="250">
        <v>4200.0</v>
      </c>
      <c r="G333" s="2" t="s">
        <v>101</v>
      </c>
      <c r="H333" s="251"/>
    </row>
    <row r="334">
      <c r="A334" s="265"/>
      <c r="B334" s="247"/>
      <c r="C334" s="248"/>
      <c r="D334" s="249"/>
      <c r="F334" s="250"/>
      <c r="H334" s="251"/>
    </row>
    <row r="335">
      <c r="A335" s="265"/>
      <c r="B335" s="247"/>
      <c r="C335" s="252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452</v>
      </c>
      <c r="B343" s="239"/>
      <c r="C343" s="263">
        <v>47380.0</v>
      </c>
      <c r="D343" s="264"/>
      <c r="E343" s="242"/>
      <c r="F343" s="243"/>
      <c r="G343" s="244" t="s">
        <v>89</v>
      </c>
      <c r="H343" s="245"/>
    </row>
    <row r="344">
      <c r="A344" s="265"/>
      <c r="B344" s="247"/>
      <c r="C344" s="248"/>
      <c r="D344" s="249"/>
      <c r="F344" s="250">
        <v>10000.0</v>
      </c>
      <c r="G344" s="2" t="s">
        <v>453</v>
      </c>
      <c r="H344" s="267"/>
    </row>
    <row r="345">
      <c r="A345" s="265"/>
      <c r="B345" s="247"/>
      <c r="C345" s="248"/>
      <c r="D345" s="249"/>
      <c r="F345" s="250"/>
      <c r="G345" s="2" t="s">
        <v>454</v>
      </c>
      <c r="H345" s="267"/>
    </row>
    <row r="346">
      <c r="A346" s="265"/>
      <c r="B346" s="247"/>
      <c r="C346" s="248"/>
      <c r="D346" s="249"/>
      <c r="F346" s="250"/>
      <c r="H346" s="251"/>
    </row>
    <row r="347">
      <c r="A347" s="265"/>
      <c r="B347" s="247"/>
      <c r="C347" s="248"/>
      <c r="D347" s="249"/>
      <c r="F347" s="250"/>
      <c r="H347" s="251"/>
    </row>
    <row r="348">
      <c r="A348" s="265"/>
      <c r="B348" s="247"/>
      <c r="C348" s="252"/>
      <c r="D348" s="249"/>
      <c r="F348" s="250"/>
      <c r="H348" s="251"/>
    </row>
    <row r="349">
      <c r="A349" s="265"/>
      <c r="B349" s="247"/>
      <c r="C349" s="252"/>
      <c r="D349" s="249"/>
      <c r="F349" s="250"/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/>
      <c r="B361" s="239"/>
      <c r="C361" s="240"/>
      <c r="D361" s="264"/>
      <c r="E361" s="242"/>
      <c r="F361" s="243"/>
      <c r="G361" s="244"/>
      <c r="H361" s="245"/>
    </row>
    <row r="362">
      <c r="A362" s="265"/>
      <c r="B362" s="247"/>
      <c r="C362" s="248"/>
      <c r="D362" s="249"/>
      <c r="F362" s="250"/>
      <c r="H362" s="267"/>
    </row>
    <row r="363">
      <c r="A363" s="265"/>
      <c r="B363" s="247"/>
      <c r="C363" s="248"/>
      <c r="D363" s="253"/>
      <c r="F363" s="250"/>
      <c r="H363" s="267"/>
    </row>
    <row r="364">
      <c r="A364" s="265"/>
      <c r="B364" s="247"/>
      <c r="C364" s="248"/>
      <c r="D364" s="249"/>
      <c r="F364" s="250"/>
      <c r="H364" s="251"/>
    </row>
    <row r="365">
      <c r="A365" s="265"/>
      <c r="B365" s="247"/>
      <c r="C365" s="252"/>
      <c r="D365" s="249"/>
      <c r="F365" s="250"/>
      <c r="H365" s="251"/>
    </row>
    <row r="366">
      <c r="A366" s="265"/>
      <c r="B366" s="247"/>
      <c r="C366" s="252"/>
      <c r="D366" s="253"/>
      <c r="F366" s="250"/>
      <c r="H366" s="251"/>
    </row>
    <row r="367">
      <c r="A367" s="265"/>
      <c r="B367" s="247"/>
      <c r="C367" s="252"/>
      <c r="D367" s="253"/>
      <c r="F367" s="250"/>
      <c r="H367" s="251"/>
    </row>
    <row r="368">
      <c r="A368" s="265"/>
      <c r="B368" s="268"/>
      <c r="C368" s="252"/>
      <c r="D368" s="249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40"/>
      <c r="D379" s="264"/>
      <c r="E379" s="242"/>
      <c r="F379" s="243"/>
      <c r="H379" s="245"/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/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14464.66</v>
      </c>
      <c r="F391" s="250"/>
      <c r="G391" s="2" t="s">
        <v>190</v>
      </c>
      <c r="H391" s="294">
        <v>45020.0</v>
      </c>
    </row>
    <row r="392">
      <c r="A392" s="265"/>
      <c r="B392" s="247"/>
      <c r="C392" s="248"/>
      <c r="D392" s="249">
        <v>5418.56</v>
      </c>
      <c r="F392" s="250"/>
      <c r="G392" s="2" t="s">
        <v>191</v>
      </c>
      <c r="H392" s="294">
        <v>45020.0</v>
      </c>
      <c r="I392" s="2" t="s">
        <v>455</v>
      </c>
    </row>
    <row r="393">
      <c r="A393" s="265"/>
      <c r="B393" s="268"/>
      <c r="C393" s="252"/>
      <c r="D393" s="249">
        <v>66550.0</v>
      </c>
      <c r="F393" s="250"/>
      <c r="G393" s="2" t="s">
        <v>192</v>
      </c>
      <c r="H393" s="294">
        <v>45035.0</v>
      </c>
    </row>
    <row r="394">
      <c r="A394" s="265"/>
      <c r="B394" s="268"/>
      <c r="C394" s="252"/>
      <c r="D394" s="253"/>
      <c r="F394" s="250">
        <v>46000.0</v>
      </c>
      <c r="G394" s="2" t="s">
        <v>193</v>
      </c>
      <c r="H394" s="294">
        <v>45037.0</v>
      </c>
    </row>
    <row r="395">
      <c r="A395" s="265"/>
      <c r="B395" s="247"/>
      <c r="C395" s="252"/>
      <c r="D395" s="249"/>
      <c r="F395" s="250"/>
      <c r="G395" s="2" t="s">
        <v>194</v>
      </c>
      <c r="H395" s="294"/>
    </row>
    <row r="396">
      <c r="A396" s="265"/>
      <c r="B396" s="247"/>
      <c r="C396" s="252"/>
      <c r="D396" s="249">
        <v>45000.0</v>
      </c>
      <c r="F396" s="250"/>
      <c r="G396" s="2" t="s">
        <v>196</v>
      </c>
      <c r="H396" s="294">
        <v>45020.0</v>
      </c>
      <c r="I396" s="318"/>
    </row>
    <row r="397">
      <c r="A397" s="265"/>
      <c r="B397" s="247">
        <v>8044.76</v>
      </c>
      <c r="C397" s="252"/>
      <c r="D397" s="249"/>
      <c r="F397" s="250"/>
      <c r="G397" s="2" t="s">
        <v>197</v>
      </c>
      <c r="H397" s="294"/>
      <c r="I397" s="2" t="s">
        <v>198</v>
      </c>
    </row>
    <row r="398">
      <c r="A398" s="265"/>
      <c r="B398" s="268"/>
      <c r="C398" s="252"/>
      <c r="D398" s="249">
        <v>10083.47</v>
      </c>
      <c r="F398" s="250"/>
      <c r="G398" s="2" t="s">
        <v>199</v>
      </c>
      <c r="H398" s="294"/>
      <c r="I398" s="2" t="s">
        <v>189</v>
      </c>
    </row>
    <row r="399">
      <c r="A399" s="265"/>
      <c r="B399" s="247"/>
      <c r="C399" s="252"/>
      <c r="D399" s="249">
        <v>20728.73</v>
      </c>
      <c r="F399" s="250"/>
      <c r="G399" s="2" t="s">
        <v>200</v>
      </c>
      <c r="H399" s="294"/>
      <c r="I399" s="2" t="s">
        <v>189</v>
      </c>
    </row>
    <row r="400">
      <c r="A400" s="265"/>
      <c r="B400" s="278"/>
      <c r="C400" s="248"/>
      <c r="D400" s="296">
        <v>7260.43</v>
      </c>
      <c r="F400" s="282"/>
      <c r="G400" s="2" t="s">
        <v>201</v>
      </c>
      <c r="H400" s="294"/>
      <c r="I400" s="2" t="s">
        <v>189</v>
      </c>
    </row>
    <row r="401">
      <c r="A401" s="270"/>
      <c r="B401" s="278"/>
      <c r="C401" s="248"/>
      <c r="D401" s="295"/>
      <c r="F401" s="282"/>
      <c r="H401" s="294"/>
    </row>
    <row r="402">
      <c r="A402" s="299"/>
      <c r="B402" s="278"/>
      <c r="C402" s="248"/>
      <c r="D402" s="300">
        <v>256141.81</v>
      </c>
      <c r="F402" s="282"/>
      <c r="G402" s="2" t="s">
        <v>202</v>
      </c>
      <c r="H402" s="301">
        <v>45028.0</v>
      </c>
      <c r="I402" s="2" t="s">
        <v>203</v>
      </c>
    </row>
    <row r="403">
      <c r="A403" s="299"/>
      <c r="B403" s="278"/>
      <c r="C403" s="248"/>
      <c r="D403" s="295"/>
      <c r="F403" s="250"/>
      <c r="G403" s="2" t="s">
        <v>204</v>
      </c>
      <c r="H403" s="301"/>
    </row>
    <row r="404">
      <c r="A404" s="299"/>
      <c r="B404" s="278"/>
      <c r="C404" s="252"/>
      <c r="D404" s="253"/>
      <c r="F404" s="250"/>
      <c r="G404" s="2" t="s">
        <v>205</v>
      </c>
      <c r="H404" s="302"/>
    </row>
    <row r="405">
      <c r="A405" s="303"/>
      <c r="B405" s="268"/>
      <c r="C405" s="252"/>
      <c r="D405" s="249"/>
      <c r="F405" s="250"/>
      <c r="G405" s="2" t="s">
        <v>206</v>
      </c>
      <c r="H405" s="294"/>
      <c r="I405" s="2" t="s">
        <v>203</v>
      </c>
    </row>
    <row r="406">
      <c r="A406" s="303"/>
      <c r="B406" s="247"/>
      <c r="C406" s="252"/>
      <c r="D406" s="249"/>
      <c r="F406" s="250"/>
      <c r="G406" s="2" t="s">
        <v>208</v>
      </c>
      <c r="H406" s="294"/>
    </row>
    <row r="407">
      <c r="A407" s="303"/>
      <c r="B407" s="268"/>
      <c r="C407" s="252"/>
      <c r="D407" s="300">
        <v>142499.15</v>
      </c>
      <c r="F407" s="250"/>
      <c r="G407" s="2" t="s">
        <v>209</v>
      </c>
      <c r="H407" s="294">
        <v>45026.0</v>
      </c>
    </row>
    <row r="408">
      <c r="A408" s="303"/>
      <c r="B408" s="268"/>
      <c r="C408" s="252"/>
      <c r="D408" s="249"/>
      <c r="F408" s="250"/>
      <c r="H408" s="294"/>
    </row>
    <row r="409">
      <c r="A409" s="303"/>
      <c r="B409" s="268"/>
      <c r="C409" s="252"/>
      <c r="D409" s="331"/>
      <c r="F409" s="332"/>
      <c r="H409" s="251"/>
    </row>
    <row r="410">
      <c r="A410" s="303"/>
      <c r="B410" s="268"/>
      <c r="C410" s="252"/>
      <c r="D410" s="253"/>
      <c r="F410" s="250"/>
      <c r="H410" s="251"/>
    </row>
    <row r="411">
      <c r="A411" s="304"/>
      <c r="B411" s="271"/>
      <c r="C411" s="272"/>
      <c r="D411" s="273"/>
      <c r="E411" s="18"/>
      <c r="F411" s="274"/>
      <c r="G411" s="18"/>
      <c r="H411" s="261"/>
    </row>
    <row r="412">
      <c r="A412" s="305"/>
      <c r="B412" s="306"/>
      <c r="C412" s="240"/>
      <c r="D412" s="241"/>
      <c r="E412" s="242"/>
      <c r="F412" s="243"/>
      <c r="G412" s="244"/>
      <c r="H412" s="307"/>
    </row>
    <row r="413">
      <c r="A413" s="265"/>
      <c r="B413" s="268"/>
      <c r="C413" s="252"/>
      <c r="D413" s="253"/>
      <c r="F413" s="250"/>
      <c r="H413" s="251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70"/>
      <c r="B421" s="271"/>
      <c r="C421" s="272"/>
      <c r="D421" s="273"/>
      <c r="E421" s="18"/>
      <c r="F421" s="274"/>
      <c r="G421" s="18"/>
      <c r="H421" s="261"/>
    </row>
    <row r="422">
      <c r="A422" s="305"/>
      <c r="B422" s="306"/>
      <c r="C422" s="240"/>
      <c r="D422" s="241"/>
      <c r="E422" s="242"/>
      <c r="F422" s="243"/>
      <c r="G422" s="244"/>
      <c r="H422" s="307"/>
    </row>
    <row r="423">
      <c r="A423" s="265"/>
      <c r="B423" s="268"/>
      <c r="C423" s="252"/>
      <c r="D423" s="253"/>
      <c r="F423" s="250"/>
      <c r="H423" s="251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70"/>
      <c r="B431" s="271"/>
      <c r="C431" s="272"/>
      <c r="D431" s="273"/>
      <c r="E431" s="18"/>
      <c r="F431" s="274"/>
      <c r="G431" s="18"/>
      <c r="H431" s="261"/>
    </row>
    <row r="432">
      <c r="B432" s="306"/>
      <c r="C432" s="240"/>
      <c r="D432" s="241"/>
      <c r="E432" s="242"/>
      <c r="F432" s="243"/>
      <c r="G432" s="244"/>
      <c r="H432" s="307"/>
    </row>
    <row r="433">
      <c r="B433" s="268"/>
      <c r="C433" s="252"/>
      <c r="D433" s="253"/>
      <c r="F433" s="250"/>
      <c r="H433" s="251"/>
    </row>
    <row r="434">
      <c r="B434" s="268"/>
      <c r="C434" s="252"/>
      <c r="D434" s="253"/>
      <c r="F434" s="250"/>
      <c r="H434" s="251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1"/>
    <mergeCell ref="A412:A421"/>
    <mergeCell ref="A422:A431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v>1219.0</v>
      </c>
      <c r="G2" s="334" t="s">
        <v>456</v>
      </c>
      <c r="H2" s="245"/>
      <c r="I2" s="2" t="s">
        <v>457</v>
      </c>
    </row>
    <row r="3">
      <c r="A3" s="246" t="s">
        <v>458</v>
      </c>
      <c r="B3" s="312"/>
      <c r="C3" s="313"/>
      <c r="D3" s="325"/>
      <c r="E3" s="290"/>
      <c r="F3" s="335">
        <v>1792.0</v>
      </c>
      <c r="G3" s="336" t="s">
        <v>63</v>
      </c>
      <c r="H3" s="267">
        <v>80.0</v>
      </c>
      <c r="I3" s="2" t="s">
        <v>72</v>
      </c>
    </row>
    <row r="4">
      <c r="A4" s="246"/>
      <c r="B4" s="330">
        <v>31000.0</v>
      </c>
      <c r="C4" s="328"/>
      <c r="D4" s="314"/>
      <c r="E4" s="290"/>
      <c r="F4" s="335"/>
      <c r="G4" s="336" t="s">
        <v>459</v>
      </c>
      <c r="H4" s="251"/>
    </row>
    <row r="5">
      <c r="A5" s="246"/>
      <c r="B5" s="330">
        <v>32805.2</v>
      </c>
      <c r="C5" s="313"/>
      <c r="D5" s="325"/>
      <c r="E5" s="290"/>
      <c r="F5" s="291"/>
      <c r="G5" s="336" t="s">
        <v>65</v>
      </c>
      <c r="H5" s="251"/>
    </row>
    <row r="6">
      <c r="A6" s="246"/>
      <c r="B6" s="312"/>
      <c r="C6" s="313"/>
      <c r="D6" s="325"/>
      <c r="E6" s="290"/>
      <c r="F6" s="335">
        <v>5200.0</v>
      </c>
      <c r="G6" s="336" t="s">
        <v>101</v>
      </c>
      <c r="H6" s="251"/>
    </row>
    <row r="7">
      <c r="A7" s="246"/>
      <c r="B7" s="329"/>
      <c r="C7" s="313"/>
      <c r="D7" s="325"/>
      <c r="E7" s="290"/>
      <c r="F7" s="335">
        <v>10000.0</v>
      </c>
      <c r="G7" s="336" t="s">
        <v>453</v>
      </c>
      <c r="H7" s="251"/>
    </row>
    <row r="8">
      <c r="A8" s="246"/>
      <c r="B8" s="247"/>
      <c r="C8" s="248"/>
      <c r="D8" s="249"/>
      <c r="F8" s="250">
        <f>2400+2730</f>
        <v>5130</v>
      </c>
      <c r="G8" s="254" t="s">
        <v>460</v>
      </c>
      <c r="H8" s="251"/>
    </row>
    <row r="9">
      <c r="A9" s="246"/>
      <c r="B9" s="247"/>
      <c r="C9" s="248">
        <f>43784.52</f>
        <v>43784.52</v>
      </c>
      <c r="D9" s="249"/>
      <c r="F9" s="250"/>
      <c r="G9" s="254" t="s">
        <v>71</v>
      </c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461</v>
      </c>
      <c r="B15" s="239">
        <v>9933.5</v>
      </c>
      <c r="C15" s="263"/>
      <c r="D15" s="264"/>
      <c r="E15" s="242"/>
      <c r="F15" s="250"/>
      <c r="G15" s="2" t="s">
        <v>82</v>
      </c>
      <c r="H15" s="245"/>
      <c r="I15" s="2" t="s">
        <v>462</v>
      </c>
    </row>
    <row r="16">
      <c r="A16" s="265"/>
      <c r="B16" s="247">
        <v>40550.0</v>
      </c>
      <c r="C16" s="248"/>
      <c r="D16" s="249"/>
      <c r="F16" s="266"/>
      <c r="G16" s="2" t="s">
        <v>75</v>
      </c>
      <c r="H16" s="267">
        <v>100.0</v>
      </c>
      <c r="I16" s="2" t="s">
        <v>72</v>
      </c>
    </row>
    <row r="17">
      <c r="A17" s="265"/>
      <c r="B17" s="247">
        <v>26759.58</v>
      </c>
      <c r="C17" s="248"/>
      <c r="D17" s="249"/>
      <c r="F17" s="250"/>
      <c r="G17" s="2" t="s">
        <v>74</v>
      </c>
      <c r="H17" s="251"/>
    </row>
    <row r="18">
      <c r="A18" s="265"/>
      <c r="B18" s="247">
        <v>2812.95</v>
      </c>
      <c r="C18" s="252"/>
      <c r="D18" s="249"/>
      <c r="F18" s="250"/>
      <c r="G18" s="2" t="s">
        <v>73</v>
      </c>
      <c r="H18" s="251"/>
    </row>
    <row r="19">
      <c r="A19" s="265"/>
      <c r="B19" s="247"/>
      <c r="C19" s="248">
        <v>13105.92</v>
      </c>
      <c r="D19" s="249"/>
      <c r="F19" s="250"/>
      <c r="G19" s="2" t="s">
        <v>84</v>
      </c>
      <c r="H19" s="251"/>
    </row>
    <row r="20">
      <c r="A20" s="265"/>
      <c r="B20" s="247"/>
      <c r="C20" s="248"/>
      <c r="D20" s="249">
        <v>56510.0</v>
      </c>
      <c r="F20" s="250"/>
      <c r="G20" s="2" t="s">
        <v>92</v>
      </c>
      <c r="H20" s="251"/>
    </row>
    <row r="21">
      <c r="A21" s="265"/>
      <c r="B21" s="247"/>
      <c r="C21" s="252"/>
      <c r="D21" s="253"/>
      <c r="F21" s="250">
        <v>52500.0</v>
      </c>
      <c r="G21" s="254" t="s">
        <v>421</v>
      </c>
      <c r="H21" s="251"/>
    </row>
    <row r="22">
      <c r="A22" s="265"/>
      <c r="B22" s="247">
        <v>1633.0</v>
      </c>
      <c r="C22" s="252"/>
      <c r="D22" s="249"/>
      <c r="F22" s="250"/>
      <c r="G22" s="254" t="s">
        <v>463</v>
      </c>
      <c r="H22" s="267"/>
    </row>
    <row r="23">
      <c r="A23" s="265"/>
      <c r="B23" s="247">
        <v>1118.0</v>
      </c>
      <c r="C23" s="252"/>
      <c r="D23" s="253"/>
      <c r="F23" s="250"/>
      <c r="G23" s="254" t="s">
        <v>464</v>
      </c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465</v>
      </c>
      <c r="B28" s="239"/>
      <c r="C28" s="240"/>
      <c r="D28" s="264">
        <v>49549.5</v>
      </c>
      <c r="E28" s="244" t="s">
        <v>276</v>
      </c>
      <c r="F28" s="243"/>
      <c r="G28" s="276" t="s">
        <v>167</v>
      </c>
      <c r="H28" s="245">
        <v>108.0</v>
      </c>
      <c r="I28" s="2" t="s">
        <v>107</v>
      </c>
    </row>
    <row r="29">
      <c r="A29" s="265"/>
      <c r="B29" s="247"/>
      <c r="C29" s="248">
        <v>10329.08</v>
      </c>
      <c r="D29" s="249"/>
      <c r="F29" s="250"/>
      <c r="G29" s="2" t="s">
        <v>74</v>
      </c>
      <c r="H29" s="267"/>
    </row>
    <row r="30">
      <c r="A30" s="265"/>
      <c r="B30" s="247"/>
      <c r="C30" s="248">
        <v>15389.06</v>
      </c>
      <c r="D30" s="249"/>
      <c r="F30" s="250"/>
      <c r="G30" s="254" t="s">
        <v>73</v>
      </c>
      <c r="H30" s="251"/>
    </row>
    <row r="31">
      <c r="A31" s="265"/>
      <c r="B31" s="247"/>
      <c r="C31" s="248"/>
      <c r="D31" s="249"/>
      <c r="F31" s="250"/>
      <c r="G31" s="254"/>
      <c r="H31" s="251"/>
    </row>
    <row r="32">
      <c r="A32" s="265"/>
      <c r="B32" s="247"/>
      <c r="C32" s="252"/>
      <c r="D32" s="249"/>
      <c r="F32" s="250"/>
      <c r="G32" s="254"/>
      <c r="H32" s="251"/>
    </row>
    <row r="33">
      <c r="A33" s="265"/>
      <c r="B33" s="247"/>
      <c r="C33" s="248"/>
      <c r="D33" s="249"/>
      <c r="F33" s="250"/>
      <c r="G33" s="254"/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32050.0</v>
      </c>
      <c r="C42" s="248"/>
      <c r="D42" s="249"/>
      <c r="F42" s="250"/>
      <c r="G42" s="254" t="s">
        <v>75</v>
      </c>
      <c r="H42" s="267">
        <v>75.5</v>
      </c>
      <c r="I42" s="2" t="s">
        <v>72</v>
      </c>
    </row>
    <row r="43">
      <c r="A43" s="280"/>
      <c r="B43" s="277">
        <v>4966.75</v>
      </c>
      <c r="C43" s="248"/>
      <c r="D43" s="249"/>
      <c r="F43" s="250"/>
      <c r="G43" s="254" t="s">
        <v>82</v>
      </c>
      <c r="H43" s="267"/>
    </row>
    <row r="44">
      <c r="A44" s="280" t="s">
        <v>466</v>
      </c>
      <c r="B44" s="247"/>
      <c r="C44" s="248"/>
      <c r="D44" s="249"/>
      <c r="F44" s="250">
        <v>5800.0</v>
      </c>
      <c r="G44" s="254" t="s">
        <v>62</v>
      </c>
      <c r="H44" s="251"/>
    </row>
    <row r="45">
      <c r="A45" s="265"/>
      <c r="B45" s="247"/>
      <c r="C45" s="252"/>
      <c r="D45" s="249"/>
      <c r="F45" s="250">
        <v>3600.0</v>
      </c>
      <c r="G45" s="254" t="s">
        <v>467</v>
      </c>
      <c r="H45" s="251"/>
    </row>
    <row r="46">
      <c r="A46" s="265"/>
      <c r="B46" s="247"/>
      <c r="C46" s="248"/>
      <c r="D46" s="249"/>
      <c r="F46" s="250"/>
      <c r="G46" s="254"/>
      <c r="H46" s="251"/>
    </row>
    <row r="47">
      <c r="A47" s="265"/>
      <c r="B47" s="247"/>
      <c r="C47" s="252"/>
      <c r="D47" s="249"/>
      <c r="F47" s="250"/>
      <c r="G47" s="254"/>
      <c r="H47" s="251"/>
    </row>
    <row r="48">
      <c r="A48" s="265"/>
      <c r="B48" s="247"/>
      <c r="C48" s="248"/>
      <c r="D48" s="249"/>
      <c r="F48" s="250"/>
      <c r="G48" s="254"/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468</v>
      </c>
      <c r="B54" s="239"/>
      <c r="C54" s="263"/>
      <c r="D54" s="241"/>
      <c r="E54" s="242"/>
      <c r="F54" s="243">
        <v>6500.0</v>
      </c>
      <c r="G54" s="276" t="s">
        <v>469</v>
      </c>
      <c r="H54" s="245">
        <v>80.0</v>
      </c>
      <c r="I54" s="2" t="s">
        <v>72</v>
      </c>
    </row>
    <row r="55">
      <c r="A55" s="265"/>
      <c r="B55" s="247">
        <v>4231.5</v>
      </c>
      <c r="C55" s="248"/>
      <c r="D55" s="253"/>
      <c r="F55" s="250"/>
      <c r="G55" s="254" t="s">
        <v>291</v>
      </c>
      <c r="H55" s="267"/>
    </row>
    <row r="56">
      <c r="A56" s="265"/>
      <c r="B56" s="247"/>
      <c r="C56" s="248"/>
      <c r="D56" s="253"/>
      <c r="F56" s="250"/>
      <c r="G56" s="254"/>
      <c r="H56" s="251"/>
    </row>
    <row r="57">
      <c r="A57" s="265"/>
      <c r="B57" s="247"/>
      <c r="C57" s="248"/>
      <c r="D57" s="249"/>
      <c r="F57" s="250"/>
      <c r="G57" s="254"/>
      <c r="H57" s="267"/>
    </row>
    <row r="58">
      <c r="A58" s="265"/>
      <c r="B58" s="247"/>
      <c r="C58" s="248"/>
      <c r="D58" s="253"/>
      <c r="F58" s="250"/>
      <c r="G58" s="254"/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53"/>
      <c r="F60" s="250"/>
      <c r="G60" s="254"/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68"/>
      <c r="C62" s="248"/>
      <c r="D62" s="253"/>
      <c r="F62" s="250"/>
      <c r="G62" s="254"/>
      <c r="H62" s="251"/>
    </row>
    <row r="63">
      <c r="A63" s="265"/>
      <c r="B63" s="268"/>
      <c r="C63" s="248"/>
      <c r="D63" s="249"/>
      <c r="F63" s="250"/>
      <c r="G63" s="254"/>
      <c r="H63" s="251"/>
    </row>
    <row r="64">
      <c r="A64" s="265"/>
      <c r="B64" s="268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470</v>
      </c>
      <c r="B68" s="239"/>
      <c r="C68" s="263">
        <f>69472.22</f>
        <v>69472.22</v>
      </c>
      <c r="D68" s="264"/>
      <c r="E68" s="244"/>
      <c r="F68" s="243"/>
      <c r="G68" s="276" t="s">
        <v>71</v>
      </c>
      <c r="H68" s="245">
        <v>70.0</v>
      </c>
      <c r="I68" s="2" t="s">
        <v>72</v>
      </c>
    </row>
    <row r="69">
      <c r="A69" s="265"/>
      <c r="B69" s="247">
        <v>9933.5</v>
      </c>
      <c r="C69" s="248"/>
      <c r="D69" s="249"/>
      <c r="F69" s="250"/>
      <c r="G69" s="254" t="s">
        <v>82</v>
      </c>
      <c r="H69" s="267"/>
    </row>
    <row r="70">
      <c r="A70" s="265"/>
      <c r="B70" s="247">
        <v>23550.0</v>
      </c>
      <c r="C70" s="252"/>
      <c r="D70" s="249"/>
      <c r="F70" s="250"/>
      <c r="G70" s="254" t="s">
        <v>75</v>
      </c>
      <c r="H70" s="310"/>
    </row>
    <row r="71">
      <c r="A71" s="265"/>
      <c r="B71" s="247">
        <v>54000.0</v>
      </c>
      <c r="C71" s="248"/>
      <c r="D71" s="249"/>
      <c r="F71" s="250"/>
      <c r="G71" s="254" t="s">
        <v>87</v>
      </c>
      <c r="H71" s="251"/>
    </row>
    <row r="72">
      <c r="A72" s="265"/>
      <c r="B72" s="247">
        <v>36108.72</v>
      </c>
      <c r="C72" s="248"/>
      <c r="D72" s="249"/>
      <c r="F72" s="250"/>
      <c r="G72" s="254" t="s">
        <v>114</v>
      </c>
      <c r="H72" s="251"/>
    </row>
    <row r="73">
      <c r="A73" s="265"/>
      <c r="B73" s="247"/>
      <c r="C73" s="248">
        <v>47206.7</v>
      </c>
      <c r="D73" s="253"/>
      <c r="F73" s="250"/>
      <c r="G73" s="254" t="s">
        <v>89</v>
      </c>
      <c r="H73" s="251"/>
    </row>
    <row r="74">
      <c r="A74" s="265"/>
      <c r="B74" s="247"/>
      <c r="C74" s="252"/>
      <c r="D74" s="249"/>
      <c r="F74" s="250">
        <v>1000.0</v>
      </c>
      <c r="G74" s="254" t="s">
        <v>85</v>
      </c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471</v>
      </c>
      <c r="B80" s="239"/>
      <c r="C80" s="263"/>
      <c r="D80" s="241"/>
      <c r="E80" s="242"/>
      <c r="F80" s="243">
        <v>5200.0</v>
      </c>
      <c r="G80" s="276" t="s">
        <v>101</v>
      </c>
      <c r="H80" s="245"/>
      <c r="I80" s="2" t="s">
        <v>472</v>
      </c>
    </row>
    <row r="81">
      <c r="A81" s="265"/>
      <c r="B81" s="247">
        <v>31000.0</v>
      </c>
      <c r="C81" s="248"/>
      <c r="D81" s="249"/>
      <c r="F81" s="250"/>
      <c r="G81" s="254" t="s">
        <v>122</v>
      </c>
      <c r="H81" s="267">
        <v>100.0</v>
      </c>
      <c r="I81" s="2" t="s">
        <v>72</v>
      </c>
    </row>
    <row r="82">
      <c r="A82" s="265"/>
      <c r="B82" s="247">
        <v>6871.36</v>
      </c>
      <c r="C82" s="248"/>
      <c r="D82" s="249"/>
      <c r="F82" s="250"/>
      <c r="G82" s="254" t="s">
        <v>73</v>
      </c>
      <c r="H82" s="251"/>
    </row>
    <row r="83">
      <c r="A83" s="265"/>
      <c r="B83" s="247">
        <v>24517.17</v>
      </c>
      <c r="C83" s="248"/>
      <c r="D83" s="249"/>
      <c r="F83" s="250"/>
      <c r="G83" s="254" t="s">
        <v>74</v>
      </c>
      <c r="H83" s="251"/>
    </row>
    <row r="84">
      <c r="A84" s="265"/>
      <c r="B84" s="85">
        <v>12888.0</v>
      </c>
      <c r="C84" s="248"/>
      <c r="D84" s="249"/>
      <c r="F84" s="250"/>
      <c r="G84" s="254" t="s">
        <v>66</v>
      </c>
      <c r="H84" s="251"/>
    </row>
    <row r="85">
      <c r="A85" s="265"/>
      <c r="B85" s="281">
        <v>2348.0</v>
      </c>
      <c r="C85" s="252"/>
      <c r="D85" s="249"/>
      <c r="F85" s="266"/>
      <c r="G85" s="254" t="s">
        <v>473</v>
      </c>
      <c r="H85" s="251"/>
    </row>
    <row r="86">
      <c r="A86" s="265"/>
      <c r="B86" s="281"/>
      <c r="C86" s="252"/>
      <c r="D86" s="249"/>
      <c r="F86" s="250">
        <v>15000.0</v>
      </c>
      <c r="G86" s="254" t="s">
        <v>68</v>
      </c>
      <c r="H86" s="251"/>
    </row>
    <row r="87">
      <c r="A87" s="265"/>
      <c r="B87" s="247">
        <v>3458.0</v>
      </c>
      <c r="C87" s="252"/>
      <c r="D87" s="249"/>
      <c r="F87" s="250"/>
      <c r="G87" s="254" t="s">
        <v>474</v>
      </c>
      <c r="H87" s="251"/>
    </row>
    <row r="88">
      <c r="A88" s="265"/>
      <c r="B88" s="247">
        <v>28800.0</v>
      </c>
      <c r="C88" s="252"/>
      <c r="D88" s="253"/>
      <c r="E88" s="2" t="s">
        <v>306</v>
      </c>
      <c r="F88" s="250"/>
      <c r="G88" s="254" t="s">
        <v>79</v>
      </c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475</v>
      </c>
      <c r="B96" s="239">
        <f>43000-600</f>
        <v>42400</v>
      </c>
      <c r="C96" s="263"/>
      <c r="D96" s="264"/>
      <c r="E96" s="242"/>
      <c r="F96" s="250"/>
      <c r="G96" s="276" t="s">
        <v>75</v>
      </c>
      <c r="H96" s="245"/>
    </row>
    <row r="97">
      <c r="A97" s="265"/>
      <c r="B97" s="247">
        <v>14900.26</v>
      </c>
      <c r="C97" s="248"/>
      <c r="D97" s="249"/>
      <c r="F97" s="250"/>
      <c r="G97" s="254" t="s">
        <v>82</v>
      </c>
      <c r="H97" s="267"/>
      <c r="I97" s="2" t="s">
        <v>476</v>
      </c>
    </row>
    <row r="98">
      <c r="A98" s="265"/>
      <c r="B98" s="247"/>
      <c r="C98" s="248">
        <v>59978.49</v>
      </c>
      <c r="D98" s="249"/>
      <c r="F98" s="250"/>
      <c r="G98" s="254" t="s">
        <v>84</v>
      </c>
      <c r="H98" s="267"/>
    </row>
    <row r="99">
      <c r="A99" s="265"/>
      <c r="B99" s="247">
        <v>44065.19</v>
      </c>
      <c r="C99" s="248"/>
      <c r="D99" s="249"/>
      <c r="F99" s="250"/>
      <c r="G99" s="254" t="s">
        <v>142</v>
      </c>
      <c r="H99" s="251"/>
    </row>
    <row r="100">
      <c r="A100" s="265"/>
      <c r="B100" s="330"/>
      <c r="C100" s="313"/>
      <c r="D100" s="314"/>
      <c r="E100" s="290"/>
      <c r="F100" s="291">
        <f>1250+476+481</f>
        <v>2207</v>
      </c>
      <c r="G100" s="292" t="s">
        <v>477</v>
      </c>
      <c r="H100" s="251"/>
    </row>
    <row r="101">
      <c r="A101" s="265"/>
      <c r="B101" s="247"/>
      <c r="C101" s="252"/>
      <c r="D101" s="253"/>
      <c r="F101" s="250">
        <v>2000.0</v>
      </c>
      <c r="G101" s="254" t="s">
        <v>101</v>
      </c>
      <c r="H101" s="251"/>
    </row>
    <row r="102">
      <c r="A102" s="265"/>
      <c r="B102" s="247"/>
      <c r="C102" s="252"/>
      <c r="D102" s="249"/>
      <c r="F102" s="250">
        <v>1360.0</v>
      </c>
      <c r="G102" s="254" t="s">
        <v>464</v>
      </c>
      <c r="H102" s="25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52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478</v>
      </c>
      <c r="B110" s="239">
        <v>54000.0</v>
      </c>
      <c r="C110" s="263"/>
      <c r="D110" s="264"/>
      <c r="E110" s="242"/>
      <c r="F110" s="243"/>
      <c r="G110" s="276" t="s">
        <v>421</v>
      </c>
      <c r="H110" s="245">
        <v>70.0</v>
      </c>
      <c r="I110" s="2" t="s">
        <v>72</v>
      </c>
    </row>
    <row r="111">
      <c r="A111" s="265"/>
      <c r="B111" s="247"/>
      <c r="C111" s="252"/>
      <c r="D111" s="249">
        <v>82764.0</v>
      </c>
      <c r="E111" s="2" t="s">
        <v>276</v>
      </c>
      <c r="F111" s="250"/>
      <c r="G111" s="254" t="s">
        <v>167</v>
      </c>
      <c r="H111" s="267"/>
    </row>
    <row r="112">
      <c r="A112" s="265"/>
      <c r="B112" s="247">
        <v>17600.0</v>
      </c>
      <c r="C112" s="248"/>
      <c r="D112" s="249"/>
      <c r="F112" s="250"/>
      <c r="G112" s="26" t="s">
        <v>76</v>
      </c>
      <c r="H112" s="251"/>
    </row>
    <row r="113">
      <c r="A113" s="265"/>
      <c r="B113" s="247">
        <v>10707.71</v>
      </c>
      <c r="C113" s="248"/>
      <c r="D113" s="249"/>
      <c r="F113" s="250"/>
      <c r="G113" s="254" t="s">
        <v>479</v>
      </c>
      <c r="H113" s="251"/>
    </row>
    <row r="114">
      <c r="A114" s="265"/>
      <c r="B114" s="247">
        <v>14573.0</v>
      </c>
      <c r="C114" s="248"/>
      <c r="D114" s="249"/>
      <c r="F114" s="250"/>
      <c r="G114" s="254" t="s">
        <v>480</v>
      </c>
      <c r="H114" s="251"/>
    </row>
    <row r="115">
      <c r="A115" s="265"/>
      <c r="B115" s="247"/>
      <c r="C115" s="252"/>
      <c r="D115" s="249">
        <v>19000.0</v>
      </c>
      <c r="F115" s="250"/>
      <c r="G115" s="254" t="s">
        <v>481</v>
      </c>
      <c r="H115" s="251"/>
    </row>
    <row r="116">
      <c r="A116" s="265"/>
      <c r="B116" s="247">
        <v>13680.26</v>
      </c>
      <c r="C116" s="252"/>
      <c r="D116" s="253"/>
      <c r="F116" s="250"/>
      <c r="G116" s="254" t="s">
        <v>392</v>
      </c>
      <c r="H116" s="251"/>
    </row>
    <row r="117">
      <c r="A117" s="265"/>
      <c r="B117" s="247">
        <v>3755.0</v>
      </c>
      <c r="C117" s="252"/>
      <c r="D117" s="249"/>
      <c r="F117" s="250"/>
      <c r="G117" s="254" t="s">
        <v>482</v>
      </c>
      <c r="H117" s="251"/>
    </row>
    <row r="118">
      <c r="A118" s="265"/>
      <c r="B118" s="247"/>
      <c r="C118" s="252"/>
      <c r="D118" s="249">
        <v>59360.84</v>
      </c>
      <c r="F118" s="250"/>
      <c r="G118" s="254" t="s">
        <v>103</v>
      </c>
      <c r="H118" s="251"/>
    </row>
    <row r="119">
      <c r="A119" s="265"/>
      <c r="B119" s="247"/>
      <c r="C119" s="248"/>
      <c r="D119" s="253"/>
      <c r="F119" s="250">
        <v>2000.0</v>
      </c>
      <c r="G119" s="254" t="s">
        <v>101</v>
      </c>
      <c r="H119" s="251"/>
    </row>
    <row r="120">
      <c r="A120" s="265"/>
      <c r="B120" s="268"/>
      <c r="C120" s="252"/>
      <c r="D120" s="253"/>
      <c r="F120" s="250">
        <v>14000.0</v>
      </c>
      <c r="G120" s="254" t="s">
        <v>128</v>
      </c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483</v>
      </c>
      <c r="B128" s="239">
        <v>15200.0</v>
      </c>
      <c r="C128" s="263"/>
      <c r="D128" s="264"/>
      <c r="E128" s="242"/>
      <c r="F128" s="243"/>
      <c r="G128" s="276" t="s">
        <v>484</v>
      </c>
      <c r="H128" s="245"/>
    </row>
    <row r="129">
      <c r="A129" s="265"/>
      <c r="B129" s="247"/>
      <c r="C129" s="252"/>
      <c r="D129" s="249">
        <v>2280.0</v>
      </c>
      <c r="F129" s="250"/>
      <c r="G129" s="254" t="s">
        <v>484</v>
      </c>
      <c r="H129" s="267"/>
    </row>
    <row r="130">
      <c r="A130" s="265"/>
      <c r="B130" s="247"/>
      <c r="C130" s="248"/>
      <c r="D130" s="249">
        <f>39050-400</f>
        <v>38650</v>
      </c>
      <c r="F130" s="250"/>
      <c r="G130" s="254" t="s">
        <v>75</v>
      </c>
      <c r="H130" s="251"/>
    </row>
    <row r="131">
      <c r="A131" s="265"/>
      <c r="B131" s="247">
        <v>21584.83</v>
      </c>
      <c r="C131" s="248"/>
      <c r="D131" s="249"/>
      <c r="F131" s="250"/>
      <c r="G131" s="254" t="s">
        <v>82</v>
      </c>
      <c r="H131" s="251"/>
    </row>
    <row r="132">
      <c r="A132" s="265"/>
      <c r="B132" s="247"/>
      <c r="C132" s="248"/>
      <c r="D132" s="249">
        <v>39020.0</v>
      </c>
      <c r="F132" s="250"/>
      <c r="G132" s="254" t="s">
        <v>150</v>
      </c>
      <c r="H132" s="251"/>
    </row>
    <row r="133">
      <c r="A133" s="265"/>
      <c r="B133" s="247"/>
      <c r="C133" s="252"/>
      <c r="D133" s="249"/>
      <c r="F133" s="250">
        <v>6300.0</v>
      </c>
      <c r="G133" s="254" t="s">
        <v>101</v>
      </c>
      <c r="H133" s="251"/>
    </row>
    <row r="134">
      <c r="A134" s="265"/>
      <c r="B134" s="247"/>
      <c r="C134" s="252"/>
      <c r="D134" s="249"/>
      <c r="F134" s="250">
        <v>46.0</v>
      </c>
      <c r="G134" s="254" t="s">
        <v>485</v>
      </c>
      <c r="H134" s="251"/>
    </row>
    <row r="135">
      <c r="A135" s="265"/>
      <c r="B135" s="283">
        <v>9600.0</v>
      </c>
      <c r="C135" s="248"/>
      <c r="D135" s="249"/>
      <c r="F135" s="250"/>
      <c r="G135" s="254" t="s">
        <v>486</v>
      </c>
      <c r="H135" s="251"/>
    </row>
    <row r="136">
      <c r="A136" s="265"/>
      <c r="B136" s="247">
        <v>1350.0</v>
      </c>
      <c r="C136" s="248"/>
      <c r="D136" s="253"/>
      <c r="F136" s="250"/>
      <c r="G136" s="254" t="s">
        <v>229</v>
      </c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487</v>
      </c>
      <c r="B143" s="239"/>
      <c r="C143" s="263"/>
      <c r="D143" s="241"/>
      <c r="E143" s="242"/>
      <c r="F143" s="243">
        <v>15000.0</v>
      </c>
      <c r="G143" s="276" t="s">
        <v>68</v>
      </c>
      <c r="H143" s="245">
        <v>100.0</v>
      </c>
    </row>
    <row r="144">
      <c r="A144" s="265"/>
      <c r="B144" s="247"/>
      <c r="C144" s="252"/>
      <c r="D144" s="253"/>
      <c r="F144" s="250">
        <v>7900.0</v>
      </c>
      <c r="G144" s="254" t="s">
        <v>488</v>
      </c>
      <c r="H144" s="251"/>
    </row>
    <row r="145">
      <c r="A145" s="265"/>
      <c r="B145" s="247"/>
      <c r="C145" s="252"/>
      <c r="D145" s="249"/>
      <c r="F145" s="284"/>
      <c r="G145" s="285"/>
      <c r="H145" s="251"/>
    </row>
    <row r="146">
      <c r="A146" s="265"/>
      <c r="B146" s="247"/>
      <c r="C146" s="252"/>
      <c r="D146" s="253"/>
      <c r="F146" s="250"/>
      <c r="G146" s="254"/>
      <c r="H146" s="251"/>
    </row>
    <row r="147">
      <c r="A147" s="265"/>
      <c r="B147" s="247"/>
      <c r="C147" s="252"/>
      <c r="D147" s="249"/>
      <c r="F147" s="250"/>
      <c r="G147" s="254"/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489</v>
      </c>
      <c r="B158" s="239">
        <v>19752.4</v>
      </c>
      <c r="C158" s="263"/>
      <c r="D158" s="264"/>
      <c r="E158" s="242"/>
      <c r="F158" s="243"/>
      <c r="G158" s="276" t="s">
        <v>82</v>
      </c>
      <c r="H158" s="245">
        <v>80.0</v>
      </c>
      <c r="I158" s="2" t="s">
        <v>72</v>
      </c>
    </row>
    <row r="159">
      <c r="A159" s="265"/>
      <c r="B159" s="247">
        <v>54000.0</v>
      </c>
      <c r="C159" s="252"/>
      <c r="D159" s="253"/>
      <c r="F159" s="250"/>
      <c r="G159" s="254" t="s">
        <v>87</v>
      </c>
      <c r="H159" s="267"/>
    </row>
    <row r="160">
      <c r="A160" s="265"/>
      <c r="B160" s="247">
        <v>21350.0</v>
      </c>
      <c r="C160" s="248"/>
      <c r="D160" s="249"/>
      <c r="F160" s="250"/>
      <c r="G160" s="254" t="s">
        <v>75</v>
      </c>
      <c r="H160" s="251"/>
    </row>
    <row r="161">
      <c r="A161" s="265"/>
      <c r="B161" s="247"/>
      <c r="C161" s="248"/>
      <c r="D161" s="249">
        <v>34326.84</v>
      </c>
      <c r="F161" s="250"/>
      <c r="G161" s="254" t="s">
        <v>114</v>
      </c>
      <c r="H161" s="251"/>
    </row>
    <row r="162">
      <c r="A162" s="265"/>
      <c r="B162" s="247"/>
      <c r="C162" s="248"/>
      <c r="D162" s="253"/>
      <c r="F162" s="250">
        <v>1750.0</v>
      </c>
      <c r="G162" s="254" t="s">
        <v>423</v>
      </c>
      <c r="H162" s="251"/>
    </row>
    <row r="163">
      <c r="A163" s="265"/>
      <c r="B163" s="247"/>
      <c r="C163" s="248"/>
      <c r="D163" s="249"/>
      <c r="F163" s="250">
        <v>820.0</v>
      </c>
      <c r="G163" s="254" t="s">
        <v>490</v>
      </c>
      <c r="H163" s="251"/>
    </row>
    <row r="164">
      <c r="A164" s="265"/>
      <c r="B164" s="247"/>
      <c r="C164" s="248"/>
      <c r="D164" s="249"/>
      <c r="F164" s="250"/>
      <c r="G164" s="254"/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491</v>
      </c>
      <c r="B168" s="239"/>
      <c r="C168" s="263">
        <v>62470.95</v>
      </c>
      <c r="D168" s="264"/>
      <c r="E168" s="244"/>
      <c r="F168" s="250"/>
      <c r="G168" s="276" t="s">
        <v>89</v>
      </c>
      <c r="H168" s="245">
        <v>70.0</v>
      </c>
    </row>
    <row r="169">
      <c r="A169" s="265"/>
      <c r="B169" s="247">
        <v>38758.58</v>
      </c>
      <c r="C169" s="315"/>
      <c r="D169" s="249"/>
      <c r="E169" s="2" t="s">
        <v>306</v>
      </c>
      <c r="F169" s="250"/>
      <c r="G169" s="254" t="s">
        <v>74</v>
      </c>
      <c r="H169" s="267"/>
    </row>
    <row r="170">
      <c r="A170" s="265"/>
      <c r="B170" s="247">
        <v>21253.86</v>
      </c>
      <c r="C170" s="248"/>
      <c r="D170" s="249"/>
      <c r="E170" s="2" t="s">
        <v>306</v>
      </c>
      <c r="F170" s="250"/>
      <c r="G170" s="254" t="s">
        <v>73</v>
      </c>
      <c r="H170" s="267"/>
    </row>
    <row r="171">
      <c r="A171" s="265"/>
      <c r="B171" s="247"/>
      <c r="C171" s="248"/>
      <c r="D171" s="249"/>
      <c r="F171" s="250"/>
      <c r="G171" s="254"/>
      <c r="H171" s="251"/>
    </row>
    <row r="172">
      <c r="A172" s="265"/>
      <c r="B172" s="247">
        <v>9765.0</v>
      </c>
      <c r="C172" s="248"/>
      <c r="D172" s="249"/>
      <c r="E172" s="254"/>
      <c r="F172" s="250"/>
      <c r="G172" s="254" t="s">
        <v>492</v>
      </c>
      <c r="H172" s="251"/>
      <c r="I172" s="269"/>
    </row>
    <row r="173">
      <c r="A173" s="265"/>
      <c r="B173" s="247">
        <v>9600.0</v>
      </c>
      <c r="C173" s="252"/>
      <c r="D173" s="249"/>
      <c r="F173" s="250"/>
      <c r="G173" s="254" t="s">
        <v>493</v>
      </c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494</v>
      </c>
      <c r="B183" s="247">
        <v>29400.0</v>
      </c>
      <c r="C183" s="248"/>
      <c r="D183" s="253"/>
      <c r="F183" s="250"/>
      <c r="G183" s="254" t="s">
        <v>75</v>
      </c>
      <c r="H183" s="286">
        <v>62.0</v>
      </c>
    </row>
    <row r="184">
      <c r="A184" s="265"/>
      <c r="B184" s="247">
        <v>9933.5</v>
      </c>
      <c r="C184" s="248"/>
      <c r="D184" s="249"/>
      <c r="F184" s="250"/>
      <c r="G184" s="254" t="s">
        <v>82</v>
      </c>
      <c r="H184" s="251"/>
    </row>
    <row r="185">
      <c r="A185" s="265"/>
      <c r="B185" s="247"/>
      <c r="C185" s="252"/>
      <c r="D185" s="249">
        <v>35500.0</v>
      </c>
      <c r="F185" s="250"/>
      <c r="G185" s="254" t="s">
        <v>122</v>
      </c>
      <c r="H185" s="267"/>
    </row>
    <row r="186">
      <c r="A186" s="265"/>
      <c r="B186" s="247"/>
      <c r="C186" s="248">
        <v>44679.99</v>
      </c>
      <c r="D186" s="249"/>
      <c r="F186" s="250"/>
      <c r="G186" s="254" t="s">
        <v>84</v>
      </c>
      <c r="H186" s="251"/>
    </row>
    <row r="187">
      <c r="A187" s="265"/>
      <c r="B187" s="247">
        <v>41681.89</v>
      </c>
      <c r="C187" s="248"/>
      <c r="D187" s="249"/>
      <c r="F187" s="250"/>
      <c r="G187" s="254" t="s">
        <v>142</v>
      </c>
      <c r="H187" s="251"/>
    </row>
    <row r="188">
      <c r="A188" s="265"/>
      <c r="B188" s="247"/>
      <c r="C188" s="252"/>
      <c r="D188" s="249"/>
      <c r="F188" s="250"/>
      <c r="G188" s="254"/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53"/>
      <c r="F191" s="250"/>
      <c r="G191" s="254"/>
      <c r="H191" s="251"/>
    </row>
    <row r="192">
      <c r="A192" s="265"/>
      <c r="B192" s="247"/>
      <c r="C192" s="252"/>
      <c r="D192" s="249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495</v>
      </c>
      <c r="B199" s="239"/>
      <c r="C199" s="263"/>
      <c r="D199" s="264">
        <v>74834.87</v>
      </c>
      <c r="E199" s="244"/>
      <c r="F199" s="243"/>
      <c r="G199" s="276" t="s">
        <v>100</v>
      </c>
      <c r="H199" s="245">
        <v>60.0</v>
      </c>
    </row>
    <row r="200">
      <c r="A200" s="265"/>
      <c r="B200" s="247">
        <v>54000.0</v>
      </c>
      <c r="C200" s="248"/>
      <c r="D200" s="249"/>
      <c r="F200" s="250"/>
      <c r="G200" s="254" t="s">
        <v>87</v>
      </c>
      <c r="H200" s="267"/>
      <c r="I200" s="2" t="s">
        <v>496</v>
      </c>
    </row>
    <row r="201">
      <c r="A201" s="265"/>
      <c r="B201" s="247"/>
      <c r="C201" s="252"/>
      <c r="D201" s="249">
        <v>73825.02</v>
      </c>
      <c r="F201" s="250"/>
      <c r="G201" s="254" t="s">
        <v>91</v>
      </c>
      <c r="H201" s="251"/>
    </row>
    <row r="202">
      <c r="A202" s="265"/>
      <c r="B202" s="247"/>
      <c r="C202" s="248"/>
      <c r="D202" s="249">
        <v>53032.48</v>
      </c>
      <c r="F202" s="250"/>
      <c r="G202" s="254" t="s">
        <v>92</v>
      </c>
      <c r="H202" s="251"/>
    </row>
    <row r="203">
      <c r="A203" s="265"/>
      <c r="B203" s="247"/>
      <c r="C203" s="248"/>
      <c r="D203" s="249"/>
      <c r="F203" s="250">
        <v>7850.0</v>
      </c>
      <c r="G203" s="254" t="s">
        <v>101</v>
      </c>
      <c r="H203" s="251"/>
    </row>
    <row r="204">
      <c r="A204" s="265"/>
      <c r="B204" s="247"/>
      <c r="C204" s="248"/>
      <c r="D204" s="249"/>
      <c r="F204" s="250">
        <v>1300.0</v>
      </c>
      <c r="G204" s="254" t="s">
        <v>344</v>
      </c>
      <c r="H204" s="267"/>
    </row>
    <row r="205">
      <c r="A205" s="265"/>
      <c r="B205" s="247">
        <v>17600.0</v>
      </c>
      <c r="C205" s="248"/>
      <c r="D205" s="249"/>
      <c r="F205" s="250"/>
      <c r="G205" s="316" t="s">
        <v>76</v>
      </c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497</v>
      </c>
      <c r="B214" s="239">
        <v>14900.0</v>
      </c>
      <c r="C214" s="263"/>
      <c r="D214" s="264"/>
      <c r="E214" s="242"/>
      <c r="F214" s="243"/>
      <c r="G214" s="276" t="s">
        <v>82</v>
      </c>
      <c r="H214" s="245">
        <v>11.2</v>
      </c>
    </row>
    <row r="215">
      <c r="A215" s="265"/>
      <c r="B215" s="247"/>
      <c r="C215" s="248"/>
      <c r="D215" s="249">
        <v>15150.0</v>
      </c>
      <c r="F215" s="250"/>
      <c r="G215" s="254" t="s">
        <v>75</v>
      </c>
      <c r="H215" s="267"/>
    </row>
    <row r="216">
      <c r="A216" s="265"/>
      <c r="B216" s="247"/>
      <c r="C216" s="252"/>
      <c r="D216" s="249">
        <v>49549.5</v>
      </c>
      <c r="E216" s="2" t="s">
        <v>276</v>
      </c>
      <c r="F216" s="250"/>
      <c r="G216" s="254" t="s">
        <v>167</v>
      </c>
      <c r="H216" s="251"/>
    </row>
    <row r="217">
      <c r="A217" s="265"/>
      <c r="B217" s="247">
        <v>1700.0</v>
      </c>
      <c r="C217" s="248"/>
      <c r="D217" s="249"/>
      <c r="F217" s="250"/>
      <c r="G217" s="254" t="s">
        <v>101</v>
      </c>
      <c r="H217" s="251"/>
    </row>
    <row r="218">
      <c r="A218" s="265"/>
      <c r="B218" s="247">
        <v>37291.42</v>
      </c>
      <c r="C218" s="252"/>
      <c r="D218" s="253"/>
      <c r="F218" s="250"/>
      <c r="G218" s="254" t="s">
        <v>103</v>
      </c>
      <c r="H218" s="251"/>
    </row>
    <row r="219">
      <c r="A219" s="265"/>
      <c r="B219" s="247"/>
      <c r="C219" s="252"/>
      <c r="D219" s="253"/>
      <c r="F219" s="250"/>
      <c r="G219" s="254"/>
      <c r="H219" s="251"/>
    </row>
    <row r="220">
      <c r="A220" s="265"/>
      <c r="B220" s="247"/>
      <c r="C220" s="252"/>
      <c r="D220" s="253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498</v>
      </c>
      <c r="B226" s="239"/>
      <c r="C226" s="263">
        <v>62568.03</v>
      </c>
      <c r="D226" s="264"/>
      <c r="E226" s="287"/>
      <c r="F226" s="243"/>
      <c r="G226" s="276" t="s">
        <v>71</v>
      </c>
      <c r="H226" s="245">
        <v>83.0</v>
      </c>
      <c r="I226" s="254" t="s">
        <v>107</v>
      </c>
      <c r="J226" s="254"/>
      <c r="K226" s="254"/>
    </row>
    <row r="227">
      <c r="A227" s="265"/>
      <c r="B227" s="247"/>
      <c r="C227" s="252"/>
      <c r="D227" s="249">
        <v>41922.72</v>
      </c>
      <c r="F227" s="250"/>
      <c r="G227" s="254" t="s">
        <v>114</v>
      </c>
      <c r="H227" s="251"/>
      <c r="I227" s="269"/>
      <c r="J227" s="254"/>
      <c r="K227" s="254"/>
    </row>
    <row r="228">
      <c r="A228" s="265"/>
      <c r="B228" s="247"/>
      <c r="C228" s="252"/>
      <c r="D228" s="249"/>
      <c r="F228" s="250">
        <v>15000.0</v>
      </c>
      <c r="G228" s="254" t="s">
        <v>68</v>
      </c>
      <c r="H228" s="251"/>
      <c r="I228" s="269"/>
      <c r="J228" s="254"/>
      <c r="K228" s="254"/>
    </row>
    <row r="229">
      <c r="A229" s="265"/>
      <c r="B229" s="247"/>
      <c r="C229" s="248"/>
      <c r="D229" s="253"/>
      <c r="E229" s="269"/>
      <c r="F229" s="250"/>
      <c r="G229" s="254"/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/>
      <c r="G230" s="254"/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/>
      <c r="G231" s="254"/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499</v>
      </c>
      <c r="B241" s="239"/>
      <c r="C241" s="263"/>
      <c r="D241" s="264">
        <v>48850.0</v>
      </c>
      <c r="E241" s="242"/>
      <c r="F241" s="243"/>
      <c r="G241" s="2" t="s">
        <v>75</v>
      </c>
      <c r="H241" s="245">
        <v>72.0</v>
      </c>
      <c r="I241" s="2" t="s">
        <v>107</v>
      </c>
    </row>
    <row r="242">
      <c r="A242" s="265"/>
      <c r="B242" s="247">
        <v>54000.0</v>
      </c>
      <c r="C242" s="252"/>
      <c r="D242" s="249"/>
      <c r="F242" s="250"/>
      <c r="G242" s="254" t="s">
        <v>87</v>
      </c>
      <c r="H242" s="267"/>
    </row>
    <row r="243">
      <c r="A243" s="265"/>
      <c r="B243" s="247">
        <v>17164.96</v>
      </c>
      <c r="C243" s="248"/>
      <c r="D243" s="249"/>
      <c r="F243" s="250"/>
      <c r="G243" s="254" t="s">
        <v>82</v>
      </c>
      <c r="H243" s="251"/>
    </row>
    <row r="244">
      <c r="A244" s="265"/>
      <c r="B244" s="247">
        <v>34287.29</v>
      </c>
      <c r="C244" s="248"/>
      <c r="D244" s="249"/>
      <c r="F244" s="250"/>
      <c r="G244" s="254" t="s">
        <v>74</v>
      </c>
      <c r="H244" s="251"/>
    </row>
    <row r="245">
      <c r="A245" s="265"/>
      <c r="B245" s="247">
        <v>1406.48</v>
      </c>
      <c r="C245" s="252"/>
      <c r="D245" s="249"/>
      <c r="F245" s="250"/>
      <c r="G245" s="254" t="s">
        <v>73</v>
      </c>
      <c r="H245" s="267"/>
    </row>
    <row r="246">
      <c r="A246" s="265"/>
      <c r="B246" s="247"/>
      <c r="C246" s="248"/>
      <c r="D246" s="253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500</v>
      </c>
      <c r="B255" s="239">
        <v>14880.0</v>
      </c>
      <c r="C255" s="263"/>
      <c r="D255" s="264"/>
      <c r="E255" s="244"/>
      <c r="F255" s="243"/>
      <c r="G255" s="276" t="s">
        <v>76</v>
      </c>
      <c r="H255" s="245">
        <v>90.0</v>
      </c>
    </row>
    <row r="256">
      <c r="A256" s="265"/>
      <c r="B256" s="247">
        <v>15231.23</v>
      </c>
      <c r="C256" s="248"/>
      <c r="D256" s="249"/>
      <c r="F256" s="250"/>
      <c r="G256" s="254" t="s">
        <v>91</v>
      </c>
      <c r="H256" s="251"/>
    </row>
    <row r="257">
      <c r="A257" s="265"/>
      <c r="B257" s="247"/>
      <c r="C257" s="252"/>
      <c r="D257" s="249">
        <v>23500.0</v>
      </c>
      <c r="F257" s="250"/>
      <c r="G257" s="254" t="s">
        <v>77</v>
      </c>
      <c r="H257" s="251"/>
    </row>
    <row r="258">
      <c r="A258" s="265"/>
      <c r="B258" s="247"/>
      <c r="C258" s="248"/>
      <c r="D258" s="249"/>
      <c r="F258" s="250"/>
      <c r="G258" s="254" t="s">
        <v>79</v>
      </c>
      <c r="H258" s="251"/>
    </row>
    <row r="259">
      <c r="A259" s="265"/>
      <c r="B259" s="247"/>
      <c r="C259" s="248"/>
      <c r="D259" s="249"/>
      <c r="F259" s="250"/>
      <c r="G259" s="254" t="s">
        <v>350</v>
      </c>
      <c r="H259" s="251"/>
    </row>
    <row r="260">
      <c r="A260" s="265"/>
      <c r="B260" s="247"/>
      <c r="C260" s="248"/>
      <c r="D260" s="249"/>
      <c r="F260" s="250">
        <v>14000.0</v>
      </c>
      <c r="G260" s="254" t="s">
        <v>128</v>
      </c>
      <c r="H260" s="251"/>
    </row>
    <row r="261">
      <c r="A261" s="265"/>
      <c r="B261" s="247"/>
      <c r="C261" s="252"/>
      <c r="D261" s="249"/>
      <c r="F261" s="250">
        <v>953.0</v>
      </c>
      <c r="G261" s="254" t="s">
        <v>501</v>
      </c>
      <c r="H261" s="251"/>
    </row>
    <row r="262">
      <c r="A262" s="265"/>
      <c r="B262" s="247"/>
      <c r="C262" s="248">
        <v>67486.49</v>
      </c>
      <c r="D262" s="253"/>
      <c r="F262" s="250"/>
      <c r="G262" s="254" t="s">
        <v>84</v>
      </c>
      <c r="H262" s="251"/>
    </row>
    <row r="263">
      <c r="A263" s="265"/>
      <c r="B263" s="247">
        <v>5978.99</v>
      </c>
      <c r="C263" s="252"/>
      <c r="D263" s="253"/>
      <c r="F263" s="250"/>
      <c r="G263" s="254" t="s">
        <v>502</v>
      </c>
      <c r="H263" s="251"/>
    </row>
    <row r="264">
      <c r="A264" s="265"/>
      <c r="B264" s="247">
        <v>9600.0</v>
      </c>
      <c r="C264" s="252"/>
      <c r="D264" s="249"/>
      <c r="F264" s="250"/>
      <c r="G264" s="254" t="s">
        <v>493</v>
      </c>
      <c r="H264" s="251"/>
    </row>
    <row r="265">
      <c r="A265" s="265"/>
      <c r="B265" s="247"/>
      <c r="C265" s="252"/>
      <c r="D265" s="249">
        <v>26840.0</v>
      </c>
      <c r="E265" s="2" t="s">
        <v>276</v>
      </c>
      <c r="F265" s="250"/>
      <c r="G265" s="254" t="s">
        <v>79</v>
      </c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503</v>
      </c>
      <c r="B270" s="239">
        <v>9933.5</v>
      </c>
      <c r="C270" s="263"/>
      <c r="D270" s="253"/>
      <c r="F270" s="250"/>
      <c r="G270" s="254" t="s">
        <v>82</v>
      </c>
      <c r="H270" s="245">
        <v>70.0</v>
      </c>
    </row>
    <row r="271">
      <c r="A271" s="265"/>
      <c r="B271" s="247"/>
      <c r="C271" s="248"/>
      <c r="D271" s="249">
        <v>62617.5</v>
      </c>
      <c r="E271" s="2" t="s">
        <v>276</v>
      </c>
      <c r="F271" s="250"/>
      <c r="G271" s="254" t="s">
        <v>131</v>
      </c>
      <c r="H271" s="267">
        <v>30.0</v>
      </c>
      <c r="I271" s="2" t="s">
        <v>504</v>
      </c>
    </row>
    <row r="272">
      <c r="A272" s="265"/>
      <c r="B272" s="247"/>
      <c r="C272" s="248">
        <v>19778.0</v>
      </c>
      <c r="D272" s="253"/>
      <c r="F272" s="250"/>
      <c r="G272" s="254" t="s">
        <v>89</v>
      </c>
      <c r="H272" s="251"/>
    </row>
    <row r="273">
      <c r="A273" s="265"/>
      <c r="B273" s="247">
        <v>48099.0</v>
      </c>
      <c r="C273" s="248"/>
      <c r="D273" s="249"/>
      <c r="F273" s="250"/>
      <c r="G273" s="254" t="s">
        <v>125</v>
      </c>
      <c r="H273" s="251"/>
    </row>
    <row r="274">
      <c r="A274" s="265"/>
      <c r="B274" s="247">
        <v>9999.0</v>
      </c>
      <c r="C274" s="248"/>
      <c r="D274" s="249"/>
      <c r="F274" s="250"/>
      <c r="G274" s="254" t="s">
        <v>505</v>
      </c>
      <c r="H274" s="251"/>
    </row>
    <row r="275">
      <c r="A275" s="265"/>
      <c r="B275" s="247">
        <v>9850.0</v>
      </c>
      <c r="C275" s="248"/>
      <c r="D275" s="249"/>
      <c r="F275" s="250"/>
      <c r="G275" s="254" t="s">
        <v>101</v>
      </c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506</v>
      </c>
      <c r="B283" s="239">
        <v>18500.0</v>
      </c>
      <c r="C283" s="263"/>
      <c r="D283" s="264"/>
      <c r="E283" s="244"/>
      <c r="F283" s="243"/>
      <c r="G283" s="276" t="s">
        <v>75</v>
      </c>
      <c r="H283" s="245">
        <v>50.0</v>
      </c>
      <c r="I283" s="2" t="s">
        <v>107</v>
      </c>
    </row>
    <row r="284">
      <c r="A284" s="265"/>
      <c r="B284" s="247"/>
      <c r="C284" s="252"/>
      <c r="D284" s="249"/>
      <c r="F284" s="250">
        <v>850.0</v>
      </c>
      <c r="G284" s="254" t="s">
        <v>507</v>
      </c>
      <c r="H284" s="267"/>
    </row>
    <row r="285">
      <c r="A285" s="265"/>
      <c r="B285" s="247"/>
      <c r="C285" s="248"/>
      <c r="D285" s="249"/>
      <c r="F285" s="250">
        <v>110.0</v>
      </c>
      <c r="G285" s="254" t="s">
        <v>137</v>
      </c>
      <c r="H285" s="251"/>
    </row>
    <row r="286">
      <c r="A286" s="265"/>
      <c r="B286" s="247"/>
      <c r="C286" s="248"/>
      <c r="D286" s="249"/>
      <c r="F286" s="250">
        <v>2863.0</v>
      </c>
      <c r="G286" s="254" t="s">
        <v>87</v>
      </c>
      <c r="H286" s="251"/>
    </row>
    <row r="287">
      <c r="A287" s="265"/>
      <c r="B287" s="247"/>
      <c r="C287" s="252"/>
      <c r="D287" s="249"/>
      <c r="F287" s="250"/>
      <c r="G287" s="254"/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508</v>
      </c>
      <c r="B299" s="239"/>
      <c r="C299" s="263"/>
      <c r="D299" s="241"/>
      <c r="E299" s="242"/>
      <c r="F299" s="243"/>
      <c r="G299" s="276"/>
      <c r="H299" s="245"/>
    </row>
    <row r="300">
      <c r="A300" s="265"/>
      <c r="B300" s="247"/>
      <c r="C300" s="248"/>
      <c r="D300" s="249"/>
      <c r="F300" s="250"/>
      <c r="G300" s="254"/>
      <c r="H300" s="267">
        <v>15.0</v>
      </c>
      <c r="I300" s="2" t="s">
        <v>509</v>
      </c>
    </row>
    <row r="301">
      <c r="A301" s="265"/>
      <c r="B301" s="247"/>
      <c r="C301" s="248"/>
      <c r="D301" s="253"/>
      <c r="F301" s="250"/>
      <c r="G301" s="254"/>
      <c r="H301" s="251"/>
    </row>
    <row r="302">
      <c r="A302" s="265"/>
      <c r="B302" s="247"/>
      <c r="C302" s="248"/>
      <c r="D302" s="249"/>
      <c r="F302" s="250"/>
      <c r="G302" s="254"/>
      <c r="H302" s="251"/>
    </row>
    <row r="303">
      <c r="A303" s="265"/>
      <c r="B303" s="247"/>
      <c r="C303" s="252"/>
      <c r="D303" s="249"/>
      <c r="F303" s="250"/>
      <c r="G303" s="254"/>
      <c r="H303" s="251"/>
    </row>
    <row r="304">
      <c r="A304" s="265"/>
      <c r="B304" s="247"/>
      <c r="C304" s="248"/>
      <c r="D304" s="249"/>
      <c r="F304" s="250"/>
      <c r="G304" s="254"/>
      <c r="H304" s="267"/>
    </row>
    <row r="305">
      <c r="A305" s="265"/>
      <c r="B305" s="247"/>
      <c r="C305" s="248"/>
      <c r="D305" s="253"/>
      <c r="F305" s="250"/>
      <c r="G305" s="254"/>
      <c r="H305" s="251"/>
    </row>
    <row r="306">
      <c r="A306" s="265"/>
      <c r="B306" s="247"/>
      <c r="C306" s="248"/>
      <c r="D306" s="253"/>
      <c r="F306" s="250"/>
      <c r="G306" s="254"/>
      <c r="H306" s="251"/>
    </row>
    <row r="307">
      <c r="A307" s="265"/>
      <c r="B307" s="247"/>
      <c r="C307" s="252"/>
      <c r="D307" s="253"/>
      <c r="F307" s="250"/>
      <c r="G307" s="254"/>
      <c r="H307" s="251"/>
    </row>
    <row r="308">
      <c r="A308" s="265"/>
      <c r="B308" s="268"/>
      <c r="C308" s="252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510</v>
      </c>
      <c r="B314" s="239">
        <v>14900.0</v>
      </c>
      <c r="C314" s="263"/>
      <c r="D314" s="264"/>
      <c r="E314" s="242"/>
      <c r="F314" s="250"/>
      <c r="G314" s="254" t="s">
        <v>82</v>
      </c>
      <c r="H314" s="245">
        <v>53.0</v>
      </c>
      <c r="I314" s="2" t="s">
        <v>107</v>
      </c>
    </row>
    <row r="315">
      <c r="A315" s="265"/>
      <c r="B315" s="247">
        <v>10207.4</v>
      </c>
      <c r="C315" s="252"/>
      <c r="D315" s="253"/>
      <c r="F315" s="250"/>
      <c r="G315" s="254" t="s">
        <v>511</v>
      </c>
      <c r="H315" s="267"/>
    </row>
    <row r="316">
      <c r="A316" s="265"/>
      <c r="B316" s="247"/>
      <c r="C316" s="248"/>
      <c r="D316" s="249"/>
      <c r="F316" s="250">
        <v>830.0</v>
      </c>
      <c r="G316" s="254" t="s">
        <v>512</v>
      </c>
      <c r="H316" s="251"/>
    </row>
    <row r="317">
      <c r="A317" s="265"/>
      <c r="B317" s="247"/>
      <c r="C317" s="248"/>
      <c r="D317" s="249"/>
      <c r="F317" s="250">
        <v>15000.0</v>
      </c>
      <c r="G317" s="254" t="s">
        <v>120</v>
      </c>
      <c r="H317" s="251"/>
    </row>
    <row r="318">
      <c r="A318" s="265"/>
      <c r="B318" s="247"/>
      <c r="C318" s="252"/>
      <c r="D318" s="249">
        <v>32449.44</v>
      </c>
      <c r="F318" s="250"/>
      <c r="G318" s="254" t="s">
        <v>114</v>
      </c>
      <c r="H318" s="251"/>
    </row>
    <row r="319">
      <c r="A319" s="265"/>
      <c r="B319" s="247"/>
      <c r="C319" s="252"/>
      <c r="D319" s="249"/>
      <c r="F319" s="250"/>
      <c r="G319" s="254"/>
      <c r="H319" s="267"/>
    </row>
    <row r="320">
      <c r="A320" s="265"/>
      <c r="B320" s="247"/>
      <c r="C320" s="252"/>
      <c r="D320" s="249"/>
      <c r="F320" s="250"/>
      <c r="G320" s="254"/>
      <c r="H320" s="251"/>
    </row>
    <row r="321">
      <c r="A321" s="265"/>
      <c r="B321" s="247"/>
      <c r="C321" s="252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513</v>
      </c>
      <c r="B329" s="239">
        <v>8060.0</v>
      </c>
      <c r="C329" s="263"/>
      <c r="D329" s="264"/>
      <c r="E329" s="242"/>
      <c r="F329" s="243"/>
      <c r="G329" s="244" t="s">
        <v>514</v>
      </c>
      <c r="H329" s="245">
        <v>113.0</v>
      </c>
      <c r="I329" s="2" t="s">
        <v>515</v>
      </c>
    </row>
    <row r="330">
      <c r="A330" s="265"/>
      <c r="B330" s="247">
        <v>12000.0</v>
      </c>
      <c r="C330" s="248"/>
      <c r="D330" s="249"/>
      <c r="F330" s="250"/>
      <c r="G330" s="2" t="s">
        <v>516</v>
      </c>
      <c r="H330" s="267"/>
    </row>
    <row r="331">
      <c r="A331" s="265"/>
      <c r="B331" s="247">
        <v>54000.0</v>
      </c>
      <c r="C331" s="248"/>
      <c r="D331" s="249"/>
      <c r="F331" s="250"/>
      <c r="G331" s="2" t="s">
        <v>87</v>
      </c>
      <c r="H331" s="251"/>
    </row>
    <row r="332">
      <c r="A332" s="265"/>
      <c r="B332" s="247">
        <v>17000.0</v>
      </c>
      <c r="C332" s="248"/>
      <c r="D332" s="249"/>
      <c r="F332" s="250"/>
      <c r="G332" s="2" t="s">
        <v>75</v>
      </c>
      <c r="H332" s="251"/>
    </row>
    <row r="333">
      <c r="A333" s="265"/>
      <c r="B333" s="247"/>
      <c r="C333" s="248"/>
      <c r="D333" s="249">
        <v>37000.0</v>
      </c>
      <c r="F333" s="250"/>
      <c r="G333" s="2" t="s">
        <v>122</v>
      </c>
      <c r="H333" s="251"/>
    </row>
    <row r="334">
      <c r="A334" s="265"/>
      <c r="B334" s="247">
        <v>15433.65</v>
      </c>
      <c r="C334" s="248"/>
      <c r="D334" s="249"/>
      <c r="F334" s="250"/>
      <c r="G334" s="2" t="s">
        <v>82</v>
      </c>
      <c r="H334" s="251"/>
    </row>
    <row r="335">
      <c r="A335" s="265"/>
      <c r="B335" s="247"/>
      <c r="C335" s="248">
        <v>56146.56</v>
      </c>
      <c r="D335" s="249"/>
      <c r="F335" s="250"/>
      <c r="G335" s="2" t="s">
        <v>71</v>
      </c>
      <c r="H335" s="251"/>
    </row>
    <row r="336">
      <c r="A336" s="265"/>
      <c r="B336" s="247"/>
      <c r="C336" s="252"/>
      <c r="D336" s="249">
        <v>40000.0</v>
      </c>
      <c r="F336" s="250"/>
      <c r="G336" s="2" t="s">
        <v>517</v>
      </c>
      <c r="H336" s="251"/>
    </row>
    <row r="337">
      <c r="A337" s="265"/>
      <c r="B337" s="247"/>
      <c r="C337" s="252"/>
      <c r="D337" s="253"/>
      <c r="F337" s="250">
        <v>2500.0</v>
      </c>
      <c r="G337" s="2" t="s">
        <v>101</v>
      </c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518</v>
      </c>
      <c r="B343" s="239">
        <v>31060.0</v>
      </c>
      <c r="C343" s="263"/>
      <c r="D343" s="264"/>
      <c r="E343" s="242"/>
      <c r="F343" s="243"/>
      <c r="G343" s="244" t="s">
        <v>99</v>
      </c>
      <c r="H343" s="245">
        <v>104.0</v>
      </c>
      <c r="I343" s="2" t="s">
        <v>107</v>
      </c>
    </row>
    <row r="344">
      <c r="A344" s="265"/>
      <c r="B344" s="247"/>
      <c r="C344" s="248"/>
      <c r="D344" s="249">
        <f>2830.22+8264.99+18387.08</f>
        <v>29482.29</v>
      </c>
      <c r="F344" s="250"/>
      <c r="G344" s="2" t="s">
        <v>74</v>
      </c>
      <c r="H344" s="267"/>
    </row>
    <row r="345">
      <c r="A345" s="265"/>
      <c r="B345" s="247"/>
      <c r="C345" s="248"/>
      <c r="D345" s="249"/>
      <c r="F345" s="250">
        <v>300.0</v>
      </c>
      <c r="G345" s="2" t="s">
        <v>135</v>
      </c>
      <c r="H345" s="267"/>
    </row>
    <row r="346">
      <c r="A346" s="265"/>
      <c r="B346" s="247"/>
      <c r="C346" s="248"/>
      <c r="D346" s="249">
        <v>32993.0</v>
      </c>
      <c r="F346" s="250"/>
      <c r="G346" s="2" t="s">
        <v>519</v>
      </c>
      <c r="H346" s="251"/>
    </row>
    <row r="347">
      <c r="A347" s="265"/>
      <c r="B347" s="247"/>
      <c r="C347" s="248"/>
      <c r="D347" s="249"/>
      <c r="F347" s="250"/>
      <c r="H347" s="251"/>
    </row>
    <row r="348">
      <c r="A348" s="265"/>
      <c r="B348" s="247"/>
      <c r="C348" s="252"/>
      <c r="D348" s="249"/>
      <c r="F348" s="250"/>
      <c r="H348" s="251"/>
    </row>
    <row r="349">
      <c r="A349" s="265"/>
      <c r="B349" s="247"/>
      <c r="C349" s="252"/>
      <c r="D349" s="249"/>
      <c r="F349" s="250"/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520</v>
      </c>
      <c r="B361" s="239">
        <v>35200.0</v>
      </c>
      <c r="C361" s="240"/>
      <c r="D361" s="264"/>
      <c r="E361" s="242"/>
      <c r="F361" s="243"/>
      <c r="G361" s="244" t="s">
        <v>75</v>
      </c>
      <c r="H361" s="245">
        <v>100.0</v>
      </c>
      <c r="I361" s="2" t="s">
        <v>521</v>
      </c>
    </row>
    <row r="362">
      <c r="A362" s="265"/>
      <c r="B362" s="247" t="s">
        <v>522</v>
      </c>
      <c r="C362" s="248"/>
      <c r="D362" s="249"/>
      <c r="F362" s="250"/>
      <c r="G362" s="2" t="s">
        <v>82</v>
      </c>
      <c r="H362" s="267"/>
    </row>
    <row r="363">
      <c r="A363" s="265"/>
      <c r="B363" s="247"/>
      <c r="C363" s="248" t="s">
        <v>523</v>
      </c>
      <c r="D363" s="253"/>
      <c r="F363" s="250"/>
      <c r="G363" s="2" t="s">
        <v>84</v>
      </c>
      <c r="H363" s="267"/>
    </row>
    <row r="364">
      <c r="A364" s="265"/>
      <c r="B364" s="247"/>
      <c r="C364" s="248"/>
      <c r="D364" s="249"/>
      <c r="F364" s="250"/>
      <c r="G364" s="2" t="s">
        <v>76</v>
      </c>
      <c r="H364" s="251"/>
    </row>
    <row r="365">
      <c r="A365" s="265"/>
      <c r="B365" s="247">
        <v>13420.0</v>
      </c>
      <c r="C365" s="252"/>
      <c r="D365" s="249"/>
      <c r="E365" s="2" t="s">
        <v>276</v>
      </c>
      <c r="F365" s="250"/>
      <c r="G365" s="2" t="s">
        <v>79</v>
      </c>
      <c r="H365" s="251"/>
    </row>
    <row r="366">
      <c r="A366" s="265"/>
      <c r="B366" s="247"/>
      <c r="C366" s="252"/>
      <c r="D366" s="253"/>
      <c r="F366" s="250">
        <v>1000.0</v>
      </c>
      <c r="G366" s="2" t="s">
        <v>85</v>
      </c>
      <c r="H366" s="251"/>
    </row>
    <row r="367">
      <c r="A367" s="265"/>
      <c r="B367" s="247"/>
      <c r="C367" s="252"/>
      <c r="D367" s="253"/>
      <c r="F367" s="250">
        <v>6500.0</v>
      </c>
      <c r="G367" s="2" t="s">
        <v>524</v>
      </c>
      <c r="H367" s="251"/>
    </row>
    <row r="368">
      <c r="A368" s="265"/>
      <c r="B368" s="268"/>
      <c r="C368" s="252"/>
      <c r="D368" s="249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40"/>
      <c r="D379" s="264"/>
      <c r="E379" s="242"/>
      <c r="F379" s="243"/>
      <c r="H379" s="245"/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/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2802.42</v>
      </c>
      <c r="F391" s="250"/>
      <c r="G391" s="2" t="s">
        <v>190</v>
      </c>
      <c r="H391" s="294">
        <v>45062.0</v>
      </c>
    </row>
    <row r="392">
      <c r="A392" s="265"/>
      <c r="B392" s="247"/>
      <c r="C392" s="248"/>
      <c r="D392" s="249">
        <v>5041.3</v>
      </c>
      <c r="F392" s="250"/>
      <c r="G392" s="2" t="s">
        <v>191</v>
      </c>
      <c r="H392" s="294">
        <v>45062.0</v>
      </c>
    </row>
    <row r="393">
      <c r="A393" s="265"/>
      <c r="B393" s="268"/>
      <c r="C393" s="252"/>
      <c r="D393" s="249">
        <v>108900.0</v>
      </c>
      <c r="F393" s="250"/>
      <c r="G393" s="2" t="s">
        <v>192</v>
      </c>
      <c r="H393" s="294">
        <v>45069.0</v>
      </c>
    </row>
    <row r="394">
      <c r="A394" s="265"/>
      <c r="B394" s="268"/>
      <c r="C394" s="252"/>
      <c r="D394" s="253"/>
      <c r="F394" s="250">
        <v>46000.0</v>
      </c>
      <c r="G394" s="2" t="s">
        <v>193</v>
      </c>
      <c r="H394" s="294">
        <v>45058.0</v>
      </c>
    </row>
    <row r="395">
      <c r="A395" s="265"/>
      <c r="B395" s="247"/>
      <c r="C395" s="252"/>
      <c r="D395" s="249"/>
      <c r="F395" s="250"/>
      <c r="G395" s="2" t="s">
        <v>194</v>
      </c>
      <c r="H395" s="294"/>
    </row>
    <row r="396">
      <c r="A396" s="265"/>
      <c r="B396" s="247"/>
      <c r="C396" s="252"/>
      <c r="D396" s="249">
        <v>45000.0</v>
      </c>
      <c r="F396" s="250"/>
      <c r="G396" s="2" t="s">
        <v>196</v>
      </c>
      <c r="H396" s="294">
        <v>45051.0</v>
      </c>
      <c r="I396" s="318"/>
    </row>
    <row r="397">
      <c r="A397" s="265"/>
      <c r="B397" s="247">
        <v>8044.76</v>
      </c>
      <c r="C397" s="252"/>
      <c r="D397" s="249"/>
      <c r="F397" s="250"/>
      <c r="G397" s="2" t="s">
        <v>197</v>
      </c>
      <c r="H397" s="294"/>
      <c r="I397" s="2" t="s">
        <v>198</v>
      </c>
    </row>
    <row r="398">
      <c r="A398" s="265"/>
      <c r="B398" s="268"/>
      <c r="C398" s="252"/>
      <c r="D398" s="249">
        <v>10083.47</v>
      </c>
      <c r="F398" s="250"/>
      <c r="G398" s="2" t="s">
        <v>199</v>
      </c>
      <c r="H398" s="294"/>
      <c r="I398" s="2" t="s">
        <v>189</v>
      </c>
    </row>
    <row r="399">
      <c r="A399" s="265"/>
      <c r="B399" s="247"/>
      <c r="C399" s="252"/>
      <c r="D399" s="249">
        <v>20728.73</v>
      </c>
      <c r="F399" s="250"/>
      <c r="G399" s="2" t="s">
        <v>200</v>
      </c>
      <c r="H399" s="294"/>
      <c r="I399" s="2" t="s">
        <v>189</v>
      </c>
    </row>
    <row r="400">
      <c r="A400" s="265"/>
      <c r="B400" s="278"/>
      <c r="C400" s="248"/>
      <c r="D400" s="296">
        <v>7260.43</v>
      </c>
      <c r="F400" s="282"/>
      <c r="G400" s="2" t="s">
        <v>201</v>
      </c>
      <c r="H400" s="294"/>
      <c r="I400" s="2" t="s">
        <v>189</v>
      </c>
    </row>
    <row r="401">
      <c r="A401" s="265"/>
      <c r="B401" s="277">
        <v>5445.0</v>
      </c>
      <c r="C401" s="248"/>
      <c r="D401" s="295"/>
      <c r="F401" s="282"/>
      <c r="G401" s="2" t="s">
        <v>525</v>
      </c>
      <c r="H401" s="294">
        <v>45056.0</v>
      </c>
    </row>
    <row r="402">
      <c r="A402" s="270"/>
      <c r="B402" s="278"/>
      <c r="C402" s="248"/>
      <c r="D402" s="295">
        <v>75000.0</v>
      </c>
      <c r="F402" s="282"/>
      <c r="G402" s="2" t="s">
        <v>526</v>
      </c>
      <c r="H402" s="294">
        <v>45051.0</v>
      </c>
    </row>
    <row r="403">
      <c r="A403" s="299"/>
      <c r="B403" s="278"/>
      <c r="C403" s="248"/>
      <c r="D403" s="300">
        <v>256270.95</v>
      </c>
      <c r="F403" s="282"/>
      <c r="G403" s="2" t="s">
        <v>202</v>
      </c>
      <c r="H403" s="301">
        <v>45056.0</v>
      </c>
      <c r="I403" s="2" t="s">
        <v>203</v>
      </c>
    </row>
    <row r="404">
      <c r="A404" s="299"/>
      <c r="B404" s="278"/>
      <c r="C404" s="248"/>
      <c r="D404" s="295"/>
      <c r="F404" s="250"/>
      <c r="G404" s="2" t="s">
        <v>204</v>
      </c>
      <c r="H404" s="301"/>
    </row>
    <row r="405">
      <c r="A405" s="299"/>
      <c r="B405" s="278"/>
      <c r="C405" s="252"/>
      <c r="D405" s="253"/>
      <c r="F405" s="250"/>
      <c r="G405" s="2" t="s">
        <v>205</v>
      </c>
      <c r="H405" s="302"/>
    </row>
    <row r="406">
      <c r="A406" s="303"/>
      <c r="B406" s="268"/>
      <c r="C406" s="252"/>
      <c r="D406" s="249"/>
      <c r="F406" s="250"/>
      <c r="G406" s="2" t="s">
        <v>206</v>
      </c>
      <c r="H406" s="294"/>
      <c r="I406" s="2" t="s">
        <v>203</v>
      </c>
    </row>
    <row r="407">
      <c r="A407" s="303"/>
      <c r="B407" s="247"/>
      <c r="C407" s="252"/>
      <c r="D407" s="249"/>
      <c r="F407" s="250"/>
      <c r="G407" s="2" t="s">
        <v>208</v>
      </c>
      <c r="H407" s="294"/>
    </row>
    <row r="408">
      <c r="A408" s="303"/>
      <c r="B408" s="268"/>
      <c r="C408" s="252"/>
      <c r="D408" s="300">
        <v>142499.15</v>
      </c>
      <c r="F408" s="332"/>
      <c r="G408" s="2" t="s">
        <v>209</v>
      </c>
      <c r="H408" s="294">
        <v>45055.0</v>
      </c>
    </row>
    <row r="409">
      <c r="A409" s="303"/>
      <c r="B409" s="268"/>
      <c r="C409" s="252"/>
      <c r="D409" s="249"/>
      <c r="F409" s="250"/>
      <c r="H409" s="294"/>
    </row>
    <row r="410">
      <c r="A410" s="303"/>
      <c r="B410" s="247">
        <v>25000.0</v>
      </c>
      <c r="C410" s="252"/>
      <c r="D410" s="331"/>
      <c r="E410" s="2" t="s">
        <v>527</v>
      </c>
      <c r="F410" s="332"/>
      <c r="G410" s="2" t="s">
        <v>528</v>
      </c>
      <c r="H410" s="251"/>
    </row>
    <row r="411">
      <c r="A411" s="303"/>
      <c r="B411" s="268"/>
      <c r="C411" s="252"/>
      <c r="D411" s="253"/>
      <c r="F411" s="250"/>
      <c r="H411" s="251"/>
    </row>
    <row r="412">
      <c r="A412" s="304"/>
      <c r="B412" s="271"/>
      <c r="C412" s="272"/>
      <c r="D412" s="273"/>
      <c r="E412" s="18"/>
      <c r="F412" s="274"/>
      <c r="G412" s="18"/>
      <c r="H412" s="261"/>
    </row>
    <row r="413">
      <c r="A413" s="305"/>
      <c r="B413" s="306"/>
      <c r="C413" s="240"/>
      <c r="D413" s="241"/>
      <c r="E413" s="242"/>
      <c r="F413" s="243"/>
      <c r="G413" s="244"/>
      <c r="H413" s="307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70"/>
      <c r="B422" s="271"/>
      <c r="C422" s="272"/>
      <c r="D422" s="273"/>
      <c r="E422" s="18"/>
      <c r="F422" s="274"/>
      <c r="G422" s="18"/>
      <c r="H422" s="261"/>
    </row>
    <row r="423">
      <c r="A423" s="305"/>
      <c r="B423" s="306"/>
      <c r="C423" s="240"/>
      <c r="D423" s="241"/>
      <c r="E423" s="242"/>
      <c r="F423" s="243"/>
      <c r="G423" s="244"/>
      <c r="H423" s="307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70"/>
      <c r="B432" s="271"/>
      <c r="C432" s="272"/>
      <c r="D432" s="273"/>
      <c r="E432" s="18"/>
      <c r="F432" s="274"/>
      <c r="G432" s="18"/>
      <c r="H432" s="261"/>
    </row>
    <row r="433">
      <c r="B433" s="306"/>
      <c r="C433" s="240"/>
      <c r="D433" s="241"/>
      <c r="E433" s="242"/>
      <c r="F433" s="243"/>
      <c r="G433" s="244"/>
      <c r="H433" s="307"/>
    </row>
    <row r="434">
      <c r="B434" s="268"/>
      <c r="C434" s="252"/>
      <c r="D434" s="253"/>
      <c r="F434" s="250"/>
      <c r="H434" s="251"/>
    </row>
    <row r="435">
      <c r="B435" s="268"/>
      <c r="C435" s="252"/>
      <c r="D435" s="253"/>
      <c r="F435" s="250"/>
      <c r="H435" s="251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3:A422"/>
    <mergeCell ref="A423:A432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529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v>567.0</v>
      </c>
      <c r="G2" s="334" t="s">
        <v>530</v>
      </c>
      <c r="H2" s="245">
        <v>120.0</v>
      </c>
      <c r="I2" s="2" t="s">
        <v>72</v>
      </c>
    </row>
    <row r="3">
      <c r="A3" s="246"/>
      <c r="B3" s="330">
        <v>30580.0</v>
      </c>
      <c r="C3" s="313"/>
      <c r="D3" s="325"/>
      <c r="E3" s="290"/>
      <c r="F3" s="335"/>
      <c r="G3" s="336" t="s">
        <v>76</v>
      </c>
      <c r="H3" s="267"/>
    </row>
    <row r="4">
      <c r="A4" s="246" t="s">
        <v>531</v>
      </c>
      <c r="B4" s="330"/>
      <c r="C4" s="328"/>
      <c r="D4" s="337" t="s">
        <v>532</v>
      </c>
      <c r="E4" s="336" t="s">
        <v>276</v>
      </c>
      <c r="F4" s="335"/>
      <c r="G4" s="336" t="s">
        <v>167</v>
      </c>
      <c r="H4" s="251"/>
    </row>
    <row r="5">
      <c r="A5" s="246"/>
      <c r="B5" s="330"/>
      <c r="C5" s="338" t="s">
        <v>533</v>
      </c>
      <c r="D5" s="325"/>
      <c r="E5" s="290"/>
      <c r="F5" s="291"/>
      <c r="G5" s="336" t="s">
        <v>89</v>
      </c>
      <c r="H5" s="251"/>
    </row>
    <row r="6">
      <c r="A6" s="246"/>
      <c r="B6" s="312"/>
      <c r="C6" s="313"/>
      <c r="D6" s="325"/>
      <c r="E6" s="290"/>
      <c r="F6" s="335"/>
      <c r="G6" s="336"/>
      <c r="H6" s="251"/>
    </row>
    <row r="7">
      <c r="A7" s="246"/>
      <c r="B7" s="329"/>
      <c r="C7" s="313"/>
      <c r="D7" s="325"/>
      <c r="E7" s="290"/>
      <c r="F7" s="335"/>
      <c r="G7" s="336"/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534</v>
      </c>
      <c r="B15" s="239" t="s">
        <v>535</v>
      </c>
      <c r="C15" s="263"/>
      <c r="D15" s="264"/>
      <c r="E15" s="242"/>
      <c r="F15" s="250"/>
      <c r="G15" s="2" t="s">
        <v>82</v>
      </c>
      <c r="H15" s="245"/>
    </row>
    <row r="16">
      <c r="A16" s="265"/>
      <c r="B16" s="247">
        <v>30400.0</v>
      </c>
      <c r="C16" s="248"/>
      <c r="D16" s="249"/>
      <c r="F16" s="266"/>
      <c r="G16" s="2" t="s">
        <v>75</v>
      </c>
      <c r="H16" s="267"/>
    </row>
    <row r="17">
      <c r="A17" s="265"/>
      <c r="B17" s="247"/>
      <c r="C17" s="248"/>
      <c r="D17" s="249" t="s">
        <v>536</v>
      </c>
      <c r="F17" s="250"/>
      <c r="G17" s="2" t="s">
        <v>114</v>
      </c>
      <c r="H17" s="251"/>
    </row>
    <row r="18">
      <c r="A18" s="265"/>
      <c r="B18" s="247" t="s">
        <v>537</v>
      </c>
      <c r="C18" s="252"/>
      <c r="D18" s="249"/>
      <c r="F18" s="250"/>
      <c r="G18" s="2" t="s">
        <v>103</v>
      </c>
      <c r="H18" s="251"/>
    </row>
    <row r="19">
      <c r="A19" s="265"/>
      <c r="B19" s="247"/>
      <c r="C19" s="248"/>
      <c r="D19" s="249"/>
      <c r="F19" s="250">
        <v>7000.0</v>
      </c>
      <c r="G19" s="2" t="s">
        <v>101</v>
      </c>
      <c r="H19" s="251"/>
    </row>
    <row r="20">
      <c r="A20" s="265"/>
      <c r="B20" s="247">
        <v>7720.0</v>
      </c>
      <c r="C20" s="248"/>
      <c r="D20" s="249"/>
      <c r="F20" s="250"/>
      <c r="G20" s="2" t="s">
        <v>101</v>
      </c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538</v>
      </c>
      <c r="B28" s="239">
        <v>48000.0</v>
      </c>
      <c r="C28" s="240"/>
      <c r="D28" s="264"/>
      <c r="E28" s="244"/>
      <c r="F28" s="243"/>
      <c r="G28" s="276" t="s">
        <v>87</v>
      </c>
      <c r="H28" s="245">
        <v>66.0</v>
      </c>
      <c r="I28" s="2" t="s">
        <v>107</v>
      </c>
      <c r="J28" s="2" t="s">
        <v>539</v>
      </c>
    </row>
    <row r="29">
      <c r="A29" s="265"/>
      <c r="B29" s="247">
        <v>44683.02</v>
      </c>
      <c r="C29" s="248"/>
      <c r="D29" s="249"/>
      <c r="F29" s="250"/>
      <c r="G29" s="2" t="s">
        <v>142</v>
      </c>
      <c r="H29" s="267"/>
    </row>
    <row r="30">
      <c r="A30" s="265"/>
      <c r="B30" s="247"/>
      <c r="C30" s="248"/>
      <c r="D30" s="249"/>
      <c r="F30" s="250">
        <v>2400.0</v>
      </c>
      <c r="G30" s="254" t="s">
        <v>540</v>
      </c>
      <c r="H30" s="251"/>
    </row>
    <row r="31">
      <c r="A31" s="265"/>
      <c r="B31" s="247"/>
      <c r="C31" s="248"/>
      <c r="D31" s="249"/>
      <c r="F31" s="250">
        <v>15000.0</v>
      </c>
      <c r="G31" s="254" t="s">
        <v>68</v>
      </c>
      <c r="H31" s="251"/>
    </row>
    <row r="32">
      <c r="A32" s="265"/>
      <c r="B32" s="247"/>
      <c r="C32" s="252"/>
      <c r="D32" s="249"/>
      <c r="F32" s="250"/>
      <c r="G32" s="254"/>
      <c r="H32" s="251"/>
    </row>
    <row r="33">
      <c r="A33" s="265"/>
      <c r="B33" s="247"/>
      <c r="C33" s="248"/>
      <c r="D33" s="249"/>
      <c r="F33" s="250"/>
      <c r="G33" s="254"/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37000.0</v>
      </c>
      <c r="C42" s="248"/>
      <c r="D42" s="249"/>
      <c r="F42" s="250"/>
      <c r="G42" s="254" t="s">
        <v>122</v>
      </c>
      <c r="H42" s="267">
        <v>98.0</v>
      </c>
      <c r="I42" s="2" t="s">
        <v>72</v>
      </c>
    </row>
    <row r="43">
      <c r="A43" s="280"/>
      <c r="B43" s="277">
        <v>22950.0</v>
      </c>
      <c r="C43" s="248"/>
      <c r="D43" s="249"/>
      <c r="F43" s="250"/>
      <c r="G43" s="254" t="s">
        <v>75</v>
      </c>
      <c r="H43" s="267"/>
    </row>
    <row r="44">
      <c r="A44" s="280" t="s">
        <v>541</v>
      </c>
      <c r="B44" s="247">
        <v>10926.68</v>
      </c>
      <c r="C44" s="248"/>
      <c r="D44" s="249"/>
      <c r="F44" s="250"/>
      <c r="G44" s="254" t="s">
        <v>82</v>
      </c>
      <c r="H44" s="251"/>
    </row>
    <row r="45">
      <c r="A45" s="265"/>
      <c r="B45" s="247"/>
      <c r="C45" s="252"/>
      <c r="D45" s="249">
        <v>100000.0</v>
      </c>
      <c r="F45" s="250"/>
      <c r="G45" s="254" t="s">
        <v>542</v>
      </c>
      <c r="H45" s="251"/>
    </row>
    <row r="46">
      <c r="A46" s="265"/>
      <c r="B46" s="247"/>
      <c r="C46" s="248"/>
      <c r="D46" s="249"/>
      <c r="F46" s="250">
        <v>2200.0</v>
      </c>
      <c r="G46" s="254" t="s">
        <v>406</v>
      </c>
      <c r="H46" s="251"/>
    </row>
    <row r="47">
      <c r="A47" s="265"/>
      <c r="B47" s="247"/>
      <c r="C47" s="252">
        <f>63761.74+23173.92-6352.5</f>
        <v>80583.16</v>
      </c>
      <c r="D47" s="249"/>
      <c r="F47" s="250"/>
      <c r="G47" s="254" t="s">
        <v>71</v>
      </c>
      <c r="H47" s="251"/>
    </row>
    <row r="48">
      <c r="A48" s="265"/>
      <c r="B48" s="247"/>
      <c r="C48" s="248"/>
      <c r="D48" s="249"/>
      <c r="F48" s="250">
        <v>1200.0</v>
      </c>
      <c r="G48" s="254" t="s">
        <v>543</v>
      </c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544</v>
      </c>
      <c r="B54" s="239"/>
      <c r="C54" s="263"/>
      <c r="D54" s="264">
        <v>50173.35</v>
      </c>
      <c r="E54" s="242"/>
      <c r="F54" s="243"/>
      <c r="G54" s="276" t="s">
        <v>74</v>
      </c>
      <c r="H54" s="245">
        <v>100.0</v>
      </c>
      <c r="I54" s="2" t="s">
        <v>72</v>
      </c>
    </row>
    <row r="55">
      <c r="A55" s="265"/>
      <c r="B55" s="247"/>
      <c r="C55" s="248"/>
      <c r="D55" s="249">
        <v>8264.99</v>
      </c>
      <c r="F55" s="250"/>
      <c r="G55" s="254" t="s">
        <v>73</v>
      </c>
      <c r="H55" s="267"/>
      <c r="I55" s="2" t="s">
        <v>545</v>
      </c>
    </row>
    <row r="56">
      <c r="A56" s="265"/>
      <c r="B56" s="339">
        <v>36917.23</v>
      </c>
      <c r="C56" s="248"/>
      <c r="D56" s="249"/>
      <c r="F56" s="250"/>
      <c r="G56" s="254" t="s">
        <v>114</v>
      </c>
      <c r="H56" s="251"/>
      <c r="I56" s="2" t="s">
        <v>546</v>
      </c>
    </row>
    <row r="57">
      <c r="A57" s="265"/>
      <c r="B57" s="339">
        <v>18411.86</v>
      </c>
      <c r="C57" s="248"/>
      <c r="D57" s="249"/>
      <c r="F57" s="250"/>
      <c r="G57" s="254" t="s">
        <v>91</v>
      </c>
      <c r="H57" s="267"/>
    </row>
    <row r="58">
      <c r="A58" s="265"/>
      <c r="B58" s="247">
        <v>29750.06</v>
      </c>
      <c r="C58" s="248"/>
      <c r="D58" s="249"/>
      <c r="F58" s="250"/>
      <c r="G58" s="254" t="s">
        <v>76</v>
      </c>
      <c r="H58" s="251"/>
    </row>
    <row r="59">
      <c r="A59" s="265"/>
      <c r="B59" s="247"/>
      <c r="C59" s="252"/>
      <c r="D59" s="249"/>
      <c r="F59" s="250">
        <v>1200.0</v>
      </c>
      <c r="G59" s="254" t="s">
        <v>547</v>
      </c>
      <c r="H59" s="251"/>
    </row>
    <row r="60">
      <c r="A60" s="265"/>
      <c r="B60" s="247"/>
      <c r="C60" s="252"/>
      <c r="D60" s="249">
        <v>57814.1</v>
      </c>
      <c r="E60" s="2" t="s">
        <v>306</v>
      </c>
      <c r="F60" s="250"/>
      <c r="G60" s="254" t="s">
        <v>265</v>
      </c>
      <c r="H60" s="251"/>
    </row>
    <row r="61">
      <c r="A61" s="265"/>
      <c r="B61" s="247"/>
      <c r="C61" s="252"/>
      <c r="D61" s="253"/>
      <c r="F61" s="250">
        <v>645.0</v>
      </c>
      <c r="G61" s="254" t="s">
        <v>99</v>
      </c>
      <c r="H61" s="251"/>
    </row>
    <row r="62">
      <c r="A62" s="265"/>
      <c r="B62" s="247">
        <v>8828.8</v>
      </c>
      <c r="C62" s="248"/>
      <c r="D62" s="253"/>
      <c r="F62" s="250"/>
      <c r="G62" s="254" t="s">
        <v>548</v>
      </c>
      <c r="H62" s="251"/>
    </row>
    <row r="63">
      <c r="A63" s="265"/>
      <c r="B63" s="247">
        <v>8735.0</v>
      </c>
      <c r="C63" s="248"/>
      <c r="D63" s="249"/>
      <c r="F63" s="250"/>
      <c r="G63" s="254" t="s">
        <v>549</v>
      </c>
      <c r="H63" s="251"/>
    </row>
    <row r="64">
      <c r="A64" s="265"/>
      <c r="B64" s="247">
        <v>12800.0</v>
      </c>
      <c r="C64" s="248"/>
      <c r="D64" s="249"/>
      <c r="F64" s="250"/>
      <c r="G64" s="254" t="s">
        <v>451</v>
      </c>
      <c r="H64" s="251"/>
    </row>
    <row r="65">
      <c r="A65" s="265"/>
      <c r="B65" s="268"/>
      <c r="C65" s="248"/>
      <c r="D65" s="249"/>
      <c r="F65" s="250">
        <v>1332.0</v>
      </c>
      <c r="G65" s="254" t="s">
        <v>329</v>
      </c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550</v>
      </c>
      <c r="B68" s="239"/>
      <c r="C68" s="263">
        <v>42237.7</v>
      </c>
      <c r="D68" s="264"/>
      <c r="E68" s="244"/>
      <c r="F68" s="243"/>
      <c r="G68" s="276" t="s">
        <v>84</v>
      </c>
      <c r="H68" s="245">
        <v>90.0</v>
      </c>
      <c r="I68" s="2" t="s">
        <v>72</v>
      </c>
    </row>
    <row r="69">
      <c r="A69" s="265"/>
      <c r="B69" s="247">
        <v>5463.34</v>
      </c>
      <c r="C69" s="248"/>
      <c r="D69" s="249"/>
      <c r="F69" s="250"/>
      <c r="G69" s="254" t="s">
        <v>82</v>
      </c>
      <c r="H69" s="267"/>
    </row>
    <row r="70">
      <c r="A70" s="265"/>
      <c r="B70" s="247">
        <v>12600.0</v>
      </c>
      <c r="C70" s="252"/>
      <c r="D70" s="249"/>
      <c r="F70" s="250"/>
      <c r="G70" s="254" t="s">
        <v>75</v>
      </c>
      <c r="H70" s="310"/>
    </row>
    <row r="71">
      <c r="A71" s="265"/>
      <c r="B71" s="247"/>
      <c r="C71" s="248"/>
      <c r="D71" s="249"/>
      <c r="F71" s="250">
        <v>2785.0</v>
      </c>
      <c r="G71" s="254" t="s">
        <v>329</v>
      </c>
      <c r="H71" s="251"/>
    </row>
    <row r="72">
      <c r="A72" s="265"/>
      <c r="B72" s="247"/>
      <c r="C72" s="248"/>
      <c r="D72" s="249"/>
      <c r="F72" s="250"/>
      <c r="G72" s="254"/>
      <c r="H72" s="251"/>
    </row>
    <row r="73">
      <c r="A73" s="265"/>
      <c r="B73" s="247"/>
      <c r="C73" s="248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551</v>
      </c>
      <c r="B80" s="239">
        <v>48000.0</v>
      </c>
      <c r="C80" s="263"/>
      <c r="D80" s="241"/>
      <c r="E80" s="242"/>
      <c r="F80" s="243"/>
      <c r="G80" s="276" t="s">
        <v>87</v>
      </c>
      <c r="H80" s="245">
        <v>100.0</v>
      </c>
      <c r="I80" s="2" t="s">
        <v>72</v>
      </c>
    </row>
    <row r="81">
      <c r="A81" s="265"/>
      <c r="B81" s="247"/>
      <c r="C81" s="248"/>
      <c r="D81" s="249">
        <v>86636.0</v>
      </c>
      <c r="E81" s="2" t="s">
        <v>328</v>
      </c>
      <c r="F81" s="250"/>
      <c r="G81" s="254" t="s">
        <v>167</v>
      </c>
      <c r="H81" s="267"/>
    </row>
    <row r="82">
      <c r="A82" s="265"/>
      <c r="B82" s="247"/>
      <c r="C82" s="248"/>
      <c r="D82" s="249"/>
      <c r="F82" s="250">
        <v>200.0</v>
      </c>
      <c r="G82" s="254" t="s">
        <v>552</v>
      </c>
      <c r="H82" s="251"/>
    </row>
    <row r="83">
      <c r="A83" s="265"/>
      <c r="B83" s="247"/>
      <c r="C83" s="248"/>
      <c r="D83" s="249"/>
      <c r="F83" s="250">
        <v>2000.0</v>
      </c>
      <c r="G83" s="254" t="s">
        <v>102</v>
      </c>
      <c r="H83" s="251"/>
    </row>
    <row r="84">
      <c r="A84" s="265"/>
      <c r="B84" s="85"/>
      <c r="C84" s="248"/>
      <c r="D84" s="249"/>
      <c r="F84" s="250"/>
      <c r="G84" s="254"/>
      <c r="H84" s="251"/>
    </row>
    <row r="85">
      <c r="A85" s="265"/>
      <c r="B85" s="281"/>
      <c r="C85" s="252"/>
      <c r="D85" s="249"/>
      <c r="F85" s="266"/>
      <c r="G85" s="254"/>
      <c r="H85" s="251"/>
    </row>
    <row r="86">
      <c r="A86" s="265"/>
      <c r="B86" s="281"/>
      <c r="C86" s="252"/>
      <c r="D86" s="249"/>
      <c r="F86" s="250"/>
      <c r="G86" s="254"/>
      <c r="H86" s="251"/>
    </row>
    <row r="87">
      <c r="A87" s="265"/>
      <c r="B87" s="247"/>
      <c r="C87" s="252"/>
      <c r="D87" s="249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553</v>
      </c>
      <c r="B96" s="239"/>
      <c r="C96" s="263"/>
      <c r="D96" s="264"/>
      <c r="E96" s="242"/>
      <c r="F96" s="250">
        <v>330.0</v>
      </c>
      <c r="G96" s="276" t="s">
        <v>367</v>
      </c>
      <c r="H96" s="245">
        <v>60.0</v>
      </c>
      <c r="I96" s="2" t="s">
        <v>554</v>
      </c>
    </row>
    <row r="97">
      <c r="A97" s="265"/>
      <c r="B97" s="247"/>
      <c r="C97" s="248"/>
      <c r="D97" s="249" t="s">
        <v>555</v>
      </c>
      <c r="F97" s="250"/>
      <c r="G97" s="2" t="s">
        <v>556</v>
      </c>
      <c r="H97" s="267"/>
    </row>
    <row r="98">
      <c r="A98" s="265"/>
      <c r="B98" s="247"/>
      <c r="C98" s="248"/>
      <c r="D98" s="249"/>
      <c r="F98" s="250">
        <v>590.0</v>
      </c>
      <c r="G98" s="254" t="s">
        <v>557</v>
      </c>
      <c r="H98" s="267"/>
    </row>
    <row r="99">
      <c r="A99" s="265"/>
      <c r="B99" s="247">
        <v>18700.0</v>
      </c>
      <c r="C99" s="248"/>
      <c r="D99" s="249"/>
      <c r="F99" s="250"/>
      <c r="G99" s="254" t="s">
        <v>75</v>
      </c>
      <c r="H99" s="251"/>
    </row>
    <row r="100">
      <c r="A100" s="265"/>
      <c r="B100" s="330">
        <v>32822.08</v>
      </c>
      <c r="C100" s="313"/>
      <c r="D100" s="314"/>
      <c r="E100" s="290"/>
      <c r="F100" s="291"/>
      <c r="G100" s="292" t="s">
        <v>82</v>
      </c>
      <c r="H100" s="251"/>
    </row>
    <row r="101">
      <c r="A101" s="265"/>
      <c r="B101" s="247">
        <v>23740.0</v>
      </c>
      <c r="C101" s="252"/>
      <c r="D101" s="253"/>
      <c r="F101" s="250"/>
      <c r="G101" s="254" t="s">
        <v>558</v>
      </c>
      <c r="H101" s="251"/>
    </row>
    <row r="102">
      <c r="A102" s="265"/>
      <c r="B102" s="247"/>
      <c r="C102" s="252"/>
      <c r="D102" s="249"/>
      <c r="F102" s="250"/>
      <c r="G102" s="254"/>
      <c r="H102" s="25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52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559</v>
      </c>
      <c r="B110" s="239">
        <v>23918.0</v>
      </c>
      <c r="C110" s="263"/>
      <c r="D110" s="264"/>
      <c r="E110" s="242"/>
      <c r="F110" s="243"/>
      <c r="G110" s="276" t="s">
        <v>142</v>
      </c>
      <c r="H110" s="245">
        <v>70.0</v>
      </c>
      <c r="I110" s="2" t="s">
        <v>72</v>
      </c>
    </row>
    <row r="111">
      <c r="A111" s="265"/>
      <c r="B111" s="247"/>
      <c r="C111" s="248">
        <v>54911.0</v>
      </c>
      <c r="D111" s="249"/>
      <c r="F111" s="250"/>
      <c r="G111" s="254" t="s">
        <v>89</v>
      </c>
      <c r="H111" s="267"/>
    </row>
    <row r="112">
      <c r="A112" s="265"/>
      <c r="B112" s="247">
        <v>12091.4</v>
      </c>
      <c r="C112" s="248"/>
      <c r="D112" s="249"/>
      <c r="F112" s="250"/>
      <c r="G112" s="26" t="s">
        <v>291</v>
      </c>
      <c r="H112" s="251"/>
    </row>
    <row r="113">
      <c r="A113" s="265"/>
      <c r="B113" s="247">
        <v>12100.0</v>
      </c>
      <c r="C113" s="248"/>
      <c r="D113" s="249"/>
      <c r="F113" s="250"/>
      <c r="G113" s="254" t="s">
        <v>101</v>
      </c>
      <c r="H113" s="251"/>
    </row>
    <row r="114">
      <c r="A114" s="265"/>
      <c r="B114" s="247"/>
      <c r="C114" s="248"/>
      <c r="D114" s="249"/>
      <c r="F114" s="250">
        <v>15000.0</v>
      </c>
      <c r="G114" s="254" t="s">
        <v>68</v>
      </c>
      <c r="H114" s="251"/>
    </row>
    <row r="115">
      <c r="A115" s="265"/>
      <c r="B115" s="247"/>
      <c r="C115" s="252"/>
      <c r="D115" s="249"/>
      <c r="F115" s="250"/>
      <c r="G115" s="254"/>
      <c r="H115" s="251"/>
    </row>
    <row r="116">
      <c r="A116" s="265"/>
      <c r="B116" s="247"/>
      <c r="C116" s="252"/>
      <c r="D116" s="253"/>
      <c r="F116" s="250"/>
      <c r="G116" s="254"/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560</v>
      </c>
      <c r="B128" s="239"/>
      <c r="C128" s="263"/>
      <c r="D128" s="264">
        <v>40700.0</v>
      </c>
      <c r="E128" s="242"/>
      <c r="F128" s="243"/>
      <c r="G128" s="276" t="s">
        <v>122</v>
      </c>
      <c r="H128" s="245">
        <v>100.0</v>
      </c>
      <c r="I128" s="2" t="s">
        <v>72</v>
      </c>
    </row>
    <row r="129">
      <c r="A129" s="265"/>
      <c r="B129" s="247">
        <v>23616.93</v>
      </c>
      <c r="C129" s="252"/>
      <c r="D129" s="249"/>
      <c r="F129" s="250"/>
      <c r="G129" s="254" t="s">
        <v>82</v>
      </c>
      <c r="H129" s="267"/>
    </row>
    <row r="130">
      <c r="A130" s="265"/>
      <c r="B130" s="247"/>
      <c r="C130" s="248"/>
      <c r="D130" s="249"/>
      <c r="F130" s="250">
        <v>1303.0</v>
      </c>
      <c r="G130" s="254" t="s">
        <v>97</v>
      </c>
      <c r="H130" s="251"/>
      <c r="I130" s="2" t="s">
        <v>561</v>
      </c>
    </row>
    <row r="131">
      <c r="A131" s="265"/>
      <c r="B131" s="247"/>
      <c r="C131" s="248"/>
      <c r="D131" s="249">
        <v>43755.78</v>
      </c>
      <c r="F131" s="250"/>
      <c r="G131" s="254" t="s">
        <v>114</v>
      </c>
      <c r="H131" s="251"/>
    </row>
    <row r="132">
      <c r="A132" s="265"/>
      <c r="B132" s="247">
        <f>33600-15500</f>
        <v>18100</v>
      </c>
      <c r="C132" s="248"/>
      <c r="D132" s="249"/>
      <c r="F132" s="250"/>
      <c r="G132" s="254" t="s">
        <v>75</v>
      </c>
      <c r="H132" s="251"/>
    </row>
    <row r="133">
      <c r="A133" s="265"/>
      <c r="B133" s="247"/>
      <c r="C133" s="252">
        <f>24617.45+50587.26</f>
        <v>75204.71</v>
      </c>
      <c r="D133" s="249"/>
      <c r="F133" s="250"/>
      <c r="G133" s="254" t="s">
        <v>71</v>
      </c>
      <c r="H133" s="251"/>
    </row>
    <row r="134">
      <c r="A134" s="265"/>
      <c r="B134" s="247"/>
      <c r="C134" s="252"/>
      <c r="D134" s="249">
        <v>100000.0</v>
      </c>
      <c r="F134" s="250"/>
      <c r="G134" s="254" t="s">
        <v>144</v>
      </c>
      <c r="H134" s="251"/>
    </row>
    <row r="135">
      <c r="A135" s="265"/>
      <c r="B135" s="283"/>
      <c r="C135" s="248"/>
      <c r="D135" s="249"/>
      <c r="F135" s="250">
        <v>2200.0</v>
      </c>
      <c r="G135" s="254" t="s">
        <v>562</v>
      </c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563</v>
      </c>
      <c r="B143" s="239">
        <v>48000.0</v>
      </c>
      <c r="C143" s="263"/>
      <c r="D143" s="241"/>
      <c r="E143" s="242"/>
      <c r="F143" s="243"/>
      <c r="G143" s="276" t="s">
        <v>87</v>
      </c>
      <c r="H143" s="245">
        <v>90.0</v>
      </c>
      <c r="I143" s="2" t="s">
        <v>72</v>
      </c>
    </row>
    <row r="144">
      <c r="A144" s="265"/>
      <c r="B144" s="247"/>
      <c r="C144" s="252"/>
      <c r="D144" s="253"/>
      <c r="F144" s="250">
        <v>2785.0</v>
      </c>
      <c r="G144" s="254" t="s">
        <v>329</v>
      </c>
      <c r="H144" s="251"/>
    </row>
    <row r="145">
      <c r="A145" s="265"/>
      <c r="B145" s="247"/>
      <c r="C145" s="252"/>
      <c r="D145" s="249">
        <v>31293.5</v>
      </c>
      <c r="F145" s="284"/>
      <c r="G145" s="285" t="s">
        <v>74</v>
      </c>
      <c r="H145" s="251"/>
    </row>
    <row r="146">
      <c r="A146" s="265"/>
      <c r="B146" s="247"/>
      <c r="C146" s="252"/>
      <c r="D146" s="249">
        <v>7383.59</v>
      </c>
      <c r="F146" s="250"/>
      <c r="G146" s="254" t="s">
        <v>73</v>
      </c>
      <c r="H146" s="251"/>
    </row>
    <row r="147">
      <c r="A147" s="265"/>
      <c r="B147" s="247">
        <v>26840.0</v>
      </c>
      <c r="C147" s="252"/>
      <c r="D147" s="249"/>
      <c r="E147" s="2" t="s">
        <v>276</v>
      </c>
      <c r="F147" s="250"/>
      <c r="G147" s="254" t="s">
        <v>79</v>
      </c>
      <c r="H147" s="251"/>
    </row>
    <row r="148">
      <c r="A148" s="265"/>
      <c r="B148" s="247"/>
      <c r="C148" s="248"/>
      <c r="D148" s="249">
        <v>67672.2</v>
      </c>
      <c r="F148" s="250"/>
      <c r="G148" s="254" t="s">
        <v>103</v>
      </c>
      <c r="H148" s="251"/>
    </row>
    <row r="149">
      <c r="A149" s="265"/>
      <c r="B149" s="247"/>
      <c r="C149" s="248"/>
      <c r="D149" s="249"/>
      <c r="F149" s="250">
        <v>2200.0</v>
      </c>
      <c r="G149" s="254" t="s">
        <v>564</v>
      </c>
      <c r="H149" s="251"/>
    </row>
    <row r="150">
      <c r="A150" s="265"/>
      <c r="B150" s="247"/>
      <c r="C150" s="252"/>
      <c r="D150" s="249"/>
      <c r="F150" s="250">
        <v>398.0</v>
      </c>
      <c r="G150" s="254" t="s">
        <v>137</v>
      </c>
      <c r="H150" s="251"/>
    </row>
    <row r="151">
      <c r="A151" s="265"/>
      <c r="B151" s="247">
        <v>78045.0</v>
      </c>
      <c r="C151" s="252"/>
      <c r="D151" s="249"/>
      <c r="E151" s="2" t="s">
        <v>276</v>
      </c>
      <c r="F151" s="250"/>
      <c r="G151" s="254" t="s">
        <v>167</v>
      </c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565</v>
      </c>
      <c r="B158" s="239"/>
      <c r="C158" s="263">
        <v>60527.47</v>
      </c>
      <c r="D158" s="264"/>
      <c r="E158" s="242"/>
      <c r="F158" s="243"/>
      <c r="G158" s="276" t="s">
        <v>84</v>
      </c>
      <c r="H158" s="245">
        <v>100.0</v>
      </c>
      <c r="I158" s="2" t="s">
        <v>72</v>
      </c>
    </row>
    <row r="159">
      <c r="A159" s="265"/>
      <c r="B159" s="247"/>
      <c r="C159" s="252"/>
      <c r="D159" s="253"/>
      <c r="F159" s="250"/>
      <c r="G159" s="254" t="s">
        <v>142</v>
      </c>
      <c r="H159" s="267"/>
    </row>
    <row r="160">
      <c r="A160" s="265"/>
      <c r="B160" s="247">
        <v>13337.0</v>
      </c>
      <c r="C160" s="248"/>
      <c r="D160" s="249"/>
      <c r="F160" s="250"/>
      <c r="G160" s="254" t="s">
        <v>82</v>
      </c>
      <c r="H160" s="251"/>
    </row>
    <row r="161">
      <c r="A161" s="265"/>
      <c r="B161" s="247"/>
      <c r="C161" s="248"/>
      <c r="D161" s="249">
        <v>34450.0</v>
      </c>
      <c r="F161" s="250"/>
      <c r="G161" s="254" t="s">
        <v>75</v>
      </c>
      <c r="H161" s="251"/>
    </row>
    <row r="162">
      <c r="A162" s="265"/>
      <c r="B162" s="247"/>
      <c r="C162" s="248"/>
      <c r="D162" s="253"/>
      <c r="F162" s="250">
        <v>2872.0</v>
      </c>
      <c r="G162" s="254" t="s">
        <v>566</v>
      </c>
      <c r="H162" s="251"/>
    </row>
    <row r="163">
      <c r="A163" s="265"/>
      <c r="B163" s="247"/>
      <c r="C163" s="248"/>
      <c r="D163" s="249">
        <v>5140.0</v>
      </c>
      <c r="F163" s="250"/>
      <c r="G163" s="254" t="s">
        <v>567</v>
      </c>
      <c r="H163" s="251"/>
    </row>
    <row r="164">
      <c r="A164" s="265"/>
      <c r="B164" s="247">
        <v>7610.0</v>
      </c>
      <c r="C164" s="248"/>
      <c r="D164" s="249"/>
      <c r="F164" s="250"/>
      <c r="G164" s="254" t="s">
        <v>567</v>
      </c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568</v>
      </c>
      <c r="B168" s="239"/>
      <c r="C168" s="263"/>
      <c r="D168" s="264"/>
      <c r="E168" s="244"/>
      <c r="F168" s="250">
        <v>2513.0</v>
      </c>
      <c r="G168" s="276" t="s">
        <v>329</v>
      </c>
      <c r="H168" s="245">
        <v>72.0</v>
      </c>
      <c r="I168" s="2" t="s">
        <v>107</v>
      </c>
    </row>
    <row r="169">
      <c r="A169" s="265"/>
      <c r="B169" s="247"/>
      <c r="C169" s="315"/>
      <c r="D169" s="249">
        <v>72116.0</v>
      </c>
      <c r="E169" s="2" t="s">
        <v>276</v>
      </c>
      <c r="F169" s="250"/>
      <c r="G169" s="254" t="s">
        <v>167</v>
      </c>
      <c r="H169" s="267"/>
      <c r="I169" s="2" t="s">
        <v>569</v>
      </c>
    </row>
    <row r="170">
      <c r="A170" s="265"/>
      <c r="B170" s="247">
        <v>20440.0</v>
      </c>
      <c r="C170" s="248"/>
      <c r="D170" s="249"/>
      <c r="F170" s="250"/>
      <c r="G170" s="254" t="s">
        <v>76</v>
      </c>
      <c r="H170" s="267"/>
    </row>
    <row r="171">
      <c r="A171" s="265"/>
      <c r="B171" s="247">
        <v>37792.83</v>
      </c>
      <c r="C171" s="248"/>
      <c r="D171" s="249"/>
      <c r="F171" s="250"/>
      <c r="G171" s="254" t="s">
        <v>142</v>
      </c>
      <c r="H171" s="251"/>
    </row>
    <row r="172">
      <c r="A172" s="265"/>
      <c r="B172" s="247"/>
      <c r="C172" s="248"/>
      <c r="D172" s="249"/>
      <c r="E172" s="254"/>
      <c r="F172" s="250">
        <v>2300.0</v>
      </c>
      <c r="G172" s="254" t="s">
        <v>562</v>
      </c>
      <c r="H172" s="251"/>
      <c r="I172" s="269"/>
    </row>
    <row r="173">
      <c r="A173" s="265"/>
      <c r="B173" s="247"/>
      <c r="C173" s="252"/>
      <c r="D173" s="249"/>
      <c r="F173" s="250">
        <v>15000.0</v>
      </c>
      <c r="G173" s="254" t="s">
        <v>570</v>
      </c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571</v>
      </c>
      <c r="B183" s="247"/>
      <c r="C183" s="248"/>
      <c r="D183" s="249">
        <v>66073.26</v>
      </c>
      <c r="F183" s="250"/>
      <c r="G183" s="254" t="s">
        <v>92</v>
      </c>
      <c r="H183" s="286">
        <v>50.0</v>
      </c>
      <c r="I183" s="2" t="s">
        <v>72</v>
      </c>
    </row>
    <row r="184">
      <c r="A184" s="265"/>
      <c r="B184" s="247">
        <v>57000.0</v>
      </c>
      <c r="C184" s="248"/>
      <c r="D184" s="249"/>
      <c r="F184" s="250"/>
      <c r="G184" s="254" t="s">
        <v>572</v>
      </c>
      <c r="H184" s="251"/>
    </row>
    <row r="185">
      <c r="A185" s="265"/>
      <c r="B185" s="247">
        <v>22300.0</v>
      </c>
      <c r="C185" s="252"/>
      <c r="D185" s="249"/>
      <c r="F185" s="250"/>
      <c r="G185" s="254" t="s">
        <v>75</v>
      </c>
      <c r="H185" s="267"/>
    </row>
    <row r="186">
      <c r="A186" s="265"/>
      <c r="B186" s="247">
        <v>24914.6</v>
      </c>
      <c r="C186" s="248"/>
      <c r="D186" s="249"/>
      <c r="F186" s="250"/>
      <c r="G186" s="254" t="s">
        <v>389</v>
      </c>
      <c r="H186" s="251"/>
    </row>
    <row r="187">
      <c r="A187" s="265"/>
      <c r="B187" s="247"/>
      <c r="C187" s="248"/>
      <c r="D187" s="249"/>
      <c r="F187" s="250">
        <v>22400.0</v>
      </c>
      <c r="G187" s="254" t="s">
        <v>573</v>
      </c>
      <c r="H187" s="251"/>
    </row>
    <row r="188">
      <c r="A188" s="265"/>
      <c r="B188" s="247"/>
      <c r="C188" s="252"/>
      <c r="D188" s="249"/>
      <c r="F188" s="250">
        <v>15200.0</v>
      </c>
      <c r="G188" s="254" t="s">
        <v>396</v>
      </c>
      <c r="H188" s="251"/>
    </row>
    <row r="189">
      <c r="A189" s="265"/>
      <c r="B189" s="247">
        <v>38243.39</v>
      </c>
      <c r="C189" s="252"/>
      <c r="D189" s="253"/>
      <c r="F189" s="250"/>
      <c r="G189" s="254" t="s">
        <v>82</v>
      </c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53"/>
      <c r="F191" s="250"/>
      <c r="G191" s="254"/>
      <c r="H191" s="251"/>
    </row>
    <row r="192">
      <c r="A192" s="265"/>
      <c r="B192" s="247"/>
      <c r="C192" s="252"/>
      <c r="D192" s="249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574</v>
      </c>
      <c r="B199" s="239"/>
      <c r="C199" s="263"/>
      <c r="D199" s="264"/>
      <c r="E199" s="244"/>
      <c r="F199" s="243">
        <v>1400.0</v>
      </c>
      <c r="G199" s="276" t="s">
        <v>68</v>
      </c>
      <c r="H199" s="245">
        <v>99.0</v>
      </c>
      <c r="I199" s="2" t="s">
        <v>107</v>
      </c>
    </row>
    <row r="200">
      <c r="A200" s="265"/>
      <c r="B200" s="247">
        <v>48000.0</v>
      </c>
      <c r="C200" s="248"/>
      <c r="D200" s="249"/>
      <c r="F200" s="250"/>
      <c r="G200" s="254" t="s">
        <v>87</v>
      </c>
      <c r="H200" s="267"/>
    </row>
    <row r="201">
      <c r="A201" s="265"/>
      <c r="B201" s="247">
        <v>4742.4</v>
      </c>
      <c r="C201" s="252"/>
      <c r="D201" s="249"/>
      <c r="F201" s="250"/>
      <c r="G201" s="254" t="s">
        <v>291</v>
      </c>
      <c r="H201" s="251"/>
    </row>
    <row r="202">
      <c r="A202" s="265"/>
      <c r="B202" s="247"/>
      <c r="C202" s="248">
        <v>36688.69</v>
      </c>
      <c r="D202" s="249"/>
      <c r="F202" s="250"/>
      <c r="G202" s="254" t="s">
        <v>89</v>
      </c>
      <c r="H202" s="251"/>
    </row>
    <row r="203">
      <c r="A203" s="265"/>
      <c r="B203" s="247"/>
      <c r="C203" s="248"/>
      <c r="D203" s="249"/>
      <c r="F203" s="250">
        <v>15000.0</v>
      </c>
      <c r="G203" s="254" t="s">
        <v>68</v>
      </c>
      <c r="H203" s="251"/>
    </row>
    <row r="204">
      <c r="A204" s="265"/>
      <c r="B204" s="247">
        <v>12625.0</v>
      </c>
      <c r="C204" s="248"/>
      <c r="D204" s="249"/>
      <c r="F204" s="250"/>
      <c r="G204" s="254" t="s">
        <v>101</v>
      </c>
      <c r="H204" s="267"/>
    </row>
    <row r="205">
      <c r="A205" s="265"/>
      <c r="B205" s="247"/>
      <c r="C205" s="248"/>
      <c r="D205" s="249"/>
      <c r="F205" s="250"/>
      <c r="G205" s="316"/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575</v>
      </c>
      <c r="B214" s="239"/>
      <c r="C214" s="263">
        <v>63944.39</v>
      </c>
      <c r="D214" s="264"/>
      <c r="E214" s="242"/>
      <c r="F214" s="243"/>
      <c r="G214" s="276" t="s">
        <v>71</v>
      </c>
      <c r="H214" s="245">
        <v>80.0</v>
      </c>
      <c r="I214" s="2" t="s">
        <v>72</v>
      </c>
    </row>
    <row r="215">
      <c r="A215" s="265"/>
      <c r="B215" s="247"/>
      <c r="C215" s="248"/>
      <c r="D215" s="249"/>
      <c r="F215" s="250"/>
      <c r="G215" s="254"/>
      <c r="H215" s="267"/>
    </row>
    <row r="216">
      <c r="A216" s="265"/>
      <c r="B216" s="247"/>
      <c r="C216" s="252"/>
      <c r="D216" s="249"/>
      <c r="F216" s="250"/>
      <c r="G216" s="254"/>
      <c r="H216" s="251"/>
    </row>
    <row r="217">
      <c r="A217" s="265"/>
      <c r="B217" s="247"/>
      <c r="C217" s="248"/>
      <c r="D217" s="249"/>
      <c r="F217" s="250"/>
      <c r="G217" s="254"/>
      <c r="H217" s="251"/>
    </row>
    <row r="218">
      <c r="A218" s="265"/>
      <c r="B218" s="247"/>
      <c r="C218" s="252"/>
      <c r="D218" s="253"/>
      <c r="F218" s="250"/>
      <c r="G218" s="254"/>
      <c r="H218" s="251"/>
    </row>
    <row r="219">
      <c r="A219" s="265"/>
      <c r="B219" s="247"/>
      <c r="C219" s="252"/>
      <c r="D219" s="253"/>
      <c r="F219" s="250"/>
      <c r="G219" s="254"/>
      <c r="H219" s="251"/>
    </row>
    <row r="220">
      <c r="A220" s="265"/>
      <c r="B220" s="247"/>
      <c r="C220" s="252"/>
      <c r="D220" s="253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576</v>
      </c>
      <c r="B226" s="239"/>
      <c r="C226" s="263"/>
      <c r="D226" s="264">
        <v>40700.0</v>
      </c>
      <c r="E226" s="276" t="s">
        <v>276</v>
      </c>
      <c r="F226" s="243"/>
      <c r="G226" s="276" t="s">
        <v>122</v>
      </c>
      <c r="H226" s="245">
        <v>121500.0</v>
      </c>
      <c r="I226" s="254" t="s">
        <v>72</v>
      </c>
      <c r="J226" s="254">
        <v>111500.0</v>
      </c>
      <c r="K226" s="254"/>
    </row>
    <row r="227">
      <c r="A227" s="265"/>
      <c r="B227" s="247"/>
      <c r="C227" s="252"/>
      <c r="D227" s="249">
        <v>38409.45</v>
      </c>
      <c r="F227" s="250"/>
      <c r="G227" s="254" t="s">
        <v>74</v>
      </c>
      <c r="H227" s="251"/>
      <c r="I227" s="269"/>
      <c r="J227" s="254"/>
      <c r="K227" s="254"/>
    </row>
    <row r="228">
      <c r="A228" s="265"/>
      <c r="B228" s="247"/>
      <c r="C228" s="252"/>
      <c r="D228" s="249">
        <v>13131.2</v>
      </c>
      <c r="F228" s="250"/>
      <c r="G228" s="254" t="s">
        <v>73</v>
      </c>
      <c r="H228" s="251"/>
      <c r="I228" s="269"/>
      <c r="J228" s="254"/>
      <c r="K228" s="254"/>
    </row>
    <row r="229">
      <c r="A229" s="265"/>
      <c r="B229" s="247"/>
      <c r="C229" s="248"/>
      <c r="D229" s="249">
        <v>33813.07</v>
      </c>
      <c r="E229" s="254" t="s">
        <v>328</v>
      </c>
      <c r="F229" s="250"/>
      <c r="G229" s="254" t="s">
        <v>114</v>
      </c>
      <c r="H229" s="251"/>
      <c r="I229" s="269"/>
      <c r="J229" s="269"/>
      <c r="K229" s="269"/>
    </row>
    <row r="230">
      <c r="A230" s="265"/>
      <c r="B230" s="247">
        <v>12500.0</v>
      </c>
      <c r="C230" s="248"/>
      <c r="D230" s="253"/>
      <c r="E230" s="269"/>
      <c r="F230" s="250"/>
      <c r="G230" s="254" t="s">
        <v>118</v>
      </c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>
        <v>502.68</v>
      </c>
      <c r="G231" s="254" t="s">
        <v>303</v>
      </c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577</v>
      </c>
      <c r="B241" s="239">
        <v>34534.38</v>
      </c>
      <c r="C241" s="263"/>
      <c r="D241" s="264"/>
      <c r="E241" s="242"/>
      <c r="F241" s="243"/>
      <c r="G241" s="2" t="s">
        <v>142</v>
      </c>
      <c r="H241" s="245">
        <v>92.0</v>
      </c>
      <c r="I241" s="2" t="s">
        <v>72</v>
      </c>
    </row>
    <row r="242">
      <c r="A242" s="265"/>
      <c r="B242" s="247"/>
      <c r="C242" s="252"/>
      <c r="D242" s="249">
        <v>19338.0</v>
      </c>
      <c r="F242" s="250"/>
      <c r="G242" s="254" t="s">
        <v>578</v>
      </c>
      <c r="H242" s="267"/>
    </row>
    <row r="243">
      <c r="A243" s="265"/>
      <c r="B243" s="247">
        <v>23190.0</v>
      </c>
      <c r="C243" s="248"/>
      <c r="D243" s="249"/>
      <c r="F243" s="250">
        <v>4000.0</v>
      </c>
      <c r="G243" s="254" t="s">
        <v>82</v>
      </c>
      <c r="H243" s="251"/>
    </row>
    <row r="244">
      <c r="A244" s="265"/>
      <c r="B244" s="247"/>
      <c r="C244" s="248">
        <v>44770.97</v>
      </c>
      <c r="D244" s="249"/>
      <c r="F244" s="250"/>
      <c r="G244" s="254" t="s">
        <v>84</v>
      </c>
      <c r="H244" s="251"/>
    </row>
    <row r="245">
      <c r="A245" s="265"/>
      <c r="B245" s="247"/>
      <c r="C245" s="252"/>
      <c r="D245" s="249">
        <v>24450.0</v>
      </c>
      <c r="E245" s="2" t="s">
        <v>306</v>
      </c>
      <c r="F245" s="250"/>
      <c r="G245" s="254" t="s">
        <v>75</v>
      </c>
      <c r="H245" s="267"/>
    </row>
    <row r="246">
      <c r="A246" s="265"/>
      <c r="B246" s="247"/>
      <c r="C246" s="248"/>
      <c r="D246" s="253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579</v>
      </c>
      <c r="B255" s="239">
        <v>44755.93</v>
      </c>
      <c r="C255" s="263"/>
      <c r="D255" s="264"/>
      <c r="E255" s="244"/>
      <c r="F255" s="243"/>
      <c r="G255" s="276" t="s">
        <v>91</v>
      </c>
      <c r="H255" s="245">
        <v>91.0</v>
      </c>
      <c r="I255">
        <f>91-17</f>
        <v>74</v>
      </c>
    </row>
    <row r="256">
      <c r="A256" s="265"/>
      <c r="B256" s="247">
        <v>25370.0</v>
      </c>
      <c r="C256" s="248"/>
      <c r="D256" s="249"/>
      <c r="F256" s="250"/>
      <c r="G256" s="254" t="s">
        <v>76</v>
      </c>
      <c r="H256" s="251"/>
    </row>
    <row r="257">
      <c r="A257" s="265"/>
      <c r="B257" s="247"/>
      <c r="C257" s="252"/>
      <c r="D257" s="249"/>
      <c r="F257" s="250">
        <v>15000.0</v>
      </c>
      <c r="G257" s="254" t="s">
        <v>68</v>
      </c>
      <c r="H257" s="251"/>
    </row>
    <row r="258">
      <c r="A258" s="265"/>
      <c r="B258" s="247"/>
      <c r="C258" s="248"/>
      <c r="D258" s="249"/>
      <c r="F258" s="250">
        <v>2500.0</v>
      </c>
      <c r="G258" s="254" t="s">
        <v>580</v>
      </c>
      <c r="H258" s="267"/>
    </row>
    <row r="259">
      <c r="A259" s="265"/>
      <c r="B259" s="247"/>
      <c r="C259" s="248"/>
      <c r="D259" s="249"/>
      <c r="F259" s="250"/>
      <c r="G259" s="254"/>
      <c r="H259" s="251"/>
    </row>
    <row r="260">
      <c r="A260" s="265"/>
      <c r="B260" s="247"/>
      <c r="C260" s="248"/>
      <c r="D260" s="249"/>
      <c r="F260" s="250"/>
      <c r="G260" s="254"/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48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581</v>
      </c>
      <c r="B270" s="239"/>
      <c r="C270" s="263"/>
      <c r="D270" s="249">
        <v>84095.0</v>
      </c>
      <c r="E270" s="2" t="s">
        <v>276</v>
      </c>
      <c r="F270" s="250"/>
      <c r="G270" s="254" t="s">
        <v>167</v>
      </c>
      <c r="H270" s="245">
        <v>80.0</v>
      </c>
      <c r="I270">
        <f>80-40</f>
        <v>40</v>
      </c>
    </row>
    <row r="271">
      <c r="A271" s="265"/>
      <c r="B271" s="247">
        <v>10158.23</v>
      </c>
      <c r="C271" s="248"/>
      <c r="D271" s="249"/>
      <c r="F271" s="250"/>
      <c r="G271" s="254" t="s">
        <v>82</v>
      </c>
      <c r="H271" s="267"/>
    </row>
    <row r="272">
      <c r="A272" s="265"/>
      <c r="B272" s="247"/>
      <c r="C272" s="248"/>
      <c r="D272" s="253"/>
      <c r="F272" s="250"/>
      <c r="G272" s="254" t="s">
        <v>451</v>
      </c>
      <c r="H272" s="251"/>
    </row>
    <row r="273">
      <c r="A273" s="265"/>
      <c r="B273" s="247">
        <v>37150.0</v>
      </c>
      <c r="C273" s="248"/>
      <c r="D273" s="249"/>
      <c r="F273" s="250"/>
      <c r="G273" s="254" t="s">
        <v>75</v>
      </c>
      <c r="H273" s="251"/>
    </row>
    <row r="274">
      <c r="A274" s="265"/>
      <c r="B274" s="247"/>
      <c r="C274" s="248"/>
      <c r="D274" s="249">
        <v>32354.11</v>
      </c>
      <c r="F274" s="250"/>
      <c r="G274" s="254" t="s">
        <v>103</v>
      </c>
      <c r="H274" s="251"/>
    </row>
    <row r="275">
      <c r="A275" s="265"/>
      <c r="B275" s="247"/>
      <c r="C275" s="248"/>
      <c r="D275" s="249"/>
      <c r="F275" s="250">
        <v>9000.0</v>
      </c>
      <c r="G275" s="254" t="s">
        <v>582</v>
      </c>
      <c r="H275" s="251"/>
    </row>
    <row r="276">
      <c r="A276" s="265"/>
      <c r="B276" s="247">
        <v>13060.0</v>
      </c>
      <c r="C276" s="248"/>
      <c r="D276" s="249"/>
      <c r="F276" s="250"/>
      <c r="G276" s="254" t="s">
        <v>377</v>
      </c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583</v>
      </c>
      <c r="B283" s="239">
        <v>4453.6</v>
      </c>
      <c r="C283" s="263"/>
      <c r="D283" s="264"/>
      <c r="E283" s="244"/>
      <c r="F283" s="243"/>
      <c r="G283" s="276" t="s">
        <v>291</v>
      </c>
      <c r="H283" s="245">
        <v>150.0</v>
      </c>
      <c r="I283" s="2" t="s">
        <v>72</v>
      </c>
    </row>
    <row r="284">
      <c r="A284" s="265"/>
      <c r="B284" s="247"/>
      <c r="C284" s="248">
        <v>67255.0</v>
      </c>
      <c r="D284" s="249"/>
      <c r="F284" s="250"/>
      <c r="G284" s="254" t="s">
        <v>89</v>
      </c>
      <c r="H284" s="267"/>
    </row>
    <row r="285">
      <c r="A285" s="265"/>
      <c r="B285" s="247">
        <v>39508.0</v>
      </c>
      <c r="C285" s="248"/>
      <c r="D285" s="249"/>
      <c r="F285" s="250"/>
      <c r="G285" s="254" t="s">
        <v>142</v>
      </c>
      <c r="H285" s="251"/>
    </row>
    <row r="286">
      <c r="A286" s="265"/>
      <c r="B286" s="247"/>
      <c r="C286" s="248"/>
      <c r="D286" s="249">
        <v>48000.0</v>
      </c>
      <c r="F286" s="250"/>
      <c r="G286" s="254" t="s">
        <v>87</v>
      </c>
      <c r="H286" s="251"/>
    </row>
    <row r="287">
      <c r="A287" s="265"/>
      <c r="B287" s="247"/>
      <c r="C287" s="252"/>
      <c r="D287" s="249">
        <v>39034.76</v>
      </c>
      <c r="F287" s="250"/>
      <c r="G287" s="254" t="s">
        <v>114</v>
      </c>
      <c r="H287" s="251"/>
    </row>
    <row r="288">
      <c r="A288" s="265"/>
      <c r="B288" s="247"/>
      <c r="C288" s="248"/>
      <c r="D288" s="249"/>
      <c r="F288" s="250">
        <v>2160.0</v>
      </c>
      <c r="G288" s="254" t="s">
        <v>97</v>
      </c>
      <c r="H288" s="251"/>
    </row>
    <row r="289">
      <c r="A289" s="265"/>
      <c r="B289" s="247"/>
      <c r="C289" s="248"/>
      <c r="D289" s="249">
        <v>31600.0</v>
      </c>
      <c r="F289" s="250"/>
      <c r="G289" s="254" t="s">
        <v>584</v>
      </c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585</v>
      </c>
      <c r="B299" s="239"/>
      <c r="C299" s="263"/>
      <c r="D299" s="264">
        <v>14000.0</v>
      </c>
      <c r="E299" s="244" t="s">
        <v>276</v>
      </c>
      <c r="F299" s="243"/>
      <c r="G299" s="276" t="s">
        <v>75</v>
      </c>
      <c r="H299" s="245">
        <v>52.0</v>
      </c>
      <c r="I299" s="2" t="s">
        <v>72</v>
      </c>
    </row>
    <row r="300">
      <c r="A300" s="265"/>
      <c r="B300" s="247"/>
      <c r="C300" s="248">
        <v>73818.47</v>
      </c>
      <c r="D300" s="249"/>
      <c r="F300" s="250"/>
      <c r="G300" s="254" t="s">
        <v>71</v>
      </c>
      <c r="H300" s="267"/>
    </row>
    <row r="301">
      <c r="A301" s="265"/>
      <c r="B301" s="247"/>
      <c r="C301" s="248"/>
      <c r="D301" s="253"/>
      <c r="F301" s="250">
        <v>7000.0</v>
      </c>
      <c r="G301" s="254" t="s">
        <v>586</v>
      </c>
      <c r="H301" s="251"/>
    </row>
    <row r="302">
      <c r="A302" s="265"/>
      <c r="B302" s="247"/>
      <c r="C302" s="248"/>
      <c r="D302" s="249"/>
      <c r="F302" s="250">
        <v>10000.0</v>
      </c>
      <c r="G302" s="254" t="s">
        <v>587</v>
      </c>
      <c r="H302" s="251"/>
    </row>
    <row r="303">
      <c r="A303" s="265"/>
      <c r="B303" s="247"/>
      <c r="C303" s="252"/>
      <c r="D303" s="249"/>
      <c r="F303" s="250">
        <v>40000.0</v>
      </c>
      <c r="G303" s="254" t="s">
        <v>586</v>
      </c>
      <c r="H303" s="251"/>
    </row>
    <row r="304">
      <c r="A304" s="265"/>
      <c r="B304" s="247">
        <v>5780.0</v>
      </c>
      <c r="C304" s="248"/>
      <c r="D304" s="249"/>
      <c r="F304" s="250"/>
      <c r="G304" s="254" t="s">
        <v>588</v>
      </c>
      <c r="H304" s="267"/>
    </row>
    <row r="305">
      <c r="A305" s="265"/>
      <c r="B305" s="247"/>
      <c r="C305" s="248"/>
      <c r="D305" s="253"/>
      <c r="F305" s="250">
        <v>5000.0</v>
      </c>
      <c r="G305" s="254"/>
      <c r="H305" s="267"/>
      <c r="I305" s="2" t="s">
        <v>509</v>
      </c>
    </row>
    <row r="306">
      <c r="A306" s="265"/>
      <c r="B306" s="247">
        <v>10926.68</v>
      </c>
      <c r="C306" s="248"/>
      <c r="D306" s="253"/>
      <c r="F306" s="250"/>
      <c r="G306" s="254" t="s">
        <v>82</v>
      </c>
      <c r="H306" s="267"/>
      <c r="I306" s="2" t="s">
        <v>589</v>
      </c>
    </row>
    <row r="307">
      <c r="A307" s="265"/>
      <c r="B307" s="247"/>
      <c r="C307" s="252"/>
      <c r="D307" s="253"/>
      <c r="F307" s="250">
        <v>1000.0</v>
      </c>
      <c r="G307" s="254" t="s">
        <v>85</v>
      </c>
      <c r="H307" s="251"/>
    </row>
    <row r="308">
      <c r="A308" s="265"/>
      <c r="B308" s="268"/>
      <c r="C308" s="252"/>
      <c r="D308" s="249">
        <v>87082.49</v>
      </c>
      <c r="E308" s="2" t="s">
        <v>276</v>
      </c>
      <c r="F308" s="250"/>
      <c r="G308" s="254" t="s">
        <v>100</v>
      </c>
      <c r="H308" s="251"/>
    </row>
    <row r="309">
      <c r="A309" s="265"/>
      <c r="B309" s="268"/>
      <c r="C309" s="252"/>
      <c r="D309" s="253"/>
      <c r="F309" s="250">
        <v>744.0</v>
      </c>
      <c r="G309" s="254" t="s">
        <v>590</v>
      </c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591</v>
      </c>
      <c r="B314" s="239"/>
      <c r="C314" s="263"/>
      <c r="D314" s="264"/>
      <c r="E314" s="242"/>
      <c r="F314" s="250">
        <v>4743.0</v>
      </c>
      <c r="G314" s="254" t="s">
        <v>94</v>
      </c>
      <c r="H314" s="245">
        <v>90.0</v>
      </c>
      <c r="I314" s="2" t="s">
        <v>72</v>
      </c>
    </row>
    <row r="315">
      <c r="A315" s="265"/>
      <c r="B315" s="247">
        <v>15700.0</v>
      </c>
      <c r="C315" s="252"/>
      <c r="D315" s="253"/>
      <c r="E315" s="2" t="s">
        <v>276</v>
      </c>
      <c r="F315" s="250"/>
      <c r="G315" s="254" t="s">
        <v>76</v>
      </c>
      <c r="H315" s="267"/>
    </row>
    <row r="316">
      <c r="A316" s="265"/>
      <c r="B316" s="247"/>
      <c r="C316" s="248"/>
      <c r="D316" s="249">
        <v>40700.0</v>
      </c>
      <c r="E316" s="2" t="s">
        <v>276</v>
      </c>
      <c r="F316" s="250"/>
      <c r="G316" s="254" t="s">
        <v>122</v>
      </c>
      <c r="H316" s="251"/>
    </row>
    <row r="317">
      <c r="A317" s="265"/>
      <c r="B317" s="247"/>
      <c r="C317" s="248"/>
      <c r="D317" s="249">
        <v>64942.49</v>
      </c>
      <c r="E317" s="2" t="s">
        <v>276</v>
      </c>
      <c r="F317" s="250"/>
      <c r="G317" s="254" t="s">
        <v>74</v>
      </c>
      <c r="H317" s="251"/>
    </row>
    <row r="318">
      <c r="A318" s="265"/>
      <c r="B318" s="247"/>
      <c r="C318" s="252"/>
      <c r="D318" s="249">
        <v>2812.95</v>
      </c>
      <c r="E318" s="2" t="s">
        <v>276</v>
      </c>
      <c r="F318" s="250"/>
      <c r="G318" s="254" t="s">
        <v>73</v>
      </c>
      <c r="H318" s="251"/>
    </row>
    <row r="319">
      <c r="A319" s="265"/>
      <c r="B319" s="247"/>
      <c r="C319" s="252"/>
      <c r="D319" s="249"/>
      <c r="F319" s="250">
        <v>100000.0</v>
      </c>
      <c r="G319" s="254" t="s">
        <v>592</v>
      </c>
      <c r="H319" s="267"/>
    </row>
    <row r="320">
      <c r="A320" s="265"/>
      <c r="B320" s="247"/>
      <c r="C320" s="252"/>
      <c r="D320" s="249"/>
      <c r="F320" s="250"/>
      <c r="G320" s="254"/>
      <c r="H320" s="251"/>
    </row>
    <row r="321">
      <c r="A321" s="265"/>
      <c r="B321" s="247"/>
      <c r="C321" s="252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593</v>
      </c>
      <c r="B329" s="239"/>
      <c r="C329" s="263"/>
      <c r="D329" s="264"/>
      <c r="E329" s="242"/>
      <c r="F329" s="243">
        <v>3300.0</v>
      </c>
      <c r="G329" s="244" t="s">
        <v>594</v>
      </c>
      <c r="H329" s="245">
        <v>90.0</v>
      </c>
      <c r="I329" s="2" t="s">
        <v>72</v>
      </c>
    </row>
    <row r="330">
      <c r="A330" s="265"/>
      <c r="B330" s="247"/>
      <c r="C330" s="248"/>
      <c r="D330" s="249">
        <v>18500.0</v>
      </c>
      <c r="E330" s="2" t="s">
        <v>276</v>
      </c>
      <c r="F330" s="250"/>
      <c r="G330" s="2" t="s">
        <v>75</v>
      </c>
      <c r="H330" s="267"/>
    </row>
    <row r="331">
      <c r="A331" s="265"/>
      <c r="B331" s="247">
        <v>18800.52</v>
      </c>
      <c r="C331" s="248"/>
      <c r="D331" s="249"/>
      <c r="F331" s="250"/>
      <c r="G331" s="2" t="s">
        <v>82</v>
      </c>
      <c r="H331" s="251"/>
    </row>
    <row r="332">
      <c r="A332" s="265"/>
      <c r="B332" s="247"/>
      <c r="C332" s="248">
        <v>63784.87</v>
      </c>
      <c r="D332" s="249"/>
      <c r="F332" s="250"/>
      <c r="G332" s="2" t="s">
        <v>84</v>
      </c>
      <c r="H332" s="251"/>
    </row>
    <row r="333">
      <c r="A333" s="265"/>
      <c r="B333" s="247">
        <v>41046.56</v>
      </c>
      <c r="C333" s="248"/>
      <c r="D333" s="249"/>
      <c r="F333" s="250"/>
      <c r="G333" s="2" t="s">
        <v>142</v>
      </c>
      <c r="H333" s="251"/>
    </row>
    <row r="334">
      <c r="A334" s="265"/>
      <c r="B334" s="247"/>
      <c r="C334" s="248"/>
      <c r="D334" s="249">
        <v>84095.0</v>
      </c>
      <c r="E334" s="2" t="s">
        <v>595</v>
      </c>
      <c r="F334" s="250"/>
      <c r="G334" s="2" t="s">
        <v>167</v>
      </c>
      <c r="H334" s="251"/>
    </row>
    <row r="335">
      <c r="A335" s="265"/>
      <c r="B335" s="247"/>
      <c r="C335" s="248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596</v>
      </c>
      <c r="B343" s="239"/>
      <c r="C343" s="263"/>
      <c r="D343" s="264"/>
      <c r="E343" s="242"/>
      <c r="F343" s="243">
        <v>15000.0</v>
      </c>
      <c r="G343" s="244" t="s">
        <v>68</v>
      </c>
      <c r="H343" s="245">
        <v>128.0</v>
      </c>
      <c r="I343" s="2" t="s">
        <v>107</v>
      </c>
    </row>
    <row r="344">
      <c r="A344" s="265"/>
      <c r="B344" s="247"/>
      <c r="C344" s="248"/>
      <c r="D344" s="249">
        <v>146700.0</v>
      </c>
      <c r="E344" s="2" t="s">
        <v>276</v>
      </c>
      <c r="F344" s="250"/>
      <c r="G344" s="2" t="s">
        <v>597</v>
      </c>
      <c r="H344" s="267"/>
    </row>
    <row r="345">
      <c r="A345" s="265"/>
      <c r="B345" s="247">
        <v>13420.0</v>
      </c>
      <c r="C345" s="248"/>
      <c r="D345" s="249"/>
      <c r="F345" s="250"/>
      <c r="G345" s="2" t="s">
        <v>79</v>
      </c>
      <c r="H345" s="267"/>
    </row>
    <row r="346">
      <c r="A346" s="265"/>
      <c r="B346" s="247"/>
      <c r="C346" s="248"/>
      <c r="D346" s="249"/>
      <c r="F346" s="250"/>
      <c r="H346" s="251"/>
    </row>
    <row r="347">
      <c r="A347" s="265"/>
      <c r="B347" s="247"/>
      <c r="C347" s="248"/>
      <c r="D347" s="249"/>
      <c r="F347" s="250"/>
      <c r="H347" s="251"/>
    </row>
    <row r="348">
      <c r="A348" s="265"/>
      <c r="B348" s="247"/>
      <c r="C348" s="252"/>
      <c r="D348" s="249"/>
      <c r="F348" s="250"/>
      <c r="H348" s="251"/>
    </row>
    <row r="349">
      <c r="A349" s="265"/>
      <c r="B349" s="247"/>
      <c r="C349" s="252"/>
      <c r="D349" s="249"/>
      <c r="F349" s="250"/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598</v>
      </c>
      <c r="B361" s="239">
        <v>55886.75</v>
      </c>
      <c r="C361" s="240"/>
      <c r="D361" s="264"/>
      <c r="E361" s="242"/>
      <c r="F361" s="243"/>
      <c r="G361" s="244" t="s">
        <v>103</v>
      </c>
      <c r="H361" s="245">
        <v>50.0</v>
      </c>
    </row>
    <row r="362">
      <c r="A362" s="265"/>
      <c r="B362" s="247"/>
      <c r="C362" s="248"/>
      <c r="D362" s="249">
        <v>48000.0</v>
      </c>
      <c r="F362" s="250"/>
      <c r="G362" s="2" t="s">
        <v>87</v>
      </c>
      <c r="H362" s="267"/>
    </row>
    <row r="363">
      <c r="A363" s="265"/>
      <c r="B363" s="247">
        <v>33416.65</v>
      </c>
      <c r="C363" s="248"/>
      <c r="D363" s="253"/>
      <c r="F363" s="250"/>
      <c r="G363" s="2" t="s">
        <v>82</v>
      </c>
      <c r="H363" s="267"/>
    </row>
    <row r="364">
      <c r="A364" s="265"/>
      <c r="B364" s="247">
        <v>18700.0</v>
      </c>
      <c r="C364" s="248"/>
      <c r="D364" s="249"/>
      <c r="F364" s="250"/>
      <c r="G364" s="2" t="s">
        <v>75</v>
      </c>
      <c r="H364" s="251"/>
    </row>
    <row r="365">
      <c r="A365" s="265"/>
      <c r="B365" s="247"/>
      <c r="C365" s="252"/>
      <c r="D365" s="249">
        <v>36634.12</v>
      </c>
      <c r="F365" s="250"/>
      <c r="G365" s="2" t="s">
        <v>114</v>
      </c>
      <c r="H365" s="251"/>
    </row>
    <row r="366">
      <c r="A366" s="265"/>
      <c r="B366" s="247">
        <v>84208.0</v>
      </c>
      <c r="C366" s="252"/>
      <c r="D366" s="253"/>
      <c r="F366" s="250"/>
      <c r="G366" s="2" t="s">
        <v>144</v>
      </c>
      <c r="H366" s="251"/>
    </row>
    <row r="367">
      <c r="A367" s="265"/>
      <c r="B367" s="247"/>
      <c r="C367" s="252"/>
      <c r="D367" s="253"/>
      <c r="F367" s="250"/>
      <c r="H367" s="251"/>
    </row>
    <row r="368">
      <c r="A368" s="265"/>
      <c r="B368" s="247">
        <v>13000.0</v>
      </c>
      <c r="C368" s="252"/>
      <c r="D368" s="249"/>
      <c r="F368" s="250"/>
      <c r="G368" s="2" t="s">
        <v>377</v>
      </c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40"/>
      <c r="D379" s="264"/>
      <c r="E379" s="242"/>
      <c r="F379" s="243"/>
      <c r="H379" s="245">
        <v>90.0</v>
      </c>
      <c r="I379" s="2" t="s">
        <v>599</v>
      </c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/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 t="s">
        <v>600</v>
      </c>
      <c r="F391" s="250"/>
      <c r="G391" s="2" t="s">
        <v>190</v>
      </c>
      <c r="H391" s="294">
        <v>45085.0</v>
      </c>
    </row>
    <row r="392">
      <c r="A392" s="265"/>
      <c r="B392" s="247"/>
      <c r="C392" s="248"/>
      <c r="D392" s="249">
        <v>5041.3</v>
      </c>
      <c r="F392" s="250"/>
      <c r="G392" s="2" t="s">
        <v>191</v>
      </c>
      <c r="H392" s="294"/>
    </row>
    <row r="393">
      <c r="A393" s="265"/>
      <c r="B393" s="268"/>
      <c r="C393" s="252"/>
      <c r="D393" s="249">
        <v>108900.0</v>
      </c>
      <c r="F393" s="250"/>
      <c r="G393" s="2" t="s">
        <v>192</v>
      </c>
      <c r="H393" s="294">
        <v>45093.0</v>
      </c>
    </row>
    <row r="394">
      <c r="A394" s="265"/>
      <c r="B394" s="268"/>
      <c r="C394" s="252"/>
      <c r="D394" s="253"/>
      <c r="F394" s="250">
        <v>31000.0</v>
      </c>
      <c r="G394" s="2" t="s">
        <v>193</v>
      </c>
      <c r="H394" s="294">
        <v>45106.0</v>
      </c>
    </row>
    <row r="395">
      <c r="A395" s="265"/>
      <c r="B395" s="247"/>
      <c r="C395" s="252"/>
      <c r="D395" s="249">
        <v>39485.0</v>
      </c>
      <c r="F395" s="250"/>
      <c r="G395" s="2" t="s">
        <v>194</v>
      </c>
      <c r="H395" s="294">
        <v>45093.0</v>
      </c>
    </row>
    <row r="396">
      <c r="A396" s="265"/>
      <c r="B396" s="247"/>
      <c r="C396" s="252"/>
      <c r="D396" s="249">
        <v>45000.0</v>
      </c>
      <c r="F396" s="250"/>
      <c r="G396" s="2" t="s">
        <v>196</v>
      </c>
      <c r="H396" s="294">
        <v>45089.0</v>
      </c>
      <c r="I396" s="318"/>
    </row>
    <row r="397">
      <c r="A397" s="265"/>
      <c r="B397" s="247">
        <v>12203.48</v>
      </c>
      <c r="C397" s="252"/>
      <c r="D397" s="249"/>
      <c r="F397" s="250"/>
      <c r="G397" s="2" t="s">
        <v>197</v>
      </c>
      <c r="H397" s="294"/>
      <c r="I397" s="2" t="s">
        <v>198</v>
      </c>
    </row>
    <row r="398">
      <c r="A398" s="265"/>
      <c r="B398" s="268"/>
      <c r="C398" s="252"/>
      <c r="D398" s="249">
        <v>10083.47</v>
      </c>
      <c r="F398" s="250"/>
      <c r="G398" s="2" t="s">
        <v>199</v>
      </c>
      <c r="H398" s="294"/>
      <c r="I398" s="2" t="s">
        <v>189</v>
      </c>
    </row>
    <row r="399">
      <c r="A399" s="265"/>
      <c r="B399" s="247"/>
      <c r="C399" s="252"/>
      <c r="D399" s="249">
        <v>20728.73</v>
      </c>
      <c r="F399" s="250"/>
      <c r="G399" s="2" t="s">
        <v>200</v>
      </c>
      <c r="H399" s="294"/>
      <c r="I399" s="2" t="s">
        <v>189</v>
      </c>
    </row>
    <row r="400">
      <c r="A400" s="265"/>
      <c r="B400" s="278"/>
      <c r="C400" s="248"/>
      <c r="D400" s="296">
        <v>7260.43</v>
      </c>
      <c r="F400" s="282"/>
      <c r="G400" s="2" t="s">
        <v>201</v>
      </c>
      <c r="H400" s="294"/>
      <c r="I400" s="2" t="s">
        <v>189</v>
      </c>
    </row>
    <row r="401">
      <c r="A401" s="265"/>
      <c r="B401" s="277">
        <v>5445.0</v>
      </c>
      <c r="C401" s="248"/>
      <c r="D401" s="295"/>
      <c r="F401" s="282"/>
      <c r="G401" s="2" t="s">
        <v>525</v>
      </c>
      <c r="H401" s="294"/>
    </row>
    <row r="402">
      <c r="A402" s="270"/>
      <c r="B402" s="278"/>
      <c r="C402" s="248"/>
      <c r="D402" s="295"/>
      <c r="F402" s="282"/>
      <c r="H402" s="294"/>
    </row>
    <row r="403">
      <c r="A403" s="299"/>
      <c r="B403" s="278"/>
      <c r="C403" s="248"/>
      <c r="D403" s="300">
        <v>258655.12</v>
      </c>
      <c r="F403" s="282"/>
      <c r="G403" s="2" t="s">
        <v>202</v>
      </c>
      <c r="H403" s="301">
        <v>45085.0</v>
      </c>
      <c r="I403" s="2" t="s">
        <v>203</v>
      </c>
    </row>
    <row r="404">
      <c r="A404" s="299"/>
      <c r="B404" s="278"/>
      <c r="C404" s="248"/>
      <c r="D404" s="295"/>
      <c r="F404" s="250"/>
      <c r="G404" s="2" t="s">
        <v>204</v>
      </c>
      <c r="H404" s="301"/>
    </row>
    <row r="405">
      <c r="A405" s="299"/>
      <c r="B405" s="278"/>
      <c r="C405" s="252"/>
      <c r="D405" s="253"/>
      <c r="F405" s="250"/>
      <c r="G405" s="2" t="s">
        <v>205</v>
      </c>
      <c r="H405" s="302"/>
    </row>
    <row r="406">
      <c r="A406" s="303"/>
      <c r="B406" s="268"/>
      <c r="C406" s="252"/>
      <c r="D406" s="249"/>
      <c r="F406" s="250"/>
      <c r="G406" s="2" t="s">
        <v>206</v>
      </c>
      <c r="H406" s="294"/>
      <c r="I406" s="2" t="s">
        <v>203</v>
      </c>
    </row>
    <row r="407">
      <c r="A407" s="303"/>
      <c r="B407" s="247"/>
      <c r="C407" s="252"/>
      <c r="D407" s="249"/>
      <c r="F407" s="250"/>
      <c r="G407" s="2" t="s">
        <v>208</v>
      </c>
      <c r="H407" s="294"/>
    </row>
    <row r="408">
      <c r="A408" s="303"/>
      <c r="B408" s="268"/>
      <c r="C408" s="252"/>
      <c r="D408" s="300">
        <v>142499.15</v>
      </c>
      <c r="F408" s="332"/>
      <c r="G408" s="2" t="s">
        <v>209</v>
      </c>
      <c r="H408" s="294"/>
    </row>
    <row r="409">
      <c r="A409" s="303"/>
      <c r="B409" s="268"/>
      <c r="C409" s="252"/>
      <c r="D409" s="249"/>
      <c r="F409" s="250"/>
      <c r="H409" s="294"/>
    </row>
    <row r="410">
      <c r="A410" s="303"/>
      <c r="B410" s="247"/>
      <c r="C410" s="252"/>
      <c r="D410" s="331"/>
      <c r="F410" s="266">
        <v>41000.0</v>
      </c>
      <c r="G410" s="2" t="s">
        <v>601</v>
      </c>
      <c r="H410" s="251"/>
    </row>
    <row r="411">
      <c r="A411" s="303"/>
      <c r="B411" s="268"/>
      <c r="C411" s="252"/>
      <c r="D411" s="249">
        <v>74000.0</v>
      </c>
      <c r="F411" s="250"/>
      <c r="G411" s="2" t="s">
        <v>602</v>
      </c>
      <c r="H411" s="251"/>
    </row>
    <row r="412">
      <c r="A412" s="304"/>
      <c r="B412" s="271"/>
      <c r="C412" s="272"/>
      <c r="D412" s="273"/>
      <c r="E412" s="18"/>
      <c r="F412" s="274"/>
      <c r="G412" s="18"/>
      <c r="H412" s="261"/>
    </row>
    <row r="413">
      <c r="A413" s="305"/>
      <c r="B413" s="306"/>
      <c r="C413" s="240"/>
      <c r="D413" s="241"/>
      <c r="E413" s="242"/>
      <c r="F413" s="243"/>
      <c r="G413" s="244"/>
      <c r="H413" s="307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70"/>
      <c r="B422" s="271"/>
      <c r="C422" s="272"/>
      <c r="D422" s="273"/>
      <c r="E422" s="18"/>
      <c r="F422" s="274"/>
      <c r="G422" s="18"/>
      <c r="H422" s="261"/>
    </row>
    <row r="423">
      <c r="A423" s="305"/>
      <c r="B423" s="306"/>
      <c r="C423" s="240"/>
      <c r="D423" s="241"/>
      <c r="E423" s="242"/>
      <c r="F423" s="243"/>
      <c r="G423" s="244"/>
      <c r="H423" s="307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70"/>
      <c r="B432" s="271"/>
      <c r="C432" s="272"/>
      <c r="D432" s="273"/>
      <c r="E432" s="18"/>
      <c r="F432" s="274"/>
      <c r="G432" s="18"/>
      <c r="H432" s="261"/>
    </row>
    <row r="433">
      <c r="B433" s="306"/>
      <c r="C433" s="240"/>
      <c r="D433" s="241"/>
      <c r="E433" s="242"/>
      <c r="F433" s="243"/>
      <c r="G433" s="244"/>
      <c r="H433" s="307"/>
    </row>
    <row r="434">
      <c r="B434" s="268"/>
      <c r="C434" s="252"/>
      <c r="D434" s="253"/>
      <c r="F434" s="250"/>
      <c r="H434" s="251"/>
    </row>
    <row r="435">
      <c r="B435" s="268"/>
      <c r="C435" s="252"/>
      <c r="D435" s="253"/>
      <c r="F435" s="250"/>
      <c r="H435" s="251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3:A422"/>
    <mergeCell ref="A423:A432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529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v>15000.0</v>
      </c>
      <c r="G2" s="334" t="s">
        <v>603</v>
      </c>
      <c r="H2" s="245">
        <v>94.0</v>
      </c>
      <c r="I2" s="2" t="s">
        <v>107</v>
      </c>
    </row>
    <row r="3">
      <c r="A3" s="246" t="s">
        <v>364</v>
      </c>
      <c r="B3" s="330"/>
      <c r="C3" s="313"/>
      <c r="D3" s="325"/>
      <c r="E3" s="290"/>
      <c r="F3" s="335"/>
      <c r="G3" s="336"/>
      <c r="H3" s="267"/>
    </row>
    <row r="4">
      <c r="A4" s="246"/>
      <c r="B4" s="330"/>
      <c r="C4" s="328"/>
      <c r="D4" s="337"/>
      <c r="E4" s="336"/>
      <c r="F4" s="335"/>
      <c r="G4" s="336"/>
      <c r="H4" s="251"/>
    </row>
    <row r="5">
      <c r="A5" s="246"/>
      <c r="B5" s="330"/>
      <c r="C5" s="338"/>
      <c r="D5" s="325"/>
      <c r="E5" s="290"/>
      <c r="F5" s="291"/>
      <c r="G5" s="336"/>
      <c r="H5" s="251"/>
    </row>
    <row r="6">
      <c r="A6" s="246"/>
      <c r="B6" s="312"/>
      <c r="C6" s="313"/>
      <c r="D6" s="325"/>
      <c r="E6" s="290"/>
      <c r="F6" s="335"/>
      <c r="G6" s="336"/>
      <c r="H6" s="251"/>
    </row>
    <row r="7">
      <c r="A7" s="246"/>
      <c r="B7" s="329"/>
      <c r="C7" s="313"/>
      <c r="D7" s="325"/>
      <c r="E7" s="290"/>
      <c r="F7" s="335"/>
      <c r="G7" s="336"/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365</v>
      </c>
      <c r="B15" s="239"/>
      <c r="C15" s="263"/>
      <c r="D15" s="264"/>
      <c r="E15" s="242"/>
      <c r="F15" s="250"/>
      <c r="H15" s="245"/>
      <c r="I15" s="2" t="s">
        <v>604</v>
      </c>
    </row>
    <row r="16">
      <c r="A16" s="265"/>
      <c r="B16" s="247"/>
      <c r="C16" s="248"/>
      <c r="D16" s="249"/>
      <c r="F16" s="266">
        <v>4950.0</v>
      </c>
      <c r="G16" s="2" t="s">
        <v>605</v>
      </c>
      <c r="H16" s="267">
        <v>84.0</v>
      </c>
      <c r="I16" s="2" t="s">
        <v>107</v>
      </c>
    </row>
    <row r="17">
      <c r="A17" s="265"/>
      <c r="B17" s="247">
        <v>14053.3</v>
      </c>
      <c r="C17" s="248"/>
      <c r="D17" s="249"/>
      <c r="F17" s="250"/>
      <c r="G17" s="2" t="s">
        <v>82</v>
      </c>
      <c r="H17" s="251"/>
    </row>
    <row r="18">
      <c r="A18" s="265"/>
      <c r="B18" s="247">
        <v>39500.0</v>
      </c>
      <c r="C18" s="252"/>
      <c r="D18" s="249"/>
      <c r="F18" s="250"/>
      <c r="G18" s="2" t="s">
        <v>75</v>
      </c>
      <c r="H18" s="251"/>
    </row>
    <row r="19">
      <c r="A19" s="265"/>
      <c r="B19" s="247"/>
      <c r="C19" s="248">
        <v>61196.96</v>
      </c>
      <c r="D19" s="249"/>
      <c r="F19" s="250"/>
      <c r="G19" s="2" t="s">
        <v>71</v>
      </c>
      <c r="H19" s="251"/>
    </row>
    <row r="20">
      <c r="A20" s="265"/>
      <c r="B20" s="247"/>
      <c r="C20" s="248"/>
      <c r="D20" s="249"/>
      <c r="F20" s="250">
        <v>15000.0</v>
      </c>
      <c r="G20" s="2" t="s">
        <v>68</v>
      </c>
      <c r="H20" s="251"/>
    </row>
    <row r="21">
      <c r="A21" s="265"/>
      <c r="B21" s="247">
        <v>8162.4</v>
      </c>
      <c r="C21" s="252"/>
      <c r="D21" s="253"/>
      <c r="F21" s="250"/>
      <c r="G21" s="254" t="s">
        <v>66</v>
      </c>
      <c r="H21" s="251"/>
    </row>
    <row r="22">
      <c r="A22" s="265"/>
      <c r="B22" s="247">
        <v>7242.0</v>
      </c>
      <c r="C22" s="252"/>
      <c r="D22" s="249"/>
      <c r="F22" s="250"/>
      <c r="G22" s="254" t="s">
        <v>606</v>
      </c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366</v>
      </c>
      <c r="B28" s="239">
        <v>26840.0</v>
      </c>
      <c r="C28" s="240"/>
      <c r="D28" s="264"/>
      <c r="E28" s="244"/>
      <c r="F28" s="243"/>
      <c r="G28" s="276" t="s">
        <v>79</v>
      </c>
      <c r="H28" s="245">
        <v>83.0</v>
      </c>
      <c r="I28" s="2" t="s">
        <v>107</v>
      </c>
    </row>
    <row r="29">
      <c r="A29" s="265"/>
      <c r="B29" s="247">
        <v>40700.0</v>
      </c>
      <c r="C29" s="248"/>
      <c r="D29" s="249"/>
      <c r="F29" s="250"/>
      <c r="G29" s="2" t="s">
        <v>122</v>
      </c>
      <c r="H29" s="267"/>
    </row>
    <row r="30">
      <c r="A30" s="265"/>
      <c r="B30" s="247"/>
      <c r="C30" s="248">
        <v>51340.29</v>
      </c>
      <c r="D30" s="249"/>
      <c r="F30" s="250"/>
      <c r="G30" s="254" t="s">
        <v>89</v>
      </c>
      <c r="H30" s="251"/>
    </row>
    <row r="31">
      <c r="A31" s="265"/>
      <c r="B31" s="247"/>
      <c r="C31" s="248"/>
      <c r="D31" s="249">
        <v>26130.97</v>
      </c>
      <c r="F31" s="250"/>
      <c r="G31" s="254" t="s">
        <v>74</v>
      </c>
      <c r="H31" s="251"/>
    </row>
    <row r="32">
      <c r="A32" s="265"/>
      <c r="B32" s="247"/>
      <c r="C32" s="252"/>
      <c r="D32" s="249">
        <v>15825.99</v>
      </c>
      <c r="F32" s="250"/>
      <c r="G32" s="254" t="s">
        <v>73</v>
      </c>
      <c r="H32" s="251"/>
    </row>
    <row r="33">
      <c r="A33" s="265"/>
      <c r="B33" s="247">
        <v>1436.5</v>
      </c>
      <c r="C33" s="248"/>
      <c r="D33" s="249"/>
      <c r="F33" s="250"/>
      <c r="G33" s="254" t="s">
        <v>607</v>
      </c>
      <c r="H33" s="267"/>
    </row>
    <row r="34">
      <c r="A34" s="265"/>
      <c r="B34" s="247"/>
      <c r="C34" s="248"/>
      <c r="D34" s="249">
        <v>53043.07</v>
      </c>
      <c r="F34" s="250"/>
      <c r="G34" s="254" t="s">
        <v>92</v>
      </c>
      <c r="H34" s="251"/>
    </row>
    <row r="35">
      <c r="A35" s="265"/>
      <c r="B35" s="247"/>
      <c r="C35" s="252"/>
      <c r="D35" s="249">
        <v>22680.0</v>
      </c>
      <c r="E35" s="2" t="s">
        <v>328</v>
      </c>
      <c r="F35" s="250"/>
      <c r="G35" s="254" t="s">
        <v>235</v>
      </c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11664.79</v>
      </c>
      <c r="C42" s="248"/>
      <c r="D42" s="249"/>
      <c r="F42" s="250"/>
      <c r="G42" s="254" t="s">
        <v>82</v>
      </c>
      <c r="H42" s="267">
        <v>105.0</v>
      </c>
      <c r="I42" s="2" t="s">
        <v>107</v>
      </c>
    </row>
    <row r="43">
      <c r="A43" s="280"/>
      <c r="B43" s="277">
        <v>13550.0</v>
      </c>
      <c r="C43" s="248"/>
      <c r="D43" s="249"/>
      <c r="F43" s="250"/>
      <c r="G43" s="254" t="s">
        <v>75</v>
      </c>
      <c r="H43" s="267"/>
    </row>
    <row r="44">
      <c r="A44" s="280" t="s">
        <v>376</v>
      </c>
      <c r="B44" s="247"/>
      <c r="C44" s="248"/>
      <c r="D44" s="249">
        <v>48000.0</v>
      </c>
      <c r="F44" s="250"/>
      <c r="G44" s="254" t="s">
        <v>87</v>
      </c>
      <c r="H44" s="251"/>
    </row>
    <row r="45">
      <c r="A45" s="265"/>
      <c r="B45" s="247"/>
      <c r="C45" s="248">
        <v>63044.63</v>
      </c>
      <c r="D45" s="249"/>
      <c r="F45" s="250"/>
      <c r="G45" s="254" t="s">
        <v>84</v>
      </c>
      <c r="H45" s="251"/>
    </row>
    <row r="46">
      <c r="A46" s="265"/>
      <c r="B46" s="247">
        <v>20816.23</v>
      </c>
      <c r="C46" s="248"/>
      <c r="D46" s="249"/>
      <c r="F46" s="250"/>
      <c r="G46" s="254" t="s">
        <v>142</v>
      </c>
      <c r="H46" s="251"/>
    </row>
    <row r="47">
      <c r="A47" s="265"/>
      <c r="B47" s="247"/>
      <c r="C47" s="252"/>
      <c r="D47" s="249"/>
      <c r="F47" s="250">
        <v>4400.0</v>
      </c>
      <c r="G47" s="254" t="s">
        <v>608</v>
      </c>
      <c r="H47" s="251"/>
    </row>
    <row r="48">
      <c r="A48" s="265"/>
      <c r="B48" s="247"/>
      <c r="C48" s="248"/>
      <c r="D48" s="249"/>
      <c r="F48" s="250">
        <v>15800.0</v>
      </c>
      <c r="G48" s="254" t="s">
        <v>609</v>
      </c>
      <c r="H48" s="267"/>
    </row>
    <row r="49">
      <c r="A49" s="265"/>
      <c r="B49" s="247"/>
      <c r="C49" s="252"/>
      <c r="D49" s="253"/>
      <c r="F49" s="250">
        <v>18000.0</v>
      </c>
      <c r="G49" s="254" t="s">
        <v>610</v>
      </c>
      <c r="H49" s="251"/>
    </row>
    <row r="50">
      <c r="A50" s="265"/>
      <c r="B50" s="247"/>
      <c r="C50" s="248"/>
      <c r="D50" s="253"/>
      <c r="F50" s="250">
        <v>10000.0</v>
      </c>
      <c r="G50" s="254" t="s">
        <v>611</v>
      </c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378</v>
      </c>
      <c r="B54" s="239">
        <v>21000.0</v>
      </c>
      <c r="C54" s="263"/>
      <c r="D54" s="264"/>
      <c r="E54" s="242"/>
      <c r="F54" s="243"/>
      <c r="G54" s="276" t="s">
        <v>612</v>
      </c>
      <c r="H54" s="245">
        <v>90.0</v>
      </c>
      <c r="I54" s="2" t="s">
        <v>72</v>
      </c>
    </row>
    <row r="55">
      <c r="A55" s="265"/>
      <c r="B55" s="247"/>
      <c r="C55" s="248"/>
      <c r="D55" s="249">
        <v>30800.0</v>
      </c>
      <c r="F55" s="250"/>
      <c r="G55" s="254" t="s">
        <v>613</v>
      </c>
      <c r="H55" s="267"/>
    </row>
    <row r="56">
      <c r="A56" s="265"/>
      <c r="B56" s="339"/>
      <c r="C56" s="248"/>
      <c r="D56" s="249" t="s">
        <v>614</v>
      </c>
      <c r="F56" s="250"/>
      <c r="G56" s="254" t="s">
        <v>615</v>
      </c>
      <c r="H56" s="251"/>
    </row>
    <row r="57">
      <c r="A57" s="265"/>
      <c r="B57" s="339"/>
      <c r="C57" s="248"/>
      <c r="D57" s="249" t="s">
        <v>616</v>
      </c>
      <c r="F57" s="250"/>
      <c r="G57" s="254" t="s">
        <v>65</v>
      </c>
      <c r="H57" s="267"/>
    </row>
    <row r="58">
      <c r="A58" s="265"/>
      <c r="B58" s="247"/>
      <c r="C58" s="248"/>
      <c r="D58" s="249"/>
      <c r="F58" s="250">
        <v>16300.0</v>
      </c>
      <c r="G58" s="254" t="s">
        <v>617</v>
      </c>
      <c r="H58" s="251"/>
    </row>
    <row r="59">
      <c r="A59" s="265"/>
      <c r="B59" s="247"/>
      <c r="C59" s="252"/>
      <c r="D59" s="249"/>
      <c r="F59" s="250">
        <v>2767.0</v>
      </c>
      <c r="G59" s="254" t="s">
        <v>392</v>
      </c>
      <c r="H59" s="251"/>
    </row>
    <row r="60">
      <c r="A60" s="265"/>
      <c r="B60" s="247"/>
      <c r="C60" s="252"/>
      <c r="D60" s="249"/>
      <c r="F60" s="250">
        <v>3000.0</v>
      </c>
      <c r="G60" s="254" t="s">
        <v>618</v>
      </c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47"/>
      <c r="C62" s="248"/>
      <c r="D62" s="253"/>
      <c r="F62" s="250"/>
      <c r="G62" s="254"/>
      <c r="H62" s="251"/>
    </row>
    <row r="63">
      <c r="A63" s="265"/>
      <c r="B63" s="247"/>
      <c r="C63" s="248"/>
      <c r="D63" s="249"/>
      <c r="F63" s="250"/>
      <c r="G63" s="254"/>
      <c r="H63" s="251"/>
    </row>
    <row r="64">
      <c r="A64" s="265"/>
      <c r="B64" s="247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54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380</v>
      </c>
      <c r="B68" s="239">
        <v>16108.31</v>
      </c>
      <c r="C68" s="263"/>
      <c r="D68" s="264"/>
      <c r="E68" s="244"/>
      <c r="F68" s="243"/>
      <c r="G68" s="276" t="s">
        <v>82</v>
      </c>
      <c r="H68" s="245">
        <v>90.0</v>
      </c>
      <c r="I68" s="2" t="s">
        <v>72</v>
      </c>
    </row>
    <row r="69">
      <c r="A69" s="265"/>
      <c r="B69" s="247">
        <v>20750.0</v>
      </c>
      <c r="C69" s="248"/>
      <c r="D69" s="249"/>
      <c r="F69" s="250"/>
      <c r="G69" s="254" t="s">
        <v>75</v>
      </c>
      <c r="H69" s="267"/>
    </row>
    <row r="70">
      <c r="A70" s="265"/>
      <c r="B70" s="247">
        <v>46135.77</v>
      </c>
      <c r="C70" s="252"/>
      <c r="D70" s="249"/>
      <c r="F70" s="250"/>
      <c r="G70" s="254" t="s">
        <v>103</v>
      </c>
      <c r="H70" s="310"/>
    </row>
    <row r="71">
      <c r="A71" s="265"/>
      <c r="B71" s="247"/>
      <c r="C71" s="248"/>
      <c r="D71" s="249"/>
      <c r="F71" s="250"/>
      <c r="G71" s="254"/>
      <c r="H71" s="251"/>
    </row>
    <row r="72">
      <c r="A72" s="265"/>
      <c r="B72" s="247"/>
      <c r="C72" s="248"/>
      <c r="D72" s="249"/>
      <c r="F72" s="250"/>
      <c r="G72" s="254"/>
      <c r="H72" s="251"/>
    </row>
    <row r="73">
      <c r="A73" s="265"/>
      <c r="B73" s="247"/>
      <c r="C73" s="248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381</v>
      </c>
      <c r="B80" s="239">
        <v>12925.4</v>
      </c>
      <c r="C80" s="263"/>
      <c r="D80" s="241"/>
      <c r="E80" s="242"/>
      <c r="F80" s="243"/>
      <c r="G80" s="276" t="s">
        <v>619</v>
      </c>
      <c r="H80" s="245">
        <v>120.0</v>
      </c>
      <c r="I80" s="2" t="s">
        <v>72</v>
      </c>
    </row>
    <row r="81">
      <c r="A81" s="265"/>
      <c r="B81" s="247"/>
      <c r="C81" s="248">
        <f>49543.45+52593.8</f>
        <v>102137.25</v>
      </c>
      <c r="D81" s="249"/>
      <c r="F81" s="250"/>
      <c r="G81" s="254" t="s">
        <v>71</v>
      </c>
      <c r="H81" s="267"/>
    </row>
    <row r="82">
      <c r="A82" s="265"/>
      <c r="B82" s="247"/>
      <c r="C82" s="248"/>
      <c r="D82" s="249"/>
      <c r="F82" s="250">
        <v>15500.0</v>
      </c>
      <c r="G82" s="254" t="s">
        <v>68</v>
      </c>
      <c r="H82" s="251"/>
    </row>
    <row r="83">
      <c r="A83" s="265"/>
      <c r="B83" s="247"/>
      <c r="C83" s="248"/>
      <c r="D83" s="249"/>
      <c r="F83" s="250">
        <v>1660.0</v>
      </c>
      <c r="G83" s="254" t="s">
        <v>288</v>
      </c>
      <c r="H83" s="251"/>
    </row>
    <row r="84">
      <c r="A84" s="265"/>
      <c r="B84" s="85"/>
      <c r="C84" s="248"/>
      <c r="D84" s="249"/>
      <c r="F84" s="250"/>
      <c r="G84" s="254"/>
      <c r="H84" s="251"/>
    </row>
    <row r="85">
      <c r="A85" s="265"/>
      <c r="B85" s="281"/>
      <c r="C85" s="252"/>
      <c r="D85" s="249"/>
      <c r="F85" s="266"/>
      <c r="G85" s="254"/>
      <c r="H85" s="251"/>
    </row>
    <row r="86">
      <c r="A86" s="265"/>
      <c r="B86" s="281"/>
      <c r="C86" s="252"/>
      <c r="D86" s="249"/>
      <c r="F86" s="250"/>
      <c r="G86" s="254"/>
      <c r="H86" s="251"/>
    </row>
    <row r="87">
      <c r="A87" s="265"/>
      <c r="B87" s="247"/>
      <c r="C87" s="252"/>
      <c r="D87" s="249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382</v>
      </c>
      <c r="B96" s="239">
        <v>21872.63</v>
      </c>
      <c r="C96" s="263"/>
      <c r="D96" s="264"/>
      <c r="E96" s="242"/>
      <c r="F96" s="250"/>
      <c r="G96" s="276" t="s">
        <v>82</v>
      </c>
      <c r="H96" s="245">
        <v>120.0</v>
      </c>
      <c r="I96" s="2" t="s">
        <v>72</v>
      </c>
    </row>
    <row r="97">
      <c r="A97" s="265"/>
      <c r="B97" s="247"/>
      <c r="C97" s="248"/>
      <c r="D97" s="249"/>
      <c r="F97" s="250">
        <v>507.0</v>
      </c>
      <c r="G97" s="2" t="s">
        <v>590</v>
      </c>
      <c r="H97" s="267"/>
      <c r="I97" s="2" t="s">
        <v>620</v>
      </c>
    </row>
    <row r="98">
      <c r="A98" s="265"/>
      <c r="B98" s="247"/>
      <c r="C98" s="248"/>
      <c r="D98" s="249">
        <v>51000.0</v>
      </c>
      <c r="F98" s="250"/>
      <c r="G98" s="254" t="s">
        <v>421</v>
      </c>
      <c r="H98" s="267"/>
    </row>
    <row r="99">
      <c r="A99" s="265"/>
      <c r="B99" s="247">
        <v>41850.0</v>
      </c>
      <c r="C99" s="248"/>
      <c r="D99" s="249"/>
      <c r="F99" s="250"/>
      <c r="G99" s="254" t="s">
        <v>75</v>
      </c>
      <c r="H99" s="251"/>
      <c r="I99" s="340" t="s">
        <v>621</v>
      </c>
      <c r="J99" s="340">
        <v>502447.0</v>
      </c>
      <c r="K99" s="340" t="s">
        <v>622</v>
      </c>
      <c r="L99" s="2" t="s">
        <v>623</v>
      </c>
    </row>
    <row r="100">
      <c r="A100" s="265"/>
      <c r="B100" s="330"/>
      <c r="C100" s="313"/>
      <c r="D100" s="314"/>
      <c r="E100" s="290"/>
      <c r="F100" s="335">
        <v>2000.0</v>
      </c>
      <c r="G100" s="292" t="s">
        <v>85</v>
      </c>
      <c r="H100" s="251"/>
      <c r="I100" s="341"/>
      <c r="J100" s="340">
        <v>115120.0</v>
      </c>
      <c r="K100" s="340" t="s">
        <v>624</v>
      </c>
    </row>
    <row r="101">
      <c r="A101" s="265"/>
      <c r="B101" s="247"/>
      <c r="C101" s="252"/>
      <c r="D101" s="253"/>
      <c r="F101" s="250">
        <v>2000.0</v>
      </c>
      <c r="G101" s="254" t="s">
        <v>625</v>
      </c>
      <c r="H101" s="251"/>
      <c r="I101" s="340" t="s">
        <v>626</v>
      </c>
      <c r="J101" s="340">
        <v>30000.0</v>
      </c>
      <c r="K101" s="341"/>
    </row>
    <row r="102">
      <c r="A102" s="265"/>
      <c r="B102" s="247">
        <v>13590.0</v>
      </c>
      <c r="C102" s="252"/>
      <c r="D102" s="249"/>
      <c r="F102" s="250"/>
      <c r="G102" s="254" t="s">
        <v>549</v>
      </c>
      <c r="H102" s="251"/>
      <c r="I102" s="340" t="s">
        <v>627</v>
      </c>
      <c r="J102" s="341">
        <f>SUM(J99:J100)-J101</f>
        <v>587567</v>
      </c>
      <c r="K102" s="34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52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386</v>
      </c>
      <c r="B110" s="239"/>
      <c r="C110" s="263"/>
      <c r="D110" s="264">
        <v>129149.99</v>
      </c>
      <c r="E110" s="244" t="s">
        <v>628</v>
      </c>
      <c r="F110" s="243"/>
      <c r="G110" s="276" t="s">
        <v>629</v>
      </c>
      <c r="H110" s="245">
        <v>130.0</v>
      </c>
      <c r="I110" s="2" t="s">
        <v>72</v>
      </c>
      <c r="J110" s="2" t="s">
        <v>630</v>
      </c>
    </row>
    <row r="111">
      <c r="A111" s="265"/>
      <c r="B111" s="247">
        <v>40700.0</v>
      </c>
      <c r="C111" s="248"/>
      <c r="D111" s="249"/>
      <c r="F111" s="250"/>
      <c r="G111" s="254" t="s">
        <v>122</v>
      </c>
      <c r="H111" s="267"/>
    </row>
    <row r="112">
      <c r="A112" s="265"/>
      <c r="B112" s="247"/>
      <c r="C112" s="248"/>
      <c r="D112" s="249">
        <v>3241.14</v>
      </c>
      <c r="F112" s="250"/>
      <c r="G112" s="26" t="s">
        <v>73</v>
      </c>
      <c r="H112" s="251"/>
    </row>
    <row r="113">
      <c r="A113" s="265"/>
      <c r="B113" s="247"/>
      <c r="C113" s="248"/>
      <c r="D113" s="249">
        <v>31125.53</v>
      </c>
      <c r="F113" s="250"/>
      <c r="G113" s="254" t="s">
        <v>74</v>
      </c>
      <c r="H113" s="251"/>
    </row>
    <row r="114">
      <c r="A114" s="265"/>
      <c r="B114" s="247"/>
      <c r="C114" s="248"/>
      <c r="D114" s="249">
        <v>15300.0</v>
      </c>
      <c r="F114" s="250"/>
      <c r="G114" s="254" t="s">
        <v>76</v>
      </c>
      <c r="H114" s="251"/>
    </row>
    <row r="115">
      <c r="A115" s="265"/>
      <c r="B115" s="247"/>
      <c r="C115" s="248">
        <v>65034.73</v>
      </c>
      <c r="D115" s="249"/>
      <c r="F115" s="250"/>
      <c r="G115" s="254" t="s">
        <v>89</v>
      </c>
      <c r="H115" s="251"/>
    </row>
    <row r="116">
      <c r="A116" s="265"/>
      <c r="B116" s="247">
        <v>13420.0</v>
      </c>
      <c r="C116" s="252"/>
      <c r="D116" s="253"/>
      <c r="F116" s="250"/>
      <c r="G116" s="254" t="s">
        <v>79</v>
      </c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390</v>
      </c>
      <c r="B128" s="239"/>
      <c r="C128" s="263">
        <v>73516.0</v>
      </c>
      <c r="D128" s="264"/>
      <c r="E128" s="242"/>
      <c r="F128" s="243"/>
      <c r="G128" s="276" t="s">
        <v>631</v>
      </c>
      <c r="H128" s="245">
        <v>90.0</v>
      </c>
      <c r="I128" s="2" t="s">
        <v>72</v>
      </c>
    </row>
    <row r="129">
      <c r="A129" s="265"/>
      <c r="B129" s="247">
        <v>16108.31</v>
      </c>
      <c r="C129" s="252"/>
      <c r="D129" s="249"/>
      <c r="F129" s="250"/>
      <c r="G129" s="254" t="s">
        <v>82</v>
      </c>
      <c r="H129" s="267"/>
    </row>
    <row r="130">
      <c r="A130" s="265"/>
      <c r="B130" s="247">
        <v>38197.91</v>
      </c>
      <c r="C130" s="248"/>
      <c r="D130" s="249"/>
      <c r="F130" s="250"/>
      <c r="G130" s="254" t="s">
        <v>142</v>
      </c>
      <c r="H130" s="251"/>
    </row>
    <row r="131">
      <c r="A131" s="265"/>
      <c r="B131" s="247">
        <v>14500.0</v>
      </c>
      <c r="C131" s="248"/>
      <c r="D131" s="249"/>
      <c r="F131" s="250"/>
      <c r="G131" s="254" t="s">
        <v>75</v>
      </c>
      <c r="H131" s="251"/>
    </row>
    <row r="132">
      <c r="A132" s="265"/>
      <c r="B132" s="247"/>
      <c r="C132" s="248"/>
      <c r="D132" s="249"/>
      <c r="F132" s="250">
        <v>2750.0</v>
      </c>
      <c r="G132" s="254" t="s">
        <v>605</v>
      </c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49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395</v>
      </c>
      <c r="B143" s="239"/>
      <c r="C143" s="263"/>
      <c r="D143" s="264">
        <v>51000.0</v>
      </c>
      <c r="E143" s="242"/>
      <c r="F143" s="243"/>
      <c r="G143" s="276" t="s">
        <v>421</v>
      </c>
      <c r="H143" s="245">
        <v>103.0</v>
      </c>
      <c r="I143" s="2" t="s">
        <v>107</v>
      </c>
    </row>
    <row r="144">
      <c r="A144" s="265"/>
      <c r="B144" s="247"/>
      <c r="C144" s="252"/>
      <c r="D144" s="249">
        <v>47951.77</v>
      </c>
      <c r="F144" s="250"/>
      <c r="G144" s="254"/>
      <c r="H144" s="251"/>
    </row>
    <row r="145">
      <c r="A145" s="265"/>
      <c r="B145" s="247"/>
      <c r="C145" s="252"/>
      <c r="D145" s="249"/>
      <c r="F145" s="284">
        <v>31000.0</v>
      </c>
      <c r="G145" s="285" t="s">
        <v>632</v>
      </c>
      <c r="H145" s="251"/>
    </row>
    <row r="146">
      <c r="A146" s="265"/>
      <c r="B146" s="247"/>
      <c r="C146" s="252"/>
      <c r="D146" s="249"/>
      <c r="F146" s="250">
        <v>2400.0</v>
      </c>
      <c r="G146" s="254" t="s">
        <v>633</v>
      </c>
      <c r="H146" s="251"/>
    </row>
    <row r="147">
      <c r="A147" s="265"/>
      <c r="B147" s="247">
        <v>13998.0</v>
      </c>
      <c r="C147" s="252"/>
      <c r="D147" s="249"/>
      <c r="F147" s="250"/>
      <c r="G147" s="254" t="s">
        <v>634</v>
      </c>
      <c r="H147" s="251"/>
    </row>
    <row r="148">
      <c r="A148" s="265"/>
      <c r="B148" s="247">
        <v>9140.0</v>
      </c>
      <c r="C148" s="248"/>
      <c r="D148" s="249"/>
      <c r="F148" s="250"/>
      <c r="G148" s="254" t="s">
        <v>171</v>
      </c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398</v>
      </c>
      <c r="B158" s="239">
        <v>20350.0</v>
      </c>
      <c r="C158" s="263"/>
      <c r="D158" s="264"/>
      <c r="E158" s="242"/>
      <c r="F158" s="243"/>
      <c r="G158" s="276" t="s">
        <v>75</v>
      </c>
      <c r="H158" s="245">
        <v>130.0</v>
      </c>
      <c r="I158" s="2" t="s">
        <v>72</v>
      </c>
    </row>
    <row r="159">
      <c r="A159" s="265"/>
      <c r="B159" s="247">
        <v>48631.72</v>
      </c>
      <c r="C159" s="252"/>
      <c r="D159" s="253"/>
      <c r="F159" s="250"/>
      <c r="G159" s="254" t="s">
        <v>103</v>
      </c>
      <c r="H159" s="267"/>
    </row>
    <row r="160">
      <c r="A160" s="265"/>
      <c r="B160" s="247">
        <v>26780.83</v>
      </c>
      <c r="C160" s="248"/>
      <c r="D160" s="249"/>
      <c r="F160" s="250"/>
      <c r="G160" s="254" t="s">
        <v>635</v>
      </c>
      <c r="H160" s="251"/>
    </row>
    <row r="161">
      <c r="A161" s="265"/>
      <c r="B161" s="247"/>
      <c r="C161" s="248"/>
      <c r="D161" s="249"/>
      <c r="F161" s="250"/>
      <c r="G161" s="254"/>
      <c r="H161" s="251"/>
    </row>
    <row r="162">
      <c r="A162" s="265"/>
      <c r="B162" s="247"/>
      <c r="C162" s="248"/>
      <c r="D162" s="253"/>
      <c r="F162" s="250"/>
      <c r="G162" s="254"/>
      <c r="H162" s="251"/>
    </row>
    <row r="163">
      <c r="A163" s="265"/>
      <c r="B163" s="247"/>
      <c r="C163" s="248"/>
      <c r="D163" s="249"/>
      <c r="F163" s="250"/>
      <c r="G163" s="254"/>
      <c r="H163" s="251"/>
    </row>
    <row r="164">
      <c r="A164" s="265"/>
      <c r="B164" s="247"/>
      <c r="C164" s="248"/>
      <c r="D164" s="249"/>
      <c r="F164" s="250"/>
      <c r="G164" s="254"/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400</v>
      </c>
      <c r="B168" s="239">
        <v>4590.0</v>
      </c>
      <c r="C168" s="263"/>
      <c r="D168" s="264"/>
      <c r="E168" s="244"/>
      <c r="F168" s="250"/>
      <c r="G168" s="276" t="s">
        <v>291</v>
      </c>
      <c r="H168" s="245">
        <v>120.0</v>
      </c>
      <c r="I168" s="2" t="s">
        <v>72</v>
      </c>
    </row>
    <row r="169">
      <c r="A169" s="265"/>
      <c r="B169" s="247"/>
      <c r="C169" s="315"/>
      <c r="D169" s="249"/>
      <c r="F169" s="250"/>
      <c r="G169" s="254"/>
      <c r="H169" s="267"/>
    </row>
    <row r="170">
      <c r="A170" s="265"/>
      <c r="B170" s="247"/>
      <c r="C170" s="248"/>
      <c r="D170" s="249"/>
      <c r="F170" s="250"/>
      <c r="G170" s="254"/>
      <c r="H170" s="267"/>
    </row>
    <row r="171">
      <c r="A171" s="265"/>
      <c r="B171" s="247"/>
      <c r="C171" s="248"/>
      <c r="D171" s="249"/>
      <c r="F171" s="250"/>
      <c r="G171" s="254"/>
      <c r="H171" s="251"/>
    </row>
    <row r="172">
      <c r="A172" s="265"/>
      <c r="B172" s="247"/>
      <c r="C172" s="248"/>
      <c r="D172" s="249"/>
      <c r="E172" s="254"/>
      <c r="F172" s="250"/>
      <c r="G172" s="254"/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401</v>
      </c>
      <c r="B183" s="247">
        <v>42000.0</v>
      </c>
      <c r="C183" s="248"/>
      <c r="D183" s="249"/>
      <c r="F183" s="250"/>
      <c r="G183" s="254" t="s">
        <v>636</v>
      </c>
      <c r="H183" s="286">
        <v>90.0</v>
      </c>
      <c r="I183" s="2" t="s">
        <v>72</v>
      </c>
    </row>
    <row r="184">
      <c r="A184" s="265"/>
      <c r="B184" s="247"/>
      <c r="C184" s="248"/>
      <c r="D184" s="249"/>
      <c r="F184" s="250">
        <v>4400.0</v>
      </c>
      <c r="G184" s="254" t="s">
        <v>637</v>
      </c>
      <c r="H184" s="251"/>
    </row>
    <row r="185">
      <c r="A185" s="265"/>
      <c r="B185" s="247"/>
      <c r="C185" s="252"/>
      <c r="D185" s="249"/>
      <c r="F185" s="250">
        <v>6250.0</v>
      </c>
      <c r="G185" s="254" t="s">
        <v>638</v>
      </c>
      <c r="H185" s="267"/>
    </row>
    <row r="186">
      <c r="A186" s="265"/>
      <c r="B186" s="247">
        <v>16108.31</v>
      </c>
      <c r="C186" s="248"/>
      <c r="D186" s="249"/>
      <c r="F186" s="250"/>
      <c r="G186" s="254" t="s">
        <v>82</v>
      </c>
      <c r="H186" s="251"/>
    </row>
    <row r="187">
      <c r="A187" s="265"/>
      <c r="B187" s="247"/>
      <c r="C187" s="248">
        <v>54720.48</v>
      </c>
      <c r="D187" s="249"/>
      <c r="F187" s="250"/>
      <c r="G187" s="254" t="s">
        <v>89</v>
      </c>
      <c r="H187" s="251"/>
    </row>
    <row r="188">
      <c r="A188" s="265"/>
      <c r="B188" s="247"/>
      <c r="C188" s="252"/>
      <c r="D188" s="249"/>
      <c r="F188" s="250">
        <f>507*2</f>
        <v>1014</v>
      </c>
      <c r="G188" s="254" t="s">
        <v>590</v>
      </c>
      <c r="H188" s="251"/>
    </row>
    <row r="189">
      <c r="A189" s="265"/>
      <c r="B189" s="247"/>
      <c r="C189" s="252">
        <f>47023.02+55842.83</f>
        <v>102865.85</v>
      </c>
      <c r="D189" s="253"/>
      <c r="F189" s="250"/>
      <c r="G189" s="254" t="s">
        <v>71</v>
      </c>
      <c r="H189" s="251"/>
    </row>
    <row r="190">
      <c r="A190" s="265"/>
      <c r="B190" s="247"/>
      <c r="C190" s="252"/>
      <c r="D190" s="249"/>
      <c r="F190" s="250"/>
      <c r="G190" s="254" t="s">
        <v>75</v>
      </c>
      <c r="H190" s="251"/>
    </row>
    <row r="191">
      <c r="A191" s="265"/>
      <c r="B191" s="247"/>
      <c r="C191" s="248"/>
      <c r="D191" s="253"/>
      <c r="F191" s="250"/>
      <c r="G191" s="254"/>
      <c r="H191" s="251"/>
    </row>
    <row r="192">
      <c r="A192" s="265"/>
      <c r="B192" s="247"/>
      <c r="C192" s="252"/>
      <c r="D192" s="249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408</v>
      </c>
      <c r="B199" s="239"/>
      <c r="C199" s="263"/>
      <c r="D199" s="264">
        <v>40700.0</v>
      </c>
      <c r="E199" s="244"/>
      <c r="F199" s="243"/>
      <c r="G199" s="276" t="s">
        <v>122</v>
      </c>
      <c r="H199" s="245"/>
      <c r="I199" s="2" t="s">
        <v>639</v>
      </c>
    </row>
    <row r="200">
      <c r="A200" s="265"/>
      <c r="B200" s="247"/>
      <c r="C200" s="248"/>
      <c r="D200" s="249">
        <v>31800.0</v>
      </c>
      <c r="F200" s="250"/>
      <c r="G200" s="254" t="s">
        <v>76</v>
      </c>
      <c r="H200" s="267">
        <v>111.0</v>
      </c>
      <c r="I200" s="2" t="s">
        <v>107</v>
      </c>
    </row>
    <row r="201">
      <c r="A201" s="265"/>
      <c r="B201" s="247"/>
      <c r="C201" s="252"/>
      <c r="D201" s="249">
        <v>19789.14</v>
      </c>
      <c r="F201" s="250"/>
      <c r="G201" s="254" t="s">
        <v>74</v>
      </c>
      <c r="H201" s="251"/>
    </row>
    <row r="202">
      <c r="A202" s="265"/>
      <c r="B202" s="247"/>
      <c r="C202" s="248"/>
      <c r="D202" s="249">
        <v>10951.26</v>
      </c>
      <c r="F202" s="250"/>
      <c r="G202" s="254" t="s">
        <v>73</v>
      </c>
      <c r="H202" s="251"/>
    </row>
    <row r="203">
      <c r="A203" s="265"/>
      <c r="B203" s="247">
        <v>13420.0</v>
      </c>
      <c r="C203" s="248"/>
      <c r="D203" s="249"/>
      <c r="E203" s="2" t="s">
        <v>328</v>
      </c>
      <c r="F203" s="250"/>
      <c r="G203" s="254" t="s">
        <v>79</v>
      </c>
      <c r="H203" s="251"/>
    </row>
    <row r="204">
      <c r="A204" s="265"/>
      <c r="B204" s="247"/>
      <c r="C204" s="248"/>
      <c r="D204" s="249"/>
      <c r="F204" s="250"/>
      <c r="G204" s="254"/>
      <c r="H204" s="267"/>
    </row>
    <row r="205">
      <c r="A205" s="265"/>
      <c r="B205" s="247"/>
      <c r="C205" s="248"/>
      <c r="D205" s="249"/>
      <c r="F205" s="250"/>
      <c r="G205" s="316"/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413</v>
      </c>
      <c r="B214" s="239">
        <v>13265.67</v>
      </c>
      <c r="C214" s="263"/>
      <c r="D214" s="264"/>
      <c r="E214" s="242"/>
      <c r="F214" s="243"/>
      <c r="G214" s="276" t="s">
        <v>82</v>
      </c>
      <c r="H214" s="245">
        <v>80.0</v>
      </c>
      <c r="I214" s="2" t="s">
        <v>72</v>
      </c>
    </row>
    <row r="215">
      <c r="A215" s="265"/>
      <c r="B215" s="247">
        <v>60331.7</v>
      </c>
      <c r="C215" s="248"/>
      <c r="D215" s="249"/>
      <c r="F215" s="250"/>
      <c r="G215" s="254" t="s">
        <v>142</v>
      </c>
      <c r="H215" s="267"/>
    </row>
    <row r="216">
      <c r="A216" s="265"/>
      <c r="B216" s="247">
        <v>22250.0</v>
      </c>
      <c r="C216" s="252"/>
      <c r="D216" s="249"/>
      <c r="F216" s="250"/>
      <c r="G216" s="254" t="s">
        <v>75</v>
      </c>
      <c r="H216" s="251"/>
    </row>
    <row r="217">
      <c r="A217" s="265"/>
      <c r="B217" s="247"/>
      <c r="C217" s="248"/>
      <c r="D217" s="249">
        <v>51000.0</v>
      </c>
      <c r="F217" s="250"/>
      <c r="G217" s="254" t="s">
        <v>87</v>
      </c>
      <c r="H217" s="251"/>
    </row>
    <row r="218">
      <c r="A218" s="265"/>
      <c r="B218" s="247"/>
      <c r="C218" s="252"/>
      <c r="D218" s="253"/>
      <c r="F218" s="250">
        <v>1700.0</v>
      </c>
      <c r="G218" s="254" t="s">
        <v>625</v>
      </c>
      <c r="H218" s="251"/>
    </row>
    <row r="219">
      <c r="A219" s="265"/>
      <c r="B219" s="247"/>
      <c r="C219" s="248">
        <v>222914.97</v>
      </c>
      <c r="D219" s="253"/>
      <c r="F219" s="250"/>
      <c r="G219" s="254" t="s">
        <v>84</v>
      </c>
      <c r="H219" s="251"/>
    </row>
    <row r="220">
      <c r="A220" s="265"/>
      <c r="B220" s="247"/>
      <c r="C220" s="252"/>
      <c r="D220" s="249">
        <v>102000.0</v>
      </c>
      <c r="E220" s="2" t="s">
        <v>276</v>
      </c>
      <c r="F220" s="250"/>
      <c r="G220" s="254" t="s">
        <v>582</v>
      </c>
      <c r="H220" s="251"/>
    </row>
    <row r="221">
      <c r="A221" s="265"/>
      <c r="B221" s="247"/>
      <c r="C221" s="252"/>
      <c r="D221" s="253"/>
      <c r="F221" s="250">
        <v>16000.0</v>
      </c>
      <c r="G221" s="254" t="s">
        <v>68</v>
      </c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>
        <v>2000.0</v>
      </c>
      <c r="G222" s="254" t="s">
        <v>344</v>
      </c>
      <c r="H222" s="251"/>
      <c r="I222" s="269"/>
      <c r="J222" s="269"/>
      <c r="K222" s="269"/>
    </row>
    <row r="223">
      <c r="A223" s="265"/>
      <c r="B223" s="277">
        <v>2700.0</v>
      </c>
      <c r="C223" s="252"/>
      <c r="D223" s="249"/>
      <c r="E223" s="254"/>
      <c r="F223" s="250"/>
      <c r="G223" s="254" t="s">
        <v>344</v>
      </c>
      <c r="H223" s="251"/>
      <c r="I223" s="254"/>
      <c r="J223" s="269"/>
      <c r="K223" s="269"/>
    </row>
    <row r="224">
      <c r="A224" s="265"/>
      <c r="B224" s="277">
        <v>1840.0</v>
      </c>
      <c r="C224" s="252"/>
      <c r="D224" s="253"/>
      <c r="E224" s="269"/>
      <c r="F224" s="282"/>
      <c r="G224" s="254" t="s">
        <v>349</v>
      </c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417</v>
      </c>
      <c r="B226" s="239">
        <v>38310.0</v>
      </c>
      <c r="C226" s="263"/>
      <c r="D226" s="264"/>
      <c r="E226" s="276"/>
      <c r="F226" s="243"/>
      <c r="G226" s="276" t="s">
        <v>99</v>
      </c>
      <c r="H226" s="245">
        <v>110.0</v>
      </c>
      <c r="I226" s="254" t="s">
        <v>72</v>
      </c>
      <c r="J226" s="254"/>
      <c r="K226" s="254"/>
    </row>
    <row r="227">
      <c r="A227" s="265"/>
      <c r="B227" s="247"/>
      <c r="C227" s="252"/>
      <c r="D227" s="249"/>
      <c r="F227" s="250">
        <v>1258.0</v>
      </c>
      <c r="G227" s="254" t="s">
        <v>344</v>
      </c>
      <c r="H227" s="251"/>
      <c r="I227" s="269"/>
      <c r="J227" s="254"/>
      <c r="K227" s="254"/>
    </row>
    <row r="228">
      <c r="A228" s="265"/>
      <c r="B228" s="247"/>
      <c r="C228" s="252"/>
      <c r="D228" s="249"/>
      <c r="F228" s="250">
        <v>1920.0</v>
      </c>
      <c r="G228" s="254" t="s">
        <v>640</v>
      </c>
      <c r="H228" s="251"/>
      <c r="I228" s="269"/>
      <c r="J228" s="254"/>
      <c r="K228" s="254"/>
    </row>
    <row r="229">
      <c r="A229" s="265"/>
      <c r="B229" s="247">
        <v>67881.0</v>
      </c>
      <c r="C229" s="248"/>
      <c r="D229" s="249"/>
      <c r="E229" s="254"/>
      <c r="F229" s="250"/>
      <c r="G229" s="254" t="s">
        <v>92</v>
      </c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>
        <v>4200.0</v>
      </c>
      <c r="G230" s="254" t="s">
        <v>641</v>
      </c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>
        <v>2000.0</v>
      </c>
      <c r="G231" s="254" t="s">
        <v>642</v>
      </c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>
        <v>2000.0</v>
      </c>
      <c r="G232" s="254" t="s">
        <v>643</v>
      </c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418</v>
      </c>
      <c r="B241" s="239">
        <v>16108.31</v>
      </c>
      <c r="C241" s="263"/>
      <c r="D241" s="264"/>
      <c r="E241" s="242"/>
      <c r="F241" s="243"/>
      <c r="G241" s="2" t="s">
        <v>82</v>
      </c>
      <c r="H241" s="245">
        <v>100.0</v>
      </c>
    </row>
    <row r="242">
      <c r="A242" s="265"/>
      <c r="B242" s="247">
        <v>23800.0</v>
      </c>
      <c r="C242" s="252"/>
      <c r="D242" s="249"/>
      <c r="F242" s="250"/>
      <c r="G242" s="254" t="s">
        <v>75</v>
      </c>
      <c r="H242" s="267"/>
      <c r="I242" s="2" t="s">
        <v>644</v>
      </c>
    </row>
    <row r="243">
      <c r="A243" s="265"/>
      <c r="B243" s="247"/>
      <c r="C243" s="248"/>
      <c r="D243" s="249"/>
      <c r="F243" s="250"/>
      <c r="G243" s="254" t="s">
        <v>114</v>
      </c>
      <c r="H243" s="251"/>
    </row>
    <row r="244">
      <c r="A244" s="265"/>
      <c r="B244" s="247"/>
      <c r="C244" s="248"/>
      <c r="D244" s="249"/>
      <c r="F244" s="250">
        <v>3600.0</v>
      </c>
      <c r="G244" s="254" t="s">
        <v>645</v>
      </c>
      <c r="H244" s="251"/>
    </row>
    <row r="245">
      <c r="A245" s="265"/>
      <c r="B245" s="247">
        <v>16862.3</v>
      </c>
      <c r="C245" s="252"/>
      <c r="D245" s="249"/>
      <c r="F245" s="250"/>
      <c r="G245" s="254" t="s">
        <v>646</v>
      </c>
      <c r="H245" s="267"/>
    </row>
    <row r="246">
      <c r="A246" s="265"/>
      <c r="B246" s="247">
        <v>55989.86</v>
      </c>
      <c r="C246" s="248"/>
      <c r="D246" s="253"/>
      <c r="F246" s="250"/>
      <c r="G246" s="254" t="s">
        <v>103</v>
      </c>
      <c r="H246" s="267"/>
    </row>
    <row r="247">
      <c r="A247" s="265"/>
      <c r="B247" s="247"/>
      <c r="C247" s="248"/>
      <c r="D247" s="249"/>
      <c r="F247" s="250">
        <v>4000.0</v>
      </c>
      <c r="G247" s="254" t="s">
        <v>647</v>
      </c>
      <c r="H247" s="251"/>
    </row>
    <row r="248">
      <c r="A248" s="265"/>
      <c r="B248" s="247"/>
      <c r="C248" s="252"/>
      <c r="D248" s="253"/>
      <c r="F248" s="250">
        <v>2000.0</v>
      </c>
      <c r="G248" s="254" t="s">
        <v>648</v>
      </c>
      <c r="H248" s="251"/>
    </row>
    <row r="249">
      <c r="A249" s="265"/>
      <c r="B249" s="247"/>
      <c r="C249" s="252"/>
      <c r="D249" s="253"/>
      <c r="F249" s="250">
        <v>3000.0</v>
      </c>
      <c r="G249" s="254" t="s">
        <v>344</v>
      </c>
      <c r="H249" s="251"/>
    </row>
    <row r="250">
      <c r="A250" s="265"/>
      <c r="B250" s="247"/>
      <c r="C250" s="252"/>
      <c r="D250" s="253"/>
      <c r="F250" s="250">
        <v>3850.0</v>
      </c>
      <c r="G250" s="254" t="s">
        <v>649</v>
      </c>
      <c r="H250" s="251"/>
    </row>
    <row r="251">
      <c r="A251" s="265"/>
      <c r="B251" s="278"/>
      <c r="C251" s="252"/>
      <c r="D251" s="253"/>
      <c r="F251" s="250">
        <v>7500.0</v>
      </c>
      <c r="G251" s="254" t="s">
        <v>650</v>
      </c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427</v>
      </c>
      <c r="B255" s="239"/>
      <c r="C255" s="263"/>
      <c r="D255" s="264">
        <v>58472.73</v>
      </c>
      <c r="E255" s="244"/>
      <c r="F255" s="243"/>
      <c r="G255" s="276" t="s">
        <v>74</v>
      </c>
      <c r="H255" s="245">
        <v>96.0</v>
      </c>
      <c r="I255" s="2" t="s">
        <v>107</v>
      </c>
    </row>
    <row r="256">
      <c r="A256" s="265"/>
      <c r="B256" s="247"/>
      <c r="C256" s="248"/>
      <c r="D256" s="249">
        <v>15242.08</v>
      </c>
      <c r="F256" s="250"/>
      <c r="G256" s="254" t="s">
        <v>73</v>
      </c>
      <c r="H256" s="251"/>
    </row>
    <row r="257">
      <c r="A257" s="265"/>
      <c r="B257" s="247"/>
      <c r="C257" s="252"/>
      <c r="D257" s="249">
        <v>49223.0</v>
      </c>
      <c r="F257" s="250"/>
      <c r="G257" s="254" t="s">
        <v>114</v>
      </c>
      <c r="H257" s="251"/>
    </row>
    <row r="258">
      <c r="A258" s="265"/>
      <c r="B258" s="247"/>
      <c r="C258" s="248">
        <v>49070.4</v>
      </c>
      <c r="D258" s="249"/>
      <c r="F258" s="250"/>
      <c r="G258" s="254" t="s">
        <v>89</v>
      </c>
      <c r="H258" s="267"/>
    </row>
    <row r="259">
      <c r="A259" s="265"/>
      <c r="B259" s="247"/>
      <c r="C259" s="248"/>
      <c r="D259" s="249"/>
      <c r="F259" s="250">
        <v>3000.0</v>
      </c>
      <c r="G259" s="254" t="s">
        <v>651</v>
      </c>
      <c r="H259" s="251"/>
    </row>
    <row r="260">
      <c r="A260" s="265"/>
      <c r="B260" s="247"/>
      <c r="C260" s="248"/>
      <c r="D260" s="249"/>
      <c r="F260" s="250">
        <v>6250.0</v>
      </c>
      <c r="G260" s="254" t="s">
        <v>652</v>
      </c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48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428</v>
      </c>
      <c r="B270" s="239"/>
      <c r="C270" s="263">
        <f>61773.53+33521.84</f>
        <v>95295.37</v>
      </c>
      <c r="D270" s="249"/>
      <c r="F270" s="250"/>
      <c r="G270" s="254" t="s">
        <v>71</v>
      </c>
      <c r="H270" s="245">
        <v>95.0</v>
      </c>
      <c r="I270" s="2" t="s">
        <v>107</v>
      </c>
    </row>
    <row r="271">
      <c r="A271" s="265"/>
      <c r="B271" s="247"/>
      <c r="C271" s="248"/>
      <c r="D271" s="249">
        <v>51000.0</v>
      </c>
      <c r="F271" s="250"/>
      <c r="G271" s="254" t="s">
        <v>421</v>
      </c>
      <c r="H271" s="267"/>
    </row>
    <row r="272">
      <c r="A272" s="265"/>
      <c r="B272" s="247">
        <v>37600.0</v>
      </c>
      <c r="C272" s="248"/>
      <c r="D272" s="253"/>
      <c r="F272" s="250"/>
      <c r="G272" s="254" t="s">
        <v>75</v>
      </c>
      <c r="H272" s="251"/>
    </row>
    <row r="273">
      <c r="A273" s="265"/>
      <c r="B273" s="247">
        <v>24129.3</v>
      </c>
      <c r="C273" s="248"/>
      <c r="D273" s="249"/>
      <c r="F273" s="250"/>
      <c r="G273" s="254" t="s">
        <v>82</v>
      </c>
      <c r="H273" s="251"/>
    </row>
    <row r="274">
      <c r="A274" s="265"/>
      <c r="B274" s="247"/>
      <c r="C274" s="248"/>
      <c r="D274" s="249"/>
      <c r="F274" s="250">
        <v>4950.0</v>
      </c>
      <c r="G274" s="254" t="s">
        <v>605</v>
      </c>
      <c r="H274" s="251"/>
    </row>
    <row r="275">
      <c r="A275" s="265"/>
      <c r="B275" s="247"/>
      <c r="C275" s="248"/>
      <c r="D275" s="249">
        <v>46986.5</v>
      </c>
      <c r="F275" s="250"/>
      <c r="G275" s="254" t="s">
        <v>91</v>
      </c>
      <c r="H275" s="251"/>
    </row>
    <row r="276">
      <c r="A276" s="265"/>
      <c r="B276" s="247">
        <v>44150.0</v>
      </c>
      <c r="C276" s="248"/>
      <c r="D276" s="249"/>
      <c r="F276" s="250"/>
      <c r="G276" s="254" t="s">
        <v>653</v>
      </c>
      <c r="H276" s="251"/>
    </row>
    <row r="277">
      <c r="A277" s="265"/>
      <c r="B277" s="247"/>
      <c r="C277" s="248"/>
      <c r="D277" s="249"/>
      <c r="F277" s="250">
        <v>5000.0</v>
      </c>
      <c r="G277" s="254" t="s">
        <v>654</v>
      </c>
      <c r="H277" s="251"/>
    </row>
    <row r="278">
      <c r="A278" s="265"/>
      <c r="B278" s="247"/>
      <c r="C278" s="252"/>
      <c r="D278" s="249"/>
      <c r="F278" s="250">
        <v>6000.0</v>
      </c>
      <c r="G278" s="254" t="s">
        <v>655</v>
      </c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430</v>
      </c>
      <c r="B283" s="239">
        <v>40700.0</v>
      </c>
      <c r="C283" s="263"/>
      <c r="D283" s="264"/>
      <c r="E283" s="244"/>
      <c r="F283" s="243"/>
      <c r="G283" s="276" t="s">
        <v>122</v>
      </c>
      <c r="H283" s="245">
        <v>70.0</v>
      </c>
      <c r="I283" s="2" t="s">
        <v>72</v>
      </c>
    </row>
    <row r="284">
      <c r="A284" s="265"/>
      <c r="B284" s="247"/>
      <c r="C284" s="248"/>
      <c r="D284" s="249"/>
      <c r="F284" s="250">
        <v>16800.0</v>
      </c>
      <c r="G284" s="254" t="s">
        <v>128</v>
      </c>
      <c r="H284" s="267"/>
    </row>
    <row r="285">
      <c r="A285" s="265"/>
      <c r="B285" s="247"/>
      <c r="C285" s="248"/>
      <c r="D285" s="249">
        <v>31800.0</v>
      </c>
      <c r="F285" s="250"/>
      <c r="G285" s="254" t="s">
        <v>76</v>
      </c>
      <c r="H285" s="251"/>
    </row>
    <row r="286">
      <c r="A286" s="265"/>
      <c r="B286" s="247">
        <v>13420.0</v>
      </c>
      <c r="C286" s="248"/>
      <c r="D286" s="249"/>
      <c r="F286" s="250"/>
      <c r="G286" s="254" t="s">
        <v>79</v>
      </c>
      <c r="H286" s="251"/>
    </row>
    <row r="287">
      <c r="A287" s="265"/>
      <c r="B287" s="247"/>
      <c r="C287" s="252"/>
      <c r="D287" s="249"/>
      <c r="F287" s="250">
        <v>16800.0</v>
      </c>
      <c r="G287" s="254" t="s">
        <v>68</v>
      </c>
      <c r="H287" s="251"/>
    </row>
    <row r="288">
      <c r="A288" s="265"/>
      <c r="B288" s="247"/>
      <c r="C288" s="248"/>
      <c r="D288" s="249"/>
      <c r="F288" s="250">
        <v>1690.0</v>
      </c>
      <c r="G288" s="254" t="s">
        <v>656</v>
      </c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439</v>
      </c>
      <c r="B299" s="239">
        <v>13390.42</v>
      </c>
      <c r="C299" s="263"/>
      <c r="D299" s="264"/>
      <c r="E299" s="244"/>
      <c r="F299" s="243"/>
      <c r="G299" s="276" t="s">
        <v>82</v>
      </c>
      <c r="H299" s="245">
        <v>150.0</v>
      </c>
      <c r="I299" s="2" t="s">
        <v>72</v>
      </c>
    </row>
    <row r="300">
      <c r="A300" s="265"/>
      <c r="B300" s="247">
        <v>52092.77</v>
      </c>
      <c r="C300" s="248"/>
      <c r="D300" s="249"/>
      <c r="F300" s="250"/>
      <c r="G300" s="254" t="s">
        <v>142</v>
      </c>
      <c r="H300" s="267"/>
    </row>
    <row r="301">
      <c r="A301" s="265"/>
      <c r="B301" s="247"/>
      <c r="C301" s="248"/>
      <c r="D301" s="249">
        <v>62261.76</v>
      </c>
      <c r="F301" s="250"/>
      <c r="G301" s="254" t="s">
        <v>100</v>
      </c>
      <c r="H301" s="251"/>
    </row>
    <row r="302">
      <c r="A302" s="265"/>
      <c r="B302" s="247">
        <v>11850.0</v>
      </c>
      <c r="C302" s="248"/>
      <c r="D302" s="249"/>
      <c r="F302" s="250"/>
      <c r="G302" s="254" t="s">
        <v>75</v>
      </c>
      <c r="H302" s="251"/>
    </row>
    <row r="303">
      <c r="A303" s="265"/>
      <c r="B303" s="247"/>
      <c r="C303" s="252"/>
      <c r="D303" s="249"/>
      <c r="F303" s="250">
        <v>4000.0</v>
      </c>
      <c r="G303" s="254" t="s">
        <v>657</v>
      </c>
      <c r="H303" s="251"/>
    </row>
    <row r="304">
      <c r="A304" s="265"/>
      <c r="B304" s="247"/>
      <c r="C304" s="248"/>
      <c r="D304" s="249">
        <v>149600.0</v>
      </c>
      <c r="E304" s="2" t="s">
        <v>276</v>
      </c>
      <c r="F304" s="250"/>
      <c r="G304" s="254" t="s">
        <v>658</v>
      </c>
      <c r="H304" s="267"/>
    </row>
    <row r="305">
      <c r="A305" s="265"/>
      <c r="B305" s="247"/>
      <c r="C305" s="248"/>
      <c r="D305" s="253"/>
      <c r="F305" s="250"/>
      <c r="G305" s="254"/>
      <c r="H305" s="267"/>
    </row>
    <row r="306">
      <c r="A306" s="265"/>
      <c r="B306" s="247"/>
      <c r="C306" s="248"/>
      <c r="D306" s="253"/>
      <c r="F306" s="250"/>
      <c r="G306" s="254"/>
      <c r="H306" s="267"/>
    </row>
    <row r="307">
      <c r="A307" s="265"/>
      <c r="B307" s="247"/>
      <c r="C307" s="252"/>
      <c r="D307" s="253"/>
      <c r="F307" s="250"/>
      <c r="G307" s="254"/>
      <c r="H307" s="251"/>
    </row>
    <row r="308">
      <c r="A308" s="265"/>
      <c r="B308" s="268"/>
      <c r="C308" s="252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446</v>
      </c>
      <c r="B314" s="239"/>
      <c r="C314" s="263">
        <v>53606.4</v>
      </c>
      <c r="D314" s="264"/>
      <c r="E314" s="242"/>
      <c r="F314" s="250"/>
      <c r="G314" s="254" t="s">
        <v>89</v>
      </c>
      <c r="H314" s="245">
        <v>120.0</v>
      </c>
      <c r="I314" s="2" t="s">
        <v>72</v>
      </c>
    </row>
    <row r="315">
      <c r="A315" s="265"/>
      <c r="B315" s="247"/>
      <c r="C315" s="252"/>
      <c r="D315" s="253"/>
      <c r="F315" s="250"/>
      <c r="G315" s="254"/>
      <c r="H315" s="267"/>
      <c r="I315" s="2" t="s">
        <v>659</v>
      </c>
    </row>
    <row r="316">
      <c r="A316" s="265"/>
      <c r="B316" s="247"/>
      <c r="C316" s="248"/>
      <c r="D316" s="249"/>
      <c r="F316" s="250"/>
      <c r="G316" s="254"/>
      <c r="H316" s="251"/>
    </row>
    <row r="317">
      <c r="A317" s="265"/>
      <c r="B317" s="247"/>
      <c r="C317" s="248"/>
      <c r="D317" s="249"/>
      <c r="F317" s="250"/>
      <c r="G317" s="254"/>
      <c r="H317" s="251"/>
    </row>
    <row r="318">
      <c r="A318" s="265"/>
      <c r="B318" s="247"/>
      <c r="C318" s="252"/>
      <c r="D318" s="249"/>
      <c r="F318" s="250"/>
      <c r="G318" s="254"/>
      <c r="H318" s="251"/>
    </row>
    <row r="319">
      <c r="A319" s="265"/>
      <c r="B319" s="247"/>
      <c r="C319" s="252"/>
      <c r="D319" s="249"/>
      <c r="F319" s="250"/>
      <c r="G319" s="254"/>
      <c r="H319" s="267"/>
    </row>
    <row r="320">
      <c r="A320" s="265"/>
      <c r="B320" s="247"/>
      <c r="C320" s="252"/>
      <c r="D320" s="249"/>
      <c r="F320" s="250"/>
      <c r="G320" s="254"/>
      <c r="H320" s="251"/>
    </row>
    <row r="321">
      <c r="A321" s="265"/>
      <c r="B321" s="247"/>
      <c r="C321" s="252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449</v>
      </c>
      <c r="B329" s="239">
        <v>21477.75</v>
      </c>
      <c r="C329" s="263"/>
      <c r="D329" s="264"/>
      <c r="E329" s="242"/>
      <c r="F329" s="243"/>
      <c r="G329" s="244" t="s">
        <v>82</v>
      </c>
      <c r="H329" s="245">
        <v>70.0</v>
      </c>
      <c r="I329" s="2" t="s">
        <v>72</v>
      </c>
    </row>
    <row r="330">
      <c r="A330" s="265"/>
      <c r="B330" s="247">
        <v>16862.3</v>
      </c>
      <c r="C330" s="248"/>
      <c r="D330" s="249"/>
      <c r="F330" s="250"/>
      <c r="G330" s="2" t="s">
        <v>377</v>
      </c>
      <c r="H330" s="267"/>
    </row>
    <row r="331">
      <c r="A331" s="265"/>
      <c r="B331" s="247"/>
      <c r="C331" s="248"/>
      <c r="D331" s="249">
        <v>51000.0</v>
      </c>
      <c r="F331" s="250"/>
      <c r="G331" s="2" t="s">
        <v>87</v>
      </c>
      <c r="H331" s="251"/>
    </row>
    <row r="332">
      <c r="A332" s="265"/>
      <c r="B332" s="247">
        <v>23100.0</v>
      </c>
      <c r="C332" s="248"/>
      <c r="D332" s="249"/>
      <c r="F332" s="250"/>
      <c r="G332" s="2" t="s">
        <v>75</v>
      </c>
      <c r="H332" s="251"/>
    </row>
    <row r="333">
      <c r="A333" s="265"/>
      <c r="B333" s="247"/>
      <c r="C333" s="248"/>
      <c r="D333" s="249"/>
      <c r="E333" s="2">
        <v>19130.1</v>
      </c>
      <c r="F333" s="250"/>
      <c r="G333" s="2" t="s">
        <v>100</v>
      </c>
      <c r="H333" s="251"/>
    </row>
    <row r="334">
      <c r="A334" s="265"/>
      <c r="B334" s="247">
        <v>46759.3</v>
      </c>
      <c r="C334" s="248"/>
      <c r="D334" s="249"/>
      <c r="F334" s="250"/>
      <c r="G334" s="2" t="s">
        <v>103</v>
      </c>
      <c r="H334" s="251"/>
    </row>
    <row r="335">
      <c r="A335" s="265"/>
      <c r="B335" s="247">
        <v>27543.0</v>
      </c>
      <c r="C335" s="248"/>
      <c r="D335" s="249"/>
      <c r="F335" s="250"/>
      <c r="G335" s="2" t="s">
        <v>389</v>
      </c>
      <c r="H335" s="251"/>
    </row>
    <row r="336">
      <c r="A336" s="265"/>
      <c r="B336" s="247">
        <v>18235.84</v>
      </c>
      <c r="C336" s="252"/>
      <c r="D336" s="249"/>
      <c r="F336" s="250"/>
      <c r="G336" s="2" t="s">
        <v>392</v>
      </c>
      <c r="H336" s="251"/>
    </row>
    <row r="337">
      <c r="A337" s="265"/>
      <c r="B337" s="247"/>
      <c r="C337" s="252"/>
      <c r="D337" s="253"/>
      <c r="F337" s="250">
        <v>27830.0</v>
      </c>
      <c r="G337" s="2" t="s">
        <v>480</v>
      </c>
      <c r="H337" s="251"/>
    </row>
    <row r="338">
      <c r="A338" s="265"/>
      <c r="B338" s="247"/>
      <c r="C338" s="252"/>
      <c r="D338" s="249"/>
      <c r="F338" s="250">
        <f>4700+500</f>
        <v>5200</v>
      </c>
      <c r="G338" s="2" t="s">
        <v>660</v>
      </c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452</v>
      </c>
      <c r="B343" s="239"/>
      <c r="C343" s="263"/>
      <c r="D343" s="264"/>
      <c r="E343" s="242"/>
      <c r="F343" s="243">
        <v>2700.0</v>
      </c>
      <c r="G343" s="244" t="s">
        <v>655</v>
      </c>
      <c r="H343" s="245">
        <v>105.0</v>
      </c>
      <c r="I343" s="2" t="s">
        <v>72</v>
      </c>
    </row>
    <row r="344">
      <c r="A344" s="265"/>
      <c r="B344" s="247">
        <v>4712.4</v>
      </c>
      <c r="C344" s="248"/>
      <c r="D344" s="249"/>
      <c r="F344" s="250"/>
      <c r="G344" s="2" t="s">
        <v>291</v>
      </c>
      <c r="H344" s="267"/>
    </row>
    <row r="345">
      <c r="A345" s="265"/>
      <c r="B345" s="247">
        <v>37501.8</v>
      </c>
      <c r="C345" s="248"/>
      <c r="D345" s="249"/>
      <c r="F345" s="250"/>
      <c r="G345" s="2" t="s">
        <v>142</v>
      </c>
      <c r="H345" s="267"/>
    </row>
    <row r="346">
      <c r="A346" s="265"/>
      <c r="B346" s="247"/>
      <c r="C346" s="248">
        <f>42766.24+51798.59</f>
        <v>94564.83</v>
      </c>
      <c r="D346" s="249"/>
      <c r="F346" s="250"/>
      <c r="G346" s="2" t="s">
        <v>71</v>
      </c>
      <c r="H346" s="251"/>
    </row>
    <row r="347">
      <c r="A347" s="265"/>
      <c r="B347" s="247"/>
      <c r="C347" s="248"/>
      <c r="D347" s="249"/>
      <c r="F347" s="250">
        <v>1690.0</v>
      </c>
      <c r="G347" s="2" t="s">
        <v>68</v>
      </c>
      <c r="H347" s="251"/>
    </row>
    <row r="348">
      <c r="A348" s="265"/>
      <c r="B348" s="247"/>
      <c r="C348" s="252"/>
      <c r="D348" s="249"/>
      <c r="F348" s="250">
        <v>16800.0</v>
      </c>
      <c r="G348" s="2" t="s">
        <v>120</v>
      </c>
      <c r="H348" s="251"/>
    </row>
    <row r="349">
      <c r="A349" s="265"/>
      <c r="B349" s="247"/>
      <c r="C349" s="252"/>
      <c r="D349" s="249"/>
      <c r="F349" s="250"/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661</v>
      </c>
      <c r="B361" s="239">
        <v>35450.0</v>
      </c>
      <c r="C361" s="240"/>
      <c r="D361" s="264"/>
      <c r="E361" s="242"/>
      <c r="F361" s="243"/>
      <c r="G361" s="244" t="s">
        <v>662</v>
      </c>
      <c r="H361" s="245">
        <v>110.0</v>
      </c>
      <c r="I361" s="2" t="s">
        <v>72</v>
      </c>
    </row>
    <row r="362">
      <c r="A362" s="265"/>
      <c r="B362" s="247">
        <v>27079.76</v>
      </c>
      <c r="C362" s="248"/>
      <c r="D362" s="249"/>
      <c r="F362" s="250"/>
      <c r="G362" s="2" t="s">
        <v>58</v>
      </c>
      <c r="H362" s="267"/>
    </row>
    <row r="363">
      <c r="A363" s="265"/>
      <c r="B363" s="247"/>
      <c r="C363" s="248"/>
      <c r="D363" s="253"/>
      <c r="F363" s="250">
        <v>4950.0</v>
      </c>
      <c r="G363" s="2" t="s">
        <v>663</v>
      </c>
      <c r="H363" s="267"/>
    </row>
    <row r="364">
      <c r="A364" s="265"/>
      <c r="B364" s="247"/>
      <c r="C364" s="248"/>
      <c r="D364" s="249">
        <v>159675.0</v>
      </c>
      <c r="F364" s="250"/>
      <c r="G364" s="2" t="s">
        <v>664</v>
      </c>
      <c r="H364" s="251"/>
    </row>
    <row r="365">
      <c r="A365" s="265"/>
      <c r="B365" s="247"/>
      <c r="C365" s="252"/>
      <c r="D365" s="249">
        <v>51334.29</v>
      </c>
      <c r="F365" s="250"/>
      <c r="G365" s="2" t="s">
        <v>65</v>
      </c>
      <c r="H365" s="251"/>
    </row>
    <row r="366">
      <c r="A366" s="265"/>
      <c r="B366" s="247"/>
      <c r="C366" s="252"/>
      <c r="D366" s="253"/>
      <c r="F366" s="250"/>
      <c r="H366" s="251"/>
    </row>
    <row r="367">
      <c r="A367" s="265"/>
      <c r="B367" s="247"/>
      <c r="C367" s="252"/>
      <c r="D367" s="253"/>
      <c r="F367" s="250"/>
      <c r="H367" s="251"/>
    </row>
    <row r="368">
      <c r="A368" s="265"/>
      <c r="B368" s="268"/>
      <c r="C368" s="252"/>
      <c r="D368" s="249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40"/>
      <c r="D379" s="264"/>
      <c r="E379" s="242"/>
      <c r="F379" s="243"/>
      <c r="H379" s="245"/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>
        <v>60935.34</v>
      </c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25436.35</v>
      </c>
      <c r="F391" s="250"/>
      <c r="G391" s="2" t="s">
        <v>190</v>
      </c>
      <c r="H391" s="294">
        <v>45110.0</v>
      </c>
    </row>
    <row r="392">
      <c r="A392" s="265"/>
      <c r="B392" s="247"/>
      <c r="C392" s="248"/>
      <c r="D392" s="249">
        <v>5041.3</v>
      </c>
      <c r="F392" s="250"/>
      <c r="G392" s="2" t="s">
        <v>191</v>
      </c>
      <c r="H392" s="294">
        <v>45125.0</v>
      </c>
    </row>
    <row r="393">
      <c r="A393" s="265"/>
      <c r="B393" s="268"/>
      <c r="C393" s="252"/>
      <c r="D393" s="249">
        <v>8732.21</v>
      </c>
      <c r="F393" s="250"/>
      <c r="G393" s="2" t="s">
        <v>665</v>
      </c>
      <c r="H393" s="294">
        <v>45125.0</v>
      </c>
    </row>
    <row r="394">
      <c r="A394" s="265"/>
      <c r="B394" s="268"/>
      <c r="C394" s="252"/>
      <c r="D394" s="249">
        <v>108900.0</v>
      </c>
      <c r="F394" s="250"/>
      <c r="G394" s="2" t="s">
        <v>192</v>
      </c>
      <c r="H394" s="294">
        <v>45113.0</v>
      </c>
    </row>
    <row r="395">
      <c r="A395" s="265"/>
      <c r="B395" s="268"/>
      <c r="C395" s="252"/>
      <c r="D395" s="253"/>
      <c r="F395" s="250">
        <v>31000.0</v>
      </c>
      <c r="G395" s="2" t="s">
        <v>193</v>
      </c>
      <c r="H395" s="294">
        <v>45121.0</v>
      </c>
    </row>
    <row r="396">
      <c r="A396" s="265"/>
      <c r="B396" s="247"/>
      <c r="C396" s="252"/>
      <c r="D396" s="249">
        <v>20355.0</v>
      </c>
      <c r="F396" s="250"/>
      <c r="G396" s="2" t="s">
        <v>194</v>
      </c>
      <c r="H396" s="294">
        <v>45125.0</v>
      </c>
    </row>
    <row r="397">
      <c r="A397" s="265"/>
      <c r="B397" s="247"/>
      <c r="C397" s="252"/>
      <c r="D397" s="249">
        <v>45000.0</v>
      </c>
      <c r="F397" s="250"/>
      <c r="G397" s="2" t="s">
        <v>196</v>
      </c>
      <c r="H397" s="294">
        <v>45112.0</v>
      </c>
      <c r="I397" s="318"/>
    </row>
    <row r="398">
      <c r="A398" s="265"/>
      <c r="B398" s="247">
        <v>12203.48</v>
      </c>
      <c r="C398" s="252"/>
      <c r="D398" s="249"/>
      <c r="F398" s="250"/>
      <c r="G398" s="2" t="s">
        <v>197</v>
      </c>
      <c r="H398" s="294"/>
      <c r="I398" s="2" t="s">
        <v>198</v>
      </c>
    </row>
    <row r="399">
      <c r="A399" s="265"/>
      <c r="B399" s="268"/>
      <c r="C399" s="252"/>
      <c r="D399" s="249">
        <v>13814.35</v>
      </c>
      <c r="F399" s="250"/>
      <c r="G399" s="2" t="s">
        <v>199</v>
      </c>
      <c r="H399" s="294"/>
      <c r="I399" s="2" t="s">
        <v>189</v>
      </c>
    </row>
    <row r="400">
      <c r="A400" s="265"/>
      <c r="B400" s="247"/>
      <c r="C400" s="252"/>
      <c r="D400" s="249">
        <v>25537.79</v>
      </c>
      <c r="F400" s="250"/>
      <c r="G400" s="2" t="s">
        <v>200</v>
      </c>
      <c r="H400" s="294"/>
      <c r="I400" s="2" t="s">
        <v>189</v>
      </c>
    </row>
    <row r="401">
      <c r="A401" s="265"/>
      <c r="B401" s="278"/>
      <c r="C401" s="248"/>
      <c r="D401" s="296">
        <v>7260.43</v>
      </c>
      <c r="F401" s="282"/>
      <c r="G401" s="2" t="s">
        <v>201</v>
      </c>
      <c r="H401" s="294"/>
      <c r="I401" s="2" t="s">
        <v>189</v>
      </c>
    </row>
    <row r="402">
      <c r="A402" s="270"/>
      <c r="B402" s="277">
        <v>5445.0</v>
      </c>
      <c r="C402" s="248"/>
      <c r="D402" s="295"/>
      <c r="F402" s="282"/>
      <c r="G402" s="2" t="s">
        <v>525</v>
      </c>
      <c r="H402" s="294"/>
    </row>
    <row r="403">
      <c r="A403" s="299"/>
      <c r="B403" s="278"/>
      <c r="C403" s="248"/>
      <c r="D403" s="295"/>
      <c r="F403" s="282"/>
      <c r="H403" s="294"/>
    </row>
    <row r="404">
      <c r="A404" s="299"/>
      <c r="B404" s="278"/>
      <c r="C404" s="248"/>
      <c r="D404" s="300">
        <v>354105.71</v>
      </c>
      <c r="F404" s="282"/>
      <c r="G404" s="2" t="s">
        <v>202</v>
      </c>
      <c r="H404" s="301">
        <v>45119.0</v>
      </c>
      <c r="I404" s="2" t="s">
        <v>203</v>
      </c>
    </row>
    <row r="405">
      <c r="A405" s="299"/>
      <c r="B405" s="278"/>
      <c r="C405" s="248"/>
      <c r="D405" s="295"/>
      <c r="F405" s="250"/>
      <c r="G405" s="2" t="s">
        <v>204</v>
      </c>
      <c r="H405" s="301"/>
    </row>
    <row r="406">
      <c r="A406" s="303"/>
      <c r="B406" s="278"/>
      <c r="C406" s="252"/>
      <c r="D406" s="253"/>
      <c r="F406" s="250"/>
      <c r="G406" s="2" t="s">
        <v>205</v>
      </c>
      <c r="H406" s="302"/>
    </row>
    <row r="407">
      <c r="A407" s="303"/>
      <c r="B407" s="268"/>
      <c r="C407" s="252"/>
      <c r="D407" s="249">
        <v>382241.77</v>
      </c>
      <c r="F407" s="250"/>
      <c r="G407" s="2" t="s">
        <v>206</v>
      </c>
      <c r="H407" s="294">
        <v>45128.0</v>
      </c>
      <c r="I407" s="2" t="s">
        <v>203</v>
      </c>
    </row>
    <row r="408">
      <c r="A408" s="303"/>
      <c r="B408" s="247"/>
      <c r="C408" s="252"/>
      <c r="D408" s="249"/>
      <c r="F408" s="250"/>
      <c r="G408" s="2" t="s">
        <v>208</v>
      </c>
      <c r="H408" s="294"/>
    </row>
    <row r="409">
      <c r="A409" s="303"/>
      <c r="B409" s="268"/>
      <c r="C409" s="252"/>
      <c r="D409" s="300">
        <v>142499.15</v>
      </c>
      <c r="F409" s="332"/>
      <c r="G409" s="2" t="s">
        <v>209</v>
      </c>
      <c r="H409" s="294">
        <v>45114.0</v>
      </c>
      <c r="I409" s="2" t="s">
        <v>666</v>
      </c>
    </row>
    <row r="410">
      <c r="A410" s="303"/>
      <c r="B410" s="268"/>
      <c r="C410" s="252"/>
      <c r="D410" s="249"/>
      <c r="F410" s="250"/>
      <c r="H410" s="294"/>
    </row>
    <row r="411">
      <c r="A411" s="303"/>
      <c r="B411" s="247">
        <v>23200.0</v>
      </c>
      <c r="C411" s="252"/>
      <c r="D411" s="331"/>
      <c r="F411" s="266"/>
      <c r="G411" s="2" t="s">
        <v>667</v>
      </c>
      <c r="H411" s="251"/>
    </row>
    <row r="412">
      <c r="A412" s="304"/>
      <c r="B412" s="268"/>
      <c r="C412" s="252"/>
      <c r="D412" s="249">
        <v>74000.0</v>
      </c>
      <c r="F412" s="250"/>
      <c r="G412" s="2" t="s">
        <v>602</v>
      </c>
      <c r="H412" s="294">
        <v>45119.0</v>
      </c>
    </row>
    <row r="413">
      <c r="A413" s="305"/>
      <c r="B413" s="271"/>
      <c r="C413" s="272"/>
      <c r="D413" s="273"/>
      <c r="E413" s="18"/>
      <c r="F413" s="274"/>
      <c r="G413" s="18"/>
      <c r="H413" s="261"/>
    </row>
    <row r="414">
      <c r="A414" s="265"/>
      <c r="B414" s="306"/>
      <c r="C414" s="240"/>
      <c r="D414" s="241"/>
      <c r="E414" s="242"/>
      <c r="F414" s="243"/>
      <c r="G414" s="244"/>
      <c r="H414" s="307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70"/>
      <c r="B422" s="268"/>
      <c r="C422" s="252"/>
      <c r="D422" s="253"/>
      <c r="F422" s="250"/>
      <c r="H422" s="251"/>
    </row>
    <row r="423">
      <c r="A423" s="305"/>
      <c r="B423" s="271"/>
      <c r="C423" s="272"/>
      <c r="D423" s="273"/>
      <c r="E423" s="18"/>
      <c r="F423" s="274"/>
      <c r="G423" s="18"/>
      <c r="H423" s="261"/>
    </row>
    <row r="424">
      <c r="A424" s="265"/>
      <c r="B424" s="306"/>
      <c r="C424" s="240"/>
      <c r="D424" s="241"/>
      <c r="E424" s="242"/>
      <c r="F424" s="243"/>
      <c r="G424" s="244"/>
      <c r="H424" s="307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70"/>
      <c r="B432" s="268"/>
      <c r="C432" s="252"/>
      <c r="D432" s="253"/>
      <c r="F432" s="250"/>
      <c r="H432" s="251"/>
    </row>
    <row r="433">
      <c r="B433" s="271"/>
      <c r="C433" s="272"/>
      <c r="D433" s="273"/>
      <c r="E433" s="18"/>
      <c r="F433" s="274"/>
      <c r="G433" s="18"/>
      <c r="H433" s="261"/>
    </row>
    <row r="434">
      <c r="B434" s="306"/>
      <c r="C434" s="240"/>
      <c r="D434" s="241"/>
      <c r="E434" s="242"/>
      <c r="F434" s="243"/>
      <c r="G434" s="244"/>
      <c r="H434" s="307"/>
    </row>
    <row r="435">
      <c r="B435" s="268"/>
      <c r="C435" s="252"/>
      <c r="D435" s="253"/>
      <c r="F435" s="250"/>
      <c r="H435" s="251"/>
    </row>
    <row r="436">
      <c r="B436" s="268"/>
      <c r="C436" s="252"/>
      <c r="D436" s="253"/>
      <c r="F436" s="250"/>
      <c r="H436" s="251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3:A422"/>
    <mergeCell ref="A423:A432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529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v>840.0</v>
      </c>
      <c r="G2" s="334" t="s">
        <v>655</v>
      </c>
      <c r="H2" s="245">
        <v>140.0</v>
      </c>
      <c r="I2" s="2" t="s">
        <v>72</v>
      </c>
    </row>
    <row r="3">
      <c r="A3" s="246" t="s">
        <v>668</v>
      </c>
      <c r="B3" s="330"/>
      <c r="C3" s="313"/>
      <c r="D3" s="337">
        <v>36647.12</v>
      </c>
      <c r="E3" s="336" t="s">
        <v>328</v>
      </c>
      <c r="F3" s="335"/>
      <c r="G3" s="336" t="s">
        <v>77</v>
      </c>
      <c r="H3" s="267"/>
    </row>
    <row r="4">
      <c r="A4" s="246"/>
      <c r="B4" s="330">
        <v>32057.59</v>
      </c>
      <c r="C4" s="328"/>
      <c r="D4" s="337"/>
      <c r="E4" s="336"/>
      <c r="F4" s="335"/>
      <c r="G4" s="336" t="s">
        <v>74</v>
      </c>
      <c r="H4" s="251"/>
    </row>
    <row r="5">
      <c r="A5" s="246"/>
      <c r="B5" s="330">
        <v>22361.88</v>
      </c>
      <c r="C5" s="338"/>
      <c r="D5" s="325"/>
      <c r="E5" s="290"/>
      <c r="F5" s="291"/>
      <c r="G5" s="336" t="s">
        <v>73</v>
      </c>
      <c r="H5" s="251"/>
    </row>
    <row r="6">
      <c r="A6" s="246"/>
      <c r="B6" s="330">
        <v>14100.0</v>
      </c>
      <c r="C6" s="313"/>
      <c r="D6" s="325"/>
      <c r="E6" s="290"/>
      <c r="F6" s="335"/>
      <c r="G6" s="336" t="s">
        <v>351</v>
      </c>
      <c r="H6" s="251"/>
    </row>
    <row r="7">
      <c r="A7" s="246"/>
      <c r="B7" s="342">
        <v>18000.0</v>
      </c>
      <c r="C7" s="313"/>
      <c r="D7" s="325"/>
      <c r="E7" s="290"/>
      <c r="F7" s="335"/>
      <c r="G7" s="336" t="s">
        <v>669</v>
      </c>
      <c r="H7" s="251"/>
    </row>
    <row r="8">
      <c r="A8" s="246"/>
      <c r="B8" s="247"/>
      <c r="C8" s="248"/>
      <c r="D8" s="249"/>
      <c r="F8" s="250"/>
      <c r="G8" s="254" t="s">
        <v>670</v>
      </c>
      <c r="H8" s="251"/>
      <c r="I8" s="2" t="s">
        <v>671</v>
      </c>
    </row>
    <row r="9">
      <c r="A9" s="246"/>
      <c r="B9" s="247"/>
      <c r="C9" s="248"/>
      <c r="D9" s="249"/>
      <c r="F9" s="250"/>
      <c r="G9" s="254" t="s">
        <v>672</v>
      </c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673</v>
      </c>
      <c r="B15" s="239">
        <v>12509.04</v>
      </c>
      <c r="C15" s="263"/>
      <c r="D15" s="264"/>
      <c r="E15" s="242"/>
      <c r="F15" s="250"/>
      <c r="G15" s="2" t="s">
        <v>82</v>
      </c>
      <c r="H15" s="245">
        <v>140.0</v>
      </c>
      <c r="I15" s="2" t="s">
        <v>72</v>
      </c>
    </row>
    <row r="16">
      <c r="A16" s="265"/>
      <c r="B16" s="247"/>
      <c r="C16" s="248"/>
      <c r="D16" s="249">
        <v>51000.0</v>
      </c>
      <c r="F16" s="266"/>
      <c r="G16" s="2" t="s">
        <v>87</v>
      </c>
      <c r="H16" s="267"/>
    </row>
    <row r="17">
      <c r="A17" s="265"/>
      <c r="B17" s="247"/>
      <c r="C17" s="248">
        <v>41552.38</v>
      </c>
      <c r="D17" s="249"/>
      <c r="F17" s="250"/>
      <c r="G17" s="2" t="s">
        <v>84</v>
      </c>
      <c r="H17" s="251"/>
    </row>
    <row r="18">
      <c r="A18" s="265"/>
      <c r="B18" s="247">
        <v>40700.0</v>
      </c>
      <c r="C18" s="252"/>
      <c r="D18" s="249"/>
      <c r="F18" s="250"/>
      <c r="G18" s="2" t="s">
        <v>122</v>
      </c>
      <c r="H18" s="251"/>
    </row>
    <row r="19">
      <c r="A19" s="265"/>
      <c r="B19" s="247"/>
      <c r="C19" s="248"/>
      <c r="D19" s="249">
        <v>68340.0</v>
      </c>
      <c r="F19" s="250"/>
      <c r="G19" s="2" t="s">
        <v>674</v>
      </c>
      <c r="H19" s="251"/>
    </row>
    <row r="20">
      <c r="A20" s="265"/>
      <c r="B20" s="247">
        <v>43550.0</v>
      </c>
      <c r="C20" s="248"/>
      <c r="D20" s="249"/>
      <c r="F20" s="250"/>
      <c r="G20" s="2" t="s">
        <v>75</v>
      </c>
      <c r="H20" s="251"/>
    </row>
    <row r="21">
      <c r="A21" s="265"/>
      <c r="B21" s="247"/>
      <c r="C21" s="252"/>
      <c r="D21" s="253"/>
      <c r="F21" s="250">
        <v>17000.0</v>
      </c>
      <c r="G21" s="254" t="s">
        <v>68</v>
      </c>
      <c r="H21" s="251"/>
    </row>
    <row r="22">
      <c r="A22" s="265"/>
      <c r="B22" s="247"/>
      <c r="C22" s="252"/>
      <c r="D22" s="249"/>
      <c r="F22" s="250">
        <v>6250.0</v>
      </c>
      <c r="G22" s="254" t="s">
        <v>573</v>
      </c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675</v>
      </c>
      <c r="B28" s="239">
        <v>20800.0</v>
      </c>
      <c r="C28" s="240"/>
      <c r="D28" s="264"/>
      <c r="E28" s="244"/>
      <c r="F28" s="243"/>
      <c r="G28" s="276" t="s">
        <v>76</v>
      </c>
      <c r="H28" s="245">
        <v>121.0</v>
      </c>
      <c r="I28" s="2" t="s">
        <v>72</v>
      </c>
    </row>
    <row r="29">
      <c r="A29" s="265"/>
      <c r="B29" s="247"/>
      <c r="C29" s="248"/>
      <c r="D29" s="249"/>
      <c r="F29" s="250">
        <v>2600.0</v>
      </c>
      <c r="G29" s="2" t="s">
        <v>85</v>
      </c>
      <c r="H29" s="267"/>
    </row>
    <row r="30">
      <c r="A30" s="265"/>
      <c r="B30" s="247"/>
      <c r="C30" s="248"/>
      <c r="D30" s="249"/>
      <c r="F30" s="250"/>
      <c r="G30" s="254"/>
      <c r="H30" s="251"/>
    </row>
    <row r="31">
      <c r="A31" s="265"/>
      <c r="B31" s="247"/>
      <c r="C31" s="248"/>
      <c r="D31" s="249"/>
      <c r="F31" s="250"/>
      <c r="G31" s="254"/>
      <c r="H31" s="251"/>
    </row>
    <row r="32">
      <c r="A32" s="265"/>
      <c r="B32" s="247"/>
      <c r="C32" s="252"/>
      <c r="D32" s="249"/>
      <c r="F32" s="250"/>
      <c r="G32" s="254"/>
      <c r="H32" s="251"/>
    </row>
    <row r="33">
      <c r="A33" s="265"/>
      <c r="B33" s="247"/>
      <c r="C33" s="248"/>
      <c r="D33" s="249"/>
      <c r="F33" s="250"/>
      <c r="G33" s="254"/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49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26700.0</v>
      </c>
      <c r="C42" s="248"/>
      <c r="D42" s="249"/>
      <c r="F42" s="250"/>
      <c r="G42" s="254" t="s">
        <v>75</v>
      </c>
      <c r="H42" s="267">
        <v>152.0</v>
      </c>
      <c r="I42" s="2" t="s">
        <v>107</v>
      </c>
    </row>
    <row r="43">
      <c r="A43" s="280"/>
      <c r="B43" s="277">
        <v>18763.57</v>
      </c>
      <c r="C43" s="248"/>
      <c r="D43" s="249"/>
      <c r="F43" s="250"/>
      <c r="G43" s="254" t="s">
        <v>82</v>
      </c>
      <c r="H43" s="267"/>
    </row>
    <row r="44">
      <c r="A44" s="280" t="s">
        <v>676</v>
      </c>
      <c r="B44" s="247"/>
      <c r="C44" s="248"/>
      <c r="D44" s="300">
        <v>73463.5</v>
      </c>
      <c r="F44" s="250"/>
      <c r="G44" s="254" t="s">
        <v>92</v>
      </c>
      <c r="H44" s="251"/>
    </row>
    <row r="45">
      <c r="A45" s="265"/>
      <c r="B45" s="247">
        <v>23132.0</v>
      </c>
      <c r="C45" s="248"/>
      <c r="D45" s="249"/>
      <c r="F45" s="250"/>
      <c r="G45" s="254" t="s">
        <v>677</v>
      </c>
      <c r="H45" s="251"/>
    </row>
    <row r="46">
      <c r="A46" s="265"/>
      <c r="B46" s="247">
        <v>4800.0</v>
      </c>
      <c r="C46" s="248"/>
      <c r="D46" s="249"/>
      <c r="F46" s="250"/>
      <c r="G46" s="254" t="s">
        <v>678</v>
      </c>
      <c r="H46" s="251"/>
    </row>
    <row r="47">
      <c r="A47" s="265"/>
      <c r="B47" s="247"/>
      <c r="C47" s="252"/>
      <c r="D47" s="249"/>
      <c r="F47" s="250"/>
      <c r="G47" s="254"/>
      <c r="H47" s="251"/>
    </row>
    <row r="48">
      <c r="A48" s="265"/>
      <c r="B48" s="247"/>
      <c r="C48" s="248"/>
      <c r="D48" s="249"/>
      <c r="F48" s="250"/>
      <c r="G48" s="254"/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679</v>
      </c>
      <c r="B54" s="239">
        <v>47519.62</v>
      </c>
      <c r="C54" s="263"/>
      <c r="D54" s="264"/>
      <c r="E54" s="242"/>
      <c r="F54" s="243"/>
      <c r="G54" s="276" t="s">
        <v>142</v>
      </c>
      <c r="H54" s="245">
        <v>81.0</v>
      </c>
      <c r="I54" s="2" t="s">
        <v>107</v>
      </c>
    </row>
    <row r="55">
      <c r="A55" s="265"/>
      <c r="B55" s="247"/>
      <c r="C55" s="248">
        <f>76748.42+43926.63</f>
        <v>120675.05</v>
      </c>
      <c r="D55" s="249"/>
      <c r="F55" s="250"/>
      <c r="G55" s="254" t="s">
        <v>71</v>
      </c>
      <c r="H55" s="267"/>
    </row>
    <row r="56">
      <c r="A56" s="265"/>
      <c r="B56" s="339"/>
      <c r="C56" s="248"/>
      <c r="D56" s="249"/>
      <c r="F56" s="250">
        <v>3800.0</v>
      </c>
      <c r="G56" s="254" t="s">
        <v>329</v>
      </c>
      <c r="H56" s="251"/>
    </row>
    <row r="57">
      <c r="A57" s="265"/>
      <c r="B57" s="339"/>
      <c r="C57" s="248"/>
      <c r="D57" s="249"/>
      <c r="F57" s="250"/>
      <c r="G57" s="254"/>
      <c r="H57" s="267"/>
    </row>
    <row r="58">
      <c r="A58" s="265"/>
      <c r="B58" s="247"/>
      <c r="C58" s="248"/>
      <c r="D58" s="249"/>
      <c r="F58" s="250"/>
      <c r="G58" s="254"/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49"/>
      <c r="F60" s="250"/>
      <c r="G60" s="254"/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47"/>
      <c r="C62" s="248"/>
      <c r="D62" s="253"/>
      <c r="F62" s="250"/>
      <c r="G62" s="254"/>
      <c r="H62" s="251"/>
    </row>
    <row r="63">
      <c r="A63" s="265"/>
      <c r="B63" s="247"/>
      <c r="C63" s="248"/>
      <c r="D63" s="249"/>
      <c r="F63" s="250"/>
      <c r="G63" s="254"/>
      <c r="H63" s="251"/>
    </row>
    <row r="64">
      <c r="A64" s="265"/>
      <c r="B64" s="247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54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680</v>
      </c>
      <c r="B68" s="239">
        <v>35000.0</v>
      </c>
      <c r="C68" s="263"/>
      <c r="D68" s="264"/>
      <c r="E68" s="244"/>
      <c r="F68" s="243"/>
      <c r="G68" s="276" t="s">
        <v>681</v>
      </c>
      <c r="H68" s="245"/>
    </row>
    <row r="69">
      <c r="A69" s="265"/>
      <c r="B69" s="247">
        <v>51000.0</v>
      </c>
      <c r="C69" s="248"/>
      <c r="D69" s="249"/>
      <c r="F69" s="250"/>
      <c r="G69" s="254" t="s">
        <v>87</v>
      </c>
      <c r="H69" s="267">
        <v>84.0</v>
      </c>
      <c r="I69" s="2" t="s">
        <v>72</v>
      </c>
    </row>
    <row r="70">
      <c r="A70" s="265"/>
      <c r="B70" s="247">
        <f>31150-15500</f>
        <v>15650</v>
      </c>
      <c r="C70" s="252"/>
      <c r="D70" s="249"/>
      <c r="F70" s="250"/>
      <c r="G70" s="254" t="s">
        <v>75</v>
      </c>
      <c r="H70" s="310"/>
      <c r="I70" s="2" t="s">
        <v>682</v>
      </c>
    </row>
    <row r="71">
      <c r="A71" s="265"/>
      <c r="B71" s="247"/>
      <c r="C71" s="248"/>
      <c r="D71" s="249"/>
      <c r="F71" s="250">
        <v>5600.0</v>
      </c>
      <c r="G71" s="254" t="s">
        <v>605</v>
      </c>
      <c r="H71" s="251"/>
    </row>
    <row r="72">
      <c r="A72" s="265"/>
      <c r="B72" s="247"/>
      <c r="C72" s="248"/>
      <c r="D72" s="249"/>
      <c r="F72" s="250">
        <v>526.0</v>
      </c>
      <c r="G72" s="254" t="s">
        <v>683</v>
      </c>
      <c r="H72" s="251"/>
    </row>
    <row r="73">
      <c r="A73" s="265"/>
      <c r="B73" s="247">
        <v>29209.0</v>
      </c>
      <c r="C73" s="248"/>
      <c r="D73" s="253"/>
      <c r="F73" s="250"/>
      <c r="G73" s="254" t="s">
        <v>82</v>
      </c>
      <c r="H73" s="251"/>
    </row>
    <row r="74">
      <c r="A74" s="265"/>
      <c r="B74" s="247">
        <v>50642.61</v>
      </c>
      <c r="C74" s="252"/>
      <c r="D74" s="249"/>
      <c r="F74" s="250"/>
      <c r="G74" s="254" t="s">
        <v>114</v>
      </c>
      <c r="H74" s="251"/>
    </row>
    <row r="75">
      <c r="A75" s="265"/>
      <c r="B75" s="247"/>
      <c r="C75" s="252"/>
      <c r="D75" s="253"/>
      <c r="F75" s="250">
        <v>17000.0</v>
      </c>
      <c r="G75" s="254" t="s">
        <v>68</v>
      </c>
      <c r="H75" s="251"/>
    </row>
    <row r="76">
      <c r="A76" s="265"/>
      <c r="B76" s="247"/>
      <c r="C76" s="252"/>
      <c r="D76" s="249">
        <v>87021.0</v>
      </c>
      <c r="F76" s="250"/>
      <c r="G76" s="254" t="s">
        <v>684</v>
      </c>
      <c r="H76" s="251"/>
    </row>
    <row r="77">
      <c r="A77" s="265"/>
      <c r="B77" s="277">
        <v>31000.0</v>
      </c>
      <c r="C77" s="252"/>
      <c r="D77" s="253"/>
      <c r="F77" s="250"/>
      <c r="G77" s="254" t="s">
        <v>86</v>
      </c>
      <c r="H77" s="251"/>
    </row>
    <row r="78">
      <c r="A78" s="265"/>
      <c r="B78" s="277">
        <v>10425.0</v>
      </c>
      <c r="C78" s="252"/>
      <c r="D78" s="253"/>
      <c r="F78" s="250"/>
      <c r="G78" s="254" t="s">
        <v>685</v>
      </c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686</v>
      </c>
      <c r="B80" s="239">
        <v>10795.0</v>
      </c>
      <c r="C80" s="263"/>
      <c r="D80" s="241"/>
      <c r="E80" s="242"/>
      <c r="F80" s="243"/>
      <c r="G80" s="276" t="s">
        <v>687</v>
      </c>
      <c r="H80" s="245"/>
    </row>
    <row r="81">
      <c r="A81" s="265"/>
      <c r="B81" s="247"/>
      <c r="C81" s="248"/>
      <c r="D81" s="249"/>
      <c r="F81" s="250">
        <v>1620.0</v>
      </c>
      <c r="G81" s="254" t="s">
        <v>102</v>
      </c>
      <c r="H81" s="267"/>
    </row>
    <row r="82">
      <c r="A82" s="265"/>
      <c r="B82" s="247"/>
      <c r="C82" s="248"/>
      <c r="D82" s="249">
        <v>40700.0</v>
      </c>
      <c r="F82" s="250"/>
      <c r="G82" s="254" t="s">
        <v>122</v>
      </c>
      <c r="H82" s="267">
        <v>167.0</v>
      </c>
      <c r="I82" s="2" t="s">
        <v>72</v>
      </c>
    </row>
    <row r="83">
      <c r="A83" s="265"/>
      <c r="B83" s="247"/>
      <c r="C83" s="248"/>
      <c r="D83" s="249">
        <v>41166.32</v>
      </c>
      <c r="F83" s="250"/>
      <c r="G83" s="254" t="s">
        <v>91</v>
      </c>
      <c r="H83" s="251"/>
    </row>
    <row r="84">
      <c r="A84" s="265"/>
      <c r="B84" s="85">
        <v>14100.0</v>
      </c>
      <c r="C84" s="248"/>
      <c r="D84" s="249"/>
      <c r="F84" s="250"/>
      <c r="G84" s="254" t="s">
        <v>79</v>
      </c>
      <c r="H84" s="251"/>
    </row>
    <row r="85">
      <c r="A85" s="265"/>
      <c r="B85" s="281"/>
      <c r="C85" s="252"/>
      <c r="D85" s="249"/>
      <c r="F85" s="266"/>
      <c r="G85" s="254"/>
      <c r="H85" s="251"/>
    </row>
    <row r="86">
      <c r="A86" s="265"/>
      <c r="B86" s="281"/>
      <c r="C86" s="252"/>
      <c r="D86" s="249"/>
      <c r="F86" s="250"/>
      <c r="G86" s="254"/>
      <c r="H86" s="251"/>
    </row>
    <row r="87">
      <c r="A87" s="265"/>
      <c r="B87" s="247"/>
      <c r="C87" s="252"/>
      <c r="D87" s="249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688</v>
      </c>
      <c r="B96" s="239">
        <v>35900.0</v>
      </c>
      <c r="C96" s="263"/>
      <c r="D96" s="264"/>
      <c r="E96" s="242"/>
      <c r="F96" s="250"/>
      <c r="G96" s="276" t="s">
        <v>75</v>
      </c>
      <c r="H96" s="245">
        <v>100.0</v>
      </c>
      <c r="I96" s="2" t="s">
        <v>72</v>
      </c>
    </row>
    <row r="97">
      <c r="A97" s="265"/>
      <c r="B97" s="247"/>
      <c r="C97" s="248"/>
      <c r="D97" s="249"/>
      <c r="F97" s="250">
        <v>2600.0</v>
      </c>
      <c r="G97" s="2" t="s">
        <v>291</v>
      </c>
      <c r="H97" s="267"/>
    </row>
    <row r="98">
      <c r="A98" s="265"/>
      <c r="B98" s="247"/>
      <c r="C98" s="248"/>
      <c r="D98" s="249"/>
      <c r="F98" s="250">
        <v>4200.0</v>
      </c>
      <c r="G98" s="254" t="s">
        <v>99</v>
      </c>
      <c r="H98" s="267"/>
    </row>
    <row r="99">
      <c r="A99" s="265"/>
      <c r="B99" s="247">
        <v>12509.04</v>
      </c>
      <c r="C99" s="248"/>
      <c r="D99" s="249"/>
      <c r="F99" s="250"/>
      <c r="G99" s="254" t="s">
        <v>82</v>
      </c>
      <c r="H99" s="251"/>
      <c r="I99" s="340"/>
      <c r="J99" s="340"/>
      <c r="K99" s="340" t="s">
        <v>622</v>
      </c>
      <c r="L99" s="2" t="s">
        <v>623</v>
      </c>
    </row>
    <row r="100">
      <c r="A100" s="265"/>
      <c r="B100" s="330"/>
      <c r="C100" s="338">
        <v>63835.09</v>
      </c>
      <c r="D100" s="314"/>
      <c r="E100" s="290"/>
      <c r="F100" s="335"/>
      <c r="G100" s="292" t="s">
        <v>84</v>
      </c>
      <c r="H100" s="251"/>
      <c r="I100" s="341"/>
      <c r="J100" s="340"/>
      <c r="K100" s="340" t="s">
        <v>624</v>
      </c>
    </row>
    <row r="101">
      <c r="A101" s="265"/>
      <c r="B101" s="247"/>
      <c r="C101" s="252"/>
      <c r="D101" s="249">
        <v>57294.45</v>
      </c>
      <c r="F101" s="250"/>
      <c r="G101" s="254" t="s">
        <v>74</v>
      </c>
      <c r="H101" s="251"/>
      <c r="I101" s="340"/>
      <c r="J101" s="340"/>
      <c r="K101" s="341"/>
    </row>
    <row r="102">
      <c r="A102" s="265"/>
      <c r="B102" s="247"/>
      <c r="C102" s="252"/>
      <c r="D102" s="249">
        <v>15590.5</v>
      </c>
      <c r="F102" s="250"/>
      <c r="G102" s="254" t="s">
        <v>73</v>
      </c>
      <c r="H102" s="251"/>
      <c r="I102" s="340"/>
      <c r="J102" s="341"/>
      <c r="K102" s="341"/>
    </row>
    <row r="103">
      <c r="A103" s="265"/>
      <c r="B103" s="247">
        <v>12000.0</v>
      </c>
      <c r="C103" s="252"/>
      <c r="D103" s="253"/>
      <c r="F103" s="250"/>
      <c r="G103" s="254" t="s">
        <v>689</v>
      </c>
      <c r="H103" s="251"/>
    </row>
    <row r="104">
      <c r="A104" s="265"/>
      <c r="B104" s="247">
        <v>50869.91</v>
      </c>
      <c r="C104" s="248"/>
      <c r="D104" s="253"/>
      <c r="F104" s="250"/>
      <c r="G104" s="254" t="s">
        <v>103</v>
      </c>
      <c r="H104" s="251"/>
    </row>
    <row r="105">
      <c r="A105" s="265"/>
      <c r="B105" s="247"/>
      <c r="C105" s="248">
        <v>37971.7</v>
      </c>
      <c r="D105" s="253"/>
      <c r="F105" s="250"/>
      <c r="G105" s="254" t="s">
        <v>89</v>
      </c>
      <c r="H105" s="251"/>
    </row>
    <row r="106">
      <c r="A106" s="265"/>
      <c r="B106" s="277">
        <v>16990.0</v>
      </c>
      <c r="C106" s="248"/>
      <c r="D106" s="253"/>
      <c r="F106" s="282"/>
      <c r="G106" s="254" t="s">
        <v>690</v>
      </c>
      <c r="H106" s="251"/>
    </row>
    <row r="107">
      <c r="A107" s="265"/>
      <c r="B107" s="277">
        <v>10240.0</v>
      </c>
      <c r="C107" s="252"/>
      <c r="D107" s="253"/>
      <c r="F107" s="250"/>
      <c r="G107" s="254" t="s">
        <v>291</v>
      </c>
      <c r="H107" s="251"/>
    </row>
    <row r="108">
      <c r="A108" s="265"/>
      <c r="B108" s="277">
        <v>2519.0</v>
      </c>
      <c r="C108" s="252"/>
      <c r="D108" s="253"/>
      <c r="F108" s="282"/>
      <c r="G108" s="254" t="s">
        <v>691</v>
      </c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692</v>
      </c>
      <c r="B110" s="239">
        <v>7963.0</v>
      </c>
      <c r="C110" s="263"/>
      <c r="D110" s="264"/>
      <c r="E110" s="244"/>
      <c r="F110" s="243"/>
      <c r="G110" s="276" t="s">
        <v>693</v>
      </c>
      <c r="H110" s="245">
        <v>138.0</v>
      </c>
      <c r="I110" s="2" t="s">
        <v>72</v>
      </c>
    </row>
    <row r="111">
      <c r="A111" s="265"/>
      <c r="B111" s="247">
        <v>32500.06</v>
      </c>
      <c r="C111" s="248"/>
      <c r="D111" s="249"/>
      <c r="F111" s="250"/>
      <c r="G111" s="254" t="s">
        <v>76</v>
      </c>
      <c r="H111" s="267"/>
    </row>
    <row r="112">
      <c r="A112" s="265"/>
      <c r="B112" s="247"/>
      <c r="C112" s="248"/>
      <c r="D112" s="249">
        <f>144000+8000</f>
        <v>152000</v>
      </c>
      <c r="E112" s="2" t="s">
        <v>328</v>
      </c>
      <c r="F112" s="250"/>
      <c r="G112" s="26" t="s">
        <v>694</v>
      </c>
      <c r="H112" s="251"/>
    </row>
    <row r="113">
      <c r="A113" s="265"/>
      <c r="B113" s="247"/>
      <c r="C113" s="248"/>
      <c r="D113" s="249">
        <v>50873.17</v>
      </c>
      <c r="F113" s="250"/>
      <c r="G113" s="254" t="s">
        <v>114</v>
      </c>
      <c r="H113" s="251"/>
    </row>
    <row r="114">
      <c r="A114" s="265"/>
      <c r="B114" s="247"/>
      <c r="C114" s="248"/>
      <c r="D114" s="249"/>
      <c r="F114" s="250">
        <v>3080.0</v>
      </c>
      <c r="G114" s="254" t="s">
        <v>695</v>
      </c>
      <c r="H114" s="251"/>
    </row>
    <row r="115">
      <c r="A115" s="265"/>
      <c r="B115" s="247"/>
      <c r="C115" s="248"/>
      <c r="D115" s="249"/>
      <c r="F115" s="250">
        <v>18400.0</v>
      </c>
      <c r="G115" s="254" t="s">
        <v>128</v>
      </c>
      <c r="H115" s="251"/>
    </row>
    <row r="116">
      <c r="A116" s="265"/>
      <c r="B116" s="247">
        <v>4000.0</v>
      </c>
      <c r="C116" s="252"/>
      <c r="D116" s="253"/>
      <c r="F116" s="250"/>
      <c r="G116" s="254" t="s">
        <v>260</v>
      </c>
      <c r="H116" s="251"/>
    </row>
    <row r="117">
      <c r="A117" s="265"/>
      <c r="B117" s="247">
        <v>3740.0</v>
      </c>
      <c r="C117" s="252"/>
      <c r="D117" s="249"/>
      <c r="F117" s="250"/>
      <c r="G117" s="254" t="s">
        <v>696</v>
      </c>
      <c r="H117" s="251"/>
    </row>
    <row r="118">
      <c r="A118" s="265"/>
      <c r="B118" s="247">
        <v>4460.0</v>
      </c>
      <c r="C118" s="252"/>
      <c r="D118" s="249"/>
      <c r="F118" s="250"/>
      <c r="G118" s="254" t="s">
        <v>228</v>
      </c>
      <c r="H118" s="251"/>
    </row>
    <row r="119">
      <c r="A119" s="265"/>
      <c r="B119" s="247">
        <v>16575.0</v>
      </c>
      <c r="C119" s="248"/>
      <c r="D119" s="253"/>
      <c r="F119" s="250"/>
      <c r="G119" s="254" t="s">
        <v>377</v>
      </c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697</v>
      </c>
      <c r="B128" s="239">
        <v>29550.0</v>
      </c>
      <c r="C128" s="263"/>
      <c r="D128" s="264"/>
      <c r="E128" s="242"/>
      <c r="F128" s="243"/>
      <c r="G128" s="276" t="s">
        <v>75</v>
      </c>
      <c r="H128" s="245">
        <v>120.0</v>
      </c>
    </row>
    <row r="129">
      <c r="A129" s="265"/>
      <c r="B129" s="247">
        <v>51000.0</v>
      </c>
      <c r="C129" s="252"/>
      <c r="D129" s="249"/>
      <c r="F129" s="250"/>
      <c r="G129" s="254" t="s">
        <v>87</v>
      </c>
      <c r="H129" s="267"/>
    </row>
    <row r="130">
      <c r="A130" s="265"/>
      <c r="B130" s="247">
        <v>27763.92</v>
      </c>
      <c r="C130" s="248"/>
      <c r="D130" s="249"/>
      <c r="F130" s="250"/>
      <c r="G130" s="254" t="s">
        <v>82</v>
      </c>
      <c r="H130" s="251"/>
    </row>
    <row r="131">
      <c r="A131" s="265"/>
      <c r="B131" s="247"/>
      <c r="C131" s="248"/>
      <c r="D131" s="249"/>
      <c r="F131" s="250"/>
      <c r="G131" s="254" t="s">
        <v>698</v>
      </c>
      <c r="H131" s="251"/>
    </row>
    <row r="132">
      <c r="A132" s="265"/>
      <c r="B132" s="247"/>
      <c r="C132" s="248"/>
      <c r="D132" s="249"/>
      <c r="F132" s="250"/>
      <c r="G132" s="254"/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49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699</v>
      </c>
      <c r="B143" s="239"/>
      <c r="C143" s="263"/>
      <c r="D143" s="264"/>
      <c r="E143" s="242"/>
      <c r="F143" s="243">
        <v>17500.0</v>
      </c>
      <c r="G143" s="276" t="s">
        <v>68</v>
      </c>
      <c r="H143" s="245">
        <v>150.0</v>
      </c>
      <c r="I143" s="2" t="s">
        <v>72</v>
      </c>
    </row>
    <row r="144">
      <c r="A144" s="265"/>
      <c r="B144" s="247"/>
      <c r="C144" s="252"/>
      <c r="D144" s="249"/>
      <c r="F144" s="250"/>
      <c r="G144" s="254"/>
      <c r="H144" s="251"/>
    </row>
    <row r="145">
      <c r="A145" s="265"/>
      <c r="B145" s="247">
        <v>33981.95</v>
      </c>
      <c r="C145" s="252"/>
      <c r="D145" s="249"/>
      <c r="F145" s="284"/>
      <c r="G145" s="285" t="s">
        <v>142</v>
      </c>
      <c r="H145" s="251"/>
    </row>
    <row r="146">
      <c r="A146" s="265"/>
      <c r="B146" s="247"/>
      <c r="C146" s="252"/>
      <c r="D146" s="249"/>
      <c r="F146" s="250"/>
      <c r="G146" s="254"/>
      <c r="H146" s="251"/>
    </row>
    <row r="147">
      <c r="A147" s="265"/>
      <c r="B147" s="247"/>
      <c r="C147" s="252"/>
      <c r="D147" s="249"/>
      <c r="F147" s="250"/>
      <c r="G147" s="254"/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700</v>
      </c>
      <c r="B158" s="239">
        <v>15399.22</v>
      </c>
      <c r="C158" s="263"/>
      <c r="D158" s="264"/>
      <c r="E158" s="242"/>
      <c r="F158" s="243"/>
      <c r="G158" s="276" t="s">
        <v>82</v>
      </c>
      <c r="H158" s="245">
        <v>117.0</v>
      </c>
      <c r="I158" s="2" t="s">
        <v>72</v>
      </c>
    </row>
    <row r="159">
      <c r="A159" s="265"/>
      <c r="B159" s="247">
        <v>18700.0</v>
      </c>
      <c r="C159" s="252"/>
      <c r="D159" s="253"/>
      <c r="F159" s="250"/>
      <c r="G159" s="254" t="s">
        <v>75</v>
      </c>
      <c r="H159" s="267"/>
      <c r="I159" s="2" t="s">
        <v>701</v>
      </c>
    </row>
    <row r="160">
      <c r="A160" s="265"/>
      <c r="B160" s="247"/>
      <c r="C160" s="248"/>
      <c r="D160" s="249"/>
      <c r="F160" s="250">
        <v>5700.0</v>
      </c>
      <c r="G160" s="254" t="s">
        <v>605</v>
      </c>
      <c r="H160" s="251"/>
    </row>
    <row r="161">
      <c r="A161" s="265"/>
      <c r="B161" s="247"/>
      <c r="C161" s="248">
        <v>96336.63</v>
      </c>
      <c r="D161" s="249"/>
      <c r="F161" s="250"/>
      <c r="G161" s="254" t="s">
        <v>71</v>
      </c>
      <c r="H161" s="251"/>
    </row>
    <row r="162">
      <c r="A162" s="265"/>
      <c r="B162" s="247"/>
      <c r="C162" s="248"/>
      <c r="D162" s="253"/>
      <c r="F162" s="250"/>
      <c r="G162" s="254"/>
      <c r="H162" s="251"/>
    </row>
    <row r="163">
      <c r="A163" s="265"/>
      <c r="B163" s="247"/>
      <c r="C163" s="248"/>
      <c r="D163" s="249"/>
      <c r="F163" s="250"/>
      <c r="G163" s="254"/>
      <c r="H163" s="251"/>
    </row>
    <row r="164">
      <c r="A164" s="265"/>
      <c r="B164" s="247"/>
      <c r="C164" s="248"/>
      <c r="D164" s="249"/>
      <c r="F164" s="250"/>
      <c r="G164" s="254"/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702</v>
      </c>
      <c r="B168" s="239"/>
      <c r="C168" s="263"/>
      <c r="D168" s="264">
        <v>44000.0</v>
      </c>
      <c r="E168" s="244"/>
      <c r="F168" s="250"/>
      <c r="G168" s="276" t="s">
        <v>122</v>
      </c>
      <c r="H168" s="245">
        <v>87.0</v>
      </c>
      <c r="I168" s="2" t="s">
        <v>72</v>
      </c>
    </row>
    <row r="169">
      <c r="A169" s="265"/>
      <c r="B169" s="247"/>
      <c r="C169" s="315"/>
      <c r="D169" s="249">
        <v>19050.0</v>
      </c>
      <c r="F169" s="250"/>
      <c r="G169" s="254" t="s">
        <v>167</v>
      </c>
      <c r="H169" s="267"/>
    </row>
    <row r="170">
      <c r="A170" s="265"/>
      <c r="B170" s="247"/>
      <c r="C170" s="248"/>
      <c r="D170" s="249"/>
      <c r="F170" s="250"/>
      <c r="G170" s="254"/>
      <c r="H170" s="267"/>
    </row>
    <row r="171">
      <c r="A171" s="265"/>
      <c r="B171" s="247"/>
      <c r="C171" s="248"/>
      <c r="D171" s="249"/>
      <c r="F171" s="250"/>
      <c r="G171" s="254"/>
      <c r="H171" s="251"/>
    </row>
    <row r="172">
      <c r="A172" s="265"/>
      <c r="B172" s="247"/>
      <c r="C172" s="248"/>
      <c r="D172" s="249"/>
      <c r="E172" s="254"/>
      <c r="F172" s="250"/>
      <c r="G172" s="254"/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703</v>
      </c>
      <c r="B183" s="247"/>
      <c r="C183" s="248">
        <v>49625.27</v>
      </c>
      <c r="D183" s="249"/>
      <c r="F183" s="250"/>
      <c r="G183" s="254" t="s">
        <v>84</v>
      </c>
      <c r="H183" s="286">
        <v>100.0</v>
      </c>
      <c r="I183" s="2" t="s">
        <v>704</v>
      </c>
    </row>
    <row r="184">
      <c r="A184" s="265"/>
      <c r="B184" s="247">
        <v>29053.74</v>
      </c>
      <c r="C184" s="248"/>
      <c r="D184" s="249"/>
      <c r="F184" s="250"/>
      <c r="G184" s="254" t="s">
        <v>142</v>
      </c>
      <c r="H184" s="251"/>
    </row>
    <row r="185">
      <c r="A185" s="265"/>
      <c r="B185" s="247">
        <v>44300.0</v>
      </c>
      <c r="C185" s="252"/>
      <c r="D185" s="249"/>
      <c r="F185" s="250"/>
      <c r="G185" s="254" t="s">
        <v>75</v>
      </c>
      <c r="H185" s="267"/>
    </row>
    <row r="186">
      <c r="A186" s="265"/>
      <c r="B186" s="247">
        <v>39285.59</v>
      </c>
      <c r="C186" s="248"/>
      <c r="D186" s="249"/>
      <c r="F186" s="250"/>
      <c r="G186" s="254" t="s">
        <v>74</v>
      </c>
      <c r="H186" s="251"/>
    </row>
    <row r="187">
      <c r="A187" s="265"/>
      <c r="B187" s="247">
        <v>15477.03</v>
      </c>
      <c r="C187" s="248"/>
      <c r="D187" s="249"/>
      <c r="F187" s="250"/>
      <c r="G187" s="254" t="s">
        <v>73</v>
      </c>
      <c r="H187" s="251"/>
    </row>
    <row r="188">
      <c r="A188" s="265"/>
      <c r="B188" s="247"/>
      <c r="C188" s="252"/>
      <c r="D188" s="249"/>
      <c r="F188" s="250">
        <v>5600.0</v>
      </c>
      <c r="G188" s="254" t="s">
        <v>608</v>
      </c>
      <c r="H188" s="251"/>
    </row>
    <row r="189">
      <c r="A189" s="265"/>
      <c r="B189" s="247"/>
      <c r="C189" s="252"/>
      <c r="D189" s="253"/>
      <c r="F189" s="250">
        <v>444.0</v>
      </c>
      <c r="G189" s="254" t="s">
        <v>147</v>
      </c>
      <c r="H189" s="251"/>
    </row>
    <row r="190">
      <c r="A190" s="265"/>
      <c r="B190" s="247">
        <v>20931.18</v>
      </c>
      <c r="C190" s="252"/>
      <c r="D190" s="249"/>
      <c r="F190" s="250"/>
      <c r="G190" s="254" t="s">
        <v>705</v>
      </c>
      <c r="H190" s="251"/>
    </row>
    <row r="191">
      <c r="A191" s="265"/>
      <c r="B191" s="247"/>
      <c r="C191" s="248"/>
      <c r="D191" s="249">
        <v>72872.25</v>
      </c>
      <c r="F191" s="250"/>
      <c r="G191" s="254" t="s">
        <v>92</v>
      </c>
      <c r="H191" s="251"/>
    </row>
    <row r="192">
      <c r="A192" s="265"/>
      <c r="B192" s="247"/>
      <c r="C192" s="252"/>
      <c r="D192" s="249"/>
      <c r="F192" s="250">
        <v>7000.0</v>
      </c>
      <c r="G192" s="254" t="s">
        <v>706</v>
      </c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707</v>
      </c>
      <c r="B199" s="239"/>
      <c r="C199" s="263"/>
      <c r="D199" s="264">
        <v>58500.0</v>
      </c>
      <c r="E199" s="244"/>
      <c r="F199" s="243"/>
      <c r="G199" s="276" t="s">
        <v>87</v>
      </c>
      <c r="H199" s="245">
        <v>78.0</v>
      </c>
      <c r="I199" s="2" t="s">
        <v>72</v>
      </c>
    </row>
    <row r="200">
      <c r="A200" s="265"/>
      <c r="B200" s="247">
        <v>28200.0</v>
      </c>
      <c r="C200" s="248"/>
      <c r="D200" s="249"/>
      <c r="F200" s="250"/>
      <c r="G200" s="254" t="s">
        <v>79</v>
      </c>
      <c r="H200" s="267"/>
    </row>
    <row r="201">
      <c r="A201" s="265"/>
      <c r="B201" s="247"/>
      <c r="C201" s="252"/>
      <c r="D201" s="249"/>
      <c r="F201" s="250">
        <v>326.0</v>
      </c>
      <c r="G201" s="254" t="s">
        <v>708</v>
      </c>
      <c r="H201" s="251"/>
    </row>
    <row r="202">
      <c r="A202" s="265"/>
      <c r="B202" s="247"/>
      <c r="C202" s="248">
        <v>58261.02</v>
      </c>
      <c r="D202" s="249"/>
      <c r="F202" s="250"/>
      <c r="G202" s="254" t="s">
        <v>89</v>
      </c>
      <c r="H202" s="251"/>
    </row>
    <row r="203">
      <c r="A203" s="265"/>
      <c r="B203" s="247"/>
      <c r="C203" s="248"/>
      <c r="D203" s="249">
        <v>60300.0</v>
      </c>
      <c r="F203" s="250"/>
      <c r="G203" s="254" t="s">
        <v>99</v>
      </c>
      <c r="H203" s="251"/>
    </row>
    <row r="204">
      <c r="A204" s="265"/>
      <c r="B204" s="247"/>
      <c r="C204" s="248"/>
      <c r="D204" s="249">
        <v>11293.51</v>
      </c>
      <c r="F204" s="250"/>
      <c r="G204" s="254" t="s">
        <v>73</v>
      </c>
      <c r="H204" s="267"/>
    </row>
    <row r="205">
      <c r="A205" s="265"/>
      <c r="B205" s="247">
        <v>69236.42</v>
      </c>
      <c r="C205" s="248"/>
      <c r="D205" s="249"/>
      <c r="F205" s="250"/>
      <c r="G205" s="316" t="s">
        <v>103</v>
      </c>
      <c r="H205" s="251"/>
    </row>
    <row r="206">
      <c r="A206" s="265"/>
      <c r="B206" s="247"/>
      <c r="C206" s="252"/>
      <c r="D206" s="249">
        <v>32670.0</v>
      </c>
      <c r="F206" s="250"/>
      <c r="G206" s="254" t="s">
        <v>76</v>
      </c>
      <c r="H206" s="251"/>
    </row>
    <row r="207">
      <c r="A207" s="265"/>
      <c r="B207" s="247">
        <v>14505.0</v>
      </c>
      <c r="C207" s="248"/>
      <c r="D207" s="249"/>
      <c r="F207" s="250"/>
      <c r="G207" s="254" t="s">
        <v>549</v>
      </c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709</v>
      </c>
      <c r="B214" s="239">
        <v>26117.0</v>
      </c>
      <c r="C214" s="263"/>
      <c r="D214" s="264"/>
      <c r="E214" s="242"/>
      <c r="F214" s="243"/>
      <c r="G214" s="276" t="s">
        <v>82</v>
      </c>
      <c r="H214" s="245" t="s">
        <v>710</v>
      </c>
    </row>
    <row r="215">
      <c r="A215" s="265"/>
      <c r="B215" s="247">
        <v>15300.0</v>
      </c>
      <c r="C215" s="248"/>
      <c r="D215" s="249"/>
      <c r="F215" s="250"/>
      <c r="G215" s="254" t="s">
        <v>75</v>
      </c>
      <c r="H215" s="267"/>
    </row>
    <row r="216">
      <c r="A216" s="265"/>
      <c r="B216" s="247">
        <v>9170.0</v>
      </c>
      <c r="C216" s="252"/>
      <c r="D216" s="249"/>
      <c r="F216" s="250"/>
      <c r="G216" s="254" t="s">
        <v>711</v>
      </c>
      <c r="H216" s="251"/>
    </row>
    <row r="217">
      <c r="A217" s="265"/>
      <c r="B217" s="247">
        <v>480.0</v>
      </c>
      <c r="C217" s="248"/>
      <c r="D217" s="249"/>
      <c r="F217" s="250">
        <v>5000.0</v>
      </c>
      <c r="G217" s="254" t="s">
        <v>227</v>
      </c>
      <c r="H217" s="251"/>
    </row>
    <row r="218">
      <c r="A218" s="265"/>
      <c r="B218" s="247"/>
      <c r="C218" s="252"/>
      <c r="D218" s="253"/>
      <c r="F218" s="250"/>
      <c r="G218" s="254"/>
      <c r="H218" s="251"/>
    </row>
    <row r="219">
      <c r="A219" s="265"/>
      <c r="B219" s="247"/>
      <c r="C219" s="248"/>
      <c r="D219" s="253"/>
      <c r="F219" s="250"/>
      <c r="G219" s="254"/>
      <c r="H219" s="251"/>
    </row>
    <row r="220">
      <c r="A220" s="265"/>
      <c r="B220" s="247"/>
      <c r="C220" s="252"/>
      <c r="D220" s="249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7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7"/>
      <c r="C224" s="252"/>
      <c r="D224" s="253"/>
      <c r="E224" s="269"/>
      <c r="F224" s="282"/>
      <c r="G224" s="254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712</v>
      </c>
      <c r="B226" s="239"/>
      <c r="C226" s="263">
        <f>89807.1+7998.1</f>
        <v>97805.2</v>
      </c>
      <c r="D226" s="264"/>
      <c r="E226" s="276"/>
      <c r="F226" s="243"/>
      <c r="G226" s="276" t="s">
        <v>71</v>
      </c>
      <c r="H226" s="245">
        <v>120.0</v>
      </c>
      <c r="I226" s="254" t="s">
        <v>72</v>
      </c>
      <c r="J226" s="254"/>
      <c r="K226" s="254"/>
    </row>
    <row r="227">
      <c r="A227" s="265"/>
      <c r="B227" s="247">
        <v>26117.38</v>
      </c>
      <c r="C227" s="252"/>
      <c r="D227" s="249"/>
      <c r="F227" s="250"/>
      <c r="G227" s="254" t="s">
        <v>82</v>
      </c>
      <c r="H227" s="251"/>
      <c r="I227" s="269"/>
      <c r="J227" s="254"/>
      <c r="K227" s="254"/>
    </row>
    <row r="228">
      <c r="A228" s="265"/>
      <c r="B228" s="247">
        <v>25416.56</v>
      </c>
      <c r="C228" s="252"/>
      <c r="D228" s="249"/>
      <c r="F228" s="250"/>
      <c r="G228" s="254" t="s">
        <v>142</v>
      </c>
      <c r="H228" s="251"/>
      <c r="I228" s="269"/>
      <c r="J228" s="254"/>
      <c r="K228" s="254"/>
    </row>
    <row r="229">
      <c r="A229" s="265"/>
      <c r="B229" s="247"/>
      <c r="C229" s="248"/>
      <c r="D229" s="249">
        <v>56874.15</v>
      </c>
      <c r="E229" s="254"/>
      <c r="F229" s="250"/>
      <c r="G229" s="254" t="s">
        <v>114</v>
      </c>
      <c r="H229" s="251"/>
      <c r="I229" s="269"/>
      <c r="J229" s="269"/>
      <c r="K229" s="269"/>
    </row>
    <row r="230">
      <c r="A230" s="265"/>
      <c r="B230" s="247"/>
      <c r="C230" s="248"/>
      <c r="D230" s="253">
        <f>130229.94+9360.79</f>
        <v>139590.73</v>
      </c>
      <c r="E230" s="269"/>
      <c r="F230" s="250"/>
      <c r="G230" s="254" t="s">
        <v>74</v>
      </c>
      <c r="H230" s="251"/>
      <c r="I230" s="269"/>
      <c r="J230" s="269"/>
      <c r="K230" s="269"/>
    </row>
    <row r="231">
      <c r="A231" s="265"/>
      <c r="B231" s="247"/>
      <c r="C231" s="248"/>
      <c r="D231" s="249">
        <v>11165.13</v>
      </c>
      <c r="E231" s="269"/>
      <c r="F231" s="250"/>
      <c r="G231" s="254" t="s">
        <v>73</v>
      </c>
      <c r="H231" s="251"/>
      <c r="I231" s="269"/>
      <c r="J231" s="269"/>
      <c r="K231" s="269"/>
    </row>
    <row r="232">
      <c r="A232" s="265"/>
      <c r="B232" s="247"/>
      <c r="C232" s="252"/>
      <c r="D232" s="249">
        <v>36951.92</v>
      </c>
      <c r="E232" s="269"/>
      <c r="F232" s="250"/>
      <c r="G232" s="254" t="s">
        <v>77</v>
      </c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>
        <v>22500.0</v>
      </c>
      <c r="G233" s="254" t="s">
        <v>68</v>
      </c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>
        <v>741.0</v>
      </c>
      <c r="G234" s="254" t="s">
        <v>303</v>
      </c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713</v>
      </c>
      <c r="B241" s="239"/>
      <c r="C241" s="263"/>
      <c r="D241" s="264"/>
      <c r="E241" s="242"/>
      <c r="F241" s="243">
        <v>8000.0</v>
      </c>
      <c r="G241" s="2" t="s">
        <v>714</v>
      </c>
      <c r="H241" s="245">
        <v>100.0</v>
      </c>
      <c r="I241" s="2" t="s">
        <v>72</v>
      </c>
    </row>
    <row r="242">
      <c r="A242" s="265"/>
      <c r="B242" s="247">
        <v>50700.0</v>
      </c>
      <c r="C242" s="252"/>
      <c r="D242" s="249"/>
      <c r="F242" s="250"/>
      <c r="G242" s="254" t="s">
        <v>75</v>
      </c>
      <c r="H242" s="267"/>
    </row>
    <row r="243">
      <c r="A243" s="265"/>
      <c r="B243" s="247"/>
      <c r="C243" s="248"/>
      <c r="D243" s="249"/>
      <c r="F243" s="250"/>
      <c r="G243" s="254"/>
      <c r="H243" s="251"/>
    </row>
    <row r="244">
      <c r="A244" s="265"/>
      <c r="B244" s="247"/>
      <c r="C244" s="248"/>
      <c r="D244" s="249"/>
      <c r="F244" s="250"/>
      <c r="G244" s="254"/>
      <c r="H244" s="251"/>
    </row>
    <row r="245">
      <c r="A245" s="265"/>
      <c r="B245" s="247"/>
      <c r="C245" s="252"/>
      <c r="D245" s="249"/>
      <c r="F245" s="250"/>
      <c r="G245" s="254"/>
      <c r="H245" s="267"/>
    </row>
    <row r="246">
      <c r="A246" s="265"/>
      <c r="B246" s="247"/>
      <c r="C246" s="248"/>
      <c r="D246" s="253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715</v>
      </c>
      <c r="B255" s="239"/>
      <c r="C255" s="263"/>
      <c r="D255" s="264"/>
      <c r="E255" s="244"/>
      <c r="F255" s="243">
        <v>1052.0</v>
      </c>
      <c r="G255" s="276" t="s">
        <v>590</v>
      </c>
      <c r="H255" s="245">
        <v>158.0</v>
      </c>
      <c r="I255" s="2" t="s">
        <v>72</v>
      </c>
    </row>
    <row r="256">
      <c r="A256" s="265"/>
      <c r="B256" s="247">
        <v>44000.0</v>
      </c>
      <c r="C256" s="248"/>
      <c r="D256" s="249"/>
      <c r="F256" s="250"/>
      <c r="G256" s="254" t="s">
        <v>122</v>
      </c>
      <c r="H256" s="251"/>
    </row>
    <row r="257">
      <c r="A257" s="265"/>
      <c r="B257" s="247"/>
      <c r="C257" s="252"/>
      <c r="D257" s="249">
        <v>105186.72</v>
      </c>
      <c r="F257" s="250"/>
      <c r="G257" s="254" t="s">
        <v>91</v>
      </c>
      <c r="H257" s="251"/>
    </row>
    <row r="258">
      <c r="A258" s="265"/>
      <c r="B258" s="247"/>
      <c r="C258" s="248"/>
      <c r="D258" s="249">
        <v>143457.6</v>
      </c>
      <c r="E258" s="2" t="s">
        <v>328</v>
      </c>
      <c r="F258" s="250"/>
      <c r="G258" s="254" t="s">
        <v>167</v>
      </c>
      <c r="H258" s="267"/>
    </row>
    <row r="259">
      <c r="A259" s="265"/>
      <c r="B259" s="247"/>
      <c r="C259" s="248"/>
      <c r="D259" s="249">
        <v>60000.0</v>
      </c>
      <c r="F259" s="250"/>
      <c r="G259" s="254" t="s">
        <v>421</v>
      </c>
      <c r="H259" s="251"/>
    </row>
    <row r="260">
      <c r="A260" s="265"/>
      <c r="B260" s="247"/>
      <c r="C260" s="248"/>
      <c r="D260" s="249"/>
      <c r="F260" s="250">
        <v>2000.0</v>
      </c>
      <c r="G260" s="254" t="s">
        <v>716</v>
      </c>
      <c r="H260" s="251"/>
    </row>
    <row r="261">
      <c r="A261" s="265"/>
      <c r="B261" s="247"/>
      <c r="C261" s="252"/>
      <c r="D261" s="249">
        <f>130229.94+9360.79-6709.26-58472.73</f>
        <v>74408.74</v>
      </c>
      <c r="F261" s="250"/>
      <c r="G261" s="254" t="s">
        <v>74</v>
      </c>
      <c r="H261" s="251"/>
    </row>
    <row r="262">
      <c r="A262" s="265"/>
      <c r="B262" s="247">
        <v>10600.0</v>
      </c>
      <c r="C262" s="248"/>
      <c r="D262" s="253"/>
      <c r="F262" s="250"/>
      <c r="G262" s="254" t="s">
        <v>717</v>
      </c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718</v>
      </c>
      <c r="B270" s="239"/>
      <c r="C270" s="263">
        <v>88038.85</v>
      </c>
      <c r="D270" s="249"/>
      <c r="F270" s="250"/>
      <c r="G270" s="254" t="s">
        <v>84</v>
      </c>
      <c r="H270" s="245">
        <v>120.0</v>
      </c>
      <c r="I270" s="2" t="s">
        <v>72</v>
      </c>
    </row>
    <row r="271">
      <c r="A271" s="265"/>
      <c r="B271" s="247"/>
      <c r="C271" s="248"/>
      <c r="D271" s="249"/>
      <c r="F271" s="250">
        <v>4200.0</v>
      </c>
      <c r="G271" s="254" t="s">
        <v>608</v>
      </c>
      <c r="H271" s="267"/>
    </row>
    <row r="272">
      <c r="A272" s="265"/>
      <c r="B272" s="247">
        <v>19701.7</v>
      </c>
      <c r="C272" s="248"/>
      <c r="D272" s="253"/>
      <c r="F272" s="250"/>
      <c r="G272" s="254" t="s">
        <v>82</v>
      </c>
      <c r="H272" s="251"/>
    </row>
    <row r="273">
      <c r="A273" s="265"/>
      <c r="B273" s="247">
        <v>23600.0</v>
      </c>
      <c r="C273" s="248"/>
      <c r="D273" s="249"/>
      <c r="F273" s="250"/>
      <c r="G273" s="254" t="s">
        <v>75</v>
      </c>
      <c r="H273" s="251"/>
    </row>
    <row r="274">
      <c r="A274" s="265"/>
      <c r="B274" s="247">
        <v>45417.57</v>
      </c>
      <c r="C274" s="248"/>
      <c r="D274" s="249"/>
      <c r="F274" s="250"/>
      <c r="G274" s="254" t="s">
        <v>142</v>
      </c>
      <c r="H274" s="251"/>
    </row>
    <row r="275">
      <c r="A275" s="265"/>
      <c r="B275" s="247"/>
      <c r="C275" s="248">
        <v>65310.4</v>
      </c>
      <c r="D275" s="249"/>
      <c r="F275" s="250"/>
      <c r="G275" s="254" t="s">
        <v>89</v>
      </c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719</v>
      </c>
      <c r="B283" s="239"/>
      <c r="C283" s="263"/>
      <c r="D283" s="264">
        <v>39940.0</v>
      </c>
      <c r="E283" s="244"/>
      <c r="F283" s="243"/>
      <c r="G283" s="276" t="s">
        <v>76</v>
      </c>
      <c r="H283" s="245">
        <v>140.0</v>
      </c>
      <c r="I283" s="2" t="s">
        <v>72</v>
      </c>
    </row>
    <row r="284">
      <c r="A284" s="265"/>
      <c r="B284" s="247"/>
      <c r="C284" s="248"/>
      <c r="D284" s="249"/>
      <c r="F284" s="250">
        <v>22500.0</v>
      </c>
      <c r="G284" s="254" t="s">
        <v>68</v>
      </c>
      <c r="H284" s="267"/>
    </row>
    <row r="285">
      <c r="A285" s="265"/>
      <c r="B285" s="247">
        <v>20676.0</v>
      </c>
      <c r="C285" s="248"/>
      <c r="D285" s="249"/>
      <c r="F285" s="250"/>
      <c r="G285" s="254" t="s">
        <v>548</v>
      </c>
      <c r="H285" s="251"/>
    </row>
    <row r="286">
      <c r="A286" s="265"/>
      <c r="B286" s="247">
        <v>30855.0</v>
      </c>
      <c r="C286" s="248"/>
      <c r="D286" s="249"/>
      <c r="F286" s="250"/>
      <c r="G286" s="254" t="s">
        <v>720</v>
      </c>
      <c r="H286" s="251"/>
    </row>
    <row r="287">
      <c r="A287" s="265"/>
      <c r="B287" s="247"/>
      <c r="C287" s="252"/>
      <c r="D287" s="249"/>
      <c r="F287" s="250"/>
      <c r="G287" s="254"/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721</v>
      </c>
      <c r="B299" s="239">
        <v>32950.0</v>
      </c>
      <c r="C299" s="263"/>
      <c r="D299" s="264"/>
      <c r="E299" s="244"/>
      <c r="F299" s="243"/>
      <c r="G299" s="276" t="s">
        <v>75</v>
      </c>
      <c r="H299" s="245">
        <v>130.0</v>
      </c>
      <c r="I299" s="2" t="s">
        <v>72</v>
      </c>
    </row>
    <row r="300">
      <c r="A300" s="265"/>
      <c r="B300" s="247"/>
      <c r="C300" s="248"/>
      <c r="D300" s="249"/>
      <c r="F300" s="250">
        <v>756.0</v>
      </c>
      <c r="G300" s="254" t="s">
        <v>116</v>
      </c>
      <c r="H300" s="267"/>
    </row>
    <row r="301">
      <c r="A301" s="265"/>
      <c r="B301" s="247">
        <v>28715.0</v>
      </c>
      <c r="C301" s="248"/>
      <c r="D301" s="249"/>
      <c r="F301" s="250"/>
      <c r="G301" s="254" t="s">
        <v>352</v>
      </c>
      <c r="H301" s="251"/>
    </row>
    <row r="302">
      <c r="A302" s="265"/>
      <c r="B302" s="247">
        <v>22641.45</v>
      </c>
      <c r="C302" s="248"/>
      <c r="D302" s="249"/>
      <c r="F302" s="250"/>
      <c r="G302" s="254" t="s">
        <v>377</v>
      </c>
      <c r="H302" s="251"/>
    </row>
    <row r="303">
      <c r="A303" s="265"/>
      <c r="B303" s="247">
        <v>8300.0</v>
      </c>
      <c r="C303" s="252"/>
      <c r="D303" s="249"/>
      <c r="F303" s="250"/>
      <c r="G303" s="254" t="s">
        <v>722</v>
      </c>
      <c r="H303" s="251"/>
    </row>
    <row r="304">
      <c r="A304" s="265"/>
      <c r="B304" s="247">
        <v>19701.7</v>
      </c>
      <c r="C304" s="248"/>
      <c r="D304" s="249"/>
      <c r="F304" s="250"/>
      <c r="G304" s="254" t="s">
        <v>82</v>
      </c>
      <c r="H304" s="267"/>
    </row>
    <row r="305">
      <c r="A305" s="265"/>
      <c r="B305" s="247"/>
      <c r="C305" s="248"/>
      <c r="D305" s="253"/>
      <c r="F305" s="250"/>
      <c r="G305" s="254"/>
      <c r="H305" s="267"/>
    </row>
    <row r="306">
      <c r="A306" s="265"/>
      <c r="B306" s="247"/>
      <c r="C306" s="248"/>
      <c r="D306" s="253"/>
      <c r="F306" s="250"/>
      <c r="G306" s="254"/>
      <c r="H306" s="267"/>
    </row>
    <row r="307">
      <c r="A307" s="265"/>
      <c r="B307" s="247"/>
      <c r="C307" s="252"/>
      <c r="D307" s="253"/>
      <c r="F307" s="250"/>
      <c r="G307" s="254"/>
      <c r="H307" s="251"/>
    </row>
    <row r="308">
      <c r="A308" s="265"/>
      <c r="B308" s="268"/>
      <c r="C308" s="252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723</v>
      </c>
      <c r="B314" s="239">
        <v>30889.72</v>
      </c>
      <c r="C314" s="263"/>
      <c r="D314" s="264"/>
      <c r="E314" s="242"/>
      <c r="F314" s="250"/>
      <c r="G314" s="254" t="s">
        <v>142</v>
      </c>
      <c r="H314" s="245">
        <v>90.0</v>
      </c>
      <c r="I314" s="2" t="s">
        <v>72</v>
      </c>
    </row>
    <row r="315">
      <c r="A315" s="265"/>
      <c r="B315" s="247">
        <v>66000.0</v>
      </c>
      <c r="C315" s="252"/>
      <c r="D315" s="253"/>
      <c r="F315" s="250"/>
      <c r="G315" s="254" t="s">
        <v>87</v>
      </c>
      <c r="H315" s="267"/>
    </row>
    <row r="316">
      <c r="A316" s="265"/>
      <c r="B316" s="247"/>
      <c r="C316" s="248"/>
      <c r="D316" s="249"/>
      <c r="F316" s="250">
        <v>1612.0</v>
      </c>
      <c r="G316" s="254" t="s">
        <v>724</v>
      </c>
      <c r="H316" s="251"/>
    </row>
    <row r="317">
      <c r="A317" s="265"/>
      <c r="B317" s="247"/>
      <c r="C317" s="248"/>
      <c r="D317" s="249"/>
      <c r="F317" s="250"/>
      <c r="G317" s="254"/>
      <c r="H317" s="251"/>
    </row>
    <row r="318">
      <c r="A318" s="265"/>
      <c r="B318" s="247"/>
      <c r="C318" s="252"/>
      <c r="D318" s="249"/>
      <c r="F318" s="250"/>
      <c r="G318" s="254"/>
      <c r="H318" s="267">
        <v>50000.0</v>
      </c>
      <c r="I318" s="2" t="s">
        <v>725</v>
      </c>
    </row>
    <row r="319">
      <c r="A319" s="265"/>
      <c r="B319" s="247"/>
      <c r="C319" s="252"/>
      <c r="D319" s="249"/>
      <c r="F319" s="250"/>
      <c r="G319" s="254"/>
      <c r="H319" s="267">
        <v>50000.0</v>
      </c>
      <c r="I319" s="2" t="s">
        <v>726</v>
      </c>
    </row>
    <row r="320">
      <c r="A320" s="265"/>
      <c r="B320" s="247"/>
      <c r="C320" s="252"/>
      <c r="D320" s="249"/>
      <c r="F320" s="250"/>
      <c r="G320" s="254"/>
      <c r="H320" s="251"/>
    </row>
    <row r="321">
      <c r="A321" s="265"/>
      <c r="B321" s="247"/>
      <c r="C321" s="252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727</v>
      </c>
      <c r="B329" s="239">
        <v>28540.34</v>
      </c>
      <c r="C329" s="263"/>
      <c r="D329" s="264"/>
      <c r="E329" s="242"/>
      <c r="F329" s="243"/>
      <c r="G329" s="244" t="s">
        <v>82</v>
      </c>
      <c r="H329" s="245">
        <v>90.0</v>
      </c>
      <c r="I329" s="2" t="s">
        <v>72</v>
      </c>
    </row>
    <row r="330">
      <c r="A330" s="265"/>
      <c r="B330" s="247"/>
      <c r="C330" s="248"/>
      <c r="D330" s="249"/>
      <c r="F330" s="250">
        <v>1052.0</v>
      </c>
      <c r="G330" s="2" t="s">
        <v>590</v>
      </c>
      <c r="H330" s="267"/>
    </row>
    <row r="331">
      <c r="A331" s="265"/>
      <c r="B331" s="247"/>
      <c r="C331" s="248">
        <v>101821.5</v>
      </c>
      <c r="D331" s="249"/>
      <c r="F331" s="250"/>
      <c r="G331" s="2" t="s">
        <v>71</v>
      </c>
      <c r="H331" s="251"/>
    </row>
    <row r="332">
      <c r="A332" s="265"/>
      <c r="B332" s="247">
        <v>43700.0</v>
      </c>
      <c r="C332" s="248"/>
      <c r="D332" s="249"/>
      <c r="F332" s="250"/>
      <c r="G332" s="2" t="s">
        <v>75</v>
      </c>
      <c r="H332" s="251"/>
    </row>
    <row r="333">
      <c r="A333" s="265"/>
      <c r="B333" s="247"/>
      <c r="C333" s="248">
        <v>65716.85</v>
      </c>
      <c r="D333" s="249"/>
      <c r="F333" s="250"/>
      <c r="G333" s="2" t="s">
        <v>89</v>
      </c>
      <c r="H333" s="251"/>
    </row>
    <row r="334">
      <c r="A334" s="265"/>
      <c r="B334" s="247"/>
      <c r="C334" s="248"/>
      <c r="D334" s="249">
        <v>63580.09</v>
      </c>
      <c r="F334" s="250"/>
      <c r="G334" s="2" t="s">
        <v>114</v>
      </c>
      <c r="H334" s="251"/>
    </row>
    <row r="335">
      <c r="A335" s="265"/>
      <c r="B335" s="247"/>
      <c r="C335" s="248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728</v>
      </c>
      <c r="B343" s="239">
        <v>41980.0</v>
      </c>
      <c r="C343" s="263"/>
      <c r="D343" s="264"/>
      <c r="E343" s="242"/>
      <c r="F343" s="243"/>
      <c r="G343" s="244" t="s">
        <v>118</v>
      </c>
      <c r="H343" s="245">
        <v>130.0</v>
      </c>
      <c r="I343" s="2" t="s">
        <v>72</v>
      </c>
    </row>
    <row r="344">
      <c r="A344" s="265"/>
      <c r="B344" s="247"/>
      <c r="C344" s="248"/>
      <c r="D344" s="249">
        <v>7900.72</v>
      </c>
      <c r="F344" s="250"/>
      <c r="G344" s="2" t="s">
        <v>74</v>
      </c>
      <c r="H344" s="267"/>
    </row>
    <row r="345">
      <c r="A345" s="265"/>
      <c r="B345" s="247"/>
      <c r="C345" s="248"/>
      <c r="D345" s="249">
        <v>19159.88</v>
      </c>
      <c r="F345" s="250"/>
      <c r="G345" s="2" t="s">
        <v>73</v>
      </c>
      <c r="H345" s="267"/>
    </row>
    <row r="346">
      <c r="A346" s="265"/>
      <c r="B346" s="247"/>
      <c r="C346" s="248"/>
      <c r="D346" s="249">
        <v>44000.0</v>
      </c>
      <c r="F346" s="250"/>
      <c r="G346" s="2" t="s">
        <v>122</v>
      </c>
      <c r="H346" s="251"/>
    </row>
    <row r="347">
      <c r="A347" s="265"/>
      <c r="B347" s="247"/>
      <c r="C347" s="248"/>
      <c r="D347" s="249"/>
      <c r="F347" s="250"/>
      <c r="G347" s="2" t="s">
        <v>79</v>
      </c>
      <c r="H347" s="251"/>
    </row>
    <row r="348">
      <c r="A348" s="265"/>
      <c r="B348" s="247">
        <v>47388.99</v>
      </c>
      <c r="C348" s="252"/>
      <c r="D348" s="249"/>
      <c r="F348" s="250"/>
      <c r="G348" s="2" t="s">
        <v>103</v>
      </c>
      <c r="H348" s="251"/>
    </row>
    <row r="349">
      <c r="A349" s="265"/>
      <c r="B349" s="247">
        <v>12716.0</v>
      </c>
      <c r="C349" s="252"/>
      <c r="D349" s="249"/>
      <c r="F349" s="250"/>
      <c r="G349" s="2" t="s">
        <v>66</v>
      </c>
      <c r="H349" s="251"/>
    </row>
    <row r="350">
      <c r="A350" s="265"/>
      <c r="B350" s="247"/>
      <c r="C350" s="252"/>
      <c r="D350" s="249"/>
      <c r="F350" s="250">
        <v>23200.0</v>
      </c>
      <c r="G350" s="2" t="s">
        <v>128</v>
      </c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729</v>
      </c>
      <c r="B361" s="239"/>
      <c r="C361" s="240"/>
      <c r="D361" s="264">
        <v>168432.0</v>
      </c>
      <c r="E361" s="242"/>
      <c r="F361" s="243"/>
      <c r="G361" s="244" t="s">
        <v>167</v>
      </c>
      <c r="H361" s="245">
        <v>100.0</v>
      </c>
      <c r="I361" s="2" t="s">
        <v>72</v>
      </c>
    </row>
    <row r="362">
      <c r="A362" s="265"/>
      <c r="B362" s="247"/>
      <c r="C362" s="248"/>
      <c r="D362" s="249"/>
      <c r="F362" s="250">
        <v>4900.0</v>
      </c>
      <c r="G362" s="2" t="s">
        <v>608</v>
      </c>
      <c r="H362" s="267"/>
    </row>
    <row r="363">
      <c r="A363" s="265"/>
      <c r="B363" s="247">
        <v>25100.0</v>
      </c>
      <c r="C363" s="248"/>
      <c r="D363" s="253"/>
      <c r="F363" s="250"/>
      <c r="G363" s="2" t="s">
        <v>75</v>
      </c>
      <c r="H363" s="267"/>
    </row>
    <row r="364">
      <c r="A364" s="265"/>
      <c r="B364" s="247">
        <v>44000.0</v>
      </c>
      <c r="C364" s="248"/>
      <c r="D364" s="249"/>
      <c r="F364" s="250"/>
      <c r="G364" s="2" t="s">
        <v>87</v>
      </c>
      <c r="H364" s="251"/>
    </row>
    <row r="365">
      <c r="A365" s="265"/>
      <c r="B365" s="247"/>
      <c r="C365" s="252"/>
      <c r="D365" s="249"/>
      <c r="F365" s="250">
        <v>582.0</v>
      </c>
      <c r="G365" s="2" t="s">
        <v>135</v>
      </c>
      <c r="H365" s="251"/>
    </row>
    <row r="366">
      <c r="A366" s="265"/>
      <c r="B366" s="247">
        <v>23314.43</v>
      </c>
      <c r="C366" s="252"/>
      <c r="D366" s="253"/>
      <c r="F366" s="250"/>
      <c r="G366" s="2" t="s">
        <v>82</v>
      </c>
      <c r="H366" s="251"/>
    </row>
    <row r="367">
      <c r="A367" s="265"/>
      <c r="B367" s="247"/>
      <c r="C367" s="248">
        <v>106032.32</v>
      </c>
      <c r="D367" s="253"/>
      <c r="F367" s="250"/>
      <c r="G367" s="2" t="s">
        <v>84</v>
      </c>
      <c r="H367" s="251"/>
    </row>
    <row r="368">
      <c r="A368" s="265"/>
      <c r="B368" s="247">
        <v>22000.0</v>
      </c>
      <c r="C368" s="252"/>
      <c r="D368" s="249"/>
      <c r="F368" s="250"/>
      <c r="G368" s="2" t="s">
        <v>730</v>
      </c>
      <c r="H368" s="251"/>
    </row>
    <row r="369">
      <c r="A369" s="265"/>
      <c r="B369" s="268"/>
      <c r="C369" s="252"/>
      <c r="D369" s="253"/>
      <c r="F369" s="250">
        <v>22500.0</v>
      </c>
      <c r="G369" s="2" t="s">
        <v>120</v>
      </c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 t="s">
        <v>731</v>
      </c>
      <c r="B379" s="239"/>
      <c r="C379" s="240"/>
      <c r="D379" s="264">
        <v>12700.0</v>
      </c>
      <c r="E379" s="242"/>
      <c r="F379" s="243"/>
      <c r="G379" s="2" t="s">
        <v>76</v>
      </c>
      <c r="H379" s="245">
        <v>110.0</v>
      </c>
      <c r="I379" s="2" t="s">
        <v>72</v>
      </c>
    </row>
    <row r="380">
      <c r="A380" s="265"/>
      <c r="B380" s="247"/>
      <c r="C380" s="248"/>
      <c r="D380" s="288">
        <v>73720.0</v>
      </c>
      <c r="F380" s="250"/>
      <c r="G380" s="2" t="s">
        <v>732</v>
      </c>
      <c r="H380" s="267"/>
    </row>
    <row r="381">
      <c r="A381" s="265"/>
      <c r="B381" s="247">
        <v>33800.0</v>
      </c>
      <c r="C381" s="248"/>
      <c r="D381" s="249"/>
      <c r="F381" s="250"/>
      <c r="G381" s="2" t="s">
        <v>79</v>
      </c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>
        <v>35747.7</v>
      </c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38302.0</v>
      </c>
      <c r="F391" s="250"/>
      <c r="G391" s="2" t="s">
        <v>190</v>
      </c>
      <c r="H391" s="294">
        <v>45142.0</v>
      </c>
    </row>
    <row r="392">
      <c r="A392" s="265"/>
      <c r="B392" s="247"/>
      <c r="C392" s="248"/>
      <c r="D392" s="249">
        <v>5041.3</v>
      </c>
      <c r="F392" s="250"/>
      <c r="G392" s="2" t="s">
        <v>191</v>
      </c>
      <c r="H392" s="294">
        <v>45167.0</v>
      </c>
    </row>
    <row r="393">
      <c r="A393" s="265"/>
      <c r="B393" s="268"/>
      <c r="C393" s="252"/>
      <c r="D393" s="249"/>
      <c r="F393" s="250"/>
      <c r="H393" s="294"/>
    </row>
    <row r="394">
      <c r="A394" s="265"/>
      <c r="B394" s="268"/>
      <c r="C394" s="252"/>
      <c r="D394" s="249">
        <v>108900.0</v>
      </c>
      <c r="F394" s="250"/>
      <c r="G394" s="2" t="s">
        <v>192</v>
      </c>
      <c r="H394" s="294">
        <v>45148.0</v>
      </c>
    </row>
    <row r="395">
      <c r="A395" s="265"/>
      <c r="B395" s="268"/>
      <c r="C395" s="252"/>
      <c r="D395" s="253"/>
      <c r="F395" s="250">
        <v>31000.0</v>
      </c>
      <c r="G395" s="2" t="s">
        <v>193</v>
      </c>
      <c r="H395" s="294">
        <v>45169.0</v>
      </c>
    </row>
    <row r="396">
      <c r="A396" s="265"/>
      <c r="B396" s="247"/>
      <c r="C396" s="252"/>
      <c r="D396" s="249">
        <v>20355.0</v>
      </c>
      <c r="F396" s="250"/>
      <c r="G396" s="2" t="s">
        <v>194</v>
      </c>
      <c r="H396" s="294">
        <v>45168.0</v>
      </c>
    </row>
    <row r="397">
      <c r="A397" s="265"/>
      <c r="B397" s="247"/>
      <c r="C397" s="252"/>
      <c r="D397" s="249">
        <v>45000.0</v>
      </c>
      <c r="F397" s="250"/>
      <c r="G397" s="2" t="s">
        <v>196</v>
      </c>
      <c r="H397" s="294">
        <v>45142.0</v>
      </c>
      <c r="I397" s="318"/>
    </row>
    <row r="398">
      <c r="A398" s="265"/>
      <c r="B398" s="247">
        <v>13326.37</v>
      </c>
      <c r="C398" s="252"/>
      <c r="D398" s="249"/>
      <c r="F398" s="250"/>
      <c r="G398" s="2" t="s">
        <v>197</v>
      </c>
      <c r="H398" s="294"/>
      <c r="I398" s="2" t="s">
        <v>198</v>
      </c>
    </row>
    <row r="399">
      <c r="A399" s="265"/>
      <c r="B399" s="268"/>
      <c r="C399" s="252"/>
      <c r="D399" s="249">
        <v>13814.35</v>
      </c>
      <c r="F399" s="250"/>
      <c r="G399" s="2" t="s">
        <v>199</v>
      </c>
      <c r="H399" s="294"/>
      <c r="I399" s="2" t="s">
        <v>189</v>
      </c>
    </row>
    <row r="400">
      <c r="A400" s="265"/>
      <c r="B400" s="247"/>
      <c r="C400" s="252"/>
      <c r="D400" s="249">
        <v>25537.79</v>
      </c>
      <c r="F400" s="250"/>
      <c r="G400" s="2" t="s">
        <v>200</v>
      </c>
      <c r="H400" s="294"/>
      <c r="I400" s="2" t="s">
        <v>189</v>
      </c>
    </row>
    <row r="401">
      <c r="A401" s="265"/>
      <c r="B401" s="278"/>
      <c r="C401" s="248"/>
      <c r="D401" s="296">
        <v>7260.43</v>
      </c>
      <c r="F401" s="282"/>
      <c r="G401" s="2" t="s">
        <v>201</v>
      </c>
      <c r="H401" s="294"/>
      <c r="I401" s="2" t="s">
        <v>189</v>
      </c>
    </row>
    <row r="402">
      <c r="A402" s="270"/>
      <c r="B402" s="277">
        <v>5445.0</v>
      </c>
      <c r="C402" s="248"/>
      <c r="D402" s="295"/>
      <c r="F402" s="282"/>
      <c r="G402" s="2" t="s">
        <v>525</v>
      </c>
      <c r="H402" s="294"/>
    </row>
    <row r="403">
      <c r="A403" s="299"/>
      <c r="B403" s="278"/>
      <c r="C403" s="248"/>
      <c r="D403" s="295">
        <v>75000.0</v>
      </c>
      <c r="F403" s="282"/>
      <c r="G403" s="2" t="s">
        <v>733</v>
      </c>
      <c r="H403" s="294"/>
    </row>
    <row r="404">
      <c r="A404" s="299"/>
      <c r="B404" s="278"/>
      <c r="C404" s="248"/>
      <c r="D404" s="300">
        <v>210984.0</v>
      </c>
      <c r="F404" s="282"/>
      <c r="G404" s="2" t="s">
        <v>202</v>
      </c>
      <c r="H404" s="301">
        <v>45147.0</v>
      </c>
      <c r="I404" s="2" t="s">
        <v>203</v>
      </c>
    </row>
    <row r="405">
      <c r="A405" s="299"/>
      <c r="B405" s="278"/>
      <c r="C405" s="248"/>
      <c r="D405" s="295">
        <v>9636.39</v>
      </c>
      <c r="F405" s="250"/>
      <c r="G405" s="2" t="s">
        <v>204</v>
      </c>
      <c r="H405" s="301">
        <v>45238.0</v>
      </c>
    </row>
    <row r="406">
      <c r="A406" s="303"/>
      <c r="B406" s="278"/>
      <c r="C406" s="252"/>
      <c r="D406" s="249">
        <v>9636.39</v>
      </c>
      <c r="F406" s="250"/>
      <c r="G406" s="2" t="s">
        <v>734</v>
      </c>
      <c r="H406" s="301">
        <v>45238.0</v>
      </c>
    </row>
    <row r="407">
      <c r="A407" s="303"/>
      <c r="B407" s="268"/>
      <c r="C407" s="252"/>
      <c r="D407" s="249">
        <v>12045.49</v>
      </c>
      <c r="F407" s="250"/>
      <c r="G407" s="2" t="s">
        <v>735</v>
      </c>
      <c r="H407" s="301">
        <v>45244.0</v>
      </c>
      <c r="I407" s="2"/>
    </row>
    <row r="408">
      <c r="A408" s="303"/>
      <c r="B408" s="268"/>
      <c r="C408" s="252"/>
      <c r="D408" s="249">
        <v>297324.63</v>
      </c>
      <c r="F408" s="250"/>
      <c r="G408" s="2" t="s">
        <v>206</v>
      </c>
      <c r="H408" s="294">
        <v>45157.0</v>
      </c>
      <c r="I408" s="2" t="s">
        <v>203</v>
      </c>
    </row>
    <row r="409">
      <c r="A409" s="303"/>
      <c r="B409" s="247"/>
      <c r="C409" s="252"/>
      <c r="D409" s="249"/>
      <c r="F409" s="250"/>
      <c r="H409" s="294"/>
    </row>
    <row r="410">
      <c r="A410" s="303"/>
      <c r="B410" s="268"/>
      <c r="C410" s="252"/>
      <c r="D410" s="300">
        <v>142499.15</v>
      </c>
      <c r="F410" s="332"/>
      <c r="G410" s="2" t="s">
        <v>209</v>
      </c>
      <c r="H410" s="294"/>
      <c r="I410" s="2" t="s">
        <v>666</v>
      </c>
    </row>
    <row r="411">
      <c r="A411" s="303"/>
      <c r="B411" s="268"/>
      <c r="C411" s="252"/>
      <c r="D411" s="249"/>
      <c r="F411" s="250"/>
      <c r="H411" s="294"/>
    </row>
    <row r="412">
      <c r="A412" s="303"/>
      <c r="B412" s="247">
        <v>23200.0</v>
      </c>
      <c r="C412" s="252"/>
      <c r="D412" s="331"/>
      <c r="F412" s="266"/>
      <c r="G412" s="2" t="s">
        <v>667</v>
      </c>
      <c r="H412" s="251"/>
    </row>
    <row r="413">
      <c r="A413" s="304"/>
      <c r="B413" s="268"/>
      <c r="C413" s="252"/>
      <c r="D413" s="249">
        <v>74000.0</v>
      </c>
      <c r="F413" s="332"/>
      <c r="G413" s="2" t="s">
        <v>602</v>
      </c>
      <c r="H413" s="294">
        <v>45145.0</v>
      </c>
    </row>
    <row r="414">
      <c r="A414" s="305"/>
      <c r="B414" s="271"/>
      <c r="C414" s="272"/>
      <c r="D414" s="273"/>
      <c r="E414" s="18"/>
      <c r="F414" s="274"/>
      <c r="G414" s="18"/>
      <c r="H414" s="261"/>
    </row>
    <row r="415">
      <c r="A415" s="265"/>
      <c r="B415" s="306"/>
      <c r="C415" s="240"/>
      <c r="D415" s="241"/>
      <c r="E415" s="242"/>
      <c r="F415" s="243"/>
      <c r="G415" s="244"/>
      <c r="H415" s="307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70"/>
      <c r="B423" s="268"/>
      <c r="C423" s="252"/>
      <c r="D423" s="253"/>
      <c r="F423" s="250"/>
      <c r="H423" s="251"/>
    </row>
    <row r="424">
      <c r="A424" s="305"/>
      <c r="B424" s="271"/>
      <c r="C424" s="272"/>
      <c r="D424" s="273"/>
      <c r="E424" s="18"/>
      <c r="F424" s="274"/>
      <c r="G424" s="18"/>
      <c r="H424" s="261"/>
    </row>
    <row r="425">
      <c r="A425" s="265"/>
      <c r="B425" s="306"/>
      <c r="C425" s="240"/>
      <c r="D425" s="241"/>
      <c r="E425" s="242"/>
      <c r="F425" s="243"/>
      <c r="G425" s="244"/>
      <c r="H425" s="307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65"/>
      <c r="B432" s="268"/>
      <c r="C432" s="252"/>
      <c r="D432" s="253"/>
      <c r="F432" s="250"/>
      <c r="H432" s="251"/>
    </row>
    <row r="433">
      <c r="A433" s="270"/>
      <c r="B433" s="268"/>
      <c r="C433" s="252"/>
      <c r="D433" s="253"/>
      <c r="F433" s="250"/>
      <c r="H433" s="251"/>
    </row>
    <row r="434">
      <c r="B434" s="271"/>
      <c r="C434" s="272"/>
      <c r="D434" s="273"/>
      <c r="E434" s="18"/>
      <c r="F434" s="274"/>
      <c r="G434" s="18"/>
      <c r="H434" s="261"/>
    </row>
    <row r="435">
      <c r="B435" s="306"/>
      <c r="C435" s="240"/>
      <c r="D435" s="241"/>
      <c r="E435" s="242"/>
      <c r="F435" s="243"/>
      <c r="G435" s="244"/>
      <c r="H435" s="307"/>
    </row>
    <row r="436">
      <c r="B436" s="268"/>
      <c r="C436" s="252"/>
      <c r="D436" s="253"/>
      <c r="F436" s="250"/>
      <c r="H436" s="251"/>
    </row>
    <row r="437">
      <c r="B437" s="268"/>
      <c r="C437" s="252"/>
      <c r="D437" s="253"/>
      <c r="F437" s="250"/>
      <c r="H437" s="251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  <row r="743">
      <c r="B743" s="308"/>
      <c r="C743" s="252"/>
      <c r="D743" s="253"/>
      <c r="F743" s="309"/>
      <c r="H743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4:A423"/>
    <mergeCell ref="A424:A433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13.25"/>
    <col customWidth="1" min="3" max="3" width="9.13"/>
    <col customWidth="1" min="4" max="5" width="7.75"/>
    <col customWidth="1" min="6" max="6" width="8.0"/>
    <col customWidth="1" min="7" max="7" width="9.13"/>
    <col customWidth="1" min="8" max="8" width="10.75"/>
    <col customWidth="1" min="9" max="11" width="9.13"/>
    <col customWidth="1" min="12" max="12" width="16.88"/>
    <col customWidth="1" min="13" max="13" width="11.38"/>
    <col customWidth="1" min="14" max="14" width="12.13"/>
    <col customWidth="1" min="15" max="35" width="9.13"/>
  </cols>
  <sheetData>
    <row r="1" ht="25.5" customHeight="1">
      <c r="A1" s="6" t="s">
        <v>736</v>
      </c>
      <c r="B1" s="6" t="s">
        <v>9</v>
      </c>
      <c r="C1" s="7" t="s">
        <v>10</v>
      </c>
      <c r="D1" s="8" t="s">
        <v>11</v>
      </c>
      <c r="E1" s="9" t="s">
        <v>12</v>
      </c>
      <c r="F1" s="10" t="s">
        <v>13</v>
      </c>
      <c r="G1" s="6" t="s">
        <v>14</v>
      </c>
      <c r="H1" s="11" t="s">
        <v>737</v>
      </c>
      <c r="I1" s="12" t="s">
        <v>16</v>
      </c>
      <c r="J1" s="13" t="s">
        <v>17</v>
      </c>
      <c r="K1" s="14" t="s">
        <v>18</v>
      </c>
      <c r="L1" s="15" t="s">
        <v>19</v>
      </c>
      <c r="M1" s="16" t="s">
        <v>20</v>
      </c>
      <c r="N1" s="6"/>
      <c r="O1" s="6"/>
      <c r="Q1" s="6"/>
      <c r="R1" s="6"/>
      <c r="S1" s="6"/>
      <c r="T1" s="6"/>
      <c r="U1" s="6"/>
      <c r="V1" s="6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hidden="1">
      <c r="A2" s="343" t="s">
        <v>21</v>
      </c>
      <c r="B2" s="21">
        <v>45292.0</v>
      </c>
      <c r="C2" s="22"/>
      <c r="D2" s="23"/>
      <c r="E2" s="24"/>
      <c r="F2" s="25"/>
      <c r="G2" s="101"/>
      <c r="H2" s="27"/>
      <c r="I2" s="28"/>
      <c r="J2" s="29"/>
      <c r="K2" s="30"/>
      <c r="L2" s="31"/>
      <c r="M2" s="32"/>
      <c r="N2" s="33"/>
      <c r="O2" s="34"/>
      <c r="P2" s="35"/>
      <c r="Q2" s="33"/>
      <c r="R2" s="33"/>
      <c r="S2" s="35"/>
      <c r="T2" s="35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hidden="1">
      <c r="A3" s="344" t="s">
        <v>22</v>
      </c>
      <c r="B3" s="21">
        <v>45293.0</v>
      </c>
      <c r="C3" s="22">
        <v>566040.0</v>
      </c>
      <c r="D3" s="23">
        <v>358700.0</v>
      </c>
      <c r="E3" s="24">
        <v>3900.0</v>
      </c>
      <c r="F3" s="25">
        <v>7500.0</v>
      </c>
      <c r="G3" s="101">
        <f>8400+186800</f>
        <v>195200</v>
      </c>
      <c r="H3" s="27">
        <v>132856.0</v>
      </c>
      <c r="I3" s="28">
        <v>33700.0</v>
      </c>
      <c r="J3" s="29">
        <v>61300.0</v>
      </c>
      <c r="K3" s="30">
        <v>163640.0</v>
      </c>
      <c r="L3" s="31"/>
      <c r="M3" s="39"/>
      <c r="N3" s="33"/>
      <c r="O3" s="40"/>
      <c r="P3" s="35"/>
      <c r="Q3" s="33"/>
      <c r="R3" s="33"/>
      <c r="S3" s="35"/>
      <c r="T3" s="35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hidden="1">
      <c r="A4" s="344" t="s">
        <v>23</v>
      </c>
      <c r="B4" s="41">
        <v>45294.0</v>
      </c>
      <c r="C4" s="22">
        <v>531340.0</v>
      </c>
      <c r="D4" s="23">
        <v>408580.0</v>
      </c>
      <c r="E4" s="24">
        <v>3900.0</v>
      </c>
      <c r="F4" s="25">
        <v>10400.0</v>
      </c>
      <c r="G4" s="101">
        <f>135000+7000</f>
        <v>142000</v>
      </c>
      <c r="H4" s="27">
        <v>152707.0</v>
      </c>
      <c r="I4" s="28"/>
      <c r="J4" s="29">
        <v>122080.0</v>
      </c>
      <c r="K4" s="30">
        <v>124160.0</v>
      </c>
      <c r="L4" s="31"/>
      <c r="M4" s="39"/>
      <c r="N4" s="33"/>
      <c r="O4" s="40"/>
      <c r="P4" s="35"/>
      <c r="Q4" s="33"/>
      <c r="R4" s="33"/>
      <c r="S4" s="35"/>
      <c r="T4" s="35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</row>
    <row r="5" hidden="1">
      <c r="A5" s="344" t="s">
        <v>24</v>
      </c>
      <c r="B5" s="41">
        <v>45295.0</v>
      </c>
      <c r="C5" s="22">
        <f>1193100-396200</f>
        <v>796900</v>
      </c>
      <c r="D5" s="23">
        <v>549460.0</v>
      </c>
      <c r="E5" s="24">
        <f>600+1500+2200+250+500+800+240</f>
        <v>6090</v>
      </c>
      <c r="F5" s="25">
        <f>10400</f>
        <v>10400</v>
      </c>
      <c r="G5" s="101">
        <f>9500+247550</f>
        <v>257050</v>
      </c>
      <c r="H5" s="27">
        <v>129775.0</v>
      </c>
      <c r="I5" s="28">
        <f>465500-396200</f>
        <v>69300</v>
      </c>
      <c r="J5" s="29">
        <v>149610.0</v>
      </c>
      <c r="K5" s="30">
        <v>187490.0</v>
      </c>
      <c r="L5" s="31"/>
      <c r="M5" s="39"/>
      <c r="N5" s="33"/>
      <c r="O5" s="40"/>
      <c r="P5" s="35"/>
      <c r="Q5" s="33"/>
      <c r="R5" s="33"/>
      <c r="S5" s="35"/>
      <c r="T5" s="35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</row>
    <row r="6" hidden="1">
      <c r="A6" s="344" t="s">
        <v>25</v>
      </c>
      <c r="B6" s="41">
        <v>45296.0</v>
      </c>
      <c r="C6" s="22">
        <f>1639650-796900-396200</f>
        <v>446550</v>
      </c>
      <c r="D6" s="23">
        <v>296500.0</v>
      </c>
      <c r="E6" s="24">
        <v>7800.0</v>
      </c>
      <c r="F6" s="25">
        <v>10300.0</v>
      </c>
      <c r="G6" s="101">
        <v>179800.0</v>
      </c>
      <c r="H6" s="27">
        <v>92371.0</v>
      </c>
      <c r="I6" s="28">
        <v>31400.0</v>
      </c>
      <c r="J6" s="29">
        <f>212610-J5</f>
        <v>63000</v>
      </c>
      <c r="K6" s="30">
        <f>249340-K5</f>
        <v>61850</v>
      </c>
      <c r="L6" s="31"/>
      <c r="M6" s="39"/>
      <c r="N6" s="33"/>
      <c r="O6" s="40"/>
      <c r="P6" s="35"/>
      <c r="Q6" s="33"/>
      <c r="R6" s="33"/>
      <c r="S6" s="35"/>
      <c r="T6" s="35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</row>
    <row r="7" hidden="1">
      <c r="A7" s="344" t="s">
        <v>26</v>
      </c>
      <c r="B7" s="41">
        <v>45297.0</v>
      </c>
      <c r="C7" s="22">
        <v>511010.0</v>
      </c>
      <c r="D7" s="23">
        <v>414500.0</v>
      </c>
      <c r="E7" s="24">
        <f>700+2100+500+500+800+280</f>
        <v>4880</v>
      </c>
      <c r="F7" s="25">
        <v>4400.0</v>
      </c>
      <c r="G7" s="101">
        <f>238000+24700</f>
        <v>262700</v>
      </c>
      <c r="H7" s="27">
        <v>69621.0</v>
      </c>
      <c r="I7" s="28"/>
      <c r="J7" s="29">
        <v>95700.0</v>
      </c>
      <c r="K7" s="30">
        <v>85110.0</v>
      </c>
      <c r="L7" s="31"/>
      <c r="M7" s="39"/>
      <c r="N7" s="33"/>
      <c r="O7" s="40"/>
      <c r="P7" s="35"/>
      <c r="Q7" s="33"/>
      <c r="R7" s="33"/>
      <c r="S7" s="35"/>
      <c r="T7" s="35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</row>
    <row r="8" hidden="1">
      <c r="A8" s="345" t="s">
        <v>27</v>
      </c>
      <c r="B8" s="43"/>
      <c r="C8" s="346"/>
      <c r="D8" s="51"/>
      <c r="E8" s="51"/>
      <c r="F8" s="51"/>
      <c r="G8" s="346"/>
      <c r="H8" s="346"/>
      <c r="I8" s="51"/>
      <c r="J8" s="51"/>
      <c r="K8" s="51"/>
      <c r="L8" s="51"/>
      <c r="M8" s="51"/>
      <c r="N8" s="33"/>
      <c r="O8" s="40"/>
      <c r="P8" s="35"/>
      <c r="Q8" s="33"/>
      <c r="R8" s="33"/>
      <c r="S8" s="35"/>
      <c r="T8" s="35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</row>
    <row r="9" hidden="1">
      <c r="A9" s="343" t="s">
        <v>21</v>
      </c>
      <c r="B9" s="41">
        <v>45299.0</v>
      </c>
      <c r="C9" s="22">
        <v>500720.0</v>
      </c>
      <c r="D9" s="23">
        <v>350950.0</v>
      </c>
      <c r="E9" s="24">
        <v>4800.0</v>
      </c>
      <c r="F9" s="25">
        <v>4400.0</v>
      </c>
      <c r="G9" s="101">
        <v>155100.0</v>
      </c>
      <c r="H9" s="27">
        <v>69936.0</v>
      </c>
      <c r="I9" s="28"/>
      <c r="J9" s="29">
        <v>116800.0</v>
      </c>
      <c r="K9" s="30">
        <v>155370.0</v>
      </c>
      <c r="L9" s="31"/>
      <c r="M9" s="32"/>
      <c r="N9" s="33"/>
      <c r="O9" s="40"/>
      <c r="P9" s="35"/>
      <c r="Q9" s="33"/>
      <c r="R9" s="33"/>
      <c r="S9" s="35"/>
      <c r="T9" s="35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</row>
    <row r="10" hidden="1">
      <c r="A10" s="344" t="s">
        <v>22</v>
      </c>
      <c r="B10" s="41">
        <v>45300.0</v>
      </c>
      <c r="C10" s="22">
        <v>527390.0</v>
      </c>
      <c r="D10" s="23">
        <v>368840.0</v>
      </c>
      <c r="E10" s="24">
        <f>1000+400+750+500+840+240</f>
        <v>3730</v>
      </c>
      <c r="F10" s="25">
        <f>4400</f>
        <v>4400</v>
      </c>
      <c r="G10" s="101">
        <f>123810+6200</f>
        <v>130010</v>
      </c>
      <c r="H10" s="27">
        <v>173866.5</v>
      </c>
      <c r="I10" s="28"/>
      <c r="J10" s="29">
        <v>62600.0</v>
      </c>
      <c r="K10" s="30">
        <v>157750.0</v>
      </c>
      <c r="L10" s="31"/>
      <c r="M10" s="32"/>
      <c r="N10" s="33"/>
      <c r="O10" s="40"/>
      <c r="P10" s="35"/>
      <c r="Q10" s="33"/>
      <c r="R10" s="33"/>
      <c r="S10" s="35"/>
      <c r="T10" s="35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</row>
    <row r="11" hidden="1">
      <c r="A11" s="344" t="s">
        <v>23</v>
      </c>
      <c r="B11" s="41">
        <v>45301.0</v>
      </c>
      <c r="C11" s="22">
        <v>670100.0</v>
      </c>
      <c r="D11" s="23">
        <v>495650.0</v>
      </c>
      <c r="E11" s="24">
        <f>2000+1000+1200+300+500+840+250</f>
        <v>6090</v>
      </c>
      <c r="F11" s="25">
        <v>4400.0</v>
      </c>
      <c r="G11" s="101">
        <f>211000+23700</f>
        <v>234700</v>
      </c>
      <c r="H11" s="27">
        <v>111871.0</v>
      </c>
      <c r="I11" s="28">
        <v>26800.0</v>
      </c>
      <c r="J11" s="29">
        <v>132200.0</v>
      </c>
      <c r="K11" s="30">
        <v>148750.0</v>
      </c>
      <c r="L11" s="49"/>
      <c r="M11" s="39"/>
      <c r="N11" s="33"/>
      <c r="O11" s="40"/>
      <c r="P11" s="35"/>
      <c r="Q11" s="33"/>
      <c r="R11" s="33"/>
      <c r="S11" s="35"/>
      <c r="T11" s="35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 hidden="1">
      <c r="A12" s="344" t="s">
        <v>24</v>
      </c>
      <c r="B12" s="41">
        <v>45302.0</v>
      </c>
      <c r="C12" s="22">
        <v>732930.0</v>
      </c>
      <c r="D12" s="23">
        <v>647150.0</v>
      </c>
      <c r="E12" s="24">
        <f>800+2500+700+550+500+880+220</f>
        <v>6150</v>
      </c>
      <c r="F12" s="25">
        <f>4400</f>
        <v>4400</v>
      </c>
      <c r="G12" s="101">
        <f>162600+106000</f>
        <v>268600</v>
      </c>
      <c r="H12" s="27">
        <v>207310.5</v>
      </c>
      <c r="I12" s="28"/>
      <c r="J12" s="29">
        <v>138700.0</v>
      </c>
      <c r="K12" s="30">
        <v>94280.0</v>
      </c>
      <c r="L12" s="31"/>
      <c r="M12" s="39"/>
      <c r="N12" s="33"/>
      <c r="O12" s="40"/>
      <c r="P12" s="35"/>
      <c r="Q12" s="33"/>
      <c r="R12" s="33"/>
      <c r="S12" s="35"/>
      <c r="T12" s="35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</row>
    <row r="13" hidden="1">
      <c r="A13" s="344" t="s">
        <v>25</v>
      </c>
      <c r="B13" s="41">
        <v>45303.0</v>
      </c>
      <c r="C13" s="22">
        <v>549550.0</v>
      </c>
      <c r="D13" s="23">
        <v>450950.0</v>
      </c>
      <c r="E13" s="24">
        <v>1000.0</v>
      </c>
      <c r="F13" s="25">
        <v>4400.0</v>
      </c>
      <c r="G13" s="101">
        <f>228270+6800</f>
        <v>235070</v>
      </c>
      <c r="H13" s="27">
        <v>86871.0</v>
      </c>
      <c r="I13" s="28"/>
      <c r="J13" s="29">
        <v>131000.0</v>
      </c>
      <c r="K13" s="30">
        <v>98600.0</v>
      </c>
      <c r="L13" s="31"/>
      <c r="M13" s="39"/>
      <c r="N13" s="33"/>
      <c r="O13" s="40"/>
      <c r="P13" s="35"/>
      <c r="Q13" s="33"/>
      <c r="R13" s="33"/>
      <c r="S13" s="35"/>
      <c r="T13" s="35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idden="1">
      <c r="A14" s="344" t="s">
        <v>26</v>
      </c>
      <c r="B14" s="41">
        <v>45304.0</v>
      </c>
      <c r="C14" s="22">
        <v>548110.0</v>
      </c>
      <c r="D14" s="23">
        <v>456960.0</v>
      </c>
      <c r="E14" s="24">
        <v>1800.0</v>
      </c>
      <c r="F14" s="25">
        <v>2400.0</v>
      </c>
      <c r="G14" s="101">
        <f>218760+69900</f>
        <v>288660</v>
      </c>
      <c r="H14" s="27">
        <v>88886.0</v>
      </c>
      <c r="I14" s="28"/>
      <c r="J14" s="29">
        <v>79500.0</v>
      </c>
      <c r="K14" s="30">
        <v>91150.0</v>
      </c>
      <c r="L14" s="31"/>
      <c r="M14" s="39"/>
      <c r="N14" s="33"/>
      <c r="O14" s="40"/>
      <c r="P14" s="35"/>
      <c r="Q14" s="33"/>
      <c r="R14" s="33"/>
      <c r="S14" s="35"/>
      <c r="T14" s="35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</row>
    <row r="15" hidden="1">
      <c r="A15" s="347" t="s">
        <v>27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33"/>
      <c r="O15" s="40"/>
      <c r="P15" s="35"/>
      <c r="Q15" s="33"/>
      <c r="R15" s="33"/>
      <c r="S15" s="35"/>
      <c r="T15" s="35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</row>
    <row r="16" hidden="1">
      <c r="A16" s="348" t="s">
        <v>21</v>
      </c>
      <c r="B16" s="349">
        <v>45306.0</v>
      </c>
      <c r="C16" s="22">
        <v>630080.0</v>
      </c>
      <c r="D16" s="23">
        <v>480860.0</v>
      </c>
      <c r="E16" s="24">
        <v>3500.0</v>
      </c>
      <c r="F16" s="25">
        <v>1400.0</v>
      </c>
      <c r="G16" s="101">
        <f>200500+49300+11400</f>
        <v>261200</v>
      </c>
      <c r="H16" s="27">
        <v>95947.0</v>
      </c>
      <c r="I16" s="28">
        <v>24200.0</v>
      </c>
      <c r="J16" s="29">
        <v>131960.0</v>
      </c>
      <c r="K16" s="30">
        <v>124120.0</v>
      </c>
      <c r="L16" s="31"/>
      <c r="M16" s="39"/>
      <c r="N16" s="33"/>
      <c r="O16" s="40"/>
      <c r="P16" s="35"/>
      <c r="Q16" s="33"/>
      <c r="R16" s="33"/>
      <c r="S16" s="35"/>
      <c r="T16" s="35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</row>
    <row r="17" hidden="1">
      <c r="A17" s="350" t="s">
        <v>22</v>
      </c>
      <c r="B17" s="349">
        <v>45307.0</v>
      </c>
      <c r="C17" s="22">
        <v>549500.0</v>
      </c>
      <c r="D17" s="23">
        <v>438150.0</v>
      </c>
      <c r="E17" s="24">
        <v>5300.0</v>
      </c>
      <c r="F17" s="25">
        <v>4400.0</v>
      </c>
      <c r="G17" s="101">
        <f>212000+6500</f>
        <v>218500</v>
      </c>
      <c r="H17" s="27">
        <v>115901.0</v>
      </c>
      <c r="I17" s="28"/>
      <c r="J17" s="29">
        <v>92750.0</v>
      </c>
      <c r="K17" s="30">
        <v>122350.0</v>
      </c>
      <c r="L17" s="31"/>
      <c r="M17" s="39"/>
      <c r="N17" s="33"/>
      <c r="O17" s="40"/>
      <c r="P17" s="35"/>
      <c r="Q17" s="33"/>
      <c r="R17" s="33"/>
      <c r="S17" s="35"/>
      <c r="T17" s="35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</row>
    <row r="18" hidden="1">
      <c r="A18" s="350" t="s">
        <v>23</v>
      </c>
      <c r="B18" s="349">
        <v>45308.0</v>
      </c>
      <c r="C18" s="22">
        <v>714720.0</v>
      </c>
      <c r="D18" s="23">
        <v>568600.0</v>
      </c>
      <c r="E18" s="24">
        <v>4500.0</v>
      </c>
      <c r="F18" s="25">
        <v>7400.0</v>
      </c>
      <c r="G18" s="101">
        <f>174600+65400</f>
        <v>240000</v>
      </c>
      <c r="H18" s="27">
        <v>156310.0</v>
      </c>
      <c r="I18" s="28"/>
      <c r="J18" s="29">
        <v>139000.0</v>
      </c>
      <c r="K18" s="30">
        <v>130220.0</v>
      </c>
      <c r="L18" s="31"/>
      <c r="M18" s="39"/>
      <c r="N18" s="33"/>
      <c r="O18" s="40"/>
      <c r="P18" s="35"/>
      <c r="Q18" s="33"/>
      <c r="R18" s="33"/>
      <c r="S18" s="35"/>
      <c r="T18" s="35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</row>
    <row r="19" hidden="1">
      <c r="A19" s="350" t="s">
        <v>24</v>
      </c>
      <c r="B19" s="349">
        <v>45309.0</v>
      </c>
      <c r="C19" s="22">
        <v>750160.0</v>
      </c>
      <c r="D19" s="23">
        <v>592160.0</v>
      </c>
      <c r="E19" s="24">
        <f>1200+1200+900+500+820+250</f>
        <v>4870</v>
      </c>
      <c r="F19" s="25">
        <v>7400.0</v>
      </c>
      <c r="G19" s="101">
        <f>11000+248500</f>
        <v>259500</v>
      </c>
      <c r="H19" s="27">
        <v>195000.0</v>
      </c>
      <c r="I19" s="28">
        <v>24700.0</v>
      </c>
      <c r="J19" s="29">
        <v>154160.0</v>
      </c>
      <c r="K19" s="30">
        <v>138900.0</v>
      </c>
      <c r="L19" s="31"/>
      <c r="M19" s="39"/>
      <c r="N19" s="33"/>
      <c r="O19" s="40"/>
      <c r="P19" s="35"/>
      <c r="Q19" s="33"/>
      <c r="R19" s="33"/>
      <c r="S19" s="35"/>
      <c r="T19" s="35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idden="1">
      <c r="A20" s="350" t="s">
        <v>25</v>
      </c>
      <c r="B20" s="349">
        <v>45310.0</v>
      </c>
      <c r="C20" s="22">
        <v>606205.0</v>
      </c>
      <c r="D20" s="23">
        <v>479460.0</v>
      </c>
      <c r="E20" s="24">
        <f>1000+1400+950+500+800+250</f>
        <v>4900</v>
      </c>
      <c r="F20" s="25">
        <v>10400.0</v>
      </c>
      <c r="G20" s="101">
        <f>5200+261400</f>
        <v>266600</v>
      </c>
      <c r="H20" s="27">
        <v>92811.0</v>
      </c>
      <c r="I20" s="28"/>
      <c r="J20" s="29">
        <v>89960.0</v>
      </c>
      <c r="K20" s="30">
        <v>126745.0</v>
      </c>
      <c r="L20" s="31"/>
      <c r="M20" s="39"/>
      <c r="N20" s="33"/>
      <c r="O20" s="40"/>
      <c r="P20" s="35"/>
      <c r="Q20" s="33"/>
      <c r="R20" s="33"/>
      <c r="S20" s="35"/>
      <c r="T20" s="35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</row>
    <row r="21" hidden="1">
      <c r="A21" s="350" t="s">
        <v>26</v>
      </c>
      <c r="B21" s="349">
        <v>45311.0</v>
      </c>
      <c r="C21" s="22">
        <v>432800.0</v>
      </c>
      <c r="D21" s="23">
        <v>270730.0</v>
      </c>
      <c r="E21" s="24">
        <f>1000+900+900+500+820+240</f>
        <v>4360</v>
      </c>
      <c r="F21" s="25">
        <v>6400.0</v>
      </c>
      <c r="G21" s="101">
        <f>159500+3000</f>
        <v>162500</v>
      </c>
      <c r="H21" s="27">
        <v>60951.0</v>
      </c>
      <c r="I21" s="28"/>
      <c r="J21" s="29">
        <v>58130.0</v>
      </c>
      <c r="K21" s="30">
        <v>159970.0</v>
      </c>
      <c r="L21" s="31"/>
      <c r="M21" s="39"/>
      <c r="N21" s="33"/>
      <c r="O21" s="40"/>
      <c r="P21" s="35"/>
      <c r="Q21" s="33"/>
      <c r="R21" s="33"/>
      <c r="S21" s="35"/>
      <c r="T21" s="35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</row>
    <row r="22" hidden="1">
      <c r="A22" s="351" t="s">
        <v>27</v>
      </c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3"/>
      <c r="O22" s="40"/>
      <c r="P22" s="35"/>
      <c r="Q22" s="33"/>
      <c r="R22" s="33"/>
      <c r="S22" s="35"/>
      <c r="T22" s="35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</row>
    <row r="23" hidden="1">
      <c r="A23" s="348" t="s">
        <v>21</v>
      </c>
      <c r="B23" s="349">
        <v>45313.0</v>
      </c>
      <c r="C23" s="22">
        <v>447650.0</v>
      </c>
      <c r="D23" s="23">
        <v>287450.0</v>
      </c>
      <c r="E23" s="24">
        <v>8000.0</v>
      </c>
      <c r="F23" s="25">
        <v>14400.0</v>
      </c>
      <c r="G23" s="101">
        <v>166100.0</v>
      </c>
      <c r="H23" s="27">
        <v>38980.0</v>
      </c>
      <c r="I23" s="28"/>
      <c r="J23" s="29">
        <v>105200.0</v>
      </c>
      <c r="K23" s="30">
        <v>145700.0</v>
      </c>
      <c r="L23" s="31"/>
      <c r="M23" s="32"/>
      <c r="N23" s="33"/>
      <c r="O23" s="40"/>
      <c r="P23" s="35"/>
      <c r="Q23" s="33"/>
      <c r="R23" s="33"/>
      <c r="S23" s="35"/>
      <c r="T23" s="35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</row>
    <row r="24" hidden="1">
      <c r="A24" s="350" t="s">
        <v>22</v>
      </c>
      <c r="B24" s="349">
        <v>45314.0</v>
      </c>
      <c r="C24" s="22">
        <v>776700.0</v>
      </c>
      <c r="D24" s="23">
        <v>619600.0</v>
      </c>
      <c r="E24" s="24">
        <v>5000.0</v>
      </c>
      <c r="F24" s="25">
        <v>4400.0</v>
      </c>
      <c r="G24" s="101">
        <f>159000+71000</f>
        <v>230000</v>
      </c>
      <c r="H24" s="27">
        <v>202181.0</v>
      </c>
      <c r="I24" s="28"/>
      <c r="J24" s="29">
        <v>167900.0</v>
      </c>
      <c r="K24" s="30">
        <v>166200.0</v>
      </c>
      <c r="L24" s="31"/>
      <c r="M24" s="39"/>
      <c r="N24" s="33"/>
      <c r="O24" s="40"/>
      <c r="P24" s="35"/>
      <c r="Q24" s="33"/>
      <c r="R24" s="33"/>
      <c r="S24" s="35"/>
      <c r="T24" s="35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</row>
    <row r="25" hidden="1">
      <c r="A25" s="350" t="s">
        <v>23</v>
      </c>
      <c r="B25" s="349">
        <v>45315.0</v>
      </c>
      <c r="C25" s="22">
        <v>507630.0</v>
      </c>
      <c r="D25" s="23">
        <v>396210.0</v>
      </c>
      <c r="E25" s="24"/>
      <c r="F25" s="25"/>
      <c r="G25" s="101">
        <v>83350.0</v>
      </c>
      <c r="H25" s="27">
        <v>83510.0</v>
      </c>
      <c r="I25" s="28"/>
      <c r="J25" s="29">
        <v>95800.0</v>
      </c>
      <c r="K25" s="30">
        <v>127480.0</v>
      </c>
      <c r="L25" s="31"/>
      <c r="M25" s="39"/>
      <c r="N25" s="33"/>
      <c r="O25" s="40"/>
      <c r="P25" s="35"/>
      <c r="Q25" s="33"/>
      <c r="R25" s="33"/>
      <c r="S25" s="35"/>
      <c r="T25" s="35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idden="1">
      <c r="A26" s="350" t="s">
        <v>24</v>
      </c>
      <c r="B26" s="349">
        <v>45316.0</v>
      </c>
      <c r="C26" s="22">
        <f>831440-210100</f>
        <v>621340</v>
      </c>
      <c r="D26" s="23">
        <v>689410.0</v>
      </c>
      <c r="E26" s="24"/>
      <c r="F26" s="25"/>
      <c r="G26" s="101">
        <v>119200.0</v>
      </c>
      <c r="H26" s="27">
        <v>102901.0</v>
      </c>
      <c r="I26" s="28"/>
      <c r="J26" s="29">
        <v>76600.0</v>
      </c>
      <c r="K26" s="30">
        <v>139630.0</v>
      </c>
      <c r="L26" s="31"/>
      <c r="M26" s="32"/>
      <c r="N26" s="33"/>
      <c r="O26" s="40"/>
      <c r="P26" s="35"/>
      <c r="Q26" s="33"/>
      <c r="R26" s="33"/>
      <c r="S26" s="35"/>
      <c r="T26" s="35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</row>
    <row r="27" hidden="1">
      <c r="A27" s="350" t="s">
        <v>25</v>
      </c>
      <c r="B27" s="349">
        <v>45317.0</v>
      </c>
      <c r="C27" s="22">
        <v>552470.0</v>
      </c>
      <c r="D27" s="23">
        <v>431850.0</v>
      </c>
      <c r="E27" s="24">
        <v>6500.0</v>
      </c>
      <c r="F27" s="25">
        <v>6600.0</v>
      </c>
      <c r="G27" s="101">
        <f>190100+14000</f>
        <v>204100</v>
      </c>
      <c r="H27" s="27">
        <v>125551.0</v>
      </c>
      <c r="I27" s="28"/>
      <c r="J27" s="29">
        <v>140200.0</v>
      </c>
      <c r="K27" s="30">
        <v>124920.0</v>
      </c>
      <c r="L27" s="31"/>
      <c r="M27" s="32"/>
      <c r="N27" s="33"/>
      <c r="O27" s="40"/>
      <c r="P27" s="35"/>
      <c r="Q27" s="33"/>
      <c r="R27" s="33"/>
      <c r="S27" s="35"/>
      <c r="T27" s="35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</row>
    <row r="28" hidden="1">
      <c r="A28" s="350" t="s">
        <v>26</v>
      </c>
      <c r="B28" s="349">
        <v>45318.0</v>
      </c>
      <c r="C28" s="22">
        <v>446070.0</v>
      </c>
      <c r="D28" s="23">
        <v>322740.0</v>
      </c>
      <c r="E28" s="24">
        <v>4500.0</v>
      </c>
      <c r="F28" s="25">
        <v>6500.0</v>
      </c>
      <c r="G28" s="101">
        <v>144340.0</v>
      </c>
      <c r="H28" s="27">
        <v>97156.0</v>
      </c>
      <c r="I28" s="28"/>
      <c r="J28" s="29">
        <v>76600.0</v>
      </c>
      <c r="K28" s="30">
        <v>128730.0</v>
      </c>
      <c r="L28" s="31"/>
      <c r="M28" s="32"/>
      <c r="N28" s="33"/>
      <c r="O28" s="40"/>
      <c r="P28" s="35"/>
      <c r="Q28" s="33"/>
      <c r="R28" s="33"/>
      <c r="S28" s="35"/>
      <c r="T28" s="35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 hidden="1">
      <c r="A29" s="351" t="s">
        <v>27</v>
      </c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3"/>
      <c r="O29" s="40"/>
      <c r="P29" s="35"/>
      <c r="Q29" s="33"/>
      <c r="R29" s="33"/>
      <c r="S29" s="35"/>
      <c r="T29" s="35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</row>
    <row r="30" hidden="1">
      <c r="A30" s="343" t="s">
        <v>21</v>
      </c>
      <c r="B30" s="349">
        <v>45320.0</v>
      </c>
      <c r="C30" s="22">
        <v>604740.0</v>
      </c>
      <c r="D30" s="23">
        <v>431040.0</v>
      </c>
      <c r="E30" s="24">
        <v>2600.0</v>
      </c>
      <c r="F30" s="25">
        <f>1600+3000+2000</f>
        <v>6600</v>
      </c>
      <c r="G30" s="101">
        <f>192800+1100</f>
        <v>193900</v>
      </c>
      <c r="H30" s="27">
        <v>127400.0</v>
      </c>
      <c r="I30" s="28"/>
      <c r="J30" s="29">
        <v>118700.0</v>
      </c>
      <c r="K30" s="30">
        <v>160100.0</v>
      </c>
      <c r="L30" s="31"/>
      <c r="M30" s="39"/>
      <c r="N30" s="33"/>
      <c r="O30" s="40"/>
      <c r="P30" s="35"/>
      <c r="Q30" s="33"/>
      <c r="R30" s="33"/>
      <c r="S30" s="35"/>
      <c r="T30" s="35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</row>
    <row r="31" hidden="1">
      <c r="A31" s="353" t="s">
        <v>738</v>
      </c>
      <c r="B31" s="349">
        <v>45321.0</v>
      </c>
      <c r="C31" s="57">
        <v>495230.0</v>
      </c>
      <c r="D31" s="23">
        <v>386430.0</v>
      </c>
      <c r="E31" s="59">
        <f>500+1900+750+200+160+300</f>
        <v>3810</v>
      </c>
      <c r="F31" s="60">
        <v>4600.0</v>
      </c>
      <c r="G31" s="101">
        <f>6500+187030</f>
        <v>193530</v>
      </c>
      <c r="H31" s="62">
        <v>77500.0</v>
      </c>
      <c r="I31" s="63"/>
      <c r="J31" s="64">
        <v>142100.0</v>
      </c>
      <c r="K31" s="30">
        <v>87000.0</v>
      </c>
      <c r="L31" s="65"/>
      <c r="M31" s="66"/>
      <c r="N31" s="61"/>
      <c r="O31" s="67"/>
      <c r="P31" s="67"/>
      <c r="Q31" s="67"/>
      <c r="R31" s="67"/>
      <c r="S31" s="61"/>
      <c r="T31" s="61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</row>
    <row r="32" hidden="1">
      <c r="A32" s="353" t="s">
        <v>739</v>
      </c>
      <c r="B32" s="349">
        <v>45322.0</v>
      </c>
      <c r="C32" s="57">
        <v>518050.0</v>
      </c>
      <c r="D32" s="23">
        <v>423980.0</v>
      </c>
      <c r="E32" s="59">
        <v>3200.0</v>
      </c>
      <c r="F32" s="25">
        <v>4600.0</v>
      </c>
      <c r="G32" s="101">
        <v>155400.0</v>
      </c>
      <c r="H32" s="62">
        <v>115510.0</v>
      </c>
      <c r="I32" s="63"/>
      <c r="J32" s="64">
        <v>184680.0</v>
      </c>
      <c r="K32" s="30">
        <v>70770.0</v>
      </c>
      <c r="L32" s="65"/>
      <c r="M32" s="66"/>
      <c r="N32" s="61"/>
      <c r="O32" s="67"/>
      <c r="P32" s="67"/>
      <c r="Q32" s="67"/>
      <c r="R32" s="67"/>
      <c r="S32" s="61"/>
      <c r="T32" s="61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</row>
    <row r="33" hidden="1">
      <c r="A33" s="354" t="s">
        <v>28</v>
      </c>
      <c r="B33" s="69"/>
      <c r="C33" s="70">
        <f>SUM(C2:C32)</f>
        <v>15033985</v>
      </c>
      <c r="D33" s="71"/>
      <c r="E33" s="71"/>
      <c r="F33" s="71"/>
      <c r="G33" s="70"/>
      <c r="H33" s="70"/>
      <c r="I33" s="72"/>
      <c r="J33" s="70"/>
      <c r="K33" s="73"/>
      <c r="L33" s="74"/>
      <c r="M33" s="75"/>
      <c r="N33" s="61"/>
      <c r="O33" s="67"/>
      <c r="P33" s="67"/>
      <c r="Q33" s="67"/>
      <c r="R33" s="67"/>
      <c r="S33" s="61"/>
      <c r="T33" s="61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</row>
    <row r="34" hidden="1">
      <c r="A34" s="344" t="s">
        <v>24</v>
      </c>
      <c r="B34" s="355">
        <v>45323.0</v>
      </c>
      <c r="C34" s="22">
        <v>552340.0</v>
      </c>
      <c r="D34" s="23">
        <v>441800.0</v>
      </c>
      <c r="E34" s="24"/>
      <c r="F34" s="25">
        <v>3600.0</v>
      </c>
      <c r="G34" s="101">
        <v>229500.0</v>
      </c>
      <c r="H34" s="27">
        <v>94400.0</v>
      </c>
      <c r="I34" s="28"/>
      <c r="J34" s="29">
        <v>123900.0</v>
      </c>
      <c r="K34" s="30">
        <v>81540.0</v>
      </c>
      <c r="L34" s="31"/>
      <c r="M34" s="32"/>
      <c r="N34" s="33"/>
      <c r="O34" s="40"/>
      <c r="P34" s="35"/>
      <c r="Q34" s="33"/>
      <c r="R34" s="33"/>
      <c r="S34" s="35"/>
      <c r="T34" s="35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</row>
    <row r="35" hidden="1">
      <c r="A35" s="344" t="s">
        <v>25</v>
      </c>
      <c r="B35" s="349">
        <v>45324.0</v>
      </c>
      <c r="C35" s="22">
        <v>552810.0</v>
      </c>
      <c r="D35" s="23">
        <v>383410.0</v>
      </c>
      <c r="E35" s="24"/>
      <c r="F35" s="25">
        <v>11600.0</v>
      </c>
      <c r="G35" s="101">
        <v>123600.0</v>
      </c>
      <c r="H35" s="27">
        <v>92456.0</v>
      </c>
      <c r="I35" s="28"/>
      <c r="J35" s="29">
        <v>134210.0</v>
      </c>
      <c r="K35" s="30">
        <v>165400.0</v>
      </c>
      <c r="L35" s="31"/>
      <c r="M35" s="39"/>
      <c r="N35" s="33"/>
      <c r="O35" s="40"/>
      <c r="P35" s="35"/>
      <c r="Q35" s="33"/>
      <c r="R35" s="33"/>
      <c r="S35" s="35"/>
      <c r="T35" s="35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</row>
    <row r="36" hidden="1">
      <c r="A36" s="344" t="s">
        <v>26</v>
      </c>
      <c r="B36" s="349">
        <v>45325.0</v>
      </c>
      <c r="C36" s="22">
        <v>432660.0</v>
      </c>
      <c r="D36" s="23">
        <v>344900.0</v>
      </c>
      <c r="E36" s="24">
        <f>1500+1500+700+400+310</f>
        <v>4410</v>
      </c>
      <c r="F36" s="25">
        <f>2000+1000+6000</f>
        <v>9000</v>
      </c>
      <c r="G36" s="101">
        <f>14900+223100</f>
        <v>238000</v>
      </c>
      <c r="H36" s="27">
        <v>36600.0</v>
      </c>
      <c r="I36" s="28"/>
      <c r="J36" s="29">
        <v>56600.0</v>
      </c>
      <c r="K36" s="30">
        <v>87760.0</v>
      </c>
      <c r="L36" s="31"/>
      <c r="M36" s="32"/>
      <c r="N36" s="33"/>
      <c r="O36" s="40"/>
      <c r="P36" s="35"/>
      <c r="Q36" s="33"/>
      <c r="R36" s="33"/>
      <c r="S36" s="35"/>
      <c r="T36" s="35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</row>
    <row r="37" hidden="1">
      <c r="A37" s="351" t="s">
        <v>27</v>
      </c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3"/>
      <c r="O37" s="40"/>
      <c r="P37" s="35"/>
      <c r="Q37" s="33"/>
      <c r="R37" s="33"/>
      <c r="S37" s="35"/>
      <c r="T37" s="35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</row>
    <row r="38" hidden="1">
      <c r="A38" s="344" t="s">
        <v>21</v>
      </c>
      <c r="B38" s="41">
        <v>45327.0</v>
      </c>
      <c r="C38" s="22">
        <v>649730.0</v>
      </c>
      <c r="D38" s="23">
        <v>501120.0</v>
      </c>
      <c r="E38" s="24">
        <v>3000.0</v>
      </c>
      <c r="F38" s="25">
        <v>7500.0</v>
      </c>
      <c r="G38" s="101">
        <v>233740.0</v>
      </c>
      <c r="H38" s="27">
        <v>137261.0</v>
      </c>
      <c r="I38" s="28"/>
      <c r="J38" s="29">
        <v>118500.0</v>
      </c>
      <c r="K38" s="30">
        <v>168390.0</v>
      </c>
      <c r="L38" s="31"/>
      <c r="M38" s="32"/>
      <c r="N38" s="33"/>
      <c r="O38" s="40"/>
      <c r="P38" s="35"/>
      <c r="Q38" s="33"/>
      <c r="R38" s="33"/>
      <c r="S38" s="35"/>
      <c r="T38" s="35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</row>
    <row r="39" hidden="1">
      <c r="A39" s="344" t="s">
        <v>22</v>
      </c>
      <c r="B39" s="41">
        <v>45328.0</v>
      </c>
      <c r="C39" s="22">
        <v>659570.0</v>
      </c>
      <c r="D39" s="23">
        <v>478990.0</v>
      </c>
      <c r="E39" s="24">
        <v>3000.0</v>
      </c>
      <c r="F39" s="25">
        <v>3500.0</v>
      </c>
      <c r="G39" s="101">
        <v>230810.0</v>
      </c>
      <c r="H39" s="27">
        <v>135871.0</v>
      </c>
      <c r="I39" s="28"/>
      <c r="J39" s="29">
        <v>128880.0</v>
      </c>
      <c r="K39" s="30">
        <v>168080.0</v>
      </c>
      <c r="L39" s="31"/>
      <c r="M39" s="39"/>
      <c r="N39" s="33"/>
      <c r="O39" s="40"/>
      <c r="P39" s="35"/>
      <c r="Q39" s="33"/>
      <c r="R39" s="33"/>
      <c r="S39" s="35"/>
      <c r="T39" s="35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 hidden="1">
      <c r="A40" s="343" t="s">
        <v>23</v>
      </c>
      <c r="B40" s="41">
        <v>45329.0</v>
      </c>
      <c r="C40" s="80">
        <v>710220.0</v>
      </c>
      <c r="D40" s="81">
        <v>526620.0</v>
      </c>
      <c r="E40" s="82">
        <v>3500.0</v>
      </c>
      <c r="F40" s="83">
        <v>3500.0</v>
      </c>
      <c r="G40" s="101">
        <f>250570+21600</f>
        <v>272170</v>
      </c>
      <c r="H40" s="84">
        <v>138610.0</v>
      </c>
      <c r="I40" s="85"/>
      <c r="J40" s="86">
        <v>118700.0</v>
      </c>
      <c r="K40" s="30">
        <v>189200.0</v>
      </c>
      <c r="L40" s="31"/>
      <c r="M40" s="39"/>
      <c r="N40" s="33"/>
      <c r="O40" s="40"/>
      <c r="P40" s="35"/>
      <c r="Q40" s="33"/>
      <c r="R40" s="33"/>
      <c r="S40" s="35"/>
      <c r="T40" s="35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 hidden="1">
      <c r="A41" s="344" t="s">
        <v>30</v>
      </c>
      <c r="B41" s="21">
        <v>45330.0</v>
      </c>
      <c r="C41" s="22">
        <v>693630.0</v>
      </c>
      <c r="D41" s="23">
        <v>458600.0</v>
      </c>
      <c r="E41" s="24">
        <v>3500.0</v>
      </c>
      <c r="F41" s="25">
        <v>3500.0</v>
      </c>
      <c r="G41" s="101">
        <v>296450.0</v>
      </c>
      <c r="H41" s="27">
        <v>40483.0</v>
      </c>
      <c r="I41" s="28"/>
      <c r="J41" s="29">
        <v>165530.0</v>
      </c>
      <c r="K41" s="30">
        <v>170730.0</v>
      </c>
      <c r="L41" s="31"/>
      <c r="M41" s="32"/>
      <c r="N41" s="33"/>
      <c r="O41" s="40"/>
      <c r="P41" s="35"/>
      <c r="Q41" s="33"/>
      <c r="R41" s="33"/>
      <c r="S41" s="35"/>
      <c r="T41" s="35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</row>
    <row r="42" hidden="1">
      <c r="A42" s="344" t="s">
        <v>25</v>
      </c>
      <c r="B42" s="41">
        <v>45331.0</v>
      </c>
      <c r="C42" s="22">
        <v>460060.0</v>
      </c>
      <c r="D42" s="23">
        <v>355300.0</v>
      </c>
      <c r="E42" s="24">
        <v>5730.0</v>
      </c>
      <c r="F42" s="25">
        <v>3500.0</v>
      </c>
      <c r="G42" s="101">
        <v>184200.0</v>
      </c>
      <c r="H42" s="27">
        <v>79800.0</v>
      </c>
      <c r="I42" s="28"/>
      <c r="J42" s="29">
        <v>65490.0</v>
      </c>
      <c r="K42" s="30">
        <v>137720.0</v>
      </c>
      <c r="L42" s="31"/>
      <c r="M42" s="39"/>
      <c r="N42" s="33"/>
      <c r="O42" s="40"/>
      <c r="P42" s="35"/>
      <c r="Q42" s="33"/>
      <c r="R42" s="33"/>
      <c r="S42" s="35"/>
      <c r="T42" s="35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</row>
    <row r="43" hidden="1">
      <c r="A43" s="344" t="s">
        <v>26</v>
      </c>
      <c r="B43" s="41">
        <v>45332.0</v>
      </c>
      <c r="C43" s="22">
        <v>622970.0</v>
      </c>
      <c r="D43" s="23">
        <v>451280.0</v>
      </c>
      <c r="E43" s="24"/>
      <c r="F43" s="25">
        <v>11500.0</v>
      </c>
      <c r="G43" s="101">
        <v>163900.0</v>
      </c>
      <c r="H43" s="27">
        <v>81611.0</v>
      </c>
      <c r="I43" s="28"/>
      <c r="J43" s="29">
        <v>119680.0</v>
      </c>
      <c r="K43" s="30">
        <v>161690.0</v>
      </c>
      <c r="L43" s="31"/>
      <c r="M43" s="39"/>
      <c r="N43" s="33"/>
      <c r="O43" s="40"/>
      <c r="P43" s="35"/>
      <c r="Q43" s="33"/>
      <c r="R43" s="33"/>
      <c r="S43" s="35"/>
      <c r="T43" s="35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</row>
    <row r="44" hidden="1">
      <c r="A44" s="351" t="s">
        <v>27</v>
      </c>
      <c r="B44" s="352"/>
      <c r="C44" s="352"/>
      <c r="D44" s="352"/>
      <c r="E44" s="352"/>
      <c r="F44" s="346"/>
      <c r="G44" s="352"/>
      <c r="H44" s="352"/>
      <c r="I44" s="352"/>
      <c r="J44" s="352"/>
      <c r="K44" s="352"/>
      <c r="L44" s="352"/>
      <c r="M44" s="352"/>
      <c r="N44" s="33"/>
      <c r="O44" s="40"/>
      <c r="P44" s="35"/>
      <c r="Q44" s="33"/>
      <c r="R44" s="33"/>
      <c r="S44" s="35"/>
      <c r="T44" s="35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</row>
    <row r="45" hidden="1">
      <c r="A45" s="344" t="s">
        <v>21</v>
      </c>
      <c r="B45" s="41">
        <v>45334.0</v>
      </c>
      <c r="C45" s="22">
        <v>534760.0</v>
      </c>
      <c r="D45" s="23">
        <v>418560.0</v>
      </c>
      <c r="E45" s="24">
        <v>5000.0</v>
      </c>
      <c r="F45" s="25">
        <v>9500.0</v>
      </c>
      <c r="G45" s="101">
        <v>145500.0</v>
      </c>
      <c r="H45" s="27">
        <v>34771.0</v>
      </c>
      <c r="I45" s="28"/>
      <c r="J45" s="29">
        <v>110140.0</v>
      </c>
      <c r="K45" s="30">
        <v>122500.0</v>
      </c>
      <c r="L45" s="31"/>
      <c r="M45" s="39"/>
      <c r="N45" s="33"/>
      <c r="O45" s="40"/>
      <c r="P45" s="35"/>
      <c r="Q45" s="33"/>
      <c r="R45" s="33"/>
      <c r="S45" s="35"/>
      <c r="T45" s="35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 hidden="1">
      <c r="A46" s="344" t="s">
        <v>22</v>
      </c>
      <c r="B46" s="41">
        <v>45335.0</v>
      </c>
      <c r="C46" s="22">
        <v>523205.0</v>
      </c>
      <c r="D46" s="23">
        <v>428605.0</v>
      </c>
      <c r="E46" s="24">
        <v>5400.0</v>
      </c>
      <c r="F46" s="25">
        <v>9500.0</v>
      </c>
      <c r="G46" s="101">
        <v>286900.0</v>
      </c>
      <c r="H46" s="27">
        <v>182000.0</v>
      </c>
      <c r="I46" s="28"/>
      <c r="J46" s="29">
        <v>159005.0</v>
      </c>
      <c r="K46" s="30">
        <v>116000.0</v>
      </c>
      <c r="L46" s="31"/>
      <c r="M46" s="32"/>
      <c r="N46" s="33"/>
      <c r="O46" s="40"/>
      <c r="P46" s="35"/>
      <c r="Q46" s="33"/>
      <c r="R46" s="33"/>
      <c r="S46" s="35"/>
      <c r="T46" s="35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 hidden="1">
      <c r="A47" s="343" t="s">
        <v>23</v>
      </c>
      <c r="B47" s="41">
        <v>45336.0</v>
      </c>
      <c r="C47" s="22">
        <v>838350.0</v>
      </c>
      <c r="D47" s="23">
        <v>608400.0</v>
      </c>
      <c r="E47" s="24">
        <v>500.0</v>
      </c>
      <c r="F47" s="25">
        <v>9500.0</v>
      </c>
      <c r="G47" s="101">
        <v>178320.0</v>
      </c>
      <c r="H47" s="27">
        <v>141900.0</v>
      </c>
      <c r="I47" s="28"/>
      <c r="J47" s="29">
        <v>216000.0</v>
      </c>
      <c r="K47" s="30">
        <v>222000.0</v>
      </c>
      <c r="L47" s="31"/>
      <c r="M47" s="39"/>
      <c r="N47" s="33"/>
      <c r="O47" s="40"/>
      <c r="P47" s="35"/>
      <c r="Q47" s="33"/>
      <c r="R47" s="33"/>
      <c r="S47" s="35"/>
      <c r="T47" s="35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</row>
    <row r="48" hidden="1">
      <c r="A48" s="344" t="s">
        <v>24</v>
      </c>
      <c r="B48" s="21">
        <v>45337.0</v>
      </c>
      <c r="C48" s="22">
        <v>799600.0</v>
      </c>
      <c r="D48" s="23">
        <v>660680.0</v>
      </c>
      <c r="E48" s="24"/>
      <c r="F48" s="25"/>
      <c r="G48" s="101">
        <v>352500.0</v>
      </c>
      <c r="H48" s="27">
        <v>189800.0</v>
      </c>
      <c r="I48" s="28"/>
      <c r="J48" s="29">
        <v>324000.0</v>
      </c>
      <c r="K48" s="30">
        <v>387850.0</v>
      </c>
      <c r="L48" s="31"/>
      <c r="M48" s="32"/>
      <c r="N48" s="33"/>
      <c r="O48" s="40"/>
      <c r="P48" s="35"/>
      <c r="Q48" s="33"/>
      <c r="R48" s="33"/>
      <c r="S48" s="35"/>
      <c r="T48" s="35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</row>
    <row r="49" hidden="1">
      <c r="A49" s="344" t="s">
        <v>25</v>
      </c>
      <c r="B49" s="41">
        <v>45338.0</v>
      </c>
      <c r="C49" s="22">
        <v>609960.0</v>
      </c>
      <c r="D49" s="23">
        <v>500700.0</v>
      </c>
      <c r="E49" s="24"/>
      <c r="F49" s="25"/>
      <c r="G49" s="101">
        <v>223900.0</v>
      </c>
      <c r="H49" s="27">
        <v>110446.0</v>
      </c>
      <c r="I49" s="28"/>
      <c r="J49" s="29">
        <v>182000.0</v>
      </c>
      <c r="K49" s="30">
        <v>103660.0</v>
      </c>
      <c r="L49" s="31"/>
      <c r="M49" s="39"/>
      <c r="N49" s="33"/>
      <c r="O49" s="40"/>
      <c r="P49" s="35"/>
      <c r="Q49" s="33"/>
      <c r="R49" s="33"/>
      <c r="S49" s="35"/>
      <c r="T49" s="35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</row>
    <row r="50" hidden="1">
      <c r="A50" s="344" t="s">
        <v>26</v>
      </c>
      <c r="B50" s="41">
        <v>45339.0</v>
      </c>
      <c r="C50" s="22">
        <v>599610.0</v>
      </c>
      <c r="D50" s="23">
        <v>435250.0</v>
      </c>
      <c r="E50" s="24">
        <v>3000.0</v>
      </c>
      <c r="F50" s="25">
        <f>3600+8000</f>
        <v>11600</v>
      </c>
      <c r="G50" s="101">
        <v>286850.0</v>
      </c>
      <c r="H50" s="27">
        <v>12700.0</v>
      </c>
      <c r="I50" s="28"/>
      <c r="J50" s="29">
        <v>159500.0</v>
      </c>
      <c r="K50" s="30">
        <v>164360.0</v>
      </c>
      <c r="L50" s="31"/>
      <c r="M50" s="32"/>
      <c r="N50" s="33"/>
      <c r="O50" s="40"/>
      <c r="P50" s="35"/>
      <c r="Q50" s="33"/>
      <c r="R50" s="33"/>
      <c r="S50" s="35"/>
      <c r="T50" s="35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</row>
    <row r="51" hidden="1">
      <c r="A51" s="351" t="s">
        <v>27</v>
      </c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3"/>
      <c r="O51" s="40"/>
      <c r="P51" s="35"/>
      <c r="Q51" s="33"/>
      <c r="R51" s="33"/>
      <c r="S51" s="35"/>
      <c r="T51" s="35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</row>
    <row r="52" hidden="1">
      <c r="A52" s="344" t="s">
        <v>21</v>
      </c>
      <c r="B52" s="41">
        <v>45341.0</v>
      </c>
      <c r="C52" s="22">
        <v>595240.0</v>
      </c>
      <c r="D52" s="23">
        <v>446920.0</v>
      </c>
      <c r="E52" s="24"/>
      <c r="F52" s="25"/>
      <c r="G52" s="101">
        <v>277300.0</v>
      </c>
      <c r="H52" s="27">
        <v>79750.0</v>
      </c>
      <c r="I52" s="28"/>
      <c r="J52" s="29">
        <v>121820.0</v>
      </c>
      <c r="K52" s="30">
        <v>147920.0</v>
      </c>
      <c r="L52" s="31"/>
      <c r="M52" s="32"/>
      <c r="N52" s="33"/>
      <c r="O52" s="40"/>
      <c r="P52" s="35"/>
      <c r="Q52" s="33"/>
      <c r="R52" s="33"/>
      <c r="S52" s="35"/>
      <c r="T52" s="35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</row>
    <row r="53" hidden="1">
      <c r="A53" s="343" t="s">
        <v>22</v>
      </c>
      <c r="B53" s="41">
        <v>45342.0</v>
      </c>
      <c r="C53" s="22">
        <v>662170.0</v>
      </c>
      <c r="D53" s="23">
        <v>500410.0</v>
      </c>
      <c r="E53" s="24">
        <f>2000+3400+1400+200+600+200+250</f>
        <v>8050</v>
      </c>
      <c r="F53" s="25">
        <f>1000+1000+1000+500</f>
        <v>3500</v>
      </c>
      <c r="G53" s="101">
        <f>254200+28400</f>
        <v>282600</v>
      </c>
      <c r="H53" s="27">
        <v>108150.0</v>
      </c>
      <c r="I53" s="28"/>
      <c r="J53" s="29">
        <v>95060.0</v>
      </c>
      <c r="K53" s="30">
        <v>159660.0</v>
      </c>
      <c r="L53" s="31"/>
      <c r="M53" s="39"/>
      <c r="N53" s="33"/>
      <c r="O53" s="40"/>
      <c r="P53" s="35"/>
      <c r="Q53" s="33"/>
      <c r="R53" s="33"/>
      <c r="S53" s="35"/>
      <c r="T53" s="35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</row>
    <row r="54" hidden="1">
      <c r="A54" s="343" t="s">
        <v>23</v>
      </c>
      <c r="B54" s="21">
        <v>45343.0</v>
      </c>
      <c r="C54" s="22">
        <v>661440.0</v>
      </c>
      <c r="D54" s="23">
        <v>474300.0</v>
      </c>
      <c r="E54" s="24">
        <v>6000.0</v>
      </c>
      <c r="F54" s="25">
        <v>3500.0</v>
      </c>
      <c r="G54" s="101">
        <v>235200.0</v>
      </c>
      <c r="H54" s="27">
        <v>156600.0</v>
      </c>
      <c r="I54" s="28"/>
      <c r="J54" s="29">
        <v>70600.0</v>
      </c>
      <c r="K54" s="30">
        <v>193340.0</v>
      </c>
      <c r="L54" s="31"/>
      <c r="M54" s="39"/>
      <c r="N54" s="33"/>
      <c r="O54" s="40"/>
      <c r="P54" s="35"/>
      <c r="Q54" s="33"/>
      <c r="R54" s="33"/>
      <c r="S54" s="35"/>
      <c r="T54" s="35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</row>
    <row r="55" hidden="1">
      <c r="A55" s="343" t="s">
        <v>24</v>
      </c>
      <c r="B55" s="21">
        <v>45344.0</v>
      </c>
      <c r="C55" s="22">
        <v>696780.0</v>
      </c>
      <c r="D55" s="23">
        <v>587780.0</v>
      </c>
      <c r="E55" s="24">
        <v>6000.0</v>
      </c>
      <c r="F55" s="25">
        <v>3500.0</v>
      </c>
      <c r="G55" s="101">
        <f>231800+7600</f>
        <v>239400</v>
      </c>
      <c r="H55" s="87">
        <v>134055.0</v>
      </c>
      <c r="I55" s="88"/>
      <c r="J55" s="89">
        <v>181200.0</v>
      </c>
      <c r="K55" s="30">
        <v>109000.0</v>
      </c>
      <c r="L55" s="31"/>
      <c r="M55" s="32"/>
      <c r="N55" s="33"/>
      <c r="O55" s="40"/>
      <c r="P55" s="35"/>
      <c r="Q55" s="33"/>
      <c r="R55" s="33"/>
      <c r="S55" s="35"/>
      <c r="T55" s="35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</row>
    <row r="56" hidden="1">
      <c r="A56" s="343" t="s">
        <v>25</v>
      </c>
      <c r="B56" s="21">
        <v>45345.0</v>
      </c>
      <c r="C56" s="22">
        <v>562300.0</v>
      </c>
      <c r="D56" s="23">
        <v>451400.0</v>
      </c>
      <c r="E56" s="24">
        <v>6000.0</v>
      </c>
      <c r="F56" s="25">
        <v>3500.0</v>
      </c>
      <c r="G56" s="101">
        <v>233700.0</v>
      </c>
      <c r="H56" s="87">
        <v>72255.0</v>
      </c>
      <c r="I56" s="88"/>
      <c r="J56" s="89">
        <v>181500.0</v>
      </c>
      <c r="K56" s="30">
        <v>106100.0</v>
      </c>
      <c r="L56" s="31"/>
      <c r="M56" s="39"/>
      <c r="N56" s="33"/>
      <c r="O56" s="40"/>
      <c r="P56" s="35"/>
      <c r="Q56" s="33"/>
      <c r="R56" s="33"/>
      <c r="S56" s="35"/>
      <c r="T56" s="35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</row>
    <row r="57" hidden="1">
      <c r="A57" s="344" t="s">
        <v>26</v>
      </c>
      <c r="B57" s="21">
        <v>45346.0</v>
      </c>
      <c r="C57" s="22">
        <v>773900.0</v>
      </c>
      <c r="D57" s="23">
        <v>567100.0</v>
      </c>
      <c r="E57" s="24">
        <v>6000.0</v>
      </c>
      <c r="F57" s="25">
        <v>11500.0</v>
      </c>
      <c r="G57" s="101">
        <v>359470.0</v>
      </c>
      <c r="H57" s="90">
        <v>70200.0</v>
      </c>
      <c r="I57" s="91"/>
      <c r="J57" s="92">
        <v>119330.0</v>
      </c>
      <c r="K57" s="30">
        <v>238400.0</v>
      </c>
      <c r="L57" s="31"/>
      <c r="M57" s="39"/>
      <c r="N57" s="33"/>
      <c r="O57" s="40"/>
      <c r="P57" s="35"/>
      <c r="Q57" s="33"/>
      <c r="R57" s="33"/>
      <c r="S57" s="35"/>
      <c r="T57" s="35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</row>
    <row r="58" hidden="1">
      <c r="A58" s="351" t="s">
        <v>27</v>
      </c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3"/>
      <c r="O58" s="40"/>
      <c r="P58" s="35"/>
      <c r="Q58" s="33"/>
      <c r="R58" s="33"/>
      <c r="S58" s="35"/>
      <c r="T58" s="35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</row>
    <row r="59" hidden="1">
      <c r="A59" s="344" t="s">
        <v>21</v>
      </c>
      <c r="B59" s="41">
        <v>45348.0</v>
      </c>
      <c r="C59" s="22">
        <v>653040.0</v>
      </c>
      <c r="D59" s="23">
        <v>537640.0</v>
      </c>
      <c r="E59" s="24">
        <f>600+1500+1900+1550+200+740+200+200</f>
        <v>6890</v>
      </c>
      <c r="F59" s="25">
        <v>11500.0</v>
      </c>
      <c r="G59" s="101">
        <f>90500+103900</f>
        <v>194400</v>
      </c>
      <c r="H59" s="90">
        <v>110231.0</v>
      </c>
      <c r="I59" s="91"/>
      <c r="J59" s="92">
        <v>231740.0</v>
      </c>
      <c r="K59" s="30">
        <v>106300.0</v>
      </c>
      <c r="L59" s="31"/>
      <c r="M59" s="32"/>
      <c r="N59" s="33"/>
      <c r="O59" s="40"/>
      <c r="P59" s="35"/>
      <c r="Q59" s="33"/>
      <c r="R59" s="33"/>
      <c r="S59" s="35"/>
      <c r="T59" s="35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</row>
    <row r="60" hidden="1">
      <c r="A60" s="344" t="s">
        <v>738</v>
      </c>
      <c r="B60" s="41">
        <v>45349.0</v>
      </c>
      <c r="C60" s="22">
        <v>588360.0</v>
      </c>
      <c r="D60" s="23">
        <v>449620.0</v>
      </c>
      <c r="E60" s="24"/>
      <c r="F60" s="25"/>
      <c r="G60" s="101">
        <v>255580.0</v>
      </c>
      <c r="H60" s="90">
        <v>90900.0</v>
      </c>
      <c r="I60" s="91"/>
      <c r="J60" s="92">
        <v>104340.0</v>
      </c>
      <c r="K60" s="30">
        <v>138540.0</v>
      </c>
      <c r="L60" s="31"/>
      <c r="M60" s="39"/>
      <c r="N60" s="33"/>
      <c r="O60" s="40"/>
      <c r="P60" s="35"/>
      <c r="Q60" s="33"/>
      <c r="R60" s="33"/>
      <c r="S60" s="35"/>
      <c r="T60" s="35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</row>
    <row r="61" hidden="1">
      <c r="A61" s="344" t="s">
        <v>23</v>
      </c>
      <c r="B61" s="41">
        <v>45350.0</v>
      </c>
      <c r="C61" s="22">
        <v>685580.0</v>
      </c>
      <c r="D61" s="23">
        <v>489000.0</v>
      </c>
      <c r="E61" s="24"/>
      <c r="F61" s="25">
        <v>3500.0</v>
      </c>
      <c r="G61" s="101">
        <v>250700.0</v>
      </c>
      <c r="H61" s="90">
        <v>109626.0</v>
      </c>
      <c r="I61" s="91"/>
      <c r="J61" s="92">
        <v>146500.0</v>
      </c>
      <c r="K61" s="30">
        <v>202080.0</v>
      </c>
      <c r="L61" s="31"/>
      <c r="M61" s="39"/>
      <c r="N61" s="33"/>
      <c r="O61" s="40"/>
      <c r="P61" s="35"/>
      <c r="Q61" s="33"/>
      <c r="R61" s="33"/>
      <c r="S61" s="35"/>
      <c r="T61" s="35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</row>
    <row r="62" hidden="1">
      <c r="A62" s="344" t="s">
        <v>740</v>
      </c>
      <c r="B62" s="41">
        <v>45351.0</v>
      </c>
      <c r="C62" s="22">
        <v>1338120.0</v>
      </c>
      <c r="D62" s="23">
        <v>1188960.0</v>
      </c>
      <c r="E62" s="24"/>
      <c r="F62" s="25">
        <v>3500.0</v>
      </c>
      <c r="G62" s="101">
        <v>731800.0</v>
      </c>
      <c r="H62" s="90">
        <v>201311.0</v>
      </c>
      <c r="I62" s="91"/>
      <c r="J62" s="92">
        <v>226860.0</v>
      </c>
      <c r="K62" s="30">
        <v>181160.0</v>
      </c>
      <c r="L62" s="31"/>
      <c r="M62" s="39"/>
      <c r="N62" s="33"/>
      <c r="O62" s="40"/>
      <c r="P62" s="35"/>
      <c r="Q62" s="33"/>
      <c r="R62" s="33"/>
      <c r="S62" s="35"/>
      <c r="T62" s="35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</row>
    <row r="63" hidden="1">
      <c r="A63" s="356" t="s">
        <v>28</v>
      </c>
      <c r="B63" s="94"/>
      <c r="C63" s="95">
        <f>SUM(C34:C62)</f>
        <v>16456405</v>
      </c>
      <c r="D63" s="95"/>
      <c r="E63" s="95"/>
      <c r="F63" s="95"/>
      <c r="G63" s="95"/>
      <c r="H63" s="95"/>
      <c r="I63" s="95"/>
      <c r="J63" s="95"/>
      <c r="K63" s="73"/>
      <c r="L63" s="97"/>
      <c r="M63" s="39"/>
      <c r="N63" s="33"/>
      <c r="O63" s="40"/>
      <c r="P63" s="35"/>
      <c r="Q63" s="33"/>
      <c r="R63" s="33"/>
      <c r="S63" s="35"/>
      <c r="T63" s="35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</row>
    <row r="64" hidden="1">
      <c r="A64" s="357" t="s">
        <v>25</v>
      </c>
      <c r="B64" s="100">
        <v>45352.0</v>
      </c>
      <c r="C64" s="22">
        <v>765740.0</v>
      </c>
      <c r="D64" s="101">
        <v>627400.0</v>
      </c>
      <c r="E64" s="24"/>
      <c r="F64" s="25">
        <v>2500.0</v>
      </c>
      <c r="G64" s="101">
        <v>312700.0</v>
      </c>
      <c r="H64" s="27">
        <v>144381.0</v>
      </c>
      <c r="I64" s="28"/>
      <c r="J64" s="29">
        <v>178800.0</v>
      </c>
      <c r="K64" s="30">
        <v>141740.0</v>
      </c>
      <c r="L64" s="31"/>
      <c r="M64" s="39"/>
      <c r="N64" s="33"/>
      <c r="O64" s="40"/>
      <c r="P64" s="35"/>
      <c r="Q64" s="33"/>
      <c r="R64" s="33"/>
      <c r="S64" s="35"/>
      <c r="T64" s="35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</row>
    <row r="65" hidden="1">
      <c r="A65" s="357" t="s">
        <v>33</v>
      </c>
      <c r="B65" s="100">
        <v>45353.0</v>
      </c>
      <c r="C65" s="22">
        <v>605600.0</v>
      </c>
      <c r="D65" s="23">
        <v>492000.0</v>
      </c>
      <c r="E65" s="24"/>
      <c r="F65" s="25"/>
      <c r="G65" s="101">
        <v>213900.0</v>
      </c>
      <c r="H65" s="27">
        <v>81505.0</v>
      </c>
      <c r="I65" s="28"/>
      <c r="J65" s="29">
        <v>102700.0</v>
      </c>
      <c r="K65" s="30">
        <v>113600.0</v>
      </c>
      <c r="L65" s="31"/>
      <c r="M65" s="39"/>
      <c r="N65" s="33"/>
      <c r="O65" s="40"/>
      <c r="P65" s="35"/>
      <c r="Q65" s="33"/>
      <c r="R65" s="33"/>
      <c r="S65" s="35"/>
      <c r="T65" s="35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</row>
    <row r="66" hidden="1">
      <c r="A66" s="351" t="s">
        <v>27</v>
      </c>
      <c r="B66" s="100">
        <v>45354.0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15"/>
      <c r="M66" s="352"/>
      <c r="N66" s="33"/>
      <c r="O66" s="40"/>
      <c r="P66" s="35"/>
      <c r="Q66" s="33"/>
      <c r="R66" s="33"/>
      <c r="S66" s="35"/>
      <c r="T66" s="35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</row>
    <row r="67" hidden="1">
      <c r="A67" s="357" t="s">
        <v>21</v>
      </c>
      <c r="B67" s="100">
        <v>45355.0</v>
      </c>
      <c r="C67" s="22">
        <v>534500.0</v>
      </c>
      <c r="D67" s="23">
        <v>459100.0</v>
      </c>
      <c r="E67" s="24"/>
      <c r="F67" s="25">
        <v>2500.0</v>
      </c>
      <c r="G67" s="101">
        <v>126300.0</v>
      </c>
      <c r="H67" s="27">
        <v>138666.0</v>
      </c>
      <c r="I67" s="28"/>
      <c r="J67" s="29">
        <v>127600.0</v>
      </c>
      <c r="K67" s="30">
        <v>75400.0</v>
      </c>
      <c r="L67" s="31"/>
      <c r="M67" s="39"/>
      <c r="N67" s="33"/>
      <c r="O67" s="40"/>
      <c r="P67" s="35"/>
      <c r="Q67" s="33"/>
      <c r="R67" s="33"/>
      <c r="S67" s="35"/>
      <c r="T67" s="35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</row>
    <row r="68" hidden="1">
      <c r="A68" s="357" t="s">
        <v>22</v>
      </c>
      <c r="B68" s="100">
        <v>45356.0</v>
      </c>
      <c r="C68" s="22">
        <v>850260.0</v>
      </c>
      <c r="D68" s="23">
        <v>716700.0</v>
      </c>
      <c r="E68" s="24"/>
      <c r="F68" s="25"/>
      <c r="G68" s="101">
        <v>349400.0</v>
      </c>
      <c r="H68" s="27">
        <v>19115.0</v>
      </c>
      <c r="I68" s="28"/>
      <c r="J68" s="29">
        <v>174900.0</v>
      </c>
      <c r="K68" s="30">
        <v>143460.0</v>
      </c>
      <c r="L68" s="31"/>
      <c r="M68" s="39"/>
      <c r="N68" s="33"/>
      <c r="O68" s="40"/>
      <c r="P68" s="35"/>
      <c r="Q68" s="33"/>
      <c r="R68" s="33"/>
      <c r="S68" s="35"/>
      <c r="T68" s="35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</row>
    <row r="69" hidden="1">
      <c r="A69" s="357" t="s">
        <v>32</v>
      </c>
      <c r="B69" s="100">
        <v>45357.0</v>
      </c>
      <c r="C69" s="22">
        <v>686210.0</v>
      </c>
      <c r="D69" s="23">
        <v>559100.0</v>
      </c>
      <c r="E69" s="24"/>
      <c r="F69" s="25"/>
      <c r="G69" s="101">
        <v>361200.0</v>
      </c>
      <c r="H69" s="27">
        <v>66215.0</v>
      </c>
      <c r="I69" s="28"/>
      <c r="J69" s="29">
        <v>110500.0</v>
      </c>
      <c r="K69" s="30">
        <v>140110.0</v>
      </c>
      <c r="L69" s="31"/>
      <c r="M69" s="39"/>
      <c r="N69" s="33"/>
      <c r="O69" s="40"/>
      <c r="P69" s="35"/>
      <c r="Q69" s="33"/>
      <c r="R69" s="33"/>
      <c r="S69" s="35"/>
      <c r="T69" s="35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</row>
    <row r="70" hidden="1">
      <c r="A70" s="357" t="s">
        <v>24</v>
      </c>
      <c r="B70" s="100">
        <v>45358.0</v>
      </c>
      <c r="C70" s="22">
        <v>876350.0</v>
      </c>
      <c r="D70" s="23">
        <v>733560.0</v>
      </c>
      <c r="E70" s="24"/>
      <c r="F70" s="25"/>
      <c r="G70" s="101">
        <v>354300.0</v>
      </c>
      <c r="H70" s="27">
        <v>183315.0</v>
      </c>
      <c r="I70" s="28"/>
      <c r="J70" s="29">
        <v>99380.0</v>
      </c>
      <c r="K70" s="30">
        <v>172890.0</v>
      </c>
      <c r="L70" s="31"/>
      <c r="M70" s="39"/>
      <c r="N70" s="33"/>
      <c r="O70" s="40"/>
      <c r="P70" s="35"/>
      <c r="Q70" s="33"/>
      <c r="R70" s="33"/>
      <c r="S70" s="35"/>
      <c r="T70" s="35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</row>
    <row r="71" hidden="1">
      <c r="A71" s="357" t="s">
        <v>25</v>
      </c>
      <c r="B71" s="100">
        <v>45359.0</v>
      </c>
      <c r="C71" s="22">
        <v>630640.0</v>
      </c>
      <c r="D71" s="23">
        <v>492840.0</v>
      </c>
      <c r="E71" s="24"/>
      <c r="F71" s="25">
        <v>2500.0</v>
      </c>
      <c r="G71" s="101">
        <v>278900.0</v>
      </c>
      <c r="H71" s="27">
        <v>72105.0</v>
      </c>
      <c r="I71" s="28"/>
      <c r="J71" s="29">
        <v>168540.0</v>
      </c>
      <c r="K71" s="30">
        <v>126500.0</v>
      </c>
      <c r="L71" s="31"/>
      <c r="M71" s="39"/>
      <c r="N71" s="33"/>
      <c r="O71" s="40"/>
      <c r="P71" s="35"/>
      <c r="Q71" s="33"/>
      <c r="R71" s="33"/>
      <c r="S71" s="35"/>
      <c r="T71" s="35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</row>
    <row r="72" hidden="1">
      <c r="A72" s="357" t="s">
        <v>33</v>
      </c>
      <c r="B72" s="100">
        <v>45360.0</v>
      </c>
      <c r="C72" s="22">
        <v>697970.0</v>
      </c>
      <c r="D72" s="23">
        <v>556580.0</v>
      </c>
      <c r="E72" s="24"/>
      <c r="F72" s="25">
        <v>2500.0</v>
      </c>
      <c r="G72" s="101">
        <v>299700.0</v>
      </c>
      <c r="H72" s="27">
        <v>165100.0</v>
      </c>
      <c r="I72" s="28"/>
      <c r="J72" s="29">
        <v>165100.0</v>
      </c>
      <c r="K72" s="30">
        <v>139190.0</v>
      </c>
      <c r="L72" s="49"/>
      <c r="M72" s="39"/>
      <c r="N72" s="33"/>
      <c r="O72" s="40"/>
      <c r="P72" s="35"/>
      <c r="Q72" s="33"/>
      <c r="R72" s="33"/>
      <c r="S72" s="35"/>
      <c r="T72" s="35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</row>
    <row r="73" hidden="1">
      <c r="A73" s="358" t="s">
        <v>27</v>
      </c>
      <c r="B73" s="100">
        <v>45361.0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15"/>
      <c r="M73" s="32"/>
      <c r="N73" s="33"/>
      <c r="O73" s="40"/>
      <c r="P73" s="35"/>
      <c r="Q73" s="33"/>
      <c r="R73" s="33"/>
      <c r="S73" s="35"/>
      <c r="T73" s="35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</row>
    <row r="74" hidden="1">
      <c r="A74" s="357" t="s">
        <v>21</v>
      </c>
      <c r="B74" s="100">
        <v>45362.0</v>
      </c>
      <c r="C74" s="22">
        <v>461400.0</v>
      </c>
      <c r="D74" s="23">
        <v>337560.0</v>
      </c>
      <c r="E74" s="24"/>
      <c r="F74" s="25">
        <v>2500.0</v>
      </c>
      <c r="G74" s="101">
        <v>146000.0</v>
      </c>
      <c r="H74" s="27">
        <v>68700.0</v>
      </c>
      <c r="I74" s="111"/>
      <c r="J74" s="29">
        <v>112060.0</v>
      </c>
      <c r="K74" s="30">
        <v>111440.0</v>
      </c>
      <c r="L74" s="31"/>
      <c r="M74" s="39"/>
      <c r="N74" s="33"/>
      <c r="O74" s="40"/>
      <c r="P74" s="35"/>
      <c r="Q74" s="33"/>
      <c r="R74" s="33"/>
      <c r="S74" s="35"/>
      <c r="T74" s="35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</row>
    <row r="75" hidden="1">
      <c r="A75" s="357" t="s">
        <v>22</v>
      </c>
      <c r="B75" s="100">
        <v>45363.0</v>
      </c>
      <c r="C75" s="22">
        <v>561770.0</v>
      </c>
      <c r="D75" s="23">
        <v>402790.0</v>
      </c>
      <c r="E75" s="24"/>
      <c r="F75" s="25">
        <v>2500.0</v>
      </c>
      <c r="G75" s="101">
        <v>200130.0</v>
      </c>
      <c r="H75" s="27">
        <v>51700.0</v>
      </c>
      <c r="I75" s="28"/>
      <c r="J75" s="29">
        <v>144750.0</v>
      </c>
      <c r="K75" s="30">
        <v>188780.0</v>
      </c>
      <c r="L75" s="31"/>
      <c r="M75" s="32"/>
      <c r="N75" s="33"/>
      <c r="O75" s="40"/>
      <c r="P75" s="35"/>
      <c r="Q75" s="33"/>
      <c r="R75" s="33"/>
      <c r="S75" s="35"/>
      <c r="T75" s="35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</row>
    <row r="76" hidden="1">
      <c r="A76" s="357" t="s">
        <v>32</v>
      </c>
      <c r="B76" s="100">
        <v>45364.0</v>
      </c>
      <c r="C76" s="22">
        <v>549780.0</v>
      </c>
      <c r="D76" s="23">
        <v>430960.0</v>
      </c>
      <c r="E76" s="24"/>
      <c r="F76" s="25">
        <v>2500.0</v>
      </c>
      <c r="G76" s="101">
        <v>158800.0</v>
      </c>
      <c r="H76" s="27">
        <v>122900.0</v>
      </c>
      <c r="I76" s="28"/>
      <c r="J76" s="29">
        <v>149660.0</v>
      </c>
      <c r="K76" s="30">
        <v>122320.0</v>
      </c>
      <c r="L76" s="31"/>
      <c r="M76" s="39"/>
      <c r="N76" s="33"/>
      <c r="O76" s="40"/>
      <c r="P76" s="35"/>
      <c r="Q76" s="33"/>
      <c r="R76" s="33"/>
      <c r="S76" s="35"/>
      <c r="T76" s="35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</row>
    <row r="77" hidden="1">
      <c r="A77" s="357" t="s">
        <v>24</v>
      </c>
      <c r="B77" s="100">
        <v>45365.0</v>
      </c>
      <c r="C77" s="22">
        <v>809220.0</v>
      </c>
      <c r="D77" s="23">
        <v>685500.0</v>
      </c>
      <c r="E77" s="24"/>
      <c r="F77" s="25">
        <v>2500.0</v>
      </c>
      <c r="G77" s="101">
        <v>391900.0</v>
      </c>
      <c r="H77" s="27">
        <v>102110.0</v>
      </c>
      <c r="I77" s="28"/>
      <c r="J77" s="29">
        <v>174700.0</v>
      </c>
      <c r="K77" s="30">
        <v>137720.0</v>
      </c>
      <c r="L77" s="31"/>
      <c r="M77" s="32"/>
      <c r="N77" s="33"/>
      <c r="O77" s="40"/>
      <c r="P77" s="35"/>
      <c r="Q77" s="33"/>
      <c r="R77" s="33"/>
      <c r="S77" s="35"/>
      <c r="T77" s="35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</row>
    <row r="78" hidden="1">
      <c r="A78" s="357" t="s">
        <v>25</v>
      </c>
      <c r="B78" s="100">
        <v>45366.0</v>
      </c>
      <c r="C78" s="22">
        <f>1528640-C77</f>
        <v>719420</v>
      </c>
      <c r="D78" s="23">
        <v>585770.0</v>
      </c>
      <c r="E78" s="24"/>
      <c r="F78" s="25"/>
      <c r="G78" s="101"/>
      <c r="H78" s="27">
        <v>143121.0</v>
      </c>
      <c r="I78" s="28"/>
      <c r="J78" s="29">
        <f>300870-J77</f>
        <v>126170</v>
      </c>
      <c r="K78" s="30">
        <f>293970-K77</f>
        <v>156250</v>
      </c>
      <c r="L78" s="31"/>
      <c r="M78" s="39"/>
      <c r="N78" s="33"/>
      <c r="O78" s="40"/>
      <c r="P78" s="35"/>
      <c r="Q78" s="33"/>
      <c r="R78" s="33"/>
      <c r="S78" s="35"/>
      <c r="T78" s="35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</row>
    <row r="79" hidden="1">
      <c r="A79" s="357" t="s">
        <v>33</v>
      </c>
      <c r="B79" s="100">
        <v>45367.0</v>
      </c>
      <c r="C79" s="22">
        <v>545560.0</v>
      </c>
      <c r="D79" s="23">
        <v>429750.0</v>
      </c>
      <c r="E79" s="24"/>
      <c r="F79" s="25">
        <v>2500.0</v>
      </c>
      <c r="G79" s="101">
        <v>228000.0</v>
      </c>
      <c r="H79" s="27">
        <v>64155.0</v>
      </c>
      <c r="I79" s="28"/>
      <c r="J79" s="29">
        <v>155600.0</v>
      </c>
      <c r="K79" s="30">
        <v>115810.0</v>
      </c>
      <c r="L79" s="31"/>
      <c r="M79" s="39"/>
      <c r="N79" s="33"/>
      <c r="O79" s="40"/>
      <c r="P79" s="35"/>
      <c r="Q79" s="33"/>
      <c r="R79" s="33"/>
      <c r="S79" s="35"/>
      <c r="T79" s="35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</row>
    <row r="80" hidden="1">
      <c r="A80" s="358" t="s">
        <v>27</v>
      </c>
      <c r="B80" s="100">
        <v>45368.0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15"/>
      <c r="M80" s="32"/>
      <c r="N80" s="33"/>
      <c r="O80" s="40"/>
      <c r="P80" s="35"/>
      <c r="Q80" s="33"/>
      <c r="R80" s="33"/>
      <c r="S80" s="35"/>
      <c r="T80" s="35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</row>
    <row r="81" hidden="1">
      <c r="A81" s="357" t="s">
        <v>21</v>
      </c>
      <c r="B81" s="100">
        <v>45369.0</v>
      </c>
      <c r="C81" s="22">
        <v>615660.0</v>
      </c>
      <c r="D81" s="23">
        <v>461160.0</v>
      </c>
      <c r="E81" s="24"/>
      <c r="F81" s="25"/>
      <c r="G81" s="101">
        <f>44600+14600+198700</f>
        <v>257900</v>
      </c>
      <c r="H81" s="27">
        <v>65915.0</v>
      </c>
      <c r="I81" s="111"/>
      <c r="J81" s="29">
        <v>124260.0</v>
      </c>
      <c r="K81" s="30">
        <v>177800.0</v>
      </c>
      <c r="L81" s="31"/>
      <c r="M81" s="39"/>
      <c r="N81" s="33"/>
      <c r="O81" s="40"/>
      <c r="P81" s="35"/>
      <c r="Q81" s="33"/>
      <c r="R81" s="33"/>
      <c r="S81" s="35"/>
      <c r="T81" s="35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</row>
    <row r="82" hidden="1">
      <c r="A82" s="357" t="s">
        <v>22</v>
      </c>
      <c r="B82" s="100">
        <v>45370.0</v>
      </c>
      <c r="C82" s="22">
        <v>658390.0</v>
      </c>
      <c r="D82" s="23">
        <v>514780.0</v>
      </c>
      <c r="E82" s="24"/>
      <c r="F82" s="25">
        <v>2500.0</v>
      </c>
      <c r="G82" s="101">
        <v>194800.0</v>
      </c>
      <c r="H82" s="27">
        <v>202959.0</v>
      </c>
      <c r="I82" s="28"/>
      <c r="J82" s="29">
        <v>97180.0</v>
      </c>
      <c r="K82" s="30">
        <v>154710.0</v>
      </c>
      <c r="L82" s="49"/>
      <c r="M82" s="32"/>
      <c r="N82" s="33"/>
      <c r="O82" s="40"/>
      <c r="P82" s="35"/>
      <c r="Q82" s="33"/>
      <c r="R82" s="33"/>
      <c r="S82" s="35"/>
      <c r="T82" s="35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</row>
    <row r="83" hidden="1">
      <c r="A83" s="357" t="s">
        <v>32</v>
      </c>
      <c r="B83" s="100">
        <v>45371.0</v>
      </c>
      <c r="C83" s="22">
        <v>560030.0</v>
      </c>
      <c r="D83" s="23">
        <v>414960.0</v>
      </c>
      <c r="E83" s="24"/>
      <c r="F83" s="25">
        <v>2500.0</v>
      </c>
      <c r="G83" s="101">
        <v>163300.0</v>
      </c>
      <c r="H83" s="27">
        <v>160250.0</v>
      </c>
      <c r="I83" s="28"/>
      <c r="J83" s="29">
        <v>103010.0</v>
      </c>
      <c r="K83" s="30">
        <v>143370.0</v>
      </c>
      <c r="L83" s="31"/>
      <c r="M83" s="39"/>
      <c r="N83" s="33"/>
      <c r="O83" s="40"/>
      <c r="P83" s="35"/>
      <c r="Q83" s="33"/>
      <c r="R83" s="33"/>
      <c r="S83" s="35"/>
      <c r="T83" s="35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</row>
    <row r="84" hidden="1">
      <c r="A84" s="357" t="s">
        <v>24</v>
      </c>
      <c r="B84" s="100">
        <v>45372.0</v>
      </c>
      <c r="C84" s="22">
        <f>1726560-C83-C82</f>
        <v>508140</v>
      </c>
      <c r="D84" s="23">
        <f>857550-D83</f>
        <v>442590</v>
      </c>
      <c r="E84" s="24"/>
      <c r="F84" s="25">
        <v>2500.0</v>
      </c>
      <c r="G84" s="101">
        <f>482900-G83 </f>
        <v>319600</v>
      </c>
      <c r="H84" s="101">
        <f>482900-H83-H83</f>
        <v>162400</v>
      </c>
      <c r="I84" s="28"/>
      <c r="J84" s="101">
        <f>482900-J83-J82</f>
        <v>282710</v>
      </c>
      <c r="K84" s="30">
        <f>421550-K83-K82</f>
        <v>123470</v>
      </c>
      <c r="L84" s="31"/>
      <c r="M84" s="39"/>
      <c r="N84" s="33"/>
      <c r="O84" s="40"/>
      <c r="P84" s="35"/>
      <c r="Q84" s="33"/>
      <c r="R84" s="33"/>
      <c r="S84" s="35"/>
      <c r="T84" s="35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</row>
    <row r="85" hidden="1">
      <c r="A85" s="357" t="s">
        <v>25</v>
      </c>
      <c r="B85" s="100">
        <v>45373.0</v>
      </c>
      <c r="C85" s="22">
        <v>635530.0</v>
      </c>
      <c r="D85" s="23">
        <v>558060.0</v>
      </c>
      <c r="E85" s="24"/>
      <c r="F85" s="25">
        <v>2500.0</v>
      </c>
      <c r="G85" s="101">
        <v>263300.0</v>
      </c>
      <c r="H85" s="27">
        <v>110351.0</v>
      </c>
      <c r="I85" s="28"/>
      <c r="J85" s="29">
        <v>195700.0</v>
      </c>
      <c r="K85" s="30">
        <v>69870.0</v>
      </c>
      <c r="L85" s="31"/>
      <c r="M85" s="39"/>
      <c r="N85" s="33"/>
      <c r="O85" s="40"/>
      <c r="P85" s="35"/>
      <c r="Q85" s="33"/>
      <c r="R85" s="33"/>
      <c r="S85" s="35"/>
      <c r="T85" s="35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</row>
    <row r="86" hidden="1">
      <c r="A86" s="357" t="s">
        <v>33</v>
      </c>
      <c r="B86" s="100">
        <v>45374.0</v>
      </c>
      <c r="C86" s="22">
        <v>747520.0</v>
      </c>
      <c r="D86" s="23">
        <v>568280.0</v>
      </c>
      <c r="E86" s="24"/>
      <c r="F86" s="25">
        <v>2500.0</v>
      </c>
      <c r="G86" s="101">
        <v>347600.0</v>
      </c>
      <c r="H86" s="27">
        <v>124721.0</v>
      </c>
      <c r="I86" s="28"/>
      <c r="J86" s="29"/>
      <c r="K86" s="30">
        <v>147040.0</v>
      </c>
      <c r="L86" s="31"/>
      <c r="M86" s="39"/>
      <c r="N86" s="33"/>
      <c r="O86" s="40"/>
      <c r="P86" s="35"/>
      <c r="Q86" s="33"/>
      <c r="R86" s="33"/>
      <c r="S86" s="35"/>
      <c r="T86" s="35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</row>
    <row r="87" hidden="1">
      <c r="A87" s="358" t="s">
        <v>27</v>
      </c>
      <c r="B87" s="100">
        <v>45375.0</v>
      </c>
      <c r="C87" s="107"/>
      <c r="D87" s="107"/>
      <c r="E87" s="107"/>
      <c r="F87" s="107"/>
      <c r="G87" s="107"/>
      <c r="H87" s="107"/>
      <c r="I87" s="107"/>
      <c r="J87" s="107"/>
      <c r="K87" s="107"/>
      <c r="L87" s="115"/>
      <c r="M87" s="39"/>
      <c r="N87" s="33"/>
      <c r="O87" s="40"/>
      <c r="P87" s="35"/>
      <c r="Q87" s="33"/>
      <c r="R87" s="33"/>
      <c r="S87" s="35"/>
      <c r="T87" s="35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</row>
    <row r="88" hidden="1">
      <c r="A88" s="357" t="s">
        <v>21</v>
      </c>
      <c r="B88" s="100">
        <v>45376.0</v>
      </c>
      <c r="C88" s="22">
        <v>784860.0</v>
      </c>
      <c r="D88" s="23">
        <v>646500.0</v>
      </c>
      <c r="E88" s="24"/>
      <c r="F88" s="25">
        <v>2500.0</v>
      </c>
      <c r="G88" s="101">
        <v>361100.0</v>
      </c>
      <c r="H88" s="27">
        <v>79200.0</v>
      </c>
      <c r="I88" s="111"/>
      <c r="J88" s="29">
        <v>196400.0</v>
      </c>
      <c r="K88" s="30">
        <v>181160.0</v>
      </c>
      <c r="L88" s="31"/>
      <c r="M88" s="39"/>
      <c r="N88" s="33"/>
      <c r="O88" s="40"/>
      <c r="P88" s="35"/>
      <c r="Q88" s="33"/>
      <c r="R88" s="33"/>
      <c r="S88" s="35"/>
      <c r="T88" s="35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</row>
    <row r="89" hidden="1">
      <c r="A89" s="357" t="s">
        <v>22</v>
      </c>
      <c r="B89" s="100">
        <v>45377.0</v>
      </c>
      <c r="C89" s="116">
        <v>926250.0</v>
      </c>
      <c r="D89" s="23">
        <v>776700.0</v>
      </c>
      <c r="E89" s="24"/>
      <c r="F89" s="25">
        <v>2500.0</v>
      </c>
      <c r="G89" s="101">
        <v>391800.0</v>
      </c>
      <c r="H89" s="27">
        <v>130500.0</v>
      </c>
      <c r="I89" s="28"/>
      <c r="J89" s="29">
        <v>261800.0</v>
      </c>
      <c r="K89" s="30">
        <v>161850.0</v>
      </c>
      <c r="L89" s="31"/>
      <c r="M89" s="32"/>
      <c r="N89" s="33"/>
      <c r="O89" s="40"/>
      <c r="P89" s="35"/>
      <c r="Q89" s="33"/>
      <c r="R89" s="33"/>
      <c r="S89" s="35"/>
      <c r="T89" s="35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</row>
    <row r="90" hidden="1">
      <c r="A90" s="357" t="s">
        <v>32</v>
      </c>
      <c r="B90" s="100">
        <v>45378.0</v>
      </c>
      <c r="C90" s="116">
        <v>884120.0</v>
      </c>
      <c r="D90" s="23">
        <v>766180.0</v>
      </c>
      <c r="E90" s="24"/>
      <c r="F90" s="25">
        <v>2500.0</v>
      </c>
      <c r="G90" s="101">
        <v>327200.0</v>
      </c>
      <c r="H90" s="27">
        <v>102600.0</v>
      </c>
      <c r="I90" s="28"/>
      <c r="J90" s="29">
        <v>293480.0</v>
      </c>
      <c r="K90" s="30">
        <v>140340.0</v>
      </c>
      <c r="L90" s="31"/>
      <c r="M90" s="39"/>
      <c r="N90" s="33"/>
      <c r="O90" s="40"/>
      <c r="P90" s="35"/>
      <c r="Q90" s="33"/>
      <c r="R90" s="33"/>
      <c r="S90" s="35"/>
      <c r="T90" s="35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</row>
    <row r="91" hidden="1">
      <c r="A91" s="357" t="s">
        <v>24</v>
      </c>
      <c r="B91" s="100">
        <v>45379.0</v>
      </c>
      <c r="C91" s="116">
        <v>712350.0</v>
      </c>
      <c r="D91" s="23">
        <v>620460.0</v>
      </c>
      <c r="E91" s="24"/>
      <c r="F91" s="25">
        <v>2500.0</v>
      </c>
      <c r="G91" s="101">
        <v>365240.0</v>
      </c>
      <c r="H91" s="27">
        <v>63300.0</v>
      </c>
      <c r="I91" s="28"/>
      <c r="J91" s="29">
        <v>185120.0</v>
      </c>
      <c r="K91" s="30">
        <v>88190.0</v>
      </c>
      <c r="L91" s="49"/>
      <c r="M91" s="32"/>
      <c r="N91" s="33"/>
      <c r="O91" s="40"/>
      <c r="P91" s="35"/>
      <c r="Q91" s="33"/>
      <c r="R91" s="33"/>
      <c r="S91" s="35"/>
      <c r="T91" s="35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</row>
    <row r="92" hidden="1">
      <c r="A92" s="357" t="s">
        <v>25</v>
      </c>
      <c r="B92" s="100">
        <v>45380.0</v>
      </c>
      <c r="C92" s="22">
        <v>662760.0</v>
      </c>
      <c r="D92" s="23">
        <v>485840.0</v>
      </c>
      <c r="E92" s="119"/>
      <c r="F92" s="25">
        <v>2500.0</v>
      </c>
      <c r="G92" s="101">
        <v>275900.0</v>
      </c>
      <c r="H92" s="27">
        <v>140011.0</v>
      </c>
      <c r="I92" s="123"/>
      <c r="J92" s="359">
        <v>78540.0</v>
      </c>
      <c r="K92" s="30">
        <v>188220.0</v>
      </c>
      <c r="L92" s="31"/>
      <c r="M92" s="39"/>
      <c r="N92" s="33"/>
      <c r="O92" s="40"/>
      <c r="P92" s="35"/>
      <c r="Q92" s="33"/>
      <c r="R92" s="33"/>
      <c r="S92" s="35"/>
      <c r="T92" s="35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</row>
    <row r="93" hidden="1">
      <c r="A93" s="357" t="s">
        <v>33</v>
      </c>
      <c r="B93" s="100">
        <v>45381.0</v>
      </c>
      <c r="C93" s="22">
        <v>450230.0</v>
      </c>
      <c r="D93" s="23">
        <v>353060.0</v>
      </c>
      <c r="E93" s="24"/>
      <c r="F93" s="25">
        <v>2500.0</v>
      </c>
      <c r="G93" s="101">
        <v>175300.0</v>
      </c>
      <c r="H93" s="27">
        <v>58600.0</v>
      </c>
      <c r="I93" s="123"/>
      <c r="J93" s="359">
        <v>128610.0</v>
      </c>
      <c r="K93" s="30">
        <v>97170.0</v>
      </c>
      <c r="L93" s="31"/>
      <c r="M93" s="39"/>
      <c r="N93" s="33"/>
      <c r="O93" s="40"/>
      <c r="P93" s="35"/>
      <c r="Q93" s="33"/>
      <c r="R93" s="33"/>
      <c r="S93" s="35"/>
      <c r="T93" s="35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</row>
    <row r="94" hidden="1">
      <c r="A94" s="345" t="s">
        <v>27</v>
      </c>
      <c r="B94" s="100">
        <v>45382.0</v>
      </c>
      <c r="C94" s="107"/>
      <c r="D94" s="107"/>
      <c r="E94" s="107"/>
      <c r="F94" s="107"/>
      <c r="G94" s="107"/>
      <c r="H94" s="107"/>
      <c r="I94" s="107"/>
      <c r="J94" s="107"/>
      <c r="K94" s="107"/>
      <c r="L94" s="49"/>
      <c r="M94" s="39"/>
      <c r="N94" s="33"/>
      <c r="O94" s="40"/>
      <c r="P94" s="35"/>
      <c r="Q94" s="33"/>
      <c r="R94" s="33"/>
      <c r="S94" s="35"/>
      <c r="T94" s="35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</row>
    <row r="95" hidden="1">
      <c r="A95" s="356" t="s">
        <v>28</v>
      </c>
      <c r="B95" s="94"/>
      <c r="C95" s="95">
        <f>SUM(C66:C94)</f>
        <v>16068920</v>
      </c>
      <c r="D95" s="95"/>
      <c r="E95" s="95"/>
      <c r="F95" s="95"/>
      <c r="G95" s="95"/>
      <c r="H95" s="95"/>
      <c r="I95" s="95"/>
      <c r="J95" s="95"/>
      <c r="K95" s="73"/>
      <c r="L95" s="97"/>
      <c r="M95" s="39"/>
      <c r="N95" s="33"/>
      <c r="O95" s="40"/>
      <c r="P95" s="35"/>
      <c r="Q95" s="33"/>
      <c r="R95" s="33"/>
      <c r="S95" s="35"/>
      <c r="T95" s="35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</row>
    <row r="96" hidden="1">
      <c r="A96" s="357" t="s">
        <v>21</v>
      </c>
      <c r="B96" s="100">
        <v>45383.0</v>
      </c>
      <c r="C96" s="44"/>
      <c r="D96" s="44"/>
      <c r="E96" s="44"/>
      <c r="F96" s="44"/>
      <c r="G96" s="44"/>
      <c r="H96" s="46"/>
      <c r="I96" s="111"/>
      <c r="J96" s="46"/>
      <c r="K96" s="44"/>
      <c r="L96" s="46"/>
      <c r="M96" s="32"/>
      <c r="N96" s="33"/>
      <c r="O96" s="40"/>
      <c r="P96" s="35"/>
      <c r="Q96" s="33"/>
      <c r="R96" s="33"/>
      <c r="S96" s="35"/>
      <c r="T96" s="35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</row>
    <row r="97" hidden="1">
      <c r="A97" s="357" t="s">
        <v>22</v>
      </c>
      <c r="B97" s="100">
        <v>45384.0</v>
      </c>
      <c r="C97" s="22">
        <v>740780.0</v>
      </c>
      <c r="D97" s="23">
        <v>658980.0</v>
      </c>
      <c r="E97" s="24"/>
      <c r="F97" s="25">
        <v>2500.0</v>
      </c>
      <c r="G97" s="101">
        <v>297240.0</v>
      </c>
      <c r="H97" s="27">
        <v>128300.0</v>
      </c>
      <c r="I97" s="28"/>
      <c r="J97" s="29">
        <v>249280.0</v>
      </c>
      <c r="K97" s="30">
        <v>73800.0</v>
      </c>
      <c r="L97" s="49"/>
      <c r="M97" s="39"/>
      <c r="N97" s="33"/>
      <c r="O97" s="40"/>
      <c r="P97" s="35"/>
      <c r="Q97" s="33"/>
      <c r="R97" s="33"/>
      <c r="S97" s="35"/>
      <c r="T97" s="35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</row>
    <row r="98" hidden="1">
      <c r="A98" s="357" t="s">
        <v>32</v>
      </c>
      <c r="B98" s="100">
        <v>45385.0</v>
      </c>
      <c r="C98" s="22">
        <v>539350.0</v>
      </c>
      <c r="D98" s="23">
        <v>439220.0</v>
      </c>
      <c r="E98" s="24"/>
      <c r="F98" s="25">
        <v>2000.0</v>
      </c>
      <c r="G98" s="101"/>
      <c r="H98" s="27">
        <v>100526.0</v>
      </c>
      <c r="I98" s="28"/>
      <c r="J98" s="29">
        <v>71140.0</v>
      </c>
      <c r="K98" s="30">
        <v>90530.0</v>
      </c>
      <c r="L98" s="49"/>
      <c r="M98" s="32"/>
      <c r="N98" s="33"/>
      <c r="O98" s="40"/>
      <c r="P98" s="35"/>
      <c r="Q98" s="33"/>
      <c r="R98" s="33"/>
      <c r="S98" s="35"/>
      <c r="T98" s="35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</row>
    <row r="99" hidden="1">
      <c r="A99" s="357" t="s">
        <v>24</v>
      </c>
      <c r="B99" s="100">
        <v>45386.0</v>
      </c>
      <c r="C99" s="22">
        <v>1084390.0</v>
      </c>
      <c r="D99" s="23">
        <v>896260.0</v>
      </c>
      <c r="E99" s="24"/>
      <c r="F99" s="25">
        <v>2000.0</v>
      </c>
      <c r="G99" s="2">
        <v>443400.0</v>
      </c>
      <c r="H99" s="27">
        <v>287600.0</v>
      </c>
      <c r="I99" s="28"/>
      <c r="J99" s="29"/>
      <c r="K99" s="30">
        <v>181930.0</v>
      </c>
      <c r="L99" s="49"/>
      <c r="M99" s="32"/>
      <c r="N99" s="33"/>
      <c r="O99" s="40"/>
      <c r="P99" s="35"/>
      <c r="Q99" s="33"/>
      <c r="R99" s="33"/>
      <c r="S99" s="35"/>
      <c r="T99" s="35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</row>
    <row r="100" hidden="1">
      <c r="A100" s="357" t="s">
        <v>25</v>
      </c>
      <c r="B100" s="100">
        <v>45387.0</v>
      </c>
      <c r="C100" s="22">
        <v>716170.0</v>
      </c>
      <c r="D100" s="23">
        <v>561090.0</v>
      </c>
      <c r="E100" s="24"/>
      <c r="F100" s="25">
        <v>2000.0</v>
      </c>
      <c r="G100" s="101">
        <v>249750.0</v>
      </c>
      <c r="H100" s="27">
        <v>124800.0</v>
      </c>
      <c r="I100" s="28"/>
      <c r="J100" s="29">
        <v>161200.0</v>
      </c>
      <c r="K100" s="30">
        <v>175180.0</v>
      </c>
      <c r="L100" s="49"/>
      <c r="M100" s="32"/>
      <c r="N100" s="33"/>
      <c r="O100" s="40"/>
      <c r="P100" s="35"/>
      <c r="Q100" s="33"/>
      <c r="R100" s="33"/>
      <c r="S100" s="35"/>
      <c r="T100" s="35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</row>
    <row r="101" hidden="1">
      <c r="A101" s="357" t="s">
        <v>33</v>
      </c>
      <c r="B101" s="100">
        <v>45388.0</v>
      </c>
      <c r="C101" s="22">
        <v>808550.0</v>
      </c>
      <c r="D101" s="23">
        <v>684620.0</v>
      </c>
      <c r="E101" s="24"/>
      <c r="F101" s="25">
        <v>2000.0</v>
      </c>
      <c r="G101" s="101">
        <v>327950.0</v>
      </c>
      <c r="H101" s="27">
        <v>98621.0</v>
      </c>
      <c r="I101" s="28"/>
      <c r="J101" s="29">
        <v>244660.0</v>
      </c>
      <c r="K101" s="30">
        <v>139030.0</v>
      </c>
      <c r="L101" s="49"/>
      <c r="M101" s="32"/>
      <c r="N101" s="33"/>
      <c r="O101" s="40"/>
      <c r="P101" s="35"/>
      <c r="Q101" s="33"/>
      <c r="R101" s="33"/>
      <c r="S101" s="35"/>
      <c r="T101" s="35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</row>
    <row r="102" hidden="1">
      <c r="A102" s="358" t="s">
        <v>27</v>
      </c>
      <c r="B102" s="100">
        <v>45389.0</v>
      </c>
      <c r="C102" s="110"/>
      <c r="D102" s="110"/>
      <c r="E102" s="110"/>
      <c r="F102" s="110"/>
      <c r="G102" s="110"/>
      <c r="H102" s="108"/>
      <c r="I102" s="108"/>
      <c r="J102" s="108"/>
      <c r="K102" s="110"/>
      <c r="L102" s="108"/>
      <c r="M102" s="39"/>
      <c r="N102" s="33"/>
      <c r="O102" s="40"/>
      <c r="P102" s="35"/>
      <c r="Q102" s="33"/>
      <c r="R102" s="33"/>
      <c r="S102" s="35"/>
      <c r="T102" s="35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</row>
    <row r="103" hidden="1">
      <c r="A103" s="357" t="s">
        <v>21</v>
      </c>
      <c r="B103" s="100">
        <v>45390.0</v>
      </c>
      <c r="C103" s="22">
        <v>875160.0</v>
      </c>
      <c r="D103" s="23">
        <v>668660.0</v>
      </c>
      <c r="E103" s="24"/>
      <c r="F103" s="25">
        <v>2000.0</v>
      </c>
      <c r="G103" s="101">
        <v>341900.0</v>
      </c>
      <c r="H103" s="27">
        <v>174607.0</v>
      </c>
      <c r="I103" s="28"/>
      <c r="J103" s="29">
        <v>123500.0</v>
      </c>
      <c r="K103" s="30">
        <v>212600.0</v>
      </c>
      <c r="L103" s="49"/>
      <c r="M103" s="32"/>
      <c r="N103" s="33"/>
      <c r="O103" s="40"/>
      <c r="P103" s="35"/>
      <c r="Q103" s="33"/>
      <c r="R103" s="33"/>
      <c r="S103" s="35"/>
      <c r="T103" s="35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</row>
    <row r="104" hidden="1">
      <c r="A104" s="357" t="s">
        <v>22</v>
      </c>
      <c r="B104" s="100">
        <v>45391.0</v>
      </c>
      <c r="C104" s="22">
        <v>907445.0</v>
      </c>
      <c r="D104" s="23">
        <v>667380.0</v>
      </c>
      <c r="E104" s="24"/>
      <c r="F104" s="25">
        <v>2000.0</v>
      </c>
      <c r="G104" s="101">
        <v>281780.0</v>
      </c>
      <c r="H104" s="27">
        <v>148345.0</v>
      </c>
      <c r="I104" s="28"/>
      <c r="J104" s="29">
        <v>212350.0</v>
      </c>
      <c r="K104" s="30">
        <v>265765.0</v>
      </c>
      <c r="L104" s="49"/>
      <c r="M104" s="39"/>
      <c r="N104" s="33"/>
      <c r="O104" s="40"/>
      <c r="P104" s="35"/>
      <c r="Q104" s="33"/>
      <c r="R104" s="33"/>
      <c r="S104" s="35"/>
      <c r="T104" s="35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</row>
    <row r="105" hidden="1">
      <c r="A105" s="357" t="s">
        <v>32</v>
      </c>
      <c r="B105" s="100">
        <v>45392.0</v>
      </c>
      <c r="C105" s="22">
        <v>1115695.0</v>
      </c>
      <c r="D105" s="23">
        <v>879970.0</v>
      </c>
      <c r="E105" s="24"/>
      <c r="F105" s="25">
        <v>2000.0</v>
      </c>
      <c r="G105" s="101">
        <v>414400.0</v>
      </c>
      <c r="H105" s="27">
        <v>176516.0</v>
      </c>
      <c r="I105" s="28"/>
      <c r="J105" s="29">
        <v>258335.0</v>
      </c>
      <c r="K105" s="30">
        <v>183890.0</v>
      </c>
      <c r="L105" s="49"/>
      <c r="M105" s="32"/>
      <c r="N105" s="33"/>
      <c r="O105" s="40"/>
      <c r="P105" s="35"/>
      <c r="Q105" s="33"/>
      <c r="R105" s="33"/>
      <c r="S105" s="35"/>
      <c r="T105" s="35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</row>
    <row r="106" hidden="1">
      <c r="A106" s="357" t="s">
        <v>24</v>
      </c>
      <c r="B106" s="100">
        <v>45393.0</v>
      </c>
      <c r="C106" s="22">
        <v>803030.0</v>
      </c>
      <c r="D106" s="23">
        <v>629260.0</v>
      </c>
      <c r="E106" s="24"/>
      <c r="F106" s="25">
        <v>2000.0</v>
      </c>
      <c r="G106" s="101">
        <v>289100.0</v>
      </c>
      <c r="H106" s="27">
        <v>161811.0</v>
      </c>
      <c r="I106" s="28"/>
      <c r="J106" s="29">
        <v>156760.0</v>
      </c>
      <c r="K106" s="30">
        <v>173770.0</v>
      </c>
      <c r="L106" s="49"/>
      <c r="M106" s="32"/>
      <c r="N106" s="33"/>
      <c r="O106" s="40"/>
      <c r="P106" s="35"/>
      <c r="Q106" s="33"/>
      <c r="R106" s="33"/>
      <c r="S106" s="35"/>
      <c r="T106" s="35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</row>
    <row r="107" hidden="1">
      <c r="A107" s="357" t="s">
        <v>25</v>
      </c>
      <c r="B107" s="100">
        <v>45394.0</v>
      </c>
      <c r="C107" s="22">
        <v>887505.0</v>
      </c>
      <c r="D107" s="23">
        <v>805745.0</v>
      </c>
      <c r="E107" s="24"/>
      <c r="F107" s="25">
        <v>2000.0</v>
      </c>
      <c r="G107" s="101">
        <v>304250.0</v>
      </c>
      <c r="H107" s="27">
        <v>172550.0</v>
      </c>
      <c r="I107" s="28"/>
      <c r="J107" s="29">
        <v>340295.0</v>
      </c>
      <c r="K107" s="30">
        <v>77460.0</v>
      </c>
      <c r="L107" s="49"/>
      <c r="M107" s="32"/>
      <c r="N107" s="33"/>
      <c r="O107" s="40"/>
      <c r="P107" s="35"/>
      <c r="Q107" s="33"/>
      <c r="R107" s="33"/>
      <c r="S107" s="35"/>
      <c r="T107" s="35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</row>
    <row r="108" hidden="1">
      <c r="A108" s="357" t="s">
        <v>33</v>
      </c>
      <c r="B108" s="100">
        <v>45395.0</v>
      </c>
      <c r="C108" s="22">
        <v>659400.0</v>
      </c>
      <c r="D108" s="23">
        <v>572880.0</v>
      </c>
      <c r="E108" s="24"/>
      <c r="F108" s="25">
        <v>2000.0</v>
      </c>
      <c r="G108" s="101">
        <v>351570.0</v>
      </c>
      <c r="H108" s="27">
        <v>50620.0</v>
      </c>
      <c r="I108" s="28"/>
      <c r="J108" s="29">
        <v>151730.0</v>
      </c>
      <c r="K108" s="30">
        <v>104320.0</v>
      </c>
      <c r="L108" s="49"/>
      <c r="M108" s="32"/>
      <c r="N108" s="33"/>
      <c r="O108" s="40"/>
      <c r="P108" s="35"/>
      <c r="Q108" s="33"/>
      <c r="R108" s="33"/>
      <c r="S108" s="35"/>
      <c r="T108" s="35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</row>
    <row r="109" hidden="1">
      <c r="A109" s="358" t="s">
        <v>27</v>
      </c>
      <c r="B109" s="100">
        <v>45396.0</v>
      </c>
      <c r="C109" s="44"/>
      <c r="D109" s="44"/>
      <c r="E109" s="44"/>
      <c r="F109" s="44"/>
      <c r="G109" s="44"/>
      <c r="H109" s="44"/>
      <c r="I109" s="110"/>
      <c r="J109" s="44"/>
      <c r="K109" s="44"/>
      <c r="L109" s="44"/>
      <c r="M109" s="32"/>
      <c r="N109" s="33"/>
      <c r="O109" s="40"/>
      <c r="P109" s="35"/>
      <c r="Q109" s="33"/>
      <c r="R109" s="33"/>
      <c r="S109" s="35"/>
      <c r="T109" s="35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</row>
    <row r="110" hidden="1">
      <c r="A110" s="357" t="s">
        <v>21</v>
      </c>
      <c r="B110" s="100">
        <v>45397.0</v>
      </c>
      <c r="C110" s="44">
        <v>588340.0</v>
      </c>
      <c r="D110" s="44">
        <v>414740.0</v>
      </c>
      <c r="E110" s="44"/>
      <c r="F110" s="44">
        <v>2000.0</v>
      </c>
      <c r="G110" s="44">
        <v>106800.0</v>
      </c>
      <c r="H110" s="44">
        <v>175651.0</v>
      </c>
      <c r="I110" s="110"/>
      <c r="J110" s="44">
        <v>161540.0</v>
      </c>
      <c r="K110" s="44">
        <v>170300.0</v>
      </c>
      <c r="L110" s="49"/>
      <c r="M110" s="32"/>
      <c r="N110" s="33"/>
      <c r="O110" s="40"/>
      <c r="P110" s="35"/>
      <c r="Q110" s="33"/>
      <c r="R110" s="33"/>
      <c r="S110" s="35"/>
      <c r="T110" s="35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</row>
    <row r="111" hidden="1">
      <c r="A111" s="357" t="s">
        <v>22</v>
      </c>
      <c r="B111" s="100">
        <v>45398.0</v>
      </c>
      <c r="C111" s="22">
        <v>946390.0</v>
      </c>
      <c r="D111" s="23">
        <v>711050.0</v>
      </c>
      <c r="E111" s="24"/>
      <c r="F111" s="25">
        <v>2000.0</v>
      </c>
      <c r="G111" s="101">
        <v>355100.0</v>
      </c>
      <c r="H111" s="27"/>
      <c r="I111" s="28"/>
      <c r="J111" s="29">
        <v>182900.0</v>
      </c>
      <c r="K111" s="30">
        <v>166740.0</v>
      </c>
      <c r="L111" s="49"/>
      <c r="M111" s="39"/>
      <c r="N111" s="33"/>
      <c r="O111" s="40"/>
      <c r="P111" s="35"/>
      <c r="Q111" s="33"/>
      <c r="R111" s="33"/>
      <c r="S111" s="35"/>
      <c r="T111" s="35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</row>
    <row r="112" hidden="1">
      <c r="A112" s="357" t="s">
        <v>32</v>
      </c>
      <c r="B112" s="100">
        <v>45399.0</v>
      </c>
      <c r="C112" s="22">
        <v>927662.0</v>
      </c>
      <c r="D112" s="23">
        <v>720210.0</v>
      </c>
      <c r="E112" s="24"/>
      <c r="F112" s="25">
        <v>2000.0</v>
      </c>
      <c r="G112" s="101">
        <v>322830.0</v>
      </c>
      <c r="H112" s="27">
        <v>172455.0</v>
      </c>
      <c r="I112" s="28"/>
      <c r="J112" s="29">
        <v>176430.0</v>
      </c>
      <c r="K112" s="30">
        <v>198252.0</v>
      </c>
      <c r="L112" s="49"/>
      <c r="M112" s="32"/>
      <c r="N112" s="35"/>
      <c r="O112" s="40"/>
      <c r="P112" s="35"/>
      <c r="Q112" s="33"/>
      <c r="R112" s="33"/>
      <c r="S112" s="35"/>
      <c r="T112" s="35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</row>
    <row r="113" hidden="1">
      <c r="A113" s="357" t="s">
        <v>24</v>
      </c>
      <c r="B113" s="100">
        <v>45400.0</v>
      </c>
      <c r="C113" s="22">
        <v>982460.0</v>
      </c>
      <c r="D113" s="23">
        <v>870640.0</v>
      </c>
      <c r="E113" s="24"/>
      <c r="F113" s="25">
        <v>2000.0</v>
      </c>
      <c r="G113" s="101">
        <v>357400.0</v>
      </c>
      <c r="H113" s="27">
        <v>118450.0</v>
      </c>
      <c r="I113" s="28"/>
      <c r="J113" s="29">
        <v>407990.0</v>
      </c>
      <c r="K113" s="30">
        <v>130220.0</v>
      </c>
      <c r="L113" s="49"/>
      <c r="M113" s="32"/>
      <c r="N113" s="33"/>
      <c r="O113" s="40"/>
      <c r="P113" s="35"/>
      <c r="Q113" s="33"/>
      <c r="R113" s="33"/>
      <c r="S113" s="35"/>
      <c r="T113" s="35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</row>
    <row r="114" hidden="1">
      <c r="A114" s="357" t="s">
        <v>25</v>
      </c>
      <c r="B114" s="100">
        <v>45401.0</v>
      </c>
      <c r="C114" s="22">
        <v>827765.0</v>
      </c>
      <c r="D114" s="23">
        <v>693740.0</v>
      </c>
      <c r="E114" s="24"/>
      <c r="F114" s="25"/>
      <c r="G114" s="101">
        <v>306700.0</v>
      </c>
      <c r="H114" s="27">
        <v>133551.0</v>
      </c>
      <c r="I114" s="28"/>
      <c r="J114" s="29">
        <v>257140.0</v>
      </c>
      <c r="K114" s="30">
        <v>139325.0</v>
      </c>
      <c r="L114" s="49"/>
      <c r="M114" s="32"/>
      <c r="N114" s="33"/>
      <c r="O114" s="40"/>
      <c r="P114" s="35"/>
      <c r="Q114" s="33"/>
      <c r="R114" s="33"/>
      <c r="S114" s="35"/>
      <c r="T114" s="35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</row>
    <row r="115" hidden="1">
      <c r="A115" s="357" t="s">
        <v>33</v>
      </c>
      <c r="B115" s="100">
        <v>45402.0</v>
      </c>
      <c r="C115" s="22">
        <v>668550.0</v>
      </c>
      <c r="D115" s="23">
        <v>550550.0</v>
      </c>
      <c r="E115" s="24"/>
      <c r="F115" s="25"/>
      <c r="G115" s="101">
        <v>77000.0</v>
      </c>
      <c r="H115" s="27"/>
      <c r="I115" s="28"/>
      <c r="J115" s="29">
        <v>174550.0</v>
      </c>
      <c r="K115" s="30">
        <v>118000.0</v>
      </c>
      <c r="L115" s="49"/>
      <c r="M115" s="32"/>
      <c r="N115" s="33"/>
      <c r="O115" s="40"/>
      <c r="P115" s="35"/>
      <c r="Q115" s="33"/>
      <c r="R115" s="33"/>
      <c r="S115" s="35"/>
      <c r="T115" s="35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</row>
    <row r="116" hidden="1">
      <c r="A116" s="358" t="s">
        <v>27</v>
      </c>
      <c r="B116" s="100">
        <v>45403.0</v>
      </c>
      <c r="C116" s="44"/>
      <c r="D116" s="44"/>
      <c r="E116" s="44"/>
      <c r="F116" s="44"/>
      <c r="G116" s="44"/>
      <c r="H116" s="44"/>
      <c r="I116" s="110"/>
      <c r="J116" s="44"/>
      <c r="K116" s="44"/>
      <c r="L116" s="44"/>
      <c r="M116" s="32"/>
      <c r="N116" s="33"/>
      <c r="O116" s="40"/>
      <c r="P116" s="35"/>
      <c r="Q116" s="33"/>
      <c r="R116" s="33"/>
      <c r="S116" s="35"/>
      <c r="T116" s="35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</row>
    <row r="117" hidden="1">
      <c r="A117" s="357" t="s">
        <v>21</v>
      </c>
      <c r="B117" s="100">
        <v>45404.0</v>
      </c>
      <c r="C117" s="22">
        <v>741180.0</v>
      </c>
      <c r="D117" s="23">
        <v>605050.0</v>
      </c>
      <c r="E117" s="24"/>
      <c r="F117" s="25">
        <v>2000.0</v>
      </c>
      <c r="G117" s="101">
        <v>263780.0</v>
      </c>
      <c r="H117" s="27">
        <v>157986.0</v>
      </c>
      <c r="I117" s="28"/>
      <c r="J117" s="29">
        <v>136220.0</v>
      </c>
      <c r="K117" s="30">
        <v>140930.0</v>
      </c>
      <c r="L117" s="49"/>
      <c r="M117" s="32"/>
      <c r="N117" s="33"/>
      <c r="O117" s="40"/>
      <c r="P117" s="35"/>
      <c r="Q117" s="33"/>
      <c r="R117" s="33"/>
      <c r="S117" s="35"/>
      <c r="T117" s="35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</row>
    <row r="118" hidden="1">
      <c r="A118" s="357" t="s">
        <v>22</v>
      </c>
      <c r="B118" s="100">
        <v>45405.0</v>
      </c>
      <c r="C118" s="22">
        <v>1152925.0</v>
      </c>
      <c r="D118" s="23">
        <v>976580.0</v>
      </c>
      <c r="E118" s="24"/>
      <c r="F118" s="25">
        <v>2000.0</v>
      </c>
      <c r="G118" s="101">
        <v>395300.0</v>
      </c>
      <c r="H118" s="27">
        <v>354150.0</v>
      </c>
      <c r="I118" s="28"/>
      <c r="J118" s="29">
        <v>236730.0</v>
      </c>
      <c r="K118" s="30">
        <v>175445.0</v>
      </c>
      <c r="L118" s="49"/>
      <c r="M118" s="39"/>
      <c r="N118" s="33"/>
      <c r="O118" s="40"/>
      <c r="P118" s="35"/>
      <c r="Q118" s="33"/>
      <c r="R118" s="33"/>
      <c r="S118" s="35"/>
      <c r="T118" s="35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</row>
    <row r="119" hidden="1">
      <c r="A119" s="357" t="s">
        <v>32</v>
      </c>
      <c r="B119" s="100">
        <v>45406.0</v>
      </c>
      <c r="C119" s="22">
        <v>1133160.0</v>
      </c>
      <c r="D119" s="23">
        <v>908010.0</v>
      </c>
      <c r="E119" s="24"/>
      <c r="F119" s="25"/>
      <c r="G119" s="101">
        <v>345660.0</v>
      </c>
      <c r="H119" s="27">
        <v>219550.0</v>
      </c>
      <c r="I119" s="28"/>
      <c r="J119" s="29">
        <v>300650.0</v>
      </c>
      <c r="K119" s="30">
        <v>237750.0</v>
      </c>
      <c r="L119" s="49"/>
      <c r="M119" s="32"/>
      <c r="N119" s="33"/>
      <c r="O119" s="40"/>
      <c r="P119" s="35"/>
      <c r="Q119" s="33"/>
      <c r="R119" s="33"/>
      <c r="S119" s="35"/>
      <c r="T119" s="35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</row>
    <row r="120" hidden="1">
      <c r="A120" s="357" t="s">
        <v>24</v>
      </c>
      <c r="B120" s="100">
        <v>45407.0</v>
      </c>
      <c r="C120" s="22">
        <f>972795+124000</f>
        <v>1096795</v>
      </c>
      <c r="D120" s="23">
        <v>672190.0</v>
      </c>
      <c r="E120" s="24"/>
      <c r="F120" s="25"/>
      <c r="G120" s="101">
        <v>252000.0</v>
      </c>
      <c r="H120" s="27">
        <v>179950.0</v>
      </c>
      <c r="I120" s="28"/>
      <c r="J120" s="29"/>
      <c r="K120" s="30">
        <v>304705.0</v>
      </c>
      <c r="L120" s="49"/>
      <c r="M120" s="32"/>
      <c r="N120" s="35" t="s">
        <v>741</v>
      </c>
      <c r="O120" s="40"/>
      <c r="P120" s="35">
        <v>1240000.0</v>
      </c>
      <c r="Q120" s="33"/>
      <c r="R120" s="33"/>
      <c r="S120" s="35"/>
      <c r="T120" s="35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</row>
    <row r="121" hidden="1">
      <c r="A121" s="357" t="s">
        <v>25</v>
      </c>
      <c r="B121" s="100">
        <v>45408.0</v>
      </c>
      <c r="C121" s="22">
        <v>1270995.0</v>
      </c>
      <c r="D121" s="23">
        <v>954265.0</v>
      </c>
      <c r="E121" s="24"/>
      <c r="F121" s="25">
        <v>2000.0</v>
      </c>
      <c r="G121" s="101">
        <v>348400.0</v>
      </c>
      <c r="H121" s="27">
        <v>84890.0</v>
      </c>
      <c r="I121" s="28"/>
      <c r="J121" s="29">
        <v>240700.0</v>
      </c>
      <c r="K121" s="30">
        <v>174230.0</v>
      </c>
      <c r="L121" s="49"/>
      <c r="M121" s="32"/>
      <c r="N121" s="35" t="s">
        <v>742</v>
      </c>
      <c r="O121" s="40"/>
      <c r="P121" s="35"/>
      <c r="Q121" s="33"/>
      <c r="R121" s="33"/>
      <c r="S121" s="35"/>
      <c r="T121" s="35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</row>
    <row r="122" hidden="1">
      <c r="A122" s="357" t="s">
        <v>26</v>
      </c>
      <c r="B122" s="100">
        <v>45409.0</v>
      </c>
      <c r="C122" s="22">
        <v>839285.0</v>
      </c>
      <c r="D122" s="23">
        <v>641820.0</v>
      </c>
      <c r="E122" s="24"/>
      <c r="F122" s="25">
        <v>2000.0</v>
      </c>
      <c r="G122" s="101">
        <v>445500.0</v>
      </c>
      <c r="H122" s="27">
        <v>40350.0</v>
      </c>
      <c r="I122" s="28"/>
      <c r="J122" s="29">
        <v>165700.0</v>
      </c>
      <c r="K122" s="30">
        <v>197465.0</v>
      </c>
      <c r="L122" s="49"/>
      <c r="M122" s="32"/>
      <c r="N122" s="33"/>
      <c r="O122" s="40"/>
      <c r="P122" s="35"/>
      <c r="Q122" s="33"/>
      <c r="R122" s="33"/>
      <c r="S122" s="35"/>
      <c r="T122" s="35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</row>
    <row r="123" hidden="1">
      <c r="A123" s="358" t="s">
        <v>27</v>
      </c>
      <c r="B123" s="100">
        <v>45410.0</v>
      </c>
      <c r="C123" s="44"/>
      <c r="D123" s="44"/>
      <c r="E123" s="44"/>
      <c r="F123" s="44"/>
      <c r="G123" s="44"/>
      <c r="H123" s="44"/>
      <c r="I123" s="110"/>
      <c r="J123" s="44"/>
      <c r="K123" s="44"/>
      <c r="L123" s="44"/>
      <c r="M123" s="32"/>
      <c r="N123" s="33"/>
      <c r="O123" s="40"/>
      <c r="P123" s="35"/>
      <c r="Q123" s="33"/>
      <c r="R123" s="33"/>
      <c r="S123" s="35"/>
      <c r="T123" s="35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</row>
    <row r="124" hidden="1">
      <c r="A124" s="357" t="s">
        <v>21</v>
      </c>
      <c r="B124" s="100">
        <v>45411.0</v>
      </c>
      <c r="C124" s="22">
        <v>982940.0</v>
      </c>
      <c r="D124" s="23">
        <v>868585.0</v>
      </c>
      <c r="E124" s="24"/>
      <c r="F124" s="25"/>
      <c r="G124" s="101">
        <v>259980.0</v>
      </c>
      <c r="H124" s="27">
        <v>194191.0</v>
      </c>
      <c r="I124" s="28"/>
      <c r="J124" s="29">
        <v>335015.0</v>
      </c>
      <c r="K124" s="30">
        <v>113655.0</v>
      </c>
      <c r="L124" s="49"/>
      <c r="M124" s="32"/>
      <c r="N124" s="33"/>
      <c r="O124" s="40"/>
      <c r="P124" s="35"/>
      <c r="Q124" s="33"/>
      <c r="R124" s="33"/>
      <c r="S124" s="35"/>
      <c r="T124" s="35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</row>
    <row r="125" hidden="1">
      <c r="A125" s="357" t="s">
        <v>22</v>
      </c>
      <c r="B125" s="100">
        <v>45412.0</v>
      </c>
      <c r="C125" s="22">
        <v>899325.0</v>
      </c>
      <c r="D125" s="23">
        <v>799455.0</v>
      </c>
      <c r="E125" s="24"/>
      <c r="F125" s="25"/>
      <c r="G125" s="101">
        <v>506580.0</v>
      </c>
      <c r="H125" s="27">
        <v>239156.0</v>
      </c>
      <c r="I125" s="28"/>
      <c r="J125" s="29">
        <v>154480.0</v>
      </c>
      <c r="K125" s="30">
        <v>148845.0</v>
      </c>
      <c r="L125" s="49"/>
      <c r="M125" s="32"/>
      <c r="N125" s="33"/>
      <c r="O125" s="40"/>
      <c r="P125" s="35"/>
      <c r="Q125" s="33"/>
      <c r="R125" s="33"/>
      <c r="S125" s="35"/>
      <c r="T125" s="35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</row>
    <row r="126" hidden="1">
      <c r="A126" s="360" t="s">
        <v>28</v>
      </c>
      <c r="B126" s="135"/>
      <c r="C126" s="136">
        <f>SUM(C96:C125)+P120</f>
        <v>23435247</v>
      </c>
      <c r="D126" s="136"/>
      <c r="E126" s="136"/>
      <c r="F126" s="136"/>
      <c r="G126" s="136"/>
      <c r="H126" s="136"/>
      <c r="I126" s="136"/>
      <c r="J126" s="136"/>
      <c r="K126" s="136"/>
      <c r="L126" s="125"/>
      <c r="M126" s="39"/>
      <c r="N126" s="33"/>
      <c r="O126" s="40"/>
      <c r="P126" s="35"/>
      <c r="Q126" s="33"/>
      <c r="R126" s="33"/>
      <c r="S126" s="35"/>
      <c r="T126" s="35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</row>
    <row r="127" hidden="1">
      <c r="A127" s="357" t="s">
        <v>23</v>
      </c>
      <c r="B127" s="100">
        <v>45413.0</v>
      </c>
      <c r="C127" s="22"/>
      <c r="D127" s="23"/>
      <c r="E127" s="24"/>
      <c r="F127" s="25"/>
      <c r="G127" s="101"/>
      <c r="H127" s="27"/>
      <c r="I127" s="28"/>
      <c r="J127" s="29"/>
      <c r="K127" s="30"/>
      <c r="L127" s="49"/>
      <c r="M127" s="32"/>
      <c r="N127" s="33"/>
      <c r="O127" s="40"/>
      <c r="P127" s="35"/>
      <c r="Q127" s="33"/>
      <c r="R127" s="33"/>
      <c r="S127" s="35"/>
      <c r="T127" s="35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</row>
    <row r="128" hidden="1">
      <c r="A128" s="357" t="s">
        <v>24</v>
      </c>
      <c r="B128" s="100">
        <v>45414.0</v>
      </c>
      <c r="C128" s="22">
        <v>941425.0</v>
      </c>
      <c r="D128" s="23">
        <v>729810.0</v>
      </c>
      <c r="E128" s="24"/>
      <c r="F128" s="25"/>
      <c r="G128" s="101">
        <v>303070.0</v>
      </c>
      <c r="H128" s="27">
        <v>206600.0</v>
      </c>
      <c r="I128" s="28"/>
      <c r="J128" s="29">
        <v>200080.0</v>
      </c>
      <c r="K128" s="30">
        <v>219915.0</v>
      </c>
      <c r="L128" s="49"/>
      <c r="M128" s="32"/>
      <c r="N128" s="33"/>
      <c r="O128" s="40"/>
      <c r="P128" s="35"/>
      <c r="Q128" s="33"/>
      <c r="R128" s="33"/>
      <c r="S128" s="35"/>
      <c r="T128" s="35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</row>
    <row r="129" hidden="1">
      <c r="A129" s="357" t="s">
        <v>25</v>
      </c>
      <c r="B129" s="100">
        <v>45415.0</v>
      </c>
      <c r="C129" s="22">
        <v>857755.0</v>
      </c>
      <c r="D129" s="23">
        <v>714675.0</v>
      </c>
      <c r="E129" s="24"/>
      <c r="F129" s="25"/>
      <c r="G129" s="101">
        <f>277350</f>
        <v>277350</v>
      </c>
      <c r="H129" s="27">
        <v>188201.0</v>
      </c>
      <c r="I129" s="28"/>
      <c r="J129" s="29">
        <v>239360.0</v>
      </c>
      <c r="K129" s="30">
        <v>167780.0</v>
      </c>
      <c r="L129" s="49"/>
      <c r="M129" s="32"/>
      <c r="N129" s="33"/>
      <c r="O129" s="40"/>
      <c r="P129" s="35"/>
      <c r="Q129" s="33"/>
      <c r="R129" s="33"/>
      <c r="S129" s="35"/>
      <c r="T129" s="35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</row>
    <row r="130" hidden="1">
      <c r="A130" s="357" t="s">
        <v>26</v>
      </c>
      <c r="B130" s="100">
        <v>45416.0</v>
      </c>
      <c r="C130" s="22">
        <v>690130.0</v>
      </c>
      <c r="D130" s="23">
        <v>598730.0</v>
      </c>
      <c r="E130" s="24"/>
      <c r="F130" s="25"/>
      <c r="G130" s="101">
        <v>418500.0</v>
      </c>
      <c r="H130" s="27">
        <v>63700.0</v>
      </c>
      <c r="I130" s="28"/>
      <c r="J130" s="29">
        <v>96900.0</v>
      </c>
      <c r="K130" s="30">
        <v>91400.0</v>
      </c>
      <c r="L130" s="49"/>
      <c r="M130" s="32"/>
      <c r="N130" s="33"/>
      <c r="O130" s="40"/>
      <c r="P130" s="35"/>
      <c r="Q130" s="33"/>
      <c r="R130" s="33"/>
      <c r="S130" s="35"/>
      <c r="T130" s="35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</row>
    <row r="131" hidden="1">
      <c r="A131" s="358" t="s">
        <v>27</v>
      </c>
      <c r="B131" s="100">
        <v>45417.0</v>
      </c>
      <c r="C131" s="110"/>
      <c r="D131" s="110"/>
      <c r="E131" s="110"/>
      <c r="F131" s="110"/>
      <c r="G131" s="110"/>
      <c r="H131" s="110"/>
      <c r="I131" s="108"/>
      <c r="J131" s="108"/>
      <c r="K131" s="110"/>
      <c r="L131" s="108"/>
      <c r="M131" s="32"/>
      <c r="N131" s="33"/>
      <c r="O131" s="40"/>
      <c r="P131" s="35"/>
      <c r="Q131" s="33"/>
      <c r="R131" s="33"/>
      <c r="S131" s="35"/>
      <c r="T131" s="35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</row>
    <row r="132" hidden="1">
      <c r="A132" s="357" t="s">
        <v>21</v>
      </c>
      <c r="B132" s="100">
        <v>45418.0</v>
      </c>
      <c r="C132" s="22">
        <v>669730.0</v>
      </c>
      <c r="D132" s="23">
        <v>514550.0</v>
      </c>
      <c r="E132" s="24"/>
      <c r="F132" s="25"/>
      <c r="G132" s="101">
        <v>252100.0</v>
      </c>
      <c r="H132" s="27">
        <v>116726.0</v>
      </c>
      <c r="I132" s="28"/>
      <c r="J132" s="29">
        <v>141350.0</v>
      </c>
      <c r="K132" s="30">
        <v>152380.0</v>
      </c>
      <c r="L132" s="49"/>
      <c r="M132" s="39"/>
      <c r="N132" s="33"/>
      <c r="O132" s="40"/>
      <c r="P132" s="35"/>
      <c r="Q132" s="33"/>
      <c r="R132" s="33"/>
      <c r="S132" s="35"/>
      <c r="T132" s="35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</row>
    <row r="133" hidden="1">
      <c r="A133" s="357" t="s">
        <v>22</v>
      </c>
      <c r="B133" s="100">
        <v>45419.0</v>
      </c>
      <c r="C133" s="22">
        <v>608585.0</v>
      </c>
      <c r="D133" s="23">
        <v>535095.0</v>
      </c>
      <c r="E133" s="24"/>
      <c r="F133" s="25"/>
      <c r="G133" s="101">
        <v>183400.0</v>
      </c>
      <c r="H133" s="27">
        <v>128302.0</v>
      </c>
      <c r="I133" s="28"/>
      <c r="J133" s="29">
        <v>213295.0</v>
      </c>
      <c r="K133" s="30">
        <v>78090.0</v>
      </c>
      <c r="L133" s="49"/>
      <c r="M133" s="32"/>
      <c r="N133" s="33"/>
      <c r="O133" s="40"/>
      <c r="P133" s="35"/>
      <c r="Q133" s="33"/>
      <c r="R133" s="33"/>
      <c r="S133" s="35"/>
      <c r="T133" s="35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</row>
    <row r="134" hidden="1">
      <c r="A134" s="357" t="s">
        <v>23</v>
      </c>
      <c r="B134" s="100">
        <v>45420.0</v>
      </c>
      <c r="C134" s="22">
        <f>1637571-C133</f>
        <v>1028986</v>
      </c>
      <c r="D134" s="23">
        <f>887666-D133</f>
        <v>352571</v>
      </c>
      <c r="E134" s="24"/>
      <c r="F134" s="25"/>
      <c r="G134" s="101">
        <f>409900-G133</f>
        <v>226500</v>
      </c>
      <c r="H134" s="28">
        <f>290807-H133</f>
        <v>162505</v>
      </c>
      <c r="I134" s="28"/>
      <c r="J134" s="29">
        <f>464835-J133</f>
        <v>251540</v>
      </c>
      <c r="K134" s="30">
        <f>225710-K133</f>
        <v>147620</v>
      </c>
      <c r="L134" s="31"/>
      <c r="M134" s="32"/>
      <c r="N134" s="33"/>
      <c r="O134" s="40"/>
      <c r="P134" s="35"/>
      <c r="Q134" s="33"/>
      <c r="R134" s="33"/>
      <c r="S134" s="35"/>
      <c r="T134" s="35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</row>
    <row r="135" hidden="1">
      <c r="A135" s="357" t="s">
        <v>24</v>
      </c>
      <c r="B135" s="100">
        <v>45421.0</v>
      </c>
      <c r="C135" s="22">
        <v>720321.0</v>
      </c>
      <c r="D135" s="23">
        <v>557690.0</v>
      </c>
      <c r="E135" s="24"/>
      <c r="F135" s="25"/>
      <c r="G135" s="101">
        <v>324000.0</v>
      </c>
      <c r="H135" s="27" t="s">
        <v>38</v>
      </c>
      <c r="I135" s="28"/>
      <c r="J135" s="29">
        <v>192890.0</v>
      </c>
      <c r="K135" s="30">
        <v>152631.0</v>
      </c>
      <c r="L135" s="31"/>
      <c r="M135" s="32"/>
      <c r="N135" s="33"/>
      <c r="O135" s="40"/>
      <c r="P135" s="35"/>
      <c r="Q135" s="33"/>
      <c r="R135" s="33"/>
      <c r="S135" s="35"/>
      <c r="T135" s="35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</row>
    <row r="136" hidden="1">
      <c r="A136" s="357" t="s">
        <v>25</v>
      </c>
      <c r="B136" s="100">
        <v>45422.0</v>
      </c>
      <c r="C136" s="22">
        <v>1002400.0</v>
      </c>
      <c r="D136" s="23">
        <v>879540.0</v>
      </c>
      <c r="E136" s="24"/>
      <c r="F136" s="25"/>
      <c r="G136" s="101">
        <v>418700.0</v>
      </c>
      <c r="H136" s="27">
        <v>236005.0</v>
      </c>
      <c r="I136" s="28"/>
      <c r="J136" s="29">
        <v>274340.0</v>
      </c>
      <c r="K136" s="30">
        <v>127460.0</v>
      </c>
      <c r="L136" s="31"/>
      <c r="M136" s="32"/>
      <c r="N136" s="33"/>
      <c r="O136" s="40"/>
      <c r="P136" s="35"/>
      <c r="Q136" s="33"/>
      <c r="R136" s="33"/>
      <c r="S136" s="35"/>
      <c r="T136" s="35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</row>
    <row r="137" hidden="1">
      <c r="A137" s="357" t="s">
        <v>26</v>
      </c>
      <c r="B137" s="100">
        <v>45423.0</v>
      </c>
      <c r="C137" s="22">
        <v>850790.0</v>
      </c>
      <c r="D137" s="23">
        <v>709880.0</v>
      </c>
      <c r="E137" s="24"/>
      <c r="F137" s="25">
        <v>12000.0</v>
      </c>
      <c r="G137" s="101">
        <v>496280.0</v>
      </c>
      <c r="H137" s="27">
        <v>81200.0</v>
      </c>
      <c r="I137" s="28"/>
      <c r="J137" s="29">
        <v>131700.0</v>
      </c>
      <c r="K137" s="30">
        <v>171910.0</v>
      </c>
      <c r="L137" s="49"/>
      <c r="M137" s="39"/>
      <c r="N137" s="33"/>
      <c r="O137" s="40"/>
      <c r="P137" s="35"/>
      <c r="Q137" s="33"/>
      <c r="R137" s="33"/>
      <c r="S137" s="35"/>
      <c r="T137" s="35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</row>
    <row r="138" hidden="1">
      <c r="A138" s="358" t="s">
        <v>27</v>
      </c>
      <c r="B138" s="100">
        <v>45424.0</v>
      </c>
      <c r="C138" s="110"/>
      <c r="D138" s="110"/>
      <c r="E138" s="110"/>
      <c r="F138" s="110"/>
      <c r="G138" s="110"/>
      <c r="H138" s="110"/>
      <c r="I138" s="110"/>
      <c r="J138" s="110"/>
      <c r="K138" s="110"/>
      <c r="L138" s="108"/>
      <c r="M138" s="32"/>
      <c r="N138" s="33"/>
      <c r="O138" s="40"/>
      <c r="P138" s="35"/>
      <c r="Q138" s="33"/>
      <c r="R138" s="33"/>
      <c r="S138" s="35"/>
      <c r="T138" s="35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</row>
    <row r="139" hidden="1">
      <c r="A139" s="357" t="s">
        <v>21</v>
      </c>
      <c r="B139" s="100">
        <v>45425.0</v>
      </c>
      <c r="C139" s="22">
        <v>663740.0</v>
      </c>
      <c r="D139" s="23">
        <v>433010.0</v>
      </c>
      <c r="E139" s="24"/>
      <c r="F139" s="25">
        <v>12000.0</v>
      </c>
      <c r="G139" s="101">
        <v>127900.0</v>
      </c>
      <c r="H139" s="27">
        <v>105791.0</v>
      </c>
      <c r="I139" s="28"/>
      <c r="J139" s="29">
        <v>211750.0</v>
      </c>
      <c r="K139" s="30">
        <v>234630.0</v>
      </c>
      <c r="L139" s="49"/>
      <c r="M139" s="39"/>
      <c r="N139" s="33"/>
      <c r="O139" s="40"/>
      <c r="P139" s="35"/>
      <c r="Q139" s="33"/>
      <c r="R139" s="33"/>
      <c r="S139" s="35"/>
      <c r="T139" s="35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</row>
    <row r="140" hidden="1">
      <c r="A140" s="357" t="s">
        <v>22</v>
      </c>
      <c r="B140" s="100">
        <v>45426.0</v>
      </c>
      <c r="C140" s="22">
        <v>658080.0</v>
      </c>
      <c r="D140" s="23">
        <v>492420.0</v>
      </c>
      <c r="E140" s="24"/>
      <c r="F140" s="25"/>
      <c r="G140" s="101">
        <f>218400+13700</f>
        <v>232100</v>
      </c>
      <c r="H140" s="27">
        <v>69800.0</v>
      </c>
      <c r="I140" s="28"/>
      <c r="J140" s="29">
        <v>146320.0</v>
      </c>
      <c r="K140" s="30">
        <v>165660.0</v>
      </c>
      <c r="L140" s="49"/>
      <c r="M140" s="32"/>
      <c r="N140" s="33"/>
      <c r="O140" s="40"/>
      <c r="P140" s="35"/>
      <c r="Q140" s="33"/>
      <c r="R140" s="33"/>
      <c r="S140" s="35"/>
      <c r="T140" s="35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</row>
    <row r="141" hidden="1">
      <c r="A141" s="357" t="s">
        <v>23</v>
      </c>
      <c r="B141" s="100">
        <v>45427.0</v>
      </c>
      <c r="C141" s="22">
        <v>1177965.0</v>
      </c>
      <c r="D141" s="23">
        <v>1008510.0</v>
      </c>
      <c r="E141" s="24"/>
      <c r="F141" s="25"/>
      <c r="G141" s="101">
        <f>430170+28800</f>
        <v>458970</v>
      </c>
      <c r="H141" s="27">
        <v>309605.0</v>
      </c>
      <c r="I141" s="28"/>
      <c r="J141" s="29">
        <v>224510.0</v>
      </c>
      <c r="K141" s="30">
        <v>149155.0</v>
      </c>
      <c r="L141" s="49"/>
      <c r="M141" s="32"/>
      <c r="N141" s="33"/>
      <c r="O141" s="40"/>
      <c r="P141" s="35"/>
      <c r="Q141" s="33"/>
      <c r="R141" s="33"/>
      <c r="S141" s="35"/>
      <c r="T141" s="35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</row>
    <row r="142" hidden="1">
      <c r="A142" s="357" t="s">
        <v>24</v>
      </c>
      <c r="B142" s="100">
        <v>45428.0</v>
      </c>
      <c r="C142" s="22">
        <v>1141290.0</v>
      </c>
      <c r="D142" s="23">
        <v>1010150.0</v>
      </c>
      <c r="E142" s="24"/>
      <c r="F142" s="25"/>
      <c r="G142" s="101">
        <f>235100+213200</f>
        <v>448300</v>
      </c>
      <c r="H142" s="27">
        <v>267096.0</v>
      </c>
      <c r="I142" s="28"/>
      <c r="J142" s="29">
        <v>198830.0</v>
      </c>
      <c r="K142" s="30">
        <v>135040.0</v>
      </c>
      <c r="L142" s="49"/>
      <c r="M142" s="32"/>
      <c r="N142" s="33"/>
      <c r="O142" s="40"/>
      <c r="P142" s="35"/>
      <c r="Q142" s="33"/>
      <c r="R142" s="33"/>
      <c r="S142" s="35"/>
      <c r="T142" s="35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</row>
    <row r="143" hidden="1">
      <c r="A143" s="357" t="s">
        <v>25</v>
      </c>
      <c r="B143" s="100">
        <v>45429.0</v>
      </c>
      <c r="C143" s="22">
        <v>732470.0</v>
      </c>
      <c r="D143" s="23">
        <v>620190.0</v>
      </c>
      <c r="E143" s="24"/>
      <c r="F143" s="25"/>
      <c r="G143" s="101">
        <v>281200.0</v>
      </c>
      <c r="H143" s="27">
        <v>176292.0</v>
      </c>
      <c r="I143" s="28"/>
      <c r="J143" s="29">
        <v>149790.0</v>
      </c>
      <c r="K143" s="30">
        <v>114280.0</v>
      </c>
      <c r="L143" s="49"/>
      <c r="M143" s="32"/>
      <c r="N143" s="33"/>
      <c r="O143" s="40"/>
      <c r="P143" s="35"/>
      <c r="Q143" s="33"/>
      <c r="R143" s="33"/>
      <c r="S143" s="35"/>
      <c r="T143" s="35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</row>
    <row r="144" hidden="1">
      <c r="A144" s="357" t="s">
        <v>26</v>
      </c>
      <c r="B144" s="100">
        <v>45430.0</v>
      </c>
      <c r="C144" s="22">
        <v>836960.0</v>
      </c>
      <c r="D144" s="23">
        <v>660230.0</v>
      </c>
      <c r="E144" s="24"/>
      <c r="F144" s="25"/>
      <c r="G144" s="101">
        <v>408400.0</v>
      </c>
      <c r="H144" s="27">
        <v>109800.0</v>
      </c>
      <c r="I144" s="28"/>
      <c r="J144" s="29">
        <v>140280.0</v>
      </c>
      <c r="K144" s="30">
        <v>176730.0</v>
      </c>
      <c r="L144" s="31"/>
      <c r="M144" s="32"/>
      <c r="N144" s="33"/>
      <c r="O144" s="40"/>
      <c r="P144" s="35"/>
      <c r="Q144" s="33"/>
      <c r="R144" s="33"/>
      <c r="S144" s="35"/>
      <c r="T144" s="35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</row>
    <row r="145" hidden="1">
      <c r="A145" s="358" t="s">
        <v>27</v>
      </c>
      <c r="B145" s="100">
        <v>45431.0</v>
      </c>
      <c r="C145" s="110"/>
      <c r="D145" s="110"/>
      <c r="E145" s="110"/>
      <c r="F145" s="110"/>
      <c r="G145" s="110"/>
      <c r="H145" s="108"/>
      <c r="I145" s="108"/>
      <c r="J145" s="108"/>
      <c r="K145" s="110"/>
      <c r="L145" s="108"/>
      <c r="M145" s="32"/>
      <c r="N145" s="33"/>
      <c r="O145" s="40"/>
      <c r="P145" s="35"/>
      <c r="Q145" s="33"/>
      <c r="R145" s="33"/>
      <c r="S145" s="35"/>
      <c r="T145" s="35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</row>
    <row r="146" hidden="1">
      <c r="A146" s="357" t="s">
        <v>21</v>
      </c>
      <c r="B146" s="100">
        <v>45432.0</v>
      </c>
      <c r="C146" s="22">
        <v>822900.0</v>
      </c>
      <c r="D146" s="23">
        <v>665670.0</v>
      </c>
      <c r="E146" s="24"/>
      <c r="F146" s="25"/>
      <c r="G146" s="101">
        <v>326840.0</v>
      </c>
      <c r="H146" s="27">
        <v>112951.0</v>
      </c>
      <c r="I146" s="28"/>
      <c r="J146" s="29">
        <v>231070.0</v>
      </c>
      <c r="K146" s="30">
        <v>157430.0</v>
      </c>
      <c r="L146" s="31"/>
      <c r="M146" s="39"/>
      <c r="N146" s="33"/>
      <c r="O146" s="40"/>
      <c r="P146" s="35"/>
      <c r="Q146" s="33"/>
      <c r="R146" s="33"/>
      <c r="S146" s="35"/>
      <c r="T146" s="35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</row>
    <row r="147" hidden="1">
      <c r="A147" s="357" t="s">
        <v>22</v>
      </c>
      <c r="B147" s="100">
        <v>45433.0</v>
      </c>
      <c r="C147" s="22">
        <v>1068565.0</v>
      </c>
      <c r="D147" s="23">
        <v>881655.0</v>
      </c>
      <c r="E147" s="24"/>
      <c r="F147" s="25"/>
      <c r="G147" s="101">
        <f>64200+265050</f>
        <v>329250</v>
      </c>
      <c r="H147" s="27">
        <v>295276.0</v>
      </c>
      <c r="I147" s="28"/>
      <c r="J147" s="29">
        <v>250800.0</v>
      </c>
      <c r="K147" s="30">
        <v>188755.0</v>
      </c>
      <c r="L147" s="31"/>
      <c r="M147" s="39"/>
      <c r="N147" s="33"/>
      <c r="O147" s="40"/>
      <c r="P147" s="35"/>
      <c r="Q147" s="33"/>
      <c r="R147" s="33"/>
      <c r="S147" s="35"/>
      <c r="T147" s="35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</row>
    <row r="148" hidden="1">
      <c r="A148" s="357" t="s">
        <v>23</v>
      </c>
      <c r="B148" s="100">
        <v>45434.0</v>
      </c>
      <c r="C148" s="22">
        <v>837880.0</v>
      </c>
      <c r="D148" s="23">
        <v>640810.0</v>
      </c>
      <c r="E148" s="24"/>
      <c r="F148" s="25"/>
      <c r="G148" s="101">
        <f>262070+87240</f>
        <v>349310</v>
      </c>
      <c r="H148" s="27">
        <v>150430.0</v>
      </c>
      <c r="I148" s="28"/>
      <c r="J148" s="29">
        <v>161520.0</v>
      </c>
      <c r="K148" s="30">
        <v>156770.0</v>
      </c>
      <c r="L148" s="31"/>
      <c r="M148" s="39"/>
      <c r="N148" s="33"/>
      <c r="O148" s="40"/>
      <c r="P148" s="35"/>
      <c r="Q148" s="33"/>
      <c r="R148" s="33"/>
      <c r="S148" s="35"/>
      <c r="T148" s="35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</row>
    <row r="149" hidden="1">
      <c r="A149" s="357" t="s">
        <v>24</v>
      </c>
      <c r="B149" s="100">
        <v>45435.0</v>
      </c>
      <c r="C149" s="22">
        <v>1012870.0</v>
      </c>
      <c r="D149" s="23">
        <v>841160.0</v>
      </c>
      <c r="E149" s="24"/>
      <c r="F149" s="25"/>
      <c r="G149" s="101">
        <v>376270.0</v>
      </c>
      <c r="H149" s="27">
        <v>276021.0</v>
      </c>
      <c r="I149" s="28"/>
      <c r="J149" s="29">
        <v>157160.0</v>
      </c>
      <c r="K149" s="30">
        <v>137410.0</v>
      </c>
      <c r="L149" s="49"/>
      <c r="M149" s="32"/>
      <c r="N149" s="33"/>
      <c r="O149" s="40"/>
      <c r="P149" s="35"/>
      <c r="Q149" s="33"/>
      <c r="R149" s="33"/>
      <c r="S149" s="35"/>
      <c r="T149" s="35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</row>
    <row r="150" hidden="1">
      <c r="A150" s="357" t="s">
        <v>25</v>
      </c>
      <c r="B150" s="100">
        <v>45436.0</v>
      </c>
      <c r="C150" s="22">
        <v>946800.0</v>
      </c>
      <c r="D150" s="23">
        <v>736250.0</v>
      </c>
      <c r="E150" s="24"/>
      <c r="F150" s="25"/>
      <c r="G150" s="101">
        <v>348300.0</v>
      </c>
      <c r="H150" s="27">
        <v>174945.0</v>
      </c>
      <c r="I150" s="28"/>
      <c r="J150" s="29">
        <v>240490.0</v>
      </c>
      <c r="K150" s="30">
        <v>153950.0</v>
      </c>
      <c r="L150" s="49"/>
      <c r="M150" s="32"/>
      <c r="N150" s="33"/>
      <c r="O150" s="40"/>
      <c r="P150" s="35"/>
      <c r="Q150" s="33"/>
      <c r="R150" s="33"/>
      <c r="S150" s="35"/>
      <c r="T150" s="35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</row>
    <row r="151" hidden="1">
      <c r="A151" s="357" t="s">
        <v>26</v>
      </c>
      <c r="B151" s="100">
        <v>45437.0</v>
      </c>
      <c r="C151" s="22">
        <v>793010.0</v>
      </c>
      <c r="D151" s="23">
        <v>662690.0</v>
      </c>
      <c r="E151" s="24"/>
      <c r="F151" s="25"/>
      <c r="G151" s="101">
        <v>487300.0</v>
      </c>
      <c r="H151" s="27">
        <v>31295.0</v>
      </c>
      <c r="I151" s="28"/>
      <c r="J151" s="29">
        <v>139950.0</v>
      </c>
      <c r="K151" s="30">
        <v>96630.0</v>
      </c>
      <c r="L151" s="31"/>
      <c r="M151" s="32"/>
      <c r="N151" s="33"/>
      <c r="O151" s="40"/>
      <c r="P151" s="35"/>
      <c r="Q151" s="33"/>
      <c r="R151" s="33"/>
      <c r="S151" s="35"/>
      <c r="T151" s="35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</row>
    <row r="152" hidden="1">
      <c r="A152" s="358" t="s">
        <v>27</v>
      </c>
      <c r="B152" s="100">
        <v>45438.0</v>
      </c>
      <c r="C152" s="44"/>
      <c r="D152" s="44"/>
      <c r="E152" s="44"/>
      <c r="F152" s="44"/>
      <c r="G152" s="44"/>
      <c r="H152" s="44"/>
      <c r="I152" s="44"/>
      <c r="J152" s="44"/>
      <c r="K152" s="44"/>
      <c r="L152" s="46"/>
      <c r="M152" s="39"/>
      <c r="N152" s="33"/>
      <c r="O152" s="40"/>
      <c r="P152" s="35"/>
      <c r="Q152" s="33"/>
      <c r="R152" s="33"/>
      <c r="S152" s="35"/>
      <c r="T152" s="35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</row>
    <row r="153" hidden="1">
      <c r="A153" s="357" t="s">
        <v>21</v>
      </c>
      <c r="B153" s="100">
        <v>45439.0</v>
      </c>
      <c r="C153" s="22">
        <v>712540.0</v>
      </c>
      <c r="D153" s="23">
        <v>573350.0</v>
      </c>
      <c r="E153" s="24"/>
      <c r="F153" s="25"/>
      <c r="G153" s="101">
        <v>224900.0</v>
      </c>
      <c r="H153" s="27">
        <v>179931.0</v>
      </c>
      <c r="I153" s="28"/>
      <c r="J153" s="29">
        <v>149350.0</v>
      </c>
      <c r="K153" s="30">
        <v>153290.0</v>
      </c>
      <c r="L153" s="31"/>
      <c r="M153" s="39"/>
      <c r="N153" s="33"/>
      <c r="O153" s="40"/>
      <c r="P153" s="35"/>
      <c r="Q153" s="33"/>
      <c r="R153" s="33"/>
      <c r="S153" s="35"/>
      <c r="T153" s="35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</row>
    <row r="154" hidden="1">
      <c r="A154" s="357" t="s">
        <v>22</v>
      </c>
      <c r="B154" s="100">
        <v>45440.0</v>
      </c>
      <c r="C154" s="22">
        <v>729445.0</v>
      </c>
      <c r="D154" s="23">
        <v>566990.0</v>
      </c>
      <c r="E154" s="24"/>
      <c r="F154" s="25"/>
      <c r="G154" s="101">
        <v>232100.0</v>
      </c>
      <c r="H154" s="27">
        <v>179800.0</v>
      </c>
      <c r="I154" s="28"/>
      <c r="J154" s="29">
        <v>131870.0</v>
      </c>
      <c r="K154" s="30">
        <v>157855.0</v>
      </c>
      <c r="L154" s="31"/>
      <c r="M154" s="144"/>
      <c r="N154" s="33"/>
      <c r="O154" s="40"/>
      <c r="P154" s="35"/>
      <c r="Q154" s="33"/>
      <c r="R154" s="33"/>
      <c r="S154" s="35"/>
      <c r="T154" s="35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</row>
    <row r="155" hidden="1">
      <c r="A155" s="357" t="s">
        <v>23</v>
      </c>
      <c r="B155" s="100">
        <v>45441.0</v>
      </c>
      <c r="C155" s="22">
        <v>979610.0</v>
      </c>
      <c r="D155" s="23">
        <v>741580.0</v>
      </c>
      <c r="E155" s="24"/>
      <c r="F155" s="25"/>
      <c r="G155" s="101">
        <v>367660.0</v>
      </c>
      <c r="H155" s="27">
        <v>266786.0</v>
      </c>
      <c r="I155" s="28"/>
      <c r="J155" s="29">
        <v>208590.0</v>
      </c>
      <c r="K155" s="30">
        <v>185730.0</v>
      </c>
      <c r="L155" s="31"/>
      <c r="M155" s="39"/>
      <c r="N155" s="33"/>
      <c r="O155" s="40"/>
      <c r="P155" s="35"/>
      <c r="Q155" s="33"/>
      <c r="R155" s="33"/>
      <c r="S155" s="35"/>
      <c r="T155" s="35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</row>
    <row r="156" hidden="1">
      <c r="A156" s="357" t="s">
        <v>24</v>
      </c>
      <c r="B156" s="100">
        <v>45442.0</v>
      </c>
      <c r="C156" s="22">
        <v>898150.0</v>
      </c>
      <c r="D156" s="23">
        <v>700000.0</v>
      </c>
      <c r="E156" s="24"/>
      <c r="F156" s="25"/>
      <c r="G156" s="101">
        <v>364600.0</v>
      </c>
      <c r="H156" s="27">
        <v>159501.0</v>
      </c>
      <c r="I156" s="28"/>
      <c r="J156" s="29">
        <v>227080.0</v>
      </c>
      <c r="K156" s="30">
        <v>177340.0</v>
      </c>
      <c r="L156" s="31"/>
      <c r="M156" s="39"/>
      <c r="N156" s="33"/>
      <c r="O156" s="40"/>
      <c r="P156" s="35"/>
      <c r="Q156" s="33"/>
      <c r="R156" s="33"/>
      <c r="S156" s="35"/>
      <c r="T156" s="35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</row>
    <row r="157" hidden="1">
      <c r="A157" s="357" t="s">
        <v>25</v>
      </c>
      <c r="B157" s="100">
        <v>45443.0</v>
      </c>
      <c r="C157" s="22">
        <v>923530.0</v>
      </c>
      <c r="D157" s="23">
        <v>762890.0</v>
      </c>
      <c r="E157" s="24"/>
      <c r="F157" s="25"/>
      <c r="G157" s="101">
        <v>383500.0</v>
      </c>
      <c r="H157" s="27">
        <v>197457.0</v>
      </c>
      <c r="I157" s="28"/>
      <c r="J157" s="29">
        <v>184200.0</v>
      </c>
      <c r="K157" s="30">
        <v>166540.0</v>
      </c>
      <c r="L157" s="31"/>
      <c r="M157" s="39"/>
      <c r="N157" s="33"/>
      <c r="O157" s="40"/>
      <c r="P157" s="35"/>
      <c r="Q157" s="33"/>
      <c r="R157" s="33"/>
      <c r="S157" s="35"/>
      <c r="T157" s="35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</row>
    <row r="158" hidden="1">
      <c r="A158" s="360" t="s">
        <v>28</v>
      </c>
      <c r="B158" s="135"/>
      <c r="C158" s="136">
        <f>SUM(C127:C157)</f>
        <v>22305927</v>
      </c>
      <c r="D158" s="136"/>
      <c r="E158" s="149"/>
      <c r="F158" s="149"/>
      <c r="G158" s="136"/>
      <c r="H158" s="136"/>
      <c r="I158" s="136"/>
      <c r="J158" s="136"/>
      <c r="K158" s="136"/>
      <c r="L158" s="31"/>
      <c r="M158" s="39"/>
      <c r="N158" s="33"/>
      <c r="O158" s="40"/>
      <c r="P158" s="35"/>
      <c r="Q158" s="33"/>
      <c r="R158" s="33"/>
      <c r="S158" s="35"/>
      <c r="T158" s="35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</row>
    <row r="159" hidden="1">
      <c r="A159" s="357" t="s">
        <v>26</v>
      </c>
      <c r="B159" s="100">
        <v>45444.0</v>
      </c>
      <c r="C159" s="22">
        <v>898150.0</v>
      </c>
      <c r="D159" s="23">
        <v>769400.0</v>
      </c>
      <c r="E159" s="24"/>
      <c r="F159" s="25"/>
      <c r="G159" s="35">
        <v>427320.0</v>
      </c>
      <c r="H159" s="27">
        <v>128075.0</v>
      </c>
      <c r="I159" s="28"/>
      <c r="J159" s="29">
        <v>222970.0</v>
      </c>
      <c r="K159" s="30">
        <v>139850.0</v>
      </c>
      <c r="L159" s="31"/>
      <c r="M159" s="39"/>
      <c r="N159" s="33"/>
      <c r="O159" s="40"/>
      <c r="P159" s="35"/>
      <c r="Q159" s="33"/>
      <c r="R159" s="33"/>
      <c r="S159" s="35"/>
      <c r="T159" s="35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</row>
    <row r="160" hidden="1">
      <c r="A160" s="361" t="s">
        <v>27</v>
      </c>
      <c r="B160" s="100">
        <v>45445.0</v>
      </c>
      <c r="C160" s="160"/>
      <c r="D160" s="160"/>
      <c r="E160" s="160"/>
      <c r="F160" s="160"/>
      <c r="G160" s="160"/>
      <c r="H160" s="160"/>
      <c r="I160" s="28"/>
      <c r="J160" s="160"/>
      <c r="K160" s="160"/>
      <c r="L160" s="31"/>
      <c r="M160" s="32"/>
      <c r="N160" s="33"/>
      <c r="O160" s="40"/>
      <c r="P160" s="35"/>
      <c r="Q160" s="33"/>
      <c r="R160" s="33"/>
      <c r="S160" s="35"/>
      <c r="T160" s="35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</row>
    <row r="161" hidden="1">
      <c r="A161" s="357" t="s">
        <v>21</v>
      </c>
      <c r="B161" s="100">
        <v>45446.0</v>
      </c>
      <c r="C161" s="22">
        <v>970585.0</v>
      </c>
      <c r="D161" s="23">
        <v>707925.0</v>
      </c>
      <c r="E161" s="24"/>
      <c r="F161" s="25"/>
      <c r="G161" s="35">
        <v>289800.0</v>
      </c>
      <c r="H161" s="27">
        <v>253181.0</v>
      </c>
      <c r="I161" s="28"/>
      <c r="J161" s="29">
        <v>165750.0</v>
      </c>
      <c r="K161" s="30">
        <v>280485.0</v>
      </c>
      <c r="L161" s="49"/>
      <c r="M161" s="39"/>
      <c r="N161" s="33"/>
      <c r="O161" s="40"/>
      <c r="P161" s="35"/>
      <c r="Q161" s="33"/>
      <c r="R161" s="33"/>
      <c r="S161" s="35"/>
      <c r="T161" s="35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</row>
    <row r="162" hidden="1">
      <c r="A162" s="357" t="s">
        <v>22</v>
      </c>
      <c r="B162" s="100">
        <v>45447.0</v>
      </c>
      <c r="C162" s="22">
        <v>890910.0</v>
      </c>
      <c r="D162" s="23">
        <v>689070.0</v>
      </c>
      <c r="E162" s="24"/>
      <c r="F162" s="25"/>
      <c r="G162" s="35">
        <f>341600+34900</f>
        <v>376500</v>
      </c>
      <c r="H162" s="27">
        <v>97900.0</v>
      </c>
      <c r="I162" s="28"/>
      <c r="J162" s="29">
        <v>208420.0</v>
      </c>
      <c r="K162" s="30">
        <v>210040.0</v>
      </c>
      <c r="L162" s="31"/>
      <c r="M162" s="39"/>
      <c r="N162" s="33"/>
      <c r="O162" s="40"/>
      <c r="P162" s="35"/>
      <c r="Q162" s="33"/>
      <c r="R162" s="33"/>
      <c r="S162" s="35"/>
      <c r="T162" s="35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</row>
    <row r="163" hidden="1">
      <c r="A163" s="357" t="s">
        <v>32</v>
      </c>
      <c r="B163" s="100">
        <v>45448.0</v>
      </c>
      <c r="C163" s="22">
        <v>1000410.0</v>
      </c>
      <c r="D163" s="101">
        <v>838740.0</v>
      </c>
      <c r="E163" s="24"/>
      <c r="F163" s="25"/>
      <c r="G163" s="35">
        <v>84400.0</v>
      </c>
      <c r="H163" s="27">
        <v>267700.0</v>
      </c>
      <c r="I163" s="28"/>
      <c r="J163" s="29">
        <v>180340.0</v>
      </c>
      <c r="K163" s="30">
        <v>161670.0</v>
      </c>
      <c r="L163" s="31"/>
      <c r="M163" s="32"/>
      <c r="N163" s="33"/>
      <c r="O163" s="40"/>
      <c r="P163" s="35"/>
      <c r="Q163" s="33"/>
      <c r="R163" s="33"/>
      <c r="S163" s="35"/>
      <c r="T163" s="35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</row>
    <row r="164" hidden="1">
      <c r="A164" s="357" t="s">
        <v>24</v>
      </c>
      <c r="B164" s="100">
        <v>45449.0</v>
      </c>
      <c r="C164" s="152">
        <v>1084535.0</v>
      </c>
      <c r="D164" s="153">
        <v>932820.0</v>
      </c>
      <c r="E164" s="154"/>
      <c r="F164" s="155"/>
      <c r="G164" s="156">
        <v>457600.0</v>
      </c>
      <c r="H164" s="157">
        <v>164635.0</v>
      </c>
      <c r="I164" s="139"/>
      <c r="J164" s="158">
        <v>279020.0</v>
      </c>
      <c r="K164" s="30">
        <v>173015.0</v>
      </c>
      <c r="L164" s="31"/>
      <c r="M164" s="32"/>
      <c r="N164" s="33"/>
      <c r="O164" s="40"/>
      <c r="P164" s="35"/>
      <c r="Q164" s="33"/>
      <c r="R164" s="33"/>
      <c r="S164" s="35"/>
      <c r="T164" s="35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</row>
    <row r="165" hidden="1">
      <c r="A165" s="357" t="s">
        <v>25</v>
      </c>
      <c r="B165" s="100">
        <v>45450.0</v>
      </c>
      <c r="C165" s="22">
        <v>867760.0</v>
      </c>
      <c r="D165" s="23">
        <v>772620.0</v>
      </c>
      <c r="E165" s="24"/>
      <c r="F165" s="25"/>
      <c r="G165" s="35">
        <v>273630.0</v>
      </c>
      <c r="H165" s="27">
        <v>200300.0</v>
      </c>
      <c r="I165" s="28"/>
      <c r="J165" s="29">
        <v>295550.0</v>
      </c>
      <c r="K165" s="30">
        <v>104640.0</v>
      </c>
      <c r="L165" s="49"/>
      <c r="M165" s="141"/>
      <c r="N165" s="33"/>
      <c r="O165" s="40"/>
      <c r="P165" s="35"/>
      <c r="Q165" s="33"/>
      <c r="R165" s="33"/>
      <c r="S165" s="35"/>
      <c r="T165" s="35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</row>
    <row r="166" hidden="1">
      <c r="A166" s="357" t="s">
        <v>33</v>
      </c>
      <c r="B166" s="100">
        <v>45451.0</v>
      </c>
      <c r="C166" s="22">
        <v>799370.0</v>
      </c>
      <c r="D166" s="23">
        <v>485400.0</v>
      </c>
      <c r="E166" s="24"/>
      <c r="F166" s="25"/>
      <c r="G166" s="35">
        <v>493230.0</v>
      </c>
      <c r="H166" s="27">
        <v>67950.0</v>
      </c>
      <c r="I166" s="28"/>
      <c r="J166" s="29">
        <v>257235.0</v>
      </c>
      <c r="K166" s="30">
        <v>140000.0</v>
      </c>
      <c r="L166" s="49"/>
      <c r="M166" s="32"/>
      <c r="N166" s="33"/>
      <c r="O166" s="40"/>
      <c r="P166" s="35"/>
      <c r="Q166" s="33"/>
      <c r="R166" s="33"/>
      <c r="S166" s="35"/>
      <c r="T166" s="35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</row>
    <row r="167" hidden="1">
      <c r="A167" s="361" t="s">
        <v>27</v>
      </c>
      <c r="B167" s="100">
        <v>45452.0</v>
      </c>
      <c r="C167" s="160"/>
      <c r="D167" s="160"/>
      <c r="E167" s="160"/>
      <c r="F167" s="160"/>
      <c r="G167" s="160"/>
      <c r="H167" s="160"/>
      <c r="I167" s="28"/>
      <c r="J167" s="160"/>
      <c r="K167" s="160"/>
      <c r="L167" s="49"/>
      <c r="M167" s="32"/>
      <c r="N167" s="33"/>
      <c r="O167" s="40"/>
      <c r="P167" s="35"/>
      <c r="Q167" s="33"/>
      <c r="R167" s="33"/>
      <c r="S167" s="35"/>
      <c r="T167" s="35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</row>
    <row r="168" hidden="1">
      <c r="A168" s="357" t="s">
        <v>21</v>
      </c>
      <c r="B168" s="100">
        <v>45453.0</v>
      </c>
      <c r="C168" s="22">
        <v>693354.0</v>
      </c>
      <c r="D168" s="23">
        <v>485400.0</v>
      </c>
      <c r="E168" s="24"/>
      <c r="F168" s="25"/>
      <c r="G168" s="35">
        <v>480230.0</v>
      </c>
      <c r="H168" s="27">
        <v>162300.0</v>
      </c>
      <c r="I168" s="28"/>
      <c r="J168" s="29">
        <v>99800.0</v>
      </c>
      <c r="K168" s="30"/>
      <c r="L168" s="49"/>
      <c r="M168" s="39"/>
      <c r="N168" s="33"/>
      <c r="O168" s="40"/>
      <c r="P168" s="35"/>
      <c r="Q168" s="33"/>
      <c r="R168" s="33"/>
      <c r="S168" s="35"/>
      <c r="T168" s="35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</row>
    <row r="169" hidden="1">
      <c r="A169" s="357" t="s">
        <v>22</v>
      </c>
      <c r="B169" s="100">
        <v>45454.0</v>
      </c>
      <c r="C169" s="22">
        <v>1050700.0</v>
      </c>
      <c r="D169" s="23">
        <v>871850.0</v>
      </c>
      <c r="E169" s="24"/>
      <c r="F169" s="25"/>
      <c r="G169" s="35">
        <v>380100.0</v>
      </c>
      <c r="H169" s="27">
        <v>213901.0</v>
      </c>
      <c r="I169" s="28"/>
      <c r="J169" s="29">
        <v>298040.0</v>
      </c>
      <c r="K169" s="30">
        <v>181410.0</v>
      </c>
      <c r="L169" s="49"/>
      <c r="M169" s="32"/>
      <c r="N169" s="33"/>
      <c r="O169" s="40"/>
      <c r="P169" s="35"/>
      <c r="Q169" s="33"/>
      <c r="R169" s="33"/>
      <c r="S169" s="35"/>
      <c r="T169" s="35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</row>
    <row r="170" hidden="1">
      <c r="A170" s="357" t="s">
        <v>32</v>
      </c>
      <c r="B170" s="100">
        <v>45455.0</v>
      </c>
      <c r="C170" s="22">
        <v>1082900.0</v>
      </c>
      <c r="D170" s="101">
        <v>903670.0</v>
      </c>
      <c r="E170" s="24"/>
      <c r="F170" s="25"/>
      <c r="G170" s="35">
        <v>344700.0</v>
      </c>
      <c r="H170" s="27">
        <v>247185.0</v>
      </c>
      <c r="I170" s="28"/>
      <c r="J170" s="29">
        <v>284610.0</v>
      </c>
      <c r="K170" s="30">
        <v>185500.0</v>
      </c>
      <c r="L170" s="49"/>
      <c r="M170" s="32"/>
      <c r="N170" s="33"/>
      <c r="O170" s="40"/>
      <c r="P170" s="35"/>
      <c r="Q170" s="33"/>
      <c r="R170" s="33"/>
      <c r="S170" s="35"/>
      <c r="T170" s="35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</row>
    <row r="171" hidden="1">
      <c r="A171" s="357" t="s">
        <v>24</v>
      </c>
      <c r="B171" s="100">
        <v>45456.0</v>
      </c>
      <c r="C171" s="22">
        <v>1278970.0</v>
      </c>
      <c r="D171" s="23">
        <v>1097650.0</v>
      </c>
      <c r="E171" s="24"/>
      <c r="F171" s="25"/>
      <c r="G171" s="26">
        <v>587300.0</v>
      </c>
      <c r="H171" s="27">
        <v>165500.0</v>
      </c>
      <c r="I171" s="28"/>
      <c r="J171" s="29">
        <v>428600.0</v>
      </c>
      <c r="K171" s="30">
        <v>148120.0</v>
      </c>
      <c r="L171" s="49"/>
      <c r="M171" s="39"/>
      <c r="N171" s="33"/>
      <c r="O171" s="40"/>
      <c r="P171" s="35"/>
      <c r="Q171" s="33"/>
      <c r="R171" s="33"/>
      <c r="S171" s="35"/>
      <c r="T171" s="35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</row>
    <row r="172" hidden="1">
      <c r="A172" s="357" t="s">
        <v>25</v>
      </c>
      <c r="B172" s="100">
        <v>45457.0</v>
      </c>
      <c r="C172" s="22">
        <v>894330.0</v>
      </c>
      <c r="D172" s="23">
        <v>746930.0</v>
      </c>
      <c r="E172" s="24"/>
      <c r="F172" s="25"/>
      <c r="G172" s="35">
        <v>377700.0</v>
      </c>
      <c r="H172" s="27">
        <v>144000.0</v>
      </c>
      <c r="I172" s="28"/>
      <c r="J172" s="29">
        <v>261310.0</v>
      </c>
      <c r="K172" s="30">
        <v>125400.0</v>
      </c>
      <c r="L172" s="49"/>
      <c r="M172" s="39"/>
      <c r="N172" s="33"/>
      <c r="O172" s="40"/>
      <c r="P172" s="35"/>
      <c r="Q172" s="33"/>
      <c r="R172" s="33"/>
      <c r="S172" s="35"/>
      <c r="T172" s="35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</row>
    <row r="173" hidden="1">
      <c r="A173" s="357" t="s">
        <v>33</v>
      </c>
      <c r="B173" s="100">
        <v>45458.0</v>
      </c>
      <c r="C173" s="22">
        <v>895070.0</v>
      </c>
      <c r="D173" s="23">
        <v>738340.0</v>
      </c>
      <c r="E173" s="24"/>
      <c r="F173" s="25"/>
      <c r="G173" s="35">
        <f>386000+17200</f>
        <v>403200</v>
      </c>
      <c r="H173" s="27">
        <v>48600.0</v>
      </c>
      <c r="I173" s="28"/>
      <c r="J173" s="29">
        <v>304750.0</v>
      </c>
      <c r="K173" s="30">
        <v>156730.0</v>
      </c>
      <c r="L173" s="31"/>
      <c r="M173" s="32"/>
      <c r="N173" s="33"/>
      <c r="O173" s="40"/>
      <c r="P173" s="35"/>
      <c r="Q173" s="33"/>
      <c r="R173" s="33"/>
      <c r="S173" s="35"/>
      <c r="T173" s="35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</row>
    <row r="174" hidden="1">
      <c r="A174" s="362" t="s">
        <v>27</v>
      </c>
      <c r="B174" s="100">
        <v>45459.0</v>
      </c>
      <c r="C174" s="160"/>
      <c r="D174" s="160"/>
      <c r="E174" s="160"/>
      <c r="F174" s="160"/>
      <c r="G174" s="160"/>
      <c r="H174" s="160"/>
      <c r="I174" s="28"/>
      <c r="J174" s="160"/>
      <c r="K174" s="160"/>
      <c r="L174" s="31"/>
      <c r="M174" s="32"/>
      <c r="N174" s="33"/>
      <c r="O174" s="40"/>
      <c r="P174" s="35"/>
      <c r="Q174" s="33"/>
      <c r="R174" s="33"/>
      <c r="S174" s="35"/>
      <c r="T174" s="35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</row>
    <row r="175" hidden="1">
      <c r="A175" s="363" t="s">
        <v>21</v>
      </c>
      <c r="B175" s="100">
        <v>45460.0</v>
      </c>
      <c r="C175" s="22"/>
      <c r="D175" s="23"/>
      <c r="E175" s="24"/>
      <c r="F175" s="25"/>
      <c r="G175" s="35"/>
      <c r="H175" s="27"/>
      <c r="I175" s="28"/>
      <c r="J175" s="29"/>
      <c r="K175" s="30"/>
      <c r="L175" s="49"/>
      <c r="M175" s="39"/>
      <c r="N175" s="33"/>
      <c r="O175" s="40"/>
      <c r="P175" s="35"/>
      <c r="Q175" s="33"/>
      <c r="R175" s="33"/>
      <c r="S175" s="35"/>
      <c r="T175" s="35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</row>
    <row r="176" hidden="1">
      <c r="A176" s="363" t="s">
        <v>22</v>
      </c>
      <c r="B176" s="100">
        <v>45461.0</v>
      </c>
      <c r="C176" s="22">
        <v>623830.0</v>
      </c>
      <c r="D176" s="23">
        <v>558400.0</v>
      </c>
      <c r="E176" s="24"/>
      <c r="F176" s="25"/>
      <c r="G176" s="35">
        <v>184600.0</v>
      </c>
      <c r="H176" s="27">
        <v>158686.0</v>
      </c>
      <c r="I176" s="28"/>
      <c r="J176" s="29">
        <v>137910.0</v>
      </c>
      <c r="K176" s="30">
        <v>81590.0</v>
      </c>
      <c r="L176" s="31"/>
      <c r="M176" s="39"/>
      <c r="N176" s="33"/>
      <c r="O176" s="40"/>
      <c r="P176" s="35"/>
      <c r="Q176" s="33"/>
      <c r="R176" s="33"/>
      <c r="S176" s="35"/>
      <c r="T176" s="35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</row>
    <row r="177" hidden="1">
      <c r="A177" s="363" t="s">
        <v>32</v>
      </c>
      <c r="B177" s="100">
        <v>45462.0</v>
      </c>
      <c r="C177" s="22">
        <v>792220.0</v>
      </c>
      <c r="D177" s="23">
        <v>597770.0</v>
      </c>
      <c r="E177" s="24"/>
      <c r="F177" s="25"/>
      <c r="G177" s="35">
        <v>353920.0</v>
      </c>
      <c r="H177" s="27">
        <v>42100.0</v>
      </c>
      <c r="I177" s="28"/>
      <c r="J177" s="29">
        <v>214350.0</v>
      </c>
      <c r="K177" s="30">
        <v>194450.0</v>
      </c>
      <c r="L177" s="31"/>
      <c r="M177" s="32"/>
      <c r="N177" s="33"/>
      <c r="O177" s="40"/>
      <c r="P177" s="35"/>
      <c r="Q177" s="33"/>
      <c r="R177" s="33"/>
      <c r="S177" s="35"/>
      <c r="T177" s="35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</row>
    <row r="178" hidden="1">
      <c r="A178" s="363" t="s">
        <v>24</v>
      </c>
      <c r="B178" s="100">
        <v>45463.0</v>
      </c>
      <c r="C178" s="22">
        <v>923610.0</v>
      </c>
      <c r="D178" s="23">
        <v>788530.0</v>
      </c>
      <c r="E178" s="24"/>
      <c r="F178" s="25"/>
      <c r="G178" s="35">
        <v>516400.0</v>
      </c>
      <c r="H178" s="27">
        <v>95100.0</v>
      </c>
      <c r="I178" s="28"/>
      <c r="J178" s="29">
        <v>152550.0</v>
      </c>
      <c r="K178" s="30">
        <v>135080.0</v>
      </c>
      <c r="L178" s="31"/>
      <c r="M178" s="39"/>
      <c r="N178" s="33"/>
      <c r="O178" s="40"/>
      <c r="P178" s="35"/>
      <c r="Q178" s="33"/>
      <c r="R178" s="33"/>
      <c r="S178" s="35"/>
      <c r="T178" s="35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</row>
    <row r="179" hidden="1">
      <c r="A179" s="363" t="s">
        <v>25</v>
      </c>
      <c r="B179" s="100">
        <v>45464.0</v>
      </c>
      <c r="C179" s="22">
        <v>1002200.0</v>
      </c>
      <c r="D179" s="23">
        <v>876030.0</v>
      </c>
      <c r="E179" s="24">
        <v>7930.0</v>
      </c>
      <c r="F179" s="25">
        <v>900.0</v>
      </c>
      <c r="G179" s="35">
        <v>523100.0</v>
      </c>
      <c r="H179" s="27">
        <v>95035.0</v>
      </c>
      <c r="I179" s="28"/>
      <c r="J179" s="29">
        <v>196460.0</v>
      </c>
      <c r="K179" s="30">
        <v>177260.0</v>
      </c>
      <c r="L179" s="31"/>
      <c r="M179" s="39"/>
      <c r="N179" s="33"/>
      <c r="O179" s="40"/>
      <c r="P179" s="35"/>
      <c r="Q179" s="33"/>
      <c r="R179" s="33"/>
      <c r="S179" s="35"/>
      <c r="T179" s="35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</row>
    <row r="180" hidden="1">
      <c r="A180" s="363" t="s">
        <v>33</v>
      </c>
      <c r="B180" s="100">
        <v>45465.0</v>
      </c>
      <c r="C180" s="22">
        <v>789060.0</v>
      </c>
      <c r="D180" s="23">
        <v>66990.0</v>
      </c>
      <c r="E180" s="24">
        <v>3910.0</v>
      </c>
      <c r="F180" s="25">
        <v>900.0</v>
      </c>
      <c r="G180" s="35">
        <v>421520.0</v>
      </c>
      <c r="H180" s="27">
        <v>24320.0</v>
      </c>
      <c r="I180" s="28"/>
      <c r="J180" s="29">
        <v>207300.0</v>
      </c>
      <c r="K180" s="30">
        <v>146470.0</v>
      </c>
      <c r="L180" s="31"/>
      <c r="M180" s="39"/>
      <c r="N180" s="33"/>
      <c r="O180" s="40"/>
      <c r="P180" s="35"/>
      <c r="Q180" s="33"/>
      <c r="R180" s="33"/>
      <c r="S180" s="35"/>
      <c r="T180" s="35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</row>
    <row r="181" hidden="1">
      <c r="A181" s="362" t="s">
        <v>27</v>
      </c>
      <c r="B181" s="100">
        <v>45466.0</v>
      </c>
      <c r="C181" s="160"/>
      <c r="D181" s="160"/>
      <c r="E181" s="160"/>
      <c r="F181" s="160"/>
      <c r="G181" s="160"/>
      <c r="H181" s="160"/>
      <c r="I181" s="28"/>
      <c r="J181" s="160"/>
      <c r="K181" s="160"/>
      <c r="L181" s="31"/>
      <c r="M181" s="39"/>
      <c r="N181" s="33"/>
      <c r="O181" s="40"/>
      <c r="P181" s="35"/>
      <c r="Q181" s="33"/>
      <c r="R181" s="33"/>
      <c r="S181" s="35"/>
      <c r="T181" s="35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</row>
    <row r="182" hidden="1">
      <c r="A182" s="363" t="s">
        <v>21</v>
      </c>
      <c r="B182" s="100">
        <v>45467.0</v>
      </c>
      <c r="C182" s="22">
        <v>763940.0</v>
      </c>
      <c r="D182" s="23">
        <v>552490.0</v>
      </c>
      <c r="E182" s="24"/>
      <c r="F182" s="25"/>
      <c r="G182" s="35">
        <v>284700.0</v>
      </c>
      <c r="H182" s="27">
        <v>92771.0</v>
      </c>
      <c r="I182" s="28"/>
      <c r="J182" s="29">
        <v>185300.0</v>
      </c>
      <c r="K182" s="30">
        <v>222650.0</v>
      </c>
      <c r="L182" s="49"/>
      <c r="M182" s="39"/>
      <c r="N182" s="33"/>
      <c r="O182" s="40"/>
      <c r="P182" s="35"/>
      <c r="Q182" s="33"/>
      <c r="R182" s="33"/>
      <c r="S182" s="35"/>
      <c r="T182" s="35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</row>
    <row r="183" hidden="1">
      <c r="A183" s="363" t="s">
        <v>22</v>
      </c>
      <c r="B183" s="100">
        <v>45468.0</v>
      </c>
      <c r="C183" s="22">
        <v>963550.0</v>
      </c>
      <c r="D183" s="23">
        <v>795560.0</v>
      </c>
      <c r="E183" s="24"/>
      <c r="F183" s="25"/>
      <c r="G183" s="35">
        <v>296700.0</v>
      </c>
      <c r="H183" s="27"/>
      <c r="I183" s="28"/>
      <c r="J183" s="29">
        <v>245100.0</v>
      </c>
      <c r="K183" s="30">
        <v>167990.0</v>
      </c>
      <c r="L183" s="31"/>
      <c r="M183" s="39"/>
      <c r="N183" s="33"/>
      <c r="O183" s="40"/>
      <c r="P183" s="35"/>
      <c r="Q183" s="33"/>
      <c r="R183" s="33"/>
      <c r="S183" s="35"/>
      <c r="T183" s="35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</row>
    <row r="184" hidden="1">
      <c r="A184" s="363" t="s">
        <v>32</v>
      </c>
      <c r="B184" s="100">
        <v>45469.0</v>
      </c>
      <c r="C184" s="22">
        <v>1247870.0</v>
      </c>
      <c r="D184" s="23">
        <v>1011680.0</v>
      </c>
      <c r="E184" s="24"/>
      <c r="F184" s="25"/>
      <c r="G184" s="35">
        <v>407900.0</v>
      </c>
      <c r="H184" s="27">
        <v>251585.0</v>
      </c>
      <c r="I184" s="28"/>
      <c r="J184" s="29">
        <v>343450.0</v>
      </c>
      <c r="K184" s="30">
        <v>231920.0</v>
      </c>
      <c r="L184" s="31"/>
      <c r="M184" s="39"/>
      <c r="N184" s="33"/>
      <c r="O184" s="40"/>
      <c r="P184" s="35"/>
      <c r="Q184" s="33"/>
      <c r="R184" s="33"/>
      <c r="S184" s="35"/>
      <c r="T184" s="35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</row>
    <row r="185" hidden="1">
      <c r="A185" s="363" t="s">
        <v>24</v>
      </c>
      <c r="B185" s="100">
        <v>45470.0</v>
      </c>
      <c r="C185" s="22">
        <v>1149210.0</v>
      </c>
      <c r="D185" s="23">
        <v>961460.0</v>
      </c>
      <c r="E185" s="24"/>
      <c r="F185" s="25"/>
      <c r="G185" s="35">
        <v>484260.0</v>
      </c>
      <c r="H185" s="27">
        <v>126800.0</v>
      </c>
      <c r="I185" s="28"/>
      <c r="J185" s="29">
        <v>312900.0</v>
      </c>
      <c r="K185" s="30">
        <v>196250.0</v>
      </c>
      <c r="L185" s="31"/>
      <c r="M185" s="39"/>
      <c r="N185" s="33"/>
      <c r="O185" s="40"/>
      <c r="P185" s="35"/>
      <c r="Q185" s="33"/>
      <c r="R185" s="33"/>
      <c r="S185" s="35"/>
      <c r="T185" s="35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</row>
    <row r="186" hidden="1">
      <c r="A186" s="363" t="s">
        <v>25</v>
      </c>
      <c r="B186" s="100">
        <v>45471.0</v>
      </c>
      <c r="C186" s="22">
        <v>1076190.0</v>
      </c>
      <c r="D186" s="23">
        <v>905900.0</v>
      </c>
      <c r="E186" s="24"/>
      <c r="F186" s="25"/>
      <c r="G186" s="35">
        <v>431100.0</v>
      </c>
      <c r="H186" s="27">
        <v>172486.0</v>
      </c>
      <c r="I186" s="28"/>
      <c r="J186" s="29">
        <v>304780.0</v>
      </c>
      <c r="K186" s="30">
        <v>190010.0</v>
      </c>
      <c r="L186" s="49"/>
      <c r="M186" s="32"/>
      <c r="N186" s="33"/>
      <c r="O186" s="40"/>
      <c r="P186" s="35"/>
      <c r="Q186" s="33"/>
      <c r="R186" s="33"/>
      <c r="S186" s="35"/>
      <c r="T186" s="35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</row>
    <row r="187" hidden="1">
      <c r="A187" s="363" t="s">
        <v>33</v>
      </c>
      <c r="B187" s="100">
        <v>45472.0</v>
      </c>
      <c r="C187" s="22">
        <v>1184130.0</v>
      </c>
      <c r="D187" s="118">
        <v>962970.0</v>
      </c>
      <c r="E187" s="119"/>
      <c r="F187" s="120"/>
      <c r="G187" s="163">
        <v>616750.0</v>
      </c>
      <c r="H187" s="122">
        <v>91600.0</v>
      </c>
      <c r="I187" s="123"/>
      <c r="J187" s="164">
        <v>251920.0</v>
      </c>
      <c r="K187" s="30">
        <v>231260.0</v>
      </c>
      <c r="L187" s="31"/>
      <c r="M187" s="39"/>
      <c r="N187" s="33"/>
      <c r="O187" s="40"/>
      <c r="P187" s="35"/>
      <c r="Q187" s="33"/>
      <c r="R187" s="33"/>
      <c r="S187" s="35"/>
      <c r="T187" s="35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</row>
    <row r="188" hidden="1">
      <c r="A188" s="362" t="s">
        <v>27</v>
      </c>
      <c r="B188" s="100">
        <v>45473.0</v>
      </c>
      <c r="C188" s="160"/>
      <c r="D188" s="160"/>
      <c r="E188" s="160"/>
      <c r="F188" s="160"/>
      <c r="G188" s="160"/>
      <c r="H188" s="160"/>
      <c r="I188" s="28"/>
      <c r="J188" s="160"/>
      <c r="K188" s="160"/>
      <c r="L188" s="31"/>
      <c r="M188" s="39"/>
      <c r="N188" s="33"/>
      <c r="O188" s="40"/>
      <c r="P188" s="35"/>
      <c r="Q188" s="33"/>
      <c r="R188" s="33"/>
      <c r="S188" s="35"/>
      <c r="T188" s="35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</row>
    <row r="189" hidden="1">
      <c r="A189" s="165" t="s">
        <v>28</v>
      </c>
      <c r="B189" s="129"/>
      <c r="C189" s="73">
        <f t="shared" ref="C189:D189" si="1">SUM(C159:C188)</f>
        <v>22922854</v>
      </c>
      <c r="D189" s="73">
        <f t="shared" si="1"/>
        <v>18117595</v>
      </c>
      <c r="E189" s="73"/>
      <c r="F189" s="73"/>
      <c r="G189" s="73">
        <f t="shared" ref="G189:H189" si="2">SUM(G159:G188)</f>
        <v>9496660</v>
      </c>
      <c r="H189" s="73">
        <f t="shared" si="2"/>
        <v>3311710</v>
      </c>
      <c r="I189" s="73"/>
      <c r="J189" s="73">
        <f t="shared" ref="J189:K189" si="3">SUM(J159:J188)</f>
        <v>5838415</v>
      </c>
      <c r="K189" s="73">
        <f t="shared" si="3"/>
        <v>3981790</v>
      </c>
      <c r="L189" s="74"/>
      <c r="M189" s="39"/>
      <c r="N189" s="33"/>
      <c r="O189" s="40"/>
      <c r="P189" s="35"/>
      <c r="Q189" s="33"/>
      <c r="R189" s="33"/>
      <c r="S189" s="35"/>
      <c r="T189" s="35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</row>
    <row r="190" hidden="1">
      <c r="A190" s="99" t="s">
        <v>21</v>
      </c>
      <c r="B190" s="100">
        <v>45474.0</v>
      </c>
      <c r="C190" s="22">
        <v>671330.0</v>
      </c>
      <c r="D190" s="23">
        <v>514930.0</v>
      </c>
      <c r="E190" s="24"/>
      <c r="F190" s="25"/>
      <c r="G190" s="35">
        <v>178200.0</v>
      </c>
      <c r="H190" s="27">
        <v>76100.0</v>
      </c>
      <c r="I190" s="28"/>
      <c r="J190" s="29">
        <v>238300.0</v>
      </c>
      <c r="K190" s="30">
        <v>177400.0</v>
      </c>
      <c r="L190" s="31"/>
      <c r="M190" s="32"/>
      <c r="N190" s="33"/>
      <c r="O190" s="40"/>
      <c r="P190" s="35"/>
      <c r="Q190" s="33"/>
      <c r="R190" s="33"/>
      <c r="S190" s="35"/>
      <c r="T190" s="35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</row>
    <row r="191" hidden="1">
      <c r="A191" s="99" t="s">
        <v>22</v>
      </c>
      <c r="B191" s="100">
        <v>45475.0</v>
      </c>
      <c r="C191" s="22">
        <v>996075.0</v>
      </c>
      <c r="D191" s="23">
        <v>794705.0</v>
      </c>
      <c r="E191" s="24"/>
      <c r="F191" s="25"/>
      <c r="G191" s="35">
        <v>391900.0</v>
      </c>
      <c r="H191" s="27">
        <v>128676.0</v>
      </c>
      <c r="I191" s="28"/>
      <c r="J191" s="29">
        <v>255665.0</v>
      </c>
      <c r="K191" s="30">
        <v>201370.0</v>
      </c>
      <c r="L191" s="31"/>
      <c r="M191" s="39"/>
      <c r="N191" s="33"/>
      <c r="O191" s="40"/>
      <c r="P191" s="35"/>
      <c r="Q191" s="33"/>
      <c r="R191" s="33"/>
      <c r="S191" s="35"/>
      <c r="T191" s="35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</row>
    <row r="192" hidden="1">
      <c r="A192" s="99" t="s">
        <v>32</v>
      </c>
      <c r="B192" s="100">
        <v>45476.0</v>
      </c>
      <c r="C192" s="22">
        <v>1014730.0</v>
      </c>
      <c r="D192" s="23">
        <v>885770.0</v>
      </c>
      <c r="E192" s="24"/>
      <c r="F192" s="25"/>
      <c r="G192" s="35">
        <v>448750.0</v>
      </c>
      <c r="H192" s="27">
        <v>126800.0</v>
      </c>
      <c r="I192" s="28"/>
      <c r="J192" s="29">
        <v>285820.0</v>
      </c>
      <c r="K192" s="30">
        <v>133060.0</v>
      </c>
      <c r="L192" s="31"/>
      <c r="M192" s="39"/>
      <c r="N192" s="33"/>
      <c r="O192" s="40"/>
      <c r="P192" s="35"/>
      <c r="Q192" s="33"/>
      <c r="R192" s="33"/>
      <c r="S192" s="35"/>
      <c r="T192" s="35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</row>
    <row r="193" hidden="1">
      <c r="A193" s="99" t="s">
        <v>24</v>
      </c>
      <c r="B193" s="100">
        <v>45477.0</v>
      </c>
      <c r="C193" s="22">
        <v>1144134.0</v>
      </c>
      <c r="D193" s="23">
        <v>1007140.0</v>
      </c>
      <c r="E193" s="24"/>
      <c r="F193" s="25"/>
      <c r="G193" s="35">
        <v>390800.0</v>
      </c>
      <c r="H193" s="27">
        <v>335391.0</v>
      </c>
      <c r="I193" s="28"/>
      <c r="J193" s="29">
        <v>232680.0</v>
      </c>
      <c r="K193" s="30">
        <v>152294.0</v>
      </c>
      <c r="L193" s="31"/>
      <c r="M193" s="32"/>
      <c r="N193" s="33"/>
      <c r="O193" s="40"/>
      <c r="P193" s="35"/>
      <c r="Q193" s="33"/>
      <c r="R193" s="33"/>
      <c r="S193" s="35"/>
      <c r="T193" s="35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</row>
    <row r="194" hidden="1">
      <c r="A194" s="99" t="s">
        <v>25</v>
      </c>
      <c r="B194" s="100">
        <v>45478.0</v>
      </c>
      <c r="C194" s="22">
        <v>1227300.0</v>
      </c>
      <c r="D194" s="23">
        <v>1016380.0</v>
      </c>
      <c r="E194" s="24"/>
      <c r="F194" s="25"/>
      <c r="G194" s="35">
        <v>524700.0</v>
      </c>
      <c r="H194" s="27">
        <v>218138.0</v>
      </c>
      <c r="I194" s="28"/>
      <c r="J194" s="29">
        <v>241820.0</v>
      </c>
      <c r="K194" s="30">
        <v>229170.0</v>
      </c>
      <c r="L194" s="31"/>
      <c r="M194" s="32"/>
      <c r="N194" s="33"/>
      <c r="O194" s="40"/>
      <c r="P194" s="35"/>
      <c r="Q194" s="33"/>
      <c r="R194" s="33"/>
      <c r="S194" s="35"/>
      <c r="T194" s="35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</row>
    <row r="195" hidden="1">
      <c r="A195" s="99" t="s">
        <v>33</v>
      </c>
      <c r="B195" s="100">
        <v>45479.0</v>
      </c>
      <c r="C195" s="22">
        <v>1112950.0</v>
      </c>
      <c r="D195" s="23">
        <v>867240.0</v>
      </c>
      <c r="E195" s="24"/>
      <c r="F195" s="25"/>
      <c r="G195" s="35">
        <v>458600.0</v>
      </c>
      <c r="H195" s="27">
        <v>100390.0</v>
      </c>
      <c r="I195" s="28"/>
      <c r="J195" s="29">
        <v>284330.0</v>
      </c>
      <c r="K195" s="30">
        <v>275990.0</v>
      </c>
      <c r="L195" s="31"/>
      <c r="M195" s="39"/>
      <c r="N195" s="33"/>
      <c r="O195" s="40"/>
      <c r="P195" s="35"/>
      <c r="Q195" s="33"/>
      <c r="R195" s="33"/>
      <c r="S195" s="35"/>
      <c r="T195" s="35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</row>
    <row r="196" hidden="1">
      <c r="A196" s="150" t="s">
        <v>27</v>
      </c>
      <c r="B196" s="100">
        <v>45480.0</v>
      </c>
      <c r="C196" s="160"/>
      <c r="D196" s="160"/>
      <c r="E196" s="160"/>
      <c r="F196" s="160"/>
      <c r="G196" s="160"/>
      <c r="H196" s="160"/>
      <c r="I196" s="28"/>
      <c r="J196" s="160"/>
      <c r="K196" s="160"/>
      <c r="L196" s="31"/>
      <c r="M196" s="39"/>
      <c r="N196" s="33"/>
      <c r="O196" s="40"/>
      <c r="P196" s="35"/>
      <c r="Q196" s="33"/>
      <c r="R196" s="33"/>
      <c r="S196" s="35"/>
      <c r="T196" s="35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</row>
    <row r="197" hidden="1">
      <c r="A197" s="99" t="s">
        <v>21</v>
      </c>
      <c r="B197" s="100">
        <v>45481.0</v>
      </c>
      <c r="C197" s="22">
        <v>1086740.0</v>
      </c>
      <c r="D197" s="23">
        <v>889479.0</v>
      </c>
      <c r="E197" s="24"/>
      <c r="F197" s="25"/>
      <c r="G197" s="35">
        <v>345800.0</v>
      </c>
      <c r="H197" s="27">
        <v>289361.0</v>
      </c>
      <c r="I197" s="28"/>
      <c r="J197" s="29">
        <v>291500.0</v>
      </c>
      <c r="K197" s="30">
        <v>184360.0</v>
      </c>
      <c r="L197" s="31"/>
      <c r="M197" s="39"/>
      <c r="N197" s="33"/>
      <c r="O197" s="40"/>
      <c r="P197" s="35"/>
      <c r="Q197" s="33"/>
      <c r="R197" s="33"/>
      <c r="S197" s="35"/>
      <c r="T197" s="35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</row>
    <row r="198" hidden="1">
      <c r="A198" s="99" t="s">
        <v>22</v>
      </c>
      <c r="B198" s="100">
        <v>45482.0</v>
      </c>
      <c r="C198" s="22">
        <v>684250.0</v>
      </c>
      <c r="D198" s="23">
        <v>505600.0</v>
      </c>
      <c r="E198" s="24"/>
      <c r="F198" s="25"/>
      <c r="G198" s="35">
        <f>160700+161400</f>
        <v>322100</v>
      </c>
      <c r="H198" s="27">
        <v>58300.0</v>
      </c>
      <c r="I198" s="28"/>
      <c r="J198" s="29">
        <v>204300.0</v>
      </c>
      <c r="K198" s="30">
        <v>100350.0</v>
      </c>
      <c r="L198" s="31"/>
      <c r="M198" s="32"/>
      <c r="N198" s="33"/>
      <c r="O198" s="40"/>
      <c r="P198" s="35"/>
      <c r="Q198" s="33"/>
      <c r="R198" s="33"/>
      <c r="S198" s="35"/>
      <c r="T198" s="35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</row>
    <row r="199" hidden="1">
      <c r="A199" s="99" t="s">
        <v>32</v>
      </c>
      <c r="B199" s="100">
        <v>45483.0</v>
      </c>
      <c r="C199" s="22">
        <v>984710.0</v>
      </c>
      <c r="D199" s="23">
        <v>734420.0</v>
      </c>
      <c r="E199" s="24"/>
      <c r="F199" s="25"/>
      <c r="G199" s="35">
        <v>299200.0</v>
      </c>
      <c r="H199" s="27">
        <v>156728.0</v>
      </c>
      <c r="I199" s="28"/>
      <c r="J199" s="29">
        <v>268590.0</v>
      </c>
      <c r="K199" s="30">
        <v>249750.0</v>
      </c>
      <c r="L199" s="31"/>
      <c r="M199" s="39"/>
      <c r="N199" s="33"/>
      <c r="O199" s="40"/>
      <c r="P199" s="35"/>
      <c r="Q199" s="33"/>
      <c r="R199" s="33"/>
      <c r="S199" s="35"/>
      <c r="T199" s="35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</row>
    <row r="200" hidden="1">
      <c r="A200" s="99" t="s">
        <v>24</v>
      </c>
      <c r="B200" s="100">
        <v>45484.0</v>
      </c>
      <c r="C200" s="22">
        <v>1163540.0</v>
      </c>
      <c r="D200" s="23">
        <v>974540.0</v>
      </c>
      <c r="E200" s="24"/>
      <c r="F200" s="25"/>
      <c r="G200" s="35">
        <v>486900.0</v>
      </c>
      <c r="H200" s="27">
        <v>140050.0</v>
      </c>
      <c r="I200" s="28"/>
      <c r="J200" s="29">
        <v>294390.0</v>
      </c>
      <c r="K200" s="30"/>
      <c r="L200" s="31"/>
      <c r="M200" s="32"/>
      <c r="N200" s="33"/>
      <c r="O200" s="40"/>
      <c r="P200" s="35"/>
      <c r="Q200" s="33"/>
      <c r="R200" s="33"/>
      <c r="S200" s="35"/>
      <c r="T200" s="35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</row>
    <row r="201" hidden="1">
      <c r="A201" s="99" t="s">
        <v>25</v>
      </c>
      <c r="B201" s="100">
        <v>45485.0</v>
      </c>
      <c r="C201" s="22">
        <v>1175220.0</v>
      </c>
      <c r="D201" s="23">
        <v>1072690.0</v>
      </c>
      <c r="E201" s="24"/>
      <c r="F201" s="25"/>
      <c r="G201" s="35">
        <v>540200.0</v>
      </c>
      <c r="H201" s="27">
        <v>205600.0</v>
      </c>
      <c r="I201" s="28"/>
      <c r="J201" s="29">
        <v>256140.0</v>
      </c>
      <c r="K201" s="30">
        <v>105930.0</v>
      </c>
      <c r="L201" s="31"/>
      <c r="M201" s="39"/>
      <c r="N201" s="33"/>
      <c r="O201" s="40"/>
      <c r="P201" s="35"/>
      <c r="Q201" s="33"/>
      <c r="R201" s="33"/>
      <c r="S201" s="35"/>
      <c r="T201" s="35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</row>
    <row r="202" hidden="1">
      <c r="A202" s="99" t="s">
        <v>33</v>
      </c>
      <c r="B202" s="100">
        <v>45486.0</v>
      </c>
      <c r="C202" s="22">
        <v>866780.0</v>
      </c>
      <c r="D202" s="23">
        <v>592100.0</v>
      </c>
      <c r="E202" s="24"/>
      <c r="F202" s="25"/>
      <c r="G202" s="35">
        <v>438200.0</v>
      </c>
      <c r="H202" s="27">
        <v>32100.0</v>
      </c>
      <c r="I202" s="28"/>
      <c r="J202" s="29">
        <v>149030.0</v>
      </c>
      <c r="K202" s="30">
        <v>262250.0</v>
      </c>
      <c r="L202" s="31"/>
      <c r="M202" s="39"/>
      <c r="N202" s="33"/>
      <c r="O202" s="40"/>
      <c r="P202" s="35"/>
      <c r="Q202" s="33"/>
      <c r="R202" s="33"/>
      <c r="S202" s="35"/>
      <c r="T202" s="35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</row>
    <row r="203" hidden="1">
      <c r="A203" s="150" t="s">
        <v>27</v>
      </c>
      <c r="B203" s="100">
        <v>45487.0</v>
      </c>
      <c r="C203" s="160"/>
      <c r="D203" s="160"/>
      <c r="E203" s="160"/>
      <c r="F203" s="160"/>
      <c r="G203" s="160"/>
      <c r="H203" s="160"/>
      <c r="I203" s="28"/>
      <c r="J203" s="160"/>
      <c r="K203" s="160"/>
      <c r="L203" s="31"/>
      <c r="M203" s="39"/>
      <c r="N203" s="33"/>
      <c r="O203" s="40"/>
      <c r="P203" s="35"/>
      <c r="Q203" s="33"/>
      <c r="R203" s="33"/>
      <c r="S203" s="35"/>
      <c r="T203" s="35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</row>
    <row r="204" hidden="1">
      <c r="A204" s="99" t="s">
        <v>21</v>
      </c>
      <c r="B204" s="100">
        <v>45488.0</v>
      </c>
      <c r="C204" s="22">
        <v>809260.0</v>
      </c>
      <c r="D204" s="23">
        <v>561250.0</v>
      </c>
      <c r="E204" s="24"/>
      <c r="F204" s="25"/>
      <c r="G204" s="35">
        <v>231100.0</v>
      </c>
      <c r="H204" s="27">
        <v>145361.0</v>
      </c>
      <c r="I204" s="28"/>
      <c r="J204" s="29">
        <v>260450.0</v>
      </c>
      <c r="K204" s="30">
        <v>177270.0</v>
      </c>
      <c r="L204" s="31"/>
      <c r="M204" s="39"/>
      <c r="N204" s="33"/>
      <c r="O204" s="40"/>
      <c r="P204" s="35"/>
      <c r="Q204" s="33"/>
      <c r="R204" s="33"/>
      <c r="S204" s="35"/>
      <c r="T204" s="35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</row>
    <row r="205" hidden="1">
      <c r="A205" s="99" t="s">
        <v>22</v>
      </c>
      <c r="B205" s="100">
        <v>45489.0</v>
      </c>
      <c r="C205" s="22">
        <v>853940.0</v>
      </c>
      <c r="D205" s="23">
        <v>611420.0</v>
      </c>
      <c r="E205" s="24"/>
      <c r="F205" s="25"/>
      <c r="G205" s="35">
        <v>197650.0</v>
      </c>
      <c r="H205" s="27">
        <v>137981.0</v>
      </c>
      <c r="I205" s="28"/>
      <c r="J205" s="29">
        <v>341780.0</v>
      </c>
      <c r="K205" s="30">
        <v>162720.0</v>
      </c>
      <c r="L205" s="31"/>
      <c r="M205" s="32"/>
      <c r="N205" s="33"/>
      <c r="O205" s="40"/>
      <c r="P205" s="35"/>
      <c r="Q205" s="33"/>
      <c r="R205" s="33"/>
      <c r="S205" s="35"/>
      <c r="T205" s="35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</row>
    <row r="206" hidden="1">
      <c r="A206" s="99" t="s">
        <v>32</v>
      </c>
      <c r="B206" s="100">
        <v>45490.0</v>
      </c>
      <c r="C206" s="22">
        <v>1254500.0</v>
      </c>
      <c r="D206" s="23">
        <v>926120.0</v>
      </c>
      <c r="E206" s="24"/>
      <c r="F206" s="25"/>
      <c r="G206" s="35">
        <v>398600.0</v>
      </c>
      <c r="H206" s="27">
        <v>288070.0</v>
      </c>
      <c r="I206" s="28"/>
      <c r="J206" s="29">
        <v>298200.0</v>
      </c>
      <c r="K206" s="30">
        <v>255070.0</v>
      </c>
      <c r="L206" s="31"/>
      <c r="M206" s="39"/>
      <c r="N206" s="33"/>
      <c r="O206" s="40"/>
      <c r="P206" s="35"/>
      <c r="Q206" s="33"/>
      <c r="R206" s="33"/>
      <c r="S206" s="35"/>
      <c r="T206" s="35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</row>
    <row r="207" hidden="1">
      <c r="A207" s="99" t="s">
        <v>24</v>
      </c>
      <c r="B207" s="100">
        <v>45491.0</v>
      </c>
      <c r="C207" s="22">
        <v>1479200.0</v>
      </c>
      <c r="D207" s="23">
        <v>875090.0</v>
      </c>
      <c r="E207" s="24"/>
      <c r="F207" s="25"/>
      <c r="G207" s="35">
        <v>482600.0</v>
      </c>
      <c r="H207" s="27">
        <v>202500.0</v>
      </c>
      <c r="I207" s="28"/>
      <c r="J207" s="29">
        <v>502870.0</v>
      </c>
      <c r="K207" s="30">
        <v>316340.0</v>
      </c>
      <c r="L207" s="31"/>
      <c r="M207" s="39"/>
      <c r="N207" s="33"/>
      <c r="O207" s="40"/>
      <c r="P207" s="35"/>
      <c r="Q207" s="33"/>
      <c r="R207" s="33"/>
      <c r="S207" s="35"/>
      <c r="T207" s="35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</row>
    <row r="208" hidden="1">
      <c r="A208" s="99" t="s">
        <v>25</v>
      </c>
      <c r="B208" s="100">
        <v>45492.0</v>
      </c>
      <c r="C208" s="22">
        <v>1152930.0</v>
      </c>
      <c r="D208" s="23">
        <v>794135.0</v>
      </c>
      <c r="E208" s="24"/>
      <c r="F208" s="25"/>
      <c r="G208" s="35">
        <v>486900.0</v>
      </c>
      <c r="H208" s="27">
        <v>93900.0</v>
      </c>
      <c r="I208" s="28"/>
      <c r="J208" s="29">
        <v>369325.0</v>
      </c>
      <c r="K208" s="30">
        <v>191175.0</v>
      </c>
      <c r="L208" s="49"/>
      <c r="M208" s="39"/>
      <c r="N208" s="33"/>
      <c r="O208" s="40"/>
      <c r="P208" s="35"/>
      <c r="Q208" s="33"/>
      <c r="R208" s="33"/>
      <c r="S208" s="35"/>
      <c r="T208" s="35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</row>
    <row r="209" hidden="1">
      <c r="A209" s="99" t="s">
        <v>33</v>
      </c>
      <c r="B209" s="100">
        <v>45493.0</v>
      </c>
      <c r="C209" s="22">
        <v>967480.0</v>
      </c>
      <c r="D209" s="23">
        <v>668150.0</v>
      </c>
      <c r="E209" s="24"/>
      <c r="F209" s="25"/>
      <c r="G209" s="35">
        <v>477400.0</v>
      </c>
      <c r="H209" s="27">
        <v>78100.0</v>
      </c>
      <c r="I209" s="28"/>
      <c r="J209" s="29">
        <v>247710.0</v>
      </c>
      <c r="K209" s="30">
        <v>147280.0</v>
      </c>
      <c r="L209" s="31"/>
      <c r="M209" s="39"/>
      <c r="N209" s="33"/>
      <c r="O209" s="40"/>
      <c r="P209" s="35"/>
      <c r="Q209" s="33"/>
      <c r="R209" s="33"/>
      <c r="S209" s="35"/>
      <c r="T209" s="35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</row>
    <row r="210" hidden="1">
      <c r="A210" s="150" t="s">
        <v>27</v>
      </c>
      <c r="B210" s="100">
        <v>45494.0</v>
      </c>
      <c r="C210" s="160"/>
      <c r="D210" s="160"/>
      <c r="E210" s="160"/>
      <c r="F210" s="160"/>
      <c r="G210" s="160"/>
      <c r="H210" s="160"/>
      <c r="I210" s="28"/>
      <c r="J210" s="160"/>
      <c r="K210" s="160"/>
      <c r="L210" s="31"/>
      <c r="M210" s="39"/>
      <c r="N210" s="33"/>
      <c r="O210" s="40"/>
      <c r="P210" s="35"/>
      <c r="Q210" s="33"/>
      <c r="R210" s="33"/>
      <c r="S210" s="35"/>
      <c r="T210" s="35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</row>
    <row r="211" hidden="1">
      <c r="A211" s="99" t="s">
        <v>21</v>
      </c>
      <c r="B211" s="100">
        <v>45495.0</v>
      </c>
      <c r="C211" s="22">
        <v>771450.0</v>
      </c>
      <c r="D211" s="23">
        <v>512960.0</v>
      </c>
      <c r="E211" s="24"/>
      <c r="F211" s="25"/>
      <c r="G211" s="35">
        <v>334200.0</v>
      </c>
      <c r="H211" s="27">
        <v>64300.0</v>
      </c>
      <c r="I211" s="28"/>
      <c r="J211" s="29">
        <v>191060.0</v>
      </c>
      <c r="K211" s="30">
        <v>180390.0</v>
      </c>
      <c r="L211" s="31"/>
      <c r="M211" s="39"/>
      <c r="N211" s="33"/>
      <c r="O211" s="40"/>
      <c r="P211" s="35"/>
      <c r="Q211" s="33"/>
      <c r="R211" s="33"/>
      <c r="S211" s="35"/>
      <c r="T211" s="35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</row>
    <row r="212" hidden="1">
      <c r="A212" s="99" t="s">
        <v>22</v>
      </c>
      <c r="B212" s="100">
        <v>45496.0</v>
      </c>
      <c r="C212" s="22">
        <v>1184870.0</v>
      </c>
      <c r="D212" s="23">
        <v>922430.0</v>
      </c>
      <c r="E212" s="24"/>
      <c r="F212" s="25"/>
      <c r="G212" s="35">
        <v>556400.0</v>
      </c>
      <c r="H212" s="27">
        <v>154250.0</v>
      </c>
      <c r="I212" s="28"/>
      <c r="J212" s="29">
        <v>150680.0</v>
      </c>
      <c r="K212" s="30">
        <v>226790.0</v>
      </c>
      <c r="L212" s="31"/>
      <c r="M212" s="39"/>
      <c r="N212" s="33"/>
      <c r="O212" s="40"/>
      <c r="P212" s="35"/>
      <c r="Q212" s="33"/>
      <c r="R212" s="33"/>
      <c r="S212" s="35"/>
      <c r="T212" s="35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</row>
    <row r="213" hidden="1">
      <c r="A213" s="99" t="s">
        <v>32</v>
      </c>
      <c r="B213" s="100">
        <v>45497.0</v>
      </c>
      <c r="C213" s="22">
        <v>965830.0</v>
      </c>
      <c r="D213" s="23">
        <v>689170.0</v>
      </c>
      <c r="E213" s="24"/>
      <c r="F213" s="25"/>
      <c r="G213" s="35">
        <f>188000+270200</f>
        <v>458200</v>
      </c>
      <c r="H213" s="27">
        <v>91900.0</v>
      </c>
      <c r="I213" s="28"/>
      <c r="J213" s="29">
        <v>195430.0</v>
      </c>
      <c r="K213" s="30">
        <v>219560.0</v>
      </c>
      <c r="L213" s="31"/>
      <c r="M213" s="39"/>
      <c r="N213" s="33"/>
      <c r="O213" s="40"/>
      <c r="P213" s="35"/>
      <c r="Q213" s="33"/>
      <c r="R213" s="33"/>
      <c r="S213" s="35"/>
      <c r="T213" s="35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</row>
    <row r="214" hidden="1">
      <c r="A214" s="99" t="s">
        <v>24</v>
      </c>
      <c r="B214" s="100">
        <v>45498.0</v>
      </c>
      <c r="C214" s="22">
        <v>783870.0</v>
      </c>
      <c r="D214" s="23">
        <v>552800.0</v>
      </c>
      <c r="E214" s="24"/>
      <c r="F214" s="25"/>
      <c r="G214" s="35">
        <v>307200.0</v>
      </c>
      <c r="H214" s="27">
        <v>171700.0</v>
      </c>
      <c r="I214" s="28"/>
      <c r="J214" s="29">
        <v>115150.0</v>
      </c>
      <c r="K214" s="30">
        <v>174520.0</v>
      </c>
      <c r="L214" s="31"/>
      <c r="M214" s="39"/>
      <c r="N214" s="33"/>
      <c r="O214" s="40"/>
      <c r="P214" s="35"/>
      <c r="Q214" s="33"/>
      <c r="R214" s="33"/>
      <c r="S214" s="35"/>
      <c r="T214" s="35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</row>
    <row r="215" hidden="1">
      <c r="A215" s="99" t="s">
        <v>25</v>
      </c>
      <c r="B215" s="100">
        <v>45499.0</v>
      </c>
      <c r="C215" s="22">
        <v>1028790.0</v>
      </c>
      <c r="D215" s="23">
        <v>820370.0</v>
      </c>
      <c r="E215" s="24"/>
      <c r="F215" s="25"/>
      <c r="G215" s="35">
        <v>320700.0</v>
      </c>
      <c r="H215" s="27">
        <v>201000.0</v>
      </c>
      <c r="I215" s="28"/>
      <c r="J215" s="29">
        <v>296440.0</v>
      </c>
      <c r="K215" s="30">
        <v>161230.0</v>
      </c>
      <c r="L215" s="31"/>
      <c r="M215" s="39"/>
      <c r="N215" s="33"/>
      <c r="O215" s="40"/>
      <c r="P215" s="35"/>
      <c r="Q215" s="33"/>
      <c r="R215" s="33"/>
      <c r="S215" s="35"/>
      <c r="T215" s="35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</row>
    <row r="216" hidden="1">
      <c r="A216" s="99" t="s">
        <v>26</v>
      </c>
      <c r="B216" s="100">
        <v>45500.0</v>
      </c>
      <c r="C216" s="22">
        <v>952860.0</v>
      </c>
      <c r="D216" s="23">
        <v>709700.0</v>
      </c>
      <c r="E216" s="24"/>
      <c r="F216" s="25"/>
      <c r="G216" s="26">
        <f>45200+410300+40800</f>
        <v>496300</v>
      </c>
      <c r="H216" s="27">
        <v>81600.0</v>
      </c>
      <c r="I216" s="28"/>
      <c r="J216" s="29">
        <v>176150.0</v>
      </c>
      <c r="K216" s="30">
        <v>194410.0</v>
      </c>
      <c r="L216" s="31"/>
      <c r="M216" s="39"/>
      <c r="N216" s="33"/>
      <c r="O216" s="40"/>
      <c r="P216" s="35"/>
      <c r="Q216" s="33"/>
      <c r="R216" s="33"/>
      <c r="S216" s="35"/>
      <c r="T216" s="35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</row>
    <row r="217" hidden="1">
      <c r="A217" s="150" t="s">
        <v>27</v>
      </c>
      <c r="B217" s="100">
        <v>45501.0</v>
      </c>
      <c r="C217" s="167"/>
      <c r="D217" s="167"/>
      <c r="E217" s="167"/>
      <c r="F217" s="167"/>
      <c r="G217" s="167"/>
      <c r="H217" s="167"/>
      <c r="I217" s="123"/>
      <c r="J217" s="167"/>
      <c r="K217" s="160"/>
      <c r="L217" s="31"/>
      <c r="M217" s="32"/>
      <c r="N217" s="33"/>
      <c r="O217" s="40"/>
      <c r="P217" s="35"/>
      <c r="Q217" s="33"/>
      <c r="R217" s="33"/>
      <c r="S217" s="35"/>
      <c r="T217" s="35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</row>
    <row r="218" hidden="1">
      <c r="A218" s="99" t="s">
        <v>21</v>
      </c>
      <c r="B218" s="100">
        <v>45502.0</v>
      </c>
      <c r="C218" s="22">
        <v>1230610.0</v>
      </c>
      <c r="D218" s="101">
        <v>927790.0</v>
      </c>
      <c r="E218" s="168"/>
      <c r="F218" s="25"/>
      <c r="G218" s="35">
        <f>414300+8400</f>
        <v>422700</v>
      </c>
      <c r="H218" s="27">
        <v>360300.0</v>
      </c>
      <c r="I218" s="28"/>
      <c r="J218" s="29">
        <v>203030.0</v>
      </c>
      <c r="K218" s="30">
        <v>244510.0</v>
      </c>
      <c r="L218" s="31"/>
      <c r="M218" s="39"/>
      <c r="N218" s="33"/>
      <c r="O218" s="40"/>
      <c r="P218" s="35"/>
      <c r="Q218" s="33"/>
      <c r="R218" s="33"/>
      <c r="S218" s="35"/>
      <c r="T218" s="35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</row>
    <row r="219" hidden="1">
      <c r="A219" s="99" t="s">
        <v>22</v>
      </c>
      <c r="B219" s="100">
        <v>45503.0</v>
      </c>
      <c r="C219" s="22">
        <v>965230.0</v>
      </c>
      <c r="D219" s="101">
        <v>687840.0</v>
      </c>
      <c r="E219" s="168"/>
      <c r="F219" s="25"/>
      <c r="G219" s="35">
        <f>259300+7200</f>
        <v>266500</v>
      </c>
      <c r="H219" s="27">
        <v>215900.0</v>
      </c>
      <c r="I219" s="28"/>
      <c r="J219" s="29">
        <v>312800.0</v>
      </c>
      <c r="K219" s="30">
        <v>194880.0</v>
      </c>
      <c r="L219" s="31"/>
      <c r="M219" s="39"/>
      <c r="N219" s="33"/>
      <c r="O219" s="40"/>
      <c r="P219" s="35"/>
      <c r="Q219" s="33"/>
      <c r="R219" s="33"/>
      <c r="S219" s="35"/>
      <c r="T219" s="35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</row>
    <row r="220" hidden="1">
      <c r="A220" s="99" t="s">
        <v>23</v>
      </c>
      <c r="B220" s="100">
        <v>45504.0</v>
      </c>
      <c r="C220" s="22">
        <v>1131190.0</v>
      </c>
      <c r="D220" s="101">
        <v>857100.0</v>
      </c>
      <c r="E220" s="168"/>
      <c r="F220" s="25"/>
      <c r="G220" s="35">
        <v>491700.0</v>
      </c>
      <c r="H220" s="27" t="s">
        <v>595</v>
      </c>
      <c r="I220" s="28"/>
      <c r="J220" s="29">
        <v>229670.0</v>
      </c>
      <c r="K220" s="30">
        <v>211490.0</v>
      </c>
      <c r="L220" s="31"/>
      <c r="M220" s="39"/>
      <c r="N220" s="33"/>
      <c r="O220" s="40"/>
      <c r="P220" s="35"/>
      <c r="Q220" s="33"/>
      <c r="R220" s="33"/>
      <c r="S220" s="35"/>
      <c r="T220" s="35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</row>
    <row r="221" hidden="1">
      <c r="A221" s="93" t="s">
        <v>28</v>
      </c>
      <c r="B221" s="170"/>
      <c r="C221" s="170">
        <f t="shared" ref="C221:D221" si="4">SUM(C190:C220)</f>
        <v>27659769</v>
      </c>
      <c r="D221" s="170">
        <f t="shared" si="4"/>
        <v>20971319</v>
      </c>
      <c r="E221" s="170"/>
      <c r="F221" s="170"/>
      <c r="G221" s="170"/>
      <c r="H221" s="170"/>
      <c r="I221" s="123"/>
      <c r="J221" s="170"/>
      <c r="K221" s="170"/>
      <c r="L221" s="74"/>
      <c r="M221" s="32"/>
      <c r="N221" s="33"/>
      <c r="O221" s="40"/>
      <c r="P221" s="35"/>
      <c r="Q221" s="33"/>
      <c r="R221" s="33"/>
      <c r="S221" s="35"/>
      <c r="T221" s="35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</row>
    <row r="222" hidden="1">
      <c r="A222" s="99" t="s">
        <v>24</v>
      </c>
      <c r="B222" s="364">
        <v>45505.0</v>
      </c>
      <c r="C222" s="22">
        <v>1279740.0</v>
      </c>
      <c r="D222" s="23">
        <v>972230.0</v>
      </c>
      <c r="E222" s="24"/>
      <c r="F222" s="25"/>
      <c r="G222" s="35">
        <v>505300.0</v>
      </c>
      <c r="H222" s="171" t="s">
        <v>595</v>
      </c>
      <c r="I222" s="28"/>
      <c r="J222" s="29">
        <v>312430.0</v>
      </c>
      <c r="K222" s="30">
        <v>250860.0</v>
      </c>
      <c r="L222" s="31"/>
      <c r="M222" s="39"/>
      <c r="N222" s="33"/>
      <c r="O222" s="40"/>
      <c r="P222" s="35"/>
      <c r="Q222" s="33"/>
      <c r="R222" s="33"/>
      <c r="S222" s="35"/>
      <c r="T222" s="35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</row>
    <row r="223" hidden="1">
      <c r="A223" s="99" t="s">
        <v>25</v>
      </c>
      <c r="B223" s="364">
        <v>45506.0</v>
      </c>
      <c r="C223" s="22">
        <v>953340.0</v>
      </c>
      <c r="D223" s="23">
        <v>587120.0</v>
      </c>
      <c r="E223" s="24"/>
      <c r="F223" s="25"/>
      <c r="G223" s="35">
        <v>243700.0</v>
      </c>
      <c r="H223" s="171" t="s">
        <v>595</v>
      </c>
      <c r="I223" s="28"/>
      <c r="J223" s="29">
        <v>316870.0</v>
      </c>
      <c r="K223" s="30">
        <v>202970.0</v>
      </c>
      <c r="L223" s="31"/>
      <c r="M223" s="39"/>
      <c r="N223" s="33"/>
      <c r="O223" s="40"/>
      <c r="P223" s="35"/>
      <c r="Q223" s="33"/>
      <c r="R223" s="33"/>
      <c r="S223" s="35"/>
      <c r="T223" s="35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</row>
    <row r="224" hidden="1">
      <c r="A224" s="99" t="s">
        <v>26</v>
      </c>
      <c r="B224" s="364">
        <v>45507.0</v>
      </c>
      <c r="C224" s="22">
        <v>889913.0</v>
      </c>
      <c r="D224" s="23">
        <v>509910.0</v>
      </c>
      <c r="E224" s="24"/>
      <c r="F224" s="25"/>
      <c r="G224" s="35">
        <v>371100.0</v>
      </c>
      <c r="H224" s="171" t="s">
        <v>595</v>
      </c>
      <c r="I224" s="28"/>
      <c r="J224" s="29">
        <v>228400.0</v>
      </c>
      <c r="K224" s="30">
        <v>281503.0</v>
      </c>
      <c r="L224" s="31"/>
      <c r="M224" s="39"/>
      <c r="N224" s="33"/>
      <c r="O224" s="40"/>
      <c r="P224" s="35"/>
      <c r="Q224" s="33"/>
      <c r="R224" s="33"/>
      <c r="S224" s="35"/>
      <c r="T224" s="35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</row>
    <row r="225" hidden="1">
      <c r="A225" s="150" t="s">
        <v>27</v>
      </c>
      <c r="B225" s="364">
        <v>45508.0</v>
      </c>
      <c r="C225" s="160"/>
      <c r="D225" s="160"/>
      <c r="E225" s="160"/>
      <c r="F225" s="160"/>
      <c r="G225" s="160"/>
      <c r="H225" s="176"/>
      <c r="I225" s="28"/>
      <c r="J225" s="160"/>
      <c r="K225" s="160"/>
      <c r="L225" s="31"/>
      <c r="M225" s="39"/>
      <c r="N225" s="33"/>
      <c r="O225" s="40"/>
      <c r="P225" s="35"/>
      <c r="Q225" s="33"/>
      <c r="R225" s="33"/>
      <c r="S225" s="35"/>
      <c r="T225" s="35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</row>
    <row r="226" hidden="1">
      <c r="A226" s="99" t="s">
        <v>21</v>
      </c>
      <c r="B226" s="364">
        <v>45509.0</v>
      </c>
      <c r="C226" s="22">
        <v>932210.0</v>
      </c>
      <c r="D226" s="23">
        <v>546050.0</v>
      </c>
      <c r="E226" s="24"/>
      <c r="F226" s="25"/>
      <c r="G226" s="35">
        <v>309300.0</v>
      </c>
      <c r="H226" s="27"/>
      <c r="I226" s="177"/>
      <c r="J226" s="178">
        <v>242640.0</v>
      </c>
      <c r="K226" s="30">
        <v>206106.0</v>
      </c>
      <c r="L226" s="31"/>
      <c r="M226" s="39"/>
      <c r="N226" s="33"/>
      <c r="O226" s="40"/>
      <c r="P226" s="35"/>
      <c r="Q226" s="33"/>
      <c r="R226" s="33"/>
      <c r="S226" s="35"/>
      <c r="T226" s="35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</row>
    <row r="227" hidden="1">
      <c r="A227" s="99" t="s">
        <v>22</v>
      </c>
      <c r="B227" s="364">
        <v>45510.0</v>
      </c>
      <c r="C227" s="22">
        <v>950530.0</v>
      </c>
      <c r="D227" s="23">
        <v>667530.0</v>
      </c>
      <c r="E227" s="24"/>
      <c r="F227" s="25"/>
      <c r="G227" s="35">
        <f>372400+7000</f>
        <v>379400</v>
      </c>
      <c r="H227" s="27">
        <v>91700.0</v>
      </c>
      <c r="I227" s="177"/>
      <c r="J227" s="178">
        <v>198780.0</v>
      </c>
      <c r="K227" s="30">
        <v>257220.0</v>
      </c>
      <c r="L227" s="31"/>
      <c r="M227" s="39"/>
      <c r="N227" s="33"/>
      <c r="O227" s="40"/>
      <c r="P227" s="35"/>
      <c r="Q227" s="33"/>
      <c r="R227" s="33"/>
      <c r="S227" s="35"/>
      <c r="T227" s="35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</row>
    <row r="228" hidden="1">
      <c r="A228" s="99" t="s">
        <v>32</v>
      </c>
      <c r="B228" s="364">
        <v>45511.0</v>
      </c>
      <c r="C228" s="22">
        <v>1348805.0</v>
      </c>
      <c r="D228" s="23">
        <v>964840.0</v>
      </c>
      <c r="E228" s="24"/>
      <c r="F228" s="25"/>
      <c r="G228" s="35">
        <v>398800.0</v>
      </c>
      <c r="H228" s="27">
        <v>305322.0</v>
      </c>
      <c r="I228" s="28"/>
      <c r="J228" s="29">
        <v>305880.0</v>
      </c>
      <c r="K228" s="30">
        <v>312105.0</v>
      </c>
      <c r="L228" s="31"/>
      <c r="M228" s="39"/>
      <c r="N228" s="33"/>
      <c r="O228" s="40"/>
      <c r="P228" s="35"/>
      <c r="Q228" s="33"/>
      <c r="R228" s="33"/>
      <c r="S228" s="35"/>
      <c r="T228" s="35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</row>
    <row r="229" hidden="1">
      <c r="A229" s="99" t="s">
        <v>24</v>
      </c>
      <c r="B229" s="364">
        <v>45512.0</v>
      </c>
      <c r="C229" s="22">
        <v>1384320.0</v>
      </c>
      <c r="D229" s="23">
        <v>1063030.0</v>
      </c>
      <c r="E229" s="24"/>
      <c r="F229" s="25"/>
      <c r="G229" s="35">
        <f>423750</f>
        <v>423750</v>
      </c>
      <c r="H229" s="27">
        <v>245500.0</v>
      </c>
      <c r="I229" s="28">
        <v>240000.0</v>
      </c>
      <c r="J229" s="29">
        <v>288210.0</v>
      </c>
      <c r="K229" s="30">
        <v>180040.0</v>
      </c>
      <c r="L229" s="31"/>
      <c r="M229" s="39"/>
      <c r="N229" s="33"/>
      <c r="O229" s="40"/>
      <c r="P229" s="35"/>
      <c r="Q229" s="33"/>
      <c r="R229" s="33"/>
      <c r="S229" s="35"/>
      <c r="T229" s="35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</row>
    <row r="230" hidden="1">
      <c r="A230" s="99" t="s">
        <v>25</v>
      </c>
      <c r="B230" s="364">
        <v>45513.0</v>
      </c>
      <c r="C230" s="22">
        <v>1148085.0</v>
      </c>
      <c r="D230" s="23">
        <v>876035.0</v>
      </c>
      <c r="E230" s="24"/>
      <c r="F230" s="25"/>
      <c r="G230" s="35">
        <f>445670+3700</f>
        <v>449370</v>
      </c>
      <c r="H230" s="27">
        <v>154900.0</v>
      </c>
      <c r="I230" s="28"/>
      <c r="J230" s="29">
        <v>299800.0</v>
      </c>
      <c r="K230" s="30">
        <v>200075.0</v>
      </c>
      <c r="L230" s="31"/>
      <c r="M230" s="39"/>
      <c r="N230" s="33"/>
      <c r="O230" s="40"/>
      <c r="P230" s="35"/>
      <c r="Q230" s="33"/>
      <c r="R230" s="33"/>
      <c r="S230" s="35"/>
      <c r="T230" s="35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</row>
    <row r="231" hidden="1">
      <c r="A231" s="99" t="s">
        <v>26</v>
      </c>
      <c r="B231" s="364">
        <v>45514.0</v>
      </c>
      <c r="C231" s="22">
        <v>1113550.0</v>
      </c>
      <c r="D231" s="23">
        <v>682460.0</v>
      </c>
      <c r="E231" s="24"/>
      <c r="F231" s="25"/>
      <c r="G231" s="35">
        <f>517300+14000</f>
        <v>531300</v>
      </c>
      <c r="H231" s="27">
        <v>68300.0</v>
      </c>
      <c r="I231" s="28"/>
      <c r="J231" s="29">
        <v>141360.0</v>
      </c>
      <c r="K231" s="30">
        <v>355090.0</v>
      </c>
      <c r="L231" s="31"/>
      <c r="M231" s="39"/>
      <c r="N231" s="33"/>
      <c r="O231" s="40"/>
      <c r="P231" s="35"/>
      <c r="Q231" s="33"/>
      <c r="R231" s="33"/>
      <c r="S231" s="35"/>
      <c r="T231" s="35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</row>
    <row r="232" hidden="1">
      <c r="A232" s="150" t="s">
        <v>27</v>
      </c>
      <c r="B232" s="364">
        <v>45515.0</v>
      </c>
      <c r="C232" s="160"/>
      <c r="D232" s="160"/>
      <c r="E232" s="160"/>
      <c r="F232" s="160"/>
      <c r="G232" s="160"/>
      <c r="H232" s="160"/>
      <c r="I232" s="28"/>
      <c r="J232" s="160"/>
      <c r="K232" s="160"/>
      <c r="L232" s="31"/>
      <c r="M232" s="39"/>
      <c r="N232" s="33"/>
      <c r="O232" s="40"/>
      <c r="P232" s="35"/>
      <c r="Q232" s="33"/>
      <c r="R232" s="33"/>
      <c r="S232" s="35"/>
      <c r="T232" s="35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</row>
    <row r="233" hidden="1">
      <c r="A233" s="99" t="s">
        <v>21</v>
      </c>
      <c r="B233" s="364">
        <v>45516.0</v>
      </c>
      <c r="C233" s="22">
        <v>982480.0</v>
      </c>
      <c r="D233" s="23">
        <v>646590.0</v>
      </c>
      <c r="E233" s="24"/>
      <c r="F233" s="25"/>
      <c r="G233" s="35">
        <f>3600+438150</f>
        <v>441750</v>
      </c>
      <c r="H233" s="27">
        <v>151900.0</v>
      </c>
      <c r="I233" s="28"/>
      <c r="J233" s="29">
        <v>179270.0</v>
      </c>
      <c r="K233" s="30">
        <v>204720.0</v>
      </c>
      <c r="L233" s="31"/>
      <c r="M233" s="39"/>
      <c r="N233" s="33"/>
      <c r="O233" s="40"/>
      <c r="P233" s="35"/>
      <c r="Q233" s="33"/>
      <c r="R233" s="33"/>
      <c r="S233" s="35"/>
      <c r="T233" s="35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</row>
    <row r="234" hidden="1">
      <c r="A234" s="99" t="s">
        <v>22</v>
      </c>
      <c r="B234" s="364">
        <v>45517.0</v>
      </c>
      <c r="C234" s="22">
        <v>975760.0</v>
      </c>
      <c r="D234" s="23">
        <v>693390.0</v>
      </c>
      <c r="E234" s="24"/>
      <c r="F234" s="25"/>
      <c r="G234" s="35">
        <v>396200.0</v>
      </c>
      <c r="H234" s="27">
        <v>170557.0</v>
      </c>
      <c r="I234" s="28"/>
      <c r="J234" s="29">
        <v>224250.0</v>
      </c>
      <c r="K234" s="30">
        <v>180210.0</v>
      </c>
      <c r="L234" s="31"/>
      <c r="M234" s="39"/>
      <c r="N234" s="33"/>
      <c r="O234" s="40"/>
      <c r="P234" s="35"/>
      <c r="Q234" s="33"/>
      <c r="R234" s="33"/>
      <c r="S234" s="35"/>
      <c r="T234" s="35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</row>
    <row r="235" hidden="1">
      <c r="A235" s="99" t="s">
        <v>32</v>
      </c>
      <c r="B235" s="364">
        <v>45518.0</v>
      </c>
      <c r="C235" s="22">
        <v>1040490.0</v>
      </c>
      <c r="D235" s="23">
        <v>741870.0</v>
      </c>
      <c r="E235" s="24"/>
      <c r="F235" s="25"/>
      <c r="G235" s="35">
        <v>319180.0</v>
      </c>
      <c r="H235" s="27">
        <v>289500.0</v>
      </c>
      <c r="I235" s="28"/>
      <c r="J235" s="29">
        <v>252630.0</v>
      </c>
      <c r="K235" s="30">
        <v>162590.0</v>
      </c>
      <c r="L235" s="31"/>
      <c r="M235" s="39"/>
      <c r="N235" s="33"/>
      <c r="O235" s="40"/>
      <c r="P235" s="35"/>
      <c r="Q235" s="33"/>
      <c r="R235" s="33"/>
      <c r="S235" s="35"/>
      <c r="T235" s="35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</row>
    <row r="236" hidden="1">
      <c r="A236" s="99" t="s">
        <v>24</v>
      </c>
      <c r="B236" s="364">
        <v>45519.0</v>
      </c>
      <c r="C236" s="22">
        <v>1207740.0</v>
      </c>
      <c r="D236" s="23">
        <v>824060.0</v>
      </c>
      <c r="E236" s="24"/>
      <c r="F236" s="25"/>
      <c r="G236" s="35">
        <v>483060.0</v>
      </c>
      <c r="H236" s="27">
        <v>245800.0</v>
      </c>
      <c r="I236" s="28"/>
      <c r="J236" s="29">
        <v>238310.0</v>
      </c>
      <c r="K236" s="30">
        <v>254170.0</v>
      </c>
      <c r="L236" s="31"/>
      <c r="M236" s="39"/>
      <c r="N236" s="33"/>
      <c r="O236" s="40"/>
      <c r="P236" s="35"/>
      <c r="Q236" s="33"/>
      <c r="R236" s="33"/>
      <c r="S236" s="35"/>
      <c r="T236" s="35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</row>
    <row r="237" hidden="1">
      <c r="A237" s="99" t="s">
        <v>25</v>
      </c>
      <c r="B237" s="364">
        <v>45520.0</v>
      </c>
      <c r="C237" s="22">
        <f>2238525-C236</f>
        <v>1030785</v>
      </c>
      <c r="D237" s="23">
        <v>556120.0</v>
      </c>
      <c r="E237" s="24"/>
      <c r="F237" s="25"/>
      <c r="G237" s="35">
        <v>318800.0</v>
      </c>
      <c r="H237" s="27">
        <v>85606.0</v>
      </c>
      <c r="I237" s="28"/>
      <c r="J237" s="29">
        <f>465660-J236</f>
        <v>227350</v>
      </c>
      <c r="K237" s="30">
        <f>476315-K236</f>
        <v>222145</v>
      </c>
      <c r="L237" s="31"/>
      <c r="M237" s="39"/>
      <c r="N237" s="33"/>
      <c r="O237" s="40"/>
      <c r="P237" s="35"/>
      <c r="Q237" s="33"/>
      <c r="R237" s="33"/>
      <c r="S237" s="35"/>
      <c r="T237" s="35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</row>
    <row r="238" hidden="1">
      <c r="A238" s="99" t="s">
        <v>26</v>
      </c>
      <c r="B238" s="364">
        <v>45521.0</v>
      </c>
      <c r="C238" s="22">
        <v>1221510.0</v>
      </c>
      <c r="D238" s="23">
        <v>866370.0</v>
      </c>
      <c r="E238" s="24"/>
      <c r="F238" s="25"/>
      <c r="G238" s="35">
        <v>714800.0</v>
      </c>
      <c r="H238" s="27">
        <v>106000.0</v>
      </c>
      <c r="I238" s="28"/>
      <c r="J238" s="29">
        <v>188990.0</v>
      </c>
      <c r="K238" s="30">
        <v>216750.0</v>
      </c>
      <c r="L238" s="31"/>
      <c r="M238" s="39"/>
      <c r="N238" s="33"/>
      <c r="O238" s="40"/>
      <c r="P238" s="35"/>
      <c r="Q238" s="33"/>
      <c r="R238" s="33"/>
      <c r="S238" s="35"/>
      <c r="T238" s="35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</row>
    <row r="239" hidden="1">
      <c r="A239" s="150" t="s">
        <v>27</v>
      </c>
      <c r="B239" s="364">
        <v>45522.0</v>
      </c>
      <c r="C239" s="160">
        <v>661380.0</v>
      </c>
      <c r="D239" s="160">
        <v>307850.0</v>
      </c>
      <c r="E239" s="160"/>
      <c r="F239" s="160"/>
      <c r="G239" s="160">
        <f>218950+9000</f>
        <v>227950</v>
      </c>
      <c r="H239" s="160">
        <v>79900.0</v>
      </c>
      <c r="I239" s="28"/>
      <c r="J239" s="160">
        <v>193160.0</v>
      </c>
      <c r="K239" s="160">
        <v>160370.0</v>
      </c>
      <c r="L239" s="49"/>
      <c r="M239" s="39"/>
      <c r="N239" s="33"/>
      <c r="O239" s="40"/>
      <c r="P239" s="35"/>
      <c r="Q239" s="33"/>
      <c r="R239" s="33"/>
      <c r="S239" s="35"/>
      <c r="T239" s="35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</row>
    <row r="240" hidden="1">
      <c r="A240" s="99" t="s">
        <v>21</v>
      </c>
      <c r="B240" s="364">
        <v>45523.0</v>
      </c>
      <c r="C240" s="22">
        <v>1176440.0</v>
      </c>
      <c r="D240" s="23">
        <v>819440.0</v>
      </c>
      <c r="E240" s="24"/>
      <c r="F240" s="25"/>
      <c r="G240" s="35">
        <v>464100.0</v>
      </c>
      <c r="H240" s="27">
        <v>169775.0</v>
      </c>
      <c r="I240" s="28"/>
      <c r="J240" s="29">
        <v>300000.0</v>
      </c>
      <c r="K240" s="30">
        <v>238450.0</v>
      </c>
      <c r="L240" s="49"/>
      <c r="M240" s="32"/>
      <c r="N240" s="33"/>
      <c r="O240" s="40"/>
      <c r="P240" s="35"/>
      <c r="Q240" s="33"/>
      <c r="R240" s="33"/>
      <c r="S240" s="35"/>
      <c r="T240" s="35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</row>
    <row r="241" hidden="1">
      <c r="A241" s="99" t="s">
        <v>22</v>
      </c>
      <c r="B241" s="364">
        <v>45524.0</v>
      </c>
      <c r="C241" s="22">
        <v>934160.0</v>
      </c>
      <c r="D241" s="23">
        <v>542150.0</v>
      </c>
      <c r="E241" s="24"/>
      <c r="F241" s="25"/>
      <c r="G241" s="35">
        <v>287550.0</v>
      </c>
      <c r="H241" s="27">
        <v>151900.0</v>
      </c>
      <c r="I241" s="28"/>
      <c r="J241" s="29">
        <v>191570.0</v>
      </c>
      <c r="K241" s="30">
        <v>289640.0</v>
      </c>
      <c r="L241" s="49"/>
      <c r="M241" s="39"/>
      <c r="N241" s="33"/>
      <c r="O241" s="40"/>
      <c r="P241" s="35"/>
      <c r="Q241" s="33"/>
      <c r="R241" s="33"/>
      <c r="S241" s="35"/>
      <c r="T241" s="35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</row>
    <row r="242" hidden="1">
      <c r="A242" s="99" t="s">
        <v>32</v>
      </c>
      <c r="B242" s="364">
        <v>45525.0</v>
      </c>
      <c r="C242" s="22">
        <v>983620.0</v>
      </c>
      <c r="D242" s="23">
        <v>600540.0</v>
      </c>
      <c r="E242" s="24"/>
      <c r="F242" s="25"/>
      <c r="G242" s="35">
        <v>603210.0</v>
      </c>
      <c r="H242" s="179">
        <v>260456.0</v>
      </c>
      <c r="I242" s="28"/>
      <c r="J242" s="29">
        <v>178850.0</v>
      </c>
      <c r="K242" s="30">
        <v>256430.0</v>
      </c>
      <c r="L242" s="49"/>
      <c r="M242" s="32"/>
      <c r="N242" s="33"/>
      <c r="O242" s="40"/>
      <c r="P242" s="35"/>
      <c r="Q242" s="33"/>
      <c r="R242" s="33"/>
      <c r="S242" s="35"/>
      <c r="T242" s="35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</row>
    <row r="243" hidden="1">
      <c r="A243" s="99" t="s">
        <v>24</v>
      </c>
      <c r="B243" s="364">
        <v>45526.0</v>
      </c>
      <c r="C243" s="22">
        <f>2610360-C242</f>
        <v>1626740</v>
      </c>
      <c r="D243" s="23">
        <f>1321270-D242</f>
        <v>720730</v>
      </c>
      <c r="E243" s="24"/>
      <c r="F243" s="25"/>
      <c r="G243" s="35">
        <f>151960+603470</f>
        <v>755430</v>
      </c>
      <c r="H243" s="27">
        <f>478800-260456</f>
        <v>218344</v>
      </c>
      <c r="I243" s="28">
        <v>460000.0</v>
      </c>
      <c r="J243" s="29">
        <f>431070-J242</f>
        <v>252220</v>
      </c>
      <c r="K243" s="30">
        <f>403430-K242</f>
        <v>147000</v>
      </c>
      <c r="L243" s="49"/>
      <c r="M243" s="39"/>
      <c r="N243" s="33"/>
      <c r="O243" s="40"/>
      <c r="P243" s="35"/>
      <c r="Q243" s="33"/>
      <c r="R243" s="33"/>
      <c r="S243" s="35"/>
      <c r="T243" s="35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</row>
    <row r="244" hidden="1">
      <c r="A244" s="99" t="s">
        <v>25</v>
      </c>
      <c r="B244" s="364">
        <v>45527.0</v>
      </c>
      <c r="C244" s="22">
        <v>880565.0</v>
      </c>
      <c r="D244" s="23"/>
      <c r="E244" s="24"/>
      <c r="F244" s="25"/>
      <c r="G244" s="35">
        <f>735500+203860</f>
        <v>939360</v>
      </c>
      <c r="H244" s="27">
        <v>156100.0</v>
      </c>
      <c r="I244" s="180"/>
      <c r="J244" s="181">
        <v>111930.0</v>
      </c>
      <c r="K244" s="30">
        <v>113990.0</v>
      </c>
      <c r="L244" s="49"/>
      <c r="M244" s="39"/>
      <c r="N244" s="33"/>
      <c r="O244" s="40"/>
      <c r="P244" s="35"/>
      <c r="Q244" s="33"/>
      <c r="R244" s="33"/>
      <c r="S244" s="35"/>
      <c r="T244" s="35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</row>
    <row r="245" hidden="1">
      <c r="A245" s="99" t="s">
        <v>26</v>
      </c>
      <c r="B245" s="364">
        <v>45528.0</v>
      </c>
      <c r="C245" s="22">
        <v>985400.0</v>
      </c>
      <c r="D245" s="23">
        <v>689630.0</v>
      </c>
      <c r="E245" s="24"/>
      <c r="F245" s="25"/>
      <c r="G245" s="35">
        <v>580600.0</v>
      </c>
      <c r="H245" s="27">
        <v>94100.0</v>
      </c>
      <c r="I245" s="177"/>
      <c r="J245" s="178">
        <v>187340.0</v>
      </c>
      <c r="K245" s="30">
        <v>122680.0</v>
      </c>
      <c r="L245" s="31"/>
      <c r="M245" s="32"/>
      <c r="N245" s="33"/>
      <c r="O245" s="40"/>
      <c r="P245" s="35"/>
      <c r="Q245" s="33"/>
      <c r="R245" s="33"/>
      <c r="S245" s="35"/>
      <c r="T245" s="35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</row>
    <row r="246" hidden="1">
      <c r="A246" s="150" t="s">
        <v>27</v>
      </c>
      <c r="B246" s="364">
        <v>45529.0</v>
      </c>
      <c r="C246" s="160">
        <v>601870.0</v>
      </c>
      <c r="D246" s="160">
        <v>431340.0</v>
      </c>
      <c r="E246" s="160"/>
      <c r="F246" s="160"/>
      <c r="G246" s="160">
        <f>213380+9200</f>
        <v>222580</v>
      </c>
      <c r="H246" s="160">
        <v>113800.0</v>
      </c>
      <c r="I246" s="28"/>
      <c r="J246" s="160">
        <v>145710.0</v>
      </c>
      <c r="K246" s="160">
        <v>111580.0</v>
      </c>
      <c r="L246" s="31"/>
      <c r="M246" s="32"/>
      <c r="N246" s="33"/>
      <c r="O246" s="40"/>
      <c r="P246" s="35"/>
      <c r="Q246" s="33"/>
      <c r="R246" s="33"/>
      <c r="S246" s="35"/>
      <c r="T246" s="35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</row>
    <row r="247" hidden="1">
      <c r="A247" s="99" t="s">
        <v>21</v>
      </c>
      <c r="B247" s="364">
        <v>45530.0</v>
      </c>
      <c r="C247" s="182">
        <v>691520.0</v>
      </c>
      <c r="D247" s="183">
        <v>428950.0</v>
      </c>
      <c r="E247" s="184"/>
      <c r="F247" s="185"/>
      <c r="G247" s="186">
        <f>217300+71300</f>
        <v>288600</v>
      </c>
      <c r="H247" s="171">
        <v>53300.0</v>
      </c>
      <c r="I247" s="177"/>
      <c r="J247" s="178">
        <v>187370.0</v>
      </c>
      <c r="K247" s="30">
        <v>166650.0</v>
      </c>
      <c r="L247" s="31"/>
      <c r="M247" s="32"/>
      <c r="N247" s="33"/>
      <c r="O247" s="40"/>
      <c r="P247" s="35"/>
      <c r="Q247" s="33"/>
      <c r="R247" s="33"/>
      <c r="S247" s="35"/>
      <c r="T247" s="35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</row>
    <row r="248" hidden="1">
      <c r="A248" s="99" t="s">
        <v>22</v>
      </c>
      <c r="B248" s="364">
        <v>45531.0</v>
      </c>
      <c r="C248" s="182">
        <v>1172190.0</v>
      </c>
      <c r="D248" s="183">
        <v>827089.0</v>
      </c>
      <c r="E248" s="184"/>
      <c r="F248" s="185"/>
      <c r="G248" s="186">
        <v>330280.0</v>
      </c>
      <c r="H248" s="171">
        <v>303400.0</v>
      </c>
      <c r="I248" s="177"/>
      <c r="J248" s="178">
        <v>328300.0</v>
      </c>
      <c r="K248" s="30">
        <v>199710.0</v>
      </c>
      <c r="L248" s="31"/>
      <c r="M248" s="39"/>
      <c r="N248" s="33"/>
      <c r="O248" s="40"/>
      <c r="P248" s="35"/>
      <c r="Q248" s="33"/>
      <c r="R248" s="33"/>
      <c r="S248" s="35"/>
      <c r="T248" s="35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</row>
    <row r="249" hidden="1">
      <c r="A249" s="99" t="s">
        <v>23</v>
      </c>
      <c r="B249" s="364">
        <v>45532.0</v>
      </c>
      <c r="C249" s="22">
        <v>1140275.0</v>
      </c>
      <c r="D249" s="23">
        <v>767070.0</v>
      </c>
      <c r="E249" s="24"/>
      <c r="F249" s="25"/>
      <c r="G249" s="35">
        <f>22300+407300</f>
        <v>429600</v>
      </c>
      <c r="H249" s="179">
        <v>239600.0</v>
      </c>
      <c r="I249" s="28"/>
      <c r="J249" s="29">
        <v>143930.0</v>
      </c>
      <c r="K249" s="30">
        <v>278375.0</v>
      </c>
      <c r="L249" s="31"/>
      <c r="M249" s="32"/>
      <c r="N249" s="33"/>
      <c r="O249" s="40"/>
      <c r="P249" s="35"/>
      <c r="Q249" s="33"/>
      <c r="R249" s="33"/>
      <c r="S249" s="35"/>
      <c r="T249" s="35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</row>
    <row r="250" hidden="1">
      <c r="A250" s="99" t="s">
        <v>24</v>
      </c>
      <c r="B250" s="364">
        <v>45533.0</v>
      </c>
      <c r="C250" s="22">
        <v>1284530.0</v>
      </c>
      <c r="D250" s="23">
        <v>953280.0</v>
      </c>
      <c r="E250" s="24"/>
      <c r="F250" s="25"/>
      <c r="G250" s="35">
        <f>268100+234800</f>
        <v>502900</v>
      </c>
      <c r="H250" s="27">
        <v>226950.0</v>
      </c>
      <c r="I250" s="28"/>
      <c r="J250" s="29">
        <v>316070.0</v>
      </c>
      <c r="K250" s="30">
        <v>162580.0</v>
      </c>
      <c r="L250" s="31"/>
      <c r="M250" s="39"/>
      <c r="N250" s="33"/>
      <c r="O250" s="40"/>
      <c r="P250" s="35"/>
      <c r="Q250" s="33"/>
      <c r="R250" s="33"/>
      <c r="S250" s="35"/>
      <c r="T250" s="35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</row>
    <row r="251" hidden="1">
      <c r="A251" s="99" t="s">
        <v>25</v>
      </c>
      <c r="B251" s="364">
        <v>45534.0</v>
      </c>
      <c r="C251" s="22">
        <v>656960.0</v>
      </c>
      <c r="D251" s="23">
        <v>456630.0</v>
      </c>
      <c r="E251" s="24"/>
      <c r="F251" s="25"/>
      <c r="G251" s="35">
        <v>233910.0</v>
      </c>
      <c r="H251" s="187">
        <v>180200.0</v>
      </c>
      <c r="I251" s="28"/>
      <c r="J251" s="29">
        <v>107300.0</v>
      </c>
      <c r="K251" s="30">
        <v>132500.0</v>
      </c>
      <c r="L251" s="31"/>
      <c r="M251" s="39"/>
      <c r="N251" s="33"/>
      <c r="O251" s="40"/>
      <c r="P251" s="35"/>
      <c r="Q251" s="33"/>
      <c r="R251" s="33"/>
      <c r="S251" s="35"/>
      <c r="T251" s="35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</row>
    <row r="252" hidden="1">
      <c r="A252" s="99" t="s">
        <v>26</v>
      </c>
      <c r="B252" s="364">
        <v>45535.0</v>
      </c>
      <c r="C252" s="22">
        <v>807480.0</v>
      </c>
      <c r="D252" s="23">
        <v>579600.0</v>
      </c>
      <c r="E252" s="24"/>
      <c r="F252" s="25"/>
      <c r="G252" s="35">
        <v>408700.0</v>
      </c>
      <c r="H252" s="187">
        <v>65200.0</v>
      </c>
      <c r="I252" s="28"/>
      <c r="J252" s="29">
        <v>224500.0</v>
      </c>
      <c r="K252" s="30">
        <v>108980.0</v>
      </c>
      <c r="L252" s="31"/>
      <c r="M252" s="39"/>
      <c r="N252" s="33"/>
      <c r="O252" s="40"/>
      <c r="P252" s="35"/>
      <c r="Q252" s="33"/>
      <c r="R252" s="33"/>
      <c r="S252" s="35"/>
      <c r="T252" s="35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</row>
    <row r="253" hidden="1">
      <c r="A253" s="93" t="s">
        <v>28</v>
      </c>
      <c r="B253" s="188"/>
      <c r="C253" s="189">
        <f>SUM(C222:C252)</f>
        <v>30062388</v>
      </c>
      <c r="D253" s="189"/>
      <c r="E253" s="189"/>
      <c r="F253" s="189"/>
      <c r="G253" s="189"/>
      <c r="H253" s="190"/>
      <c r="I253" s="191"/>
      <c r="J253" s="189"/>
      <c r="K253" s="73"/>
      <c r="L253" s="74"/>
      <c r="M253" s="39"/>
      <c r="N253" s="33"/>
      <c r="O253" s="40"/>
      <c r="P253" s="35"/>
      <c r="Q253" s="33"/>
      <c r="R253" s="33"/>
      <c r="S253" s="35"/>
      <c r="T253" s="35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</row>
    <row r="254" hidden="1">
      <c r="A254" s="150" t="s">
        <v>27</v>
      </c>
      <c r="B254" s="100">
        <v>45536.0</v>
      </c>
      <c r="C254" s="160">
        <v>736790.0</v>
      </c>
      <c r="D254" s="160">
        <v>624000.0</v>
      </c>
      <c r="E254" s="160"/>
      <c r="F254" s="160"/>
      <c r="G254" s="160">
        <f>328400+54800</f>
        <v>383200</v>
      </c>
      <c r="H254" s="193">
        <v>105300.0</v>
      </c>
      <c r="I254" s="28"/>
      <c r="J254" s="160">
        <v>146180.0</v>
      </c>
      <c r="K254" s="160">
        <v>102810.0</v>
      </c>
      <c r="L254" s="31"/>
      <c r="M254" s="39"/>
      <c r="N254" s="33"/>
      <c r="O254" s="40"/>
      <c r="P254" s="35"/>
      <c r="Q254" s="33"/>
      <c r="R254" s="33"/>
      <c r="S254" s="35"/>
      <c r="T254" s="35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</row>
    <row r="255" hidden="1">
      <c r="A255" s="99" t="s">
        <v>21</v>
      </c>
      <c r="B255" s="100">
        <v>45537.0</v>
      </c>
      <c r="C255" s="22">
        <v>677890.0</v>
      </c>
      <c r="D255" s="23">
        <v>458180.0</v>
      </c>
      <c r="E255" s="24"/>
      <c r="F255" s="25"/>
      <c r="G255" s="35">
        <v>300800.0</v>
      </c>
      <c r="H255" s="187">
        <v>79756.0</v>
      </c>
      <c r="I255" s="177"/>
      <c r="J255" s="178">
        <v>125740.0</v>
      </c>
      <c r="K255" s="30">
        <v>183410.0</v>
      </c>
      <c r="L255" s="31"/>
      <c r="M255" s="32"/>
      <c r="N255" s="33"/>
      <c r="O255" s="40"/>
      <c r="P255" s="35"/>
      <c r="Q255" s="33"/>
      <c r="R255" s="33"/>
      <c r="S255" s="35"/>
      <c r="T255" s="35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</row>
    <row r="256" hidden="1">
      <c r="A256" s="99" t="s">
        <v>22</v>
      </c>
      <c r="B256" s="100">
        <v>45538.0</v>
      </c>
      <c r="C256" s="22">
        <v>992970.0</v>
      </c>
      <c r="D256" s="23">
        <v>721230.0</v>
      </c>
      <c r="E256" s="24"/>
      <c r="F256" s="25"/>
      <c r="G256" s="35">
        <f>381400</f>
        <v>381400</v>
      </c>
      <c r="H256" s="187">
        <v>215150.0</v>
      </c>
      <c r="I256" s="177"/>
      <c r="J256" s="178">
        <v>202960.0</v>
      </c>
      <c r="K256" s="30">
        <v>185400.0</v>
      </c>
      <c r="L256" s="31"/>
      <c r="M256" s="32"/>
      <c r="N256" s="33"/>
      <c r="O256" s="40"/>
      <c r="P256" s="35"/>
      <c r="Q256" s="33"/>
      <c r="R256" s="33"/>
      <c r="S256" s="35"/>
      <c r="T256" s="35"/>
      <c r="U256" s="33"/>
      <c r="V256" s="33"/>
      <c r="W256" s="365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</row>
    <row r="257" hidden="1">
      <c r="A257" s="99" t="s">
        <v>32</v>
      </c>
      <c r="B257" s="100">
        <v>45539.0</v>
      </c>
      <c r="C257" s="22">
        <v>1478360.0</v>
      </c>
      <c r="D257" s="23">
        <v>1097700.0</v>
      </c>
      <c r="E257" s="24"/>
      <c r="F257" s="25"/>
      <c r="G257" s="26">
        <v>538800.0</v>
      </c>
      <c r="H257" s="187">
        <v>337107.0</v>
      </c>
      <c r="I257" s="28"/>
      <c r="J257" s="29">
        <v>408700.0</v>
      </c>
      <c r="K257" s="30">
        <v>241910.0</v>
      </c>
      <c r="L257" s="31"/>
      <c r="M257" s="32"/>
      <c r="N257" s="33"/>
      <c r="O257" s="40"/>
      <c r="P257" s="35"/>
      <c r="Q257" s="33"/>
      <c r="R257" s="33"/>
      <c r="S257" s="35"/>
      <c r="T257" s="35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</row>
    <row r="258" hidden="1">
      <c r="A258" s="99" t="s">
        <v>24</v>
      </c>
      <c r="B258" s="100">
        <v>45540.0</v>
      </c>
      <c r="C258" s="22">
        <v>1325140.0</v>
      </c>
      <c r="D258" s="23">
        <v>1090850.0</v>
      </c>
      <c r="E258" s="24"/>
      <c r="F258" s="25"/>
      <c r="G258" s="186">
        <f>630200+16000</f>
        <v>646200</v>
      </c>
      <c r="H258" s="171">
        <v>226300.0</v>
      </c>
      <c r="I258" s="28"/>
      <c r="J258" s="29">
        <v>253500.0</v>
      </c>
      <c r="K258" s="30">
        <v>186290.0</v>
      </c>
      <c r="L258" s="31"/>
      <c r="M258" s="39"/>
      <c r="N258" s="33"/>
      <c r="O258" s="40"/>
      <c r="P258" s="35"/>
      <c r="Q258" s="33"/>
      <c r="R258" s="33"/>
      <c r="S258" s="35"/>
      <c r="T258" s="35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</row>
    <row r="259" hidden="1">
      <c r="A259" s="99" t="s">
        <v>25</v>
      </c>
      <c r="B259" s="100">
        <v>45541.0</v>
      </c>
      <c r="C259" s="22">
        <v>958050.0</v>
      </c>
      <c r="D259" s="23">
        <v>597570.0</v>
      </c>
      <c r="E259" s="24"/>
      <c r="F259" s="25"/>
      <c r="G259" s="186">
        <f>97900+208000</f>
        <v>305900</v>
      </c>
      <c r="H259" s="171">
        <v>172200.0</v>
      </c>
      <c r="I259" s="28">
        <v>19500.0</v>
      </c>
      <c r="J259" s="29">
        <v>207120.0</v>
      </c>
      <c r="K259" s="30">
        <v>254110.0</v>
      </c>
      <c r="L259" s="49" t="s">
        <v>743</v>
      </c>
      <c r="M259" s="32"/>
      <c r="N259" s="33"/>
      <c r="O259" s="40"/>
      <c r="P259" s="35"/>
      <c r="Q259" s="33"/>
      <c r="R259" s="33"/>
      <c r="S259" s="35"/>
      <c r="T259" s="35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</row>
    <row r="260" hidden="1">
      <c r="A260" s="99" t="s">
        <v>26</v>
      </c>
      <c r="B260" s="100">
        <v>45542.0</v>
      </c>
      <c r="C260" s="22">
        <v>952330.0</v>
      </c>
      <c r="D260" s="23">
        <v>740630.0</v>
      </c>
      <c r="E260" s="24"/>
      <c r="F260" s="25"/>
      <c r="G260" s="186">
        <f>453210+76200</f>
        <v>529410</v>
      </c>
      <c r="H260" s="171">
        <v>88800.0</v>
      </c>
      <c r="I260" s="28"/>
      <c r="J260" s="29">
        <v>145090.0</v>
      </c>
      <c r="K260" s="30">
        <v>186010.0</v>
      </c>
      <c r="L260" s="31"/>
      <c r="M260" s="39"/>
      <c r="N260" s="33"/>
      <c r="O260" s="40"/>
      <c r="P260" s="35"/>
      <c r="Q260" s="33"/>
      <c r="R260" s="33"/>
      <c r="S260" s="35"/>
      <c r="T260" s="35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</row>
    <row r="261" hidden="1">
      <c r="A261" s="150" t="s">
        <v>27</v>
      </c>
      <c r="B261" s="100">
        <v>45543.0</v>
      </c>
      <c r="C261" s="160">
        <v>652190.0</v>
      </c>
      <c r="D261" s="160">
        <v>440820.0</v>
      </c>
      <c r="E261" s="160"/>
      <c r="F261" s="160"/>
      <c r="G261" s="160">
        <v>303800.0</v>
      </c>
      <c r="H261" s="193">
        <v>27400.0</v>
      </c>
      <c r="I261" s="28"/>
      <c r="J261" s="160">
        <v>183420.0</v>
      </c>
      <c r="K261" s="160">
        <v>141270.0</v>
      </c>
      <c r="L261" s="31"/>
      <c r="M261" s="39"/>
      <c r="N261" s="33"/>
      <c r="O261" s="40"/>
      <c r="P261" s="35"/>
      <c r="Q261" s="33"/>
      <c r="R261" s="33"/>
      <c r="S261" s="35"/>
      <c r="T261" s="35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</row>
    <row r="262" hidden="1">
      <c r="A262" s="99" t="s">
        <v>21</v>
      </c>
      <c r="B262" s="100">
        <v>45544.0</v>
      </c>
      <c r="C262" s="22">
        <v>689030.0</v>
      </c>
      <c r="D262" s="23">
        <v>503110.0</v>
      </c>
      <c r="E262" s="24"/>
      <c r="F262" s="25"/>
      <c r="G262" s="35">
        <v>206280.0</v>
      </c>
      <c r="H262" s="187">
        <v>96751.0</v>
      </c>
      <c r="I262" s="177"/>
      <c r="J262" s="178">
        <v>248330.0</v>
      </c>
      <c r="K262" s="30">
        <v>121520.0</v>
      </c>
      <c r="L262" s="31"/>
      <c r="M262" s="32"/>
      <c r="N262" s="33"/>
      <c r="O262" s="40"/>
      <c r="P262" s="35"/>
      <c r="Q262" s="33"/>
      <c r="R262" s="33"/>
      <c r="S262" s="35"/>
      <c r="T262" s="35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</row>
    <row r="263" hidden="1">
      <c r="A263" s="99" t="s">
        <v>22</v>
      </c>
      <c r="B263" s="100">
        <v>45545.0</v>
      </c>
      <c r="C263" s="22">
        <v>896730.0</v>
      </c>
      <c r="D263" s="23">
        <v>678370.0</v>
      </c>
      <c r="E263" s="24"/>
      <c r="F263" s="25"/>
      <c r="G263" s="186">
        <f>111600+231200</f>
        <v>342800</v>
      </c>
      <c r="H263" s="171">
        <v>132400.0</v>
      </c>
      <c r="I263" s="177"/>
      <c r="J263" s="178">
        <v>228200.0</v>
      </c>
      <c r="K263" s="30">
        <v>160760.0</v>
      </c>
      <c r="L263" s="31"/>
      <c r="M263" s="39"/>
      <c r="N263" s="33"/>
      <c r="O263" s="40"/>
      <c r="P263" s="35"/>
      <c r="Q263" s="33"/>
      <c r="R263" s="33"/>
      <c r="S263" s="35"/>
      <c r="T263" s="35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</row>
    <row r="264" hidden="1">
      <c r="A264" s="99" t="s">
        <v>32</v>
      </c>
      <c r="B264" s="100">
        <v>45546.0</v>
      </c>
      <c r="C264" s="22">
        <v>1270945.0</v>
      </c>
      <c r="D264" s="23">
        <v>1007880.0</v>
      </c>
      <c r="E264" s="24"/>
      <c r="F264" s="25"/>
      <c r="G264" s="195">
        <f>385600+77100</f>
        <v>462700</v>
      </c>
      <c r="H264" s="171">
        <v>258500.0</v>
      </c>
      <c r="I264" s="28"/>
      <c r="J264" s="29">
        <v>277300.0</v>
      </c>
      <c r="K264" s="30">
        <v>171745.0</v>
      </c>
      <c r="L264" s="31"/>
      <c r="M264" s="32"/>
      <c r="N264" s="33"/>
      <c r="O264" s="40"/>
      <c r="P264" s="35"/>
      <c r="Q264" s="33"/>
      <c r="R264" s="33"/>
      <c r="S264" s="35"/>
      <c r="T264" s="35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</row>
    <row r="265" hidden="1">
      <c r="A265" s="99" t="s">
        <v>24</v>
      </c>
      <c r="B265" s="100">
        <v>45547.0</v>
      </c>
      <c r="C265" s="22">
        <v>1479825.0</v>
      </c>
      <c r="D265" s="23">
        <v>980719.0</v>
      </c>
      <c r="E265" s="24"/>
      <c r="F265" s="25"/>
      <c r="G265" s="186">
        <f>258800+235600</f>
        <v>494400</v>
      </c>
      <c r="H265" s="171">
        <v>241540.0</v>
      </c>
      <c r="I265" s="28">
        <v>165000.0</v>
      </c>
      <c r="J265" s="29">
        <v>441700.0</v>
      </c>
      <c r="K265" s="30">
        <v>186765.0</v>
      </c>
      <c r="L265" s="31"/>
      <c r="M265" s="39"/>
      <c r="N265" s="33"/>
      <c r="O265" s="40"/>
      <c r="P265" s="35"/>
      <c r="Q265" s="33"/>
      <c r="R265" s="33"/>
      <c r="S265" s="35"/>
      <c r="T265" s="35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</row>
    <row r="266" hidden="1">
      <c r="A266" s="99" t="s">
        <v>25</v>
      </c>
      <c r="B266" s="100">
        <v>45548.0</v>
      </c>
      <c r="C266" s="366">
        <v>1334306.0</v>
      </c>
      <c r="D266" s="23">
        <v>889060.0</v>
      </c>
      <c r="E266" s="24"/>
      <c r="F266" s="25"/>
      <c r="G266" s="186">
        <f>402860+19000</f>
        <v>421860</v>
      </c>
      <c r="H266" s="171">
        <v>266100.0</v>
      </c>
      <c r="I266" s="28"/>
      <c r="J266" s="29">
        <v>369970.0</v>
      </c>
      <c r="K266" s="30">
        <v>292830.0</v>
      </c>
      <c r="L266" s="31"/>
      <c r="M266" s="196"/>
      <c r="N266" s="33"/>
      <c r="O266" s="40"/>
      <c r="P266" s="35"/>
      <c r="Q266" s="33"/>
      <c r="R266" s="33"/>
      <c r="S266" s="35"/>
      <c r="T266" s="35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</row>
    <row r="267" hidden="1">
      <c r="A267" s="99" t="s">
        <v>26</v>
      </c>
      <c r="B267" s="100">
        <v>45549.0</v>
      </c>
      <c r="C267" s="22">
        <v>1157400.0</v>
      </c>
      <c r="D267" s="23">
        <v>698000.0</v>
      </c>
      <c r="E267" s="24"/>
      <c r="F267" s="25"/>
      <c r="G267" s="35">
        <v>612500.0</v>
      </c>
      <c r="H267" s="27">
        <v>55200.0</v>
      </c>
      <c r="I267" s="28"/>
      <c r="J267" s="29">
        <v>149300.0</v>
      </c>
      <c r="K267" s="30">
        <v>340300.0</v>
      </c>
      <c r="L267" s="31"/>
      <c r="M267" s="39"/>
      <c r="N267" s="33"/>
      <c r="O267" s="40"/>
      <c r="P267" s="35"/>
      <c r="Q267" s="33"/>
      <c r="R267" s="33"/>
      <c r="S267" s="35"/>
      <c r="T267" s="35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</row>
    <row r="268" hidden="1">
      <c r="A268" s="150" t="s">
        <v>27</v>
      </c>
      <c r="B268" s="100">
        <v>45550.0</v>
      </c>
      <c r="C268" s="160">
        <v>648620.0</v>
      </c>
      <c r="D268" s="160">
        <v>381100.0</v>
      </c>
      <c r="E268" s="160">
        <v>4970.0</v>
      </c>
      <c r="F268" s="160">
        <f>3000+600</f>
        <v>3600</v>
      </c>
      <c r="G268" s="160">
        <f>22400+228100</f>
        <v>250500</v>
      </c>
      <c r="H268" s="193">
        <v>50000.0</v>
      </c>
      <c r="I268" s="28"/>
      <c r="J268" s="160">
        <v>116600.0</v>
      </c>
      <c r="K268" s="160">
        <v>241420.0</v>
      </c>
      <c r="L268" s="31"/>
      <c r="M268" s="39"/>
      <c r="N268" s="33"/>
      <c r="O268" s="40"/>
      <c r="P268" s="35"/>
      <c r="Q268" s="33"/>
      <c r="R268" s="33"/>
      <c r="S268" s="35"/>
      <c r="T268" s="35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</row>
    <row r="269" hidden="1">
      <c r="A269" s="99" t="s">
        <v>21</v>
      </c>
      <c r="B269" s="100">
        <v>45551.0</v>
      </c>
      <c r="C269" s="22">
        <v>1030090.0</v>
      </c>
      <c r="D269" s="23">
        <v>816500.0</v>
      </c>
      <c r="E269" s="24"/>
      <c r="F269" s="25"/>
      <c r="G269" s="35">
        <v>533800.0</v>
      </c>
      <c r="H269" s="187">
        <v>131947.0</v>
      </c>
      <c r="I269" s="177"/>
      <c r="J269" s="178">
        <v>234470.0</v>
      </c>
      <c r="K269" s="30">
        <v>160320.0</v>
      </c>
      <c r="L269" s="31"/>
      <c r="M269" s="32"/>
      <c r="N269" s="33"/>
      <c r="O269" s="40"/>
      <c r="P269" s="35"/>
      <c r="Q269" s="33"/>
      <c r="R269" s="33"/>
      <c r="S269" s="35"/>
      <c r="T269" s="35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</row>
    <row r="270" hidden="1">
      <c r="A270" s="99" t="s">
        <v>22</v>
      </c>
      <c r="B270" s="100">
        <v>45552.0</v>
      </c>
      <c r="C270" s="22">
        <v>1123400.0</v>
      </c>
      <c r="D270" s="23">
        <v>845950.0</v>
      </c>
      <c r="E270" s="24"/>
      <c r="F270" s="25"/>
      <c r="G270" s="35">
        <v>464400.0</v>
      </c>
      <c r="H270" s="27">
        <v>205600.0</v>
      </c>
      <c r="I270" s="28"/>
      <c r="J270" s="29">
        <v>203980.0</v>
      </c>
      <c r="K270" s="30">
        <v>220670.0</v>
      </c>
      <c r="L270" s="31"/>
      <c r="M270" s="32"/>
      <c r="N270" s="33"/>
      <c r="O270" s="40"/>
      <c r="P270" s="35"/>
      <c r="Q270" s="33"/>
      <c r="R270" s="33"/>
      <c r="S270" s="35"/>
      <c r="T270" s="35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5">
        <v>8.0</v>
      </c>
    </row>
    <row r="271" hidden="1">
      <c r="A271" s="99" t="s">
        <v>32</v>
      </c>
      <c r="B271" s="100">
        <v>45553.0</v>
      </c>
      <c r="C271" s="22">
        <v>861235.0</v>
      </c>
      <c r="D271" s="23">
        <v>569400.0</v>
      </c>
      <c r="E271" s="24"/>
      <c r="F271" s="25"/>
      <c r="G271" s="197">
        <f>86000+230300</f>
        <v>316300</v>
      </c>
      <c r="H271" s="27">
        <v>83500.0</v>
      </c>
      <c r="I271" s="28"/>
      <c r="J271" s="29">
        <v>202835.0</v>
      </c>
      <c r="K271" s="30">
        <v>234800.0</v>
      </c>
      <c r="L271" s="31"/>
      <c r="M271" s="32"/>
      <c r="N271" s="33"/>
      <c r="O271" s="40"/>
      <c r="P271" s="35"/>
      <c r="Q271" s="33"/>
      <c r="R271" s="33"/>
      <c r="S271" s="35"/>
      <c r="T271" s="35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</row>
    <row r="272" hidden="1">
      <c r="A272" s="99" t="s">
        <v>24</v>
      </c>
      <c r="B272" s="100">
        <v>45554.0</v>
      </c>
      <c r="C272" s="22">
        <v>1059630.0</v>
      </c>
      <c r="D272" s="23">
        <v>764750.0</v>
      </c>
      <c r="E272" s="24"/>
      <c r="F272" s="25"/>
      <c r="G272" s="35">
        <v>498450.0</v>
      </c>
      <c r="H272" s="171">
        <v>155700.0</v>
      </c>
      <c r="I272" s="177"/>
      <c r="J272" s="178">
        <v>168160.0</v>
      </c>
      <c r="K272" s="30">
        <v>215590.0</v>
      </c>
      <c r="L272" s="31"/>
      <c r="M272" s="39"/>
      <c r="N272" s="33"/>
      <c r="O272" s="40"/>
      <c r="P272" s="35"/>
      <c r="Q272" s="33"/>
      <c r="R272" s="33"/>
      <c r="S272" s="35"/>
      <c r="T272" s="35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</row>
    <row r="273" hidden="1">
      <c r="A273" s="99" t="s">
        <v>25</v>
      </c>
      <c r="B273" s="100">
        <v>45555.0</v>
      </c>
      <c r="C273" s="22">
        <v>954250.0</v>
      </c>
      <c r="D273" s="23">
        <v>676090.0</v>
      </c>
      <c r="E273" s="24"/>
      <c r="F273" s="25"/>
      <c r="G273" s="35">
        <v>342840.0</v>
      </c>
      <c r="H273" s="187">
        <v>163750.0</v>
      </c>
      <c r="I273" s="177"/>
      <c r="J273" s="178">
        <v>247790.0</v>
      </c>
      <c r="K273" s="30">
        <v>210570.0</v>
      </c>
      <c r="L273" s="31"/>
      <c r="M273" s="32"/>
      <c r="N273" s="33"/>
      <c r="O273" s="40"/>
      <c r="P273" s="35"/>
      <c r="Q273" s="33"/>
      <c r="R273" s="33"/>
      <c r="S273" s="35"/>
      <c r="T273" s="35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</row>
    <row r="274" hidden="1">
      <c r="A274" s="99" t="s">
        <v>26</v>
      </c>
      <c r="B274" s="100">
        <v>45556.0</v>
      </c>
      <c r="C274" s="22">
        <v>1060510.0</v>
      </c>
      <c r="D274" s="23">
        <v>835340.0</v>
      </c>
      <c r="E274" s="24"/>
      <c r="F274" s="25"/>
      <c r="G274" s="186">
        <v>558670.0</v>
      </c>
      <c r="H274" s="187" t="s">
        <v>744</v>
      </c>
      <c r="I274" s="177"/>
      <c r="J274" s="178">
        <v>287920.0</v>
      </c>
      <c r="K274" s="30">
        <v>221320.0</v>
      </c>
      <c r="L274" s="31"/>
      <c r="M274" s="32"/>
      <c r="N274" s="33"/>
      <c r="O274" s="40"/>
      <c r="P274" s="35"/>
      <c r="Q274" s="33"/>
      <c r="R274" s="33"/>
      <c r="S274" s="35"/>
      <c r="T274" s="35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</row>
    <row r="275" hidden="1">
      <c r="A275" s="150" t="s">
        <v>27</v>
      </c>
      <c r="B275" s="100">
        <v>45557.0</v>
      </c>
      <c r="C275" s="160">
        <v>628600.0</v>
      </c>
      <c r="D275" s="160">
        <v>459500.0</v>
      </c>
      <c r="E275" s="160"/>
      <c r="F275" s="160"/>
      <c r="G275" s="160">
        <f>100300+207700</f>
        <v>308000</v>
      </c>
      <c r="H275" s="193">
        <v>99300.0</v>
      </c>
      <c r="I275" s="28"/>
      <c r="J275" s="160">
        <v>47000.0</v>
      </c>
      <c r="K275" s="160">
        <v>174300.0</v>
      </c>
      <c r="L275" s="31"/>
      <c r="M275" s="39"/>
      <c r="N275" s="33"/>
      <c r="O275" s="40"/>
      <c r="P275" s="35"/>
      <c r="Q275" s="33"/>
      <c r="R275" s="33"/>
      <c r="S275" s="35"/>
      <c r="T275" s="35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</row>
    <row r="276" hidden="1">
      <c r="A276" s="99" t="s">
        <v>21</v>
      </c>
      <c r="B276" s="100">
        <v>45558.0</v>
      </c>
      <c r="C276" s="22">
        <v>828230.0</v>
      </c>
      <c r="D276" s="23">
        <v>484300.0</v>
      </c>
      <c r="E276" s="24"/>
      <c r="F276" s="25"/>
      <c r="G276" s="35">
        <v>323600.0</v>
      </c>
      <c r="H276" s="187">
        <v>124200.0</v>
      </c>
      <c r="I276" s="177"/>
      <c r="J276" s="178">
        <v>105000.0</v>
      </c>
      <c r="K276" s="30">
        <v>275430.0</v>
      </c>
      <c r="L276" s="31"/>
      <c r="M276" s="32"/>
      <c r="N276" s="33"/>
      <c r="O276" s="40"/>
      <c r="P276" s="35"/>
      <c r="Q276" s="33"/>
      <c r="R276" s="33"/>
      <c r="S276" s="35"/>
      <c r="T276" s="35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</row>
    <row r="277" hidden="1">
      <c r="A277" s="99" t="s">
        <v>22</v>
      </c>
      <c r="B277" s="100">
        <v>45559.0</v>
      </c>
      <c r="C277" s="22">
        <v>1194300.0</v>
      </c>
      <c r="D277" s="23">
        <v>755700.0</v>
      </c>
      <c r="E277" s="24"/>
      <c r="F277" s="25"/>
      <c r="G277" s="35">
        <f>253100+173800</f>
        <v>426900</v>
      </c>
      <c r="H277" s="187">
        <v>188100.0</v>
      </c>
      <c r="I277" s="28"/>
      <c r="J277" s="29">
        <v>304710.0</v>
      </c>
      <c r="K277" s="30">
        <v>275890.0</v>
      </c>
      <c r="L277" s="31"/>
      <c r="M277" s="39"/>
      <c r="N277" s="33"/>
      <c r="O277" s="40"/>
      <c r="P277" s="35"/>
      <c r="Q277" s="33"/>
      <c r="R277" s="33"/>
      <c r="S277" s="35"/>
      <c r="T277" s="35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</row>
    <row r="278" hidden="1">
      <c r="A278" s="99" t="s">
        <v>32</v>
      </c>
      <c r="B278" s="100">
        <v>45560.0</v>
      </c>
      <c r="C278" s="22">
        <v>1520065.0</v>
      </c>
      <c r="D278" s="23">
        <v>1055450.0</v>
      </c>
      <c r="E278" s="24"/>
      <c r="F278" s="25"/>
      <c r="G278" s="26">
        <v>574900.0</v>
      </c>
      <c r="H278" s="27">
        <v>283875.0</v>
      </c>
      <c r="I278" s="198"/>
      <c r="J278" s="199">
        <v>346380.0</v>
      </c>
      <c r="K278" s="30">
        <v>281885.0</v>
      </c>
      <c r="L278" s="31"/>
      <c r="M278" s="32"/>
      <c r="N278" s="33"/>
      <c r="O278" s="40"/>
      <c r="P278" s="35"/>
      <c r="Q278" s="33"/>
      <c r="R278" s="33"/>
      <c r="S278" s="35"/>
      <c r="T278" s="35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</row>
    <row r="279" hidden="1">
      <c r="A279" s="99" t="s">
        <v>24</v>
      </c>
      <c r="B279" s="100">
        <v>45561.0</v>
      </c>
      <c r="C279" s="22">
        <v>1324600.0</v>
      </c>
      <c r="D279" s="23">
        <v>967560.0</v>
      </c>
      <c r="E279" s="24"/>
      <c r="F279" s="25"/>
      <c r="G279" s="35">
        <v>502640.0</v>
      </c>
      <c r="H279" s="27">
        <v>167306.0</v>
      </c>
      <c r="I279" s="177"/>
      <c r="J279" s="178">
        <v>292210.0</v>
      </c>
      <c r="K279" s="30">
        <v>230640.0</v>
      </c>
      <c r="L279" s="31"/>
      <c r="M279" s="39"/>
      <c r="N279" s="33"/>
      <c r="O279" s="40"/>
      <c r="P279" s="35"/>
      <c r="Q279" s="33"/>
      <c r="R279" s="33"/>
      <c r="S279" s="35"/>
      <c r="T279" s="35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</row>
    <row r="280" hidden="1">
      <c r="A280" s="99" t="s">
        <v>25</v>
      </c>
      <c r="B280" s="100">
        <v>45562.0</v>
      </c>
      <c r="C280" s="22">
        <v>1242250.0</v>
      </c>
      <c r="D280" s="23">
        <v>816610.0</v>
      </c>
      <c r="E280" s="24"/>
      <c r="F280" s="25"/>
      <c r="G280" s="200">
        <v>54700.0</v>
      </c>
      <c r="H280" s="27">
        <v>1024444.0</v>
      </c>
      <c r="I280" s="177"/>
      <c r="J280" s="178">
        <v>388800.0</v>
      </c>
      <c r="K280" s="30">
        <v>274740.0</v>
      </c>
      <c r="L280" s="31"/>
      <c r="M280" s="32"/>
      <c r="N280" s="33"/>
      <c r="O280" s="40"/>
      <c r="P280" s="35"/>
      <c r="Q280" s="33"/>
      <c r="R280" s="33"/>
      <c r="S280" s="35"/>
      <c r="T280" s="35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</row>
    <row r="281" hidden="1">
      <c r="A281" s="99" t="s">
        <v>26</v>
      </c>
      <c r="B281" s="100">
        <v>45563.0</v>
      </c>
      <c r="C281" s="22">
        <v>1279220.0</v>
      </c>
      <c r="D281" s="23">
        <v>855600.0</v>
      </c>
      <c r="E281" s="24">
        <v>10850.0</v>
      </c>
      <c r="F281" s="25">
        <v>600.0</v>
      </c>
      <c r="G281" s="35">
        <v>668900.0</v>
      </c>
      <c r="H281" s="27">
        <v>83076.0</v>
      </c>
      <c r="I281" s="198"/>
      <c r="J281" s="199">
        <v>348900.0</v>
      </c>
      <c r="K281" s="30">
        <v>176320.0</v>
      </c>
      <c r="L281" s="31"/>
      <c r="M281" s="39"/>
      <c r="N281" s="33"/>
      <c r="O281" s="40"/>
      <c r="P281" s="35"/>
      <c r="Q281" s="33"/>
      <c r="R281" s="33"/>
      <c r="S281" s="35"/>
      <c r="T281" s="35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</row>
    <row r="282" hidden="1">
      <c r="A282" s="150" t="s">
        <v>27</v>
      </c>
      <c r="B282" s="100">
        <v>45564.0</v>
      </c>
      <c r="C282" s="160">
        <v>798829.0</v>
      </c>
      <c r="D282" s="160">
        <v>521900.0</v>
      </c>
      <c r="E282" s="160"/>
      <c r="F282" s="160"/>
      <c r="G282" s="160">
        <f>209100+125900+7500+31100</f>
        <v>373600</v>
      </c>
      <c r="H282" s="193">
        <v>143500.0</v>
      </c>
      <c r="I282" s="198"/>
      <c r="J282" s="160">
        <v>56500.0</v>
      </c>
      <c r="K282" s="160">
        <v>225220.0</v>
      </c>
      <c r="L282" s="31"/>
      <c r="M282" s="39"/>
      <c r="N282" s="33"/>
      <c r="O282" s="40"/>
      <c r="P282" s="35"/>
      <c r="Q282" s="33"/>
      <c r="R282" s="33"/>
      <c r="S282" s="35"/>
      <c r="T282" s="35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</row>
    <row r="283" hidden="1">
      <c r="A283" s="99" t="s">
        <v>21</v>
      </c>
      <c r="B283" s="100">
        <v>45565.0</v>
      </c>
      <c r="C283" s="22">
        <v>992536.0</v>
      </c>
      <c r="D283" s="23">
        <v>574500.0</v>
      </c>
      <c r="E283" s="24"/>
      <c r="F283" s="25"/>
      <c r="G283" s="35">
        <v>303100.0</v>
      </c>
      <c r="H283" s="27">
        <v>246300.0</v>
      </c>
      <c r="I283" s="198"/>
      <c r="J283" s="199">
        <v>147750.0</v>
      </c>
      <c r="K283" s="30">
        <v>290536.0</v>
      </c>
      <c r="L283" s="31"/>
      <c r="M283" s="39"/>
      <c r="N283" s="33"/>
      <c r="O283" s="40"/>
      <c r="P283" s="35"/>
      <c r="Q283" s="33"/>
      <c r="R283" s="33"/>
      <c r="S283" s="35"/>
      <c r="T283" s="35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</row>
    <row r="284">
      <c r="A284" s="93" t="s">
        <v>28</v>
      </c>
      <c r="B284" s="129"/>
      <c r="C284" s="73">
        <f>SUM(C254:C283)</f>
        <v>31148321</v>
      </c>
      <c r="D284" s="73"/>
      <c r="E284" s="73"/>
      <c r="F284" s="73"/>
      <c r="G284" s="73"/>
      <c r="H284" s="73"/>
      <c r="I284" s="198"/>
      <c r="J284" s="201"/>
      <c r="K284" s="73"/>
      <c r="L284" s="74"/>
      <c r="M284" s="39"/>
      <c r="N284" s="33"/>
      <c r="O284" s="40"/>
      <c r="P284" s="35"/>
      <c r="Q284" s="33"/>
      <c r="R284" s="33"/>
      <c r="S284" s="35"/>
      <c r="T284" s="35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</row>
    <row r="285">
      <c r="A285" s="54" t="s">
        <v>22</v>
      </c>
      <c r="B285" s="100">
        <v>45566.0</v>
      </c>
      <c r="C285" s="22">
        <f>2358861-992536</f>
        <v>1366325</v>
      </c>
      <c r="D285" s="23">
        <v>815270.0</v>
      </c>
      <c r="E285" s="24"/>
      <c r="F285" s="25"/>
      <c r="G285" s="35">
        <v>482130.0</v>
      </c>
      <c r="H285" s="27">
        <f>391700-246300</f>
        <v>145400</v>
      </c>
      <c r="I285" s="198"/>
      <c r="J285" s="199">
        <f>517765-147750</f>
        <v>370015</v>
      </c>
      <c r="K285" s="30">
        <f>593376-290536</f>
        <v>302840</v>
      </c>
      <c r="L285" s="31"/>
      <c r="M285" s="39"/>
      <c r="N285" s="33"/>
      <c r="O285" s="40"/>
      <c r="P285" s="35"/>
      <c r="Q285" s="33"/>
      <c r="R285" s="33"/>
      <c r="S285" s="35"/>
      <c r="T285" s="35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</row>
    <row r="286">
      <c r="A286" s="54" t="s">
        <v>32</v>
      </c>
      <c r="B286" s="100">
        <v>45567.0</v>
      </c>
      <c r="C286" s="22">
        <v>1382025.0</v>
      </c>
      <c r="D286" s="23">
        <v>864470.0</v>
      </c>
      <c r="E286" s="24"/>
      <c r="F286" s="204"/>
      <c r="G286" s="26">
        <v>508850.0</v>
      </c>
      <c r="H286" s="27">
        <v>293096.0</v>
      </c>
      <c r="I286" s="198"/>
      <c r="J286" s="199">
        <v>175645.0</v>
      </c>
      <c r="K286" s="30">
        <v>401110.0</v>
      </c>
      <c r="L286" s="31"/>
      <c r="M286" s="39"/>
      <c r="N286" s="33"/>
      <c r="O286" s="40"/>
      <c r="P286" s="35"/>
      <c r="Q286" s="33"/>
      <c r="R286" s="33"/>
      <c r="S286" s="35"/>
      <c r="T286" s="35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</row>
    <row r="287">
      <c r="A287" s="54" t="s">
        <v>24</v>
      </c>
      <c r="B287" s="100">
        <v>45568.0</v>
      </c>
      <c r="C287" s="22">
        <v>1374165.0</v>
      </c>
      <c r="D287" s="23">
        <v>870870.0</v>
      </c>
      <c r="E287" s="24"/>
      <c r="F287" s="204"/>
      <c r="G287" s="26">
        <v>651900.0</v>
      </c>
      <c r="H287" s="27">
        <v>195547.0</v>
      </c>
      <c r="I287" s="28"/>
      <c r="J287" s="29">
        <v>203980.0</v>
      </c>
      <c r="K287" s="30">
        <v>301915.0</v>
      </c>
      <c r="L287" s="31"/>
      <c r="M287" s="39"/>
      <c r="N287" s="33"/>
      <c r="O287" s="40"/>
      <c r="P287" s="35"/>
      <c r="Q287" s="33"/>
      <c r="R287" s="33"/>
      <c r="S287" s="35"/>
      <c r="T287" s="35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</row>
    <row r="288">
      <c r="A288" s="54" t="s">
        <v>25</v>
      </c>
      <c r="B288" s="100">
        <v>45569.0</v>
      </c>
      <c r="C288" s="22">
        <v>1185650.0</v>
      </c>
      <c r="D288" s="23">
        <v>861500.0</v>
      </c>
      <c r="E288" s="24"/>
      <c r="F288" s="204"/>
      <c r="G288" s="26">
        <v>440300.0</v>
      </c>
      <c r="H288" s="27">
        <v>215666.0</v>
      </c>
      <c r="I288" s="28"/>
      <c r="J288" s="29">
        <v>312260.0</v>
      </c>
      <c r="K288" s="30">
        <v>209290.0</v>
      </c>
      <c r="L288" s="31"/>
      <c r="M288" s="32"/>
      <c r="N288" s="33"/>
      <c r="O288" s="40"/>
      <c r="P288" s="35"/>
      <c r="Q288" s="33"/>
      <c r="R288" s="33"/>
      <c r="S288" s="35"/>
      <c r="T288" s="35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</row>
    <row r="289">
      <c r="A289" s="54" t="s">
        <v>33</v>
      </c>
      <c r="B289" s="100">
        <v>45570.0</v>
      </c>
      <c r="C289" s="22">
        <v>1166985.0</v>
      </c>
      <c r="D289" s="23">
        <v>800195.0</v>
      </c>
      <c r="E289" s="24"/>
      <c r="F289" s="204"/>
      <c r="G289" s="26">
        <v>540560.0</v>
      </c>
      <c r="H289" s="27">
        <v>40925.0</v>
      </c>
      <c r="I289" s="28"/>
      <c r="J289" s="29">
        <v>281085.0</v>
      </c>
      <c r="K289" s="30">
        <v>275240.0</v>
      </c>
      <c r="L289" s="31"/>
      <c r="M289" s="32"/>
      <c r="N289" s="33"/>
      <c r="O289" s="40"/>
      <c r="P289" s="35"/>
      <c r="Q289" s="33"/>
      <c r="R289" s="33"/>
      <c r="S289" s="35"/>
      <c r="T289" s="35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</row>
    <row r="290">
      <c r="A290" s="205" t="s">
        <v>27</v>
      </c>
      <c r="B290" s="100">
        <v>45571.0</v>
      </c>
      <c r="C290" s="160">
        <v>949300.0</v>
      </c>
      <c r="D290" s="160">
        <v>731900.0</v>
      </c>
      <c r="E290" s="160"/>
      <c r="F290" s="160"/>
      <c r="G290" s="160">
        <f>346000+77100+4500+52100</f>
        <v>479700</v>
      </c>
      <c r="H290" s="160">
        <v>117000.0</v>
      </c>
      <c r="I290" s="28"/>
      <c r="J290" s="160">
        <v>272600.0</v>
      </c>
      <c r="K290" s="160">
        <v>80000.0</v>
      </c>
      <c r="L290" s="31"/>
      <c r="M290" s="32"/>
      <c r="N290" s="33"/>
      <c r="O290" s="40"/>
      <c r="P290" s="35"/>
      <c r="Q290" s="33"/>
      <c r="R290" s="33"/>
      <c r="S290" s="35"/>
      <c r="T290" s="35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</row>
    <row r="291">
      <c r="A291" s="54" t="s">
        <v>21</v>
      </c>
      <c r="B291" s="100">
        <v>45572.0</v>
      </c>
      <c r="C291" s="22">
        <v>993480.0</v>
      </c>
      <c r="D291" s="23">
        <v>599780.0</v>
      </c>
      <c r="E291" s="24"/>
      <c r="F291" s="204"/>
      <c r="G291" s="26">
        <v>305680.0</v>
      </c>
      <c r="H291" s="27">
        <v>238882.0</v>
      </c>
      <c r="I291" s="28"/>
      <c r="J291" s="29">
        <v>134410.0</v>
      </c>
      <c r="K291" s="30">
        <v>282690.0</v>
      </c>
      <c r="L291" s="31"/>
      <c r="M291" s="39"/>
      <c r="N291" s="33"/>
      <c r="O291" s="40"/>
      <c r="P291" s="35"/>
      <c r="Q291" s="33"/>
      <c r="R291" s="33"/>
      <c r="S291" s="35"/>
      <c r="T291" s="35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</row>
    <row r="292">
      <c r="A292" s="54" t="s">
        <v>22</v>
      </c>
      <c r="B292" s="100">
        <v>45573.0</v>
      </c>
      <c r="C292" s="22">
        <v>1302390.0</v>
      </c>
      <c r="D292" s="23">
        <v>812500.0</v>
      </c>
      <c r="E292" s="24"/>
      <c r="F292" s="204"/>
      <c r="G292" s="26">
        <v>413500.0</v>
      </c>
      <c r="H292" s="27">
        <v>225792.0</v>
      </c>
      <c r="I292" s="28"/>
      <c r="J292" s="29">
        <v>328620.0</v>
      </c>
      <c r="K292" s="30">
        <v>324270.0</v>
      </c>
      <c r="L292" s="31"/>
      <c r="M292" s="39"/>
      <c r="N292" s="33"/>
      <c r="O292" s="40"/>
      <c r="P292" s="35"/>
      <c r="Q292" s="33"/>
      <c r="R292" s="33"/>
      <c r="S292" s="35"/>
      <c r="T292" s="35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</row>
    <row r="293">
      <c r="A293" s="54" t="s">
        <v>32</v>
      </c>
      <c r="B293" s="100">
        <v>45574.0</v>
      </c>
      <c r="C293" s="22">
        <v>1293945.0</v>
      </c>
      <c r="D293" s="23">
        <v>932525.0</v>
      </c>
      <c r="E293" s="24"/>
      <c r="F293" s="204"/>
      <c r="G293" s="2">
        <v>340200.0</v>
      </c>
      <c r="H293" s="27">
        <v>366345.0</v>
      </c>
      <c r="I293" s="28"/>
      <c r="J293" s="29">
        <v>252440.0</v>
      </c>
      <c r="K293" s="30">
        <v>283070.0</v>
      </c>
      <c r="L293" s="31"/>
      <c r="M293" s="39"/>
      <c r="N293" s="33"/>
      <c r="O293" s="40"/>
      <c r="P293" s="35"/>
      <c r="Q293" s="33"/>
      <c r="R293" s="33"/>
      <c r="S293" s="35"/>
      <c r="T293" s="35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</row>
    <row r="294">
      <c r="A294" s="54" t="s">
        <v>24</v>
      </c>
      <c r="B294" s="100">
        <v>45575.0</v>
      </c>
      <c r="C294" s="22">
        <v>1086880.0</v>
      </c>
      <c r="D294" s="23">
        <v>681000.0</v>
      </c>
      <c r="E294" s="24"/>
      <c r="F294" s="204"/>
      <c r="G294" s="26">
        <v>348100.0</v>
      </c>
      <c r="H294" s="27">
        <v>124536.0</v>
      </c>
      <c r="I294" s="28"/>
      <c r="J294" s="29">
        <v>273960.0</v>
      </c>
      <c r="K294" s="30">
        <v>316020.0</v>
      </c>
      <c r="L294" s="31"/>
      <c r="M294" s="206"/>
      <c r="N294" s="33"/>
      <c r="O294" s="40"/>
      <c r="P294" s="35"/>
      <c r="Q294" s="33"/>
      <c r="R294" s="33"/>
      <c r="S294" s="35"/>
      <c r="T294" s="35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</row>
    <row r="295">
      <c r="A295" s="54" t="s">
        <v>25</v>
      </c>
      <c r="B295" s="100">
        <v>45576.0</v>
      </c>
      <c r="C295" s="22">
        <v>940120.0</v>
      </c>
      <c r="D295" s="23">
        <v>542890.0</v>
      </c>
      <c r="E295" s="24"/>
      <c r="F295" s="204"/>
      <c r="G295" s="26">
        <f>395200</f>
        <v>395200</v>
      </c>
      <c r="H295" s="27">
        <v>22520.0</v>
      </c>
      <c r="I295" s="28"/>
      <c r="J295" s="29">
        <v>230160.0</v>
      </c>
      <c r="K295" s="30">
        <v>293360.0</v>
      </c>
      <c r="L295" s="31"/>
      <c r="M295" s="32"/>
      <c r="N295" s="33"/>
      <c r="O295" s="40"/>
      <c r="P295" s="35"/>
      <c r="Q295" s="33"/>
      <c r="R295" s="33"/>
      <c r="S295" s="35"/>
      <c r="T295" s="35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</row>
    <row r="296">
      <c r="A296" s="54" t="s">
        <v>33</v>
      </c>
      <c r="B296" s="100">
        <v>45577.0</v>
      </c>
      <c r="C296" s="22">
        <v>1053780.0</v>
      </c>
      <c r="D296" s="23">
        <v>658680.0</v>
      </c>
      <c r="E296" s="24"/>
      <c r="F296" s="204"/>
      <c r="G296" s="26">
        <f>350700+173000</f>
        <v>523700</v>
      </c>
      <c r="H296" s="27">
        <v>75200.0</v>
      </c>
      <c r="I296" s="28"/>
      <c r="J296" s="29">
        <v>281220.0</v>
      </c>
      <c r="K296" s="30">
        <v>249360.0</v>
      </c>
      <c r="L296" s="31"/>
      <c r="M296" s="32"/>
      <c r="N296" s="40"/>
      <c r="O296" s="40"/>
      <c r="P296" s="34"/>
      <c r="Q296" s="40"/>
      <c r="R296" s="40"/>
      <c r="S296" s="34"/>
      <c r="T296" s="34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</row>
    <row r="297">
      <c r="A297" s="209" t="s">
        <v>27</v>
      </c>
      <c r="B297" s="100">
        <v>45578.0</v>
      </c>
      <c r="C297" s="160">
        <v>697660.0</v>
      </c>
      <c r="D297" s="160">
        <v>395620.0</v>
      </c>
      <c r="E297" s="160"/>
      <c r="F297" s="160"/>
      <c r="G297" s="160">
        <v>108000.0</v>
      </c>
      <c r="H297" s="160">
        <v>187000.0</v>
      </c>
      <c r="I297" s="28"/>
      <c r="J297" s="160">
        <v>268690.0</v>
      </c>
      <c r="K297" s="160">
        <v>133920.0</v>
      </c>
      <c r="L297" s="31"/>
      <c r="M297" s="39"/>
      <c r="N297" s="33"/>
      <c r="O297" s="40"/>
      <c r="P297" s="35"/>
      <c r="Q297" s="33"/>
      <c r="R297" s="33"/>
      <c r="S297" s="35"/>
      <c r="T297" s="35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</row>
    <row r="298">
      <c r="A298" s="210" t="s">
        <v>21</v>
      </c>
      <c r="B298" s="100">
        <v>45579.0</v>
      </c>
      <c r="C298" s="22">
        <v>880419.0</v>
      </c>
      <c r="D298" s="23">
        <v>563470.0</v>
      </c>
      <c r="E298" s="24"/>
      <c r="F298" s="204"/>
      <c r="G298" s="26">
        <v>253400.0</v>
      </c>
      <c r="H298" s="27">
        <v>262500.0</v>
      </c>
      <c r="I298" s="28"/>
      <c r="J298" s="29">
        <v>157300.0</v>
      </c>
      <c r="K298" s="30">
        <v>218519.0</v>
      </c>
      <c r="L298" s="49"/>
      <c r="M298" s="32"/>
      <c r="N298" s="33"/>
      <c r="O298" s="40"/>
      <c r="P298" s="35"/>
      <c r="Q298" s="33"/>
      <c r="R298" s="33"/>
      <c r="S298" s="35"/>
      <c r="T298" s="35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</row>
    <row r="299">
      <c r="A299" s="54" t="s">
        <v>22</v>
      </c>
      <c r="B299" s="100">
        <v>45580.0</v>
      </c>
      <c r="C299" s="22">
        <v>1024258.0</v>
      </c>
      <c r="D299" s="23">
        <v>695825.0</v>
      </c>
      <c r="E299" s="24"/>
      <c r="F299" s="204"/>
      <c r="G299" s="26">
        <v>371800.0</v>
      </c>
      <c r="H299" s="27">
        <v>178583.0</v>
      </c>
      <c r="I299" s="28"/>
      <c r="J299" s="29">
        <v>175110.0</v>
      </c>
      <c r="K299" s="30">
        <v>291423.0</v>
      </c>
      <c r="L299" s="31"/>
      <c r="M299" s="39"/>
      <c r="N299" s="33"/>
      <c r="O299" s="40"/>
      <c r="P299" s="35"/>
      <c r="Q299" s="33"/>
      <c r="R299" s="33"/>
      <c r="S299" s="35"/>
      <c r="T299" s="35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</row>
    <row r="300">
      <c r="A300" s="54" t="s">
        <v>32</v>
      </c>
      <c r="B300" s="100">
        <v>45581.0</v>
      </c>
      <c r="C300" s="22">
        <v>1023465.0</v>
      </c>
      <c r="D300" s="23">
        <v>695650.0</v>
      </c>
      <c r="E300" s="24"/>
      <c r="F300" s="204"/>
      <c r="G300" s="26">
        <v>340000.0</v>
      </c>
      <c r="H300" s="27">
        <v>149661.0</v>
      </c>
      <c r="I300" s="28"/>
      <c r="J300" s="29">
        <v>317840.0</v>
      </c>
      <c r="K300" s="30">
        <v>211875.0</v>
      </c>
      <c r="L300" s="31"/>
      <c r="M300" s="39"/>
      <c r="N300" s="33"/>
      <c r="O300" s="40"/>
      <c r="P300" s="35"/>
      <c r="Q300" s="33"/>
      <c r="R300" s="33"/>
      <c r="S300" s="35"/>
      <c r="T300" s="35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</row>
    <row r="301">
      <c r="A301" s="54" t="s">
        <v>24</v>
      </c>
      <c r="B301" s="100">
        <v>45582.0</v>
      </c>
      <c r="C301" s="22">
        <v>1347490.0</v>
      </c>
      <c r="D301" s="23">
        <v>879300.0</v>
      </c>
      <c r="E301" s="24"/>
      <c r="F301" s="204"/>
      <c r="G301" s="26">
        <v>461501.0</v>
      </c>
      <c r="H301" s="27">
        <v>184625.0</v>
      </c>
      <c r="I301" s="28"/>
      <c r="J301" s="29">
        <v>329480.0</v>
      </c>
      <c r="K301" s="30">
        <v>375100.0</v>
      </c>
      <c r="L301" s="31"/>
      <c r="M301" s="39"/>
      <c r="N301" s="33"/>
      <c r="O301" s="40"/>
      <c r="P301" s="35"/>
      <c r="Q301" s="33"/>
      <c r="R301" s="33"/>
      <c r="S301" s="35"/>
      <c r="T301" s="35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</row>
    <row r="302">
      <c r="A302" s="54" t="s">
        <v>25</v>
      </c>
      <c r="B302" s="100">
        <v>45583.0</v>
      </c>
      <c r="C302" s="22">
        <v>1166120.0</v>
      </c>
      <c r="D302" s="23">
        <v>786575.0</v>
      </c>
      <c r="E302" s="24"/>
      <c r="F302" s="204"/>
      <c r="G302" s="26">
        <f>242755+185200</f>
        <v>427955</v>
      </c>
      <c r="H302" s="27">
        <v>221625.0</v>
      </c>
      <c r="I302" s="28"/>
      <c r="J302" s="29">
        <v>213710.0</v>
      </c>
      <c r="K302" s="30">
        <v>268735.0</v>
      </c>
      <c r="L302" s="31"/>
      <c r="M302" s="32"/>
      <c r="N302" s="33"/>
      <c r="O302" s="40"/>
      <c r="P302" s="35"/>
      <c r="Q302" s="33"/>
      <c r="R302" s="33"/>
      <c r="S302" s="35"/>
      <c r="T302" s="35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</row>
    <row r="303">
      <c r="A303" s="54" t="s">
        <v>33</v>
      </c>
      <c r="B303" s="100">
        <v>45584.0</v>
      </c>
      <c r="C303" s="80">
        <v>1266105.0</v>
      </c>
      <c r="D303" s="23">
        <v>754440.0</v>
      </c>
      <c r="E303" s="24"/>
      <c r="F303" s="204"/>
      <c r="G303" s="26">
        <v>273700.0</v>
      </c>
      <c r="H303" s="27">
        <v>70300.0</v>
      </c>
      <c r="I303" s="28"/>
      <c r="J303" s="29">
        <v>373495.0</v>
      </c>
      <c r="K303" s="30">
        <v>400010.0</v>
      </c>
      <c r="L303" s="31"/>
      <c r="M303" s="32"/>
      <c r="N303" s="33"/>
      <c r="O303" s="40"/>
      <c r="P303" s="35"/>
      <c r="Q303" s="33"/>
      <c r="R303" s="33"/>
      <c r="S303" s="35"/>
      <c r="T303" s="35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</row>
    <row r="304">
      <c r="A304" s="209" t="s">
        <v>27</v>
      </c>
      <c r="B304" s="100">
        <v>45585.0</v>
      </c>
      <c r="C304" s="160">
        <v>688210.0</v>
      </c>
      <c r="D304" s="160"/>
      <c r="E304" s="160"/>
      <c r="F304" s="160"/>
      <c r="G304" s="160">
        <v>355270.0</v>
      </c>
      <c r="H304" s="160">
        <v>22000.0</v>
      </c>
      <c r="I304" s="28"/>
      <c r="J304" s="160">
        <v>125140.0</v>
      </c>
      <c r="K304" s="160">
        <v>185800.0</v>
      </c>
      <c r="L304" s="31"/>
      <c r="M304" s="32"/>
      <c r="N304" s="33"/>
      <c r="O304" s="40"/>
      <c r="P304" s="35"/>
      <c r="Q304" s="33"/>
      <c r="R304" s="33"/>
      <c r="S304" s="35"/>
      <c r="T304" s="35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</row>
    <row r="305">
      <c r="A305" s="54" t="s">
        <v>21</v>
      </c>
      <c r="B305" s="100">
        <v>45586.0</v>
      </c>
      <c r="C305" s="22">
        <v>1084095.0</v>
      </c>
      <c r="D305" s="23">
        <v>693720.0</v>
      </c>
      <c r="E305" s="24"/>
      <c r="F305" s="204"/>
      <c r="G305" s="26">
        <v>368900.0</v>
      </c>
      <c r="H305" s="27">
        <v>127937.0</v>
      </c>
      <c r="I305" s="28"/>
      <c r="J305" s="29">
        <v>251610.0</v>
      </c>
      <c r="K305" s="30">
        <v>367965.0</v>
      </c>
      <c r="L305" s="31"/>
      <c r="M305" s="32"/>
      <c r="N305" s="33"/>
      <c r="O305" s="40"/>
      <c r="P305" s="35"/>
      <c r="Q305" s="33"/>
      <c r="R305" s="33"/>
      <c r="S305" s="35"/>
      <c r="T305" s="35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</row>
    <row r="306">
      <c r="A306" s="54" t="s">
        <v>22</v>
      </c>
      <c r="B306" s="100">
        <v>45587.0</v>
      </c>
      <c r="C306" s="22">
        <v>806425.0</v>
      </c>
      <c r="D306" s="23">
        <v>334100.0</v>
      </c>
      <c r="E306" s="24"/>
      <c r="F306" s="204"/>
      <c r="G306" s="26">
        <v>269300.0</v>
      </c>
      <c r="H306" s="27">
        <v>61956.0</v>
      </c>
      <c r="I306" s="28"/>
      <c r="J306" s="29">
        <v>274360.0</v>
      </c>
      <c r="K306" s="30">
        <v>219865.0</v>
      </c>
      <c r="L306" s="31"/>
      <c r="M306" s="39"/>
      <c r="N306" s="33"/>
      <c r="O306" s="40"/>
      <c r="P306" s="35"/>
      <c r="Q306" s="33"/>
      <c r="R306" s="33"/>
      <c r="S306" s="35"/>
      <c r="T306" s="35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</row>
    <row r="307">
      <c r="A307" s="54" t="s">
        <v>32</v>
      </c>
      <c r="B307" s="100">
        <v>45588.0</v>
      </c>
      <c r="C307" s="22">
        <v>1106580.0</v>
      </c>
      <c r="D307" s="23">
        <v>535170.0</v>
      </c>
      <c r="E307" s="24"/>
      <c r="F307" s="204"/>
      <c r="G307" s="26">
        <f>162300+114700</f>
        <v>277000</v>
      </c>
      <c r="H307" s="27">
        <v>149700.0</v>
      </c>
      <c r="I307" s="28"/>
      <c r="J307" s="29">
        <v>268780.0</v>
      </c>
      <c r="K307" s="30">
        <v>315550.0</v>
      </c>
      <c r="L307" s="31"/>
      <c r="M307" s="32"/>
      <c r="N307" s="33"/>
      <c r="O307" s="40"/>
      <c r="P307" s="35"/>
      <c r="Q307" s="33"/>
      <c r="R307" s="33"/>
      <c r="S307" s="35"/>
      <c r="T307" s="35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</row>
    <row r="308">
      <c r="A308" s="54" t="s">
        <v>24</v>
      </c>
      <c r="B308" s="100">
        <v>45589.0</v>
      </c>
      <c r="C308" s="22">
        <v>1117540.0</v>
      </c>
      <c r="D308" s="23"/>
      <c r="E308" s="24"/>
      <c r="F308" s="204"/>
      <c r="G308" s="26">
        <v>222600.0</v>
      </c>
      <c r="H308" s="27">
        <v>249300.0</v>
      </c>
      <c r="I308" s="28"/>
      <c r="J308" s="29">
        <v>323600.0</v>
      </c>
      <c r="K308" s="30">
        <v>256130.0</v>
      </c>
      <c r="L308" s="31"/>
      <c r="M308" s="39"/>
      <c r="N308" s="33"/>
      <c r="O308" s="40"/>
      <c r="P308" s="35"/>
      <c r="Q308" s="33"/>
      <c r="R308" s="33"/>
      <c r="S308" s="35"/>
      <c r="T308" s="35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</row>
    <row r="309">
      <c r="A309" s="38" t="s">
        <v>25</v>
      </c>
      <c r="B309" s="100">
        <v>45590.0</v>
      </c>
      <c r="C309" s="22">
        <v>1196240.0</v>
      </c>
      <c r="D309" s="23">
        <v>394750.0</v>
      </c>
      <c r="E309" s="24"/>
      <c r="F309" s="204"/>
      <c r="G309" s="26">
        <v>309600.0</v>
      </c>
      <c r="H309" s="27"/>
      <c r="I309" s="28"/>
      <c r="J309" s="29">
        <v>230520.0</v>
      </c>
      <c r="K309" s="30">
        <v>382100.0</v>
      </c>
      <c r="L309" s="31"/>
      <c r="M309" s="32"/>
      <c r="N309" s="33"/>
      <c r="O309" s="40"/>
      <c r="P309" s="35"/>
      <c r="Q309" s="33"/>
      <c r="R309" s="33"/>
      <c r="S309" s="35"/>
      <c r="T309" s="35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</row>
    <row r="310">
      <c r="A310" s="38" t="s">
        <v>26</v>
      </c>
      <c r="B310" s="100">
        <v>45591.0</v>
      </c>
      <c r="C310" s="22">
        <v>1028640.0</v>
      </c>
      <c r="D310" s="23">
        <v>556410.0</v>
      </c>
      <c r="E310" s="24"/>
      <c r="F310" s="204"/>
      <c r="G310" s="26">
        <v>361300.0</v>
      </c>
      <c r="H310" s="27"/>
      <c r="I310" s="28"/>
      <c r="J310" s="29">
        <v>249740.0</v>
      </c>
      <c r="K310" s="30">
        <v>323470.0</v>
      </c>
      <c r="L310" s="31"/>
      <c r="M310" s="32"/>
      <c r="N310" s="33"/>
      <c r="O310" s="40"/>
      <c r="P310" s="35"/>
      <c r="Q310" s="33"/>
      <c r="R310" s="33"/>
      <c r="S310" s="35"/>
      <c r="T310" s="35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</row>
    <row r="311">
      <c r="A311" s="150" t="s">
        <v>27</v>
      </c>
      <c r="B311" s="100">
        <v>45592.0</v>
      </c>
      <c r="C311" s="160">
        <v>595570.0</v>
      </c>
      <c r="D311" s="160">
        <v>345700.0</v>
      </c>
      <c r="E311" s="160"/>
      <c r="F311" s="160"/>
      <c r="G311" s="160">
        <v>262200.0</v>
      </c>
      <c r="H311" s="160">
        <v>149600.0</v>
      </c>
      <c r="I311" s="28"/>
      <c r="J311" s="160">
        <v>112600.0</v>
      </c>
      <c r="K311" s="160">
        <v>142870.0</v>
      </c>
      <c r="L311" s="31"/>
      <c r="M311" s="39"/>
      <c r="N311" s="33"/>
      <c r="O311" s="40"/>
      <c r="P311" s="35"/>
      <c r="Q311" s="33"/>
      <c r="R311" s="33"/>
      <c r="S311" s="35"/>
      <c r="T311" s="35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</row>
    <row r="312">
      <c r="A312" s="38" t="s">
        <v>21</v>
      </c>
      <c r="B312" s="208" t="s">
        <v>745</v>
      </c>
      <c r="C312" s="22">
        <v>959970.0</v>
      </c>
      <c r="D312" s="23">
        <v>620980.0</v>
      </c>
      <c r="E312" s="24"/>
      <c r="F312" s="204"/>
      <c r="G312" s="26">
        <v>393800.0</v>
      </c>
      <c r="H312" s="27">
        <v>140000.0</v>
      </c>
      <c r="I312" s="28"/>
      <c r="J312" s="29">
        <v>166700.0</v>
      </c>
      <c r="K312" s="30">
        <v>260300.0</v>
      </c>
      <c r="L312" s="31"/>
      <c r="M312" s="32"/>
      <c r="N312" s="33"/>
      <c r="O312" s="40"/>
      <c r="P312" s="35"/>
      <c r="Q312" s="33"/>
      <c r="R312" s="33"/>
      <c r="S312" s="35"/>
      <c r="T312" s="35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</row>
    <row r="313">
      <c r="A313" s="38" t="s">
        <v>22</v>
      </c>
      <c r="B313" s="100">
        <v>45594.0</v>
      </c>
      <c r="C313" s="22">
        <v>1012840.0</v>
      </c>
      <c r="D313" s="23">
        <v>394700.0</v>
      </c>
      <c r="E313" s="24"/>
      <c r="F313" s="25"/>
      <c r="G313" s="35">
        <v>291600.0</v>
      </c>
      <c r="H313" s="27">
        <v>183100.0</v>
      </c>
      <c r="I313" s="28"/>
      <c r="J313" s="29">
        <v>228700.0</v>
      </c>
      <c r="K313" s="30">
        <v>288440.0</v>
      </c>
      <c r="L313" s="31"/>
      <c r="M313" s="39"/>
      <c r="N313" s="33"/>
      <c r="O313" s="40"/>
      <c r="P313" s="35"/>
      <c r="Q313" s="33"/>
      <c r="R313" s="33"/>
      <c r="S313" s="35"/>
      <c r="T313" s="35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</row>
    <row r="314">
      <c r="A314" s="38" t="s">
        <v>32</v>
      </c>
      <c r="B314" s="100">
        <v>45595.0</v>
      </c>
      <c r="C314" s="117">
        <v>857050.0</v>
      </c>
      <c r="D314" s="121">
        <v>442500.0</v>
      </c>
      <c r="E314" s="119"/>
      <c r="F314" s="120"/>
      <c r="G314" s="163">
        <v>251900.0</v>
      </c>
      <c r="H314" s="122">
        <v>87900.0</v>
      </c>
      <c r="I314" s="123"/>
      <c r="J314" s="164">
        <v>186350.0</v>
      </c>
      <c r="K314" s="30">
        <v>330940.0</v>
      </c>
      <c r="L314" s="65"/>
      <c r="M314" s="32"/>
      <c r="N314" s="33"/>
      <c r="O314" s="40"/>
      <c r="P314" s="35"/>
      <c r="Q314" s="33"/>
      <c r="R314" s="33"/>
      <c r="S314" s="35"/>
      <c r="T314" s="35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</row>
    <row r="315">
      <c r="A315" s="38" t="s">
        <v>24</v>
      </c>
      <c r="B315" s="100">
        <v>45596.0</v>
      </c>
      <c r="C315" s="22">
        <v>841460.0</v>
      </c>
      <c r="D315" s="23">
        <v>462510.0</v>
      </c>
      <c r="E315" s="24"/>
      <c r="F315" s="25"/>
      <c r="G315" s="26">
        <v>251410.0</v>
      </c>
      <c r="H315" s="27">
        <v>177500.0</v>
      </c>
      <c r="I315" s="28"/>
      <c r="J315" s="29">
        <v>200860.0</v>
      </c>
      <c r="K315" s="30">
        <v>211690.0</v>
      </c>
      <c r="L315" s="31"/>
      <c r="M315" s="166"/>
      <c r="N315" s="33"/>
      <c r="O315" s="40"/>
      <c r="P315" s="35"/>
      <c r="Q315" s="33"/>
      <c r="R315" s="33"/>
      <c r="S315" s="35"/>
      <c r="T315" s="35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</row>
    <row r="316">
      <c r="A316" s="367" t="s">
        <v>28</v>
      </c>
      <c r="B316" s="368"/>
      <c r="C316" s="95">
        <f t="shared" ref="C316:D316" si="5">SUM(C285:C315)</f>
        <v>32795182</v>
      </c>
      <c r="D316" s="95">
        <f t="shared" si="5"/>
        <v>18723000</v>
      </c>
      <c r="E316" s="95"/>
      <c r="F316" s="95"/>
      <c r="G316" s="95">
        <f t="shared" ref="G316:H316" si="6">SUM(G285:G315)</f>
        <v>11281056</v>
      </c>
      <c r="H316" s="95">
        <f t="shared" si="6"/>
        <v>4664196</v>
      </c>
      <c r="I316" s="95"/>
      <c r="J316" s="95">
        <f t="shared" ref="J316:K316" si="7">SUM(J285:J315)</f>
        <v>7570980</v>
      </c>
      <c r="K316" s="73">
        <f t="shared" si="7"/>
        <v>8503867</v>
      </c>
      <c r="L316" s="31"/>
      <c r="M316" s="39"/>
      <c r="N316" s="33"/>
      <c r="O316" s="40"/>
      <c r="P316" s="35"/>
      <c r="Q316" s="33"/>
      <c r="R316" s="33"/>
      <c r="S316" s="35"/>
      <c r="T316" s="35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</row>
    <row r="317">
      <c r="A317" s="38" t="s">
        <v>25</v>
      </c>
      <c r="B317" s="100">
        <v>45597.0</v>
      </c>
      <c r="C317" s="22">
        <v>980910.0</v>
      </c>
      <c r="D317" s="23"/>
      <c r="E317" s="24"/>
      <c r="F317" s="25"/>
      <c r="G317" s="26">
        <v>241100.0</v>
      </c>
      <c r="H317" s="27"/>
      <c r="I317" s="28"/>
      <c r="J317" s="29">
        <v>220970.0</v>
      </c>
      <c r="K317" s="30">
        <v>291590.0</v>
      </c>
      <c r="L317" s="31"/>
      <c r="M317" s="39"/>
      <c r="N317" s="33"/>
      <c r="O317" s="40"/>
      <c r="P317" s="35"/>
      <c r="Q317" s="33"/>
      <c r="R317" s="33"/>
      <c r="S317" s="35"/>
      <c r="T317" s="35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</row>
    <row r="318">
      <c r="A318" s="38" t="s">
        <v>33</v>
      </c>
      <c r="B318" s="100">
        <v>45598.0</v>
      </c>
      <c r="C318" s="22">
        <v>1012420.0</v>
      </c>
      <c r="D318" s="23"/>
      <c r="E318" s="24"/>
      <c r="F318" s="25"/>
      <c r="G318" s="26">
        <v>346830.0</v>
      </c>
      <c r="H318" s="27">
        <v>97900.0</v>
      </c>
      <c r="I318" s="28"/>
      <c r="J318" s="29">
        <v>320710.0</v>
      </c>
      <c r="K318" s="30">
        <v>202780.0</v>
      </c>
      <c r="L318" s="31"/>
      <c r="M318" s="32"/>
      <c r="N318" s="34"/>
      <c r="O318" s="40"/>
      <c r="P318" s="35"/>
      <c r="Q318" s="33"/>
      <c r="R318" s="33"/>
      <c r="S318" s="34"/>
      <c r="T318" s="34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</row>
    <row r="319">
      <c r="A319" s="212" t="s">
        <v>27</v>
      </c>
      <c r="B319" s="100">
        <v>45599.0</v>
      </c>
      <c r="C319" s="160">
        <v>635080.0</v>
      </c>
      <c r="D319" s="160">
        <v>411640.0</v>
      </c>
      <c r="E319" s="160"/>
      <c r="F319" s="160"/>
      <c r="G319" s="160">
        <v>260400.0</v>
      </c>
      <c r="H319" s="160">
        <v>51600.0</v>
      </c>
      <c r="I319" s="160"/>
      <c r="J319" s="160">
        <v>191240.0</v>
      </c>
      <c r="K319" s="160">
        <v>131840.0</v>
      </c>
      <c r="L319" s="31"/>
      <c r="M319" s="39"/>
      <c r="N319" s="33"/>
      <c r="O319" s="40"/>
      <c r="P319" s="35"/>
      <c r="Q319" s="33"/>
      <c r="R319" s="33"/>
      <c r="S319" s="35"/>
      <c r="T319" s="35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</row>
    <row r="320">
      <c r="A320" s="38" t="s">
        <v>21</v>
      </c>
      <c r="B320" s="100">
        <v>45600.0</v>
      </c>
      <c r="C320" s="22">
        <v>880419.0</v>
      </c>
      <c r="D320" s="23">
        <v>563470.0</v>
      </c>
      <c r="E320" s="24"/>
      <c r="F320" s="25"/>
      <c r="G320" s="26">
        <v>419800.0</v>
      </c>
      <c r="H320" s="27">
        <v>338769.0</v>
      </c>
      <c r="I320" s="28"/>
      <c r="J320" s="29">
        <v>157300.0</v>
      </c>
      <c r="K320" s="30">
        <v>218519.0</v>
      </c>
      <c r="L320" s="31"/>
      <c r="M320" s="39"/>
      <c r="N320" s="33"/>
      <c r="O320" s="40"/>
      <c r="P320" s="35"/>
      <c r="Q320" s="33"/>
      <c r="R320" s="33"/>
      <c r="S320" s="35"/>
      <c r="T320" s="35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</row>
    <row r="321">
      <c r="A321" s="38" t="s">
        <v>22</v>
      </c>
      <c r="B321" s="100">
        <v>45601.0</v>
      </c>
      <c r="C321" s="22">
        <v>1106485.0</v>
      </c>
      <c r="D321" s="23">
        <v>643870.0</v>
      </c>
      <c r="E321" s="24"/>
      <c r="F321" s="25"/>
      <c r="G321" s="26">
        <v>360600.0</v>
      </c>
      <c r="H321" s="27">
        <v>145600.0</v>
      </c>
      <c r="I321" s="28"/>
      <c r="J321" s="29">
        <v>254130.0</v>
      </c>
      <c r="K321" s="30">
        <v>406055.0</v>
      </c>
      <c r="L321" s="31"/>
      <c r="M321" s="32"/>
      <c r="N321" s="33"/>
      <c r="O321" s="40"/>
      <c r="P321" s="35"/>
      <c r="Q321" s="33"/>
      <c r="R321" s="33"/>
      <c r="S321" s="35"/>
      <c r="T321" s="35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</row>
    <row r="322">
      <c r="A322" s="38" t="s">
        <v>32</v>
      </c>
      <c r="B322" s="100">
        <v>45602.0</v>
      </c>
      <c r="C322" s="22">
        <v>1759741.0</v>
      </c>
      <c r="D322" s="23">
        <v>946190.0</v>
      </c>
      <c r="E322" s="24"/>
      <c r="F322" s="25"/>
      <c r="G322" s="26">
        <v>94600.0</v>
      </c>
      <c r="H322" s="27">
        <v>246100.0</v>
      </c>
      <c r="I322" s="28"/>
      <c r="J322" s="29">
        <v>288230.0</v>
      </c>
      <c r="K322" s="30">
        <v>466810.0</v>
      </c>
      <c r="L322" s="31"/>
      <c r="M322" s="32"/>
      <c r="N322" s="33"/>
      <c r="O322" s="40"/>
      <c r="P322" s="35"/>
      <c r="Q322" s="33"/>
      <c r="R322" s="33"/>
      <c r="S322" s="35"/>
      <c r="T322" s="35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</row>
    <row r="323">
      <c r="A323" s="38" t="s">
        <v>24</v>
      </c>
      <c r="B323" s="100">
        <v>45603.0</v>
      </c>
      <c r="C323" s="22">
        <v>1112725.0</v>
      </c>
      <c r="D323" s="23">
        <v>813815.0</v>
      </c>
      <c r="E323" s="24"/>
      <c r="F323" s="25"/>
      <c r="G323" s="26">
        <v>175400.0</v>
      </c>
      <c r="H323" s="27">
        <v>145000.0</v>
      </c>
      <c r="I323" s="28"/>
      <c r="J323" s="29">
        <v>371240.0</v>
      </c>
      <c r="K323" s="30">
        <v>228290.0</v>
      </c>
      <c r="L323" s="31"/>
      <c r="M323" s="39"/>
      <c r="N323" s="33"/>
      <c r="O323" s="40"/>
      <c r="P323" s="35"/>
      <c r="Q323" s="33"/>
      <c r="R323" s="33"/>
      <c r="S323" s="35"/>
      <c r="T323" s="35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</row>
    <row r="324">
      <c r="A324" s="38" t="s">
        <v>25</v>
      </c>
      <c r="B324" s="100">
        <v>45604.0</v>
      </c>
      <c r="C324" s="22">
        <v>927885.0</v>
      </c>
      <c r="D324" s="23">
        <v>482890.0</v>
      </c>
      <c r="E324" s="24"/>
      <c r="F324" s="25"/>
      <c r="G324" s="26">
        <v>313120.0</v>
      </c>
      <c r="H324" s="27">
        <v>84200.0</v>
      </c>
      <c r="I324" s="28"/>
      <c r="J324" s="29">
        <v>265270.0</v>
      </c>
      <c r="K324" s="30">
        <v>265295.0</v>
      </c>
      <c r="L324" s="31"/>
      <c r="M324" s="32"/>
      <c r="N324" s="33"/>
      <c r="O324" s="40"/>
      <c r="P324" s="35"/>
      <c r="Q324" s="33"/>
      <c r="R324" s="33"/>
      <c r="S324" s="35"/>
      <c r="T324" s="35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</row>
    <row r="325">
      <c r="A325" s="38" t="s">
        <v>33</v>
      </c>
      <c r="B325" s="100">
        <v>45605.0</v>
      </c>
      <c r="C325" s="22">
        <v>975110.0</v>
      </c>
      <c r="D325" s="23"/>
      <c r="E325" s="24"/>
      <c r="F325" s="25"/>
      <c r="G325" s="26">
        <v>341870.0</v>
      </c>
      <c r="H325" s="27">
        <v>132100.0</v>
      </c>
      <c r="I325" s="28"/>
      <c r="J325" s="29">
        <v>105100.0</v>
      </c>
      <c r="K325" s="30">
        <v>304430.0</v>
      </c>
      <c r="L325" s="31"/>
      <c r="M325" s="32"/>
      <c r="N325" s="33"/>
      <c r="O325" s="40"/>
      <c r="P325" s="35"/>
      <c r="Q325" s="33"/>
      <c r="R325" s="33"/>
      <c r="S325" s="35"/>
      <c r="T325" s="35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</row>
    <row r="326">
      <c r="A326" s="150" t="s">
        <v>27</v>
      </c>
      <c r="B326" s="100">
        <v>45606.0</v>
      </c>
      <c r="C326" s="160">
        <v>529130.0</v>
      </c>
      <c r="D326" s="160">
        <v>291450.0</v>
      </c>
      <c r="E326" s="160"/>
      <c r="F326" s="160"/>
      <c r="G326" s="160">
        <v>226800.0</v>
      </c>
      <c r="H326" s="160">
        <v>40400.0</v>
      </c>
      <c r="I326" s="160"/>
      <c r="J326" s="160">
        <v>92300.0</v>
      </c>
      <c r="K326" s="160">
        <v>169630.0</v>
      </c>
      <c r="L326" s="31"/>
      <c r="M326" s="32"/>
      <c r="N326" s="33"/>
      <c r="O326" s="40"/>
      <c r="P326" s="35"/>
      <c r="Q326" s="33"/>
      <c r="R326" s="33"/>
      <c r="S326" s="35"/>
      <c r="T326" s="35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>
      <c r="A327" s="38" t="s">
        <v>21</v>
      </c>
      <c r="B327" s="100">
        <v>45607.0</v>
      </c>
      <c r="C327" s="22">
        <v>940490.0</v>
      </c>
      <c r="D327" s="23">
        <v>596770.0</v>
      </c>
      <c r="E327" s="24"/>
      <c r="F327" s="25"/>
      <c r="G327" s="26">
        <v>466300.0</v>
      </c>
      <c r="H327" s="27">
        <v>171200.0</v>
      </c>
      <c r="I327" s="28"/>
      <c r="J327" s="29">
        <v>371410.0</v>
      </c>
      <c r="K327" s="30">
        <v>297210.0</v>
      </c>
      <c r="L327" s="31"/>
      <c r="M327" s="39"/>
      <c r="N327" s="33"/>
      <c r="O327" s="40"/>
      <c r="P327" s="35"/>
      <c r="Q327" s="33"/>
      <c r="R327" s="33"/>
      <c r="S327" s="35"/>
      <c r="T327" s="35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</row>
    <row r="328">
      <c r="A328" s="38" t="s">
        <v>22</v>
      </c>
      <c r="B328" s="100">
        <v>45608.0</v>
      </c>
      <c r="C328" s="22">
        <v>1069340.0</v>
      </c>
      <c r="D328" s="23">
        <v>697340.0</v>
      </c>
      <c r="E328" s="24"/>
      <c r="F328" s="25"/>
      <c r="G328" s="26">
        <v>259300.0</v>
      </c>
      <c r="H328" s="27">
        <v>206100.0</v>
      </c>
      <c r="I328" s="28"/>
      <c r="J328" s="29">
        <v>351540.0</v>
      </c>
      <c r="K328" s="30">
        <v>313660.0</v>
      </c>
      <c r="L328" s="31"/>
      <c r="M328" s="32"/>
      <c r="N328" s="33"/>
      <c r="O328" s="40"/>
      <c r="P328" s="35"/>
      <c r="Q328" s="33"/>
      <c r="R328" s="33"/>
      <c r="S328" s="35"/>
      <c r="T328" s="35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</row>
    <row r="329">
      <c r="A329" s="38" t="s">
        <v>32</v>
      </c>
      <c r="B329" s="100">
        <v>45609.0</v>
      </c>
      <c r="C329" s="22">
        <v>990530.0</v>
      </c>
      <c r="D329" s="23">
        <v>565850.0</v>
      </c>
      <c r="E329" s="24"/>
      <c r="F329" s="25"/>
      <c r="G329" s="26">
        <v>143300.0</v>
      </c>
      <c r="H329" s="27">
        <v>194000.0</v>
      </c>
      <c r="I329" s="28"/>
      <c r="J329" s="29">
        <v>241470.0</v>
      </c>
      <c r="K329" s="30">
        <v>352200.0</v>
      </c>
      <c r="L329" s="31"/>
      <c r="M329" s="39"/>
      <c r="N329" s="33"/>
      <c r="O329" s="40"/>
      <c r="P329" s="35"/>
      <c r="Q329" s="33"/>
      <c r="R329" s="33"/>
      <c r="S329" s="35"/>
      <c r="T329" s="35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</row>
    <row r="330">
      <c r="A330" s="38" t="s">
        <v>24</v>
      </c>
      <c r="B330" s="100">
        <v>45610.0</v>
      </c>
      <c r="C330" s="22">
        <v>806980.0</v>
      </c>
      <c r="D330" s="23">
        <v>503250.0</v>
      </c>
      <c r="E330" s="24"/>
      <c r="F330" s="25"/>
      <c r="G330" s="26">
        <v>181200.0</v>
      </c>
      <c r="H330" s="27">
        <v>212700.0</v>
      </c>
      <c r="I330" s="28"/>
      <c r="J330" s="29">
        <v>110500.0</v>
      </c>
      <c r="K330" s="30">
        <v>321480.0</v>
      </c>
      <c r="L330" s="31"/>
      <c r="M330" s="32"/>
      <c r="N330" s="33"/>
      <c r="O330" s="40"/>
      <c r="P330" s="35"/>
      <c r="Q330" s="33"/>
      <c r="R330" s="33"/>
      <c r="S330" s="35"/>
      <c r="T330" s="35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</row>
    <row r="331">
      <c r="A331" s="38" t="s">
        <v>25</v>
      </c>
      <c r="B331" s="100">
        <v>45611.0</v>
      </c>
      <c r="C331" s="22">
        <v>1038230.0</v>
      </c>
      <c r="D331" s="23">
        <v>529360.0</v>
      </c>
      <c r="E331" s="24"/>
      <c r="F331" s="25"/>
      <c r="G331" s="26">
        <v>204100.0</v>
      </c>
      <c r="H331" s="27">
        <v>256300.0</v>
      </c>
      <c r="I331" s="28"/>
      <c r="J331" s="29">
        <v>217860.0</v>
      </c>
      <c r="K331" s="30">
        <v>305920.0</v>
      </c>
      <c r="L331" s="31"/>
      <c r="M331" s="32"/>
      <c r="N331" s="33"/>
      <c r="O331" s="40"/>
      <c r="P331" s="35"/>
      <c r="Q331" s="33"/>
      <c r="R331" s="33"/>
      <c r="S331" s="35"/>
      <c r="T331" s="35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</row>
    <row r="332">
      <c r="A332" s="38" t="s">
        <v>33</v>
      </c>
      <c r="B332" s="100">
        <v>45612.0</v>
      </c>
      <c r="C332" s="22">
        <v>958300.0</v>
      </c>
      <c r="D332" s="23">
        <v>533990.0</v>
      </c>
      <c r="E332" s="24" t="s">
        <v>46</v>
      </c>
      <c r="F332" s="25"/>
      <c r="G332" s="26">
        <v>317000.0</v>
      </c>
      <c r="H332" s="27">
        <v>41100.0</v>
      </c>
      <c r="I332" s="28"/>
      <c r="J332" s="29">
        <v>214530.0</v>
      </c>
      <c r="K332" s="30">
        <v>319270.0</v>
      </c>
      <c r="L332" s="31"/>
      <c r="M332" s="32"/>
      <c r="N332" s="33"/>
      <c r="O332" s="40"/>
      <c r="P332" s="35"/>
      <c r="Q332" s="33"/>
      <c r="R332" s="33"/>
      <c r="S332" s="35"/>
      <c r="T332" s="35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</row>
    <row r="333">
      <c r="A333" s="212" t="s">
        <v>27</v>
      </c>
      <c r="B333" s="100">
        <v>45613.0</v>
      </c>
      <c r="C333" s="160">
        <v>388170.0</v>
      </c>
      <c r="D333" s="160">
        <v>285300.0</v>
      </c>
      <c r="E333" s="160"/>
      <c r="F333" s="160"/>
      <c r="G333" s="160">
        <v>154600.0</v>
      </c>
      <c r="H333" s="160">
        <v>25000.0</v>
      </c>
      <c r="I333" s="160"/>
      <c r="J333" s="160">
        <v>51300.0</v>
      </c>
      <c r="K333" s="160">
        <v>144270.0</v>
      </c>
      <c r="L333" s="31"/>
      <c r="M333" s="32"/>
      <c r="N333" s="33"/>
      <c r="O333" s="40"/>
      <c r="P333" s="35"/>
      <c r="Q333" s="33"/>
      <c r="R333" s="33"/>
      <c r="S333" s="35"/>
      <c r="T333" s="35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</row>
    <row r="334">
      <c r="A334" s="38" t="s">
        <v>21</v>
      </c>
      <c r="B334" s="100">
        <v>45614.0</v>
      </c>
      <c r="C334" s="22">
        <v>553480.0</v>
      </c>
      <c r="D334" s="23">
        <v>405870.0</v>
      </c>
      <c r="E334" s="24"/>
      <c r="F334" s="25"/>
      <c r="G334" s="26">
        <v>232000.0</v>
      </c>
      <c r="H334" s="27">
        <v>24600.0</v>
      </c>
      <c r="I334" s="28"/>
      <c r="J334" s="29">
        <v>190670.0</v>
      </c>
      <c r="K334" s="30">
        <v>128210.0</v>
      </c>
      <c r="L334" s="31"/>
      <c r="M334" s="32"/>
      <c r="N334" s="33"/>
      <c r="O334" s="40"/>
      <c r="P334" s="35"/>
      <c r="Q334" s="33"/>
      <c r="R334" s="33"/>
      <c r="S334" s="35"/>
      <c r="T334" s="35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</row>
    <row r="335">
      <c r="A335" s="38" t="s">
        <v>22</v>
      </c>
      <c r="B335" s="100">
        <v>45615.0</v>
      </c>
      <c r="C335" s="22">
        <v>980200.0</v>
      </c>
      <c r="D335" s="23">
        <v>622920.0</v>
      </c>
      <c r="E335" s="24"/>
      <c r="F335" s="25"/>
      <c r="G335" s="26">
        <v>430800.0</v>
      </c>
      <c r="H335" s="27">
        <v>129300.0</v>
      </c>
      <c r="I335" s="28"/>
      <c r="J335" s="29">
        <v>177520.0</v>
      </c>
      <c r="K335" s="30">
        <v>337880.0</v>
      </c>
      <c r="L335" s="31"/>
      <c r="M335" s="32"/>
      <c r="N335" s="33"/>
      <c r="O335" s="40"/>
      <c r="P335" s="35"/>
      <c r="Q335" s="33"/>
      <c r="R335" s="33"/>
      <c r="S335" s="35"/>
      <c r="T335" s="35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</row>
    <row r="336">
      <c r="A336" s="38" t="s">
        <v>32</v>
      </c>
      <c r="B336" s="100">
        <v>45616.0</v>
      </c>
      <c r="C336" s="22">
        <v>1192196.0</v>
      </c>
      <c r="D336" s="23"/>
      <c r="E336" s="24"/>
      <c r="F336" s="25"/>
      <c r="G336" s="26">
        <v>315500.0</v>
      </c>
      <c r="H336" s="27">
        <v>262700.0</v>
      </c>
      <c r="I336" s="28"/>
      <c r="J336" s="29">
        <v>211849.0</v>
      </c>
      <c r="K336" s="30">
        <v>365027.0</v>
      </c>
      <c r="L336" s="31"/>
      <c r="M336" s="32"/>
      <c r="N336" s="33"/>
      <c r="O336" s="40"/>
      <c r="P336" s="35"/>
      <c r="Q336" s="33"/>
      <c r="R336" s="33"/>
      <c r="S336" s="35"/>
      <c r="T336" s="35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</row>
    <row r="337">
      <c r="A337" s="38" t="s">
        <v>24</v>
      </c>
      <c r="B337" s="100">
        <v>45617.0</v>
      </c>
      <c r="C337" s="22">
        <v>1160230.0</v>
      </c>
      <c r="D337" s="23">
        <v>589130.0</v>
      </c>
      <c r="E337" s="24"/>
      <c r="F337" s="25"/>
      <c r="G337" s="26">
        <v>268300.0</v>
      </c>
      <c r="H337" s="27">
        <v>152100.0</v>
      </c>
      <c r="I337" s="28"/>
      <c r="J337" s="29">
        <v>406730.0</v>
      </c>
      <c r="K337" s="30">
        <v>320790.0</v>
      </c>
      <c r="L337" s="31"/>
      <c r="M337" s="39"/>
      <c r="N337" s="33"/>
      <c r="O337" s="40"/>
      <c r="P337" s="35"/>
      <c r="Q337" s="33"/>
      <c r="R337" s="33"/>
      <c r="S337" s="35"/>
      <c r="T337" s="35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</row>
    <row r="338">
      <c r="A338" s="38" t="s">
        <v>25</v>
      </c>
      <c r="B338" s="100">
        <v>45618.0</v>
      </c>
      <c r="C338" s="22">
        <v>1263020.0</v>
      </c>
      <c r="D338" s="23"/>
      <c r="E338" s="24"/>
      <c r="F338" s="25"/>
      <c r="G338" s="26">
        <v>500920.0</v>
      </c>
      <c r="H338" s="27">
        <v>127800.0</v>
      </c>
      <c r="I338" s="28"/>
      <c r="J338" s="29">
        <v>271340.0</v>
      </c>
      <c r="K338" s="30">
        <v>294610.0</v>
      </c>
      <c r="L338" s="31"/>
      <c r="M338" s="32"/>
      <c r="N338" s="33"/>
      <c r="O338" s="40"/>
      <c r="P338" s="35"/>
      <c r="Q338" s="33"/>
      <c r="R338" s="33"/>
      <c r="S338" s="35"/>
      <c r="T338" s="35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</row>
    <row r="339">
      <c r="A339" s="38" t="s">
        <v>33</v>
      </c>
      <c r="B339" s="100">
        <v>45619.0</v>
      </c>
      <c r="C339" s="22">
        <v>868430.0</v>
      </c>
      <c r="D339" s="23">
        <v>501570.0</v>
      </c>
      <c r="E339" s="24"/>
      <c r="F339" s="25"/>
      <c r="G339" s="26">
        <v>232900.0</v>
      </c>
      <c r="H339" s="27">
        <v>47600.0</v>
      </c>
      <c r="I339" s="28"/>
      <c r="J339" s="29">
        <v>189720.0</v>
      </c>
      <c r="K339" s="30">
        <v>362960.0</v>
      </c>
      <c r="L339" s="31"/>
      <c r="M339" s="32"/>
      <c r="N339" s="33"/>
      <c r="O339" s="40"/>
      <c r="P339" s="35"/>
      <c r="Q339" s="33"/>
      <c r="R339" s="33"/>
      <c r="S339" s="35"/>
      <c r="T339" s="35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</row>
    <row r="340">
      <c r="A340" s="150" t="s">
        <v>27</v>
      </c>
      <c r="B340" s="100">
        <v>45620.0</v>
      </c>
      <c r="C340" s="160">
        <v>457650.0</v>
      </c>
      <c r="D340" s="160">
        <v>393060.0</v>
      </c>
      <c r="E340" s="160"/>
      <c r="F340" s="160"/>
      <c r="G340" s="160">
        <v>155600.0</v>
      </c>
      <c r="H340" s="160">
        <v>83000.0</v>
      </c>
      <c r="I340" s="160"/>
      <c r="J340" s="160">
        <v>71260.0</v>
      </c>
      <c r="K340" s="160">
        <v>86490.0</v>
      </c>
      <c r="L340" s="31"/>
      <c r="M340" s="32"/>
      <c r="N340" s="33"/>
      <c r="O340" s="40"/>
      <c r="P340" s="35"/>
      <c r="Q340" s="33"/>
      <c r="R340" s="33"/>
      <c r="S340" s="35"/>
      <c r="T340" s="35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</row>
    <row r="341">
      <c r="A341" s="38" t="s">
        <v>21</v>
      </c>
      <c r="B341" s="100">
        <v>45621.0</v>
      </c>
      <c r="C341" s="22">
        <v>895240.0</v>
      </c>
      <c r="D341" s="23">
        <v>544900.0</v>
      </c>
      <c r="E341" s="24"/>
      <c r="F341" s="25"/>
      <c r="G341" s="26">
        <v>137700.0</v>
      </c>
      <c r="H341" s="27">
        <v>275500.0</v>
      </c>
      <c r="I341" s="28"/>
      <c r="J341" s="29">
        <v>49620.0</v>
      </c>
      <c r="K341" s="30">
        <v>329820.0</v>
      </c>
      <c r="L341" s="31"/>
      <c r="M341" s="39"/>
      <c r="N341" s="33"/>
      <c r="O341" s="40"/>
      <c r="P341" s="35"/>
      <c r="Q341" s="33"/>
      <c r="R341" s="33"/>
      <c r="S341" s="35"/>
      <c r="T341" s="35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</row>
    <row r="342">
      <c r="A342" s="38" t="s">
        <v>22</v>
      </c>
      <c r="B342" s="100">
        <v>45622.0</v>
      </c>
      <c r="C342" s="22">
        <v>1058060.0</v>
      </c>
      <c r="D342" s="23">
        <v>724790.0</v>
      </c>
      <c r="E342" s="24"/>
      <c r="F342" s="25"/>
      <c r="G342" s="26">
        <v>272400.0</v>
      </c>
      <c r="H342" s="27">
        <v>154800.0</v>
      </c>
      <c r="I342" s="28"/>
      <c r="J342" s="29">
        <v>275790.0</v>
      </c>
      <c r="K342" s="30">
        <v>326170.0</v>
      </c>
      <c r="L342" s="31"/>
      <c r="M342" s="32"/>
      <c r="N342" s="33"/>
      <c r="O342" s="40"/>
      <c r="P342" s="35"/>
      <c r="Q342" s="33"/>
      <c r="R342" s="33"/>
      <c r="S342" s="35"/>
      <c r="T342" s="35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</row>
    <row r="343">
      <c r="A343" s="38" t="s">
        <v>23</v>
      </c>
      <c r="B343" s="100">
        <v>45623.0</v>
      </c>
      <c r="C343" s="22">
        <v>897915.0</v>
      </c>
      <c r="D343" s="23">
        <v>572380.0</v>
      </c>
      <c r="E343" s="24"/>
      <c r="F343" s="25"/>
      <c r="G343" s="26">
        <v>144700.0</v>
      </c>
      <c r="H343" s="27">
        <v>184500.0</v>
      </c>
      <c r="I343" s="28"/>
      <c r="J343" s="29">
        <v>214290.0</v>
      </c>
      <c r="K343" s="30">
        <v>328425.0</v>
      </c>
      <c r="L343" s="31"/>
      <c r="M343" s="32"/>
      <c r="N343" s="33"/>
      <c r="O343" s="40"/>
      <c r="P343" s="35"/>
      <c r="Q343" s="33"/>
      <c r="R343" s="33"/>
      <c r="S343" s="35"/>
      <c r="T343" s="35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</row>
    <row r="344">
      <c r="A344" s="38" t="s">
        <v>24</v>
      </c>
      <c r="B344" s="100">
        <v>45624.0</v>
      </c>
      <c r="C344" s="22">
        <v>1067960.0</v>
      </c>
      <c r="D344" s="23">
        <v>332420.0</v>
      </c>
      <c r="E344" s="24"/>
      <c r="F344" s="25"/>
      <c r="G344" s="35">
        <f>250170+9000+90090</f>
        <v>349260</v>
      </c>
      <c r="H344" s="27">
        <v>162600.0</v>
      </c>
      <c r="I344" s="28"/>
      <c r="J344" s="29">
        <v>203980.0</v>
      </c>
      <c r="K344" s="30">
        <v>344920.0</v>
      </c>
      <c r="L344" s="31"/>
      <c r="M344" s="32"/>
      <c r="N344" s="33"/>
      <c r="O344" s="40"/>
      <c r="P344" s="35"/>
      <c r="Q344" s="33"/>
      <c r="R344" s="33"/>
      <c r="S344" s="35"/>
      <c r="T344" s="35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</row>
    <row r="345" ht="15.75" customHeight="1">
      <c r="A345" s="38" t="s">
        <v>25</v>
      </c>
      <c r="B345" s="100">
        <v>45625.0</v>
      </c>
      <c r="C345" s="22">
        <v>1112235.0</v>
      </c>
      <c r="D345" s="23">
        <v>816495.0</v>
      </c>
      <c r="E345" s="24"/>
      <c r="F345" s="25"/>
      <c r="G345" s="35">
        <v>344050.0</v>
      </c>
      <c r="H345" s="27">
        <v>269800.0</v>
      </c>
      <c r="I345" s="28"/>
      <c r="J345" s="29">
        <v>157120.0</v>
      </c>
      <c r="K345" s="30">
        <v>324560.0</v>
      </c>
      <c r="L345" s="74"/>
      <c r="M345" s="32"/>
      <c r="N345" s="33"/>
      <c r="O345" s="40"/>
      <c r="P345" s="35"/>
      <c r="Q345" s="33"/>
      <c r="R345" s="33"/>
      <c r="S345" s="35"/>
      <c r="T345" s="35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</row>
    <row r="346">
      <c r="A346" s="38" t="s">
        <v>33</v>
      </c>
      <c r="B346" s="100">
        <v>45626.0</v>
      </c>
      <c r="C346" s="22" t="s">
        <v>746</v>
      </c>
      <c r="D346" s="23"/>
      <c r="E346" s="24"/>
      <c r="F346" s="25"/>
      <c r="G346" s="26"/>
      <c r="H346" s="218"/>
      <c r="I346" s="28"/>
      <c r="J346" s="29"/>
      <c r="K346" s="30"/>
      <c r="L346" s="49"/>
      <c r="M346" s="166"/>
      <c r="N346" s="369"/>
      <c r="O346" s="34"/>
      <c r="P346" s="35"/>
      <c r="Q346" s="33"/>
      <c r="R346" s="33"/>
      <c r="S346" s="35"/>
      <c r="T346" s="35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</row>
    <row r="347">
      <c r="A347" s="367" t="s">
        <v>28</v>
      </c>
      <c r="B347" s="368"/>
      <c r="C347" s="95">
        <f>SUM(C317:C346)</f>
        <v>27618561</v>
      </c>
      <c r="D347" s="95"/>
      <c r="E347" s="95"/>
      <c r="F347" s="95"/>
      <c r="G347" s="95"/>
      <c r="H347" s="95"/>
      <c r="I347" s="95"/>
      <c r="J347" s="95"/>
      <c r="K347" s="73"/>
      <c r="L347" s="31"/>
      <c r="M347" s="32"/>
      <c r="N347" s="33"/>
      <c r="O347" s="34"/>
      <c r="P347" s="35"/>
      <c r="Q347" s="33"/>
      <c r="R347" s="33"/>
      <c r="S347" s="35"/>
      <c r="T347" s="35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</row>
    <row r="348">
      <c r="A348" s="219" t="s">
        <v>27</v>
      </c>
      <c r="B348" s="100">
        <v>45627.0</v>
      </c>
      <c r="C348" s="22" t="s">
        <v>746</v>
      </c>
      <c r="D348" s="23"/>
      <c r="E348" s="24"/>
      <c r="F348" s="25"/>
      <c r="G348" s="26"/>
      <c r="H348" s="27"/>
      <c r="I348" s="28"/>
      <c r="J348" s="29"/>
      <c r="K348" s="30"/>
      <c r="L348" s="31"/>
      <c r="M348" s="32"/>
      <c r="N348" s="33"/>
      <c r="O348" s="34"/>
      <c r="P348" s="35"/>
      <c r="Q348" s="33"/>
      <c r="R348" s="33"/>
      <c r="S348" s="35"/>
      <c r="T348" s="35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</row>
    <row r="349">
      <c r="A349" s="38" t="s">
        <v>21</v>
      </c>
      <c r="B349" s="100">
        <v>45628.0</v>
      </c>
      <c r="C349" s="22">
        <v>876340.0</v>
      </c>
      <c r="D349" s="23">
        <v>545630.0</v>
      </c>
      <c r="E349" s="24"/>
      <c r="F349" s="25"/>
      <c r="G349" s="26">
        <v>253300.0</v>
      </c>
      <c r="H349" s="27">
        <v>11900.0</v>
      </c>
      <c r="I349" s="28"/>
      <c r="J349" s="29">
        <v>328550.0</v>
      </c>
      <c r="K349" s="30">
        <v>296880.0</v>
      </c>
      <c r="L349" s="31"/>
      <c r="M349" s="32"/>
      <c r="N349" s="61"/>
      <c r="O349" s="67"/>
      <c r="P349" s="67"/>
      <c r="Q349" s="67"/>
      <c r="R349" s="67"/>
      <c r="S349" s="61"/>
      <c r="T349" s="61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</row>
    <row r="350">
      <c r="A350" s="38" t="s">
        <v>22</v>
      </c>
      <c r="B350" s="100">
        <v>45629.0</v>
      </c>
      <c r="C350" s="22">
        <v>1091505.0</v>
      </c>
      <c r="D350" s="23">
        <v>813860.0</v>
      </c>
      <c r="E350" s="24"/>
      <c r="F350" s="25"/>
      <c r="G350" s="26">
        <v>310660.0</v>
      </c>
      <c r="H350" s="27">
        <v>192600.0</v>
      </c>
      <c r="I350" s="28"/>
      <c r="J350" s="29">
        <v>329030.0</v>
      </c>
      <c r="K350" s="30">
        <v>275615.0</v>
      </c>
      <c r="L350" s="31"/>
      <c r="M350" s="39"/>
      <c r="N350" s="33"/>
      <c r="O350" s="40"/>
      <c r="P350" s="35"/>
      <c r="Q350" s="33"/>
      <c r="R350" s="33"/>
      <c r="S350" s="35"/>
      <c r="T350" s="35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</row>
    <row r="351">
      <c r="A351" s="38" t="s">
        <v>32</v>
      </c>
      <c r="B351" s="100">
        <v>45630.0</v>
      </c>
      <c r="C351" s="22" t="s">
        <v>746</v>
      </c>
      <c r="D351" s="23"/>
      <c r="E351" s="24"/>
      <c r="F351" s="25"/>
      <c r="G351" s="26"/>
      <c r="H351" s="27"/>
      <c r="I351" s="28"/>
      <c r="J351" s="29"/>
      <c r="K351" s="30"/>
      <c r="L351" s="49"/>
      <c r="M351" s="32"/>
      <c r="N351" s="33"/>
      <c r="O351" s="40"/>
      <c r="P351" s="35"/>
      <c r="Q351" s="33"/>
      <c r="R351" s="33"/>
      <c r="S351" s="35"/>
      <c r="T351" s="35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</row>
    <row r="352">
      <c r="A352" s="38" t="s">
        <v>24</v>
      </c>
      <c r="B352" s="100">
        <v>45631.0</v>
      </c>
      <c r="C352" s="22">
        <v>1139490.0</v>
      </c>
      <c r="D352" s="23">
        <v>816560.0</v>
      </c>
      <c r="E352" s="24"/>
      <c r="F352" s="25"/>
      <c r="G352" s="26">
        <v>296700.0</v>
      </c>
      <c r="H352" s="27">
        <v>181600.0</v>
      </c>
      <c r="I352" s="28"/>
      <c r="J352" s="29">
        <v>341160.0</v>
      </c>
      <c r="K352" s="30">
        <v>359030.0</v>
      </c>
      <c r="L352" s="31"/>
      <c r="M352" s="39"/>
      <c r="N352" s="33"/>
      <c r="O352" s="40"/>
      <c r="P352" s="35"/>
      <c r="Q352" s="33"/>
      <c r="R352" s="33"/>
      <c r="S352" s="35"/>
      <c r="T352" s="35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</row>
    <row r="353">
      <c r="A353" s="38" t="s">
        <v>25</v>
      </c>
      <c r="B353" s="100">
        <v>45632.0</v>
      </c>
      <c r="C353" s="22">
        <v>1106370.0</v>
      </c>
      <c r="D353" s="23">
        <v>798930.0</v>
      </c>
      <c r="E353" s="24"/>
      <c r="F353" s="25"/>
      <c r="G353" s="26">
        <v>345200.0</v>
      </c>
      <c r="H353" s="27">
        <v>243800.0</v>
      </c>
      <c r="I353" s="28"/>
      <c r="J353" s="29">
        <v>270510.0</v>
      </c>
      <c r="K353" s="30">
        <v>324360.0</v>
      </c>
      <c r="L353" s="49"/>
      <c r="M353" s="32"/>
      <c r="N353" s="33"/>
      <c r="O353" s="40"/>
      <c r="P353" s="35"/>
      <c r="Q353" s="33"/>
      <c r="R353" s="33"/>
      <c r="S353" s="35"/>
      <c r="T353" s="35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</row>
    <row r="354">
      <c r="A354" s="38" t="s">
        <v>33</v>
      </c>
      <c r="B354" s="100">
        <v>45633.0</v>
      </c>
      <c r="C354" s="22">
        <v>1156580.0</v>
      </c>
      <c r="D354" s="23">
        <v>780420.0</v>
      </c>
      <c r="E354" s="24"/>
      <c r="F354" s="25"/>
      <c r="G354" s="26">
        <v>425400.0</v>
      </c>
      <c r="H354" s="27">
        <v>81800.0</v>
      </c>
      <c r="I354" s="28"/>
      <c r="J354" s="29">
        <v>315400.0</v>
      </c>
      <c r="K354" s="30">
        <v>333980.0</v>
      </c>
      <c r="L354" s="49"/>
      <c r="M354" s="32"/>
      <c r="N354" s="33"/>
      <c r="O354" s="40"/>
      <c r="P354" s="35"/>
      <c r="Q354" s="33"/>
      <c r="R354" s="33"/>
      <c r="S354" s="35"/>
      <c r="T354" s="35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</row>
    <row r="355">
      <c r="A355" s="219" t="s">
        <v>27</v>
      </c>
      <c r="B355" s="100">
        <v>45634.0</v>
      </c>
      <c r="C355" s="160"/>
      <c r="D355" s="160"/>
      <c r="E355" s="160"/>
      <c r="F355" s="160"/>
      <c r="G355" s="160"/>
      <c r="H355" s="160"/>
      <c r="I355" s="28"/>
      <c r="J355" s="160"/>
      <c r="K355" s="160"/>
      <c r="L355" s="31"/>
      <c r="M355" s="39"/>
      <c r="N355" s="33"/>
      <c r="O355" s="40"/>
      <c r="P355" s="35"/>
      <c r="Q355" s="33"/>
      <c r="R355" s="33"/>
      <c r="S355" s="35"/>
      <c r="T355" s="35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</row>
    <row r="356">
      <c r="A356" s="38" t="s">
        <v>21</v>
      </c>
      <c r="B356" s="100">
        <v>45635.0</v>
      </c>
      <c r="C356" s="22">
        <v>1007580.0</v>
      </c>
      <c r="D356" s="23">
        <v>300810.0</v>
      </c>
      <c r="E356" s="24"/>
      <c r="F356" s="25"/>
      <c r="G356" s="26">
        <v>347400.0</v>
      </c>
      <c r="H356" s="27">
        <v>144800.0</v>
      </c>
      <c r="I356" s="28"/>
      <c r="J356" s="29">
        <v>216480.0</v>
      </c>
      <c r="K356" s="30">
        <v>291900.0</v>
      </c>
      <c r="L356" s="49"/>
      <c r="M356" s="32"/>
      <c r="N356" s="33"/>
      <c r="O356" s="40"/>
      <c r="P356" s="35"/>
      <c r="Q356" s="33"/>
      <c r="R356" s="33"/>
      <c r="S356" s="35"/>
      <c r="T356" s="35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</row>
    <row r="357">
      <c r="A357" s="38" t="s">
        <v>22</v>
      </c>
      <c r="B357" s="100">
        <v>45636.0</v>
      </c>
      <c r="C357" s="22">
        <v>1260450.0</v>
      </c>
      <c r="D357" s="23">
        <v>442700.0</v>
      </c>
      <c r="E357" s="24"/>
      <c r="F357" s="25"/>
      <c r="G357" s="26">
        <v>193000.0</v>
      </c>
      <c r="H357" s="27">
        <v>290000.0</v>
      </c>
      <c r="I357" s="28"/>
      <c r="J357" s="29">
        <v>303250.0</v>
      </c>
      <c r="K357" s="30">
        <v>439900.0</v>
      </c>
      <c r="L357" s="31"/>
      <c r="M357" s="39"/>
      <c r="N357" s="33"/>
      <c r="O357" s="40"/>
      <c r="P357" s="35"/>
      <c r="Q357" s="33"/>
      <c r="R357" s="33"/>
      <c r="S357" s="35"/>
      <c r="T357" s="35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</row>
    <row r="358">
      <c r="A358" s="38" t="s">
        <v>32</v>
      </c>
      <c r="B358" s="100">
        <v>45637.0</v>
      </c>
      <c r="C358" s="22">
        <v>1020250.0</v>
      </c>
      <c r="D358" s="23">
        <v>692090.0</v>
      </c>
      <c r="E358" s="24"/>
      <c r="F358" s="25"/>
      <c r="G358" s="26">
        <v>306800.0</v>
      </c>
      <c r="H358" s="27">
        <v>147400.0</v>
      </c>
      <c r="I358" s="28"/>
      <c r="J358" s="29">
        <v>300560.0</v>
      </c>
      <c r="K358" s="30">
        <v>297430.0</v>
      </c>
      <c r="L358" s="39"/>
      <c r="M358" s="39"/>
      <c r="N358" s="33"/>
      <c r="O358" s="40"/>
      <c r="P358" s="35"/>
      <c r="Q358" s="33"/>
      <c r="R358" s="33"/>
      <c r="S358" s="35"/>
      <c r="T358" s="35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</row>
    <row r="359">
      <c r="A359" s="38" t="s">
        <v>24</v>
      </c>
      <c r="B359" s="100">
        <v>45638.0</v>
      </c>
      <c r="C359" s="22">
        <v>1480730.0</v>
      </c>
      <c r="D359" s="23">
        <v>1078260.0</v>
      </c>
      <c r="E359" s="24"/>
      <c r="F359" s="25"/>
      <c r="G359" s="26">
        <v>464420.0</v>
      </c>
      <c r="H359" s="27">
        <v>287800.0</v>
      </c>
      <c r="I359" s="28"/>
      <c r="J359" s="29">
        <v>351300.0</v>
      </c>
      <c r="K359" s="30">
        <v>412610.0</v>
      </c>
      <c r="L359" s="31"/>
      <c r="M359" s="39"/>
      <c r="N359" s="33"/>
      <c r="O359" s="40"/>
      <c r="P359" s="35"/>
      <c r="Q359" s="33"/>
      <c r="R359" s="33"/>
      <c r="S359" s="35"/>
      <c r="T359" s="35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</row>
    <row r="360">
      <c r="A360" s="38" t="s">
        <v>25</v>
      </c>
      <c r="B360" s="100">
        <v>45639.0</v>
      </c>
      <c r="C360" s="22">
        <v>1106500.0</v>
      </c>
      <c r="D360" s="23">
        <v>364830.0</v>
      </c>
      <c r="E360" s="24"/>
      <c r="F360" s="25"/>
      <c r="G360" s="26">
        <v>275100.0</v>
      </c>
      <c r="H360" s="27">
        <v>211500.0</v>
      </c>
      <c r="I360" s="28"/>
      <c r="J360" s="29">
        <v>452520.0</v>
      </c>
      <c r="K360" s="30">
        <v>367630.0</v>
      </c>
      <c r="L360" s="31"/>
      <c r="M360" s="32"/>
      <c r="N360" s="33"/>
      <c r="O360" s="40"/>
      <c r="P360" s="35"/>
      <c r="Q360" s="33"/>
      <c r="R360" s="33"/>
      <c r="S360" s="35"/>
      <c r="T360" s="35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</row>
    <row r="361">
      <c r="A361" s="38" t="s">
        <v>33</v>
      </c>
      <c r="B361" s="100">
        <v>45640.0</v>
      </c>
      <c r="C361" s="22">
        <v>1023210.0</v>
      </c>
      <c r="D361" s="23">
        <v>531920.0</v>
      </c>
      <c r="E361" s="24"/>
      <c r="F361" s="25"/>
      <c r="G361" s="26">
        <v>272400.0</v>
      </c>
      <c r="H361" s="27">
        <v>77300.0</v>
      </c>
      <c r="I361" s="28"/>
      <c r="J361" s="29">
        <v>195970.0</v>
      </c>
      <c r="K361" s="30">
        <v>474650.0</v>
      </c>
      <c r="L361" s="31"/>
      <c r="M361" s="39"/>
      <c r="N361" s="33"/>
      <c r="O361" s="40"/>
      <c r="P361" s="35"/>
      <c r="Q361" s="33"/>
      <c r="R361" s="33"/>
      <c r="S361" s="35"/>
      <c r="T361" s="35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</row>
    <row r="362">
      <c r="A362" s="219" t="s">
        <v>27</v>
      </c>
      <c r="B362" s="100">
        <v>45641.0</v>
      </c>
      <c r="C362" s="160"/>
      <c r="D362" s="160"/>
      <c r="E362" s="160"/>
      <c r="F362" s="160"/>
      <c r="G362" s="160"/>
      <c r="H362" s="160"/>
      <c r="I362" s="28"/>
      <c r="J362" s="160"/>
      <c r="K362" s="160"/>
      <c r="L362" s="31"/>
      <c r="M362" s="39"/>
      <c r="N362" s="33"/>
      <c r="O362" s="40"/>
      <c r="P362" s="35"/>
      <c r="Q362" s="33"/>
      <c r="R362" s="33"/>
      <c r="S362" s="35"/>
      <c r="T362" s="35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</row>
    <row r="363">
      <c r="A363" s="38" t="s">
        <v>21</v>
      </c>
      <c r="B363" s="100">
        <v>45642.0</v>
      </c>
      <c r="C363" s="22">
        <v>900600.0</v>
      </c>
      <c r="D363" s="23">
        <v>556800.0</v>
      </c>
      <c r="E363" s="24"/>
      <c r="F363" s="25"/>
      <c r="G363" s="26">
        <v>206200.0</v>
      </c>
      <c r="H363" s="27">
        <v>150400.0</v>
      </c>
      <c r="I363" s="28"/>
      <c r="J363" s="29">
        <v>149400.0</v>
      </c>
      <c r="K363" s="30">
        <v>369900.0</v>
      </c>
      <c r="L363" s="31"/>
      <c r="M363" s="32"/>
      <c r="N363" s="33"/>
      <c r="O363" s="40"/>
      <c r="P363" s="35"/>
      <c r="Q363" s="33"/>
      <c r="R363" s="33"/>
      <c r="S363" s="35"/>
      <c r="T363" s="35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</row>
    <row r="364">
      <c r="A364" s="38" t="s">
        <v>22</v>
      </c>
      <c r="B364" s="100">
        <v>45643.0</v>
      </c>
      <c r="C364" s="22">
        <v>984530.0</v>
      </c>
      <c r="D364" s="23">
        <v>564790.0</v>
      </c>
      <c r="E364" s="24"/>
      <c r="F364" s="25"/>
      <c r="G364" s="26">
        <v>111200.0</v>
      </c>
      <c r="H364" s="27">
        <v>149500.0</v>
      </c>
      <c r="I364" s="28"/>
      <c r="J364" s="29">
        <v>404740.0</v>
      </c>
      <c r="K364" s="30">
        <v>303890.0</v>
      </c>
      <c r="L364" s="31"/>
      <c r="M364" s="39"/>
      <c r="N364" s="33"/>
      <c r="O364" s="40"/>
      <c r="P364" s="35"/>
      <c r="Q364" s="33"/>
      <c r="R364" s="33"/>
      <c r="S364" s="35"/>
      <c r="T364" s="35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</row>
    <row r="365">
      <c r="A365" s="38" t="s">
        <v>32</v>
      </c>
      <c r="B365" s="100">
        <v>45644.0</v>
      </c>
      <c r="C365" s="22">
        <v>1018480.0</v>
      </c>
      <c r="D365" s="23">
        <v>688650.0</v>
      </c>
      <c r="E365" s="24"/>
      <c r="F365" s="25"/>
      <c r="G365" s="26">
        <v>147000.0</v>
      </c>
      <c r="H365" s="27">
        <v>74600.0</v>
      </c>
      <c r="I365" s="28"/>
      <c r="J365" s="29">
        <v>247550.0</v>
      </c>
      <c r="K365" s="30">
        <v>329830.0</v>
      </c>
      <c r="L365" s="39"/>
      <c r="M365" s="39"/>
      <c r="N365" s="33"/>
      <c r="O365" s="40"/>
      <c r="P365" s="35"/>
      <c r="Q365" s="33"/>
      <c r="R365" s="33"/>
      <c r="S365" s="35"/>
      <c r="T365" s="35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</row>
    <row r="366">
      <c r="A366" s="38" t="s">
        <v>24</v>
      </c>
      <c r="B366" s="100">
        <v>45645.0</v>
      </c>
      <c r="C366" s="22">
        <v>985790.0</v>
      </c>
      <c r="D366" s="23">
        <v>612470.0</v>
      </c>
      <c r="E366" s="24"/>
      <c r="F366" s="25"/>
      <c r="G366" s="26">
        <v>229400.0</v>
      </c>
      <c r="H366" s="27">
        <v>343030.0</v>
      </c>
      <c r="I366" s="28"/>
      <c r="J366" s="29">
        <v>343030.0</v>
      </c>
      <c r="K366" s="30">
        <v>391140.0</v>
      </c>
      <c r="L366" s="31"/>
      <c r="M366" s="32"/>
      <c r="N366" s="33"/>
      <c r="O366" s="40"/>
      <c r="P366" s="35"/>
      <c r="Q366" s="33"/>
      <c r="R366" s="33"/>
      <c r="S366" s="35"/>
      <c r="T366" s="35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</row>
    <row r="367">
      <c r="A367" s="38" t="s">
        <v>25</v>
      </c>
      <c r="B367" s="100">
        <v>45646.0</v>
      </c>
      <c r="C367" s="22">
        <v>609200.0</v>
      </c>
      <c r="D367" s="23">
        <v>360590.0</v>
      </c>
      <c r="E367" s="24"/>
      <c r="F367" s="25"/>
      <c r="G367" s="26">
        <v>161000.0</v>
      </c>
      <c r="H367" s="27"/>
      <c r="I367" s="28"/>
      <c r="J367" s="29">
        <v>171070.0</v>
      </c>
      <c r="K367" s="30">
        <v>259770.0</v>
      </c>
      <c r="L367" s="31"/>
      <c r="M367" s="32"/>
      <c r="N367" s="33"/>
      <c r="O367" s="40"/>
      <c r="P367" s="35"/>
      <c r="Q367" s="33"/>
      <c r="R367" s="33"/>
      <c r="S367" s="35"/>
      <c r="T367" s="35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</row>
    <row r="368">
      <c r="A368" s="38" t="s">
        <v>33</v>
      </c>
      <c r="B368" s="100">
        <v>45647.0</v>
      </c>
      <c r="C368" s="22">
        <v>1188140.0</v>
      </c>
      <c r="D368" s="23">
        <v>723330.0</v>
      </c>
      <c r="E368" s="24"/>
      <c r="F368" s="25"/>
      <c r="G368" s="26">
        <v>376500.0</v>
      </c>
      <c r="H368" s="27"/>
      <c r="I368" s="28"/>
      <c r="J368" s="29">
        <v>307330.0</v>
      </c>
      <c r="K368" s="30">
        <v>497410.0</v>
      </c>
      <c r="L368" s="31"/>
      <c r="M368" s="39"/>
      <c r="N368" s="33"/>
      <c r="O368" s="40"/>
      <c r="P368" s="35"/>
      <c r="Q368" s="33"/>
      <c r="R368" s="33"/>
      <c r="S368" s="35"/>
      <c r="T368" s="35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</row>
    <row r="369">
      <c r="A369" s="212" t="s">
        <v>27</v>
      </c>
      <c r="B369" s="100">
        <v>45648.0</v>
      </c>
      <c r="C369" s="160"/>
      <c r="D369" s="160"/>
      <c r="E369" s="160"/>
      <c r="F369" s="160"/>
      <c r="G369" s="160"/>
      <c r="H369" s="160"/>
      <c r="I369" s="28"/>
      <c r="J369" s="160"/>
      <c r="K369" s="160"/>
      <c r="L369" s="31"/>
      <c r="M369" s="39"/>
      <c r="N369" s="33"/>
      <c r="O369" s="40"/>
      <c r="P369" s="35"/>
      <c r="Q369" s="33"/>
      <c r="R369" s="33"/>
      <c r="S369" s="35"/>
      <c r="T369" s="35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</row>
    <row r="370">
      <c r="A370" s="38" t="s">
        <v>21</v>
      </c>
      <c r="B370" s="100">
        <v>45649.0</v>
      </c>
      <c r="C370" s="22">
        <v>912260.0</v>
      </c>
      <c r="D370" s="23">
        <v>624550.0</v>
      </c>
      <c r="E370" s="24"/>
      <c r="F370" s="25"/>
      <c r="G370" s="26">
        <v>307700.0</v>
      </c>
      <c r="H370" s="27"/>
      <c r="I370" s="28"/>
      <c r="J370" s="29">
        <v>231920.0</v>
      </c>
      <c r="K370" s="30">
        <v>307510.0</v>
      </c>
      <c r="L370" s="31"/>
      <c r="M370" s="39"/>
      <c r="N370" s="33"/>
      <c r="O370" s="40"/>
      <c r="P370" s="35"/>
      <c r="Q370" s="33"/>
      <c r="R370" s="33"/>
      <c r="S370" s="35"/>
      <c r="T370" s="35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</row>
    <row r="371">
      <c r="A371" s="38" t="s">
        <v>22</v>
      </c>
      <c r="B371" s="100">
        <v>45650.0</v>
      </c>
      <c r="C371" s="22">
        <v>327360.0</v>
      </c>
      <c r="D371" s="23">
        <v>166180.0</v>
      </c>
      <c r="E371" s="24"/>
      <c r="F371" s="25"/>
      <c r="G371" s="26">
        <v>84700.0</v>
      </c>
      <c r="H371" s="27"/>
      <c r="I371" s="28"/>
      <c r="J371" s="29">
        <v>76480.0</v>
      </c>
      <c r="K371" s="30">
        <v>166180.0</v>
      </c>
      <c r="L371" s="31"/>
      <c r="M371" s="32"/>
      <c r="N371" s="33"/>
      <c r="O371" s="40"/>
      <c r="P371" s="35"/>
      <c r="Q371" s="33"/>
      <c r="R371" s="33"/>
      <c r="S371" s="35"/>
      <c r="T371" s="35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</row>
    <row r="372">
      <c r="A372" s="370" t="s">
        <v>32</v>
      </c>
      <c r="B372" s="371">
        <v>45651.0</v>
      </c>
      <c r="C372" s="372"/>
      <c r="D372" s="372"/>
      <c r="E372" s="372"/>
      <c r="F372" s="372"/>
      <c r="G372" s="372"/>
      <c r="H372" s="372"/>
      <c r="I372" s="372"/>
      <c r="J372" s="372"/>
      <c r="K372" s="372"/>
      <c r="L372" s="373"/>
      <c r="M372" s="374" t="s">
        <v>747</v>
      </c>
      <c r="N372" s="33"/>
      <c r="O372" s="40"/>
      <c r="P372" s="35"/>
      <c r="Q372" s="33"/>
      <c r="R372" s="33"/>
      <c r="S372" s="35"/>
      <c r="T372" s="35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</row>
    <row r="373">
      <c r="A373" s="38" t="s">
        <v>24</v>
      </c>
      <c r="B373" s="100">
        <v>45652.0</v>
      </c>
      <c r="C373" s="22">
        <v>698580.0</v>
      </c>
      <c r="D373" s="23">
        <v>396070.0</v>
      </c>
      <c r="E373" s="24"/>
      <c r="F373" s="25"/>
      <c r="G373" s="26">
        <v>174800.0</v>
      </c>
      <c r="H373" s="27"/>
      <c r="I373" s="28"/>
      <c r="J373" s="29">
        <v>103710.0</v>
      </c>
      <c r="K373" s="30">
        <v>396070.0</v>
      </c>
      <c r="L373" s="31"/>
      <c r="M373" s="213"/>
      <c r="N373" s="33"/>
      <c r="O373" s="40"/>
      <c r="P373" s="35"/>
      <c r="Q373" s="33"/>
      <c r="R373" s="33"/>
      <c r="S373" s="35"/>
      <c r="T373" s="35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</row>
    <row r="374">
      <c r="A374" s="38" t="s">
        <v>25</v>
      </c>
      <c r="B374" s="100">
        <v>45653.0</v>
      </c>
      <c r="C374" s="22">
        <v>797570.0</v>
      </c>
      <c r="D374" s="23">
        <v>540660.0</v>
      </c>
      <c r="E374" s="24"/>
      <c r="F374" s="25"/>
      <c r="G374" s="26">
        <v>282700.0</v>
      </c>
      <c r="H374" s="27"/>
      <c r="I374" s="28"/>
      <c r="J374" s="29">
        <v>145230.0</v>
      </c>
      <c r="K374" s="30">
        <v>295200.0</v>
      </c>
      <c r="L374" s="31"/>
      <c r="M374" s="32"/>
      <c r="N374" s="33"/>
      <c r="O374" s="40"/>
      <c r="P374" s="35"/>
      <c r="Q374" s="33"/>
      <c r="R374" s="33"/>
      <c r="S374" s="35"/>
      <c r="T374" s="35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</row>
    <row r="375">
      <c r="A375" s="220" t="s">
        <v>26</v>
      </c>
      <c r="B375" s="100">
        <v>45654.0</v>
      </c>
      <c r="C375" s="22">
        <v>729570.0</v>
      </c>
      <c r="D375" s="23">
        <v>484330.0</v>
      </c>
      <c r="E375" s="24"/>
      <c r="F375" s="25"/>
      <c r="G375" s="26">
        <v>157100.0</v>
      </c>
      <c r="H375" s="27"/>
      <c r="I375" s="28"/>
      <c r="J375" s="29">
        <v>227160.0</v>
      </c>
      <c r="K375" s="30">
        <v>267570.0</v>
      </c>
      <c r="L375" s="31"/>
      <c r="M375" s="39"/>
      <c r="N375" s="33"/>
      <c r="O375" s="40"/>
      <c r="P375" s="35"/>
      <c r="Q375" s="33"/>
      <c r="R375" s="33"/>
      <c r="S375" s="35"/>
      <c r="T375" s="35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</row>
    <row r="376">
      <c r="A376" s="220" t="s">
        <v>21</v>
      </c>
      <c r="B376" s="100">
        <v>45656.0</v>
      </c>
      <c r="C376" s="22">
        <v>841700.0</v>
      </c>
      <c r="D376" s="23">
        <v>442900.0</v>
      </c>
      <c r="E376" s="24"/>
      <c r="F376" s="25"/>
      <c r="G376" s="26">
        <v>183200.0</v>
      </c>
      <c r="H376" s="27">
        <v>12300.0</v>
      </c>
      <c r="I376" s="28"/>
      <c r="J376" s="29">
        <v>232800.0</v>
      </c>
      <c r="K376" s="30">
        <v>410000.0</v>
      </c>
      <c r="L376" s="31"/>
      <c r="M376" s="39"/>
      <c r="N376" s="33"/>
      <c r="O376" s="40"/>
      <c r="P376" s="35"/>
      <c r="Q376" s="33"/>
      <c r="R376" s="33"/>
      <c r="S376" s="35"/>
      <c r="T376" s="35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</row>
    <row r="377">
      <c r="A377" s="220" t="s">
        <v>22</v>
      </c>
      <c r="B377" s="100">
        <v>45657.0</v>
      </c>
      <c r="C377" s="22">
        <v>451520.0</v>
      </c>
      <c r="D377" s="23">
        <v>353600.0</v>
      </c>
      <c r="E377" s="24"/>
      <c r="F377" s="25"/>
      <c r="G377" s="26">
        <v>247100.0</v>
      </c>
      <c r="H377" s="27"/>
      <c r="I377" s="28"/>
      <c r="J377" s="29">
        <v>108500.0</v>
      </c>
      <c r="K377" s="30">
        <v>97920.0</v>
      </c>
      <c r="L377" s="31"/>
      <c r="M377" s="39"/>
      <c r="N377" s="33"/>
      <c r="O377" s="40"/>
      <c r="P377" s="35"/>
      <c r="Q377" s="33"/>
      <c r="R377" s="33"/>
      <c r="S377" s="35"/>
      <c r="T377" s="35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</row>
    <row r="378">
      <c r="A378" s="375" t="s">
        <v>23</v>
      </c>
      <c r="B378" s="376">
        <v>45658.0</v>
      </c>
      <c r="C378" s="377"/>
      <c r="D378" s="377"/>
      <c r="E378" s="377"/>
      <c r="F378" s="377"/>
      <c r="G378" s="377"/>
      <c r="H378" s="377"/>
      <c r="I378" s="377"/>
      <c r="J378" s="377"/>
      <c r="K378" s="377"/>
      <c r="L378" s="378"/>
      <c r="M378" s="374" t="s">
        <v>748</v>
      </c>
      <c r="N378" s="33"/>
      <c r="O378" s="40"/>
      <c r="P378" s="35"/>
      <c r="Q378" s="33"/>
      <c r="R378" s="33"/>
      <c r="S378" s="35"/>
      <c r="T378" s="35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</row>
    <row r="379">
      <c r="A379" s="68" t="s">
        <v>28</v>
      </c>
      <c r="B379" s="129"/>
      <c r="C379" s="70"/>
      <c r="D379" s="71"/>
      <c r="E379" s="71"/>
      <c r="F379" s="71"/>
      <c r="G379" s="70"/>
      <c r="H379" s="70"/>
      <c r="I379" s="72"/>
      <c r="J379" s="70"/>
      <c r="K379" s="73"/>
      <c r="L379" s="31"/>
      <c r="M379" s="39"/>
      <c r="N379" s="33"/>
      <c r="O379" s="40"/>
      <c r="P379" s="35"/>
      <c r="Q379" s="33"/>
      <c r="R379" s="33"/>
      <c r="S379" s="35"/>
      <c r="T379" s="35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</row>
    <row r="380">
      <c r="B380" s="100"/>
      <c r="C380" s="22"/>
      <c r="D380" s="23"/>
      <c r="E380" s="24"/>
      <c r="F380" s="25"/>
      <c r="G380" s="35"/>
      <c r="H380" s="27"/>
      <c r="I380" s="28"/>
      <c r="J380" s="29"/>
      <c r="K380" s="30"/>
      <c r="L380" s="31"/>
      <c r="M380" s="39"/>
      <c r="N380" s="33"/>
      <c r="O380" s="40"/>
      <c r="P380" s="35"/>
      <c r="Q380" s="33"/>
      <c r="R380" s="33"/>
      <c r="S380" s="35"/>
      <c r="T380" s="35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</row>
    <row r="381">
      <c r="A381" s="221" t="s">
        <v>30</v>
      </c>
      <c r="B381" s="100">
        <v>45659.0</v>
      </c>
      <c r="C381" s="22">
        <v>638490.0</v>
      </c>
      <c r="D381" s="23">
        <v>358280.0</v>
      </c>
      <c r="E381" s="24"/>
      <c r="F381" s="25"/>
      <c r="G381" s="35">
        <v>134100.0</v>
      </c>
      <c r="H381" s="27"/>
      <c r="I381" s="28"/>
      <c r="J381" s="29">
        <v>199180.0</v>
      </c>
      <c r="K381" s="30">
        <v>305210.0</v>
      </c>
      <c r="L381" s="74"/>
      <c r="M381" s="39"/>
      <c r="N381" s="33"/>
      <c r="O381" s="40"/>
      <c r="P381" s="35"/>
      <c r="Q381" s="33"/>
      <c r="R381" s="33"/>
      <c r="S381" s="35"/>
      <c r="T381" s="35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</row>
    <row r="382">
      <c r="A382" s="221" t="s">
        <v>25</v>
      </c>
      <c r="B382" s="100">
        <v>45660.0</v>
      </c>
      <c r="C382" s="22">
        <v>719930.0</v>
      </c>
      <c r="D382" s="23">
        <v>227540.0</v>
      </c>
      <c r="E382" s="24"/>
      <c r="F382" s="25"/>
      <c r="G382" s="35">
        <v>124100.0</v>
      </c>
      <c r="H382" s="27"/>
      <c r="I382" s="28"/>
      <c r="J382" s="29">
        <v>188880.0</v>
      </c>
      <c r="K382" s="30">
        <v>398330.0</v>
      </c>
      <c r="L382" s="31"/>
      <c r="M382" s="75"/>
      <c r="N382" s="33"/>
      <c r="O382" s="40"/>
      <c r="P382" s="35"/>
      <c r="Q382" s="33"/>
      <c r="R382" s="33"/>
      <c r="S382" s="35"/>
      <c r="T382" s="35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</row>
    <row r="383">
      <c r="A383" s="220" t="s">
        <v>26</v>
      </c>
      <c r="B383" s="100">
        <v>45661.0</v>
      </c>
      <c r="C383" s="22">
        <v>826130.0</v>
      </c>
      <c r="D383" s="23">
        <v>617670.0</v>
      </c>
      <c r="E383" s="227"/>
      <c r="F383" s="228"/>
      <c r="G383" s="35">
        <v>273100.0</v>
      </c>
      <c r="H383" s="143"/>
      <c r="I383" s="111"/>
      <c r="J383" s="29">
        <v>163470.0</v>
      </c>
      <c r="K383" s="30">
        <v>285660.0</v>
      </c>
      <c r="L383" s="31"/>
      <c r="M383" s="39"/>
      <c r="N383" s="33"/>
      <c r="O383" s="40"/>
      <c r="P383" s="35"/>
      <c r="Q383" s="33"/>
      <c r="R383" s="33"/>
      <c r="S383" s="35"/>
      <c r="T383" s="35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</row>
    <row r="384">
      <c r="A384" s="220" t="s">
        <v>21</v>
      </c>
      <c r="B384" s="100">
        <v>45663.0</v>
      </c>
      <c r="C384" s="22">
        <v>761400.0</v>
      </c>
      <c r="D384" s="23">
        <v>322380.0</v>
      </c>
      <c r="E384" s="227"/>
      <c r="F384" s="228"/>
      <c r="G384" s="35">
        <v>213900.0</v>
      </c>
      <c r="H384" s="143"/>
      <c r="I384" s="111"/>
      <c r="J384" s="29">
        <v>188300.0</v>
      </c>
      <c r="K384" s="30">
        <v>343680.0</v>
      </c>
      <c r="L384" s="31"/>
      <c r="M384" s="39"/>
      <c r="N384" s="61"/>
      <c r="O384" s="67"/>
      <c r="P384" s="67"/>
      <c r="Q384" s="67"/>
      <c r="R384" s="67"/>
      <c r="S384" s="61"/>
      <c r="T384" s="61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</row>
    <row r="385">
      <c r="A385" s="220" t="s">
        <v>22</v>
      </c>
      <c r="B385" s="100">
        <v>45664.0</v>
      </c>
      <c r="C385" s="22">
        <v>1022520.0</v>
      </c>
      <c r="D385" s="23">
        <v>707800.0</v>
      </c>
      <c r="E385" s="227"/>
      <c r="F385" s="228"/>
      <c r="G385" s="35">
        <v>282850.0</v>
      </c>
      <c r="H385" s="143"/>
      <c r="I385" s="111"/>
      <c r="J385" s="29">
        <v>392220.0</v>
      </c>
      <c r="K385" s="30">
        <v>321200.0</v>
      </c>
      <c r="L385" s="31"/>
      <c r="M385" s="39"/>
      <c r="N385" s="33"/>
      <c r="O385" s="33"/>
      <c r="P385" s="35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</row>
    <row r="386">
      <c r="A386" s="221" t="s">
        <v>23</v>
      </c>
      <c r="B386" s="100">
        <v>45665.0</v>
      </c>
      <c r="C386" s="22">
        <v>875690.0</v>
      </c>
      <c r="D386" s="23">
        <v>624800.0</v>
      </c>
      <c r="E386" s="227"/>
      <c r="F386" s="228"/>
      <c r="G386" s="35">
        <v>397710.0</v>
      </c>
      <c r="H386" s="143"/>
      <c r="I386" s="111"/>
      <c r="J386" s="29">
        <v>177190.0</v>
      </c>
      <c r="K386" s="30">
        <v>281790.0</v>
      </c>
      <c r="L386" s="31"/>
      <c r="M386" s="39"/>
      <c r="N386" s="33"/>
      <c r="O386" s="33"/>
      <c r="P386" s="35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</row>
    <row r="387">
      <c r="A387" s="221" t="s">
        <v>30</v>
      </c>
      <c r="B387" s="100">
        <v>45666.0</v>
      </c>
      <c r="C387" s="22">
        <v>896690.0</v>
      </c>
      <c r="D387" s="23">
        <v>659820.0</v>
      </c>
      <c r="E387" s="227"/>
      <c r="F387" s="228"/>
      <c r="G387" s="35">
        <v>220980.0</v>
      </c>
      <c r="H387" s="143"/>
      <c r="I387" s="111"/>
      <c r="J387" s="29">
        <v>412650.0</v>
      </c>
      <c r="K387" s="30">
        <v>263060.0</v>
      </c>
      <c r="L387" s="31"/>
      <c r="M387" s="39"/>
      <c r="N387" s="33"/>
      <c r="O387" s="33"/>
      <c r="P387" s="35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</row>
    <row r="388">
      <c r="A388" s="221" t="s">
        <v>25</v>
      </c>
      <c r="B388" s="100">
        <v>45667.0</v>
      </c>
      <c r="C388" s="225"/>
      <c r="D388" s="226"/>
      <c r="E388" s="227"/>
      <c r="F388" s="228"/>
      <c r="G388" s="33"/>
      <c r="H388" s="143"/>
      <c r="I388" s="111"/>
      <c r="J388" s="112"/>
      <c r="K388" s="30"/>
      <c r="L388" s="31"/>
      <c r="M388" s="39"/>
      <c r="N388" s="33"/>
      <c r="O388" s="33"/>
      <c r="P388" s="35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</row>
    <row r="389">
      <c r="A389" s="221" t="s">
        <v>26</v>
      </c>
      <c r="B389" s="100">
        <v>45668.0</v>
      </c>
      <c r="C389" s="225"/>
      <c r="D389" s="226"/>
      <c r="E389" s="227"/>
      <c r="F389" s="228"/>
      <c r="G389" s="33"/>
      <c r="H389" s="143"/>
      <c r="I389" s="111"/>
      <c r="J389" s="112"/>
      <c r="K389" s="30"/>
      <c r="L389" s="31"/>
      <c r="M389" s="39"/>
      <c r="N389" s="33"/>
      <c r="O389" s="33"/>
      <c r="P389" s="35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</row>
    <row r="390">
      <c r="A390" s="224"/>
      <c r="B390" s="100"/>
      <c r="C390" s="225"/>
      <c r="D390" s="226"/>
      <c r="E390" s="227"/>
      <c r="F390" s="228"/>
      <c r="G390" s="33"/>
      <c r="H390" s="143"/>
      <c r="I390" s="111"/>
      <c r="J390" s="112"/>
      <c r="K390" s="30"/>
      <c r="L390" s="31"/>
      <c r="M390" s="39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</row>
    <row r="391">
      <c r="A391" s="224"/>
      <c r="B391" s="100"/>
      <c r="C391" s="225"/>
      <c r="D391" s="226"/>
      <c r="E391" s="227"/>
      <c r="F391" s="228"/>
      <c r="G391" s="33"/>
      <c r="H391" s="143"/>
      <c r="I391" s="111"/>
      <c r="J391" s="112"/>
      <c r="K391" s="30"/>
      <c r="L391" s="31"/>
      <c r="M391" s="39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</row>
    <row r="392">
      <c r="A392" s="224"/>
      <c r="B392" s="100"/>
      <c r="C392" s="225"/>
      <c r="D392" s="226"/>
      <c r="E392" s="227"/>
      <c r="F392" s="228"/>
      <c r="G392" s="33"/>
      <c r="H392" s="143"/>
      <c r="I392" s="111"/>
      <c r="J392" s="112"/>
      <c r="K392" s="30"/>
      <c r="L392" s="31"/>
      <c r="M392" s="39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</row>
    <row r="393">
      <c r="A393" s="224"/>
      <c r="B393" s="100"/>
      <c r="C393" s="225"/>
      <c r="D393" s="226"/>
      <c r="E393" s="227"/>
      <c r="F393" s="228"/>
      <c r="G393" s="33"/>
      <c r="H393" s="143"/>
      <c r="I393" s="111"/>
      <c r="J393" s="112"/>
      <c r="K393" s="30"/>
      <c r="L393" s="31"/>
      <c r="M393" s="39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</row>
    <row r="394">
      <c r="A394" s="224"/>
      <c r="B394" s="100"/>
      <c r="C394" s="225"/>
      <c r="D394" s="226"/>
      <c r="E394" s="227"/>
      <c r="F394" s="228"/>
      <c r="G394" s="33"/>
      <c r="H394" s="143"/>
      <c r="I394" s="111"/>
      <c r="J394" s="112"/>
      <c r="K394" s="30"/>
      <c r="L394" s="31"/>
      <c r="M394" s="39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</row>
    <row r="395">
      <c r="A395" s="224"/>
      <c r="B395" s="100"/>
      <c r="C395" s="225"/>
      <c r="D395" s="226"/>
      <c r="E395" s="227"/>
      <c r="F395" s="228"/>
      <c r="G395" s="33"/>
      <c r="H395" s="143"/>
      <c r="I395" s="111"/>
      <c r="J395" s="112"/>
      <c r="K395" s="30"/>
      <c r="L395" s="31"/>
      <c r="M395" s="39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</row>
    <row r="396">
      <c r="A396" s="224"/>
      <c r="B396" s="100"/>
      <c r="C396" s="225"/>
      <c r="D396" s="226"/>
      <c r="E396" s="227"/>
      <c r="F396" s="228"/>
      <c r="G396" s="33"/>
      <c r="H396" s="143"/>
      <c r="I396" s="111"/>
      <c r="J396" s="112"/>
      <c r="K396" s="30"/>
      <c r="L396" s="31"/>
      <c r="M396" s="39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</row>
    <row r="397">
      <c r="A397" s="224"/>
      <c r="B397" s="100"/>
      <c r="C397" s="225"/>
      <c r="D397" s="226"/>
      <c r="E397" s="227"/>
      <c r="F397" s="228"/>
      <c r="G397" s="33"/>
      <c r="H397" s="143"/>
      <c r="I397" s="111"/>
      <c r="J397" s="112"/>
      <c r="K397" s="30"/>
      <c r="L397" s="31"/>
      <c r="M397" s="39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</row>
    <row r="398">
      <c r="A398" s="224"/>
      <c r="B398" s="100"/>
      <c r="C398" s="225"/>
      <c r="D398" s="226"/>
      <c r="E398" s="227"/>
      <c r="F398" s="228"/>
      <c r="G398" s="33"/>
      <c r="H398" s="143"/>
      <c r="I398" s="111"/>
      <c r="J398" s="112"/>
      <c r="K398" s="30"/>
      <c r="L398" s="31"/>
      <c r="M398" s="39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</row>
    <row r="399">
      <c r="A399" s="224"/>
      <c r="B399" s="100"/>
      <c r="C399" s="225"/>
      <c r="D399" s="226"/>
      <c r="E399" s="227"/>
      <c r="F399" s="228"/>
      <c r="G399" s="33"/>
      <c r="H399" s="143"/>
      <c r="I399" s="111"/>
      <c r="J399" s="112"/>
      <c r="K399" s="30"/>
      <c r="L399" s="31"/>
      <c r="M399" s="39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</row>
    <row r="400">
      <c r="A400" s="224"/>
      <c r="B400" s="100"/>
      <c r="C400" s="225"/>
      <c r="D400" s="226"/>
      <c r="E400" s="227"/>
      <c r="F400" s="228"/>
      <c r="G400" s="33"/>
      <c r="H400" s="143"/>
      <c r="I400" s="111"/>
      <c r="J400" s="112"/>
      <c r="K400" s="30"/>
      <c r="L400" s="31"/>
      <c r="M400" s="39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</row>
    <row r="401">
      <c r="A401" s="224"/>
      <c r="B401" s="100"/>
      <c r="C401" s="225"/>
      <c r="D401" s="226"/>
      <c r="E401" s="227"/>
      <c r="F401" s="228"/>
      <c r="G401" s="33"/>
      <c r="H401" s="143"/>
      <c r="I401" s="111"/>
      <c r="J401" s="112"/>
      <c r="K401" s="30"/>
      <c r="L401" s="31"/>
      <c r="M401" s="39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</row>
    <row r="402">
      <c r="A402" s="224"/>
      <c r="B402" s="100"/>
      <c r="C402" s="225"/>
      <c r="D402" s="226"/>
      <c r="E402" s="227"/>
      <c r="F402" s="228"/>
      <c r="G402" s="33"/>
      <c r="H402" s="143"/>
      <c r="I402" s="111"/>
      <c r="J402" s="112"/>
      <c r="K402" s="30"/>
      <c r="L402" s="31"/>
      <c r="M402" s="39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</row>
    <row r="403">
      <c r="A403" s="224"/>
      <c r="B403" s="100"/>
      <c r="C403" s="225"/>
      <c r="D403" s="226"/>
      <c r="E403" s="227"/>
      <c r="F403" s="228"/>
      <c r="G403" s="33"/>
      <c r="H403" s="143"/>
      <c r="I403" s="111"/>
      <c r="J403" s="112"/>
      <c r="K403" s="30"/>
      <c r="L403" s="31"/>
      <c r="M403" s="39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</row>
    <row r="404">
      <c r="A404" s="224"/>
      <c r="B404" s="100"/>
      <c r="C404" s="225"/>
      <c r="D404" s="226"/>
      <c r="E404" s="227"/>
      <c r="F404" s="228"/>
      <c r="G404" s="33"/>
      <c r="H404" s="143"/>
      <c r="I404" s="111"/>
      <c r="J404" s="112"/>
      <c r="K404" s="30"/>
      <c r="L404" s="31"/>
      <c r="M404" s="39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</row>
    <row r="405">
      <c r="A405" s="224"/>
      <c r="B405" s="100"/>
      <c r="C405" s="225"/>
      <c r="D405" s="226"/>
      <c r="E405" s="227"/>
      <c r="F405" s="228"/>
      <c r="G405" s="33"/>
      <c r="H405" s="143"/>
      <c r="I405" s="111"/>
      <c r="J405" s="112"/>
      <c r="K405" s="30"/>
      <c r="L405" s="31"/>
      <c r="M405" s="39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</row>
    <row r="406">
      <c r="A406" s="224"/>
      <c r="B406" s="229"/>
      <c r="C406" s="225"/>
      <c r="D406" s="226"/>
      <c r="E406" s="227"/>
      <c r="F406" s="228"/>
      <c r="G406" s="33"/>
      <c r="H406" s="143"/>
      <c r="I406" s="111"/>
      <c r="J406" s="112"/>
      <c r="K406" s="30"/>
      <c r="L406" s="31"/>
      <c r="M406" s="39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</row>
    <row r="407">
      <c r="A407" s="224"/>
      <c r="B407" s="229"/>
      <c r="C407" s="225"/>
      <c r="D407" s="226"/>
      <c r="E407" s="227"/>
      <c r="F407" s="228"/>
      <c r="G407" s="33"/>
      <c r="H407" s="143"/>
      <c r="I407" s="111"/>
      <c r="J407" s="112"/>
      <c r="K407" s="30"/>
      <c r="L407" s="31"/>
      <c r="M407" s="39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</row>
    <row r="408">
      <c r="A408" s="224"/>
      <c r="B408" s="229"/>
      <c r="C408" s="225"/>
      <c r="D408" s="226"/>
      <c r="E408" s="227"/>
      <c r="F408" s="228"/>
      <c r="G408" s="33"/>
      <c r="H408" s="143"/>
      <c r="I408" s="111"/>
      <c r="J408" s="112"/>
      <c r="K408" s="30"/>
      <c r="L408" s="31"/>
      <c r="M408" s="39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</row>
    <row r="409">
      <c r="A409" s="224"/>
      <c r="B409" s="229"/>
      <c r="C409" s="225"/>
      <c r="D409" s="226"/>
      <c r="E409" s="227"/>
      <c r="F409" s="228"/>
      <c r="G409" s="33"/>
      <c r="H409" s="143"/>
      <c r="I409" s="111"/>
      <c r="J409" s="112"/>
      <c r="K409" s="30"/>
      <c r="L409" s="31"/>
      <c r="M409" s="39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</row>
    <row r="410">
      <c r="A410" s="224"/>
      <c r="B410" s="229"/>
      <c r="C410" s="225"/>
      <c r="D410" s="226"/>
      <c r="E410" s="227"/>
      <c r="F410" s="228"/>
      <c r="G410" s="33"/>
      <c r="H410" s="143"/>
      <c r="I410" s="111"/>
      <c r="J410" s="112"/>
      <c r="K410" s="30"/>
      <c r="L410" s="31"/>
      <c r="M410" s="39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</row>
    <row r="411">
      <c r="A411" s="224"/>
      <c r="B411" s="229"/>
      <c r="C411" s="225"/>
      <c r="D411" s="226"/>
      <c r="E411" s="227"/>
      <c r="F411" s="228"/>
      <c r="G411" s="33"/>
      <c r="H411" s="143"/>
      <c r="I411" s="111"/>
      <c r="J411" s="112"/>
      <c r="K411" s="30"/>
      <c r="L411" s="31"/>
      <c r="M411" s="39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</row>
    <row r="412">
      <c r="A412" s="224"/>
      <c r="B412" s="229"/>
      <c r="C412" s="225"/>
      <c r="D412" s="226"/>
      <c r="E412" s="227"/>
      <c r="F412" s="228"/>
      <c r="G412" s="33"/>
      <c r="H412" s="143"/>
      <c r="I412" s="111"/>
      <c r="J412" s="112"/>
      <c r="K412" s="30"/>
      <c r="L412" s="31"/>
      <c r="M412" s="39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</row>
    <row r="413">
      <c r="A413" s="224"/>
      <c r="B413" s="229"/>
      <c r="C413" s="225"/>
      <c r="D413" s="226"/>
      <c r="E413" s="227"/>
      <c r="F413" s="228"/>
      <c r="G413" s="33"/>
      <c r="H413" s="143"/>
      <c r="I413" s="111"/>
      <c r="J413" s="112"/>
      <c r="K413" s="30"/>
      <c r="L413" s="31"/>
      <c r="M413" s="39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</row>
    <row r="414">
      <c r="A414" s="224"/>
      <c r="B414" s="229"/>
      <c r="C414" s="225"/>
      <c r="D414" s="226"/>
      <c r="E414" s="227"/>
      <c r="F414" s="228"/>
      <c r="G414" s="33"/>
      <c r="H414" s="143"/>
      <c r="I414" s="111"/>
      <c r="J414" s="112"/>
      <c r="K414" s="30"/>
      <c r="L414" s="31"/>
      <c r="M414" s="39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</row>
    <row r="415">
      <c r="A415" s="224"/>
      <c r="B415" s="229"/>
      <c r="C415" s="225"/>
      <c r="D415" s="226"/>
      <c r="E415" s="227"/>
      <c r="F415" s="228"/>
      <c r="G415" s="33"/>
      <c r="H415" s="143"/>
      <c r="I415" s="111"/>
      <c r="J415" s="112"/>
      <c r="K415" s="30"/>
      <c r="L415" s="31"/>
      <c r="M415" s="39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</row>
    <row r="416">
      <c r="A416" s="224"/>
      <c r="B416" s="229"/>
      <c r="C416" s="225"/>
      <c r="D416" s="226"/>
      <c r="E416" s="227"/>
      <c r="F416" s="228"/>
      <c r="G416" s="33"/>
      <c r="H416" s="143"/>
      <c r="I416" s="111"/>
      <c r="J416" s="112"/>
      <c r="K416" s="30"/>
      <c r="L416" s="31"/>
      <c r="M416" s="39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</row>
    <row r="417">
      <c r="A417" s="224"/>
      <c r="B417" s="229"/>
      <c r="C417" s="225"/>
      <c r="D417" s="226"/>
      <c r="E417" s="227"/>
      <c r="F417" s="228"/>
      <c r="G417" s="33"/>
      <c r="H417" s="143"/>
      <c r="I417" s="111"/>
      <c r="J417" s="112"/>
      <c r="K417" s="30"/>
      <c r="L417" s="31"/>
      <c r="M417" s="39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</row>
    <row r="418">
      <c r="A418" s="224"/>
      <c r="B418" s="229"/>
      <c r="C418" s="225"/>
      <c r="D418" s="226"/>
      <c r="E418" s="227"/>
      <c r="F418" s="228"/>
      <c r="G418" s="33"/>
      <c r="H418" s="143"/>
      <c r="I418" s="111"/>
      <c r="J418" s="112"/>
      <c r="K418" s="30"/>
      <c r="L418" s="31"/>
      <c r="M418" s="39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</row>
    <row r="419">
      <c r="A419" s="224"/>
      <c r="B419" s="229"/>
      <c r="C419" s="225"/>
      <c r="D419" s="226"/>
      <c r="E419" s="227"/>
      <c r="F419" s="228"/>
      <c r="G419" s="33"/>
      <c r="H419" s="143"/>
      <c r="I419" s="111"/>
      <c r="J419" s="112"/>
      <c r="K419" s="30"/>
      <c r="L419" s="31"/>
      <c r="M419" s="39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</row>
    <row r="420">
      <c r="A420" s="224"/>
      <c r="B420" s="229"/>
      <c r="C420" s="225"/>
      <c r="D420" s="226"/>
      <c r="E420" s="227"/>
      <c r="F420" s="228"/>
      <c r="G420" s="33"/>
      <c r="H420" s="143"/>
      <c r="I420" s="111"/>
      <c r="J420" s="112"/>
      <c r="K420" s="30"/>
      <c r="L420" s="31"/>
      <c r="M420" s="39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</row>
    <row r="421">
      <c r="A421" s="224"/>
      <c r="B421" s="229"/>
      <c r="C421" s="225"/>
      <c r="D421" s="226"/>
      <c r="E421" s="227"/>
      <c r="F421" s="228"/>
      <c r="G421" s="33"/>
      <c r="H421" s="143"/>
      <c r="I421" s="111"/>
      <c r="J421" s="112"/>
      <c r="K421" s="30"/>
      <c r="L421" s="31"/>
      <c r="M421" s="39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</row>
    <row r="422">
      <c r="A422" s="224"/>
      <c r="B422" s="229"/>
      <c r="C422" s="225"/>
      <c r="D422" s="226"/>
      <c r="E422" s="227"/>
      <c r="F422" s="228"/>
      <c r="G422" s="33"/>
      <c r="H422" s="143"/>
      <c r="I422" s="111"/>
      <c r="J422" s="112"/>
      <c r="K422" s="230"/>
      <c r="L422" s="31"/>
      <c r="M422" s="39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</row>
    <row r="423">
      <c r="A423" s="224"/>
      <c r="B423" s="229"/>
      <c r="C423" s="225"/>
      <c r="D423" s="226"/>
      <c r="E423" s="227"/>
      <c r="F423" s="228"/>
      <c r="G423" s="33"/>
      <c r="H423" s="143"/>
      <c r="I423" s="111"/>
      <c r="J423" s="112"/>
      <c r="K423" s="230"/>
      <c r="L423" s="31"/>
      <c r="M423" s="39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</row>
    <row r="424">
      <c r="A424" s="224"/>
      <c r="B424" s="229"/>
      <c r="C424" s="225"/>
      <c r="D424" s="226"/>
      <c r="E424" s="227"/>
      <c r="F424" s="228"/>
      <c r="G424" s="33"/>
      <c r="H424" s="143"/>
      <c r="I424" s="111"/>
      <c r="J424" s="112"/>
      <c r="K424" s="230"/>
      <c r="L424" s="31"/>
      <c r="M424" s="39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</row>
    <row r="425">
      <c r="A425" s="224"/>
      <c r="B425" s="229"/>
      <c r="C425" s="225"/>
      <c r="D425" s="226"/>
      <c r="E425" s="227"/>
      <c r="F425" s="228"/>
      <c r="G425" s="33"/>
      <c r="H425" s="143"/>
      <c r="I425" s="111"/>
      <c r="J425" s="112"/>
      <c r="K425" s="230"/>
      <c r="L425" s="31"/>
      <c r="M425" s="39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</row>
    <row r="426">
      <c r="A426" s="224"/>
      <c r="B426" s="229"/>
      <c r="C426" s="225"/>
      <c r="D426" s="226"/>
      <c r="E426" s="227"/>
      <c r="F426" s="228"/>
      <c r="G426" s="33"/>
      <c r="H426" s="143"/>
      <c r="I426" s="111"/>
      <c r="J426" s="112"/>
      <c r="K426" s="230"/>
      <c r="L426" s="31"/>
      <c r="M426" s="39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</row>
    <row r="427">
      <c r="A427" s="224"/>
      <c r="B427" s="229"/>
      <c r="C427" s="225"/>
      <c r="D427" s="226"/>
      <c r="E427" s="227"/>
      <c r="F427" s="228"/>
      <c r="G427" s="33"/>
      <c r="H427" s="143"/>
      <c r="I427" s="111"/>
      <c r="J427" s="112"/>
      <c r="K427" s="230"/>
      <c r="L427" s="31"/>
      <c r="M427" s="39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</row>
    <row r="428">
      <c r="A428" s="224"/>
      <c r="B428" s="229"/>
      <c r="C428" s="225"/>
      <c r="D428" s="226"/>
      <c r="E428" s="227"/>
      <c r="F428" s="228"/>
      <c r="G428" s="33"/>
      <c r="H428" s="143"/>
      <c r="I428" s="111"/>
      <c r="J428" s="112"/>
      <c r="K428" s="230"/>
      <c r="L428" s="31"/>
      <c r="M428" s="39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</row>
    <row r="429">
      <c r="A429" s="224"/>
      <c r="B429" s="229"/>
      <c r="C429" s="225"/>
      <c r="D429" s="226"/>
      <c r="E429" s="227"/>
      <c r="F429" s="228"/>
      <c r="G429" s="33"/>
      <c r="H429" s="143"/>
      <c r="I429" s="111"/>
      <c r="J429" s="112"/>
      <c r="K429" s="230"/>
      <c r="L429" s="31"/>
      <c r="M429" s="39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</row>
    <row r="430">
      <c r="A430" s="224"/>
      <c r="B430" s="229"/>
      <c r="C430" s="225"/>
      <c r="D430" s="226"/>
      <c r="E430" s="227"/>
      <c r="F430" s="228"/>
      <c r="G430" s="33"/>
      <c r="H430" s="143"/>
      <c r="I430" s="111"/>
      <c r="J430" s="112"/>
      <c r="K430" s="230"/>
      <c r="L430" s="31"/>
      <c r="M430" s="39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</row>
    <row r="431">
      <c r="A431" s="224"/>
      <c r="B431" s="229"/>
      <c r="C431" s="225"/>
      <c r="D431" s="226"/>
      <c r="E431" s="227"/>
      <c r="F431" s="228"/>
      <c r="G431" s="33"/>
      <c r="H431" s="143"/>
      <c r="I431" s="111"/>
      <c r="J431" s="112"/>
      <c r="K431" s="230"/>
      <c r="L431" s="31"/>
      <c r="M431" s="39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</row>
    <row r="432">
      <c r="A432" s="224"/>
      <c r="B432" s="229"/>
      <c r="C432" s="225"/>
      <c r="D432" s="226"/>
      <c r="E432" s="227"/>
      <c r="F432" s="228"/>
      <c r="G432" s="33"/>
      <c r="H432" s="143"/>
      <c r="I432" s="111"/>
      <c r="J432" s="112"/>
      <c r="K432" s="230"/>
      <c r="L432" s="31"/>
      <c r="M432" s="39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</row>
    <row r="433">
      <c r="A433" s="224"/>
      <c r="B433" s="229"/>
      <c r="C433" s="225"/>
      <c r="D433" s="226"/>
      <c r="E433" s="227"/>
      <c r="F433" s="228"/>
      <c r="G433" s="33"/>
      <c r="H433" s="143"/>
      <c r="I433" s="111"/>
      <c r="J433" s="112"/>
      <c r="K433" s="230"/>
      <c r="L433" s="31"/>
      <c r="M433" s="39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</row>
    <row r="434">
      <c r="A434" s="224"/>
      <c r="B434" s="229"/>
      <c r="C434" s="225"/>
      <c r="D434" s="226"/>
      <c r="E434" s="227"/>
      <c r="F434" s="228"/>
      <c r="G434" s="33"/>
      <c r="H434" s="143"/>
      <c r="I434" s="111"/>
      <c r="J434" s="112"/>
      <c r="K434" s="230"/>
      <c r="L434" s="31"/>
      <c r="M434" s="39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</row>
    <row r="435">
      <c r="A435" s="224"/>
      <c r="B435" s="229"/>
      <c r="C435" s="225"/>
      <c r="D435" s="226"/>
      <c r="E435" s="227"/>
      <c r="F435" s="228"/>
      <c r="G435" s="33"/>
      <c r="H435" s="143"/>
      <c r="I435" s="111"/>
      <c r="J435" s="112"/>
      <c r="K435" s="230"/>
      <c r="L435" s="31"/>
      <c r="M435" s="39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</row>
    <row r="436">
      <c r="A436" s="224"/>
      <c r="B436" s="229"/>
      <c r="C436" s="225"/>
      <c r="D436" s="226"/>
      <c r="E436" s="227"/>
      <c r="F436" s="228"/>
      <c r="G436" s="33"/>
      <c r="H436" s="143"/>
      <c r="I436" s="111"/>
      <c r="J436" s="112"/>
      <c r="K436" s="230"/>
      <c r="L436" s="31"/>
      <c r="M436" s="39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</row>
    <row r="437">
      <c r="A437" s="224"/>
      <c r="B437" s="229"/>
      <c r="C437" s="225"/>
      <c r="D437" s="226"/>
      <c r="E437" s="227"/>
      <c r="F437" s="228"/>
      <c r="G437" s="33"/>
      <c r="H437" s="143"/>
      <c r="I437" s="111"/>
      <c r="J437" s="112"/>
      <c r="K437" s="230"/>
      <c r="L437" s="31"/>
      <c r="M437" s="39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</row>
    <row r="438">
      <c r="A438" s="224"/>
      <c r="B438" s="229"/>
      <c r="C438" s="225"/>
      <c r="D438" s="226"/>
      <c r="E438" s="227"/>
      <c r="F438" s="228"/>
      <c r="G438" s="33"/>
      <c r="H438" s="143"/>
      <c r="I438" s="111"/>
      <c r="J438" s="112"/>
      <c r="K438" s="230"/>
      <c r="L438" s="31"/>
      <c r="M438" s="39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</row>
    <row r="439">
      <c r="A439" s="224"/>
      <c r="B439" s="229"/>
      <c r="C439" s="225"/>
      <c r="D439" s="226"/>
      <c r="E439" s="227"/>
      <c r="F439" s="228"/>
      <c r="G439" s="33"/>
      <c r="H439" s="143"/>
      <c r="I439" s="111"/>
      <c r="J439" s="112"/>
      <c r="K439" s="230"/>
      <c r="L439" s="31"/>
      <c r="M439" s="39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</row>
    <row r="440">
      <c r="A440" s="224"/>
      <c r="B440" s="229"/>
      <c r="C440" s="225"/>
      <c r="D440" s="226"/>
      <c r="E440" s="227"/>
      <c r="F440" s="228"/>
      <c r="G440" s="33"/>
      <c r="H440" s="143"/>
      <c r="I440" s="111"/>
      <c r="J440" s="112"/>
      <c r="K440" s="230"/>
      <c r="L440" s="31"/>
      <c r="M440" s="39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</row>
    <row r="441">
      <c r="A441" s="224"/>
      <c r="B441" s="229"/>
      <c r="C441" s="225"/>
      <c r="D441" s="226"/>
      <c r="E441" s="227"/>
      <c r="F441" s="228"/>
      <c r="G441" s="33"/>
      <c r="H441" s="143"/>
      <c r="I441" s="111"/>
      <c r="J441" s="112"/>
      <c r="K441" s="230"/>
      <c r="L441" s="31"/>
      <c r="M441" s="39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</row>
    <row r="442">
      <c r="A442" s="224"/>
      <c r="B442" s="229"/>
      <c r="C442" s="225"/>
      <c r="D442" s="226"/>
      <c r="E442" s="227"/>
      <c r="F442" s="228"/>
      <c r="G442" s="33"/>
      <c r="H442" s="143"/>
      <c r="I442" s="111"/>
      <c r="J442" s="112"/>
      <c r="K442" s="230"/>
      <c r="L442" s="31"/>
      <c r="M442" s="39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</row>
    <row r="443">
      <c r="A443" s="224"/>
      <c r="B443" s="229"/>
      <c r="C443" s="225"/>
      <c r="D443" s="226"/>
      <c r="E443" s="227"/>
      <c r="F443" s="228"/>
      <c r="G443" s="33"/>
      <c r="H443" s="143"/>
      <c r="I443" s="111"/>
      <c r="J443" s="112"/>
      <c r="K443" s="230"/>
      <c r="L443" s="31"/>
      <c r="M443" s="39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</row>
    <row r="444">
      <c r="A444" s="224"/>
      <c r="B444" s="229"/>
      <c r="C444" s="225"/>
      <c r="D444" s="226"/>
      <c r="E444" s="227"/>
      <c r="F444" s="228"/>
      <c r="G444" s="33"/>
      <c r="H444" s="143"/>
      <c r="I444" s="111"/>
      <c r="J444" s="112"/>
      <c r="K444" s="230"/>
      <c r="L444" s="31"/>
      <c r="M444" s="39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</row>
    <row r="445">
      <c r="A445" s="224"/>
      <c r="B445" s="229"/>
      <c r="C445" s="225"/>
      <c r="D445" s="226"/>
      <c r="E445" s="227"/>
      <c r="F445" s="228"/>
      <c r="G445" s="33"/>
      <c r="H445" s="143"/>
      <c r="I445" s="111"/>
      <c r="J445" s="112"/>
      <c r="K445" s="230"/>
      <c r="L445" s="31"/>
      <c r="M445" s="39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</row>
    <row r="446">
      <c r="A446" s="224"/>
      <c r="B446" s="229"/>
      <c r="C446" s="225"/>
      <c r="D446" s="226"/>
      <c r="E446" s="227"/>
      <c r="F446" s="228"/>
      <c r="G446" s="33"/>
      <c r="H446" s="143"/>
      <c r="I446" s="111"/>
      <c r="J446" s="112"/>
      <c r="K446" s="230"/>
      <c r="L446" s="31"/>
      <c r="M446" s="39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</row>
    <row r="447">
      <c r="A447" s="224"/>
      <c r="B447" s="229"/>
      <c r="C447" s="225"/>
      <c r="D447" s="226"/>
      <c r="E447" s="227"/>
      <c r="F447" s="228"/>
      <c r="G447" s="33"/>
      <c r="H447" s="143"/>
      <c r="I447" s="111"/>
      <c r="J447" s="112"/>
      <c r="K447" s="230"/>
      <c r="L447" s="31"/>
      <c r="M447" s="39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</row>
    <row r="448">
      <c r="A448" s="224"/>
      <c r="B448" s="229"/>
      <c r="C448" s="225"/>
      <c r="D448" s="226"/>
      <c r="E448" s="227"/>
      <c r="F448" s="228"/>
      <c r="G448" s="33"/>
      <c r="H448" s="143"/>
      <c r="I448" s="111"/>
      <c r="J448" s="112"/>
      <c r="K448" s="230"/>
      <c r="L448" s="31"/>
      <c r="M448" s="39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</row>
    <row r="449">
      <c r="A449" s="224"/>
      <c r="B449" s="229"/>
      <c r="C449" s="225"/>
      <c r="D449" s="226"/>
      <c r="E449" s="227"/>
      <c r="F449" s="228"/>
      <c r="G449" s="33"/>
      <c r="H449" s="143"/>
      <c r="I449" s="111"/>
      <c r="J449" s="112"/>
      <c r="K449" s="230"/>
      <c r="L449" s="31"/>
      <c r="M449" s="39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</row>
    <row r="450">
      <c r="A450" s="224"/>
      <c r="B450" s="229"/>
      <c r="C450" s="225"/>
      <c r="D450" s="226"/>
      <c r="E450" s="227"/>
      <c r="F450" s="228"/>
      <c r="G450" s="33"/>
      <c r="H450" s="143"/>
      <c r="I450" s="111"/>
      <c r="J450" s="112"/>
      <c r="K450" s="230"/>
      <c r="L450" s="31"/>
      <c r="M450" s="39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</row>
    <row r="451">
      <c r="A451" s="224"/>
      <c r="B451" s="229"/>
      <c r="C451" s="225"/>
      <c r="D451" s="226"/>
      <c r="E451" s="227"/>
      <c r="F451" s="228"/>
      <c r="G451" s="33"/>
      <c r="H451" s="143"/>
      <c r="I451" s="111"/>
      <c r="J451" s="112"/>
      <c r="K451" s="230"/>
      <c r="L451" s="31"/>
      <c r="M451" s="39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</row>
    <row r="452">
      <c r="A452" s="224"/>
      <c r="B452" s="229"/>
      <c r="C452" s="225"/>
      <c r="D452" s="226"/>
      <c r="E452" s="227"/>
      <c r="F452" s="228"/>
      <c r="G452" s="33"/>
      <c r="H452" s="143"/>
      <c r="I452" s="111"/>
      <c r="J452" s="112"/>
      <c r="K452" s="230"/>
      <c r="L452" s="31"/>
      <c r="M452" s="39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</row>
    <row r="453">
      <c r="A453" s="224"/>
      <c r="B453" s="229"/>
      <c r="C453" s="225"/>
      <c r="D453" s="226"/>
      <c r="E453" s="227"/>
      <c r="F453" s="228"/>
      <c r="G453" s="33"/>
      <c r="H453" s="143"/>
      <c r="I453" s="111"/>
      <c r="J453" s="112"/>
      <c r="K453" s="230"/>
      <c r="L453" s="31"/>
      <c r="M453" s="39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</row>
    <row r="454">
      <c r="A454" s="224"/>
      <c r="B454" s="229"/>
      <c r="C454" s="225"/>
      <c r="D454" s="226"/>
      <c r="E454" s="227"/>
      <c r="F454" s="228"/>
      <c r="G454" s="33"/>
      <c r="H454" s="143"/>
      <c r="I454" s="111"/>
      <c r="J454" s="112"/>
      <c r="K454" s="230"/>
      <c r="L454" s="31"/>
      <c r="M454" s="39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</row>
    <row r="455">
      <c r="A455" s="224"/>
      <c r="B455" s="229"/>
      <c r="C455" s="225"/>
      <c r="D455" s="226"/>
      <c r="E455" s="227"/>
      <c r="F455" s="228"/>
      <c r="G455" s="33"/>
      <c r="H455" s="143"/>
      <c r="I455" s="111"/>
      <c r="J455" s="112"/>
      <c r="K455" s="230"/>
      <c r="L455" s="31"/>
      <c r="M455" s="39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</row>
    <row r="456">
      <c r="A456" s="224"/>
      <c r="B456" s="229"/>
      <c r="C456" s="225"/>
      <c r="D456" s="226"/>
      <c r="E456" s="227"/>
      <c r="F456" s="228"/>
      <c r="G456" s="33"/>
      <c r="H456" s="143"/>
      <c r="I456" s="111"/>
      <c r="J456" s="112"/>
      <c r="K456" s="230"/>
      <c r="L456" s="31"/>
      <c r="M456" s="39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</row>
    <row r="457">
      <c r="A457" s="224"/>
      <c r="B457" s="229"/>
      <c r="C457" s="225"/>
      <c r="D457" s="226"/>
      <c r="E457" s="227"/>
      <c r="F457" s="228"/>
      <c r="G457" s="33"/>
      <c r="H457" s="143"/>
      <c r="I457" s="111"/>
      <c r="J457" s="112"/>
      <c r="K457" s="230"/>
      <c r="L457" s="31"/>
      <c r="M457" s="39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</row>
    <row r="458">
      <c r="A458" s="224"/>
      <c r="B458" s="229"/>
      <c r="C458" s="225"/>
      <c r="D458" s="226"/>
      <c r="E458" s="227"/>
      <c r="F458" s="228"/>
      <c r="G458" s="33"/>
      <c r="H458" s="143"/>
      <c r="I458" s="111"/>
      <c r="J458" s="112"/>
      <c r="K458" s="230"/>
      <c r="L458" s="31"/>
      <c r="M458" s="39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</row>
    <row r="459">
      <c r="A459" s="224"/>
      <c r="B459" s="229"/>
      <c r="C459" s="225"/>
      <c r="D459" s="226"/>
      <c r="E459" s="227"/>
      <c r="F459" s="228"/>
      <c r="G459" s="33"/>
      <c r="H459" s="143"/>
      <c r="I459" s="111"/>
      <c r="J459" s="112"/>
      <c r="K459" s="230"/>
      <c r="L459" s="31"/>
      <c r="M459" s="39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</row>
    <row r="460">
      <c r="A460" s="224"/>
      <c r="B460" s="229"/>
      <c r="C460" s="225"/>
      <c r="D460" s="226"/>
      <c r="E460" s="227"/>
      <c r="F460" s="228"/>
      <c r="G460" s="33"/>
      <c r="H460" s="143"/>
      <c r="I460" s="111"/>
      <c r="J460" s="112"/>
      <c r="K460" s="230"/>
      <c r="L460" s="31"/>
      <c r="M460" s="39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</row>
    <row r="461">
      <c r="A461" s="224"/>
      <c r="B461" s="229"/>
      <c r="C461" s="225"/>
      <c r="D461" s="226"/>
      <c r="E461" s="227"/>
      <c r="F461" s="228"/>
      <c r="G461" s="33"/>
      <c r="H461" s="143"/>
      <c r="I461" s="111"/>
      <c r="J461" s="112"/>
      <c r="K461" s="230"/>
      <c r="L461" s="31"/>
      <c r="M461" s="39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</row>
    <row r="462">
      <c r="A462" s="224"/>
      <c r="B462" s="229"/>
      <c r="C462" s="225"/>
      <c r="D462" s="226"/>
      <c r="E462" s="227"/>
      <c r="F462" s="228"/>
      <c r="G462" s="33"/>
      <c r="H462" s="143"/>
      <c r="I462" s="111"/>
      <c r="J462" s="112"/>
      <c r="K462" s="230"/>
      <c r="L462" s="31"/>
      <c r="M462" s="39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</row>
    <row r="463">
      <c r="A463" s="224"/>
      <c r="B463" s="229"/>
      <c r="C463" s="225"/>
      <c r="D463" s="226"/>
      <c r="E463" s="227"/>
      <c r="F463" s="228"/>
      <c r="G463" s="33"/>
      <c r="H463" s="143"/>
      <c r="I463" s="111"/>
      <c r="J463" s="112"/>
      <c r="K463" s="230"/>
      <c r="L463" s="31"/>
      <c r="M463" s="39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</row>
    <row r="464">
      <c r="A464" s="224"/>
      <c r="B464" s="229"/>
      <c r="C464" s="225"/>
      <c r="D464" s="226"/>
      <c r="E464" s="227"/>
      <c r="F464" s="228"/>
      <c r="G464" s="33"/>
      <c r="H464" s="143"/>
      <c r="I464" s="111"/>
      <c r="J464" s="112"/>
      <c r="K464" s="230"/>
      <c r="L464" s="31"/>
      <c r="M464" s="39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</row>
    <row r="465">
      <c r="A465" s="224"/>
      <c r="B465" s="229"/>
      <c r="C465" s="225"/>
      <c r="D465" s="226"/>
      <c r="E465" s="227"/>
      <c r="F465" s="228"/>
      <c r="G465" s="33"/>
      <c r="H465" s="143"/>
      <c r="I465" s="111"/>
      <c r="J465" s="112"/>
      <c r="K465" s="230"/>
      <c r="L465" s="31"/>
      <c r="M465" s="39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</row>
    <row r="466">
      <c r="A466" s="224"/>
      <c r="B466" s="229"/>
      <c r="C466" s="225"/>
      <c r="D466" s="226"/>
      <c r="E466" s="227"/>
      <c r="F466" s="228"/>
      <c r="G466" s="33"/>
      <c r="H466" s="143"/>
      <c r="I466" s="111"/>
      <c r="J466" s="112"/>
      <c r="K466" s="230"/>
      <c r="L466" s="31"/>
      <c r="M466" s="39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</row>
    <row r="467">
      <c r="A467" s="224"/>
      <c r="B467" s="229"/>
      <c r="C467" s="225"/>
      <c r="D467" s="226"/>
      <c r="E467" s="227"/>
      <c r="F467" s="228"/>
      <c r="G467" s="33"/>
      <c r="H467" s="143"/>
      <c r="I467" s="111"/>
      <c r="J467" s="112"/>
      <c r="K467" s="230"/>
      <c r="L467" s="31"/>
      <c r="M467" s="39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</row>
    <row r="468">
      <c r="A468" s="224"/>
      <c r="B468" s="229"/>
      <c r="C468" s="225"/>
      <c r="D468" s="226"/>
      <c r="E468" s="227"/>
      <c r="F468" s="228"/>
      <c r="G468" s="33"/>
      <c r="H468" s="143"/>
      <c r="I468" s="111"/>
      <c r="J468" s="112"/>
      <c r="K468" s="230"/>
      <c r="L468" s="31"/>
      <c r="M468" s="39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</row>
    <row r="469">
      <c r="A469" s="224"/>
      <c r="B469" s="229"/>
      <c r="C469" s="225"/>
      <c r="D469" s="226"/>
      <c r="E469" s="227"/>
      <c r="F469" s="228"/>
      <c r="G469" s="33"/>
      <c r="H469" s="143"/>
      <c r="I469" s="111"/>
      <c r="J469" s="112"/>
      <c r="K469" s="230"/>
      <c r="L469" s="31"/>
      <c r="M469" s="39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</row>
    <row r="470">
      <c r="A470" s="224"/>
      <c r="B470" s="229"/>
      <c r="C470" s="225"/>
      <c r="D470" s="226"/>
      <c r="E470" s="227"/>
      <c r="F470" s="228"/>
      <c r="G470" s="33"/>
      <c r="H470" s="143"/>
      <c r="I470" s="111"/>
      <c r="J470" s="112"/>
      <c r="K470" s="230"/>
      <c r="L470" s="31"/>
      <c r="M470" s="39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</row>
    <row r="471">
      <c r="A471" s="224"/>
      <c r="B471" s="229"/>
      <c r="C471" s="225"/>
      <c r="D471" s="226"/>
      <c r="E471" s="227"/>
      <c r="F471" s="228"/>
      <c r="G471" s="33"/>
      <c r="H471" s="143"/>
      <c r="I471" s="111"/>
      <c r="J471" s="112"/>
      <c r="K471" s="230"/>
      <c r="L471" s="31"/>
      <c r="M471" s="39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</row>
    <row r="472">
      <c r="A472" s="224"/>
      <c r="B472" s="229"/>
      <c r="C472" s="225"/>
      <c r="D472" s="226"/>
      <c r="E472" s="227"/>
      <c r="F472" s="228"/>
      <c r="G472" s="33"/>
      <c r="H472" s="143"/>
      <c r="I472" s="111"/>
      <c r="J472" s="112"/>
      <c r="K472" s="230"/>
      <c r="L472" s="31"/>
      <c r="M472" s="39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</row>
    <row r="473">
      <c r="A473" s="224"/>
      <c r="B473" s="229"/>
      <c r="C473" s="225"/>
      <c r="D473" s="226"/>
      <c r="E473" s="227"/>
      <c r="F473" s="228"/>
      <c r="G473" s="33"/>
      <c r="H473" s="143"/>
      <c r="I473" s="111"/>
      <c r="J473" s="112"/>
      <c r="K473" s="230"/>
      <c r="L473" s="31"/>
      <c r="M473" s="39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</row>
    <row r="474">
      <c r="A474" s="224"/>
      <c r="B474" s="229"/>
      <c r="C474" s="225"/>
      <c r="D474" s="226"/>
      <c r="E474" s="227"/>
      <c r="F474" s="228"/>
      <c r="G474" s="33"/>
      <c r="H474" s="143"/>
      <c r="I474" s="111"/>
      <c r="J474" s="112"/>
      <c r="K474" s="230"/>
      <c r="L474" s="31"/>
      <c r="M474" s="39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</row>
    <row r="475">
      <c r="A475" s="224"/>
      <c r="B475" s="229"/>
      <c r="C475" s="225"/>
      <c r="D475" s="226"/>
      <c r="E475" s="227"/>
      <c r="F475" s="228"/>
      <c r="G475" s="33"/>
      <c r="H475" s="143"/>
      <c r="I475" s="111"/>
      <c r="J475" s="112"/>
      <c r="K475" s="230"/>
      <c r="L475" s="31"/>
      <c r="M475" s="39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</row>
    <row r="476">
      <c r="A476" s="224"/>
      <c r="B476" s="229"/>
      <c r="C476" s="225"/>
      <c r="D476" s="226"/>
      <c r="E476" s="227"/>
      <c r="F476" s="228"/>
      <c r="G476" s="33"/>
      <c r="H476" s="143"/>
      <c r="I476" s="111"/>
      <c r="J476" s="112"/>
      <c r="K476" s="230"/>
      <c r="L476" s="31"/>
      <c r="M476" s="39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</row>
    <row r="477">
      <c r="A477" s="224"/>
      <c r="B477" s="229"/>
      <c r="C477" s="225"/>
      <c r="D477" s="226"/>
      <c r="E477" s="227"/>
      <c r="F477" s="228"/>
      <c r="G477" s="33"/>
      <c r="H477" s="143"/>
      <c r="I477" s="111"/>
      <c r="J477" s="112"/>
      <c r="K477" s="230"/>
      <c r="L477" s="31"/>
      <c r="M477" s="39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</row>
    <row r="478">
      <c r="A478" s="224"/>
      <c r="B478" s="229"/>
      <c r="C478" s="225"/>
      <c r="D478" s="226"/>
      <c r="E478" s="227"/>
      <c r="F478" s="228"/>
      <c r="G478" s="33"/>
      <c r="H478" s="143"/>
      <c r="I478" s="111"/>
      <c r="J478" s="112"/>
      <c r="K478" s="230"/>
      <c r="L478" s="31"/>
      <c r="M478" s="39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</row>
    <row r="479">
      <c r="A479" s="224"/>
      <c r="B479" s="229"/>
      <c r="C479" s="225"/>
      <c r="D479" s="226"/>
      <c r="E479" s="227"/>
      <c r="F479" s="228"/>
      <c r="G479" s="33"/>
      <c r="H479" s="143"/>
      <c r="I479" s="111"/>
      <c r="J479" s="112"/>
      <c r="K479" s="230"/>
      <c r="L479" s="31"/>
      <c r="M479" s="39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</row>
    <row r="480">
      <c r="A480" s="224"/>
      <c r="B480" s="229"/>
      <c r="C480" s="225"/>
      <c r="D480" s="226"/>
      <c r="E480" s="227"/>
      <c r="F480" s="228"/>
      <c r="G480" s="33"/>
      <c r="H480" s="143"/>
      <c r="I480" s="111"/>
      <c r="J480" s="112"/>
      <c r="K480" s="230"/>
      <c r="L480" s="31"/>
      <c r="M480" s="39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</row>
    <row r="481">
      <c r="A481" s="224"/>
      <c r="B481" s="229"/>
      <c r="C481" s="225"/>
      <c r="D481" s="226"/>
      <c r="E481" s="227"/>
      <c r="F481" s="228"/>
      <c r="G481" s="33"/>
      <c r="H481" s="143"/>
      <c r="I481" s="111"/>
      <c r="J481" s="112"/>
      <c r="K481" s="230"/>
      <c r="L481" s="31"/>
      <c r="M481" s="39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</row>
    <row r="482">
      <c r="A482" s="224"/>
      <c r="B482" s="229"/>
      <c r="C482" s="225"/>
      <c r="D482" s="226"/>
      <c r="E482" s="227"/>
      <c r="F482" s="228"/>
      <c r="G482" s="33"/>
      <c r="H482" s="143"/>
      <c r="I482" s="111"/>
      <c r="J482" s="112"/>
      <c r="K482" s="230"/>
      <c r="L482" s="31"/>
      <c r="M482" s="39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</row>
    <row r="483">
      <c r="A483" s="224"/>
      <c r="B483" s="229"/>
      <c r="C483" s="225"/>
      <c r="D483" s="226"/>
      <c r="E483" s="227"/>
      <c r="F483" s="228"/>
      <c r="G483" s="33"/>
      <c r="H483" s="143"/>
      <c r="I483" s="111"/>
      <c r="J483" s="112"/>
      <c r="K483" s="230"/>
      <c r="L483" s="31"/>
      <c r="M483" s="39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</row>
    <row r="484">
      <c r="A484" s="224"/>
      <c r="B484" s="229"/>
      <c r="C484" s="225"/>
      <c r="D484" s="226"/>
      <c r="E484" s="227"/>
      <c r="F484" s="228"/>
      <c r="G484" s="33"/>
      <c r="H484" s="143"/>
      <c r="I484" s="111"/>
      <c r="J484" s="112"/>
      <c r="K484" s="230"/>
      <c r="L484" s="31"/>
      <c r="M484" s="39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</row>
    <row r="485">
      <c r="A485" s="224"/>
      <c r="B485" s="229"/>
      <c r="C485" s="225"/>
      <c r="D485" s="226"/>
      <c r="E485" s="227"/>
      <c r="F485" s="228"/>
      <c r="G485" s="33"/>
      <c r="H485" s="143"/>
      <c r="I485" s="111"/>
      <c r="J485" s="112"/>
      <c r="K485" s="230"/>
      <c r="L485" s="31"/>
      <c r="M485" s="39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</row>
    <row r="486">
      <c r="A486" s="224"/>
      <c r="B486" s="229"/>
      <c r="C486" s="225"/>
      <c r="D486" s="226"/>
      <c r="E486" s="227"/>
      <c r="F486" s="228"/>
      <c r="G486" s="33"/>
      <c r="H486" s="143"/>
      <c r="I486" s="111"/>
      <c r="J486" s="112"/>
      <c r="K486" s="230"/>
      <c r="L486" s="31"/>
      <c r="M486" s="39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</row>
    <row r="487">
      <c r="A487" s="224"/>
      <c r="B487" s="229"/>
      <c r="C487" s="225"/>
      <c r="D487" s="226"/>
      <c r="E487" s="227"/>
      <c r="F487" s="228"/>
      <c r="G487" s="33"/>
      <c r="H487" s="143"/>
      <c r="I487" s="111"/>
      <c r="J487" s="112"/>
      <c r="K487" s="230"/>
      <c r="L487" s="31"/>
      <c r="M487" s="39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</row>
    <row r="488">
      <c r="A488" s="224"/>
      <c r="B488" s="229"/>
      <c r="C488" s="225"/>
      <c r="D488" s="226"/>
      <c r="E488" s="227"/>
      <c r="F488" s="228"/>
      <c r="G488" s="33"/>
      <c r="H488" s="143"/>
      <c r="I488" s="111"/>
      <c r="J488" s="112"/>
      <c r="K488" s="230"/>
      <c r="L488" s="31"/>
      <c r="M488" s="39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</row>
    <row r="489">
      <c r="A489" s="224"/>
      <c r="B489" s="229"/>
      <c r="C489" s="225"/>
      <c r="D489" s="226"/>
      <c r="E489" s="227"/>
      <c r="F489" s="228"/>
      <c r="G489" s="33"/>
      <c r="H489" s="143"/>
      <c r="I489" s="111"/>
      <c r="J489" s="112"/>
      <c r="K489" s="230"/>
      <c r="L489" s="31"/>
      <c r="M489" s="39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</row>
    <row r="490">
      <c r="A490" s="224"/>
      <c r="B490" s="229"/>
      <c r="C490" s="225"/>
      <c r="D490" s="226"/>
      <c r="E490" s="227"/>
      <c r="F490" s="228"/>
      <c r="G490" s="33"/>
      <c r="H490" s="143"/>
      <c r="I490" s="111"/>
      <c r="J490" s="112"/>
      <c r="K490" s="230"/>
      <c r="L490" s="31"/>
      <c r="M490" s="39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</row>
    <row r="491">
      <c r="A491" s="224"/>
      <c r="B491" s="229"/>
      <c r="C491" s="225"/>
      <c r="D491" s="226"/>
      <c r="E491" s="227"/>
      <c r="F491" s="228"/>
      <c r="G491" s="33"/>
      <c r="H491" s="143"/>
      <c r="I491" s="111"/>
      <c r="J491" s="112"/>
      <c r="K491" s="230"/>
      <c r="L491" s="31"/>
      <c r="M491" s="39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</row>
    <row r="492">
      <c r="A492" s="224"/>
      <c r="B492" s="229"/>
      <c r="C492" s="225"/>
      <c r="D492" s="226"/>
      <c r="E492" s="227"/>
      <c r="F492" s="228"/>
      <c r="G492" s="33"/>
      <c r="H492" s="143"/>
      <c r="I492" s="111"/>
      <c r="J492" s="112"/>
      <c r="K492" s="230"/>
      <c r="L492" s="31"/>
      <c r="M492" s="39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</row>
    <row r="493">
      <c r="A493" s="224"/>
      <c r="B493" s="229"/>
      <c r="C493" s="225"/>
      <c r="D493" s="226"/>
      <c r="E493" s="227"/>
      <c r="F493" s="228"/>
      <c r="G493" s="33"/>
      <c r="H493" s="143"/>
      <c r="I493" s="111"/>
      <c r="J493" s="112"/>
      <c r="K493" s="230"/>
      <c r="L493" s="31"/>
      <c r="M493" s="39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</row>
    <row r="494">
      <c r="A494" s="224"/>
      <c r="B494" s="229"/>
      <c r="C494" s="225"/>
      <c r="D494" s="226"/>
      <c r="E494" s="227"/>
      <c r="F494" s="228"/>
      <c r="G494" s="33"/>
      <c r="H494" s="143"/>
      <c r="I494" s="111"/>
      <c r="J494" s="112"/>
      <c r="K494" s="230"/>
      <c r="L494" s="31"/>
      <c r="M494" s="39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</row>
    <row r="495">
      <c r="A495" s="224"/>
      <c r="B495" s="229"/>
      <c r="C495" s="225"/>
      <c r="D495" s="226"/>
      <c r="E495" s="227"/>
      <c r="F495" s="228"/>
      <c r="G495" s="33"/>
      <c r="H495" s="143"/>
      <c r="I495" s="111"/>
      <c r="J495" s="112"/>
      <c r="K495" s="230"/>
      <c r="L495" s="31"/>
      <c r="M495" s="39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</row>
    <row r="496">
      <c r="A496" s="224"/>
      <c r="B496" s="229"/>
      <c r="C496" s="225"/>
      <c r="D496" s="226"/>
      <c r="E496" s="227"/>
      <c r="F496" s="228"/>
      <c r="G496" s="33"/>
      <c r="H496" s="143"/>
      <c r="I496" s="111"/>
      <c r="J496" s="112"/>
      <c r="K496" s="230"/>
      <c r="L496" s="31"/>
      <c r="M496" s="39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</row>
    <row r="497">
      <c r="A497" s="224"/>
      <c r="B497" s="229"/>
      <c r="C497" s="225"/>
      <c r="D497" s="226"/>
      <c r="E497" s="227"/>
      <c r="F497" s="228"/>
      <c r="G497" s="33"/>
      <c r="H497" s="143"/>
      <c r="I497" s="111"/>
      <c r="J497" s="112"/>
      <c r="K497" s="230"/>
      <c r="L497" s="31"/>
      <c r="M497" s="39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</row>
    <row r="498">
      <c r="A498" s="224"/>
      <c r="B498" s="229"/>
      <c r="C498" s="225"/>
      <c r="D498" s="226"/>
      <c r="E498" s="227"/>
      <c r="F498" s="228"/>
      <c r="G498" s="33"/>
      <c r="H498" s="143"/>
      <c r="I498" s="111"/>
      <c r="J498" s="112"/>
      <c r="K498" s="230"/>
      <c r="L498" s="31"/>
      <c r="M498" s="39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</row>
    <row r="499">
      <c r="A499" s="224"/>
      <c r="B499" s="229"/>
      <c r="C499" s="225"/>
      <c r="D499" s="226"/>
      <c r="E499" s="227"/>
      <c r="F499" s="228"/>
      <c r="G499" s="33"/>
      <c r="H499" s="143"/>
      <c r="I499" s="111"/>
      <c r="J499" s="112"/>
      <c r="K499" s="230"/>
      <c r="L499" s="31"/>
      <c r="M499" s="39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</row>
    <row r="500">
      <c r="A500" s="224"/>
      <c r="B500" s="229"/>
      <c r="C500" s="225"/>
      <c r="D500" s="226"/>
      <c r="E500" s="227"/>
      <c r="F500" s="228"/>
      <c r="G500" s="33"/>
      <c r="H500" s="143"/>
      <c r="I500" s="111"/>
      <c r="J500" s="112"/>
      <c r="K500" s="230"/>
      <c r="L500" s="31"/>
      <c r="M500" s="39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</row>
    <row r="501">
      <c r="A501" s="224"/>
      <c r="B501" s="229"/>
      <c r="C501" s="225"/>
      <c r="D501" s="226"/>
      <c r="E501" s="227"/>
      <c r="F501" s="228"/>
      <c r="G501" s="33"/>
      <c r="H501" s="143"/>
      <c r="I501" s="111"/>
      <c r="J501" s="112"/>
      <c r="K501" s="230"/>
      <c r="L501" s="31"/>
      <c r="M501" s="39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</row>
    <row r="502">
      <c r="A502" s="224"/>
      <c r="B502" s="229"/>
      <c r="C502" s="225"/>
      <c r="D502" s="226"/>
      <c r="E502" s="227"/>
      <c r="F502" s="228"/>
      <c r="G502" s="33"/>
      <c r="H502" s="143"/>
      <c r="I502" s="111"/>
      <c r="J502" s="112"/>
      <c r="K502" s="230"/>
      <c r="L502" s="31"/>
      <c r="M502" s="39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</row>
    <row r="503">
      <c r="A503" s="224"/>
      <c r="B503" s="229"/>
      <c r="C503" s="225"/>
      <c r="D503" s="226"/>
      <c r="E503" s="227"/>
      <c r="F503" s="228"/>
      <c r="G503" s="33"/>
      <c r="H503" s="143"/>
      <c r="I503" s="111"/>
      <c r="J503" s="112"/>
      <c r="K503" s="230"/>
      <c r="L503" s="31"/>
      <c r="M503" s="39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</row>
    <row r="504">
      <c r="A504" s="224"/>
      <c r="B504" s="229"/>
      <c r="C504" s="225"/>
      <c r="D504" s="226"/>
      <c r="E504" s="227"/>
      <c r="F504" s="228"/>
      <c r="G504" s="33"/>
      <c r="H504" s="143"/>
      <c r="I504" s="111"/>
      <c r="J504" s="112"/>
      <c r="K504" s="230"/>
      <c r="L504" s="31"/>
      <c r="M504" s="39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</row>
    <row r="505">
      <c r="A505" s="224"/>
      <c r="B505" s="229"/>
      <c r="C505" s="225"/>
      <c r="D505" s="226"/>
      <c r="E505" s="227"/>
      <c r="F505" s="228"/>
      <c r="G505" s="33"/>
      <c r="H505" s="143"/>
      <c r="I505" s="111"/>
      <c r="J505" s="112"/>
      <c r="K505" s="230"/>
      <c r="L505" s="31"/>
      <c r="M505" s="39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</row>
    <row r="506">
      <c r="A506" s="224"/>
      <c r="B506" s="229"/>
      <c r="C506" s="225"/>
      <c r="D506" s="226"/>
      <c r="E506" s="227"/>
      <c r="F506" s="228"/>
      <c r="G506" s="33"/>
      <c r="H506" s="143"/>
      <c r="I506" s="111"/>
      <c r="J506" s="112"/>
      <c r="K506" s="230"/>
      <c r="L506" s="31"/>
      <c r="M506" s="39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</row>
    <row r="507">
      <c r="A507" s="224"/>
      <c r="B507" s="229"/>
      <c r="C507" s="225"/>
      <c r="D507" s="226"/>
      <c r="E507" s="227"/>
      <c r="F507" s="228"/>
      <c r="G507" s="33"/>
      <c r="H507" s="143"/>
      <c r="I507" s="111"/>
      <c r="J507" s="112"/>
      <c r="K507" s="230"/>
      <c r="L507" s="31"/>
      <c r="M507" s="39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</row>
    <row r="508">
      <c r="A508" s="224"/>
      <c r="B508" s="229"/>
      <c r="C508" s="225"/>
      <c r="D508" s="226"/>
      <c r="E508" s="227"/>
      <c r="F508" s="228"/>
      <c r="G508" s="33"/>
      <c r="H508" s="143"/>
      <c r="I508" s="111"/>
      <c r="J508" s="112"/>
      <c r="K508" s="230"/>
      <c r="L508" s="31"/>
      <c r="M508" s="39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</row>
    <row r="509">
      <c r="A509" s="224"/>
      <c r="B509" s="229"/>
      <c r="C509" s="225"/>
      <c r="D509" s="226"/>
      <c r="E509" s="227"/>
      <c r="F509" s="228"/>
      <c r="G509" s="33"/>
      <c r="H509" s="143"/>
      <c r="I509" s="111"/>
      <c r="J509" s="112"/>
      <c r="K509" s="230"/>
      <c r="L509" s="31"/>
      <c r="M509" s="39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</row>
    <row r="510">
      <c r="A510" s="224"/>
      <c r="B510" s="229"/>
      <c r="C510" s="225"/>
      <c r="D510" s="226"/>
      <c r="E510" s="227"/>
      <c r="F510" s="228"/>
      <c r="G510" s="33"/>
      <c r="H510" s="143"/>
      <c r="I510" s="111"/>
      <c r="J510" s="112"/>
      <c r="K510" s="230"/>
      <c r="L510" s="31"/>
      <c r="M510" s="39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</row>
    <row r="511">
      <c r="A511" s="224"/>
      <c r="B511" s="229"/>
      <c r="C511" s="225"/>
      <c r="D511" s="226"/>
      <c r="E511" s="227"/>
      <c r="F511" s="228"/>
      <c r="G511" s="33"/>
      <c r="H511" s="143"/>
      <c r="I511" s="111"/>
      <c r="J511" s="112"/>
      <c r="K511" s="230"/>
      <c r="L511" s="31"/>
      <c r="M511" s="39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</row>
    <row r="512">
      <c r="A512" s="224"/>
      <c r="B512" s="229"/>
      <c r="C512" s="225"/>
      <c r="D512" s="226"/>
      <c r="E512" s="227"/>
      <c r="F512" s="228"/>
      <c r="G512" s="33"/>
      <c r="H512" s="143"/>
      <c r="I512" s="111"/>
      <c r="J512" s="112"/>
      <c r="K512" s="230"/>
      <c r="L512" s="31"/>
      <c r="M512" s="39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</row>
    <row r="513">
      <c r="A513" s="224"/>
      <c r="B513" s="229"/>
      <c r="C513" s="225"/>
      <c r="D513" s="226"/>
      <c r="E513" s="227"/>
      <c r="F513" s="228"/>
      <c r="G513" s="33"/>
      <c r="H513" s="143"/>
      <c r="I513" s="111"/>
      <c r="J513" s="112"/>
      <c r="K513" s="230"/>
      <c r="L513" s="31"/>
      <c r="M513" s="39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</row>
    <row r="514">
      <c r="A514" s="224"/>
      <c r="B514" s="229"/>
      <c r="C514" s="225"/>
      <c r="D514" s="226"/>
      <c r="E514" s="227"/>
      <c r="F514" s="228"/>
      <c r="G514" s="33"/>
      <c r="H514" s="143"/>
      <c r="I514" s="111"/>
      <c r="J514" s="112"/>
      <c r="K514" s="230"/>
      <c r="L514" s="31"/>
      <c r="M514" s="39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</row>
    <row r="515">
      <c r="A515" s="224"/>
      <c r="B515" s="229"/>
      <c r="C515" s="225"/>
      <c r="D515" s="226"/>
      <c r="E515" s="227"/>
      <c r="F515" s="228"/>
      <c r="G515" s="33"/>
      <c r="H515" s="143"/>
      <c r="I515" s="111"/>
      <c r="J515" s="112"/>
      <c r="K515" s="230"/>
      <c r="L515" s="31"/>
      <c r="M515" s="39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</row>
    <row r="516">
      <c r="A516" s="224"/>
      <c r="B516" s="229"/>
      <c r="C516" s="225"/>
      <c r="D516" s="226"/>
      <c r="E516" s="227"/>
      <c r="F516" s="228"/>
      <c r="G516" s="33"/>
      <c r="H516" s="143"/>
      <c r="I516" s="111"/>
      <c r="J516" s="112"/>
      <c r="K516" s="230"/>
      <c r="L516" s="31"/>
      <c r="M516" s="39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</row>
    <row r="517">
      <c r="A517" s="224"/>
      <c r="B517" s="229"/>
      <c r="C517" s="225"/>
      <c r="D517" s="226"/>
      <c r="E517" s="227"/>
      <c r="F517" s="228"/>
      <c r="G517" s="33"/>
      <c r="H517" s="143"/>
      <c r="I517" s="111"/>
      <c r="J517" s="112"/>
      <c r="K517" s="230"/>
      <c r="L517" s="31"/>
      <c r="M517" s="39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</row>
    <row r="518">
      <c r="A518" s="224"/>
      <c r="B518" s="229"/>
      <c r="C518" s="225"/>
      <c r="D518" s="226"/>
      <c r="E518" s="227"/>
      <c r="F518" s="228"/>
      <c r="G518" s="33"/>
      <c r="H518" s="143"/>
      <c r="I518" s="111"/>
      <c r="J518" s="112"/>
      <c r="K518" s="230"/>
      <c r="L518" s="31"/>
      <c r="M518" s="39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</row>
    <row r="519">
      <c r="A519" s="224"/>
      <c r="B519" s="229"/>
      <c r="C519" s="225"/>
      <c r="D519" s="226"/>
      <c r="E519" s="227"/>
      <c r="F519" s="228"/>
      <c r="G519" s="33"/>
      <c r="H519" s="143"/>
      <c r="I519" s="111"/>
      <c r="J519" s="112"/>
      <c r="K519" s="230"/>
      <c r="L519" s="31"/>
      <c r="M519" s="39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</row>
    <row r="520">
      <c r="A520" s="224"/>
      <c r="B520" s="229"/>
      <c r="C520" s="225"/>
      <c r="D520" s="226"/>
      <c r="E520" s="227"/>
      <c r="F520" s="228"/>
      <c r="G520" s="33"/>
      <c r="H520" s="143"/>
      <c r="I520" s="111"/>
      <c r="J520" s="112"/>
      <c r="K520" s="230"/>
      <c r="L520" s="31"/>
      <c r="M520" s="39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</row>
    <row r="521">
      <c r="A521" s="224"/>
      <c r="B521" s="229"/>
      <c r="C521" s="225"/>
      <c r="D521" s="226"/>
      <c r="E521" s="227"/>
      <c r="F521" s="228"/>
      <c r="G521" s="33"/>
      <c r="H521" s="143"/>
      <c r="I521" s="111"/>
      <c r="J521" s="112"/>
      <c r="K521" s="230"/>
      <c r="L521" s="31"/>
      <c r="M521" s="39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</row>
    <row r="522">
      <c r="A522" s="224"/>
      <c r="B522" s="229"/>
      <c r="C522" s="225"/>
      <c r="D522" s="226"/>
      <c r="E522" s="227"/>
      <c r="F522" s="228"/>
      <c r="G522" s="33"/>
      <c r="H522" s="143"/>
      <c r="I522" s="111"/>
      <c r="J522" s="112"/>
      <c r="K522" s="230"/>
      <c r="L522" s="31"/>
      <c r="M522" s="39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</row>
    <row r="523">
      <c r="A523" s="224"/>
      <c r="B523" s="229"/>
      <c r="C523" s="225"/>
      <c r="D523" s="226"/>
      <c r="E523" s="227"/>
      <c r="F523" s="228"/>
      <c r="G523" s="33"/>
      <c r="H523" s="143"/>
      <c r="I523" s="111"/>
      <c r="J523" s="112"/>
      <c r="K523" s="230"/>
      <c r="L523" s="31"/>
      <c r="M523" s="39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</row>
    <row r="524">
      <c r="A524" s="224"/>
      <c r="B524" s="229"/>
      <c r="C524" s="225"/>
      <c r="D524" s="226"/>
      <c r="E524" s="227"/>
      <c r="F524" s="228"/>
      <c r="G524" s="33"/>
      <c r="H524" s="143"/>
      <c r="I524" s="111"/>
      <c r="J524" s="112"/>
      <c r="K524" s="230"/>
      <c r="L524" s="31"/>
      <c r="M524" s="39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</row>
    <row r="525">
      <c r="A525" s="224"/>
      <c r="B525" s="229"/>
      <c r="C525" s="225"/>
      <c r="D525" s="226"/>
      <c r="E525" s="227"/>
      <c r="F525" s="228"/>
      <c r="G525" s="33"/>
      <c r="H525" s="143"/>
      <c r="I525" s="111"/>
      <c r="J525" s="112"/>
      <c r="K525" s="230"/>
      <c r="L525" s="31"/>
      <c r="M525" s="39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</row>
    <row r="526">
      <c r="A526" s="224"/>
      <c r="B526" s="229"/>
      <c r="C526" s="225"/>
      <c r="D526" s="226"/>
      <c r="E526" s="227"/>
      <c r="F526" s="228"/>
      <c r="G526" s="33"/>
      <c r="H526" s="143"/>
      <c r="I526" s="111"/>
      <c r="J526" s="112"/>
      <c r="K526" s="230"/>
      <c r="L526" s="31"/>
      <c r="M526" s="39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</row>
    <row r="527">
      <c r="A527" s="224"/>
      <c r="B527" s="229"/>
      <c r="C527" s="225"/>
      <c r="D527" s="226"/>
      <c r="E527" s="227"/>
      <c r="F527" s="228"/>
      <c r="G527" s="33"/>
      <c r="H527" s="143"/>
      <c r="I527" s="111"/>
      <c r="J527" s="112"/>
      <c r="K527" s="230"/>
      <c r="L527" s="31"/>
      <c r="M527" s="39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</row>
    <row r="528">
      <c r="A528" s="224"/>
      <c r="B528" s="229"/>
      <c r="C528" s="225"/>
      <c r="D528" s="226"/>
      <c r="E528" s="227"/>
      <c r="F528" s="228"/>
      <c r="G528" s="33"/>
      <c r="H528" s="143"/>
      <c r="I528" s="111"/>
      <c r="J528" s="112"/>
      <c r="K528" s="230"/>
      <c r="L528" s="31"/>
      <c r="M528" s="39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</row>
    <row r="529">
      <c r="A529" s="224"/>
      <c r="B529" s="229"/>
      <c r="C529" s="225"/>
      <c r="D529" s="226"/>
      <c r="E529" s="227"/>
      <c r="F529" s="228"/>
      <c r="G529" s="33"/>
      <c r="H529" s="143"/>
      <c r="I529" s="111"/>
      <c r="J529" s="112"/>
      <c r="K529" s="230"/>
      <c r="L529" s="31"/>
      <c r="M529" s="39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</row>
    <row r="530">
      <c r="A530" s="224"/>
      <c r="B530" s="229"/>
      <c r="C530" s="225"/>
      <c r="D530" s="226"/>
      <c r="E530" s="227"/>
      <c r="F530" s="228"/>
      <c r="G530" s="33"/>
      <c r="H530" s="143"/>
      <c r="I530" s="111"/>
      <c r="J530" s="112"/>
      <c r="K530" s="230"/>
      <c r="L530" s="31"/>
      <c r="M530" s="39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</row>
    <row r="531">
      <c r="A531" s="224"/>
      <c r="B531" s="229"/>
      <c r="C531" s="225"/>
      <c r="D531" s="226"/>
      <c r="E531" s="227"/>
      <c r="F531" s="228"/>
      <c r="G531" s="33"/>
      <c r="H531" s="143"/>
      <c r="I531" s="111"/>
      <c r="J531" s="112"/>
      <c r="K531" s="230"/>
      <c r="L531" s="31"/>
      <c r="M531" s="39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</row>
    <row r="532">
      <c r="A532" s="224"/>
      <c r="B532" s="229"/>
      <c r="C532" s="225"/>
      <c r="D532" s="226"/>
      <c r="E532" s="227"/>
      <c r="F532" s="228"/>
      <c r="G532" s="33"/>
      <c r="H532" s="143"/>
      <c r="I532" s="111"/>
      <c r="J532" s="112"/>
      <c r="K532" s="230"/>
      <c r="L532" s="31"/>
      <c r="M532" s="39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</row>
    <row r="533">
      <c r="A533" s="224"/>
      <c r="B533" s="229"/>
      <c r="C533" s="225"/>
      <c r="D533" s="226"/>
      <c r="E533" s="227"/>
      <c r="F533" s="228"/>
      <c r="G533" s="33"/>
      <c r="H533" s="143"/>
      <c r="I533" s="111"/>
      <c r="J533" s="112"/>
      <c r="K533" s="230"/>
      <c r="L533" s="31"/>
      <c r="M533" s="39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</row>
    <row r="534">
      <c r="A534" s="224"/>
      <c r="B534" s="229"/>
      <c r="C534" s="225"/>
      <c r="D534" s="226"/>
      <c r="E534" s="227"/>
      <c r="F534" s="228"/>
      <c r="G534" s="33"/>
      <c r="H534" s="143"/>
      <c r="I534" s="111"/>
      <c r="J534" s="112"/>
      <c r="K534" s="230"/>
      <c r="L534" s="31"/>
      <c r="M534" s="39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</row>
    <row r="535">
      <c r="A535" s="224"/>
      <c r="B535" s="229"/>
      <c r="C535" s="225"/>
      <c r="D535" s="226"/>
      <c r="E535" s="227"/>
      <c r="F535" s="228"/>
      <c r="G535" s="33"/>
      <c r="H535" s="143"/>
      <c r="I535" s="111"/>
      <c r="J535" s="112"/>
      <c r="K535" s="230"/>
      <c r="L535" s="31"/>
      <c r="M535" s="39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</row>
    <row r="536">
      <c r="A536" s="224"/>
      <c r="B536" s="229"/>
      <c r="C536" s="225"/>
      <c r="D536" s="226"/>
      <c r="E536" s="227"/>
      <c r="F536" s="228"/>
      <c r="G536" s="33"/>
      <c r="H536" s="143"/>
      <c r="I536" s="111"/>
      <c r="J536" s="112"/>
      <c r="K536" s="230"/>
      <c r="L536" s="31"/>
      <c r="M536" s="39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</row>
    <row r="537">
      <c r="A537" s="224"/>
      <c r="B537" s="229"/>
      <c r="C537" s="225"/>
      <c r="D537" s="226"/>
      <c r="E537" s="227"/>
      <c r="F537" s="228"/>
      <c r="G537" s="33"/>
      <c r="H537" s="143"/>
      <c r="I537" s="111"/>
      <c r="J537" s="112"/>
      <c r="K537" s="230"/>
      <c r="L537" s="31"/>
      <c r="M537" s="39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</row>
    <row r="538">
      <c r="A538" s="224"/>
      <c r="B538" s="229"/>
      <c r="C538" s="225"/>
      <c r="D538" s="226"/>
      <c r="E538" s="227"/>
      <c r="F538" s="228"/>
      <c r="G538" s="33"/>
      <c r="H538" s="143"/>
      <c r="I538" s="111"/>
      <c r="J538" s="112"/>
      <c r="K538" s="230"/>
      <c r="L538" s="31"/>
      <c r="M538" s="39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</row>
    <row r="539">
      <c r="A539" s="224"/>
      <c r="B539" s="229"/>
      <c r="C539" s="225"/>
      <c r="D539" s="226"/>
      <c r="E539" s="227"/>
      <c r="F539" s="228"/>
      <c r="G539" s="33"/>
      <c r="H539" s="143"/>
      <c r="I539" s="111"/>
      <c r="J539" s="112"/>
      <c r="K539" s="230"/>
      <c r="L539" s="31"/>
      <c r="M539" s="39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</row>
    <row r="540">
      <c r="A540" s="224"/>
      <c r="B540" s="229"/>
      <c r="C540" s="225"/>
      <c r="D540" s="226"/>
      <c r="E540" s="227"/>
      <c r="F540" s="228"/>
      <c r="G540" s="33"/>
      <c r="H540" s="143"/>
      <c r="I540" s="111"/>
      <c r="J540" s="112"/>
      <c r="K540" s="230"/>
      <c r="L540" s="31"/>
      <c r="M540" s="39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</row>
    <row r="541">
      <c r="A541" s="224"/>
      <c r="B541" s="229"/>
      <c r="C541" s="225"/>
      <c r="D541" s="226"/>
      <c r="E541" s="227"/>
      <c r="F541" s="228"/>
      <c r="G541" s="33"/>
      <c r="H541" s="143"/>
      <c r="I541" s="111"/>
      <c r="J541" s="112"/>
      <c r="K541" s="230"/>
      <c r="L541" s="31"/>
      <c r="M541" s="39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</row>
    <row r="542">
      <c r="A542" s="224"/>
      <c r="B542" s="229"/>
      <c r="C542" s="225"/>
      <c r="D542" s="226"/>
      <c r="E542" s="227"/>
      <c r="F542" s="228"/>
      <c r="G542" s="33"/>
      <c r="H542" s="143"/>
      <c r="I542" s="111"/>
      <c r="J542" s="112"/>
      <c r="K542" s="230"/>
      <c r="L542" s="31"/>
      <c r="M542" s="39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</row>
    <row r="543">
      <c r="A543" s="224"/>
      <c r="B543" s="229"/>
      <c r="C543" s="225"/>
      <c r="D543" s="226"/>
      <c r="E543" s="227"/>
      <c r="F543" s="228"/>
      <c r="G543" s="33"/>
      <c r="H543" s="143"/>
      <c r="I543" s="111"/>
      <c r="J543" s="112"/>
      <c r="K543" s="230"/>
      <c r="L543" s="31"/>
      <c r="M543" s="39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</row>
    <row r="544">
      <c r="A544" s="224"/>
      <c r="B544" s="229"/>
      <c r="C544" s="225"/>
      <c r="D544" s="226"/>
      <c r="E544" s="227"/>
      <c r="F544" s="228"/>
      <c r="G544" s="33"/>
      <c r="H544" s="143"/>
      <c r="I544" s="111"/>
      <c r="J544" s="112"/>
      <c r="K544" s="230"/>
      <c r="L544" s="31"/>
      <c r="M544" s="39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</row>
    <row r="545">
      <c r="A545" s="224"/>
      <c r="B545" s="229"/>
      <c r="C545" s="225"/>
      <c r="D545" s="226"/>
      <c r="E545" s="227"/>
      <c r="F545" s="228"/>
      <c r="G545" s="33"/>
      <c r="H545" s="143"/>
      <c r="I545" s="111"/>
      <c r="J545" s="112"/>
      <c r="K545" s="230"/>
      <c r="L545" s="31"/>
      <c r="M545" s="39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</row>
    <row r="546">
      <c r="A546" s="224"/>
      <c r="B546" s="229"/>
      <c r="C546" s="225"/>
      <c r="D546" s="226"/>
      <c r="E546" s="227"/>
      <c r="F546" s="228"/>
      <c r="G546" s="33"/>
      <c r="H546" s="143"/>
      <c r="I546" s="111"/>
      <c r="J546" s="112"/>
      <c r="K546" s="230"/>
      <c r="L546" s="31"/>
      <c r="M546" s="39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</row>
    <row r="547">
      <c r="A547" s="224"/>
      <c r="B547" s="229"/>
      <c r="C547" s="225"/>
      <c r="D547" s="226"/>
      <c r="E547" s="227"/>
      <c r="F547" s="228"/>
      <c r="G547" s="33"/>
      <c r="H547" s="143"/>
      <c r="I547" s="111"/>
      <c r="J547" s="112"/>
      <c r="K547" s="230"/>
      <c r="L547" s="31"/>
      <c r="M547" s="39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</row>
    <row r="548">
      <c r="A548" s="224"/>
      <c r="B548" s="229"/>
      <c r="C548" s="225"/>
      <c r="D548" s="226"/>
      <c r="E548" s="227"/>
      <c r="F548" s="228"/>
      <c r="G548" s="33"/>
      <c r="H548" s="143"/>
      <c r="I548" s="111"/>
      <c r="J548" s="112"/>
      <c r="K548" s="230"/>
      <c r="L548" s="31"/>
      <c r="M548" s="39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</row>
    <row r="549">
      <c r="A549" s="224"/>
      <c r="B549" s="229"/>
      <c r="C549" s="225"/>
      <c r="D549" s="226"/>
      <c r="E549" s="227"/>
      <c r="F549" s="228"/>
      <c r="G549" s="33"/>
      <c r="H549" s="143"/>
      <c r="I549" s="111"/>
      <c r="J549" s="112"/>
      <c r="K549" s="230"/>
      <c r="L549" s="31"/>
      <c r="M549" s="39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</row>
    <row r="550">
      <c r="A550" s="224"/>
      <c r="B550" s="229"/>
      <c r="C550" s="225"/>
      <c r="D550" s="226"/>
      <c r="E550" s="227"/>
      <c r="F550" s="228"/>
      <c r="G550" s="33"/>
      <c r="H550" s="143"/>
      <c r="I550" s="111"/>
      <c r="J550" s="112"/>
      <c r="K550" s="230"/>
      <c r="L550" s="31"/>
      <c r="M550" s="39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</row>
    <row r="551">
      <c r="A551" s="224"/>
      <c r="B551" s="229"/>
      <c r="C551" s="225"/>
      <c r="D551" s="226"/>
      <c r="E551" s="227"/>
      <c r="F551" s="228"/>
      <c r="G551" s="33"/>
      <c r="H551" s="143"/>
      <c r="I551" s="111"/>
      <c r="J551" s="112"/>
      <c r="K551" s="230"/>
      <c r="L551" s="31"/>
      <c r="M551" s="39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</row>
    <row r="552">
      <c r="A552" s="224"/>
      <c r="B552" s="229"/>
      <c r="C552" s="225"/>
      <c r="D552" s="226"/>
      <c r="E552" s="227"/>
      <c r="F552" s="228"/>
      <c r="G552" s="33"/>
      <c r="H552" s="143"/>
      <c r="I552" s="111"/>
      <c r="J552" s="112"/>
      <c r="K552" s="230"/>
      <c r="L552" s="31"/>
      <c r="M552" s="39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</row>
    <row r="553">
      <c r="A553" s="224"/>
      <c r="B553" s="229"/>
      <c r="C553" s="225"/>
      <c r="D553" s="226"/>
      <c r="E553" s="227"/>
      <c r="F553" s="228"/>
      <c r="G553" s="33"/>
      <c r="H553" s="143"/>
      <c r="I553" s="111"/>
      <c r="J553" s="112"/>
      <c r="K553" s="230"/>
      <c r="L553" s="31"/>
      <c r="M553" s="39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</row>
    <row r="554">
      <c r="A554" s="224"/>
      <c r="B554" s="229"/>
      <c r="C554" s="225"/>
      <c r="D554" s="226"/>
      <c r="E554" s="227"/>
      <c r="F554" s="228"/>
      <c r="G554" s="33"/>
      <c r="H554" s="143"/>
      <c r="I554" s="111"/>
      <c r="J554" s="112"/>
      <c r="K554" s="230"/>
      <c r="L554" s="31"/>
      <c r="M554" s="39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</row>
    <row r="555">
      <c r="A555" s="224"/>
      <c r="B555" s="229"/>
      <c r="C555" s="225"/>
      <c r="D555" s="226"/>
      <c r="E555" s="227"/>
      <c r="F555" s="228"/>
      <c r="G555" s="33"/>
      <c r="H555" s="143"/>
      <c r="I555" s="111"/>
      <c r="J555" s="112"/>
      <c r="K555" s="230"/>
      <c r="L555" s="31"/>
      <c r="M555" s="39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</row>
    <row r="556">
      <c r="A556" s="224"/>
      <c r="B556" s="229"/>
      <c r="C556" s="225"/>
      <c r="D556" s="226"/>
      <c r="E556" s="227"/>
      <c r="F556" s="228"/>
      <c r="G556" s="33"/>
      <c r="H556" s="143"/>
      <c r="I556" s="111"/>
      <c r="J556" s="112"/>
      <c r="K556" s="230"/>
      <c r="L556" s="31"/>
      <c r="M556" s="39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</row>
    <row r="557">
      <c r="A557" s="224"/>
      <c r="B557" s="229"/>
      <c r="C557" s="225"/>
      <c r="D557" s="226"/>
      <c r="E557" s="227"/>
      <c r="F557" s="228"/>
      <c r="G557" s="33"/>
      <c r="H557" s="143"/>
      <c r="I557" s="111"/>
      <c r="J557" s="112"/>
      <c r="K557" s="230"/>
      <c r="L557" s="31"/>
      <c r="M557" s="39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</row>
    <row r="558">
      <c r="A558" s="224"/>
      <c r="B558" s="229"/>
      <c r="C558" s="225"/>
      <c r="D558" s="226"/>
      <c r="E558" s="227"/>
      <c r="F558" s="228"/>
      <c r="G558" s="33"/>
      <c r="H558" s="143"/>
      <c r="I558" s="111"/>
      <c r="J558" s="112"/>
      <c r="K558" s="230"/>
      <c r="L558" s="31"/>
      <c r="M558" s="39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</row>
    <row r="559">
      <c r="A559" s="224"/>
      <c r="B559" s="229"/>
      <c r="C559" s="225"/>
      <c r="D559" s="226"/>
      <c r="E559" s="227"/>
      <c r="F559" s="228"/>
      <c r="G559" s="33"/>
      <c r="H559" s="143"/>
      <c r="I559" s="111"/>
      <c r="J559" s="112"/>
      <c r="K559" s="230"/>
      <c r="L559" s="31"/>
      <c r="M559" s="39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</row>
    <row r="560">
      <c r="A560" s="224"/>
      <c r="B560" s="229"/>
      <c r="C560" s="225"/>
      <c r="D560" s="226"/>
      <c r="E560" s="227"/>
      <c r="F560" s="228"/>
      <c r="G560" s="33"/>
      <c r="H560" s="143"/>
      <c r="I560" s="111"/>
      <c r="J560" s="112"/>
      <c r="K560" s="230"/>
      <c r="L560" s="31"/>
      <c r="M560" s="39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</row>
    <row r="561">
      <c r="A561" s="224"/>
      <c r="B561" s="229"/>
      <c r="C561" s="225"/>
      <c r="D561" s="226"/>
      <c r="E561" s="227"/>
      <c r="F561" s="228"/>
      <c r="G561" s="33"/>
      <c r="H561" s="143"/>
      <c r="I561" s="111"/>
      <c r="J561" s="112"/>
      <c r="K561" s="230"/>
      <c r="L561" s="31"/>
      <c r="M561" s="39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</row>
    <row r="562">
      <c r="A562" s="224"/>
      <c r="B562" s="229"/>
      <c r="C562" s="225"/>
      <c r="D562" s="226"/>
      <c r="E562" s="227"/>
      <c r="F562" s="228"/>
      <c r="G562" s="33"/>
      <c r="H562" s="143"/>
      <c r="I562" s="111"/>
      <c r="J562" s="112"/>
      <c r="K562" s="230"/>
      <c r="L562" s="31"/>
      <c r="M562" s="39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</row>
    <row r="563">
      <c r="A563" s="224"/>
      <c r="B563" s="229"/>
      <c r="C563" s="225"/>
      <c r="D563" s="226"/>
      <c r="E563" s="227"/>
      <c r="F563" s="228"/>
      <c r="G563" s="33"/>
      <c r="H563" s="143"/>
      <c r="I563" s="111"/>
      <c r="J563" s="112"/>
      <c r="K563" s="230"/>
      <c r="L563" s="31"/>
      <c r="M563" s="39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</row>
    <row r="564">
      <c r="A564" s="224"/>
      <c r="B564" s="229"/>
      <c r="C564" s="225"/>
      <c r="D564" s="226"/>
      <c r="E564" s="227"/>
      <c r="F564" s="228"/>
      <c r="G564" s="33"/>
      <c r="H564" s="143"/>
      <c r="I564" s="111"/>
      <c r="J564" s="112"/>
      <c r="K564" s="230"/>
      <c r="L564" s="31"/>
      <c r="M564" s="39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</row>
    <row r="565">
      <c r="A565" s="224"/>
      <c r="B565" s="229"/>
      <c r="C565" s="225"/>
      <c r="D565" s="226"/>
      <c r="E565" s="227"/>
      <c r="F565" s="228"/>
      <c r="G565" s="33"/>
      <c r="H565" s="143"/>
      <c r="I565" s="111"/>
      <c r="J565" s="112"/>
      <c r="K565" s="230"/>
      <c r="L565" s="31"/>
      <c r="M565" s="39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</row>
    <row r="566">
      <c r="A566" s="224"/>
      <c r="B566" s="229"/>
      <c r="C566" s="225"/>
      <c r="D566" s="226"/>
      <c r="E566" s="227"/>
      <c r="F566" s="228"/>
      <c r="G566" s="33"/>
      <c r="H566" s="143"/>
      <c r="I566" s="111"/>
      <c r="J566" s="112"/>
      <c r="K566" s="230"/>
      <c r="L566" s="31"/>
      <c r="M566" s="39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</row>
    <row r="567">
      <c r="A567" s="224"/>
      <c r="B567" s="229"/>
      <c r="C567" s="225"/>
      <c r="D567" s="226"/>
      <c r="E567" s="227"/>
      <c r="F567" s="228"/>
      <c r="G567" s="33"/>
      <c r="H567" s="143"/>
      <c r="I567" s="111"/>
      <c r="J567" s="112"/>
      <c r="K567" s="230"/>
      <c r="L567" s="31"/>
      <c r="M567" s="39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</row>
    <row r="568">
      <c r="A568" s="224"/>
      <c r="B568" s="229"/>
      <c r="C568" s="225"/>
      <c r="D568" s="226"/>
      <c r="E568" s="227"/>
      <c r="F568" s="228"/>
      <c r="G568" s="33"/>
      <c r="H568" s="143"/>
      <c r="I568" s="111"/>
      <c r="J568" s="112"/>
      <c r="K568" s="230"/>
      <c r="L568" s="31"/>
      <c r="M568" s="39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</row>
    <row r="569">
      <c r="A569" s="224"/>
      <c r="B569" s="229"/>
      <c r="C569" s="225"/>
      <c r="D569" s="226"/>
      <c r="E569" s="227"/>
      <c r="F569" s="228"/>
      <c r="G569" s="33"/>
      <c r="H569" s="143"/>
      <c r="I569" s="111"/>
      <c r="J569" s="112"/>
      <c r="K569" s="230"/>
      <c r="L569" s="31"/>
      <c r="M569" s="39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</row>
    <row r="570">
      <c r="A570" s="224"/>
      <c r="B570" s="229"/>
      <c r="C570" s="225"/>
      <c r="D570" s="226"/>
      <c r="E570" s="227"/>
      <c r="F570" s="228"/>
      <c r="G570" s="33"/>
      <c r="H570" s="143"/>
      <c r="I570" s="111"/>
      <c r="J570" s="112"/>
      <c r="K570" s="230"/>
      <c r="L570" s="31"/>
      <c r="M570" s="39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</row>
    <row r="571">
      <c r="A571" s="224"/>
      <c r="B571" s="229"/>
      <c r="C571" s="225"/>
      <c r="D571" s="226"/>
      <c r="E571" s="227"/>
      <c r="F571" s="228"/>
      <c r="G571" s="33"/>
      <c r="H571" s="143"/>
      <c r="I571" s="111"/>
      <c r="J571" s="112"/>
      <c r="K571" s="230"/>
      <c r="L571" s="31"/>
      <c r="M571" s="39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</row>
    <row r="572">
      <c r="A572" s="224"/>
      <c r="B572" s="229"/>
      <c r="C572" s="225"/>
      <c r="D572" s="226"/>
      <c r="E572" s="227"/>
      <c r="F572" s="228"/>
      <c r="G572" s="33"/>
      <c r="H572" s="143"/>
      <c r="I572" s="111"/>
      <c r="J572" s="112"/>
      <c r="K572" s="230"/>
      <c r="L572" s="31"/>
      <c r="M572" s="39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</row>
    <row r="573">
      <c r="A573" s="224"/>
      <c r="B573" s="229"/>
      <c r="C573" s="225"/>
      <c r="D573" s="226"/>
      <c r="E573" s="227"/>
      <c r="F573" s="228"/>
      <c r="G573" s="33"/>
      <c r="H573" s="143"/>
      <c r="I573" s="111"/>
      <c r="J573" s="112"/>
      <c r="K573" s="230"/>
      <c r="L573" s="31"/>
      <c r="M573" s="39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</row>
    <row r="574">
      <c r="A574" s="224"/>
      <c r="B574" s="229"/>
      <c r="C574" s="225"/>
      <c r="D574" s="226"/>
      <c r="E574" s="227"/>
      <c r="F574" s="228"/>
      <c r="G574" s="33"/>
      <c r="H574" s="143"/>
      <c r="I574" s="111"/>
      <c r="J574" s="112"/>
      <c r="K574" s="230"/>
      <c r="L574" s="31"/>
      <c r="M574" s="39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</row>
    <row r="575">
      <c r="A575" s="224"/>
      <c r="B575" s="229"/>
      <c r="C575" s="225"/>
      <c r="D575" s="226"/>
      <c r="E575" s="227"/>
      <c r="F575" s="228"/>
      <c r="G575" s="33"/>
      <c r="H575" s="143"/>
      <c r="I575" s="111"/>
      <c r="J575" s="112"/>
      <c r="K575" s="230"/>
      <c r="L575" s="31"/>
      <c r="M575" s="39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</row>
    <row r="576">
      <c r="A576" s="224"/>
      <c r="B576" s="229"/>
      <c r="C576" s="225"/>
      <c r="D576" s="226"/>
      <c r="E576" s="227"/>
      <c r="F576" s="228"/>
      <c r="G576" s="33"/>
      <c r="H576" s="143"/>
      <c r="I576" s="111"/>
      <c r="J576" s="112"/>
      <c r="K576" s="230"/>
      <c r="L576" s="31"/>
      <c r="M576" s="39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</row>
    <row r="577">
      <c r="A577" s="224"/>
      <c r="B577" s="229"/>
      <c r="C577" s="225"/>
      <c r="D577" s="226"/>
      <c r="E577" s="227"/>
      <c r="F577" s="228"/>
      <c r="G577" s="33"/>
      <c r="H577" s="143"/>
      <c r="I577" s="111"/>
      <c r="J577" s="112"/>
      <c r="K577" s="230"/>
      <c r="L577" s="31"/>
      <c r="M577" s="39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</row>
    <row r="578">
      <c r="A578" s="224"/>
      <c r="B578" s="229"/>
      <c r="C578" s="225"/>
      <c r="D578" s="226"/>
      <c r="E578" s="227"/>
      <c r="F578" s="228"/>
      <c r="G578" s="33"/>
      <c r="H578" s="143"/>
      <c r="I578" s="111"/>
      <c r="J578" s="112"/>
      <c r="K578" s="230"/>
      <c r="L578" s="31"/>
      <c r="M578" s="39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</row>
    <row r="579">
      <c r="A579" s="224"/>
      <c r="B579" s="229"/>
      <c r="C579" s="225"/>
      <c r="D579" s="226"/>
      <c r="E579" s="227"/>
      <c r="F579" s="228"/>
      <c r="G579" s="33"/>
      <c r="H579" s="143"/>
      <c r="I579" s="111"/>
      <c r="J579" s="112"/>
      <c r="K579" s="230"/>
      <c r="L579" s="31"/>
      <c r="M579" s="39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</row>
    <row r="580">
      <c r="A580" s="224"/>
      <c r="B580" s="229"/>
      <c r="C580" s="225"/>
      <c r="D580" s="226"/>
      <c r="E580" s="227"/>
      <c r="F580" s="228"/>
      <c r="G580" s="33"/>
      <c r="H580" s="143"/>
      <c r="I580" s="111"/>
      <c r="J580" s="112"/>
      <c r="K580" s="230"/>
      <c r="L580" s="31"/>
      <c r="M580" s="39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</row>
    <row r="581">
      <c r="A581" s="224"/>
      <c r="B581" s="229"/>
      <c r="C581" s="225"/>
      <c r="D581" s="226"/>
      <c r="E581" s="227"/>
      <c r="F581" s="228"/>
      <c r="G581" s="33"/>
      <c r="H581" s="143"/>
      <c r="I581" s="111"/>
      <c r="J581" s="112"/>
      <c r="K581" s="230"/>
      <c r="L581" s="31"/>
      <c r="M581" s="39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</row>
    <row r="582">
      <c r="A582" s="224"/>
      <c r="B582" s="229"/>
      <c r="C582" s="225"/>
      <c r="D582" s="226"/>
      <c r="E582" s="227"/>
      <c r="F582" s="228"/>
      <c r="G582" s="33"/>
      <c r="H582" s="143"/>
      <c r="I582" s="111"/>
      <c r="J582" s="112"/>
      <c r="K582" s="230"/>
      <c r="L582" s="31"/>
      <c r="M582" s="39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</row>
    <row r="583">
      <c r="A583" s="224"/>
      <c r="B583" s="229"/>
      <c r="C583" s="225"/>
      <c r="D583" s="226"/>
      <c r="E583" s="227"/>
      <c r="F583" s="228"/>
      <c r="G583" s="33"/>
      <c r="H583" s="143"/>
      <c r="I583" s="111"/>
      <c r="J583" s="112"/>
      <c r="K583" s="230"/>
      <c r="L583" s="31"/>
      <c r="M583" s="39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</row>
    <row r="584">
      <c r="A584" s="224"/>
      <c r="B584" s="229"/>
      <c r="C584" s="225"/>
      <c r="D584" s="226"/>
      <c r="E584" s="227"/>
      <c r="F584" s="228"/>
      <c r="G584" s="33"/>
      <c r="H584" s="143"/>
      <c r="I584" s="111"/>
      <c r="J584" s="112"/>
      <c r="K584" s="230"/>
      <c r="L584" s="31"/>
      <c r="M584" s="39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</row>
    <row r="585">
      <c r="A585" s="224"/>
      <c r="B585" s="229"/>
      <c r="C585" s="225"/>
      <c r="D585" s="226"/>
      <c r="E585" s="227"/>
      <c r="F585" s="228"/>
      <c r="G585" s="33"/>
      <c r="H585" s="143"/>
      <c r="I585" s="111"/>
      <c r="J585" s="112"/>
      <c r="K585" s="230"/>
      <c r="L585" s="31"/>
      <c r="M585" s="39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</row>
    <row r="586">
      <c r="A586" s="224"/>
      <c r="B586" s="229"/>
      <c r="C586" s="225"/>
      <c r="D586" s="226"/>
      <c r="E586" s="227"/>
      <c r="F586" s="228"/>
      <c r="G586" s="33"/>
      <c r="H586" s="143"/>
      <c r="I586" s="111"/>
      <c r="J586" s="112"/>
      <c r="K586" s="230"/>
      <c r="L586" s="31"/>
      <c r="M586" s="39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</row>
    <row r="587">
      <c r="A587" s="224"/>
      <c r="B587" s="229"/>
      <c r="C587" s="225"/>
      <c r="D587" s="226"/>
      <c r="E587" s="227"/>
      <c r="F587" s="228"/>
      <c r="G587" s="33"/>
      <c r="H587" s="143"/>
      <c r="I587" s="111"/>
      <c r="J587" s="112"/>
      <c r="K587" s="230"/>
      <c r="L587" s="31"/>
      <c r="M587" s="39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</row>
    <row r="588">
      <c r="A588" s="224"/>
      <c r="B588" s="229"/>
      <c r="C588" s="225"/>
      <c r="D588" s="226"/>
      <c r="E588" s="227"/>
      <c r="F588" s="228"/>
      <c r="G588" s="33"/>
      <c r="H588" s="143"/>
      <c r="I588" s="111"/>
      <c r="J588" s="112"/>
      <c r="K588" s="230"/>
      <c r="L588" s="31"/>
      <c r="M588" s="39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</row>
    <row r="589">
      <c r="A589" s="224"/>
      <c r="B589" s="229"/>
      <c r="C589" s="225"/>
      <c r="D589" s="226"/>
      <c r="E589" s="227"/>
      <c r="F589" s="228"/>
      <c r="G589" s="33"/>
      <c r="H589" s="143"/>
      <c r="I589" s="111"/>
      <c r="J589" s="112"/>
      <c r="K589" s="230"/>
      <c r="L589" s="31"/>
      <c r="M589" s="39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</row>
    <row r="590">
      <c r="A590" s="224"/>
      <c r="B590" s="229"/>
      <c r="C590" s="225"/>
      <c r="D590" s="226"/>
      <c r="E590" s="227"/>
      <c r="F590" s="228"/>
      <c r="G590" s="33"/>
      <c r="H590" s="143"/>
      <c r="I590" s="111"/>
      <c r="J590" s="112"/>
      <c r="K590" s="230"/>
      <c r="L590" s="31"/>
      <c r="M590" s="39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</row>
    <row r="591">
      <c r="A591" s="224"/>
      <c r="B591" s="229"/>
      <c r="C591" s="225"/>
      <c r="D591" s="226"/>
      <c r="E591" s="227"/>
      <c r="F591" s="228"/>
      <c r="G591" s="33"/>
      <c r="H591" s="143"/>
      <c r="I591" s="111"/>
      <c r="J591" s="112"/>
      <c r="K591" s="230"/>
      <c r="L591" s="31"/>
      <c r="M591" s="39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</row>
    <row r="592">
      <c r="A592" s="224"/>
      <c r="B592" s="229"/>
      <c r="C592" s="225"/>
      <c r="D592" s="226"/>
      <c r="E592" s="227"/>
      <c r="F592" s="228"/>
      <c r="G592" s="33"/>
      <c r="H592" s="143"/>
      <c r="I592" s="111"/>
      <c r="J592" s="112"/>
      <c r="K592" s="230"/>
      <c r="L592" s="31"/>
      <c r="M592" s="39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</row>
    <row r="593">
      <c r="A593" s="224"/>
      <c r="B593" s="229"/>
      <c r="C593" s="225"/>
      <c r="D593" s="226"/>
      <c r="E593" s="227"/>
      <c r="F593" s="228"/>
      <c r="G593" s="33"/>
      <c r="H593" s="143"/>
      <c r="I593" s="111"/>
      <c r="J593" s="112"/>
      <c r="K593" s="230"/>
      <c r="L593" s="31"/>
      <c r="M593" s="39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</row>
    <row r="594">
      <c r="A594" s="224"/>
      <c r="B594" s="229"/>
      <c r="C594" s="225"/>
      <c r="D594" s="226"/>
      <c r="E594" s="227"/>
      <c r="F594" s="228"/>
      <c r="G594" s="33"/>
      <c r="H594" s="143"/>
      <c r="I594" s="111"/>
      <c r="J594" s="112"/>
      <c r="K594" s="230"/>
      <c r="L594" s="31"/>
      <c r="M594" s="39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</row>
    <row r="595">
      <c r="A595" s="224"/>
      <c r="B595" s="229"/>
      <c r="C595" s="225"/>
      <c r="D595" s="226"/>
      <c r="E595" s="227"/>
      <c r="F595" s="228"/>
      <c r="G595" s="33"/>
      <c r="H595" s="143"/>
      <c r="I595" s="111"/>
      <c r="J595" s="112"/>
      <c r="K595" s="230"/>
      <c r="L595" s="31"/>
      <c r="M595" s="39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</row>
    <row r="596">
      <c r="A596" s="224"/>
      <c r="B596" s="229"/>
      <c r="C596" s="225"/>
      <c r="D596" s="226"/>
      <c r="E596" s="227"/>
      <c r="F596" s="228"/>
      <c r="G596" s="33"/>
      <c r="H596" s="143"/>
      <c r="I596" s="111"/>
      <c r="J596" s="112"/>
      <c r="K596" s="230"/>
      <c r="L596" s="31"/>
      <c r="M596" s="39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</row>
    <row r="597">
      <c r="A597" s="224"/>
      <c r="B597" s="229"/>
      <c r="C597" s="225"/>
      <c r="D597" s="226"/>
      <c r="E597" s="227"/>
      <c r="F597" s="228"/>
      <c r="G597" s="33"/>
      <c r="H597" s="143"/>
      <c r="I597" s="111"/>
      <c r="J597" s="112"/>
      <c r="K597" s="230"/>
      <c r="L597" s="31"/>
      <c r="M597" s="39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</row>
    <row r="598">
      <c r="A598" s="224"/>
      <c r="B598" s="229"/>
      <c r="C598" s="225"/>
      <c r="D598" s="226"/>
      <c r="E598" s="227"/>
      <c r="F598" s="228"/>
      <c r="G598" s="33"/>
      <c r="H598" s="143"/>
      <c r="I598" s="111"/>
      <c r="J598" s="112"/>
      <c r="K598" s="230"/>
      <c r="L598" s="31"/>
      <c r="M598" s="39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</row>
    <row r="599">
      <c r="A599" s="224"/>
      <c r="B599" s="229"/>
      <c r="C599" s="225"/>
      <c r="D599" s="226"/>
      <c r="E599" s="227"/>
      <c r="F599" s="228"/>
      <c r="G599" s="33"/>
      <c r="H599" s="143"/>
      <c r="I599" s="111"/>
      <c r="J599" s="112"/>
      <c r="K599" s="230"/>
      <c r="L599" s="31"/>
      <c r="M599" s="39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</row>
    <row r="600">
      <c r="A600" s="224"/>
      <c r="B600" s="229"/>
      <c r="C600" s="225"/>
      <c r="D600" s="226"/>
      <c r="E600" s="227"/>
      <c r="F600" s="228"/>
      <c r="G600" s="33"/>
      <c r="H600" s="143"/>
      <c r="I600" s="111"/>
      <c r="J600" s="112"/>
      <c r="K600" s="230"/>
      <c r="L600" s="31"/>
      <c r="M600" s="39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</row>
    <row r="601">
      <c r="A601" s="224"/>
      <c r="B601" s="229"/>
      <c r="C601" s="225"/>
      <c r="D601" s="226"/>
      <c r="E601" s="227"/>
      <c r="F601" s="228"/>
      <c r="G601" s="33"/>
      <c r="H601" s="143"/>
      <c r="I601" s="111"/>
      <c r="J601" s="112"/>
      <c r="K601" s="230"/>
      <c r="L601" s="31"/>
      <c r="M601" s="39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</row>
    <row r="602">
      <c r="A602" s="224"/>
      <c r="B602" s="229"/>
      <c r="C602" s="225"/>
      <c r="D602" s="226"/>
      <c r="E602" s="227"/>
      <c r="F602" s="228"/>
      <c r="G602" s="33"/>
      <c r="H602" s="143"/>
      <c r="I602" s="111"/>
      <c r="J602" s="112"/>
      <c r="K602" s="230"/>
      <c r="L602" s="31"/>
      <c r="M602" s="39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</row>
    <row r="603">
      <c r="A603" s="224"/>
      <c r="B603" s="229"/>
      <c r="C603" s="225"/>
      <c r="D603" s="226"/>
      <c r="E603" s="227"/>
      <c r="F603" s="228"/>
      <c r="G603" s="33"/>
      <c r="H603" s="143"/>
      <c r="I603" s="111"/>
      <c r="J603" s="112"/>
      <c r="K603" s="230"/>
      <c r="L603" s="31"/>
      <c r="M603" s="39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</row>
    <row r="604">
      <c r="A604" s="224"/>
      <c r="B604" s="229"/>
      <c r="C604" s="225"/>
      <c r="D604" s="226"/>
      <c r="E604" s="227"/>
      <c r="F604" s="228"/>
      <c r="G604" s="33"/>
      <c r="H604" s="143"/>
      <c r="I604" s="111"/>
      <c r="J604" s="112"/>
      <c r="K604" s="230"/>
      <c r="L604" s="31"/>
      <c r="M604" s="39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</row>
    <row r="605">
      <c r="A605" s="224"/>
      <c r="B605" s="229"/>
      <c r="C605" s="225"/>
      <c r="D605" s="226"/>
      <c r="E605" s="227"/>
      <c r="F605" s="228"/>
      <c r="G605" s="33"/>
      <c r="H605" s="143"/>
      <c r="I605" s="111"/>
      <c r="J605" s="112"/>
      <c r="K605" s="230"/>
      <c r="L605" s="31"/>
      <c r="M605" s="39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</row>
    <row r="606">
      <c r="A606" s="224"/>
      <c r="B606" s="229"/>
      <c r="C606" s="225"/>
      <c r="D606" s="226"/>
      <c r="E606" s="227"/>
      <c r="F606" s="228"/>
      <c r="G606" s="33"/>
      <c r="H606" s="143"/>
      <c r="I606" s="111"/>
      <c r="J606" s="112"/>
      <c r="K606" s="230"/>
      <c r="L606" s="31"/>
      <c r="M606" s="39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</row>
    <row r="607">
      <c r="A607" s="224"/>
      <c r="B607" s="229"/>
      <c r="C607" s="225"/>
      <c r="D607" s="226"/>
      <c r="E607" s="227"/>
      <c r="F607" s="228"/>
      <c r="G607" s="33"/>
      <c r="H607" s="143"/>
      <c r="I607" s="111"/>
      <c r="J607" s="112"/>
      <c r="K607" s="230"/>
      <c r="L607" s="31"/>
      <c r="M607" s="39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</row>
    <row r="608">
      <c r="A608" s="224"/>
      <c r="B608" s="229"/>
      <c r="C608" s="225"/>
      <c r="D608" s="226"/>
      <c r="E608" s="227"/>
      <c r="F608" s="228"/>
      <c r="G608" s="33"/>
      <c r="H608" s="143"/>
      <c r="I608" s="111"/>
      <c r="J608" s="112"/>
      <c r="K608" s="230"/>
      <c r="L608" s="31"/>
      <c r="M608" s="39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</row>
    <row r="609">
      <c r="A609" s="224"/>
      <c r="B609" s="229"/>
      <c r="C609" s="225"/>
      <c r="D609" s="226"/>
      <c r="E609" s="227"/>
      <c r="F609" s="228"/>
      <c r="G609" s="33"/>
      <c r="H609" s="143"/>
      <c r="I609" s="111"/>
      <c r="J609" s="112"/>
      <c r="K609" s="230"/>
      <c r="L609" s="31"/>
      <c r="M609" s="39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</row>
    <row r="610">
      <c r="A610" s="224"/>
      <c r="B610" s="229"/>
      <c r="C610" s="225"/>
      <c r="D610" s="226"/>
      <c r="E610" s="227"/>
      <c r="F610" s="228"/>
      <c r="G610" s="33"/>
      <c r="H610" s="143"/>
      <c r="I610" s="111"/>
      <c r="J610" s="112"/>
      <c r="K610" s="230"/>
      <c r="L610" s="31"/>
      <c r="M610" s="39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</row>
    <row r="611">
      <c r="A611" s="224"/>
      <c r="B611" s="229"/>
      <c r="C611" s="225"/>
      <c r="D611" s="226"/>
      <c r="E611" s="227"/>
      <c r="F611" s="228"/>
      <c r="G611" s="33"/>
      <c r="H611" s="143"/>
      <c r="I611" s="111"/>
      <c r="J611" s="112"/>
      <c r="K611" s="230"/>
      <c r="L611" s="31"/>
      <c r="M611" s="39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</row>
    <row r="612">
      <c r="A612" s="224"/>
      <c r="B612" s="229"/>
      <c r="C612" s="225"/>
      <c r="D612" s="226"/>
      <c r="E612" s="227"/>
      <c r="F612" s="228"/>
      <c r="G612" s="33"/>
      <c r="H612" s="143"/>
      <c r="I612" s="111"/>
      <c r="J612" s="112"/>
      <c r="K612" s="230"/>
      <c r="L612" s="31"/>
      <c r="M612" s="39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</row>
    <row r="613">
      <c r="A613" s="224"/>
      <c r="B613" s="229"/>
      <c r="C613" s="225"/>
      <c r="D613" s="226"/>
      <c r="E613" s="227"/>
      <c r="F613" s="228"/>
      <c r="G613" s="33"/>
      <c r="H613" s="143"/>
      <c r="I613" s="111"/>
      <c r="J613" s="112"/>
      <c r="K613" s="230"/>
      <c r="L613" s="31"/>
      <c r="M613" s="39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</row>
    <row r="614">
      <c r="A614" s="224"/>
      <c r="B614" s="229"/>
      <c r="C614" s="225"/>
      <c r="D614" s="226"/>
      <c r="E614" s="227"/>
      <c r="F614" s="228"/>
      <c r="G614" s="33"/>
      <c r="H614" s="143"/>
      <c r="I614" s="111"/>
      <c r="J614" s="112"/>
      <c r="K614" s="230"/>
      <c r="L614" s="31"/>
      <c r="M614" s="39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</row>
    <row r="615">
      <c r="A615" s="224"/>
      <c r="B615" s="229"/>
      <c r="C615" s="225"/>
      <c r="D615" s="226"/>
      <c r="E615" s="227"/>
      <c r="F615" s="228"/>
      <c r="G615" s="33"/>
      <c r="H615" s="143"/>
      <c r="I615" s="111"/>
      <c r="J615" s="112"/>
      <c r="K615" s="230"/>
      <c r="L615" s="31"/>
      <c r="M615" s="39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</row>
    <row r="616">
      <c r="A616" s="224"/>
      <c r="B616" s="229"/>
      <c r="C616" s="225"/>
      <c r="D616" s="226"/>
      <c r="E616" s="227"/>
      <c r="F616" s="228"/>
      <c r="G616" s="33"/>
      <c r="H616" s="143"/>
      <c r="I616" s="111"/>
      <c r="J616" s="112"/>
      <c r="K616" s="230"/>
      <c r="L616" s="31"/>
      <c r="M616" s="39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</row>
    <row r="617">
      <c r="A617" s="224"/>
      <c r="B617" s="229"/>
      <c r="C617" s="225"/>
      <c r="D617" s="226"/>
      <c r="E617" s="227"/>
      <c r="F617" s="228"/>
      <c r="G617" s="33"/>
      <c r="H617" s="143"/>
      <c r="I617" s="111"/>
      <c r="J617" s="112"/>
      <c r="K617" s="230"/>
      <c r="L617" s="31"/>
      <c r="M617" s="39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</row>
    <row r="618">
      <c r="A618" s="224"/>
      <c r="B618" s="229"/>
      <c r="C618" s="225"/>
      <c r="D618" s="226"/>
      <c r="E618" s="227"/>
      <c r="F618" s="228"/>
      <c r="G618" s="33"/>
      <c r="H618" s="143"/>
      <c r="I618" s="111"/>
      <c r="J618" s="112"/>
      <c r="K618" s="230"/>
      <c r="L618" s="31"/>
      <c r="M618" s="39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</row>
    <row r="619">
      <c r="A619" s="224"/>
      <c r="B619" s="229"/>
      <c r="C619" s="225"/>
      <c r="D619" s="226"/>
      <c r="E619" s="227"/>
      <c r="F619" s="228"/>
      <c r="G619" s="33"/>
      <c r="H619" s="143"/>
      <c r="I619" s="111"/>
      <c r="J619" s="112"/>
      <c r="K619" s="230"/>
      <c r="L619" s="31"/>
      <c r="M619" s="39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</row>
    <row r="620">
      <c r="A620" s="224"/>
      <c r="B620" s="229"/>
      <c r="C620" s="225"/>
      <c r="D620" s="226"/>
      <c r="E620" s="227"/>
      <c r="F620" s="228"/>
      <c r="G620" s="33"/>
      <c r="H620" s="143"/>
      <c r="I620" s="111"/>
      <c r="J620" s="112"/>
      <c r="K620" s="230"/>
      <c r="L620" s="31"/>
      <c r="M620" s="39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</row>
    <row r="621">
      <c r="A621" s="224"/>
      <c r="B621" s="229"/>
      <c r="C621" s="225"/>
      <c r="D621" s="226"/>
      <c r="E621" s="227"/>
      <c r="F621" s="228"/>
      <c r="G621" s="33"/>
      <c r="H621" s="143"/>
      <c r="I621" s="111"/>
      <c r="J621" s="112"/>
      <c r="K621" s="230"/>
      <c r="L621" s="31"/>
      <c r="M621" s="39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</row>
    <row r="622">
      <c r="A622" s="224"/>
      <c r="B622" s="229"/>
      <c r="C622" s="225"/>
      <c r="D622" s="226"/>
      <c r="E622" s="227"/>
      <c r="F622" s="228"/>
      <c r="G622" s="33"/>
      <c r="H622" s="143"/>
      <c r="I622" s="111"/>
      <c r="J622" s="112"/>
      <c r="K622" s="230"/>
      <c r="L622" s="31"/>
      <c r="M622" s="39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</row>
    <row r="623">
      <c r="A623" s="224"/>
      <c r="B623" s="229"/>
      <c r="C623" s="225"/>
      <c r="D623" s="226"/>
      <c r="E623" s="227"/>
      <c r="F623" s="228"/>
      <c r="G623" s="33"/>
      <c r="H623" s="143"/>
      <c r="I623" s="111"/>
      <c r="J623" s="112"/>
      <c r="K623" s="230"/>
      <c r="L623" s="31"/>
      <c r="M623" s="39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</row>
    <row r="624">
      <c r="A624" s="224"/>
      <c r="B624" s="229"/>
      <c r="C624" s="225"/>
      <c r="D624" s="226"/>
      <c r="E624" s="227"/>
      <c r="F624" s="228"/>
      <c r="G624" s="33"/>
      <c r="H624" s="143"/>
      <c r="I624" s="111"/>
      <c r="J624" s="112"/>
      <c r="K624" s="230"/>
      <c r="L624" s="31"/>
      <c r="M624" s="39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</row>
    <row r="625">
      <c r="A625" s="224"/>
      <c r="B625" s="229"/>
      <c r="C625" s="225"/>
      <c r="D625" s="226"/>
      <c r="E625" s="227"/>
      <c r="F625" s="228"/>
      <c r="G625" s="33"/>
      <c r="H625" s="143"/>
      <c r="I625" s="111"/>
      <c r="J625" s="112"/>
      <c r="K625" s="230"/>
      <c r="L625" s="31"/>
      <c r="M625" s="39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</row>
    <row r="626">
      <c r="A626" s="224"/>
      <c r="B626" s="229"/>
      <c r="C626" s="225"/>
      <c r="D626" s="226"/>
      <c r="E626" s="227"/>
      <c r="F626" s="228"/>
      <c r="G626" s="33"/>
      <c r="H626" s="143"/>
      <c r="I626" s="111"/>
      <c r="J626" s="112"/>
      <c r="K626" s="230"/>
      <c r="L626" s="31"/>
      <c r="M626" s="39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</row>
    <row r="627">
      <c r="A627" s="224"/>
      <c r="B627" s="229"/>
      <c r="C627" s="225"/>
      <c r="D627" s="226"/>
      <c r="E627" s="227"/>
      <c r="F627" s="228"/>
      <c r="G627" s="33"/>
      <c r="H627" s="143"/>
      <c r="I627" s="111"/>
      <c r="J627" s="112"/>
      <c r="K627" s="230"/>
      <c r="L627" s="31"/>
      <c r="M627" s="39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</row>
    <row r="628">
      <c r="A628" s="224"/>
      <c r="B628" s="229"/>
      <c r="C628" s="225"/>
      <c r="D628" s="226"/>
      <c r="E628" s="227"/>
      <c r="F628" s="228"/>
      <c r="G628" s="33"/>
      <c r="H628" s="143"/>
      <c r="I628" s="111"/>
      <c r="J628" s="112"/>
      <c r="K628" s="230"/>
      <c r="L628" s="31"/>
      <c r="M628" s="39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</row>
    <row r="629">
      <c r="A629" s="224"/>
      <c r="B629" s="229"/>
      <c r="C629" s="225"/>
      <c r="D629" s="226"/>
      <c r="E629" s="227"/>
      <c r="F629" s="228"/>
      <c r="G629" s="33"/>
      <c r="H629" s="143"/>
      <c r="I629" s="111"/>
      <c r="J629" s="112"/>
      <c r="K629" s="230"/>
      <c r="L629" s="31"/>
      <c r="M629" s="39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</row>
    <row r="630">
      <c r="A630" s="224"/>
      <c r="B630" s="229"/>
      <c r="C630" s="225"/>
      <c r="D630" s="226"/>
      <c r="E630" s="227"/>
      <c r="F630" s="228"/>
      <c r="G630" s="33"/>
      <c r="H630" s="143"/>
      <c r="I630" s="111"/>
      <c r="J630" s="112"/>
      <c r="K630" s="230"/>
      <c r="L630" s="31"/>
      <c r="M630" s="39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</row>
    <row r="631">
      <c r="A631" s="224"/>
      <c r="B631" s="229"/>
      <c r="C631" s="225"/>
      <c r="D631" s="226"/>
      <c r="E631" s="227"/>
      <c r="F631" s="228"/>
      <c r="G631" s="33"/>
      <c r="H631" s="143"/>
      <c r="I631" s="111"/>
      <c r="J631" s="112"/>
      <c r="K631" s="230"/>
      <c r="L631" s="31"/>
      <c r="M631" s="39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</row>
    <row r="632">
      <c r="A632" s="224"/>
      <c r="B632" s="229"/>
      <c r="C632" s="225"/>
      <c r="D632" s="226"/>
      <c r="E632" s="227"/>
      <c r="F632" s="228"/>
      <c r="G632" s="33"/>
      <c r="H632" s="143"/>
      <c r="I632" s="111"/>
      <c r="J632" s="112"/>
      <c r="K632" s="230"/>
      <c r="L632" s="31"/>
      <c r="M632" s="39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</row>
    <row r="633">
      <c r="A633" s="224"/>
      <c r="B633" s="229"/>
      <c r="C633" s="225"/>
      <c r="D633" s="226"/>
      <c r="E633" s="227"/>
      <c r="F633" s="228"/>
      <c r="G633" s="33"/>
      <c r="H633" s="143"/>
      <c r="I633" s="111"/>
      <c r="J633" s="112"/>
      <c r="K633" s="230"/>
      <c r="L633" s="31"/>
      <c r="M633" s="39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</row>
    <row r="634">
      <c r="A634" s="224"/>
      <c r="B634" s="229"/>
      <c r="C634" s="225"/>
      <c r="D634" s="226"/>
      <c r="E634" s="227"/>
      <c r="F634" s="228"/>
      <c r="G634" s="33"/>
      <c r="H634" s="143"/>
      <c r="I634" s="111"/>
      <c r="J634" s="112"/>
      <c r="K634" s="230"/>
      <c r="L634" s="31"/>
      <c r="M634" s="39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</row>
    <row r="635">
      <c r="A635" s="224"/>
      <c r="B635" s="229"/>
      <c r="C635" s="225"/>
      <c r="D635" s="226"/>
      <c r="E635" s="227"/>
      <c r="F635" s="228"/>
      <c r="G635" s="33"/>
      <c r="H635" s="143"/>
      <c r="I635" s="111"/>
      <c r="J635" s="112"/>
      <c r="K635" s="230"/>
      <c r="L635" s="31"/>
      <c r="M635" s="39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</row>
    <row r="636">
      <c r="A636" s="224"/>
      <c r="B636" s="229"/>
      <c r="C636" s="225"/>
      <c r="D636" s="226"/>
      <c r="E636" s="227"/>
      <c r="F636" s="228"/>
      <c r="G636" s="33"/>
      <c r="H636" s="143"/>
      <c r="I636" s="111"/>
      <c r="J636" s="112"/>
      <c r="K636" s="230"/>
      <c r="L636" s="31"/>
      <c r="M636" s="39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</row>
    <row r="637">
      <c r="A637" s="224"/>
      <c r="B637" s="229"/>
      <c r="C637" s="225"/>
      <c r="D637" s="226"/>
      <c r="E637" s="227"/>
      <c r="F637" s="228"/>
      <c r="G637" s="33"/>
      <c r="H637" s="143"/>
      <c r="I637" s="111"/>
      <c r="J637" s="112"/>
      <c r="K637" s="230"/>
      <c r="L637" s="31"/>
      <c r="M637" s="39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</row>
    <row r="638">
      <c r="A638" s="224"/>
      <c r="B638" s="229"/>
      <c r="C638" s="225"/>
      <c r="D638" s="226"/>
      <c r="E638" s="227"/>
      <c r="F638" s="228"/>
      <c r="G638" s="33"/>
      <c r="H638" s="143"/>
      <c r="I638" s="111"/>
      <c r="J638" s="112"/>
      <c r="K638" s="230"/>
      <c r="L638" s="31"/>
      <c r="M638" s="39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</row>
    <row r="639">
      <c r="A639" s="224"/>
      <c r="B639" s="229"/>
      <c r="C639" s="225"/>
      <c r="D639" s="226"/>
      <c r="E639" s="227"/>
      <c r="F639" s="228"/>
      <c r="G639" s="33"/>
      <c r="H639" s="143"/>
      <c r="I639" s="111"/>
      <c r="J639" s="112"/>
      <c r="K639" s="230"/>
      <c r="L639" s="31"/>
      <c r="M639" s="39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</row>
    <row r="640">
      <c r="A640" s="224"/>
      <c r="B640" s="229"/>
      <c r="C640" s="225"/>
      <c r="D640" s="226"/>
      <c r="E640" s="227"/>
      <c r="F640" s="228"/>
      <c r="G640" s="33"/>
      <c r="H640" s="143"/>
      <c r="I640" s="111"/>
      <c r="J640" s="112"/>
      <c r="K640" s="230"/>
      <c r="L640" s="31"/>
      <c r="M640" s="39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</row>
    <row r="641">
      <c r="A641" s="224"/>
      <c r="B641" s="229"/>
      <c r="C641" s="225"/>
      <c r="D641" s="226"/>
      <c r="E641" s="227"/>
      <c r="F641" s="228"/>
      <c r="G641" s="33"/>
      <c r="H641" s="143"/>
      <c r="I641" s="111"/>
      <c r="J641" s="112"/>
      <c r="K641" s="230"/>
      <c r="L641" s="31"/>
      <c r="M641" s="39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</row>
    <row r="642">
      <c r="A642" s="224"/>
      <c r="B642" s="229"/>
      <c r="C642" s="225"/>
      <c r="D642" s="226"/>
      <c r="E642" s="227"/>
      <c r="F642" s="228"/>
      <c r="G642" s="33"/>
      <c r="H642" s="143"/>
      <c r="I642" s="111"/>
      <c r="J642" s="112"/>
      <c r="K642" s="230"/>
      <c r="L642" s="31"/>
      <c r="M642" s="39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</row>
    <row r="643">
      <c r="A643" s="224"/>
      <c r="B643" s="229"/>
      <c r="C643" s="225"/>
      <c r="D643" s="226"/>
      <c r="E643" s="227"/>
      <c r="F643" s="228"/>
      <c r="G643" s="33"/>
      <c r="H643" s="143"/>
      <c r="I643" s="111"/>
      <c r="J643" s="112"/>
      <c r="K643" s="230"/>
      <c r="L643" s="31"/>
      <c r="M643" s="39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</row>
    <row r="644">
      <c r="A644" s="224"/>
      <c r="B644" s="229"/>
      <c r="C644" s="225"/>
      <c r="D644" s="226"/>
      <c r="E644" s="227"/>
      <c r="F644" s="228"/>
      <c r="G644" s="33"/>
      <c r="H644" s="143"/>
      <c r="I644" s="111"/>
      <c r="J644" s="112"/>
      <c r="K644" s="230"/>
      <c r="L644" s="31"/>
      <c r="M644" s="39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</row>
    <row r="645">
      <c r="A645" s="224"/>
      <c r="B645" s="229"/>
      <c r="C645" s="225"/>
      <c r="D645" s="226"/>
      <c r="E645" s="227"/>
      <c r="F645" s="228"/>
      <c r="G645" s="33"/>
      <c r="H645" s="143"/>
      <c r="I645" s="111"/>
      <c r="J645" s="112"/>
      <c r="K645" s="230"/>
      <c r="L645" s="31"/>
      <c r="M645" s="39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</row>
    <row r="646">
      <c r="A646" s="224"/>
      <c r="B646" s="229"/>
      <c r="C646" s="225"/>
      <c r="D646" s="226"/>
      <c r="E646" s="227"/>
      <c r="F646" s="228"/>
      <c r="G646" s="33"/>
      <c r="H646" s="143"/>
      <c r="I646" s="111"/>
      <c r="J646" s="112"/>
      <c r="K646" s="230"/>
      <c r="L646" s="31"/>
      <c r="M646" s="39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</row>
    <row r="647">
      <c r="A647" s="224"/>
      <c r="B647" s="229"/>
      <c r="C647" s="225"/>
      <c r="D647" s="226"/>
      <c r="E647" s="227"/>
      <c r="F647" s="228"/>
      <c r="G647" s="33"/>
      <c r="H647" s="143"/>
      <c r="I647" s="111"/>
      <c r="J647" s="112"/>
      <c r="K647" s="230"/>
      <c r="L647" s="31"/>
      <c r="M647" s="39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</row>
    <row r="648">
      <c r="A648" s="224"/>
      <c r="B648" s="229"/>
      <c r="C648" s="225"/>
      <c r="D648" s="226"/>
      <c r="E648" s="227"/>
      <c r="F648" s="228"/>
      <c r="G648" s="33"/>
      <c r="H648" s="143"/>
      <c r="I648" s="111"/>
      <c r="J648" s="112"/>
      <c r="K648" s="230"/>
      <c r="L648" s="31"/>
      <c r="M648" s="39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</row>
    <row r="649">
      <c r="A649" s="224"/>
      <c r="B649" s="229"/>
      <c r="C649" s="225"/>
      <c r="D649" s="226"/>
      <c r="E649" s="227"/>
      <c r="F649" s="228"/>
      <c r="G649" s="33"/>
      <c r="H649" s="143"/>
      <c r="I649" s="111"/>
      <c r="J649" s="112"/>
      <c r="K649" s="230"/>
      <c r="L649" s="31"/>
      <c r="M649" s="39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</row>
    <row r="650">
      <c r="A650" s="224"/>
      <c r="B650" s="229"/>
      <c r="C650" s="225"/>
      <c r="D650" s="226"/>
      <c r="E650" s="227"/>
      <c r="F650" s="228"/>
      <c r="G650" s="33"/>
      <c r="H650" s="143"/>
      <c r="I650" s="111"/>
      <c r="J650" s="112"/>
      <c r="K650" s="230"/>
      <c r="L650" s="31"/>
      <c r="M650" s="39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</row>
    <row r="651">
      <c r="A651" s="224"/>
      <c r="B651" s="229"/>
      <c r="C651" s="225"/>
      <c r="D651" s="226"/>
      <c r="E651" s="227"/>
      <c r="F651" s="228"/>
      <c r="G651" s="33"/>
      <c r="H651" s="143"/>
      <c r="I651" s="111"/>
      <c r="J651" s="112"/>
      <c r="K651" s="230"/>
      <c r="L651" s="31"/>
      <c r="M651" s="39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</row>
    <row r="652">
      <c r="A652" s="224"/>
      <c r="B652" s="229"/>
      <c r="C652" s="225"/>
      <c r="D652" s="226"/>
      <c r="E652" s="227"/>
      <c r="F652" s="228"/>
      <c r="G652" s="33"/>
      <c r="H652" s="143"/>
      <c r="I652" s="111"/>
      <c r="J652" s="112"/>
      <c r="K652" s="230"/>
      <c r="L652" s="31"/>
      <c r="M652" s="39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</row>
    <row r="653">
      <c r="A653" s="224"/>
      <c r="B653" s="229"/>
      <c r="C653" s="225"/>
      <c r="D653" s="226"/>
      <c r="E653" s="227"/>
      <c r="F653" s="228"/>
      <c r="G653" s="33"/>
      <c r="H653" s="143"/>
      <c r="I653" s="111"/>
      <c r="J653" s="112"/>
      <c r="K653" s="230"/>
      <c r="L653" s="31"/>
      <c r="M653" s="39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</row>
    <row r="654">
      <c r="A654" s="224"/>
      <c r="B654" s="229"/>
      <c r="C654" s="225"/>
      <c r="D654" s="226"/>
      <c r="E654" s="227"/>
      <c r="F654" s="228"/>
      <c r="G654" s="33"/>
      <c r="H654" s="143"/>
      <c r="I654" s="111"/>
      <c r="J654" s="112"/>
      <c r="K654" s="230"/>
      <c r="L654" s="31"/>
      <c r="M654" s="39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</row>
    <row r="655">
      <c r="A655" s="224"/>
      <c r="B655" s="229"/>
      <c r="C655" s="225"/>
      <c r="D655" s="226"/>
      <c r="E655" s="227"/>
      <c r="F655" s="228"/>
      <c r="G655" s="33"/>
      <c r="H655" s="143"/>
      <c r="I655" s="111"/>
      <c r="J655" s="112"/>
      <c r="K655" s="230"/>
      <c r="L655" s="31"/>
      <c r="M655" s="39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</row>
    <row r="656">
      <c r="A656" s="224"/>
      <c r="B656" s="229"/>
      <c r="C656" s="225"/>
      <c r="D656" s="226"/>
      <c r="E656" s="227"/>
      <c r="F656" s="228"/>
      <c r="G656" s="33"/>
      <c r="H656" s="143"/>
      <c r="I656" s="111"/>
      <c r="J656" s="112"/>
      <c r="K656" s="230"/>
      <c r="L656" s="31"/>
      <c r="M656" s="39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</row>
    <row r="657">
      <c r="A657" s="224"/>
      <c r="B657" s="229"/>
      <c r="C657" s="225"/>
      <c r="D657" s="226"/>
      <c r="E657" s="227"/>
      <c r="F657" s="228"/>
      <c r="G657" s="33"/>
      <c r="H657" s="143"/>
      <c r="I657" s="111"/>
      <c r="J657" s="112"/>
      <c r="K657" s="230"/>
      <c r="L657" s="31"/>
      <c r="M657" s="39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</row>
    <row r="658">
      <c r="A658" s="224"/>
      <c r="B658" s="229"/>
      <c r="C658" s="225"/>
      <c r="D658" s="226"/>
      <c r="E658" s="227"/>
      <c r="F658" s="228"/>
      <c r="G658" s="33"/>
      <c r="H658" s="143"/>
      <c r="I658" s="111"/>
      <c r="J658" s="112"/>
      <c r="K658" s="230"/>
      <c r="L658" s="31"/>
      <c r="M658" s="39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</row>
    <row r="659">
      <c r="A659" s="224"/>
      <c r="B659" s="229"/>
      <c r="C659" s="225"/>
      <c r="D659" s="226"/>
      <c r="E659" s="227"/>
      <c r="F659" s="228"/>
      <c r="G659" s="33"/>
      <c r="H659" s="143"/>
      <c r="I659" s="111"/>
      <c r="J659" s="112"/>
      <c r="K659" s="230"/>
      <c r="L659" s="31"/>
      <c r="M659" s="39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</row>
    <row r="660">
      <c r="A660" s="224"/>
      <c r="B660" s="229"/>
      <c r="C660" s="225"/>
      <c r="D660" s="226"/>
      <c r="E660" s="227"/>
      <c r="F660" s="228"/>
      <c r="G660" s="33"/>
      <c r="H660" s="143"/>
      <c r="I660" s="111"/>
      <c r="J660" s="112"/>
      <c r="K660" s="230"/>
      <c r="L660" s="31"/>
      <c r="M660" s="39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</row>
    <row r="661">
      <c r="A661" s="224"/>
      <c r="B661" s="229"/>
      <c r="C661" s="225"/>
      <c r="D661" s="226"/>
      <c r="E661" s="227"/>
      <c r="F661" s="228"/>
      <c r="G661" s="33"/>
      <c r="H661" s="143"/>
      <c r="I661" s="111"/>
      <c r="J661" s="112"/>
      <c r="K661" s="230"/>
      <c r="L661" s="31"/>
      <c r="M661" s="39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</row>
    <row r="662">
      <c r="A662" s="224"/>
      <c r="B662" s="229"/>
      <c r="C662" s="225"/>
      <c r="D662" s="226"/>
      <c r="E662" s="227"/>
      <c r="F662" s="228"/>
      <c r="G662" s="33"/>
      <c r="H662" s="143"/>
      <c r="I662" s="111"/>
      <c r="J662" s="112"/>
      <c r="K662" s="230"/>
      <c r="L662" s="31"/>
      <c r="M662" s="39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</row>
    <row r="663">
      <c r="A663" s="224"/>
      <c r="B663" s="229"/>
      <c r="C663" s="225"/>
      <c r="D663" s="226"/>
      <c r="E663" s="227"/>
      <c r="F663" s="228"/>
      <c r="G663" s="33"/>
      <c r="H663" s="143"/>
      <c r="I663" s="111"/>
      <c r="J663" s="112"/>
      <c r="K663" s="230"/>
      <c r="L663" s="31"/>
      <c r="M663" s="39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</row>
    <row r="664">
      <c r="A664" s="224"/>
      <c r="B664" s="229"/>
      <c r="C664" s="225"/>
      <c r="D664" s="226"/>
      <c r="E664" s="227"/>
      <c r="F664" s="228"/>
      <c r="G664" s="33"/>
      <c r="H664" s="143"/>
      <c r="I664" s="111"/>
      <c r="J664" s="112"/>
      <c r="K664" s="230"/>
      <c r="L664" s="31"/>
      <c r="M664" s="39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</row>
    <row r="665">
      <c r="A665" s="224"/>
      <c r="B665" s="229"/>
      <c r="C665" s="225"/>
      <c r="D665" s="226"/>
      <c r="E665" s="227"/>
      <c r="F665" s="228"/>
      <c r="G665" s="33"/>
      <c r="H665" s="143"/>
      <c r="I665" s="111"/>
      <c r="J665" s="112"/>
      <c r="K665" s="230"/>
      <c r="L665" s="31"/>
      <c r="M665" s="39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</row>
    <row r="666">
      <c r="A666" s="224"/>
      <c r="B666" s="229"/>
      <c r="C666" s="225"/>
      <c r="D666" s="226"/>
      <c r="E666" s="227"/>
      <c r="F666" s="228"/>
      <c r="G666" s="33"/>
      <c r="H666" s="143"/>
      <c r="I666" s="111"/>
      <c r="J666" s="112"/>
      <c r="K666" s="230"/>
      <c r="L666" s="31"/>
      <c r="M666" s="39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</row>
    <row r="667">
      <c r="A667" s="224"/>
      <c r="B667" s="229"/>
      <c r="C667" s="225"/>
      <c r="D667" s="226"/>
      <c r="E667" s="227"/>
      <c r="F667" s="228"/>
      <c r="G667" s="33"/>
      <c r="H667" s="143"/>
      <c r="I667" s="111"/>
      <c r="J667" s="112"/>
      <c r="K667" s="230"/>
      <c r="L667" s="31"/>
      <c r="M667" s="39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</row>
    <row r="668">
      <c r="A668" s="224"/>
      <c r="B668" s="229"/>
      <c r="C668" s="225"/>
      <c r="D668" s="226"/>
      <c r="E668" s="227"/>
      <c r="F668" s="228"/>
      <c r="G668" s="33"/>
      <c r="H668" s="143"/>
      <c r="I668" s="111"/>
      <c r="J668" s="112"/>
      <c r="K668" s="230"/>
      <c r="L668" s="31"/>
      <c r="M668" s="39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</row>
    <row r="669">
      <c r="A669" s="224"/>
      <c r="B669" s="229"/>
      <c r="C669" s="225"/>
      <c r="D669" s="226"/>
      <c r="E669" s="227"/>
      <c r="F669" s="228"/>
      <c r="G669" s="33"/>
      <c r="H669" s="143"/>
      <c r="I669" s="111"/>
      <c r="J669" s="112"/>
      <c r="K669" s="230"/>
      <c r="L669" s="31"/>
      <c r="M669" s="39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</row>
    <row r="670">
      <c r="A670" s="224"/>
      <c r="B670" s="229"/>
      <c r="C670" s="225"/>
      <c r="D670" s="226"/>
      <c r="E670" s="227"/>
      <c r="F670" s="228"/>
      <c r="G670" s="33"/>
      <c r="H670" s="143"/>
      <c r="I670" s="111"/>
      <c r="J670" s="112"/>
      <c r="K670" s="230"/>
      <c r="L670" s="31"/>
      <c r="M670" s="39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</row>
    <row r="671">
      <c r="A671" s="224"/>
      <c r="B671" s="229"/>
      <c r="C671" s="225"/>
      <c r="D671" s="226"/>
      <c r="E671" s="227"/>
      <c r="F671" s="228"/>
      <c r="G671" s="33"/>
      <c r="H671" s="143"/>
      <c r="I671" s="111"/>
      <c r="J671" s="112"/>
      <c r="K671" s="230"/>
      <c r="L671" s="31"/>
      <c r="M671" s="39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</row>
    <row r="672">
      <c r="A672" s="224"/>
      <c r="B672" s="229"/>
      <c r="C672" s="225"/>
      <c r="D672" s="226"/>
      <c r="E672" s="227"/>
      <c r="F672" s="228"/>
      <c r="G672" s="33"/>
      <c r="H672" s="143"/>
      <c r="I672" s="111"/>
      <c r="J672" s="112"/>
      <c r="K672" s="230"/>
      <c r="L672" s="31"/>
      <c r="M672" s="39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</row>
    <row r="673">
      <c r="A673" s="224"/>
      <c r="B673" s="229"/>
      <c r="C673" s="225"/>
      <c r="D673" s="226"/>
      <c r="E673" s="227"/>
      <c r="F673" s="228"/>
      <c r="G673" s="33"/>
      <c r="H673" s="143"/>
      <c r="I673" s="111"/>
      <c r="J673" s="112"/>
      <c r="K673" s="230"/>
      <c r="L673" s="31"/>
      <c r="M673" s="39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</row>
    <row r="674">
      <c r="A674" s="224"/>
      <c r="B674" s="229"/>
      <c r="C674" s="225"/>
      <c r="D674" s="226"/>
      <c r="E674" s="227"/>
      <c r="F674" s="228"/>
      <c r="G674" s="33"/>
      <c r="H674" s="143"/>
      <c r="I674" s="111"/>
      <c r="J674" s="112"/>
      <c r="K674" s="230"/>
      <c r="L674" s="31"/>
      <c r="M674" s="39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</row>
    <row r="675">
      <c r="A675" s="224"/>
      <c r="B675" s="229"/>
      <c r="C675" s="225"/>
      <c r="D675" s="226"/>
      <c r="E675" s="227"/>
      <c r="F675" s="228"/>
      <c r="G675" s="33"/>
      <c r="H675" s="143"/>
      <c r="I675" s="111"/>
      <c r="J675" s="112"/>
      <c r="K675" s="230"/>
      <c r="L675" s="31"/>
      <c r="M675" s="39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</row>
    <row r="676">
      <c r="A676" s="224"/>
      <c r="B676" s="229"/>
      <c r="C676" s="225"/>
      <c r="D676" s="226"/>
      <c r="E676" s="227"/>
      <c r="F676" s="228"/>
      <c r="G676" s="33"/>
      <c r="H676" s="143"/>
      <c r="I676" s="111"/>
      <c r="J676" s="112"/>
      <c r="K676" s="230"/>
      <c r="L676" s="31"/>
      <c r="M676" s="39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</row>
    <row r="677">
      <c r="A677" s="224"/>
      <c r="B677" s="229"/>
      <c r="C677" s="225"/>
      <c r="D677" s="226"/>
      <c r="E677" s="227"/>
      <c r="F677" s="228"/>
      <c r="G677" s="33"/>
      <c r="H677" s="143"/>
      <c r="I677" s="111"/>
      <c r="J677" s="112"/>
      <c r="K677" s="230"/>
      <c r="L677" s="31"/>
      <c r="M677" s="39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</row>
    <row r="678">
      <c r="A678" s="224"/>
      <c r="B678" s="229"/>
      <c r="C678" s="225"/>
      <c r="D678" s="226"/>
      <c r="E678" s="227"/>
      <c r="F678" s="228"/>
      <c r="G678" s="33"/>
      <c r="H678" s="143"/>
      <c r="I678" s="111"/>
      <c r="J678" s="112"/>
      <c r="K678" s="230"/>
      <c r="L678" s="31"/>
      <c r="M678" s="39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</row>
    <row r="679">
      <c r="A679" s="224"/>
      <c r="B679" s="229"/>
      <c r="C679" s="225"/>
      <c r="D679" s="226"/>
      <c r="E679" s="227"/>
      <c r="F679" s="228"/>
      <c r="G679" s="33"/>
      <c r="H679" s="143"/>
      <c r="I679" s="111"/>
      <c r="J679" s="112"/>
      <c r="K679" s="230"/>
      <c r="L679" s="31"/>
      <c r="M679" s="39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</row>
    <row r="680">
      <c r="A680" s="224"/>
      <c r="B680" s="229"/>
      <c r="C680" s="225"/>
      <c r="D680" s="226"/>
      <c r="E680" s="227"/>
      <c r="F680" s="228"/>
      <c r="G680" s="33"/>
      <c r="H680" s="143"/>
      <c r="I680" s="111"/>
      <c r="J680" s="112"/>
      <c r="K680" s="230"/>
      <c r="L680" s="31"/>
      <c r="M680" s="39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</row>
    <row r="681">
      <c r="A681" s="224"/>
      <c r="B681" s="229"/>
      <c r="C681" s="225"/>
      <c r="D681" s="226"/>
      <c r="E681" s="227"/>
      <c r="F681" s="228"/>
      <c r="G681" s="33"/>
      <c r="H681" s="143"/>
      <c r="I681" s="111"/>
      <c r="J681" s="112"/>
      <c r="K681" s="230"/>
      <c r="L681" s="31"/>
      <c r="M681" s="39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</row>
    <row r="682">
      <c r="A682" s="224"/>
      <c r="B682" s="229"/>
      <c r="C682" s="225"/>
      <c r="D682" s="226"/>
      <c r="E682" s="227"/>
      <c r="F682" s="228"/>
      <c r="G682" s="33"/>
      <c r="H682" s="143"/>
      <c r="I682" s="111"/>
      <c r="J682" s="112"/>
      <c r="K682" s="230"/>
      <c r="L682" s="31"/>
      <c r="M682" s="39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</row>
    <row r="683">
      <c r="A683" s="224"/>
      <c r="B683" s="229"/>
      <c r="C683" s="225"/>
      <c r="D683" s="226"/>
      <c r="E683" s="227"/>
      <c r="F683" s="228"/>
      <c r="G683" s="33"/>
      <c r="H683" s="143"/>
      <c r="I683" s="111"/>
      <c r="J683" s="112"/>
      <c r="K683" s="230"/>
      <c r="L683" s="31"/>
      <c r="M683" s="39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</row>
    <row r="684">
      <c r="A684" s="224"/>
      <c r="B684" s="229"/>
      <c r="C684" s="225"/>
      <c r="D684" s="226"/>
      <c r="E684" s="227"/>
      <c r="F684" s="228"/>
      <c r="G684" s="33"/>
      <c r="H684" s="143"/>
      <c r="I684" s="111"/>
      <c r="J684" s="112"/>
      <c r="K684" s="230"/>
      <c r="L684" s="31"/>
      <c r="M684" s="39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</row>
    <row r="685">
      <c r="A685" s="224"/>
      <c r="B685" s="229"/>
      <c r="C685" s="225"/>
      <c r="D685" s="226"/>
      <c r="E685" s="227"/>
      <c r="F685" s="228"/>
      <c r="G685" s="33"/>
      <c r="H685" s="143"/>
      <c r="I685" s="111"/>
      <c r="J685" s="112"/>
      <c r="K685" s="230"/>
      <c r="L685" s="31"/>
      <c r="M685" s="39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</row>
    <row r="686">
      <c r="A686" s="224"/>
      <c r="B686" s="229"/>
      <c r="C686" s="225"/>
      <c r="D686" s="226"/>
      <c r="E686" s="227"/>
      <c r="F686" s="228"/>
      <c r="G686" s="33"/>
      <c r="H686" s="143"/>
      <c r="I686" s="111"/>
      <c r="J686" s="112"/>
      <c r="K686" s="230"/>
      <c r="L686" s="31"/>
      <c r="M686" s="39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</row>
    <row r="687">
      <c r="A687" s="224"/>
      <c r="B687" s="229"/>
      <c r="C687" s="225"/>
      <c r="D687" s="226"/>
      <c r="E687" s="227"/>
      <c r="F687" s="228"/>
      <c r="G687" s="33"/>
      <c r="H687" s="143"/>
      <c r="I687" s="111"/>
      <c r="J687" s="112"/>
      <c r="K687" s="230"/>
      <c r="L687" s="31"/>
      <c r="M687" s="39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</row>
    <row r="688">
      <c r="A688" s="224"/>
      <c r="B688" s="229"/>
      <c r="C688" s="225"/>
      <c r="D688" s="226"/>
      <c r="E688" s="227"/>
      <c r="F688" s="228"/>
      <c r="G688" s="33"/>
      <c r="H688" s="143"/>
      <c r="I688" s="111"/>
      <c r="J688" s="112"/>
      <c r="K688" s="230"/>
      <c r="L688" s="31"/>
      <c r="M688" s="39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</row>
    <row r="689">
      <c r="A689" s="224"/>
      <c r="B689" s="229"/>
      <c r="C689" s="225"/>
      <c r="D689" s="226"/>
      <c r="E689" s="227"/>
      <c r="F689" s="228"/>
      <c r="G689" s="33"/>
      <c r="H689" s="143"/>
      <c r="I689" s="111"/>
      <c r="J689" s="112"/>
      <c r="K689" s="230"/>
      <c r="L689" s="31"/>
      <c r="M689" s="39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</row>
    <row r="690">
      <c r="A690" s="224"/>
      <c r="B690" s="229"/>
      <c r="C690" s="225"/>
      <c r="D690" s="226"/>
      <c r="E690" s="227"/>
      <c r="F690" s="228"/>
      <c r="G690" s="33"/>
      <c r="H690" s="143"/>
      <c r="I690" s="111"/>
      <c r="J690" s="112"/>
      <c r="K690" s="230"/>
      <c r="L690" s="31"/>
      <c r="M690" s="39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</row>
    <row r="691">
      <c r="A691" s="224"/>
      <c r="B691" s="229"/>
      <c r="C691" s="225"/>
      <c r="D691" s="226"/>
      <c r="E691" s="227"/>
      <c r="F691" s="228"/>
      <c r="G691" s="33"/>
      <c r="H691" s="143"/>
      <c r="I691" s="111"/>
      <c r="J691" s="112"/>
      <c r="K691" s="230"/>
      <c r="L691" s="31"/>
      <c r="M691" s="39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</row>
    <row r="692">
      <c r="A692" s="224"/>
      <c r="B692" s="229"/>
      <c r="C692" s="225"/>
      <c r="D692" s="226"/>
      <c r="E692" s="227"/>
      <c r="F692" s="228"/>
      <c r="G692" s="33"/>
      <c r="H692" s="143"/>
      <c r="I692" s="111"/>
      <c r="J692" s="112"/>
      <c r="K692" s="230"/>
      <c r="L692" s="31"/>
      <c r="M692" s="39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</row>
    <row r="693">
      <c r="A693" s="224"/>
      <c r="B693" s="229"/>
      <c r="C693" s="225"/>
      <c r="D693" s="226"/>
      <c r="E693" s="227"/>
      <c r="F693" s="228"/>
      <c r="G693" s="33"/>
      <c r="H693" s="143"/>
      <c r="I693" s="111"/>
      <c r="J693" s="112"/>
      <c r="K693" s="230"/>
      <c r="L693" s="31"/>
      <c r="M693" s="39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</row>
    <row r="694">
      <c r="A694" s="224"/>
      <c r="B694" s="229"/>
      <c r="C694" s="225"/>
      <c r="D694" s="226"/>
      <c r="E694" s="227"/>
      <c r="F694" s="228"/>
      <c r="G694" s="33"/>
      <c r="H694" s="143"/>
      <c r="I694" s="111"/>
      <c r="J694" s="112"/>
      <c r="K694" s="230"/>
      <c r="L694" s="31"/>
      <c r="M694" s="39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</row>
    <row r="695">
      <c r="A695" s="224"/>
      <c r="B695" s="229"/>
      <c r="C695" s="225"/>
      <c r="D695" s="226"/>
      <c r="E695" s="227"/>
      <c r="F695" s="228"/>
      <c r="G695" s="33"/>
      <c r="H695" s="143"/>
      <c r="I695" s="111"/>
      <c r="J695" s="112"/>
      <c r="K695" s="230"/>
      <c r="L695" s="31"/>
      <c r="M695" s="39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</row>
    <row r="696">
      <c r="A696" s="224"/>
      <c r="B696" s="229"/>
      <c r="C696" s="225"/>
      <c r="D696" s="226"/>
      <c r="E696" s="227"/>
      <c r="F696" s="228"/>
      <c r="G696" s="33"/>
      <c r="H696" s="143"/>
      <c r="I696" s="111"/>
      <c r="J696" s="112"/>
      <c r="K696" s="230"/>
      <c r="L696" s="31"/>
      <c r="M696" s="39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</row>
    <row r="697">
      <c r="A697" s="224"/>
      <c r="B697" s="229"/>
      <c r="C697" s="225"/>
      <c r="D697" s="226"/>
      <c r="E697" s="227"/>
      <c r="F697" s="228"/>
      <c r="G697" s="33"/>
      <c r="H697" s="143"/>
      <c r="I697" s="111"/>
      <c r="J697" s="112"/>
      <c r="K697" s="230"/>
      <c r="L697" s="31"/>
      <c r="M697" s="39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</row>
    <row r="698">
      <c r="A698" s="224"/>
      <c r="B698" s="229"/>
      <c r="C698" s="225"/>
      <c r="D698" s="226"/>
      <c r="E698" s="227"/>
      <c r="F698" s="228"/>
      <c r="G698" s="33"/>
      <c r="H698" s="143"/>
      <c r="I698" s="111"/>
      <c r="J698" s="112"/>
      <c r="K698" s="230"/>
      <c r="L698" s="31"/>
      <c r="M698" s="39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</row>
    <row r="699">
      <c r="A699" s="224"/>
      <c r="B699" s="229"/>
      <c r="C699" s="225"/>
      <c r="D699" s="226"/>
      <c r="E699" s="227"/>
      <c r="F699" s="228"/>
      <c r="G699" s="33"/>
      <c r="H699" s="143"/>
      <c r="I699" s="111"/>
      <c r="J699" s="112"/>
      <c r="K699" s="230"/>
      <c r="L699" s="31"/>
      <c r="M699" s="39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</row>
    <row r="700">
      <c r="A700" s="224"/>
      <c r="B700" s="229"/>
      <c r="C700" s="225"/>
      <c r="D700" s="226"/>
      <c r="E700" s="227"/>
      <c r="F700" s="228"/>
      <c r="G700" s="33"/>
      <c r="H700" s="143"/>
      <c r="I700" s="111"/>
      <c r="J700" s="112"/>
      <c r="K700" s="230"/>
      <c r="L700" s="31"/>
      <c r="M700" s="39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</row>
    <row r="701">
      <c r="A701" s="224"/>
      <c r="B701" s="229"/>
      <c r="C701" s="225"/>
      <c r="D701" s="226"/>
      <c r="E701" s="227"/>
      <c r="F701" s="228"/>
      <c r="G701" s="33"/>
      <c r="H701" s="143"/>
      <c r="I701" s="111"/>
      <c r="J701" s="112"/>
      <c r="K701" s="230"/>
      <c r="L701" s="31"/>
      <c r="M701" s="39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</row>
    <row r="702">
      <c r="A702" s="224"/>
      <c r="B702" s="229"/>
      <c r="C702" s="225"/>
      <c r="D702" s="226"/>
      <c r="E702" s="227"/>
      <c r="F702" s="228"/>
      <c r="G702" s="33"/>
      <c r="H702" s="143"/>
      <c r="I702" s="111"/>
      <c r="J702" s="112"/>
      <c r="K702" s="230"/>
      <c r="L702" s="31"/>
      <c r="M702" s="39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</row>
    <row r="703">
      <c r="A703" s="224"/>
      <c r="B703" s="229"/>
      <c r="C703" s="225"/>
      <c r="D703" s="226"/>
      <c r="E703" s="227"/>
      <c r="F703" s="228"/>
      <c r="G703" s="33"/>
      <c r="H703" s="143"/>
      <c r="I703" s="111"/>
      <c r="J703" s="112"/>
      <c r="K703" s="230"/>
      <c r="L703" s="31"/>
      <c r="M703" s="39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</row>
    <row r="704">
      <c r="A704" s="224"/>
      <c r="B704" s="229"/>
      <c r="C704" s="225"/>
      <c r="D704" s="226"/>
      <c r="E704" s="227"/>
      <c r="F704" s="228"/>
      <c r="G704" s="33"/>
      <c r="H704" s="143"/>
      <c r="I704" s="111"/>
      <c r="J704" s="112"/>
      <c r="K704" s="230"/>
      <c r="L704" s="31"/>
      <c r="M704" s="39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</row>
    <row r="705">
      <c r="A705" s="224"/>
      <c r="B705" s="229"/>
      <c r="C705" s="225"/>
      <c r="D705" s="226"/>
      <c r="E705" s="227"/>
      <c r="F705" s="228"/>
      <c r="G705" s="33"/>
      <c r="H705" s="143"/>
      <c r="I705" s="111"/>
      <c r="J705" s="112"/>
      <c r="K705" s="230"/>
      <c r="L705" s="31"/>
      <c r="M705" s="39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</row>
    <row r="706">
      <c r="A706" s="224"/>
      <c r="B706" s="229"/>
      <c r="C706" s="225"/>
      <c r="D706" s="226"/>
      <c r="E706" s="227"/>
      <c r="F706" s="228"/>
      <c r="G706" s="33"/>
      <c r="H706" s="143"/>
      <c r="I706" s="111"/>
      <c r="J706" s="112"/>
      <c r="K706" s="230"/>
      <c r="L706" s="31"/>
      <c r="M706" s="39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</row>
    <row r="707">
      <c r="A707" s="224"/>
      <c r="B707" s="229"/>
      <c r="C707" s="225"/>
      <c r="D707" s="226"/>
      <c r="E707" s="227"/>
      <c r="F707" s="228"/>
      <c r="G707" s="33"/>
      <c r="H707" s="143"/>
      <c r="I707" s="111"/>
      <c r="J707" s="112"/>
      <c r="K707" s="230"/>
      <c r="L707" s="31"/>
      <c r="M707" s="39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</row>
    <row r="708">
      <c r="A708" s="224"/>
      <c r="B708" s="229"/>
      <c r="C708" s="225"/>
      <c r="D708" s="226"/>
      <c r="E708" s="227"/>
      <c r="F708" s="228"/>
      <c r="G708" s="33"/>
      <c r="H708" s="143"/>
      <c r="I708" s="111"/>
      <c r="J708" s="112"/>
      <c r="K708" s="230"/>
      <c r="L708" s="31"/>
      <c r="M708" s="39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</row>
    <row r="709">
      <c r="A709" s="224"/>
      <c r="B709" s="229"/>
      <c r="C709" s="225"/>
      <c r="D709" s="226"/>
      <c r="E709" s="227"/>
      <c r="F709" s="228"/>
      <c r="G709" s="33"/>
      <c r="H709" s="143"/>
      <c r="I709" s="111"/>
      <c r="J709" s="112"/>
      <c r="K709" s="230"/>
      <c r="L709" s="31"/>
      <c r="M709" s="39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</row>
    <row r="710">
      <c r="A710" s="224"/>
      <c r="B710" s="229"/>
      <c r="C710" s="225"/>
      <c r="D710" s="226"/>
      <c r="E710" s="227"/>
      <c r="F710" s="228"/>
      <c r="G710" s="33"/>
      <c r="H710" s="143"/>
      <c r="I710" s="111"/>
      <c r="J710" s="112"/>
      <c r="K710" s="230"/>
      <c r="L710" s="31"/>
      <c r="M710" s="39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</row>
    <row r="711">
      <c r="A711" s="224"/>
      <c r="B711" s="229"/>
      <c r="C711" s="225"/>
      <c r="D711" s="226"/>
      <c r="E711" s="227"/>
      <c r="F711" s="228"/>
      <c r="G711" s="33"/>
      <c r="H711" s="143"/>
      <c r="I711" s="111"/>
      <c r="J711" s="112"/>
      <c r="K711" s="230"/>
      <c r="L711" s="31"/>
      <c r="M711" s="39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</row>
    <row r="712">
      <c r="A712" s="224"/>
      <c r="B712" s="229"/>
      <c r="C712" s="225"/>
      <c r="D712" s="226"/>
      <c r="E712" s="227"/>
      <c r="F712" s="228"/>
      <c r="G712" s="33"/>
      <c r="H712" s="143"/>
      <c r="I712" s="111"/>
      <c r="J712" s="112"/>
      <c r="K712" s="230"/>
      <c r="L712" s="31"/>
      <c r="M712" s="39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</row>
    <row r="713">
      <c r="A713" s="224"/>
      <c r="B713" s="229"/>
      <c r="C713" s="225"/>
      <c r="D713" s="226"/>
      <c r="E713" s="227"/>
      <c r="F713" s="228"/>
      <c r="G713" s="33"/>
      <c r="H713" s="143"/>
      <c r="I713" s="111"/>
      <c r="J713" s="112"/>
      <c r="K713" s="230"/>
      <c r="L713" s="31"/>
      <c r="M713" s="39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</row>
    <row r="714">
      <c r="A714" s="224"/>
      <c r="B714" s="229"/>
      <c r="C714" s="225"/>
      <c r="D714" s="226"/>
      <c r="E714" s="227"/>
      <c r="F714" s="228"/>
      <c r="G714" s="33"/>
      <c r="H714" s="143"/>
      <c r="I714" s="111"/>
      <c r="J714" s="112"/>
      <c r="K714" s="230"/>
      <c r="L714" s="31"/>
      <c r="M714" s="39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</row>
    <row r="715">
      <c r="A715" s="224"/>
      <c r="B715" s="229"/>
      <c r="C715" s="225"/>
      <c r="D715" s="226"/>
      <c r="E715" s="227"/>
      <c r="F715" s="228"/>
      <c r="G715" s="33"/>
      <c r="H715" s="143"/>
      <c r="I715" s="111"/>
      <c r="J715" s="112"/>
      <c r="K715" s="230"/>
      <c r="L715" s="31"/>
      <c r="M715" s="39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</row>
    <row r="716">
      <c r="A716" s="224"/>
      <c r="B716" s="229"/>
      <c r="C716" s="225"/>
      <c r="D716" s="226"/>
      <c r="E716" s="227"/>
      <c r="F716" s="228"/>
      <c r="G716" s="33"/>
      <c r="H716" s="143"/>
      <c r="I716" s="111"/>
      <c r="J716" s="112"/>
      <c r="K716" s="230"/>
      <c r="L716" s="31"/>
      <c r="M716" s="39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</row>
    <row r="717">
      <c r="A717" s="224"/>
      <c r="B717" s="229"/>
      <c r="C717" s="225"/>
      <c r="D717" s="226"/>
      <c r="E717" s="227"/>
      <c r="F717" s="228"/>
      <c r="G717" s="33"/>
      <c r="H717" s="143"/>
      <c r="I717" s="111"/>
      <c r="J717" s="112"/>
      <c r="K717" s="230"/>
      <c r="L717" s="31"/>
      <c r="M717" s="39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</row>
    <row r="718">
      <c r="A718" s="224"/>
      <c r="B718" s="229"/>
      <c r="C718" s="225"/>
      <c r="D718" s="226"/>
      <c r="E718" s="227"/>
      <c r="F718" s="228"/>
      <c r="G718" s="33"/>
      <c r="H718" s="143"/>
      <c r="I718" s="111"/>
      <c r="J718" s="112"/>
      <c r="K718" s="230"/>
      <c r="L718" s="31"/>
      <c r="M718" s="39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</row>
    <row r="719">
      <c r="A719" s="224"/>
      <c r="B719" s="229"/>
      <c r="C719" s="225"/>
      <c r="D719" s="226"/>
      <c r="E719" s="227"/>
      <c r="F719" s="228"/>
      <c r="G719" s="33"/>
      <c r="H719" s="143"/>
      <c r="I719" s="111"/>
      <c r="J719" s="112"/>
      <c r="K719" s="230"/>
      <c r="L719" s="31"/>
      <c r="M719" s="39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</row>
    <row r="720">
      <c r="A720" s="224"/>
      <c r="B720" s="229"/>
      <c r="C720" s="225"/>
      <c r="D720" s="226"/>
      <c r="E720" s="227"/>
      <c r="F720" s="228"/>
      <c r="G720" s="33"/>
      <c r="H720" s="143"/>
      <c r="I720" s="111"/>
      <c r="J720" s="112"/>
      <c r="K720" s="230"/>
      <c r="L720" s="31"/>
      <c r="M720" s="39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</row>
    <row r="721">
      <c r="A721" s="224"/>
      <c r="B721" s="229"/>
      <c r="C721" s="225"/>
      <c r="D721" s="226"/>
      <c r="E721" s="227"/>
      <c r="F721" s="228"/>
      <c r="G721" s="33"/>
      <c r="H721" s="143"/>
      <c r="I721" s="111"/>
      <c r="J721" s="112"/>
      <c r="K721" s="230"/>
      <c r="L721" s="31"/>
      <c r="M721" s="39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</row>
    <row r="722">
      <c r="A722" s="224"/>
      <c r="B722" s="229"/>
      <c r="C722" s="225"/>
      <c r="D722" s="226"/>
      <c r="E722" s="227"/>
      <c r="F722" s="228"/>
      <c r="G722" s="33"/>
      <c r="H722" s="143"/>
      <c r="I722" s="111"/>
      <c r="J722" s="112"/>
      <c r="K722" s="230"/>
      <c r="L722" s="31"/>
      <c r="M722" s="39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</row>
    <row r="723">
      <c r="A723" s="224"/>
      <c r="B723" s="229"/>
      <c r="C723" s="225"/>
      <c r="D723" s="226"/>
      <c r="E723" s="227"/>
      <c r="F723" s="228"/>
      <c r="G723" s="33"/>
      <c r="H723" s="143"/>
      <c r="I723" s="111"/>
      <c r="J723" s="112"/>
      <c r="K723" s="230"/>
      <c r="L723" s="31"/>
      <c r="M723" s="39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</row>
    <row r="724">
      <c r="A724" s="224"/>
      <c r="B724" s="229"/>
      <c r="C724" s="225"/>
      <c r="D724" s="226"/>
      <c r="E724" s="227"/>
      <c r="F724" s="228"/>
      <c r="G724" s="33"/>
      <c r="H724" s="143"/>
      <c r="I724" s="111"/>
      <c r="J724" s="112"/>
      <c r="K724" s="230"/>
      <c r="L724" s="31"/>
      <c r="M724" s="39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</row>
    <row r="725">
      <c r="A725" s="224"/>
      <c r="B725" s="229"/>
      <c r="C725" s="225"/>
      <c r="D725" s="226"/>
      <c r="E725" s="227"/>
      <c r="F725" s="228"/>
      <c r="G725" s="33"/>
      <c r="H725" s="143"/>
      <c r="I725" s="111"/>
      <c r="J725" s="112"/>
      <c r="K725" s="230"/>
      <c r="L725" s="31"/>
      <c r="M725" s="39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</row>
    <row r="726">
      <c r="A726" s="224"/>
      <c r="B726" s="229"/>
      <c r="C726" s="225"/>
      <c r="D726" s="226"/>
      <c r="E726" s="227"/>
      <c r="F726" s="228"/>
      <c r="G726" s="33"/>
      <c r="H726" s="143"/>
      <c r="I726" s="111"/>
      <c r="J726" s="112"/>
      <c r="K726" s="230"/>
      <c r="L726" s="31"/>
      <c r="M726" s="39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</row>
    <row r="727">
      <c r="A727" s="224"/>
      <c r="B727" s="229"/>
      <c r="C727" s="225"/>
      <c r="D727" s="226"/>
      <c r="E727" s="227"/>
      <c r="F727" s="228"/>
      <c r="G727" s="33"/>
      <c r="H727" s="143"/>
      <c r="I727" s="111"/>
      <c r="J727" s="112"/>
      <c r="K727" s="230"/>
      <c r="L727" s="31"/>
      <c r="M727" s="39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</row>
    <row r="728">
      <c r="A728" s="224"/>
      <c r="B728" s="229"/>
      <c r="C728" s="225"/>
      <c r="D728" s="226"/>
      <c r="E728" s="227"/>
      <c r="F728" s="228"/>
      <c r="G728" s="33"/>
      <c r="H728" s="143"/>
      <c r="I728" s="111"/>
      <c r="J728" s="112"/>
      <c r="K728" s="230"/>
      <c r="L728" s="31"/>
      <c r="M728" s="39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</row>
    <row r="729">
      <c r="A729" s="224"/>
      <c r="B729" s="229"/>
      <c r="C729" s="225"/>
      <c r="D729" s="226"/>
      <c r="E729" s="227"/>
      <c r="F729" s="228"/>
      <c r="G729" s="33"/>
      <c r="H729" s="143"/>
      <c r="I729" s="111"/>
      <c r="J729" s="112"/>
      <c r="K729" s="230"/>
      <c r="L729" s="31"/>
      <c r="M729" s="39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</row>
    <row r="730">
      <c r="A730" s="224"/>
      <c r="B730" s="229"/>
      <c r="C730" s="225"/>
      <c r="D730" s="226"/>
      <c r="E730" s="227"/>
      <c r="F730" s="228"/>
      <c r="G730" s="33"/>
      <c r="H730" s="143"/>
      <c r="I730" s="111"/>
      <c r="J730" s="112"/>
      <c r="K730" s="230"/>
      <c r="L730" s="31"/>
      <c r="M730" s="39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</row>
    <row r="731">
      <c r="A731" s="224"/>
      <c r="B731" s="229"/>
      <c r="C731" s="225"/>
      <c r="D731" s="226"/>
      <c r="E731" s="227"/>
      <c r="F731" s="228"/>
      <c r="G731" s="33"/>
      <c r="H731" s="143"/>
      <c r="I731" s="111"/>
      <c r="J731" s="112"/>
      <c r="K731" s="230"/>
      <c r="L731" s="31"/>
      <c r="M731" s="39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</row>
    <row r="732">
      <c r="A732" s="224"/>
      <c r="B732" s="229"/>
      <c r="C732" s="225"/>
      <c r="D732" s="226"/>
      <c r="E732" s="227"/>
      <c r="F732" s="228"/>
      <c r="G732" s="33"/>
      <c r="H732" s="143"/>
      <c r="I732" s="111"/>
      <c r="J732" s="112"/>
      <c r="K732" s="230"/>
      <c r="L732" s="31"/>
      <c r="M732" s="39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</row>
    <row r="733">
      <c r="A733" s="224"/>
      <c r="B733" s="229"/>
      <c r="C733" s="225"/>
      <c r="D733" s="226"/>
      <c r="E733" s="227"/>
      <c r="F733" s="228"/>
      <c r="G733" s="33"/>
      <c r="H733" s="143"/>
      <c r="I733" s="111"/>
      <c r="J733" s="112"/>
      <c r="K733" s="230"/>
      <c r="L733" s="31"/>
      <c r="M733" s="39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</row>
    <row r="734">
      <c r="A734" s="224"/>
      <c r="B734" s="229"/>
      <c r="C734" s="225"/>
      <c r="D734" s="226"/>
      <c r="E734" s="227"/>
      <c r="F734" s="228"/>
      <c r="G734" s="33"/>
      <c r="H734" s="143"/>
      <c r="I734" s="111"/>
      <c r="J734" s="112"/>
      <c r="K734" s="230"/>
      <c r="L734" s="31"/>
      <c r="M734" s="39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</row>
    <row r="735">
      <c r="A735" s="224"/>
      <c r="B735" s="229"/>
      <c r="C735" s="225"/>
      <c r="D735" s="226"/>
      <c r="E735" s="227"/>
      <c r="F735" s="228"/>
      <c r="G735" s="33"/>
      <c r="H735" s="143"/>
      <c r="I735" s="111"/>
      <c r="J735" s="112"/>
      <c r="K735" s="230"/>
      <c r="L735" s="31"/>
      <c r="M735" s="39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</row>
    <row r="736">
      <c r="A736" s="224"/>
      <c r="B736" s="229"/>
      <c r="C736" s="225"/>
      <c r="D736" s="226"/>
      <c r="E736" s="227"/>
      <c r="F736" s="228"/>
      <c r="G736" s="33"/>
      <c r="H736" s="143"/>
      <c r="I736" s="111"/>
      <c r="J736" s="112"/>
      <c r="K736" s="230"/>
      <c r="L736" s="31"/>
      <c r="M736" s="39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</row>
    <row r="737">
      <c r="A737" s="224"/>
      <c r="B737" s="229"/>
      <c r="C737" s="225"/>
      <c r="D737" s="226"/>
      <c r="E737" s="227"/>
      <c r="F737" s="228"/>
      <c r="G737" s="33"/>
      <c r="H737" s="143"/>
      <c r="I737" s="111"/>
      <c r="J737" s="112"/>
      <c r="K737" s="230"/>
      <c r="L737" s="31"/>
      <c r="M737" s="39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</row>
    <row r="738">
      <c r="A738" s="224"/>
      <c r="B738" s="229"/>
      <c r="C738" s="225"/>
      <c r="D738" s="226"/>
      <c r="E738" s="227"/>
      <c r="F738" s="228"/>
      <c r="G738" s="33"/>
      <c r="H738" s="143"/>
      <c r="I738" s="111"/>
      <c r="J738" s="112"/>
      <c r="K738" s="230"/>
      <c r="L738" s="31"/>
      <c r="M738" s="39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</row>
    <row r="739">
      <c r="A739" s="224"/>
      <c r="B739" s="229"/>
      <c r="C739" s="225"/>
      <c r="D739" s="226"/>
      <c r="E739" s="227"/>
      <c r="F739" s="228"/>
      <c r="G739" s="33"/>
      <c r="H739" s="143"/>
      <c r="I739" s="111"/>
      <c r="J739" s="112"/>
      <c r="K739" s="230"/>
      <c r="L739" s="31"/>
      <c r="M739" s="39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</row>
    <row r="740">
      <c r="A740" s="224"/>
      <c r="B740" s="229"/>
      <c r="C740" s="225"/>
      <c r="D740" s="226"/>
      <c r="E740" s="227"/>
      <c r="F740" s="228"/>
      <c r="G740" s="33"/>
      <c r="H740" s="143"/>
      <c r="I740" s="111"/>
      <c r="J740" s="112"/>
      <c r="K740" s="230"/>
      <c r="L740" s="31"/>
      <c r="M740" s="39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</row>
    <row r="741">
      <c r="A741" s="224"/>
      <c r="B741" s="229"/>
      <c r="C741" s="225"/>
      <c r="D741" s="226"/>
      <c r="E741" s="227"/>
      <c r="F741" s="228"/>
      <c r="G741" s="33"/>
      <c r="H741" s="143"/>
      <c r="I741" s="111"/>
      <c r="J741" s="112"/>
      <c r="K741" s="230"/>
      <c r="L741" s="31"/>
      <c r="M741" s="39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</row>
    <row r="742">
      <c r="A742" s="224"/>
      <c r="B742" s="229"/>
      <c r="C742" s="225"/>
      <c r="D742" s="226"/>
      <c r="E742" s="227"/>
      <c r="F742" s="228"/>
      <c r="G742" s="33"/>
      <c r="H742" s="143"/>
      <c r="I742" s="111"/>
      <c r="J742" s="112"/>
      <c r="K742" s="230"/>
      <c r="L742" s="31"/>
      <c r="M742" s="39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</row>
    <row r="743">
      <c r="A743" s="224"/>
      <c r="B743" s="229"/>
      <c r="C743" s="225"/>
      <c r="D743" s="226"/>
      <c r="E743" s="227"/>
      <c r="F743" s="228"/>
      <c r="G743" s="33"/>
      <c r="H743" s="143"/>
      <c r="I743" s="111"/>
      <c r="J743" s="112"/>
      <c r="K743" s="230"/>
      <c r="L743" s="31"/>
      <c r="M743" s="39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</row>
    <row r="744">
      <c r="A744" s="224"/>
      <c r="B744" s="229"/>
      <c r="C744" s="225"/>
      <c r="D744" s="226"/>
      <c r="E744" s="227"/>
      <c r="F744" s="228"/>
      <c r="G744" s="33"/>
      <c r="H744" s="143"/>
      <c r="I744" s="111"/>
      <c r="J744" s="112"/>
      <c r="K744" s="230"/>
      <c r="L744" s="31"/>
      <c r="M744" s="39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</row>
    <row r="745">
      <c r="A745" s="224"/>
      <c r="B745" s="229"/>
      <c r="C745" s="225"/>
      <c r="D745" s="226"/>
      <c r="E745" s="227"/>
      <c r="F745" s="228"/>
      <c r="G745" s="33"/>
      <c r="H745" s="143"/>
      <c r="I745" s="111"/>
      <c r="J745" s="112"/>
      <c r="K745" s="230"/>
      <c r="L745" s="31"/>
      <c r="M745" s="39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</row>
    <row r="746">
      <c r="A746" s="224"/>
      <c r="B746" s="229"/>
      <c r="C746" s="225"/>
      <c r="D746" s="226"/>
      <c r="E746" s="227"/>
      <c r="F746" s="228"/>
      <c r="G746" s="33"/>
      <c r="H746" s="143"/>
      <c r="I746" s="111"/>
      <c r="J746" s="112"/>
      <c r="K746" s="230"/>
      <c r="L746" s="31"/>
      <c r="M746" s="39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</row>
    <row r="747">
      <c r="A747" s="224"/>
      <c r="B747" s="229"/>
      <c r="C747" s="225"/>
      <c r="D747" s="226"/>
      <c r="E747" s="227"/>
      <c r="F747" s="228"/>
      <c r="G747" s="33"/>
      <c r="H747" s="143"/>
      <c r="I747" s="111"/>
      <c r="J747" s="112"/>
      <c r="K747" s="230"/>
      <c r="L747" s="31"/>
      <c r="M747" s="39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</row>
    <row r="748">
      <c r="A748" s="224"/>
      <c r="B748" s="229"/>
      <c r="C748" s="225"/>
      <c r="D748" s="226"/>
      <c r="E748" s="227"/>
      <c r="F748" s="228"/>
      <c r="G748" s="33"/>
      <c r="H748" s="143"/>
      <c r="I748" s="111"/>
      <c r="J748" s="112"/>
      <c r="K748" s="230"/>
      <c r="L748" s="31"/>
      <c r="M748" s="39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</row>
    <row r="749">
      <c r="A749" s="224"/>
      <c r="B749" s="229"/>
      <c r="C749" s="225"/>
      <c r="D749" s="226"/>
      <c r="E749" s="227"/>
      <c r="F749" s="228"/>
      <c r="G749" s="33"/>
      <c r="H749" s="143"/>
      <c r="I749" s="111"/>
      <c r="J749" s="112"/>
      <c r="K749" s="230"/>
      <c r="L749" s="31"/>
      <c r="M749" s="39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</row>
    <row r="750">
      <c r="A750" s="224"/>
      <c r="B750" s="229"/>
      <c r="C750" s="225"/>
      <c r="D750" s="226"/>
      <c r="E750" s="227"/>
      <c r="F750" s="228"/>
      <c r="G750" s="33"/>
      <c r="H750" s="143"/>
      <c r="I750" s="111"/>
      <c r="J750" s="112"/>
      <c r="K750" s="230"/>
      <c r="L750" s="31"/>
      <c r="M750" s="39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</row>
    <row r="751">
      <c r="A751" s="224"/>
      <c r="B751" s="229"/>
      <c r="C751" s="225"/>
      <c r="D751" s="226"/>
      <c r="E751" s="227"/>
      <c r="F751" s="228"/>
      <c r="G751" s="33"/>
      <c r="H751" s="143"/>
      <c r="I751" s="111"/>
      <c r="J751" s="112"/>
      <c r="K751" s="230"/>
      <c r="L751" s="31"/>
      <c r="M751" s="39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</row>
    <row r="752">
      <c r="A752" s="224"/>
      <c r="B752" s="229"/>
      <c r="C752" s="225"/>
      <c r="D752" s="226"/>
      <c r="E752" s="227"/>
      <c r="F752" s="228"/>
      <c r="G752" s="33"/>
      <c r="H752" s="143"/>
      <c r="I752" s="111"/>
      <c r="J752" s="112"/>
      <c r="K752" s="230"/>
      <c r="L752" s="31"/>
      <c r="M752" s="39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</row>
    <row r="753">
      <c r="A753" s="224"/>
      <c r="B753" s="229"/>
      <c r="C753" s="225"/>
      <c r="D753" s="226"/>
      <c r="E753" s="227"/>
      <c r="F753" s="228"/>
      <c r="G753" s="33"/>
      <c r="H753" s="143"/>
      <c r="I753" s="111"/>
      <c r="J753" s="112"/>
      <c r="K753" s="230"/>
      <c r="L753" s="31"/>
      <c r="M753" s="39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</row>
    <row r="754">
      <c r="A754" s="224"/>
      <c r="B754" s="229"/>
      <c r="C754" s="225"/>
      <c r="D754" s="226"/>
      <c r="E754" s="227"/>
      <c r="F754" s="228"/>
      <c r="G754" s="33"/>
      <c r="H754" s="143"/>
      <c r="I754" s="111"/>
      <c r="J754" s="112"/>
      <c r="K754" s="230"/>
      <c r="L754" s="31"/>
      <c r="M754" s="39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</row>
    <row r="755">
      <c r="A755" s="224"/>
      <c r="B755" s="229"/>
      <c r="C755" s="225"/>
      <c r="D755" s="226"/>
      <c r="E755" s="227"/>
      <c r="F755" s="228"/>
      <c r="G755" s="33"/>
      <c r="H755" s="143"/>
      <c r="I755" s="111"/>
      <c r="J755" s="112"/>
      <c r="K755" s="230"/>
      <c r="L755" s="31"/>
      <c r="M755" s="39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</row>
    <row r="756">
      <c r="A756" s="224"/>
      <c r="B756" s="229"/>
      <c r="C756" s="225"/>
      <c r="D756" s="226"/>
      <c r="E756" s="227"/>
      <c r="F756" s="228"/>
      <c r="G756" s="33"/>
      <c r="H756" s="143"/>
      <c r="I756" s="111"/>
      <c r="J756" s="112"/>
      <c r="K756" s="230"/>
      <c r="L756" s="31"/>
      <c r="M756" s="39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</row>
    <row r="757">
      <c r="A757" s="224"/>
      <c r="B757" s="229"/>
      <c r="C757" s="225"/>
      <c r="D757" s="226"/>
      <c r="E757" s="227"/>
      <c r="F757" s="228"/>
      <c r="G757" s="33"/>
      <c r="H757" s="143"/>
      <c r="I757" s="111"/>
      <c r="J757" s="112"/>
      <c r="K757" s="230"/>
      <c r="L757" s="31"/>
      <c r="M757" s="39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</row>
    <row r="758">
      <c r="A758" s="224"/>
      <c r="B758" s="229"/>
      <c r="C758" s="225"/>
      <c r="D758" s="226"/>
      <c r="E758" s="227"/>
      <c r="F758" s="228"/>
      <c r="G758" s="33"/>
      <c r="H758" s="143"/>
      <c r="I758" s="111"/>
      <c r="J758" s="112"/>
      <c r="K758" s="230"/>
      <c r="L758" s="31"/>
      <c r="M758" s="39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</row>
    <row r="759">
      <c r="A759" s="224"/>
      <c r="B759" s="229"/>
      <c r="C759" s="225"/>
      <c r="D759" s="226"/>
      <c r="E759" s="227"/>
      <c r="F759" s="228"/>
      <c r="G759" s="33"/>
      <c r="H759" s="143"/>
      <c r="I759" s="111"/>
      <c r="J759" s="112"/>
      <c r="K759" s="230"/>
      <c r="L759" s="31"/>
      <c r="M759" s="39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</row>
    <row r="760">
      <c r="A760" s="224"/>
      <c r="B760" s="229"/>
      <c r="C760" s="225"/>
      <c r="D760" s="226"/>
      <c r="E760" s="227"/>
      <c r="F760" s="228"/>
      <c r="G760" s="33"/>
      <c r="H760" s="143"/>
      <c r="I760" s="111"/>
      <c r="J760" s="112"/>
      <c r="K760" s="230"/>
      <c r="L760" s="31"/>
      <c r="M760" s="39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</row>
    <row r="761">
      <c r="A761" s="224"/>
      <c r="B761" s="229"/>
      <c r="C761" s="225"/>
      <c r="D761" s="226"/>
      <c r="E761" s="227"/>
      <c r="F761" s="228"/>
      <c r="G761" s="33"/>
      <c r="H761" s="143"/>
      <c r="I761" s="111"/>
      <c r="J761" s="112"/>
      <c r="K761" s="230"/>
      <c r="L761" s="31"/>
      <c r="M761" s="39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</row>
    <row r="762">
      <c r="A762" s="224"/>
      <c r="B762" s="229"/>
      <c r="C762" s="225"/>
      <c r="D762" s="226"/>
      <c r="E762" s="227"/>
      <c r="F762" s="228"/>
      <c r="G762" s="33"/>
      <c r="H762" s="143"/>
      <c r="I762" s="111"/>
      <c r="J762" s="112"/>
      <c r="K762" s="230"/>
      <c r="L762" s="31"/>
      <c r="M762" s="39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</row>
    <row r="763">
      <c r="A763" s="224"/>
      <c r="B763" s="229"/>
      <c r="C763" s="225"/>
      <c r="D763" s="226"/>
      <c r="E763" s="227"/>
      <c r="F763" s="228"/>
      <c r="G763" s="33"/>
      <c r="H763" s="143"/>
      <c r="I763" s="111"/>
      <c r="J763" s="112"/>
      <c r="K763" s="230"/>
      <c r="L763" s="31"/>
      <c r="M763" s="39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</row>
    <row r="764">
      <c r="A764" s="224"/>
      <c r="B764" s="229"/>
      <c r="C764" s="225"/>
      <c r="D764" s="226"/>
      <c r="E764" s="227"/>
      <c r="F764" s="228"/>
      <c r="G764" s="33"/>
      <c r="H764" s="143"/>
      <c r="I764" s="111"/>
      <c r="J764" s="112"/>
      <c r="K764" s="230"/>
      <c r="L764" s="31"/>
      <c r="M764" s="39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</row>
    <row r="765">
      <c r="A765" s="224"/>
      <c r="B765" s="229"/>
      <c r="C765" s="225"/>
      <c r="D765" s="226"/>
      <c r="E765" s="227"/>
      <c r="F765" s="228"/>
      <c r="G765" s="33"/>
      <c r="H765" s="143"/>
      <c r="I765" s="111"/>
      <c r="J765" s="112"/>
      <c r="K765" s="230"/>
      <c r="L765" s="31"/>
      <c r="M765" s="39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</row>
    <row r="766">
      <c r="A766" s="224"/>
      <c r="B766" s="229"/>
      <c r="C766" s="225"/>
      <c r="D766" s="226"/>
      <c r="E766" s="227"/>
      <c r="F766" s="228"/>
      <c r="G766" s="33"/>
      <c r="H766" s="143"/>
      <c r="I766" s="111"/>
      <c r="J766" s="112"/>
      <c r="K766" s="230"/>
      <c r="L766" s="31"/>
      <c r="M766" s="39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</row>
    <row r="767">
      <c r="A767" s="224"/>
      <c r="B767" s="229"/>
      <c r="C767" s="225"/>
      <c r="D767" s="226"/>
      <c r="E767" s="227"/>
      <c r="F767" s="228"/>
      <c r="G767" s="33"/>
      <c r="H767" s="143"/>
      <c r="I767" s="111"/>
      <c r="J767" s="112"/>
      <c r="K767" s="230"/>
      <c r="L767" s="31"/>
      <c r="M767" s="39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</row>
    <row r="768">
      <c r="A768" s="224"/>
      <c r="B768" s="229"/>
      <c r="C768" s="225"/>
      <c r="D768" s="226"/>
      <c r="E768" s="227"/>
      <c r="F768" s="228"/>
      <c r="G768" s="33"/>
      <c r="H768" s="143"/>
      <c r="I768" s="111"/>
      <c r="J768" s="112"/>
      <c r="K768" s="230"/>
      <c r="L768" s="31"/>
      <c r="M768" s="39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</row>
    <row r="769">
      <c r="A769" s="224"/>
      <c r="B769" s="229"/>
      <c r="C769" s="225"/>
      <c r="D769" s="226"/>
      <c r="E769" s="227"/>
      <c r="F769" s="228"/>
      <c r="G769" s="33"/>
      <c r="H769" s="143"/>
      <c r="I769" s="111"/>
      <c r="J769" s="112"/>
      <c r="K769" s="230"/>
      <c r="L769" s="31"/>
      <c r="M769" s="39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</row>
    <row r="770">
      <c r="A770" s="224"/>
      <c r="B770" s="229"/>
      <c r="C770" s="225"/>
      <c r="D770" s="226"/>
      <c r="E770" s="227"/>
      <c r="F770" s="228"/>
      <c r="G770" s="33"/>
      <c r="H770" s="143"/>
      <c r="I770" s="111"/>
      <c r="J770" s="112"/>
      <c r="K770" s="230"/>
      <c r="L770" s="31"/>
      <c r="M770" s="39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</row>
    <row r="771">
      <c r="A771" s="224"/>
      <c r="B771" s="229"/>
      <c r="C771" s="225"/>
      <c r="D771" s="226"/>
      <c r="E771" s="227"/>
      <c r="F771" s="228"/>
      <c r="G771" s="33"/>
      <c r="H771" s="143"/>
      <c r="I771" s="111"/>
      <c r="J771" s="112"/>
      <c r="K771" s="230"/>
      <c r="L771" s="31"/>
      <c r="M771" s="39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</row>
    <row r="772">
      <c r="A772" s="224"/>
      <c r="B772" s="229"/>
      <c r="C772" s="225"/>
      <c r="D772" s="226"/>
      <c r="E772" s="227"/>
      <c r="F772" s="228"/>
      <c r="G772" s="33"/>
      <c r="H772" s="143"/>
      <c r="I772" s="111"/>
      <c r="J772" s="112"/>
      <c r="K772" s="230"/>
      <c r="L772" s="31"/>
      <c r="M772" s="39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</row>
    <row r="773">
      <c r="A773" s="224"/>
      <c r="B773" s="229"/>
      <c r="C773" s="225"/>
      <c r="D773" s="226"/>
      <c r="E773" s="227"/>
      <c r="F773" s="228"/>
      <c r="G773" s="33"/>
      <c r="H773" s="143"/>
      <c r="I773" s="111"/>
      <c r="J773" s="112"/>
      <c r="K773" s="230"/>
      <c r="L773" s="31"/>
      <c r="M773" s="39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</row>
    <row r="774">
      <c r="A774" s="224"/>
      <c r="B774" s="229"/>
      <c r="C774" s="225"/>
      <c r="D774" s="226"/>
      <c r="E774" s="227"/>
      <c r="F774" s="228"/>
      <c r="G774" s="33"/>
      <c r="H774" s="143"/>
      <c r="I774" s="111"/>
      <c r="J774" s="112"/>
      <c r="K774" s="230"/>
      <c r="L774" s="31"/>
      <c r="M774" s="39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</row>
    <row r="775">
      <c r="A775" s="224"/>
      <c r="B775" s="229"/>
      <c r="C775" s="225"/>
      <c r="D775" s="226"/>
      <c r="E775" s="227"/>
      <c r="F775" s="228"/>
      <c r="G775" s="33"/>
      <c r="H775" s="143"/>
      <c r="I775" s="111"/>
      <c r="J775" s="112"/>
      <c r="K775" s="230"/>
      <c r="L775" s="31"/>
      <c r="M775" s="39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</row>
    <row r="776">
      <c r="A776" s="224"/>
      <c r="B776" s="229"/>
      <c r="C776" s="225"/>
      <c r="D776" s="226"/>
      <c r="E776" s="227"/>
      <c r="F776" s="228"/>
      <c r="G776" s="33"/>
      <c r="H776" s="143"/>
      <c r="I776" s="111"/>
      <c r="J776" s="112"/>
      <c r="K776" s="230"/>
      <c r="L776" s="31"/>
      <c r="M776" s="39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</row>
    <row r="777">
      <c r="A777" s="224"/>
      <c r="B777" s="229"/>
      <c r="C777" s="225"/>
      <c r="D777" s="226"/>
      <c r="E777" s="227"/>
      <c r="F777" s="228"/>
      <c r="G777" s="33"/>
      <c r="H777" s="143"/>
      <c r="I777" s="111"/>
      <c r="J777" s="112"/>
      <c r="K777" s="230"/>
      <c r="L777" s="31"/>
      <c r="M777" s="39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</row>
    <row r="778">
      <c r="A778" s="224"/>
      <c r="B778" s="229"/>
      <c r="C778" s="225"/>
      <c r="D778" s="226"/>
      <c r="E778" s="227"/>
      <c r="F778" s="228"/>
      <c r="G778" s="33"/>
      <c r="H778" s="143"/>
      <c r="I778" s="111"/>
      <c r="J778" s="112"/>
      <c r="K778" s="230"/>
      <c r="L778" s="31"/>
      <c r="M778" s="39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</row>
    <row r="779">
      <c r="A779" s="224"/>
      <c r="B779" s="229"/>
      <c r="C779" s="225"/>
      <c r="D779" s="226"/>
      <c r="E779" s="227"/>
      <c r="F779" s="228"/>
      <c r="G779" s="33"/>
      <c r="H779" s="143"/>
      <c r="I779" s="111"/>
      <c r="J779" s="112"/>
      <c r="K779" s="230"/>
      <c r="L779" s="31"/>
      <c r="M779" s="39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</row>
    <row r="780">
      <c r="A780" s="224"/>
      <c r="B780" s="229"/>
      <c r="C780" s="225"/>
      <c r="D780" s="226"/>
      <c r="E780" s="227"/>
      <c r="F780" s="228"/>
      <c r="G780" s="33"/>
      <c r="H780" s="143"/>
      <c r="I780" s="111"/>
      <c r="J780" s="112"/>
      <c r="K780" s="230"/>
      <c r="L780" s="31"/>
      <c r="M780" s="39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</row>
    <row r="781">
      <c r="A781" s="224"/>
      <c r="B781" s="229"/>
      <c r="C781" s="225"/>
      <c r="D781" s="226"/>
      <c r="E781" s="227"/>
      <c r="F781" s="228"/>
      <c r="G781" s="33"/>
      <c r="H781" s="143"/>
      <c r="I781" s="111"/>
      <c r="J781" s="112"/>
      <c r="K781" s="230"/>
      <c r="L781" s="31"/>
      <c r="M781" s="39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</row>
    <row r="782">
      <c r="A782" s="224"/>
      <c r="B782" s="229"/>
      <c r="C782" s="225"/>
      <c r="D782" s="226"/>
      <c r="E782" s="227"/>
      <c r="F782" s="228"/>
      <c r="G782" s="33"/>
      <c r="H782" s="143"/>
      <c r="I782" s="111"/>
      <c r="J782" s="112"/>
      <c r="K782" s="230"/>
      <c r="L782" s="31"/>
      <c r="M782" s="39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</row>
    <row r="783">
      <c r="A783" s="224"/>
      <c r="B783" s="229"/>
      <c r="C783" s="225"/>
      <c r="D783" s="226"/>
      <c r="E783" s="227"/>
      <c r="F783" s="228"/>
      <c r="G783" s="33"/>
      <c r="H783" s="143"/>
      <c r="I783" s="111"/>
      <c r="J783" s="112"/>
      <c r="K783" s="230"/>
      <c r="L783" s="31"/>
      <c r="M783" s="39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</row>
    <row r="784">
      <c r="A784" s="224"/>
      <c r="B784" s="229"/>
      <c r="C784" s="225"/>
      <c r="D784" s="226"/>
      <c r="E784" s="227"/>
      <c r="F784" s="228"/>
      <c r="G784" s="33"/>
      <c r="H784" s="143"/>
      <c r="I784" s="111"/>
      <c r="J784" s="112"/>
      <c r="K784" s="230"/>
      <c r="L784" s="31"/>
      <c r="M784" s="39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</row>
    <row r="785">
      <c r="A785" s="224"/>
      <c r="B785" s="229"/>
      <c r="C785" s="225"/>
      <c r="D785" s="226"/>
      <c r="E785" s="227"/>
      <c r="F785" s="228"/>
      <c r="G785" s="33"/>
      <c r="H785" s="143"/>
      <c r="I785" s="111"/>
      <c r="J785" s="112"/>
      <c r="K785" s="230"/>
      <c r="L785" s="31"/>
      <c r="M785" s="39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</row>
    <row r="786">
      <c r="A786" s="224"/>
      <c r="B786" s="229"/>
      <c r="C786" s="225"/>
      <c r="D786" s="226"/>
      <c r="E786" s="227"/>
      <c r="F786" s="228"/>
      <c r="G786" s="33"/>
      <c r="H786" s="143"/>
      <c r="I786" s="111"/>
      <c r="J786" s="112"/>
      <c r="K786" s="230"/>
      <c r="L786" s="31"/>
      <c r="M786" s="39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</row>
    <row r="787">
      <c r="A787" s="224"/>
      <c r="B787" s="229"/>
      <c r="C787" s="225"/>
      <c r="D787" s="226"/>
      <c r="E787" s="227"/>
      <c r="F787" s="228"/>
      <c r="G787" s="33"/>
      <c r="H787" s="143"/>
      <c r="I787" s="111"/>
      <c r="J787" s="112"/>
      <c r="K787" s="230"/>
      <c r="L787" s="31"/>
      <c r="M787" s="39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</row>
    <row r="788">
      <c r="A788" s="224"/>
      <c r="B788" s="229"/>
      <c r="C788" s="225"/>
      <c r="D788" s="226"/>
      <c r="E788" s="227"/>
      <c r="F788" s="228"/>
      <c r="G788" s="33"/>
      <c r="H788" s="143"/>
      <c r="I788" s="111"/>
      <c r="J788" s="112"/>
      <c r="K788" s="230"/>
      <c r="L788" s="31"/>
      <c r="M788" s="39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</row>
    <row r="789">
      <c r="A789" s="224"/>
      <c r="B789" s="229"/>
      <c r="C789" s="225"/>
      <c r="D789" s="226"/>
      <c r="E789" s="227"/>
      <c r="F789" s="228"/>
      <c r="G789" s="33"/>
      <c r="H789" s="143"/>
      <c r="I789" s="111"/>
      <c r="J789" s="112"/>
      <c r="K789" s="230"/>
      <c r="L789" s="31"/>
      <c r="M789" s="39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</row>
    <row r="790">
      <c r="A790" s="224"/>
      <c r="B790" s="229"/>
      <c r="C790" s="225"/>
      <c r="D790" s="226"/>
      <c r="E790" s="227"/>
      <c r="F790" s="228"/>
      <c r="G790" s="33"/>
      <c r="H790" s="143"/>
      <c r="I790" s="111"/>
      <c r="J790" s="112"/>
      <c r="K790" s="230"/>
      <c r="L790" s="31"/>
      <c r="M790" s="39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</row>
    <row r="791">
      <c r="A791" s="224"/>
      <c r="B791" s="229"/>
      <c r="C791" s="225"/>
      <c r="D791" s="226"/>
      <c r="E791" s="227"/>
      <c r="F791" s="228"/>
      <c r="G791" s="33"/>
      <c r="H791" s="143"/>
      <c r="I791" s="111"/>
      <c r="J791" s="112"/>
      <c r="K791" s="230"/>
      <c r="L791" s="31"/>
      <c r="M791" s="39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</row>
    <row r="792">
      <c r="A792" s="224"/>
      <c r="B792" s="229"/>
      <c r="C792" s="225"/>
      <c r="D792" s="226"/>
      <c r="E792" s="227"/>
      <c r="F792" s="228"/>
      <c r="G792" s="33"/>
      <c r="H792" s="143"/>
      <c r="I792" s="111"/>
      <c r="J792" s="112"/>
      <c r="K792" s="230"/>
      <c r="L792" s="31"/>
      <c r="M792" s="39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</row>
    <row r="793">
      <c r="A793" s="224"/>
      <c r="B793" s="229"/>
      <c r="C793" s="225"/>
      <c r="D793" s="226"/>
      <c r="E793" s="227"/>
      <c r="F793" s="228"/>
      <c r="G793" s="33"/>
      <c r="H793" s="143"/>
      <c r="I793" s="111"/>
      <c r="J793" s="112"/>
      <c r="K793" s="230"/>
      <c r="L793" s="31"/>
      <c r="M793" s="39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</row>
    <row r="794">
      <c r="A794" s="224"/>
      <c r="B794" s="229"/>
      <c r="C794" s="225"/>
      <c r="D794" s="226"/>
      <c r="E794" s="227"/>
      <c r="F794" s="228"/>
      <c r="G794" s="33"/>
      <c r="H794" s="143"/>
      <c r="I794" s="111"/>
      <c r="J794" s="112"/>
      <c r="K794" s="230"/>
      <c r="L794" s="31"/>
      <c r="M794" s="39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</row>
    <row r="795">
      <c r="A795" s="224"/>
      <c r="B795" s="229"/>
      <c r="C795" s="225"/>
      <c r="D795" s="226"/>
      <c r="E795" s="227"/>
      <c r="F795" s="228"/>
      <c r="G795" s="33"/>
      <c r="H795" s="143"/>
      <c r="I795" s="111"/>
      <c r="J795" s="112"/>
      <c r="K795" s="230"/>
      <c r="L795" s="31"/>
      <c r="M795" s="39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</row>
    <row r="796">
      <c r="A796" s="224"/>
      <c r="B796" s="229"/>
      <c r="C796" s="225"/>
      <c r="D796" s="226"/>
      <c r="E796" s="227"/>
      <c r="F796" s="228"/>
      <c r="G796" s="33"/>
      <c r="H796" s="143"/>
      <c r="I796" s="111"/>
      <c r="J796" s="112"/>
      <c r="K796" s="230"/>
      <c r="L796" s="31"/>
      <c r="M796" s="39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</row>
    <row r="797">
      <c r="A797" s="224"/>
      <c r="B797" s="229"/>
      <c r="C797" s="225"/>
      <c r="D797" s="226"/>
      <c r="E797" s="227"/>
      <c r="F797" s="228"/>
      <c r="G797" s="33"/>
      <c r="H797" s="143"/>
      <c r="I797" s="111"/>
      <c r="J797" s="112"/>
      <c r="K797" s="230"/>
      <c r="L797" s="31"/>
      <c r="M797" s="39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</row>
    <row r="798">
      <c r="A798" s="224"/>
      <c r="B798" s="229"/>
      <c r="C798" s="225"/>
      <c r="D798" s="226"/>
      <c r="E798" s="227"/>
      <c r="F798" s="228"/>
      <c r="G798" s="33"/>
      <c r="H798" s="143"/>
      <c r="I798" s="111"/>
      <c r="J798" s="112"/>
      <c r="K798" s="230"/>
      <c r="L798" s="31"/>
      <c r="M798" s="39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</row>
    <row r="799">
      <c r="A799" s="224"/>
      <c r="B799" s="229"/>
      <c r="C799" s="225"/>
      <c r="D799" s="226"/>
      <c r="E799" s="227"/>
      <c r="F799" s="228"/>
      <c r="G799" s="33"/>
      <c r="H799" s="143"/>
      <c r="I799" s="111"/>
      <c r="J799" s="112"/>
      <c r="K799" s="230"/>
      <c r="L799" s="31"/>
      <c r="M799" s="39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</row>
    <row r="800">
      <c r="A800" s="224"/>
      <c r="B800" s="229"/>
      <c r="C800" s="225"/>
      <c r="D800" s="226"/>
      <c r="E800" s="227"/>
      <c r="F800" s="228"/>
      <c r="G800" s="33"/>
      <c r="H800" s="143"/>
      <c r="I800" s="111"/>
      <c r="J800" s="112"/>
      <c r="K800" s="230"/>
      <c r="L800" s="31"/>
      <c r="M800" s="39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</row>
    <row r="801">
      <c r="A801" s="224"/>
      <c r="B801" s="229"/>
      <c r="C801" s="225"/>
      <c r="D801" s="226"/>
      <c r="E801" s="227"/>
      <c r="F801" s="228"/>
      <c r="G801" s="33"/>
      <c r="H801" s="143"/>
      <c r="I801" s="111"/>
      <c r="J801" s="112"/>
      <c r="K801" s="230"/>
      <c r="L801" s="31"/>
      <c r="M801" s="39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</row>
    <row r="802">
      <c r="A802" s="224"/>
      <c r="B802" s="229"/>
      <c r="C802" s="225"/>
      <c r="D802" s="226"/>
      <c r="E802" s="227"/>
      <c r="F802" s="228"/>
      <c r="G802" s="33"/>
      <c r="H802" s="143"/>
      <c r="I802" s="111"/>
      <c r="J802" s="112"/>
      <c r="K802" s="230"/>
      <c r="L802" s="31"/>
      <c r="M802" s="39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</row>
    <row r="803">
      <c r="A803" s="224"/>
      <c r="B803" s="229"/>
      <c r="C803" s="225"/>
      <c r="D803" s="226"/>
      <c r="E803" s="227"/>
      <c r="F803" s="228"/>
      <c r="G803" s="33"/>
      <c r="H803" s="143"/>
      <c r="I803" s="111"/>
      <c r="J803" s="112"/>
      <c r="K803" s="230"/>
      <c r="L803" s="31"/>
      <c r="M803" s="39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</row>
    <row r="804">
      <c r="A804" s="224"/>
      <c r="B804" s="229"/>
      <c r="C804" s="225"/>
      <c r="D804" s="226"/>
      <c r="E804" s="227"/>
      <c r="F804" s="228"/>
      <c r="G804" s="33"/>
      <c r="H804" s="143"/>
      <c r="I804" s="111"/>
      <c r="J804" s="112"/>
      <c r="K804" s="230"/>
      <c r="L804" s="31"/>
      <c r="M804" s="39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</row>
    <row r="805">
      <c r="A805" s="224"/>
      <c r="B805" s="229"/>
      <c r="C805" s="225"/>
      <c r="D805" s="226"/>
      <c r="E805" s="227"/>
      <c r="F805" s="228"/>
      <c r="G805" s="33"/>
      <c r="H805" s="143"/>
      <c r="I805" s="111"/>
      <c r="J805" s="112"/>
      <c r="K805" s="230"/>
      <c r="L805" s="31"/>
      <c r="M805" s="39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</row>
    <row r="806">
      <c r="A806" s="224"/>
      <c r="B806" s="229"/>
      <c r="C806" s="225"/>
      <c r="D806" s="226"/>
      <c r="E806" s="227"/>
      <c r="F806" s="228"/>
      <c r="G806" s="33"/>
      <c r="H806" s="143"/>
      <c r="I806" s="111"/>
      <c r="J806" s="112"/>
      <c r="K806" s="230"/>
      <c r="L806" s="31"/>
      <c r="M806" s="39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</row>
    <row r="807">
      <c r="A807" s="224"/>
      <c r="B807" s="229"/>
      <c r="C807" s="225"/>
      <c r="D807" s="226"/>
      <c r="E807" s="227"/>
      <c r="F807" s="228"/>
      <c r="G807" s="33"/>
      <c r="H807" s="143"/>
      <c r="I807" s="111"/>
      <c r="J807" s="112"/>
      <c r="K807" s="230"/>
      <c r="L807" s="31"/>
      <c r="M807" s="39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</row>
    <row r="808">
      <c r="A808" s="224"/>
      <c r="B808" s="229"/>
      <c r="C808" s="225"/>
      <c r="D808" s="226"/>
      <c r="E808" s="227"/>
      <c r="F808" s="228"/>
      <c r="G808" s="33"/>
      <c r="H808" s="143"/>
      <c r="I808" s="111"/>
      <c r="J808" s="112"/>
      <c r="K808" s="230"/>
      <c r="L808" s="31"/>
      <c r="M808" s="39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</row>
    <row r="809">
      <c r="A809" s="224"/>
      <c r="B809" s="229"/>
      <c r="C809" s="225"/>
      <c r="D809" s="226"/>
      <c r="E809" s="227"/>
      <c r="F809" s="228"/>
      <c r="G809" s="33"/>
      <c r="H809" s="143"/>
      <c r="I809" s="111"/>
      <c r="J809" s="112"/>
      <c r="K809" s="230"/>
      <c r="L809" s="31"/>
      <c r="M809" s="39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</row>
    <row r="810">
      <c r="A810" s="224"/>
      <c r="B810" s="229"/>
      <c r="C810" s="225"/>
      <c r="D810" s="226"/>
      <c r="E810" s="227"/>
      <c r="F810" s="228"/>
      <c r="G810" s="33"/>
      <c r="H810" s="143"/>
      <c r="I810" s="111"/>
      <c r="J810" s="112"/>
      <c r="K810" s="230"/>
      <c r="L810" s="31"/>
      <c r="M810" s="39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</row>
    <row r="811">
      <c r="A811" s="224"/>
      <c r="B811" s="229"/>
      <c r="C811" s="225"/>
      <c r="D811" s="226"/>
      <c r="E811" s="227"/>
      <c r="F811" s="228"/>
      <c r="G811" s="33"/>
      <c r="H811" s="143"/>
      <c r="I811" s="111"/>
      <c r="J811" s="112"/>
      <c r="K811" s="230"/>
      <c r="L811" s="31"/>
      <c r="M811" s="39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</row>
    <row r="812">
      <c r="A812" s="224"/>
      <c r="B812" s="229"/>
      <c r="C812" s="225"/>
      <c r="D812" s="226"/>
      <c r="E812" s="227"/>
      <c r="F812" s="228"/>
      <c r="G812" s="33"/>
      <c r="H812" s="143"/>
      <c r="I812" s="111"/>
      <c r="J812" s="112"/>
      <c r="K812" s="230"/>
      <c r="L812" s="31"/>
      <c r="M812" s="39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</row>
    <row r="813">
      <c r="A813" s="224"/>
      <c r="B813" s="229"/>
      <c r="C813" s="225"/>
      <c r="D813" s="226"/>
      <c r="E813" s="227"/>
      <c r="F813" s="228"/>
      <c r="G813" s="33"/>
      <c r="H813" s="143"/>
      <c r="I813" s="111"/>
      <c r="J813" s="112"/>
      <c r="K813" s="230"/>
      <c r="L813" s="31"/>
      <c r="M813" s="39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</row>
    <row r="814">
      <c r="A814" s="224"/>
      <c r="B814" s="229"/>
      <c r="C814" s="225"/>
      <c r="D814" s="226"/>
      <c r="E814" s="227"/>
      <c r="F814" s="228"/>
      <c r="G814" s="33"/>
      <c r="H814" s="143"/>
      <c r="I814" s="111"/>
      <c r="J814" s="112"/>
      <c r="K814" s="230"/>
      <c r="L814" s="31"/>
      <c r="M814" s="39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</row>
    <row r="815">
      <c r="A815" s="224"/>
      <c r="B815" s="229"/>
      <c r="C815" s="225"/>
      <c r="D815" s="226"/>
      <c r="E815" s="227"/>
      <c r="F815" s="228"/>
      <c r="G815" s="33"/>
      <c r="H815" s="143"/>
      <c r="I815" s="111"/>
      <c r="J815" s="112"/>
      <c r="K815" s="230"/>
      <c r="L815" s="31"/>
      <c r="M815" s="39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</row>
    <row r="816">
      <c r="A816" s="224"/>
      <c r="B816" s="229"/>
      <c r="C816" s="225"/>
      <c r="D816" s="226"/>
      <c r="E816" s="227"/>
      <c r="F816" s="228"/>
      <c r="G816" s="33"/>
      <c r="H816" s="143"/>
      <c r="I816" s="111"/>
      <c r="J816" s="112"/>
      <c r="K816" s="230"/>
      <c r="L816" s="31"/>
      <c r="M816" s="39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</row>
    <row r="817">
      <c r="A817" s="224"/>
      <c r="B817" s="229"/>
      <c r="C817" s="225"/>
      <c r="D817" s="226"/>
      <c r="E817" s="227"/>
      <c r="F817" s="228"/>
      <c r="G817" s="33"/>
      <c r="H817" s="143"/>
      <c r="I817" s="111"/>
      <c r="J817" s="112"/>
      <c r="K817" s="230"/>
      <c r="L817" s="31"/>
      <c r="M817" s="39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</row>
    <row r="818">
      <c r="A818" s="224"/>
      <c r="B818" s="229"/>
      <c r="C818" s="225"/>
      <c r="D818" s="226"/>
      <c r="E818" s="227"/>
      <c r="F818" s="228"/>
      <c r="G818" s="33"/>
      <c r="H818" s="143"/>
      <c r="I818" s="111"/>
      <c r="J818" s="112"/>
      <c r="K818" s="230"/>
      <c r="L818" s="31"/>
      <c r="M818" s="39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</row>
    <row r="819">
      <c r="A819" s="224"/>
      <c r="B819" s="229"/>
      <c r="C819" s="225"/>
      <c r="D819" s="226"/>
      <c r="E819" s="227"/>
      <c r="F819" s="228"/>
      <c r="G819" s="33"/>
      <c r="H819" s="143"/>
      <c r="I819" s="111"/>
      <c r="J819" s="112"/>
      <c r="K819" s="230"/>
      <c r="L819" s="31"/>
      <c r="M819" s="39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</row>
    <row r="820">
      <c r="A820" s="224"/>
      <c r="B820" s="229"/>
      <c r="C820" s="225"/>
      <c r="D820" s="226"/>
      <c r="E820" s="227"/>
      <c r="F820" s="228"/>
      <c r="G820" s="33"/>
      <c r="H820" s="143"/>
      <c r="I820" s="111"/>
      <c r="J820" s="112"/>
      <c r="K820" s="230"/>
      <c r="L820" s="31"/>
      <c r="M820" s="39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</row>
    <row r="821">
      <c r="A821" s="224"/>
      <c r="B821" s="229"/>
      <c r="C821" s="225"/>
      <c r="D821" s="226"/>
      <c r="E821" s="227"/>
      <c r="F821" s="228"/>
      <c r="G821" s="33"/>
      <c r="H821" s="143"/>
      <c r="I821" s="111"/>
      <c r="J821" s="112"/>
      <c r="K821" s="230"/>
      <c r="L821" s="31"/>
      <c r="M821" s="39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</row>
    <row r="822">
      <c r="A822" s="224"/>
      <c r="B822" s="229"/>
      <c r="C822" s="225"/>
      <c r="D822" s="226"/>
      <c r="E822" s="227"/>
      <c r="F822" s="228"/>
      <c r="G822" s="33"/>
      <c r="H822" s="143"/>
      <c r="I822" s="111"/>
      <c r="J822" s="112"/>
      <c r="K822" s="230"/>
      <c r="L822" s="31"/>
      <c r="M822" s="39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</row>
    <row r="823">
      <c r="A823" s="224"/>
      <c r="B823" s="229"/>
      <c r="C823" s="225"/>
      <c r="D823" s="226"/>
      <c r="E823" s="227"/>
      <c r="F823" s="228"/>
      <c r="G823" s="33"/>
      <c r="H823" s="143"/>
      <c r="I823" s="111"/>
      <c r="J823" s="112"/>
      <c r="K823" s="230"/>
      <c r="L823" s="31"/>
      <c r="M823" s="39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</row>
    <row r="824">
      <c r="A824" s="224"/>
      <c r="B824" s="229"/>
      <c r="C824" s="225"/>
      <c r="D824" s="226"/>
      <c r="E824" s="227"/>
      <c r="F824" s="228"/>
      <c r="G824" s="33"/>
      <c r="H824" s="143"/>
      <c r="I824" s="111"/>
      <c r="J824" s="112"/>
      <c r="K824" s="230"/>
      <c r="L824" s="31"/>
      <c r="M824" s="39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</row>
    <row r="825">
      <c r="A825" s="224"/>
      <c r="B825" s="229"/>
      <c r="C825" s="225"/>
      <c r="D825" s="226"/>
      <c r="E825" s="227"/>
      <c r="F825" s="228"/>
      <c r="G825" s="33"/>
      <c r="H825" s="143"/>
      <c r="I825" s="111"/>
      <c r="J825" s="112"/>
      <c r="K825" s="230"/>
      <c r="L825" s="31"/>
      <c r="M825" s="39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</row>
    <row r="826">
      <c r="A826" s="224"/>
      <c r="B826" s="229"/>
      <c r="C826" s="225"/>
      <c r="D826" s="226"/>
      <c r="E826" s="227"/>
      <c r="F826" s="228"/>
      <c r="G826" s="33"/>
      <c r="H826" s="143"/>
      <c r="I826" s="111"/>
      <c r="J826" s="112"/>
      <c r="K826" s="230"/>
      <c r="L826" s="31"/>
      <c r="M826" s="39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</row>
    <row r="827">
      <c r="A827" s="224"/>
      <c r="B827" s="229"/>
      <c r="C827" s="225"/>
      <c r="D827" s="226"/>
      <c r="E827" s="227"/>
      <c r="F827" s="228"/>
      <c r="G827" s="33"/>
      <c r="H827" s="143"/>
      <c r="I827" s="111"/>
      <c r="J827" s="112"/>
      <c r="K827" s="230"/>
      <c r="L827" s="31"/>
      <c r="M827" s="39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</row>
    <row r="828">
      <c r="A828" s="224"/>
      <c r="B828" s="229"/>
      <c r="C828" s="225"/>
      <c r="D828" s="226"/>
      <c r="E828" s="227"/>
      <c r="F828" s="228"/>
      <c r="G828" s="33"/>
      <c r="H828" s="143"/>
      <c r="I828" s="111"/>
      <c r="J828" s="112"/>
      <c r="K828" s="230"/>
      <c r="L828" s="31"/>
      <c r="M828" s="39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</row>
    <row r="829">
      <c r="A829" s="224"/>
      <c r="B829" s="229"/>
      <c r="C829" s="225"/>
      <c r="D829" s="226"/>
      <c r="E829" s="227"/>
      <c r="F829" s="228"/>
      <c r="G829" s="33"/>
      <c r="H829" s="143"/>
      <c r="I829" s="111"/>
      <c r="J829" s="112"/>
      <c r="K829" s="230"/>
      <c r="L829" s="31"/>
      <c r="M829" s="39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</row>
    <row r="830">
      <c r="A830" s="224"/>
      <c r="B830" s="229"/>
      <c r="C830" s="225"/>
      <c r="D830" s="226"/>
      <c r="E830" s="227"/>
      <c r="F830" s="228"/>
      <c r="G830" s="33"/>
      <c r="H830" s="143"/>
      <c r="I830" s="111"/>
      <c r="J830" s="112"/>
      <c r="K830" s="230"/>
      <c r="L830" s="31"/>
      <c r="M830" s="39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</row>
    <row r="831">
      <c r="A831" s="224"/>
      <c r="B831" s="229"/>
      <c r="C831" s="225"/>
      <c r="D831" s="226"/>
      <c r="E831" s="227"/>
      <c r="F831" s="228"/>
      <c r="G831" s="33"/>
      <c r="H831" s="143"/>
      <c r="I831" s="111"/>
      <c r="J831" s="112"/>
      <c r="K831" s="230"/>
      <c r="L831" s="31"/>
      <c r="M831" s="39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</row>
    <row r="832">
      <c r="A832" s="224"/>
      <c r="B832" s="229"/>
      <c r="C832" s="225"/>
      <c r="D832" s="226"/>
      <c r="E832" s="227"/>
      <c r="F832" s="228"/>
      <c r="G832" s="33"/>
      <c r="H832" s="143"/>
      <c r="I832" s="111"/>
      <c r="J832" s="112"/>
      <c r="K832" s="230"/>
      <c r="L832" s="31"/>
      <c r="M832" s="39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</row>
    <row r="833">
      <c r="A833" s="224"/>
      <c r="B833" s="229"/>
      <c r="C833" s="225"/>
      <c r="D833" s="226"/>
      <c r="E833" s="227"/>
      <c r="F833" s="228"/>
      <c r="G833" s="33"/>
      <c r="H833" s="143"/>
      <c r="I833" s="111"/>
      <c r="J833" s="112"/>
      <c r="K833" s="230"/>
      <c r="L833" s="31"/>
      <c r="M833" s="39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</row>
    <row r="834">
      <c r="A834" s="224"/>
      <c r="B834" s="229"/>
      <c r="C834" s="225"/>
      <c r="D834" s="226"/>
      <c r="E834" s="227"/>
      <c r="F834" s="228"/>
      <c r="G834" s="33"/>
      <c r="H834" s="143"/>
      <c r="I834" s="111"/>
      <c r="J834" s="112"/>
      <c r="K834" s="230"/>
      <c r="L834" s="31"/>
      <c r="M834" s="39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</row>
    <row r="835">
      <c r="A835" s="224"/>
      <c r="B835" s="229"/>
      <c r="C835" s="225"/>
      <c r="D835" s="226"/>
      <c r="E835" s="227"/>
      <c r="F835" s="228"/>
      <c r="G835" s="33"/>
      <c r="H835" s="143"/>
      <c r="I835" s="111"/>
      <c r="J835" s="112"/>
      <c r="K835" s="230"/>
      <c r="L835" s="31"/>
      <c r="M835" s="39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</row>
    <row r="836">
      <c r="A836" s="224"/>
      <c r="B836" s="229"/>
      <c r="C836" s="225"/>
      <c r="D836" s="226"/>
      <c r="E836" s="227"/>
      <c r="F836" s="228"/>
      <c r="G836" s="33"/>
      <c r="H836" s="143"/>
      <c r="I836" s="111"/>
      <c r="J836" s="112"/>
      <c r="K836" s="230"/>
      <c r="L836" s="31"/>
      <c r="M836" s="39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</row>
    <row r="837">
      <c r="A837" s="224"/>
      <c r="B837" s="229"/>
      <c r="C837" s="225"/>
      <c r="D837" s="226"/>
      <c r="E837" s="227"/>
      <c r="F837" s="228"/>
      <c r="G837" s="33"/>
      <c r="H837" s="143"/>
      <c r="I837" s="111"/>
      <c r="J837" s="112"/>
      <c r="K837" s="230"/>
      <c r="L837" s="31"/>
      <c r="M837" s="39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</row>
    <row r="838">
      <c r="A838" s="224"/>
      <c r="B838" s="229"/>
      <c r="C838" s="225"/>
      <c r="D838" s="226"/>
      <c r="E838" s="227"/>
      <c r="F838" s="228"/>
      <c r="G838" s="33"/>
      <c r="H838" s="143"/>
      <c r="I838" s="111"/>
      <c r="J838" s="112"/>
      <c r="K838" s="230"/>
      <c r="L838" s="31"/>
      <c r="M838" s="39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</row>
    <row r="839">
      <c r="A839" s="224"/>
      <c r="B839" s="229"/>
      <c r="C839" s="225"/>
      <c r="D839" s="226"/>
      <c r="E839" s="227"/>
      <c r="F839" s="228"/>
      <c r="G839" s="33"/>
      <c r="H839" s="143"/>
      <c r="I839" s="111"/>
      <c r="J839" s="112"/>
      <c r="K839" s="230"/>
      <c r="L839" s="31"/>
      <c r="M839" s="39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</row>
    <row r="840">
      <c r="A840" s="224"/>
      <c r="B840" s="229"/>
      <c r="C840" s="225"/>
      <c r="D840" s="226"/>
      <c r="E840" s="227"/>
      <c r="F840" s="228"/>
      <c r="G840" s="33"/>
      <c r="H840" s="143"/>
      <c r="I840" s="111"/>
      <c r="J840" s="112"/>
      <c r="K840" s="230"/>
      <c r="L840" s="31"/>
      <c r="M840" s="39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</row>
    <row r="841">
      <c r="A841" s="224"/>
      <c r="B841" s="229"/>
      <c r="C841" s="225"/>
      <c r="D841" s="226"/>
      <c r="E841" s="227"/>
      <c r="F841" s="228"/>
      <c r="G841" s="33"/>
      <c r="H841" s="143"/>
      <c r="I841" s="111"/>
      <c r="J841" s="112"/>
      <c r="K841" s="230"/>
      <c r="L841" s="31"/>
      <c r="M841" s="39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</row>
    <row r="842">
      <c r="A842" s="224"/>
      <c r="B842" s="229"/>
      <c r="C842" s="225"/>
      <c r="D842" s="226"/>
      <c r="E842" s="227"/>
      <c r="F842" s="228"/>
      <c r="G842" s="33"/>
      <c r="H842" s="143"/>
      <c r="I842" s="111"/>
      <c r="J842" s="112"/>
      <c r="K842" s="230"/>
      <c r="L842" s="31"/>
      <c r="M842" s="39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</row>
    <row r="843">
      <c r="A843" s="224"/>
      <c r="B843" s="229"/>
      <c r="C843" s="225"/>
      <c r="D843" s="226"/>
      <c r="E843" s="227"/>
      <c r="F843" s="228"/>
      <c r="G843" s="33"/>
      <c r="H843" s="143"/>
      <c r="I843" s="111"/>
      <c r="J843" s="112"/>
      <c r="K843" s="230"/>
      <c r="L843" s="31"/>
      <c r="M843" s="39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</row>
    <row r="844">
      <c r="A844" s="224"/>
      <c r="B844" s="229"/>
      <c r="C844" s="225"/>
      <c r="D844" s="226"/>
      <c r="E844" s="227"/>
      <c r="F844" s="228"/>
      <c r="G844" s="33"/>
      <c r="H844" s="143"/>
      <c r="I844" s="111"/>
      <c r="J844" s="112"/>
      <c r="K844" s="230"/>
      <c r="L844" s="31"/>
      <c r="M844" s="39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</row>
    <row r="845">
      <c r="A845" s="224"/>
      <c r="B845" s="229"/>
      <c r="C845" s="225"/>
      <c r="D845" s="226"/>
      <c r="E845" s="227"/>
      <c r="F845" s="228"/>
      <c r="G845" s="33"/>
      <c r="H845" s="143"/>
      <c r="I845" s="111"/>
      <c r="J845" s="112"/>
      <c r="K845" s="230"/>
      <c r="L845" s="31"/>
      <c r="M845" s="39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</row>
    <row r="846">
      <c r="A846" s="224"/>
      <c r="B846" s="229"/>
      <c r="C846" s="225"/>
      <c r="D846" s="226"/>
      <c r="E846" s="227"/>
      <c r="F846" s="228"/>
      <c r="G846" s="33"/>
      <c r="H846" s="143"/>
      <c r="I846" s="111"/>
      <c r="J846" s="112"/>
      <c r="K846" s="230"/>
      <c r="L846" s="31"/>
      <c r="M846" s="39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</row>
    <row r="847">
      <c r="A847" s="224"/>
      <c r="B847" s="229"/>
      <c r="C847" s="225"/>
      <c r="D847" s="226"/>
      <c r="E847" s="227"/>
      <c r="F847" s="228"/>
      <c r="G847" s="33"/>
      <c r="H847" s="143"/>
      <c r="I847" s="111"/>
      <c r="J847" s="112"/>
      <c r="K847" s="230"/>
      <c r="L847" s="31"/>
      <c r="M847" s="39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</row>
    <row r="848">
      <c r="A848" s="224"/>
      <c r="B848" s="229"/>
      <c r="C848" s="225"/>
      <c r="D848" s="226"/>
      <c r="E848" s="227"/>
      <c r="F848" s="228"/>
      <c r="G848" s="33"/>
      <c r="H848" s="143"/>
      <c r="I848" s="111"/>
      <c r="J848" s="112"/>
      <c r="K848" s="230"/>
      <c r="L848" s="31"/>
      <c r="M848" s="39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</row>
    <row r="849">
      <c r="A849" s="224"/>
      <c r="B849" s="229"/>
      <c r="C849" s="225"/>
      <c r="D849" s="226"/>
      <c r="E849" s="227"/>
      <c r="F849" s="228"/>
      <c r="G849" s="33"/>
      <c r="H849" s="143"/>
      <c r="I849" s="111"/>
      <c r="J849" s="112"/>
      <c r="K849" s="230"/>
      <c r="L849" s="31"/>
      <c r="M849" s="39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</row>
    <row r="850">
      <c r="A850" s="224"/>
      <c r="B850" s="229"/>
      <c r="C850" s="225"/>
      <c r="D850" s="226"/>
      <c r="E850" s="227"/>
      <c r="F850" s="228"/>
      <c r="G850" s="33"/>
      <c r="H850" s="143"/>
      <c r="I850" s="111"/>
      <c r="J850" s="112"/>
      <c r="K850" s="230"/>
      <c r="L850" s="31"/>
      <c r="M850" s="39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</row>
    <row r="851">
      <c r="A851" s="224"/>
      <c r="B851" s="229"/>
      <c r="C851" s="225"/>
      <c r="D851" s="226"/>
      <c r="E851" s="227"/>
      <c r="F851" s="228"/>
      <c r="G851" s="33"/>
      <c r="H851" s="143"/>
      <c r="I851" s="111"/>
      <c r="J851" s="112"/>
      <c r="K851" s="230"/>
      <c r="L851" s="31"/>
      <c r="M851" s="39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</row>
    <row r="852">
      <c r="A852" s="224"/>
      <c r="B852" s="229"/>
      <c r="C852" s="225"/>
      <c r="D852" s="226"/>
      <c r="E852" s="227"/>
      <c r="F852" s="228"/>
      <c r="G852" s="33"/>
      <c r="H852" s="143"/>
      <c r="I852" s="111"/>
      <c r="J852" s="112"/>
      <c r="K852" s="230"/>
      <c r="L852" s="31"/>
      <c r="M852" s="39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</row>
    <row r="853">
      <c r="B853" s="229"/>
      <c r="C853" s="225"/>
      <c r="D853" s="226"/>
      <c r="E853" s="227"/>
      <c r="F853" s="228"/>
      <c r="G853" s="33"/>
      <c r="H853" s="143"/>
      <c r="I853" s="111"/>
      <c r="J853" s="112"/>
      <c r="K853" s="230"/>
      <c r="L853" s="31"/>
      <c r="M853" s="39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</row>
    <row r="854">
      <c r="C854" s="225"/>
      <c r="D854" s="226"/>
      <c r="E854" s="227"/>
      <c r="F854" s="228"/>
      <c r="G854" s="33"/>
      <c r="H854" s="143"/>
      <c r="I854" s="111"/>
      <c r="J854" s="112"/>
      <c r="K854" s="230"/>
      <c r="L854" s="31"/>
      <c r="M854" s="39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</row>
    <row r="855">
      <c r="C855" s="225"/>
      <c r="D855" s="226"/>
      <c r="E855" s="227"/>
      <c r="F855" s="228"/>
      <c r="G855" s="33"/>
      <c r="H855" s="143"/>
      <c r="I855" s="111"/>
      <c r="J855" s="112"/>
      <c r="K855" s="230"/>
      <c r="L855" s="31"/>
      <c r="M855" s="39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</row>
    <row r="856">
      <c r="I856" s="78"/>
      <c r="M856" s="39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</row>
    <row r="857">
      <c r="I857" s="78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</row>
    <row r="858"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</row>
  </sheetData>
  <mergeCells count="1">
    <mergeCell ref="O1:P1"/>
  </mergeCells>
  <conditionalFormatting sqref="N2:N317 N319:N848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conditionalFormatting sqref="K421:K443">
    <cfRule type="notContainsBlanks" dxfId="0" priority="2">
      <formula>LEN(TRIM(K421))&gt;0</formula>
    </cfRule>
  </conditionalFormatting>
  <printOptions gridLines="1" horizontalCentered="1"/>
  <pageMargins bottom="0.18897637795275593" footer="0.0" header="0.0" left="0.16190187764990918" right="0.18897637795275593" top="0.7735311932162329"/>
  <pageSetup paperSize="9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13.25"/>
    <col customWidth="1" min="3" max="3" width="9.13"/>
    <col customWidth="1" min="4" max="5" width="7.75"/>
    <col customWidth="1" min="6" max="6" width="8.0"/>
    <col customWidth="1" min="7" max="7" width="9.13"/>
    <col customWidth="1" min="8" max="9" width="10.75"/>
    <col customWidth="1" min="10" max="12" width="9.13"/>
    <col customWidth="1" min="13" max="13" width="16.88"/>
    <col customWidth="1" min="14" max="14" width="11.38"/>
    <col customWidth="1" min="15" max="15" width="12.13"/>
    <col customWidth="1" min="16" max="36" width="9.13"/>
  </cols>
  <sheetData>
    <row r="1" ht="25.5" customHeight="1">
      <c r="A1" s="6" t="s">
        <v>736</v>
      </c>
      <c r="B1" s="6" t="s">
        <v>9</v>
      </c>
      <c r="C1" s="7" t="s">
        <v>10</v>
      </c>
      <c r="D1" s="8" t="s">
        <v>11</v>
      </c>
      <c r="E1" s="9" t="s">
        <v>12</v>
      </c>
      <c r="F1" s="10" t="s">
        <v>13</v>
      </c>
      <c r="G1" s="6" t="s">
        <v>14</v>
      </c>
      <c r="H1" s="11" t="s">
        <v>749</v>
      </c>
      <c r="I1" s="11" t="s">
        <v>750</v>
      </c>
      <c r="J1" s="12" t="s">
        <v>16</v>
      </c>
      <c r="K1" s="13" t="s">
        <v>17</v>
      </c>
      <c r="L1" s="14" t="s">
        <v>18</v>
      </c>
      <c r="M1" s="15" t="s">
        <v>57</v>
      </c>
      <c r="N1" s="16" t="s">
        <v>751</v>
      </c>
      <c r="O1" s="6"/>
      <c r="P1" s="6"/>
      <c r="R1" s="6"/>
      <c r="S1" s="6"/>
      <c r="T1" s="6"/>
      <c r="U1" s="6"/>
      <c r="V1" s="6"/>
      <c r="W1" s="6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hidden="1">
      <c r="A2" s="343" t="s">
        <v>21</v>
      </c>
      <c r="B2" s="21">
        <v>45292.0</v>
      </c>
      <c r="C2" s="22"/>
      <c r="D2" s="23"/>
      <c r="E2" s="24"/>
      <c r="F2" s="25"/>
      <c r="G2" s="101"/>
      <c r="H2" s="27"/>
      <c r="I2" s="27"/>
      <c r="J2" s="28"/>
      <c r="K2" s="29"/>
      <c r="L2" s="30"/>
      <c r="M2" s="31"/>
      <c r="N2" s="32"/>
      <c r="O2" s="33"/>
      <c r="P2" s="34"/>
      <c r="Q2" s="35"/>
      <c r="R2" s="33"/>
      <c r="S2" s="33"/>
      <c r="T2" s="35"/>
      <c r="U2" s="35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hidden="1">
      <c r="A3" s="344" t="s">
        <v>22</v>
      </c>
      <c r="B3" s="21">
        <v>45293.0</v>
      </c>
      <c r="C3" s="22">
        <v>566040.0</v>
      </c>
      <c r="D3" s="23">
        <v>358700.0</v>
      </c>
      <c r="E3" s="24">
        <v>3900.0</v>
      </c>
      <c r="F3" s="25">
        <v>7500.0</v>
      </c>
      <c r="G3" s="101">
        <f>8400+186800</f>
        <v>195200</v>
      </c>
      <c r="H3" s="27">
        <v>132856.0</v>
      </c>
      <c r="I3" s="27"/>
      <c r="J3" s="28">
        <v>33700.0</v>
      </c>
      <c r="K3" s="29">
        <v>61300.0</v>
      </c>
      <c r="L3" s="30">
        <v>163640.0</v>
      </c>
      <c r="M3" s="31"/>
      <c r="N3" s="39"/>
      <c r="O3" s="33"/>
      <c r="P3" s="40"/>
      <c r="Q3" s="35"/>
      <c r="R3" s="33"/>
      <c r="S3" s="33"/>
      <c r="T3" s="35"/>
      <c r="U3" s="35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hidden="1">
      <c r="A4" s="344" t="s">
        <v>23</v>
      </c>
      <c r="B4" s="41">
        <v>45294.0</v>
      </c>
      <c r="C4" s="22">
        <v>531340.0</v>
      </c>
      <c r="D4" s="23">
        <v>408580.0</v>
      </c>
      <c r="E4" s="24">
        <v>3900.0</v>
      </c>
      <c r="F4" s="25">
        <v>10400.0</v>
      </c>
      <c r="G4" s="101">
        <f>135000+7000</f>
        <v>142000</v>
      </c>
      <c r="H4" s="27">
        <v>152707.0</v>
      </c>
      <c r="I4" s="27"/>
      <c r="J4" s="28"/>
      <c r="K4" s="29">
        <v>122080.0</v>
      </c>
      <c r="L4" s="30">
        <v>124160.0</v>
      </c>
      <c r="M4" s="31"/>
      <c r="N4" s="39"/>
      <c r="O4" s="33"/>
      <c r="P4" s="40"/>
      <c r="Q4" s="35"/>
      <c r="R4" s="33"/>
      <c r="S4" s="33"/>
      <c r="T4" s="35"/>
      <c r="U4" s="35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 hidden="1">
      <c r="A5" s="344" t="s">
        <v>24</v>
      </c>
      <c r="B5" s="41">
        <v>45295.0</v>
      </c>
      <c r="C5" s="22">
        <f>1193100-396200</f>
        <v>796900</v>
      </c>
      <c r="D5" s="23">
        <v>549460.0</v>
      </c>
      <c r="E5" s="24">
        <f>600+1500+2200+250+500+800+240</f>
        <v>6090</v>
      </c>
      <c r="F5" s="25">
        <f>10400</f>
        <v>10400</v>
      </c>
      <c r="G5" s="101">
        <f>9500+247550</f>
        <v>257050</v>
      </c>
      <c r="H5" s="27">
        <v>129775.0</v>
      </c>
      <c r="I5" s="27"/>
      <c r="J5" s="28">
        <f>465500-396200</f>
        <v>69300</v>
      </c>
      <c r="K5" s="29">
        <v>149610.0</v>
      </c>
      <c r="L5" s="30">
        <v>187490.0</v>
      </c>
      <c r="M5" s="31"/>
      <c r="N5" s="39"/>
      <c r="O5" s="33"/>
      <c r="P5" s="40"/>
      <c r="Q5" s="35"/>
      <c r="R5" s="33"/>
      <c r="S5" s="33"/>
      <c r="T5" s="35"/>
      <c r="U5" s="35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</row>
    <row r="6" hidden="1">
      <c r="A6" s="344" t="s">
        <v>25</v>
      </c>
      <c r="B6" s="41">
        <v>45296.0</v>
      </c>
      <c r="C6" s="22">
        <f>1639650-796900-396200</f>
        <v>446550</v>
      </c>
      <c r="D6" s="23">
        <v>296500.0</v>
      </c>
      <c r="E6" s="24">
        <v>7800.0</v>
      </c>
      <c r="F6" s="25">
        <v>10300.0</v>
      </c>
      <c r="G6" s="101">
        <v>179800.0</v>
      </c>
      <c r="H6" s="27">
        <v>92371.0</v>
      </c>
      <c r="I6" s="27"/>
      <c r="J6" s="28">
        <v>31400.0</v>
      </c>
      <c r="K6" s="29">
        <f>212610-K5</f>
        <v>63000</v>
      </c>
      <c r="L6" s="30">
        <f>249340-L5</f>
        <v>61850</v>
      </c>
      <c r="M6" s="31"/>
      <c r="N6" s="39"/>
      <c r="O6" s="33"/>
      <c r="P6" s="40"/>
      <c r="Q6" s="35"/>
      <c r="R6" s="33"/>
      <c r="S6" s="33"/>
      <c r="T6" s="35"/>
      <c r="U6" s="35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</row>
    <row r="7" hidden="1">
      <c r="A7" s="344" t="s">
        <v>26</v>
      </c>
      <c r="B7" s="41">
        <v>45297.0</v>
      </c>
      <c r="C7" s="22">
        <v>511010.0</v>
      </c>
      <c r="D7" s="23">
        <v>414500.0</v>
      </c>
      <c r="E7" s="24">
        <f>700+2100+500+500+800+280</f>
        <v>4880</v>
      </c>
      <c r="F7" s="25">
        <v>4400.0</v>
      </c>
      <c r="G7" s="101">
        <f>238000+24700</f>
        <v>262700</v>
      </c>
      <c r="H7" s="27">
        <v>69621.0</v>
      </c>
      <c r="I7" s="27"/>
      <c r="J7" s="28"/>
      <c r="K7" s="29">
        <v>95700.0</v>
      </c>
      <c r="L7" s="30">
        <v>85110.0</v>
      </c>
      <c r="M7" s="31"/>
      <c r="N7" s="39"/>
      <c r="O7" s="33"/>
      <c r="P7" s="40"/>
      <c r="Q7" s="35"/>
      <c r="R7" s="33"/>
      <c r="S7" s="33"/>
      <c r="T7" s="35"/>
      <c r="U7" s="35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</row>
    <row r="8" hidden="1">
      <c r="A8" s="345" t="s">
        <v>27</v>
      </c>
      <c r="B8" s="43"/>
      <c r="C8" s="346"/>
      <c r="D8" s="51"/>
      <c r="E8" s="51"/>
      <c r="F8" s="51"/>
      <c r="G8" s="346"/>
      <c r="H8" s="346"/>
      <c r="I8" s="346"/>
      <c r="J8" s="51"/>
      <c r="K8" s="51"/>
      <c r="L8" s="51"/>
      <c r="M8" s="51"/>
      <c r="N8" s="51"/>
      <c r="O8" s="33"/>
      <c r="P8" s="40"/>
      <c r="Q8" s="35"/>
      <c r="R8" s="33"/>
      <c r="S8" s="33"/>
      <c r="T8" s="35"/>
      <c r="U8" s="35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 hidden="1">
      <c r="A9" s="343" t="s">
        <v>21</v>
      </c>
      <c r="B9" s="41">
        <v>45299.0</v>
      </c>
      <c r="C9" s="22">
        <v>500720.0</v>
      </c>
      <c r="D9" s="23">
        <v>350950.0</v>
      </c>
      <c r="E9" s="24">
        <v>4800.0</v>
      </c>
      <c r="F9" s="25">
        <v>4400.0</v>
      </c>
      <c r="G9" s="101">
        <v>155100.0</v>
      </c>
      <c r="H9" s="27">
        <v>69936.0</v>
      </c>
      <c r="I9" s="27"/>
      <c r="J9" s="28"/>
      <c r="K9" s="29">
        <v>116800.0</v>
      </c>
      <c r="L9" s="30">
        <v>155370.0</v>
      </c>
      <c r="M9" s="31"/>
      <c r="N9" s="32"/>
      <c r="O9" s="33"/>
      <c r="P9" s="40"/>
      <c r="Q9" s="35"/>
      <c r="R9" s="33"/>
      <c r="S9" s="33"/>
      <c r="T9" s="35"/>
      <c r="U9" s="35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hidden="1">
      <c r="A10" s="344" t="s">
        <v>22</v>
      </c>
      <c r="B10" s="41">
        <v>45300.0</v>
      </c>
      <c r="C10" s="22">
        <v>527390.0</v>
      </c>
      <c r="D10" s="23">
        <v>368840.0</v>
      </c>
      <c r="E10" s="24">
        <f>1000+400+750+500+840+240</f>
        <v>3730</v>
      </c>
      <c r="F10" s="25">
        <f>4400</f>
        <v>4400</v>
      </c>
      <c r="G10" s="101">
        <f>123810+6200</f>
        <v>130010</v>
      </c>
      <c r="H10" s="27">
        <v>173866.5</v>
      </c>
      <c r="I10" s="27"/>
      <c r="J10" s="28"/>
      <c r="K10" s="29">
        <v>62600.0</v>
      </c>
      <c r="L10" s="30">
        <v>157750.0</v>
      </c>
      <c r="M10" s="31"/>
      <c r="N10" s="32"/>
      <c r="O10" s="33"/>
      <c r="P10" s="40"/>
      <c r="Q10" s="35"/>
      <c r="R10" s="33"/>
      <c r="S10" s="33"/>
      <c r="T10" s="35"/>
      <c r="U10" s="35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</row>
    <row r="11" hidden="1">
      <c r="A11" s="344" t="s">
        <v>23</v>
      </c>
      <c r="B11" s="41">
        <v>45301.0</v>
      </c>
      <c r="C11" s="22">
        <v>670100.0</v>
      </c>
      <c r="D11" s="23">
        <v>495650.0</v>
      </c>
      <c r="E11" s="24">
        <f>2000+1000+1200+300+500+840+250</f>
        <v>6090</v>
      </c>
      <c r="F11" s="25">
        <v>4400.0</v>
      </c>
      <c r="G11" s="101">
        <f>211000+23700</f>
        <v>234700</v>
      </c>
      <c r="H11" s="27">
        <v>111871.0</v>
      </c>
      <c r="I11" s="27"/>
      <c r="J11" s="28">
        <v>26800.0</v>
      </c>
      <c r="K11" s="29">
        <v>132200.0</v>
      </c>
      <c r="L11" s="30">
        <v>148750.0</v>
      </c>
      <c r="M11" s="49"/>
      <c r="N11" s="39"/>
      <c r="O11" s="33"/>
      <c r="P11" s="40"/>
      <c r="Q11" s="35"/>
      <c r="R11" s="33"/>
      <c r="S11" s="33"/>
      <c r="T11" s="35"/>
      <c r="U11" s="35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 hidden="1">
      <c r="A12" s="344" t="s">
        <v>24</v>
      </c>
      <c r="B12" s="41">
        <v>45302.0</v>
      </c>
      <c r="C12" s="22">
        <v>732930.0</v>
      </c>
      <c r="D12" s="23">
        <v>647150.0</v>
      </c>
      <c r="E12" s="24">
        <f>800+2500+700+550+500+880+220</f>
        <v>6150</v>
      </c>
      <c r="F12" s="25">
        <f>4400</f>
        <v>4400</v>
      </c>
      <c r="G12" s="101">
        <f>162600+106000</f>
        <v>268600</v>
      </c>
      <c r="H12" s="27">
        <v>207310.5</v>
      </c>
      <c r="I12" s="27"/>
      <c r="J12" s="28"/>
      <c r="K12" s="29">
        <v>138700.0</v>
      </c>
      <c r="L12" s="30">
        <v>94280.0</v>
      </c>
      <c r="M12" s="31"/>
      <c r="N12" s="39"/>
      <c r="O12" s="33"/>
      <c r="P12" s="40"/>
      <c r="Q12" s="35"/>
      <c r="R12" s="33"/>
      <c r="S12" s="33"/>
      <c r="T12" s="35"/>
      <c r="U12" s="35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hidden="1">
      <c r="A13" s="344" t="s">
        <v>25</v>
      </c>
      <c r="B13" s="41">
        <v>45303.0</v>
      </c>
      <c r="C13" s="22">
        <v>549550.0</v>
      </c>
      <c r="D13" s="23">
        <v>450950.0</v>
      </c>
      <c r="E13" s="24">
        <v>1000.0</v>
      </c>
      <c r="F13" s="25">
        <v>4400.0</v>
      </c>
      <c r="G13" s="101">
        <f>228270+6800</f>
        <v>235070</v>
      </c>
      <c r="H13" s="27">
        <v>86871.0</v>
      </c>
      <c r="I13" s="27"/>
      <c r="J13" s="28"/>
      <c r="K13" s="29">
        <v>131000.0</v>
      </c>
      <c r="L13" s="30">
        <v>98600.0</v>
      </c>
      <c r="M13" s="31"/>
      <c r="N13" s="39"/>
      <c r="O13" s="33"/>
      <c r="P13" s="40"/>
      <c r="Q13" s="35"/>
      <c r="R13" s="33"/>
      <c r="S13" s="33"/>
      <c r="T13" s="35"/>
      <c r="U13" s="35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idden="1">
      <c r="A14" s="344" t="s">
        <v>26</v>
      </c>
      <c r="B14" s="41">
        <v>45304.0</v>
      </c>
      <c r="C14" s="22">
        <v>548110.0</v>
      </c>
      <c r="D14" s="23">
        <v>456960.0</v>
      </c>
      <c r="E14" s="24">
        <v>1800.0</v>
      </c>
      <c r="F14" s="25">
        <v>2400.0</v>
      </c>
      <c r="G14" s="101">
        <f>218760+69900</f>
        <v>288660</v>
      </c>
      <c r="H14" s="27">
        <v>88886.0</v>
      </c>
      <c r="I14" s="27"/>
      <c r="J14" s="28"/>
      <c r="K14" s="29">
        <v>79500.0</v>
      </c>
      <c r="L14" s="30">
        <v>91150.0</v>
      </c>
      <c r="M14" s="31"/>
      <c r="N14" s="39"/>
      <c r="O14" s="33"/>
      <c r="P14" s="40"/>
      <c r="Q14" s="35"/>
      <c r="R14" s="33"/>
      <c r="S14" s="33"/>
      <c r="T14" s="35"/>
      <c r="U14" s="35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 hidden="1">
      <c r="A15" s="347" t="s">
        <v>27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33"/>
      <c r="P15" s="40"/>
      <c r="Q15" s="35"/>
      <c r="R15" s="33"/>
      <c r="S15" s="33"/>
      <c r="T15" s="35"/>
      <c r="U15" s="35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</row>
    <row r="16" hidden="1">
      <c r="A16" s="348" t="s">
        <v>21</v>
      </c>
      <c r="B16" s="349">
        <v>45306.0</v>
      </c>
      <c r="C16" s="22">
        <v>630080.0</v>
      </c>
      <c r="D16" s="23">
        <v>480860.0</v>
      </c>
      <c r="E16" s="24">
        <v>3500.0</v>
      </c>
      <c r="F16" s="25">
        <v>1400.0</v>
      </c>
      <c r="G16" s="101">
        <f>200500+49300+11400</f>
        <v>261200</v>
      </c>
      <c r="H16" s="27">
        <v>95947.0</v>
      </c>
      <c r="I16" s="27"/>
      <c r="J16" s="28">
        <v>24200.0</v>
      </c>
      <c r="K16" s="29">
        <v>131960.0</v>
      </c>
      <c r="L16" s="30">
        <v>124120.0</v>
      </c>
      <c r="M16" s="31"/>
      <c r="N16" s="39"/>
      <c r="O16" s="33"/>
      <c r="P16" s="40"/>
      <c r="Q16" s="35"/>
      <c r="R16" s="33"/>
      <c r="S16" s="33"/>
      <c r="T16" s="35"/>
      <c r="U16" s="35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 hidden="1">
      <c r="A17" s="350" t="s">
        <v>22</v>
      </c>
      <c r="B17" s="349">
        <v>45307.0</v>
      </c>
      <c r="C17" s="22">
        <v>549500.0</v>
      </c>
      <c r="D17" s="23">
        <v>438150.0</v>
      </c>
      <c r="E17" s="24">
        <v>5300.0</v>
      </c>
      <c r="F17" s="25">
        <v>4400.0</v>
      </c>
      <c r="G17" s="101">
        <f>212000+6500</f>
        <v>218500</v>
      </c>
      <c r="H17" s="27">
        <v>115901.0</v>
      </c>
      <c r="I17" s="27"/>
      <c r="J17" s="28"/>
      <c r="K17" s="29">
        <v>92750.0</v>
      </c>
      <c r="L17" s="30">
        <v>122350.0</v>
      </c>
      <c r="M17" s="31"/>
      <c r="N17" s="39"/>
      <c r="O17" s="33"/>
      <c r="P17" s="40"/>
      <c r="Q17" s="35"/>
      <c r="R17" s="33"/>
      <c r="S17" s="33"/>
      <c r="T17" s="35"/>
      <c r="U17" s="35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 hidden="1">
      <c r="A18" s="350" t="s">
        <v>23</v>
      </c>
      <c r="B18" s="349">
        <v>45308.0</v>
      </c>
      <c r="C18" s="22">
        <v>714720.0</v>
      </c>
      <c r="D18" s="23">
        <v>568600.0</v>
      </c>
      <c r="E18" s="24">
        <v>4500.0</v>
      </c>
      <c r="F18" s="25">
        <v>7400.0</v>
      </c>
      <c r="G18" s="101">
        <f>174600+65400</f>
        <v>240000</v>
      </c>
      <c r="H18" s="27">
        <v>156310.0</v>
      </c>
      <c r="I18" s="27"/>
      <c r="J18" s="28"/>
      <c r="K18" s="29">
        <v>139000.0</v>
      </c>
      <c r="L18" s="30">
        <v>130220.0</v>
      </c>
      <c r="M18" s="31"/>
      <c r="N18" s="39"/>
      <c r="O18" s="33"/>
      <c r="P18" s="40"/>
      <c r="Q18" s="35"/>
      <c r="R18" s="33"/>
      <c r="S18" s="33"/>
      <c r="T18" s="35"/>
      <c r="U18" s="35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hidden="1">
      <c r="A19" s="350" t="s">
        <v>24</v>
      </c>
      <c r="B19" s="349">
        <v>45309.0</v>
      </c>
      <c r="C19" s="22">
        <v>750160.0</v>
      </c>
      <c r="D19" s="23">
        <v>592160.0</v>
      </c>
      <c r="E19" s="24">
        <f>1200+1200+900+500+820+250</f>
        <v>4870</v>
      </c>
      <c r="F19" s="25">
        <v>7400.0</v>
      </c>
      <c r="G19" s="101">
        <f>11000+248500</f>
        <v>259500</v>
      </c>
      <c r="H19" s="27">
        <v>195000.0</v>
      </c>
      <c r="I19" s="27"/>
      <c r="J19" s="28">
        <v>24700.0</v>
      </c>
      <c r="K19" s="29">
        <v>154160.0</v>
      </c>
      <c r="L19" s="30">
        <v>138900.0</v>
      </c>
      <c r="M19" s="31"/>
      <c r="N19" s="39"/>
      <c r="O19" s="33"/>
      <c r="P19" s="40"/>
      <c r="Q19" s="35"/>
      <c r="R19" s="33"/>
      <c r="S19" s="33"/>
      <c r="T19" s="35"/>
      <c r="U19" s="35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idden="1">
      <c r="A20" s="350" t="s">
        <v>25</v>
      </c>
      <c r="B20" s="349">
        <v>45310.0</v>
      </c>
      <c r="C20" s="22">
        <v>606205.0</v>
      </c>
      <c r="D20" s="23">
        <v>479460.0</v>
      </c>
      <c r="E20" s="24">
        <f>1000+1400+950+500+800+250</f>
        <v>4900</v>
      </c>
      <c r="F20" s="25">
        <v>10400.0</v>
      </c>
      <c r="G20" s="101">
        <f>5200+261400</f>
        <v>266600</v>
      </c>
      <c r="H20" s="27">
        <v>92811.0</v>
      </c>
      <c r="I20" s="27"/>
      <c r="J20" s="28"/>
      <c r="K20" s="29">
        <v>89960.0</v>
      </c>
      <c r="L20" s="30">
        <v>126745.0</v>
      </c>
      <c r="M20" s="31"/>
      <c r="N20" s="39"/>
      <c r="O20" s="33"/>
      <c r="P20" s="40"/>
      <c r="Q20" s="35"/>
      <c r="R20" s="33"/>
      <c r="S20" s="33"/>
      <c r="T20" s="35"/>
      <c r="U20" s="35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hidden="1">
      <c r="A21" s="350" t="s">
        <v>26</v>
      </c>
      <c r="B21" s="349">
        <v>45311.0</v>
      </c>
      <c r="C21" s="22">
        <v>432800.0</v>
      </c>
      <c r="D21" s="23">
        <v>270730.0</v>
      </c>
      <c r="E21" s="24">
        <f>1000+900+900+500+820+240</f>
        <v>4360</v>
      </c>
      <c r="F21" s="25">
        <v>6400.0</v>
      </c>
      <c r="G21" s="101">
        <f>159500+3000</f>
        <v>162500</v>
      </c>
      <c r="H21" s="27">
        <v>60951.0</v>
      </c>
      <c r="I21" s="27"/>
      <c r="J21" s="28"/>
      <c r="K21" s="29">
        <v>58130.0</v>
      </c>
      <c r="L21" s="30">
        <v>159970.0</v>
      </c>
      <c r="M21" s="31"/>
      <c r="N21" s="39"/>
      <c r="O21" s="33"/>
      <c r="P21" s="40"/>
      <c r="Q21" s="35"/>
      <c r="R21" s="33"/>
      <c r="S21" s="33"/>
      <c r="T21" s="35"/>
      <c r="U21" s="35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hidden="1">
      <c r="A22" s="351" t="s">
        <v>27</v>
      </c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3"/>
      <c r="P22" s="40"/>
      <c r="Q22" s="35"/>
      <c r="R22" s="33"/>
      <c r="S22" s="33"/>
      <c r="T22" s="35"/>
      <c r="U22" s="35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hidden="1">
      <c r="A23" s="348" t="s">
        <v>21</v>
      </c>
      <c r="B23" s="349">
        <v>45313.0</v>
      </c>
      <c r="C23" s="22">
        <v>447650.0</v>
      </c>
      <c r="D23" s="23">
        <v>287450.0</v>
      </c>
      <c r="E23" s="24">
        <v>8000.0</v>
      </c>
      <c r="F23" s="25">
        <v>14400.0</v>
      </c>
      <c r="G23" s="101">
        <v>166100.0</v>
      </c>
      <c r="H23" s="27">
        <v>38980.0</v>
      </c>
      <c r="I23" s="27"/>
      <c r="J23" s="28"/>
      <c r="K23" s="29">
        <v>105200.0</v>
      </c>
      <c r="L23" s="30">
        <v>145700.0</v>
      </c>
      <c r="M23" s="31"/>
      <c r="N23" s="32"/>
      <c r="O23" s="33"/>
      <c r="P23" s="40"/>
      <c r="Q23" s="35"/>
      <c r="R23" s="33"/>
      <c r="S23" s="33"/>
      <c r="T23" s="35"/>
      <c r="U23" s="35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hidden="1">
      <c r="A24" s="350" t="s">
        <v>22</v>
      </c>
      <c r="B24" s="349">
        <v>45314.0</v>
      </c>
      <c r="C24" s="22">
        <v>776700.0</v>
      </c>
      <c r="D24" s="23">
        <v>619600.0</v>
      </c>
      <c r="E24" s="24">
        <v>5000.0</v>
      </c>
      <c r="F24" s="25">
        <v>4400.0</v>
      </c>
      <c r="G24" s="101">
        <f>159000+71000</f>
        <v>230000</v>
      </c>
      <c r="H24" s="27">
        <v>202181.0</v>
      </c>
      <c r="I24" s="27"/>
      <c r="J24" s="28"/>
      <c r="K24" s="29">
        <v>167900.0</v>
      </c>
      <c r="L24" s="30">
        <v>166200.0</v>
      </c>
      <c r="M24" s="31"/>
      <c r="N24" s="39"/>
      <c r="O24" s="33"/>
      <c r="P24" s="40"/>
      <c r="Q24" s="35"/>
      <c r="R24" s="33"/>
      <c r="S24" s="33"/>
      <c r="T24" s="35"/>
      <c r="U24" s="35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hidden="1">
      <c r="A25" s="350" t="s">
        <v>23</v>
      </c>
      <c r="B25" s="349">
        <v>45315.0</v>
      </c>
      <c r="C25" s="22">
        <v>507630.0</v>
      </c>
      <c r="D25" s="23">
        <v>396210.0</v>
      </c>
      <c r="E25" s="24"/>
      <c r="F25" s="25"/>
      <c r="G25" s="101">
        <v>83350.0</v>
      </c>
      <c r="H25" s="27">
        <v>83510.0</v>
      </c>
      <c r="I25" s="27"/>
      <c r="J25" s="28"/>
      <c r="K25" s="29">
        <v>95800.0</v>
      </c>
      <c r="L25" s="30">
        <v>127480.0</v>
      </c>
      <c r="M25" s="31"/>
      <c r="N25" s="39"/>
      <c r="O25" s="33"/>
      <c r="P25" s="40"/>
      <c r="Q25" s="35"/>
      <c r="R25" s="33"/>
      <c r="S25" s="33"/>
      <c r="T25" s="35"/>
      <c r="U25" s="35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hidden="1">
      <c r="A26" s="350" t="s">
        <v>24</v>
      </c>
      <c r="B26" s="349">
        <v>45316.0</v>
      </c>
      <c r="C26" s="22">
        <f>831440-210100</f>
        <v>621340</v>
      </c>
      <c r="D26" s="23">
        <v>689410.0</v>
      </c>
      <c r="E26" s="24"/>
      <c r="F26" s="25"/>
      <c r="G26" s="101">
        <v>119200.0</v>
      </c>
      <c r="H26" s="27">
        <v>102901.0</v>
      </c>
      <c r="I26" s="27"/>
      <c r="J26" s="28"/>
      <c r="K26" s="29">
        <v>76600.0</v>
      </c>
      <c r="L26" s="30">
        <v>139630.0</v>
      </c>
      <c r="M26" s="31"/>
      <c r="N26" s="32"/>
      <c r="O26" s="33"/>
      <c r="P26" s="40"/>
      <c r="Q26" s="35"/>
      <c r="R26" s="33"/>
      <c r="S26" s="33"/>
      <c r="T26" s="35"/>
      <c r="U26" s="35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hidden="1">
      <c r="A27" s="350" t="s">
        <v>25</v>
      </c>
      <c r="B27" s="349">
        <v>45317.0</v>
      </c>
      <c r="C27" s="22">
        <v>552470.0</v>
      </c>
      <c r="D27" s="23">
        <v>431850.0</v>
      </c>
      <c r="E27" s="24">
        <v>6500.0</v>
      </c>
      <c r="F27" s="25">
        <v>6600.0</v>
      </c>
      <c r="G27" s="101">
        <f>190100+14000</f>
        <v>204100</v>
      </c>
      <c r="H27" s="27">
        <v>125551.0</v>
      </c>
      <c r="I27" s="27"/>
      <c r="J27" s="28"/>
      <c r="K27" s="29">
        <v>140200.0</v>
      </c>
      <c r="L27" s="30">
        <v>124920.0</v>
      </c>
      <c r="M27" s="31"/>
      <c r="N27" s="32"/>
      <c r="O27" s="33"/>
      <c r="P27" s="40"/>
      <c r="Q27" s="35"/>
      <c r="R27" s="33"/>
      <c r="S27" s="33"/>
      <c r="T27" s="35"/>
      <c r="U27" s="35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hidden="1">
      <c r="A28" s="350" t="s">
        <v>26</v>
      </c>
      <c r="B28" s="349">
        <v>45318.0</v>
      </c>
      <c r="C28" s="22">
        <v>446070.0</v>
      </c>
      <c r="D28" s="23">
        <v>322740.0</v>
      </c>
      <c r="E28" s="24">
        <v>4500.0</v>
      </c>
      <c r="F28" s="25">
        <v>6500.0</v>
      </c>
      <c r="G28" s="101">
        <v>144340.0</v>
      </c>
      <c r="H28" s="27">
        <v>97156.0</v>
      </c>
      <c r="I28" s="27"/>
      <c r="J28" s="28"/>
      <c r="K28" s="29">
        <v>76600.0</v>
      </c>
      <c r="L28" s="30">
        <v>128730.0</v>
      </c>
      <c r="M28" s="31"/>
      <c r="N28" s="32"/>
      <c r="O28" s="33"/>
      <c r="P28" s="40"/>
      <c r="Q28" s="35"/>
      <c r="R28" s="33"/>
      <c r="S28" s="33"/>
      <c r="T28" s="35"/>
      <c r="U28" s="35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hidden="1">
      <c r="A29" s="351" t="s">
        <v>27</v>
      </c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3"/>
      <c r="P29" s="40"/>
      <c r="Q29" s="35"/>
      <c r="R29" s="33"/>
      <c r="S29" s="33"/>
      <c r="T29" s="35"/>
      <c r="U29" s="35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hidden="1">
      <c r="A30" s="343" t="s">
        <v>21</v>
      </c>
      <c r="B30" s="349">
        <v>45320.0</v>
      </c>
      <c r="C30" s="22">
        <v>604740.0</v>
      </c>
      <c r="D30" s="23">
        <v>431040.0</v>
      </c>
      <c r="E30" s="24">
        <v>2600.0</v>
      </c>
      <c r="F30" s="25">
        <f>1600+3000+2000</f>
        <v>6600</v>
      </c>
      <c r="G30" s="101">
        <f>192800+1100</f>
        <v>193900</v>
      </c>
      <c r="H30" s="27">
        <v>127400.0</v>
      </c>
      <c r="I30" s="27"/>
      <c r="J30" s="28"/>
      <c r="K30" s="29">
        <v>118700.0</v>
      </c>
      <c r="L30" s="30">
        <v>160100.0</v>
      </c>
      <c r="M30" s="31"/>
      <c r="N30" s="39"/>
      <c r="O30" s="33"/>
      <c r="P30" s="40"/>
      <c r="Q30" s="35"/>
      <c r="R30" s="33"/>
      <c r="S30" s="33"/>
      <c r="T30" s="35"/>
      <c r="U30" s="35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</row>
    <row r="31" hidden="1">
      <c r="A31" s="353" t="s">
        <v>738</v>
      </c>
      <c r="B31" s="349">
        <v>45321.0</v>
      </c>
      <c r="C31" s="57">
        <v>495230.0</v>
      </c>
      <c r="D31" s="23">
        <v>386430.0</v>
      </c>
      <c r="E31" s="59">
        <f>500+1900+750+200+160+300</f>
        <v>3810</v>
      </c>
      <c r="F31" s="60">
        <v>4600.0</v>
      </c>
      <c r="G31" s="101">
        <f>6500+187030</f>
        <v>193530</v>
      </c>
      <c r="H31" s="62">
        <v>77500.0</v>
      </c>
      <c r="I31" s="62"/>
      <c r="J31" s="63"/>
      <c r="K31" s="64">
        <v>142100.0</v>
      </c>
      <c r="L31" s="30">
        <v>87000.0</v>
      </c>
      <c r="M31" s="65"/>
      <c r="N31" s="66"/>
      <c r="O31" s="61"/>
      <c r="P31" s="67"/>
      <c r="Q31" s="67"/>
      <c r="R31" s="67"/>
      <c r="S31" s="67"/>
      <c r="T31" s="61"/>
      <c r="U31" s="61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hidden="1">
      <c r="A32" s="353" t="s">
        <v>739</v>
      </c>
      <c r="B32" s="349">
        <v>45322.0</v>
      </c>
      <c r="C32" s="57">
        <v>518050.0</v>
      </c>
      <c r="D32" s="23">
        <v>423980.0</v>
      </c>
      <c r="E32" s="59">
        <v>3200.0</v>
      </c>
      <c r="F32" s="25">
        <v>4600.0</v>
      </c>
      <c r="G32" s="101">
        <v>155400.0</v>
      </c>
      <c r="H32" s="62">
        <v>115510.0</v>
      </c>
      <c r="I32" s="62"/>
      <c r="J32" s="63"/>
      <c r="K32" s="64">
        <v>184680.0</v>
      </c>
      <c r="L32" s="30">
        <v>70770.0</v>
      </c>
      <c r="M32" s="65"/>
      <c r="N32" s="66"/>
      <c r="O32" s="61"/>
      <c r="P32" s="67"/>
      <c r="Q32" s="67"/>
      <c r="R32" s="67"/>
      <c r="S32" s="67"/>
      <c r="T32" s="61"/>
      <c r="U32" s="61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  <row r="33" hidden="1">
      <c r="A33" s="354" t="s">
        <v>28</v>
      </c>
      <c r="B33" s="69"/>
      <c r="C33" s="70">
        <f>SUM(C2:C32)</f>
        <v>15033985</v>
      </c>
      <c r="D33" s="71"/>
      <c r="E33" s="71"/>
      <c r="F33" s="71"/>
      <c r="G33" s="70"/>
      <c r="H33" s="70"/>
      <c r="I33" s="70"/>
      <c r="J33" s="72"/>
      <c r="K33" s="70"/>
      <c r="L33" s="73"/>
      <c r="M33" s="74"/>
      <c r="N33" s="75"/>
      <c r="O33" s="61"/>
      <c r="P33" s="67"/>
      <c r="Q33" s="67"/>
      <c r="R33" s="67"/>
      <c r="S33" s="67"/>
      <c r="T33" s="61"/>
      <c r="U33" s="61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hidden="1">
      <c r="A34" s="344" t="s">
        <v>24</v>
      </c>
      <c r="B34" s="355">
        <v>45323.0</v>
      </c>
      <c r="C34" s="22">
        <v>552340.0</v>
      </c>
      <c r="D34" s="23">
        <v>441800.0</v>
      </c>
      <c r="E34" s="24"/>
      <c r="F34" s="25">
        <v>3600.0</v>
      </c>
      <c r="G34" s="101">
        <v>229500.0</v>
      </c>
      <c r="H34" s="27">
        <v>94400.0</v>
      </c>
      <c r="I34" s="27"/>
      <c r="J34" s="28"/>
      <c r="K34" s="29">
        <v>123900.0</v>
      </c>
      <c r="L34" s="30">
        <v>81540.0</v>
      </c>
      <c r="M34" s="31"/>
      <c r="N34" s="32"/>
      <c r="O34" s="33"/>
      <c r="P34" s="40"/>
      <c r="Q34" s="35"/>
      <c r="R34" s="33"/>
      <c r="S34" s="33"/>
      <c r="T34" s="35"/>
      <c r="U34" s="35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</row>
    <row r="35" hidden="1">
      <c r="A35" s="344" t="s">
        <v>25</v>
      </c>
      <c r="B35" s="349">
        <v>45324.0</v>
      </c>
      <c r="C35" s="22">
        <v>552810.0</v>
      </c>
      <c r="D35" s="23">
        <v>383410.0</v>
      </c>
      <c r="E35" s="24"/>
      <c r="F35" s="25">
        <v>11600.0</v>
      </c>
      <c r="G35" s="101">
        <v>123600.0</v>
      </c>
      <c r="H35" s="27">
        <v>92456.0</v>
      </c>
      <c r="I35" s="27"/>
      <c r="J35" s="28"/>
      <c r="K35" s="29">
        <v>134210.0</v>
      </c>
      <c r="L35" s="30">
        <v>165400.0</v>
      </c>
      <c r="M35" s="31"/>
      <c r="N35" s="39"/>
      <c r="O35" s="33"/>
      <c r="P35" s="40"/>
      <c r="Q35" s="35"/>
      <c r="R35" s="33"/>
      <c r="S35" s="33"/>
      <c r="T35" s="35"/>
      <c r="U35" s="35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hidden="1">
      <c r="A36" s="344" t="s">
        <v>26</v>
      </c>
      <c r="B36" s="349">
        <v>45325.0</v>
      </c>
      <c r="C36" s="22">
        <v>432660.0</v>
      </c>
      <c r="D36" s="23">
        <v>344900.0</v>
      </c>
      <c r="E36" s="24">
        <f>1500+1500+700+400+310</f>
        <v>4410</v>
      </c>
      <c r="F36" s="25">
        <f>2000+1000+6000</f>
        <v>9000</v>
      </c>
      <c r="G36" s="101">
        <f>14900+223100</f>
        <v>238000</v>
      </c>
      <c r="H36" s="27">
        <v>36600.0</v>
      </c>
      <c r="I36" s="27"/>
      <c r="J36" s="28"/>
      <c r="K36" s="29">
        <v>56600.0</v>
      </c>
      <c r="L36" s="30">
        <v>87760.0</v>
      </c>
      <c r="M36" s="31"/>
      <c r="N36" s="32"/>
      <c r="O36" s="33"/>
      <c r="P36" s="40"/>
      <c r="Q36" s="35"/>
      <c r="R36" s="33"/>
      <c r="S36" s="33"/>
      <c r="T36" s="35"/>
      <c r="U36" s="35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hidden="1">
      <c r="A37" s="351" t="s">
        <v>27</v>
      </c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3"/>
      <c r="P37" s="40"/>
      <c r="Q37" s="35"/>
      <c r="R37" s="33"/>
      <c r="S37" s="33"/>
      <c r="T37" s="35"/>
      <c r="U37" s="35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hidden="1">
      <c r="A38" s="344" t="s">
        <v>21</v>
      </c>
      <c r="B38" s="41">
        <v>45327.0</v>
      </c>
      <c r="C38" s="22">
        <v>649730.0</v>
      </c>
      <c r="D38" s="23">
        <v>501120.0</v>
      </c>
      <c r="E38" s="24">
        <v>3000.0</v>
      </c>
      <c r="F38" s="25">
        <v>7500.0</v>
      </c>
      <c r="G38" s="101">
        <v>233740.0</v>
      </c>
      <c r="H38" s="27">
        <v>137261.0</v>
      </c>
      <c r="I38" s="27"/>
      <c r="J38" s="28"/>
      <c r="K38" s="29">
        <v>118500.0</v>
      </c>
      <c r="L38" s="30">
        <v>168390.0</v>
      </c>
      <c r="M38" s="31"/>
      <c r="N38" s="32"/>
      <c r="O38" s="33"/>
      <c r="P38" s="40"/>
      <c r="Q38" s="35"/>
      <c r="R38" s="33"/>
      <c r="S38" s="33"/>
      <c r="T38" s="35"/>
      <c r="U38" s="35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hidden="1">
      <c r="A39" s="344" t="s">
        <v>22</v>
      </c>
      <c r="B39" s="41">
        <v>45328.0</v>
      </c>
      <c r="C39" s="22">
        <v>659570.0</v>
      </c>
      <c r="D39" s="23">
        <v>478990.0</v>
      </c>
      <c r="E39" s="24">
        <v>3000.0</v>
      </c>
      <c r="F39" s="25">
        <v>3500.0</v>
      </c>
      <c r="G39" s="101">
        <v>230810.0</v>
      </c>
      <c r="H39" s="27">
        <v>135871.0</v>
      </c>
      <c r="I39" s="27"/>
      <c r="J39" s="28"/>
      <c r="K39" s="29">
        <v>128880.0</v>
      </c>
      <c r="L39" s="30">
        <v>168080.0</v>
      </c>
      <c r="M39" s="31"/>
      <c r="N39" s="39"/>
      <c r="O39" s="33"/>
      <c r="P39" s="40"/>
      <c r="Q39" s="35"/>
      <c r="R39" s="33"/>
      <c r="S39" s="33"/>
      <c r="T39" s="35"/>
      <c r="U39" s="35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hidden="1">
      <c r="A40" s="343" t="s">
        <v>23</v>
      </c>
      <c r="B40" s="41">
        <v>45329.0</v>
      </c>
      <c r="C40" s="80">
        <v>710220.0</v>
      </c>
      <c r="D40" s="81">
        <v>526620.0</v>
      </c>
      <c r="E40" s="82">
        <v>3500.0</v>
      </c>
      <c r="F40" s="83">
        <v>3500.0</v>
      </c>
      <c r="G40" s="101">
        <f>250570+21600</f>
        <v>272170</v>
      </c>
      <c r="H40" s="84">
        <v>138610.0</v>
      </c>
      <c r="I40" s="84"/>
      <c r="J40" s="85"/>
      <c r="K40" s="86">
        <v>118700.0</v>
      </c>
      <c r="L40" s="30">
        <v>189200.0</v>
      </c>
      <c r="M40" s="31"/>
      <c r="N40" s="39"/>
      <c r="O40" s="33"/>
      <c r="P40" s="40"/>
      <c r="Q40" s="35"/>
      <c r="R40" s="33"/>
      <c r="S40" s="33"/>
      <c r="T40" s="35"/>
      <c r="U40" s="35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hidden="1">
      <c r="A41" s="344" t="s">
        <v>30</v>
      </c>
      <c r="B41" s="21">
        <v>45330.0</v>
      </c>
      <c r="C41" s="22">
        <v>693630.0</v>
      </c>
      <c r="D41" s="23">
        <v>458600.0</v>
      </c>
      <c r="E41" s="24">
        <v>3500.0</v>
      </c>
      <c r="F41" s="25">
        <v>3500.0</v>
      </c>
      <c r="G41" s="101">
        <v>296450.0</v>
      </c>
      <c r="H41" s="27">
        <v>40483.0</v>
      </c>
      <c r="I41" s="27"/>
      <c r="J41" s="28"/>
      <c r="K41" s="29">
        <v>165530.0</v>
      </c>
      <c r="L41" s="30">
        <v>170730.0</v>
      </c>
      <c r="M41" s="31"/>
      <c r="N41" s="32"/>
      <c r="O41" s="33"/>
      <c r="P41" s="40"/>
      <c r="Q41" s="35"/>
      <c r="R41" s="33"/>
      <c r="S41" s="33"/>
      <c r="T41" s="35"/>
      <c r="U41" s="35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hidden="1">
      <c r="A42" s="344" t="s">
        <v>25</v>
      </c>
      <c r="B42" s="41">
        <v>45331.0</v>
      </c>
      <c r="C42" s="22">
        <v>460060.0</v>
      </c>
      <c r="D42" s="23">
        <v>355300.0</v>
      </c>
      <c r="E42" s="24">
        <v>5730.0</v>
      </c>
      <c r="F42" s="25">
        <v>3500.0</v>
      </c>
      <c r="G42" s="101">
        <v>184200.0</v>
      </c>
      <c r="H42" s="27">
        <v>79800.0</v>
      </c>
      <c r="I42" s="27"/>
      <c r="J42" s="28"/>
      <c r="K42" s="29">
        <v>65490.0</v>
      </c>
      <c r="L42" s="30">
        <v>137720.0</v>
      </c>
      <c r="M42" s="31"/>
      <c r="N42" s="39"/>
      <c r="O42" s="33"/>
      <c r="P42" s="40"/>
      <c r="Q42" s="35"/>
      <c r="R42" s="33"/>
      <c r="S42" s="33"/>
      <c r="T42" s="35"/>
      <c r="U42" s="35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hidden="1">
      <c r="A43" s="344" t="s">
        <v>26</v>
      </c>
      <c r="B43" s="41">
        <v>45332.0</v>
      </c>
      <c r="C43" s="22">
        <v>622970.0</v>
      </c>
      <c r="D43" s="23">
        <v>451280.0</v>
      </c>
      <c r="E43" s="24"/>
      <c r="F43" s="25">
        <v>11500.0</v>
      </c>
      <c r="G43" s="101">
        <v>163900.0</v>
      </c>
      <c r="H43" s="27">
        <v>81611.0</v>
      </c>
      <c r="I43" s="27"/>
      <c r="J43" s="28"/>
      <c r="K43" s="29">
        <v>119680.0</v>
      </c>
      <c r="L43" s="30">
        <v>161690.0</v>
      </c>
      <c r="M43" s="31"/>
      <c r="N43" s="39"/>
      <c r="O43" s="33"/>
      <c r="P43" s="40"/>
      <c r="Q43" s="35"/>
      <c r="R43" s="33"/>
      <c r="S43" s="33"/>
      <c r="T43" s="35"/>
      <c r="U43" s="35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hidden="1">
      <c r="A44" s="351" t="s">
        <v>27</v>
      </c>
      <c r="B44" s="352"/>
      <c r="C44" s="352"/>
      <c r="D44" s="352"/>
      <c r="E44" s="352"/>
      <c r="F44" s="346"/>
      <c r="G44" s="352"/>
      <c r="H44" s="352"/>
      <c r="I44" s="352"/>
      <c r="J44" s="352"/>
      <c r="K44" s="352"/>
      <c r="L44" s="352"/>
      <c r="M44" s="352"/>
      <c r="N44" s="352"/>
      <c r="O44" s="33"/>
      <c r="P44" s="40"/>
      <c r="Q44" s="35"/>
      <c r="R44" s="33"/>
      <c r="S44" s="33"/>
      <c r="T44" s="35"/>
      <c r="U44" s="35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hidden="1">
      <c r="A45" s="344" t="s">
        <v>21</v>
      </c>
      <c r="B45" s="41">
        <v>45334.0</v>
      </c>
      <c r="C45" s="22">
        <v>534760.0</v>
      </c>
      <c r="D45" s="23">
        <v>418560.0</v>
      </c>
      <c r="E45" s="24">
        <v>5000.0</v>
      </c>
      <c r="F45" s="25">
        <v>9500.0</v>
      </c>
      <c r="G45" s="101">
        <v>145500.0</v>
      </c>
      <c r="H45" s="27">
        <v>34771.0</v>
      </c>
      <c r="I45" s="27"/>
      <c r="J45" s="28"/>
      <c r="K45" s="29">
        <v>110140.0</v>
      </c>
      <c r="L45" s="30">
        <v>122500.0</v>
      </c>
      <c r="M45" s="31"/>
      <c r="N45" s="39"/>
      <c r="O45" s="33"/>
      <c r="P45" s="40"/>
      <c r="Q45" s="35"/>
      <c r="R45" s="33"/>
      <c r="S45" s="33"/>
      <c r="T45" s="35"/>
      <c r="U45" s="35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hidden="1">
      <c r="A46" s="344" t="s">
        <v>22</v>
      </c>
      <c r="B46" s="41">
        <v>45335.0</v>
      </c>
      <c r="C46" s="22">
        <v>523205.0</v>
      </c>
      <c r="D46" s="23">
        <v>428605.0</v>
      </c>
      <c r="E46" s="24">
        <v>5400.0</v>
      </c>
      <c r="F46" s="25">
        <v>9500.0</v>
      </c>
      <c r="G46" s="101">
        <v>286900.0</v>
      </c>
      <c r="H46" s="27">
        <v>182000.0</v>
      </c>
      <c r="I46" s="27"/>
      <c r="J46" s="28"/>
      <c r="K46" s="29">
        <v>159005.0</v>
      </c>
      <c r="L46" s="30">
        <v>116000.0</v>
      </c>
      <c r="M46" s="31"/>
      <c r="N46" s="32"/>
      <c r="O46" s="33"/>
      <c r="P46" s="40"/>
      <c r="Q46" s="35"/>
      <c r="R46" s="33"/>
      <c r="S46" s="33"/>
      <c r="T46" s="35"/>
      <c r="U46" s="35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hidden="1">
      <c r="A47" s="343" t="s">
        <v>23</v>
      </c>
      <c r="B47" s="41">
        <v>45336.0</v>
      </c>
      <c r="C47" s="22">
        <v>838350.0</v>
      </c>
      <c r="D47" s="23">
        <v>608400.0</v>
      </c>
      <c r="E47" s="24">
        <v>500.0</v>
      </c>
      <c r="F47" s="25">
        <v>9500.0</v>
      </c>
      <c r="G47" s="101">
        <v>178320.0</v>
      </c>
      <c r="H47" s="27">
        <v>141900.0</v>
      </c>
      <c r="I47" s="27"/>
      <c r="J47" s="28"/>
      <c r="K47" s="29">
        <v>216000.0</v>
      </c>
      <c r="L47" s="30">
        <v>222000.0</v>
      </c>
      <c r="M47" s="31"/>
      <c r="N47" s="39"/>
      <c r="O47" s="33"/>
      <c r="P47" s="40"/>
      <c r="Q47" s="35"/>
      <c r="R47" s="33"/>
      <c r="S47" s="33"/>
      <c r="T47" s="35"/>
      <c r="U47" s="35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hidden="1">
      <c r="A48" s="344" t="s">
        <v>24</v>
      </c>
      <c r="B48" s="21">
        <v>45337.0</v>
      </c>
      <c r="C48" s="22">
        <v>799600.0</v>
      </c>
      <c r="D48" s="23">
        <v>660680.0</v>
      </c>
      <c r="E48" s="24"/>
      <c r="F48" s="25"/>
      <c r="G48" s="101">
        <v>352500.0</v>
      </c>
      <c r="H48" s="27">
        <v>189800.0</v>
      </c>
      <c r="I48" s="27"/>
      <c r="J48" s="28"/>
      <c r="K48" s="29">
        <v>324000.0</v>
      </c>
      <c r="L48" s="30">
        <v>387850.0</v>
      </c>
      <c r="M48" s="31"/>
      <c r="N48" s="32"/>
      <c r="O48" s="33"/>
      <c r="P48" s="40"/>
      <c r="Q48" s="35"/>
      <c r="R48" s="33"/>
      <c r="S48" s="33"/>
      <c r="T48" s="35"/>
      <c r="U48" s="35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hidden="1">
      <c r="A49" s="344" t="s">
        <v>25</v>
      </c>
      <c r="B49" s="41">
        <v>45338.0</v>
      </c>
      <c r="C49" s="22">
        <v>609960.0</v>
      </c>
      <c r="D49" s="23">
        <v>500700.0</v>
      </c>
      <c r="E49" s="24"/>
      <c r="F49" s="25"/>
      <c r="G49" s="101">
        <v>223900.0</v>
      </c>
      <c r="H49" s="27">
        <v>110446.0</v>
      </c>
      <c r="I49" s="27"/>
      <c r="J49" s="28"/>
      <c r="K49" s="29">
        <v>182000.0</v>
      </c>
      <c r="L49" s="30">
        <v>103660.0</v>
      </c>
      <c r="M49" s="31"/>
      <c r="N49" s="39"/>
      <c r="O49" s="33"/>
      <c r="P49" s="40"/>
      <c r="Q49" s="35"/>
      <c r="R49" s="33"/>
      <c r="S49" s="33"/>
      <c r="T49" s="35"/>
      <c r="U49" s="35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hidden="1">
      <c r="A50" s="344" t="s">
        <v>26</v>
      </c>
      <c r="B50" s="41">
        <v>45339.0</v>
      </c>
      <c r="C50" s="22">
        <v>599610.0</v>
      </c>
      <c r="D50" s="23">
        <v>435250.0</v>
      </c>
      <c r="E50" s="24">
        <v>3000.0</v>
      </c>
      <c r="F50" s="25">
        <f>3600+8000</f>
        <v>11600</v>
      </c>
      <c r="G50" s="101">
        <v>286850.0</v>
      </c>
      <c r="H50" s="27">
        <v>12700.0</v>
      </c>
      <c r="I50" s="27"/>
      <c r="J50" s="28"/>
      <c r="K50" s="29">
        <v>159500.0</v>
      </c>
      <c r="L50" s="30">
        <v>164360.0</v>
      </c>
      <c r="M50" s="31"/>
      <c r="N50" s="32"/>
      <c r="O50" s="33"/>
      <c r="P50" s="40"/>
      <c r="Q50" s="35"/>
      <c r="R50" s="33"/>
      <c r="S50" s="33"/>
      <c r="T50" s="35"/>
      <c r="U50" s="35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hidden="1">
      <c r="A51" s="351" t="s">
        <v>27</v>
      </c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3"/>
      <c r="P51" s="40"/>
      <c r="Q51" s="35"/>
      <c r="R51" s="33"/>
      <c r="S51" s="33"/>
      <c r="T51" s="35"/>
      <c r="U51" s="35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hidden="1">
      <c r="A52" s="344" t="s">
        <v>21</v>
      </c>
      <c r="B52" s="41">
        <v>45341.0</v>
      </c>
      <c r="C52" s="22">
        <v>595240.0</v>
      </c>
      <c r="D52" s="23">
        <v>446920.0</v>
      </c>
      <c r="E52" s="24"/>
      <c r="F52" s="25"/>
      <c r="G52" s="101">
        <v>277300.0</v>
      </c>
      <c r="H52" s="27">
        <v>79750.0</v>
      </c>
      <c r="I52" s="27"/>
      <c r="J52" s="28"/>
      <c r="K52" s="29">
        <v>121820.0</v>
      </c>
      <c r="L52" s="30">
        <v>147920.0</v>
      </c>
      <c r="M52" s="31"/>
      <c r="N52" s="32"/>
      <c r="O52" s="33"/>
      <c r="P52" s="40"/>
      <c r="Q52" s="35"/>
      <c r="R52" s="33"/>
      <c r="S52" s="33"/>
      <c r="T52" s="35"/>
      <c r="U52" s="35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hidden="1">
      <c r="A53" s="343" t="s">
        <v>22</v>
      </c>
      <c r="B53" s="41">
        <v>45342.0</v>
      </c>
      <c r="C53" s="22">
        <v>662170.0</v>
      </c>
      <c r="D53" s="23">
        <v>500410.0</v>
      </c>
      <c r="E53" s="24">
        <f>2000+3400+1400+200+600+200+250</f>
        <v>8050</v>
      </c>
      <c r="F53" s="25">
        <f>1000+1000+1000+500</f>
        <v>3500</v>
      </c>
      <c r="G53" s="101">
        <f>254200+28400</f>
        <v>282600</v>
      </c>
      <c r="H53" s="27">
        <v>108150.0</v>
      </c>
      <c r="I53" s="27"/>
      <c r="J53" s="28"/>
      <c r="K53" s="29">
        <v>95060.0</v>
      </c>
      <c r="L53" s="30">
        <v>159660.0</v>
      </c>
      <c r="M53" s="31"/>
      <c r="N53" s="39"/>
      <c r="O53" s="33"/>
      <c r="P53" s="40"/>
      <c r="Q53" s="35"/>
      <c r="R53" s="33"/>
      <c r="S53" s="33"/>
      <c r="T53" s="35"/>
      <c r="U53" s="35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hidden="1">
      <c r="A54" s="343" t="s">
        <v>23</v>
      </c>
      <c r="B54" s="21">
        <v>45343.0</v>
      </c>
      <c r="C54" s="22">
        <v>661440.0</v>
      </c>
      <c r="D54" s="23">
        <v>474300.0</v>
      </c>
      <c r="E54" s="24">
        <v>6000.0</v>
      </c>
      <c r="F54" s="25">
        <v>3500.0</v>
      </c>
      <c r="G54" s="101">
        <v>235200.0</v>
      </c>
      <c r="H54" s="27">
        <v>156600.0</v>
      </c>
      <c r="I54" s="27"/>
      <c r="J54" s="28"/>
      <c r="K54" s="29">
        <v>70600.0</v>
      </c>
      <c r="L54" s="30">
        <v>193340.0</v>
      </c>
      <c r="M54" s="31"/>
      <c r="N54" s="39"/>
      <c r="O54" s="33"/>
      <c r="P54" s="40"/>
      <c r="Q54" s="35"/>
      <c r="R54" s="33"/>
      <c r="S54" s="33"/>
      <c r="T54" s="35"/>
      <c r="U54" s="35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hidden="1">
      <c r="A55" s="343" t="s">
        <v>24</v>
      </c>
      <c r="B55" s="21">
        <v>45344.0</v>
      </c>
      <c r="C55" s="22">
        <v>696780.0</v>
      </c>
      <c r="D55" s="23">
        <v>587780.0</v>
      </c>
      <c r="E55" s="24">
        <v>6000.0</v>
      </c>
      <c r="F55" s="25">
        <v>3500.0</v>
      </c>
      <c r="G55" s="101">
        <f>231800+7600</f>
        <v>239400</v>
      </c>
      <c r="H55" s="87">
        <v>134055.0</v>
      </c>
      <c r="I55" s="87"/>
      <c r="J55" s="88"/>
      <c r="K55" s="89">
        <v>181200.0</v>
      </c>
      <c r="L55" s="30">
        <v>109000.0</v>
      </c>
      <c r="M55" s="31"/>
      <c r="N55" s="32"/>
      <c r="O55" s="33"/>
      <c r="P55" s="40"/>
      <c r="Q55" s="35"/>
      <c r="R55" s="33"/>
      <c r="S55" s="33"/>
      <c r="T55" s="35"/>
      <c r="U55" s="35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hidden="1">
      <c r="A56" s="343" t="s">
        <v>25</v>
      </c>
      <c r="B56" s="21">
        <v>45345.0</v>
      </c>
      <c r="C56" s="22">
        <v>562300.0</v>
      </c>
      <c r="D56" s="23">
        <v>451400.0</v>
      </c>
      <c r="E56" s="24">
        <v>6000.0</v>
      </c>
      <c r="F56" s="25">
        <v>3500.0</v>
      </c>
      <c r="G56" s="101">
        <v>233700.0</v>
      </c>
      <c r="H56" s="87">
        <v>72255.0</v>
      </c>
      <c r="I56" s="87"/>
      <c r="J56" s="88"/>
      <c r="K56" s="89">
        <v>181500.0</v>
      </c>
      <c r="L56" s="30">
        <v>106100.0</v>
      </c>
      <c r="M56" s="31"/>
      <c r="N56" s="39"/>
      <c r="O56" s="33"/>
      <c r="P56" s="40"/>
      <c r="Q56" s="35"/>
      <c r="R56" s="33"/>
      <c r="S56" s="33"/>
      <c r="T56" s="35"/>
      <c r="U56" s="35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hidden="1">
      <c r="A57" s="344" t="s">
        <v>26</v>
      </c>
      <c r="B57" s="21">
        <v>45346.0</v>
      </c>
      <c r="C57" s="22">
        <v>773900.0</v>
      </c>
      <c r="D57" s="23">
        <v>567100.0</v>
      </c>
      <c r="E57" s="24">
        <v>6000.0</v>
      </c>
      <c r="F57" s="25">
        <v>11500.0</v>
      </c>
      <c r="G57" s="101">
        <v>359470.0</v>
      </c>
      <c r="H57" s="90">
        <v>70200.0</v>
      </c>
      <c r="I57" s="90"/>
      <c r="J57" s="91"/>
      <c r="K57" s="92">
        <v>119330.0</v>
      </c>
      <c r="L57" s="30">
        <v>238400.0</v>
      </c>
      <c r="M57" s="31"/>
      <c r="N57" s="39"/>
      <c r="O57" s="33"/>
      <c r="P57" s="40"/>
      <c r="Q57" s="35"/>
      <c r="R57" s="33"/>
      <c r="S57" s="33"/>
      <c r="T57" s="35"/>
      <c r="U57" s="35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hidden="1">
      <c r="A58" s="351" t="s">
        <v>27</v>
      </c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3"/>
      <c r="P58" s="40"/>
      <c r="Q58" s="35"/>
      <c r="R58" s="33"/>
      <c r="S58" s="33"/>
      <c r="T58" s="35"/>
      <c r="U58" s="35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hidden="1">
      <c r="A59" s="344" t="s">
        <v>21</v>
      </c>
      <c r="B59" s="41">
        <v>45348.0</v>
      </c>
      <c r="C59" s="22">
        <v>653040.0</v>
      </c>
      <c r="D59" s="23">
        <v>537640.0</v>
      </c>
      <c r="E59" s="24">
        <f>600+1500+1900+1550+200+740+200+200</f>
        <v>6890</v>
      </c>
      <c r="F59" s="25">
        <v>11500.0</v>
      </c>
      <c r="G59" s="101">
        <f>90500+103900</f>
        <v>194400</v>
      </c>
      <c r="H59" s="90">
        <v>110231.0</v>
      </c>
      <c r="I59" s="90"/>
      <c r="J59" s="91"/>
      <c r="K59" s="92">
        <v>231740.0</v>
      </c>
      <c r="L59" s="30">
        <v>106300.0</v>
      </c>
      <c r="M59" s="31"/>
      <c r="N59" s="32"/>
      <c r="O59" s="33"/>
      <c r="P59" s="40"/>
      <c r="Q59" s="35"/>
      <c r="R59" s="33"/>
      <c r="S59" s="33"/>
      <c r="T59" s="35"/>
      <c r="U59" s="35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hidden="1">
      <c r="A60" s="344" t="s">
        <v>738</v>
      </c>
      <c r="B60" s="41">
        <v>45349.0</v>
      </c>
      <c r="C60" s="22">
        <v>588360.0</v>
      </c>
      <c r="D60" s="23">
        <v>449620.0</v>
      </c>
      <c r="E60" s="24"/>
      <c r="F60" s="25"/>
      <c r="G60" s="101">
        <v>255580.0</v>
      </c>
      <c r="H60" s="90">
        <v>90900.0</v>
      </c>
      <c r="I60" s="90"/>
      <c r="J60" s="91"/>
      <c r="K60" s="92">
        <v>104340.0</v>
      </c>
      <c r="L60" s="30">
        <v>138540.0</v>
      </c>
      <c r="M60" s="31"/>
      <c r="N60" s="39"/>
      <c r="O60" s="33"/>
      <c r="P60" s="40"/>
      <c r="Q60" s="35"/>
      <c r="R60" s="33"/>
      <c r="S60" s="33"/>
      <c r="T60" s="35"/>
      <c r="U60" s="35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hidden="1">
      <c r="A61" s="344" t="s">
        <v>23</v>
      </c>
      <c r="B61" s="41">
        <v>45350.0</v>
      </c>
      <c r="C61" s="22">
        <v>685580.0</v>
      </c>
      <c r="D61" s="23">
        <v>489000.0</v>
      </c>
      <c r="E61" s="24"/>
      <c r="F61" s="25">
        <v>3500.0</v>
      </c>
      <c r="G61" s="101">
        <v>250700.0</v>
      </c>
      <c r="H61" s="90">
        <v>109626.0</v>
      </c>
      <c r="I61" s="90"/>
      <c r="J61" s="91"/>
      <c r="K61" s="92">
        <v>146500.0</v>
      </c>
      <c r="L61" s="30">
        <v>202080.0</v>
      </c>
      <c r="M61" s="31"/>
      <c r="N61" s="39"/>
      <c r="O61" s="33"/>
      <c r="P61" s="40"/>
      <c r="Q61" s="35"/>
      <c r="R61" s="33"/>
      <c r="S61" s="33"/>
      <c r="T61" s="35"/>
      <c r="U61" s="35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hidden="1">
      <c r="A62" s="344" t="s">
        <v>740</v>
      </c>
      <c r="B62" s="41">
        <v>45351.0</v>
      </c>
      <c r="C62" s="22">
        <v>1338120.0</v>
      </c>
      <c r="D62" s="23">
        <v>1188960.0</v>
      </c>
      <c r="E62" s="24"/>
      <c r="F62" s="25">
        <v>3500.0</v>
      </c>
      <c r="G62" s="101">
        <v>731800.0</v>
      </c>
      <c r="H62" s="90">
        <v>201311.0</v>
      </c>
      <c r="I62" s="90"/>
      <c r="J62" s="91"/>
      <c r="K62" s="92">
        <v>226860.0</v>
      </c>
      <c r="L62" s="30">
        <v>181160.0</v>
      </c>
      <c r="M62" s="31"/>
      <c r="N62" s="39"/>
      <c r="O62" s="33"/>
      <c r="P62" s="40"/>
      <c r="Q62" s="35"/>
      <c r="R62" s="33"/>
      <c r="S62" s="33"/>
      <c r="T62" s="35"/>
      <c r="U62" s="35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hidden="1">
      <c r="A63" s="356" t="s">
        <v>28</v>
      </c>
      <c r="B63" s="94"/>
      <c r="C63" s="95">
        <f>SUM(C34:C62)</f>
        <v>16456405</v>
      </c>
      <c r="D63" s="95"/>
      <c r="E63" s="95"/>
      <c r="F63" s="95"/>
      <c r="G63" s="95"/>
      <c r="H63" s="95"/>
      <c r="I63" s="95"/>
      <c r="J63" s="95"/>
      <c r="K63" s="95"/>
      <c r="L63" s="73"/>
      <c r="M63" s="97"/>
      <c r="N63" s="39"/>
      <c r="O63" s="33"/>
      <c r="P63" s="40"/>
      <c r="Q63" s="35"/>
      <c r="R63" s="33"/>
      <c r="S63" s="33"/>
      <c r="T63" s="35"/>
      <c r="U63" s="35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hidden="1">
      <c r="A64" s="357" t="s">
        <v>25</v>
      </c>
      <c r="B64" s="100">
        <v>45352.0</v>
      </c>
      <c r="C64" s="22">
        <v>765740.0</v>
      </c>
      <c r="D64" s="101">
        <v>627400.0</v>
      </c>
      <c r="E64" s="24"/>
      <c r="F64" s="25">
        <v>2500.0</v>
      </c>
      <c r="G64" s="101">
        <v>312700.0</v>
      </c>
      <c r="H64" s="27">
        <v>144381.0</v>
      </c>
      <c r="I64" s="27"/>
      <c r="J64" s="28"/>
      <c r="K64" s="29">
        <v>178800.0</v>
      </c>
      <c r="L64" s="30">
        <v>141740.0</v>
      </c>
      <c r="M64" s="31"/>
      <c r="N64" s="39"/>
      <c r="O64" s="33"/>
      <c r="P64" s="40"/>
      <c r="Q64" s="35"/>
      <c r="R64" s="33"/>
      <c r="S64" s="33"/>
      <c r="T64" s="35"/>
      <c r="U64" s="35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hidden="1">
      <c r="A65" s="357" t="s">
        <v>33</v>
      </c>
      <c r="B65" s="100">
        <v>45353.0</v>
      </c>
      <c r="C65" s="22">
        <v>605600.0</v>
      </c>
      <c r="D65" s="23">
        <v>492000.0</v>
      </c>
      <c r="E65" s="24"/>
      <c r="F65" s="25"/>
      <c r="G65" s="101">
        <v>213900.0</v>
      </c>
      <c r="H65" s="27">
        <v>81505.0</v>
      </c>
      <c r="I65" s="27"/>
      <c r="J65" s="28"/>
      <c r="K65" s="29">
        <v>102700.0</v>
      </c>
      <c r="L65" s="30">
        <v>113600.0</v>
      </c>
      <c r="M65" s="31"/>
      <c r="N65" s="39"/>
      <c r="O65" s="33"/>
      <c r="P65" s="40"/>
      <c r="Q65" s="35"/>
      <c r="R65" s="33"/>
      <c r="S65" s="33"/>
      <c r="T65" s="35"/>
      <c r="U65" s="35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hidden="1">
      <c r="A66" s="351" t="s">
        <v>27</v>
      </c>
      <c r="B66" s="100">
        <v>45354.0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15"/>
      <c r="N66" s="352"/>
      <c r="O66" s="33"/>
      <c r="P66" s="40"/>
      <c r="Q66" s="35"/>
      <c r="R66" s="33"/>
      <c r="S66" s="33"/>
      <c r="T66" s="35"/>
      <c r="U66" s="35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hidden="1">
      <c r="A67" s="357" t="s">
        <v>21</v>
      </c>
      <c r="B67" s="100">
        <v>45355.0</v>
      </c>
      <c r="C67" s="22">
        <v>534500.0</v>
      </c>
      <c r="D67" s="23">
        <v>459100.0</v>
      </c>
      <c r="E67" s="24"/>
      <c r="F67" s="25">
        <v>2500.0</v>
      </c>
      <c r="G67" s="101">
        <v>126300.0</v>
      </c>
      <c r="H67" s="27">
        <v>138666.0</v>
      </c>
      <c r="I67" s="27"/>
      <c r="J67" s="28"/>
      <c r="K67" s="29">
        <v>127600.0</v>
      </c>
      <c r="L67" s="30">
        <v>75400.0</v>
      </c>
      <c r="M67" s="31"/>
      <c r="N67" s="39"/>
      <c r="O67" s="33"/>
      <c r="P67" s="40"/>
      <c r="Q67" s="35"/>
      <c r="R67" s="33"/>
      <c r="S67" s="33"/>
      <c r="T67" s="35"/>
      <c r="U67" s="35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hidden="1">
      <c r="A68" s="357" t="s">
        <v>22</v>
      </c>
      <c r="B68" s="100">
        <v>45356.0</v>
      </c>
      <c r="C68" s="22">
        <v>850260.0</v>
      </c>
      <c r="D68" s="23">
        <v>716700.0</v>
      </c>
      <c r="E68" s="24"/>
      <c r="F68" s="25"/>
      <c r="G68" s="101">
        <v>349400.0</v>
      </c>
      <c r="H68" s="27">
        <v>19115.0</v>
      </c>
      <c r="I68" s="27"/>
      <c r="J68" s="28"/>
      <c r="K68" s="29">
        <v>174900.0</v>
      </c>
      <c r="L68" s="30">
        <v>143460.0</v>
      </c>
      <c r="M68" s="31"/>
      <c r="N68" s="39"/>
      <c r="O68" s="33"/>
      <c r="P68" s="40"/>
      <c r="Q68" s="35"/>
      <c r="R68" s="33"/>
      <c r="S68" s="33"/>
      <c r="T68" s="35"/>
      <c r="U68" s="35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hidden="1">
      <c r="A69" s="357" t="s">
        <v>32</v>
      </c>
      <c r="B69" s="100">
        <v>45357.0</v>
      </c>
      <c r="C69" s="22">
        <v>686210.0</v>
      </c>
      <c r="D69" s="23">
        <v>559100.0</v>
      </c>
      <c r="E69" s="24"/>
      <c r="F69" s="25"/>
      <c r="G69" s="101">
        <v>361200.0</v>
      </c>
      <c r="H69" s="27">
        <v>66215.0</v>
      </c>
      <c r="I69" s="27"/>
      <c r="J69" s="28"/>
      <c r="K69" s="29">
        <v>110500.0</v>
      </c>
      <c r="L69" s="30">
        <v>140110.0</v>
      </c>
      <c r="M69" s="31"/>
      <c r="N69" s="39"/>
      <c r="O69" s="33"/>
      <c r="P69" s="40"/>
      <c r="Q69" s="35"/>
      <c r="R69" s="33"/>
      <c r="S69" s="33"/>
      <c r="T69" s="35"/>
      <c r="U69" s="35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hidden="1">
      <c r="A70" s="357" t="s">
        <v>24</v>
      </c>
      <c r="B70" s="100">
        <v>45358.0</v>
      </c>
      <c r="C70" s="22">
        <v>876350.0</v>
      </c>
      <c r="D70" s="23">
        <v>733560.0</v>
      </c>
      <c r="E70" s="24"/>
      <c r="F70" s="25"/>
      <c r="G70" s="101">
        <v>354300.0</v>
      </c>
      <c r="H70" s="27">
        <v>183315.0</v>
      </c>
      <c r="I70" s="27"/>
      <c r="J70" s="28"/>
      <c r="K70" s="29">
        <v>99380.0</v>
      </c>
      <c r="L70" s="30">
        <v>172890.0</v>
      </c>
      <c r="M70" s="31"/>
      <c r="N70" s="39"/>
      <c r="O70" s="33"/>
      <c r="P70" s="40"/>
      <c r="Q70" s="35"/>
      <c r="R70" s="33"/>
      <c r="S70" s="33"/>
      <c r="T70" s="35"/>
      <c r="U70" s="35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hidden="1">
      <c r="A71" s="357" t="s">
        <v>25</v>
      </c>
      <c r="B71" s="100">
        <v>45359.0</v>
      </c>
      <c r="C71" s="22">
        <v>630640.0</v>
      </c>
      <c r="D71" s="23">
        <v>492840.0</v>
      </c>
      <c r="E71" s="24"/>
      <c r="F71" s="25">
        <v>2500.0</v>
      </c>
      <c r="G71" s="101">
        <v>278900.0</v>
      </c>
      <c r="H71" s="27">
        <v>72105.0</v>
      </c>
      <c r="I71" s="27"/>
      <c r="J71" s="28"/>
      <c r="K71" s="29">
        <v>168540.0</v>
      </c>
      <c r="L71" s="30">
        <v>126500.0</v>
      </c>
      <c r="M71" s="31"/>
      <c r="N71" s="39"/>
      <c r="O71" s="33"/>
      <c r="P71" s="40"/>
      <c r="Q71" s="35"/>
      <c r="R71" s="33"/>
      <c r="S71" s="33"/>
      <c r="T71" s="35"/>
      <c r="U71" s="35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hidden="1">
      <c r="A72" s="357" t="s">
        <v>33</v>
      </c>
      <c r="B72" s="100">
        <v>45360.0</v>
      </c>
      <c r="C72" s="22">
        <v>697970.0</v>
      </c>
      <c r="D72" s="23">
        <v>556580.0</v>
      </c>
      <c r="E72" s="24"/>
      <c r="F72" s="25">
        <v>2500.0</v>
      </c>
      <c r="G72" s="101">
        <v>299700.0</v>
      </c>
      <c r="H72" s="27">
        <v>165100.0</v>
      </c>
      <c r="I72" s="27"/>
      <c r="J72" s="28"/>
      <c r="K72" s="29">
        <v>165100.0</v>
      </c>
      <c r="L72" s="30">
        <v>139190.0</v>
      </c>
      <c r="M72" s="49"/>
      <c r="N72" s="39"/>
      <c r="O72" s="33"/>
      <c r="P72" s="40"/>
      <c r="Q72" s="35"/>
      <c r="R72" s="33"/>
      <c r="S72" s="33"/>
      <c r="T72" s="35"/>
      <c r="U72" s="35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hidden="1">
      <c r="A73" s="358" t="s">
        <v>27</v>
      </c>
      <c r="B73" s="100">
        <v>45361.0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15"/>
      <c r="N73" s="32"/>
      <c r="O73" s="33"/>
      <c r="P73" s="40"/>
      <c r="Q73" s="35"/>
      <c r="R73" s="33"/>
      <c r="S73" s="33"/>
      <c r="T73" s="35"/>
      <c r="U73" s="35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hidden="1">
      <c r="A74" s="357" t="s">
        <v>21</v>
      </c>
      <c r="B74" s="100">
        <v>45362.0</v>
      </c>
      <c r="C74" s="22">
        <v>461400.0</v>
      </c>
      <c r="D74" s="23">
        <v>337560.0</v>
      </c>
      <c r="E74" s="24"/>
      <c r="F74" s="25">
        <v>2500.0</v>
      </c>
      <c r="G74" s="101">
        <v>146000.0</v>
      </c>
      <c r="H74" s="27">
        <v>68700.0</v>
      </c>
      <c r="I74" s="27"/>
      <c r="J74" s="111"/>
      <c r="K74" s="29">
        <v>112060.0</v>
      </c>
      <c r="L74" s="30">
        <v>111440.0</v>
      </c>
      <c r="M74" s="31"/>
      <c r="N74" s="39"/>
      <c r="O74" s="33"/>
      <c r="P74" s="40"/>
      <c r="Q74" s="35"/>
      <c r="R74" s="33"/>
      <c r="S74" s="33"/>
      <c r="T74" s="35"/>
      <c r="U74" s="35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hidden="1">
      <c r="A75" s="357" t="s">
        <v>22</v>
      </c>
      <c r="B75" s="100">
        <v>45363.0</v>
      </c>
      <c r="C75" s="22">
        <v>561770.0</v>
      </c>
      <c r="D75" s="23">
        <v>402790.0</v>
      </c>
      <c r="E75" s="24"/>
      <c r="F75" s="25">
        <v>2500.0</v>
      </c>
      <c r="G75" s="101">
        <v>200130.0</v>
      </c>
      <c r="H75" s="27">
        <v>51700.0</v>
      </c>
      <c r="I75" s="27"/>
      <c r="J75" s="28"/>
      <c r="K75" s="29">
        <v>144750.0</v>
      </c>
      <c r="L75" s="30">
        <v>188780.0</v>
      </c>
      <c r="M75" s="31"/>
      <c r="N75" s="32"/>
      <c r="O75" s="33"/>
      <c r="P75" s="40"/>
      <c r="Q75" s="35"/>
      <c r="R75" s="33"/>
      <c r="S75" s="33"/>
      <c r="T75" s="35"/>
      <c r="U75" s="35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 hidden="1">
      <c r="A76" s="357" t="s">
        <v>32</v>
      </c>
      <c r="B76" s="100">
        <v>45364.0</v>
      </c>
      <c r="C76" s="22">
        <v>549780.0</v>
      </c>
      <c r="D76" s="23">
        <v>430960.0</v>
      </c>
      <c r="E76" s="24"/>
      <c r="F76" s="25">
        <v>2500.0</v>
      </c>
      <c r="G76" s="101">
        <v>158800.0</v>
      </c>
      <c r="H76" s="27">
        <v>122900.0</v>
      </c>
      <c r="I76" s="27"/>
      <c r="J76" s="28"/>
      <c r="K76" s="29">
        <v>149660.0</v>
      </c>
      <c r="L76" s="30">
        <v>122320.0</v>
      </c>
      <c r="M76" s="31"/>
      <c r="N76" s="39"/>
      <c r="O76" s="33"/>
      <c r="P76" s="40"/>
      <c r="Q76" s="35"/>
      <c r="R76" s="33"/>
      <c r="S76" s="33"/>
      <c r="T76" s="35"/>
      <c r="U76" s="35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 hidden="1">
      <c r="A77" s="357" t="s">
        <v>24</v>
      </c>
      <c r="B77" s="100">
        <v>45365.0</v>
      </c>
      <c r="C77" s="22">
        <v>809220.0</v>
      </c>
      <c r="D77" s="23">
        <v>685500.0</v>
      </c>
      <c r="E77" s="24"/>
      <c r="F77" s="25">
        <v>2500.0</v>
      </c>
      <c r="G77" s="101">
        <v>391900.0</v>
      </c>
      <c r="H77" s="27">
        <v>102110.0</v>
      </c>
      <c r="I77" s="27"/>
      <c r="J77" s="28"/>
      <c r="K77" s="29">
        <v>174700.0</v>
      </c>
      <c r="L77" s="30">
        <v>137720.0</v>
      </c>
      <c r="M77" s="31"/>
      <c r="N77" s="32"/>
      <c r="O77" s="33"/>
      <c r="P77" s="40"/>
      <c r="Q77" s="35"/>
      <c r="R77" s="33"/>
      <c r="S77" s="33"/>
      <c r="T77" s="35"/>
      <c r="U77" s="35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hidden="1">
      <c r="A78" s="357" t="s">
        <v>25</v>
      </c>
      <c r="B78" s="100">
        <v>45366.0</v>
      </c>
      <c r="C78" s="22">
        <f>1528640-C77</f>
        <v>719420</v>
      </c>
      <c r="D78" s="23">
        <v>585770.0</v>
      </c>
      <c r="E78" s="24"/>
      <c r="F78" s="25"/>
      <c r="G78" s="101"/>
      <c r="H78" s="27">
        <v>143121.0</v>
      </c>
      <c r="I78" s="27"/>
      <c r="J78" s="28"/>
      <c r="K78" s="29">
        <f>300870-K77</f>
        <v>126170</v>
      </c>
      <c r="L78" s="30">
        <f>293970-L77</f>
        <v>156250</v>
      </c>
      <c r="M78" s="31"/>
      <c r="N78" s="39"/>
      <c r="O78" s="33"/>
      <c r="P78" s="40"/>
      <c r="Q78" s="35"/>
      <c r="R78" s="33"/>
      <c r="S78" s="33"/>
      <c r="T78" s="35"/>
      <c r="U78" s="35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 hidden="1">
      <c r="A79" s="357" t="s">
        <v>33</v>
      </c>
      <c r="B79" s="100">
        <v>45367.0</v>
      </c>
      <c r="C79" s="22">
        <v>545560.0</v>
      </c>
      <c r="D79" s="23">
        <v>429750.0</v>
      </c>
      <c r="E79" s="24"/>
      <c r="F79" s="25">
        <v>2500.0</v>
      </c>
      <c r="G79" s="101">
        <v>228000.0</v>
      </c>
      <c r="H79" s="27">
        <v>64155.0</v>
      </c>
      <c r="I79" s="27"/>
      <c r="J79" s="28"/>
      <c r="K79" s="29">
        <v>155600.0</v>
      </c>
      <c r="L79" s="30">
        <v>115810.0</v>
      </c>
      <c r="M79" s="31"/>
      <c r="N79" s="39"/>
      <c r="O79" s="33"/>
      <c r="P79" s="40"/>
      <c r="Q79" s="35"/>
      <c r="R79" s="33"/>
      <c r="S79" s="33"/>
      <c r="T79" s="35"/>
      <c r="U79" s="35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 hidden="1">
      <c r="A80" s="358" t="s">
        <v>27</v>
      </c>
      <c r="B80" s="100">
        <v>45368.0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15"/>
      <c r="N80" s="32"/>
      <c r="O80" s="33"/>
      <c r="P80" s="40"/>
      <c r="Q80" s="35"/>
      <c r="R80" s="33"/>
      <c r="S80" s="33"/>
      <c r="T80" s="35"/>
      <c r="U80" s="35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hidden="1">
      <c r="A81" s="357" t="s">
        <v>21</v>
      </c>
      <c r="B81" s="100">
        <v>45369.0</v>
      </c>
      <c r="C81" s="22">
        <v>615660.0</v>
      </c>
      <c r="D81" s="23">
        <v>461160.0</v>
      </c>
      <c r="E81" s="24"/>
      <c r="F81" s="25"/>
      <c r="G81" s="101">
        <f>44600+14600+198700</f>
        <v>257900</v>
      </c>
      <c r="H81" s="27">
        <v>65915.0</v>
      </c>
      <c r="I81" s="27"/>
      <c r="J81" s="111"/>
      <c r="K81" s="29">
        <v>124260.0</v>
      </c>
      <c r="L81" s="30">
        <v>177800.0</v>
      </c>
      <c r="M81" s="31"/>
      <c r="N81" s="39"/>
      <c r="O81" s="33"/>
      <c r="P81" s="40"/>
      <c r="Q81" s="35"/>
      <c r="R81" s="33"/>
      <c r="S81" s="33"/>
      <c r="T81" s="35"/>
      <c r="U81" s="35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hidden="1">
      <c r="A82" s="357" t="s">
        <v>22</v>
      </c>
      <c r="B82" s="100">
        <v>45370.0</v>
      </c>
      <c r="C82" s="22">
        <v>658390.0</v>
      </c>
      <c r="D82" s="23">
        <v>514780.0</v>
      </c>
      <c r="E82" s="24"/>
      <c r="F82" s="25">
        <v>2500.0</v>
      </c>
      <c r="G82" s="101">
        <v>194800.0</v>
      </c>
      <c r="H82" s="27">
        <v>202959.0</v>
      </c>
      <c r="I82" s="27"/>
      <c r="J82" s="28"/>
      <c r="K82" s="29">
        <v>97180.0</v>
      </c>
      <c r="L82" s="30">
        <v>154710.0</v>
      </c>
      <c r="M82" s="49"/>
      <c r="N82" s="32"/>
      <c r="O82" s="33"/>
      <c r="P82" s="40"/>
      <c r="Q82" s="35"/>
      <c r="R82" s="33"/>
      <c r="S82" s="33"/>
      <c r="T82" s="35"/>
      <c r="U82" s="35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hidden="1">
      <c r="A83" s="357" t="s">
        <v>32</v>
      </c>
      <c r="B83" s="100">
        <v>45371.0</v>
      </c>
      <c r="C83" s="22">
        <v>560030.0</v>
      </c>
      <c r="D83" s="23">
        <v>414960.0</v>
      </c>
      <c r="E83" s="24"/>
      <c r="F83" s="25">
        <v>2500.0</v>
      </c>
      <c r="G83" s="101">
        <v>163300.0</v>
      </c>
      <c r="H83" s="27">
        <v>160250.0</v>
      </c>
      <c r="I83" s="27"/>
      <c r="J83" s="28"/>
      <c r="K83" s="29">
        <v>103010.0</v>
      </c>
      <c r="L83" s="30">
        <v>143370.0</v>
      </c>
      <c r="M83" s="31"/>
      <c r="N83" s="39"/>
      <c r="O83" s="33"/>
      <c r="P83" s="40"/>
      <c r="Q83" s="35"/>
      <c r="R83" s="33"/>
      <c r="S83" s="33"/>
      <c r="T83" s="35"/>
      <c r="U83" s="35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 hidden="1">
      <c r="A84" s="357" t="s">
        <v>24</v>
      </c>
      <c r="B84" s="100">
        <v>45372.0</v>
      </c>
      <c r="C84" s="22">
        <f>1726560-C83-C82</f>
        <v>508140</v>
      </c>
      <c r="D84" s="23">
        <f>857550-D83</f>
        <v>442590</v>
      </c>
      <c r="E84" s="24"/>
      <c r="F84" s="25">
        <v>2500.0</v>
      </c>
      <c r="G84" s="101">
        <f>482900-G83 </f>
        <v>319600</v>
      </c>
      <c r="H84" s="101">
        <f>482900-H83-H83</f>
        <v>162400</v>
      </c>
      <c r="I84" s="101"/>
      <c r="J84" s="28"/>
      <c r="K84" s="101">
        <f>482900-K83-K82</f>
        <v>282710</v>
      </c>
      <c r="L84" s="30">
        <f>421550-L83-L82</f>
        <v>123470</v>
      </c>
      <c r="M84" s="31"/>
      <c r="N84" s="39"/>
      <c r="O84" s="33"/>
      <c r="P84" s="40"/>
      <c r="Q84" s="35"/>
      <c r="R84" s="33"/>
      <c r="S84" s="33"/>
      <c r="T84" s="35"/>
      <c r="U84" s="35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 hidden="1">
      <c r="A85" s="357" t="s">
        <v>25</v>
      </c>
      <c r="B85" s="100">
        <v>45373.0</v>
      </c>
      <c r="C85" s="22">
        <v>635530.0</v>
      </c>
      <c r="D85" s="23">
        <v>558060.0</v>
      </c>
      <c r="E85" s="24"/>
      <c r="F85" s="25">
        <v>2500.0</v>
      </c>
      <c r="G85" s="101">
        <v>263300.0</v>
      </c>
      <c r="H85" s="27">
        <v>110351.0</v>
      </c>
      <c r="I85" s="27"/>
      <c r="J85" s="28"/>
      <c r="K85" s="29">
        <v>195700.0</v>
      </c>
      <c r="L85" s="30">
        <v>69870.0</v>
      </c>
      <c r="M85" s="31"/>
      <c r="N85" s="39"/>
      <c r="O85" s="33"/>
      <c r="P85" s="40"/>
      <c r="Q85" s="35"/>
      <c r="R85" s="33"/>
      <c r="S85" s="33"/>
      <c r="T85" s="35"/>
      <c r="U85" s="35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hidden="1">
      <c r="A86" s="357" t="s">
        <v>33</v>
      </c>
      <c r="B86" s="100">
        <v>45374.0</v>
      </c>
      <c r="C86" s="22">
        <v>747520.0</v>
      </c>
      <c r="D86" s="23">
        <v>568280.0</v>
      </c>
      <c r="E86" s="24"/>
      <c r="F86" s="25">
        <v>2500.0</v>
      </c>
      <c r="G86" s="101">
        <v>347600.0</v>
      </c>
      <c r="H86" s="27">
        <v>124721.0</v>
      </c>
      <c r="I86" s="27"/>
      <c r="J86" s="28"/>
      <c r="K86" s="29"/>
      <c r="L86" s="30">
        <v>147040.0</v>
      </c>
      <c r="M86" s="31"/>
      <c r="N86" s="39"/>
      <c r="O86" s="33"/>
      <c r="P86" s="40"/>
      <c r="Q86" s="35"/>
      <c r="R86" s="33"/>
      <c r="S86" s="33"/>
      <c r="T86" s="35"/>
      <c r="U86" s="35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hidden="1">
      <c r="A87" s="358" t="s">
        <v>27</v>
      </c>
      <c r="B87" s="100">
        <v>45375.0</v>
      </c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15"/>
      <c r="N87" s="39"/>
      <c r="O87" s="33"/>
      <c r="P87" s="40"/>
      <c r="Q87" s="35"/>
      <c r="R87" s="33"/>
      <c r="S87" s="33"/>
      <c r="T87" s="35"/>
      <c r="U87" s="35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hidden="1">
      <c r="A88" s="357" t="s">
        <v>21</v>
      </c>
      <c r="B88" s="100">
        <v>45376.0</v>
      </c>
      <c r="C88" s="22">
        <v>784860.0</v>
      </c>
      <c r="D88" s="23">
        <v>646500.0</v>
      </c>
      <c r="E88" s="24"/>
      <c r="F88" s="25">
        <v>2500.0</v>
      </c>
      <c r="G88" s="101">
        <v>361100.0</v>
      </c>
      <c r="H88" s="27">
        <v>79200.0</v>
      </c>
      <c r="I88" s="27"/>
      <c r="J88" s="111"/>
      <c r="K88" s="29">
        <v>196400.0</v>
      </c>
      <c r="L88" s="30">
        <v>181160.0</v>
      </c>
      <c r="M88" s="31"/>
      <c r="N88" s="39"/>
      <c r="O88" s="33"/>
      <c r="P88" s="40"/>
      <c r="Q88" s="35"/>
      <c r="R88" s="33"/>
      <c r="S88" s="33"/>
      <c r="T88" s="35"/>
      <c r="U88" s="35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hidden="1">
      <c r="A89" s="357" t="s">
        <v>22</v>
      </c>
      <c r="B89" s="100">
        <v>45377.0</v>
      </c>
      <c r="C89" s="116">
        <v>926250.0</v>
      </c>
      <c r="D89" s="23">
        <v>776700.0</v>
      </c>
      <c r="E89" s="24"/>
      <c r="F89" s="25">
        <v>2500.0</v>
      </c>
      <c r="G89" s="101">
        <v>391800.0</v>
      </c>
      <c r="H89" s="27">
        <v>130500.0</v>
      </c>
      <c r="I89" s="27"/>
      <c r="J89" s="28"/>
      <c r="K89" s="29">
        <v>261800.0</v>
      </c>
      <c r="L89" s="30">
        <v>161850.0</v>
      </c>
      <c r="M89" s="31"/>
      <c r="N89" s="32"/>
      <c r="O89" s="33"/>
      <c r="P89" s="40"/>
      <c r="Q89" s="35"/>
      <c r="R89" s="33"/>
      <c r="S89" s="33"/>
      <c r="T89" s="35"/>
      <c r="U89" s="35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 hidden="1">
      <c r="A90" s="357" t="s">
        <v>32</v>
      </c>
      <c r="B90" s="100">
        <v>45378.0</v>
      </c>
      <c r="C90" s="116">
        <v>884120.0</v>
      </c>
      <c r="D90" s="23">
        <v>766180.0</v>
      </c>
      <c r="E90" s="24"/>
      <c r="F90" s="25">
        <v>2500.0</v>
      </c>
      <c r="G90" s="101">
        <v>327200.0</v>
      </c>
      <c r="H90" s="27">
        <v>102600.0</v>
      </c>
      <c r="I90" s="27"/>
      <c r="J90" s="28"/>
      <c r="K90" s="29">
        <v>293480.0</v>
      </c>
      <c r="L90" s="30">
        <v>140340.0</v>
      </c>
      <c r="M90" s="31"/>
      <c r="N90" s="39"/>
      <c r="O90" s="33"/>
      <c r="P90" s="40"/>
      <c r="Q90" s="35"/>
      <c r="R90" s="33"/>
      <c r="S90" s="33"/>
      <c r="T90" s="35"/>
      <c r="U90" s="35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 hidden="1">
      <c r="A91" s="357" t="s">
        <v>24</v>
      </c>
      <c r="B91" s="100">
        <v>45379.0</v>
      </c>
      <c r="C91" s="116">
        <v>712350.0</v>
      </c>
      <c r="D91" s="23">
        <v>620460.0</v>
      </c>
      <c r="E91" s="24"/>
      <c r="F91" s="25">
        <v>2500.0</v>
      </c>
      <c r="G91" s="101">
        <v>365240.0</v>
      </c>
      <c r="H91" s="27">
        <v>63300.0</v>
      </c>
      <c r="I91" s="27"/>
      <c r="J91" s="28"/>
      <c r="K91" s="29">
        <v>185120.0</v>
      </c>
      <c r="L91" s="30">
        <v>88190.0</v>
      </c>
      <c r="M91" s="49"/>
      <c r="N91" s="32"/>
      <c r="O91" s="33"/>
      <c r="P91" s="40"/>
      <c r="Q91" s="35"/>
      <c r="R91" s="33"/>
      <c r="S91" s="33"/>
      <c r="T91" s="35"/>
      <c r="U91" s="35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hidden="1">
      <c r="A92" s="357" t="s">
        <v>25</v>
      </c>
      <c r="B92" s="100">
        <v>45380.0</v>
      </c>
      <c r="C92" s="22">
        <v>662760.0</v>
      </c>
      <c r="D92" s="23">
        <v>485840.0</v>
      </c>
      <c r="E92" s="119"/>
      <c r="F92" s="25">
        <v>2500.0</v>
      </c>
      <c r="G92" s="101">
        <v>275900.0</v>
      </c>
      <c r="H92" s="27">
        <v>140011.0</v>
      </c>
      <c r="I92" s="27"/>
      <c r="J92" s="123"/>
      <c r="K92" s="359">
        <v>78540.0</v>
      </c>
      <c r="L92" s="30">
        <v>188220.0</v>
      </c>
      <c r="M92" s="31"/>
      <c r="N92" s="39"/>
      <c r="O92" s="33"/>
      <c r="P92" s="40"/>
      <c r="Q92" s="35"/>
      <c r="R92" s="33"/>
      <c r="S92" s="33"/>
      <c r="T92" s="35"/>
      <c r="U92" s="35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hidden="1">
      <c r="A93" s="357" t="s">
        <v>33</v>
      </c>
      <c r="B93" s="100">
        <v>45381.0</v>
      </c>
      <c r="C93" s="22">
        <v>450230.0</v>
      </c>
      <c r="D93" s="23">
        <v>353060.0</v>
      </c>
      <c r="E93" s="24"/>
      <c r="F93" s="25">
        <v>2500.0</v>
      </c>
      <c r="G93" s="101">
        <v>175300.0</v>
      </c>
      <c r="H93" s="27">
        <v>58600.0</v>
      </c>
      <c r="I93" s="27"/>
      <c r="J93" s="123"/>
      <c r="K93" s="359">
        <v>128610.0</v>
      </c>
      <c r="L93" s="30">
        <v>97170.0</v>
      </c>
      <c r="M93" s="31"/>
      <c r="N93" s="39"/>
      <c r="O93" s="33"/>
      <c r="P93" s="40"/>
      <c r="Q93" s="35"/>
      <c r="R93" s="33"/>
      <c r="S93" s="33"/>
      <c r="T93" s="35"/>
      <c r="U93" s="35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hidden="1">
      <c r="A94" s="345" t="s">
        <v>27</v>
      </c>
      <c r="B94" s="100">
        <v>45382.0</v>
      </c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49"/>
      <c r="N94" s="39"/>
      <c r="O94" s="33"/>
      <c r="P94" s="40"/>
      <c r="Q94" s="35"/>
      <c r="R94" s="33"/>
      <c r="S94" s="33"/>
      <c r="T94" s="35"/>
      <c r="U94" s="35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hidden="1">
      <c r="A95" s="356" t="s">
        <v>28</v>
      </c>
      <c r="B95" s="94"/>
      <c r="C95" s="95">
        <f>SUM(C66:C94)</f>
        <v>16068920</v>
      </c>
      <c r="D95" s="95"/>
      <c r="E95" s="95"/>
      <c r="F95" s="95"/>
      <c r="G95" s="95"/>
      <c r="H95" s="95"/>
      <c r="I95" s="95"/>
      <c r="J95" s="95"/>
      <c r="K95" s="95"/>
      <c r="L95" s="73"/>
      <c r="M95" s="97"/>
      <c r="N95" s="39"/>
      <c r="O95" s="33"/>
      <c r="P95" s="40"/>
      <c r="Q95" s="35"/>
      <c r="R95" s="33"/>
      <c r="S95" s="33"/>
      <c r="T95" s="35"/>
      <c r="U95" s="35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hidden="1">
      <c r="A96" s="357" t="s">
        <v>21</v>
      </c>
      <c r="B96" s="100">
        <v>45383.0</v>
      </c>
      <c r="C96" s="44"/>
      <c r="D96" s="44"/>
      <c r="E96" s="44"/>
      <c r="F96" s="44"/>
      <c r="G96" s="44"/>
      <c r="H96" s="46"/>
      <c r="I96" s="46"/>
      <c r="J96" s="111"/>
      <c r="K96" s="46"/>
      <c r="L96" s="44"/>
      <c r="M96" s="46"/>
      <c r="N96" s="32"/>
      <c r="O96" s="33"/>
      <c r="P96" s="40"/>
      <c r="Q96" s="35"/>
      <c r="R96" s="33"/>
      <c r="S96" s="33"/>
      <c r="T96" s="35"/>
      <c r="U96" s="35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hidden="1">
      <c r="A97" s="357" t="s">
        <v>22</v>
      </c>
      <c r="B97" s="100">
        <v>45384.0</v>
      </c>
      <c r="C97" s="22">
        <v>740780.0</v>
      </c>
      <c r="D97" s="23">
        <v>658980.0</v>
      </c>
      <c r="E97" s="24"/>
      <c r="F97" s="25">
        <v>2500.0</v>
      </c>
      <c r="G97" s="101">
        <v>297240.0</v>
      </c>
      <c r="H97" s="27">
        <v>128300.0</v>
      </c>
      <c r="I97" s="27"/>
      <c r="J97" s="28"/>
      <c r="K97" s="29">
        <v>249280.0</v>
      </c>
      <c r="L97" s="30">
        <v>73800.0</v>
      </c>
      <c r="M97" s="49"/>
      <c r="N97" s="39"/>
      <c r="O97" s="33"/>
      <c r="P97" s="40"/>
      <c r="Q97" s="35"/>
      <c r="R97" s="33"/>
      <c r="S97" s="33"/>
      <c r="T97" s="35"/>
      <c r="U97" s="35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hidden="1">
      <c r="A98" s="357" t="s">
        <v>32</v>
      </c>
      <c r="B98" s="100">
        <v>45385.0</v>
      </c>
      <c r="C98" s="22">
        <v>539350.0</v>
      </c>
      <c r="D98" s="23">
        <v>439220.0</v>
      </c>
      <c r="E98" s="24"/>
      <c r="F98" s="25">
        <v>2000.0</v>
      </c>
      <c r="G98" s="101"/>
      <c r="H98" s="27">
        <v>100526.0</v>
      </c>
      <c r="I98" s="27"/>
      <c r="J98" s="28"/>
      <c r="K98" s="29">
        <v>71140.0</v>
      </c>
      <c r="L98" s="30">
        <v>90530.0</v>
      </c>
      <c r="M98" s="49"/>
      <c r="N98" s="32"/>
      <c r="O98" s="33"/>
      <c r="P98" s="40"/>
      <c r="Q98" s="35"/>
      <c r="R98" s="33"/>
      <c r="S98" s="33"/>
      <c r="T98" s="35"/>
      <c r="U98" s="35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hidden="1">
      <c r="A99" s="357" t="s">
        <v>24</v>
      </c>
      <c r="B99" s="100">
        <v>45386.0</v>
      </c>
      <c r="C99" s="22">
        <v>1084390.0</v>
      </c>
      <c r="D99" s="23">
        <v>896260.0</v>
      </c>
      <c r="E99" s="24"/>
      <c r="F99" s="25">
        <v>2000.0</v>
      </c>
      <c r="G99" s="2">
        <v>443400.0</v>
      </c>
      <c r="H99" s="27">
        <v>287600.0</v>
      </c>
      <c r="I99" s="27"/>
      <c r="J99" s="28"/>
      <c r="K99" s="29"/>
      <c r="L99" s="30">
        <v>181930.0</v>
      </c>
      <c r="M99" s="49"/>
      <c r="N99" s="32"/>
      <c r="O99" s="33"/>
      <c r="P99" s="40"/>
      <c r="Q99" s="35"/>
      <c r="R99" s="33"/>
      <c r="S99" s="33"/>
      <c r="T99" s="35"/>
      <c r="U99" s="35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hidden="1">
      <c r="A100" s="357" t="s">
        <v>25</v>
      </c>
      <c r="B100" s="100">
        <v>45387.0</v>
      </c>
      <c r="C100" s="22">
        <v>716170.0</v>
      </c>
      <c r="D100" s="23">
        <v>561090.0</v>
      </c>
      <c r="E100" s="24"/>
      <c r="F100" s="25">
        <v>2000.0</v>
      </c>
      <c r="G100" s="101">
        <v>249750.0</v>
      </c>
      <c r="H100" s="27">
        <v>124800.0</v>
      </c>
      <c r="I100" s="27"/>
      <c r="J100" s="28"/>
      <c r="K100" s="29">
        <v>161200.0</v>
      </c>
      <c r="L100" s="30">
        <v>175180.0</v>
      </c>
      <c r="M100" s="49"/>
      <c r="N100" s="32"/>
      <c r="O100" s="33"/>
      <c r="P100" s="40"/>
      <c r="Q100" s="35"/>
      <c r="R100" s="33"/>
      <c r="S100" s="33"/>
      <c r="T100" s="35"/>
      <c r="U100" s="35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hidden="1">
      <c r="A101" s="357" t="s">
        <v>33</v>
      </c>
      <c r="B101" s="100">
        <v>45388.0</v>
      </c>
      <c r="C101" s="22">
        <v>808550.0</v>
      </c>
      <c r="D101" s="23">
        <v>684620.0</v>
      </c>
      <c r="E101" s="24"/>
      <c r="F101" s="25">
        <v>2000.0</v>
      </c>
      <c r="G101" s="101">
        <v>327950.0</v>
      </c>
      <c r="H101" s="27">
        <v>98621.0</v>
      </c>
      <c r="I101" s="27"/>
      <c r="J101" s="28"/>
      <c r="K101" s="29">
        <v>244660.0</v>
      </c>
      <c r="L101" s="30">
        <v>139030.0</v>
      </c>
      <c r="M101" s="49"/>
      <c r="N101" s="32"/>
      <c r="O101" s="33"/>
      <c r="P101" s="40"/>
      <c r="Q101" s="35"/>
      <c r="R101" s="33"/>
      <c r="S101" s="33"/>
      <c r="T101" s="35"/>
      <c r="U101" s="35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hidden="1">
      <c r="A102" s="358" t="s">
        <v>27</v>
      </c>
      <c r="B102" s="100">
        <v>45389.0</v>
      </c>
      <c r="C102" s="110"/>
      <c r="D102" s="110"/>
      <c r="E102" s="110"/>
      <c r="F102" s="110"/>
      <c r="G102" s="110"/>
      <c r="H102" s="108"/>
      <c r="I102" s="108"/>
      <c r="J102" s="108"/>
      <c r="K102" s="108"/>
      <c r="L102" s="110"/>
      <c r="M102" s="108"/>
      <c r="N102" s="39"/>
      <c r="O102" s="33"/>
      <c r="P102" s="40"/>
      <c r="Q102" s="35"/>
      <c r="R102" s="33"/>
      <c r="S102" s="33"/>
      <c r="T102" s="35"/>
      <c r="U102" s="35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hidden="1">
      <c r="A103" s="357" t="s">
        <v>21</v>
      </c>
      <c r="B103" s="100">
        <v>45390.0</v>
      </c>
      <c r="C103" s="22">
        <v>875160.0</v>
      </c>
      <c r="D103" s="23">
        <v>668660.0</v>
      </c>
      <c r="E103" s="24"/>
      <c r="F103" s="25">
        <v>2000.0</v>
      </c>
      <c r="G103" s="101">
        <v>341900.0</v>
      </c>
      <c r="H103" s="27">
        <v>174607.0</v>
      </c>
      <c r="I103" s="27"/>
      <c r="J103" s="28"/>
      <c r="K103" s="29">
        <v>123500.0</v>
      </c>
      <c r="L103" s="30">
        <v>212600.0</v>
      </c>
      <c r="M103" s="49"/>
      <c r="N103" s="32"/>
      <c r="O103" s="33"/>
      <c r="P103" s="40"/>
      <c r="Q103" s="35"/>
      <c r="R103" s="33"/>
      <c r="S103" s="33"/>
      <c r="T103" s="35"/>
      <c r="U103" s="35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hidden="1">
      <c r="A104" s="357" t="s">
        <v>22</v>
      </c>
      <c r="B104" s="100">
        <v>45391.0</v>
      </c>
      <c r="C104" s="22">
        <v>907445.0</v>
      </c>
      <c r="D104" s="23">
        <v>667380.0</v>
      </c>
      <c r="E104" s="24"/>
      <c r="F104" s="25">
        <v>2000.0</v>
      </c>
      <c r="G104" s="101">
        <v>281780.0</v>
      </c>
      <c r="H104" s="27">
        <v>148345.0</v>
      </c>
      <c r="I104" s="27"/>
      <c r="J104" s="28"/>
      <c r="K104" s="29">
        <v>212350.0</v>
      </c>
      <c r="L104" s="30">
        <v>265765.0</v>
      </c>
      <c r="M104" s="49"/>
      <c r="N104" s="39"/>
      <c r="O104" s="33"/>
      <c r="P104" s="40"/>
      <c r="Q104" s="35"/>
      <c r="R104" s="33"/>
      <c r="S104" s="33"/>
      <c r="T104" s="35"/>
      <c r="U104" s="35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hidden="1">
      <c r="A105" s="357" t="s">
        <v>32</v>
      </c>
      <c r="B105" s="100">
        <v>45392.0</v>
      </c>
      <c r="C105" s="22">
        <v>1115695.0</v>
      </c>
      <c r="D105" s="23">
        <v>879970.0</v>
      </c>
      <c r="E105" s="24"/>
      <c r="F105" s="25">
        <v>2000.0</v>
      </c>
      <c r="G105" s="101">
        <v>414400.0</v>
      </c>
      <c r="H105" s="27">
        <v>176516.0</v>
      </c>
      <c r="I105" s="27"/>
      <c r="J105" s="28"/>
      <c r="K105" s="29">
        <v>258335.0</v>
      </c>
      <c r="L105" s="30">
        <v>183890.0</v>
      </c>
      <c r="M105" s="49"/>
      <c r="N105" s="32"/>
      <c r="O105" s="33"/>
      <c r="P105" s="40"/>
      <c r="Q105" s="35"/>
      <c r="R105" s="33"/>
      <c r="S105" s="33"/>
      <c r="T105" s="35"/>
      <c r="U105" s="35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hidden="1">
      <c r="A106" s="357" t="s">
        <v>24</v>
      </c>
      <c r="B106" s="100">
        <v>45393.0</v>
      </c>
      <c r="C106" s="22">
        <v>803030.0</v>
      </c>
      <c r="D106" s="23">
        <v>629260.0</v>
      </c>
      <c r="E106" s="24"/>
      <c r="F106" s="25">
        <v>2000.0</v>
      </c>
      <c r="G106" s="101">
        <v>289100.0</v>
      </c>
      <c r="H106" s="27">
        <v>161811.0</v>
      </c>
      <c r="I106" s="27"/>
      <c r="J106" s="28"/>
      <c r="K106" s="29">
        <v>156760.0</v>
      </c>
      <c r="L106" s="30">
        <v>173770.0</v>
      </c>
      <c r="M106" s="49"/>
      <c r="N106" s="32"/>
      <c r="O106" s="33"/>
      <c r="P106" s="40"/>
      <c r="Q106" s="35"/>
      <c r="R106" s="33"/>
      <c r="S106" s="33"/>
      <c r="T106" s="35"/>
      <c r="U106" s="35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hidden="1">
      <c r="A107" s="357" t="s">
        <v>25</v>
      </c>
      <c r="B107" s="100">
        <v>45394.0</v>
      </c>
      <c r="C107" s="22">
        <v>887505.0</v>
      </c>
      <c r="D107" s="23">
        <v>805745.0</v>
      </c>
      <c r="E107" s="24"/>
      <c r="F107" s="25">
        <v>2000.0</v>
      </c>
      <c r="G107" s="101">
        <v>304250.0</v>
      </c>
      <c r="H107" s="27">
        <v>172550.0</v>
      </c>
      <c r="I107" s="27"/>
      <c r="J107" s="28"/>
      <c r="K107" s="29">
        <v>340295.0</v>
      </c>
      <c r="L107" s="30">
        <v>77460.0</v>
      </c>
      <c r="M107" s="49"/>
      <c r="N107" s="32"/>
      <c r="O107" s="33"/>
      <c r="P107" s="40"/>
      <c r="Q107" s="35"/>
      <c r="R107" s="33"/>
      <c r="S107" s="33"/>
      <c r="T107" s="35"/>
      <c r="U107" s="35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hidden="1">
      <c r="A108" s="357" t="s">
        <v>33</v>
      </c>
      <c r="B108" s="100">
        <v>45395.0</v>
      </c>
      <c r="C108" s="22">
        <v>659400.0</v>
      </c>
      <c r="D108" s="23">
        <v>572880.0</v>
      </c>
      <c r="E108" s="24"/>
      <c r="F108" s="25">
        <v>2000.0</v>
      </c>
      <c r="G108" s="101">
        <v>351570.0</v>
      </c>
      <c r="H108" s="27">
        <v>50620.0</v>
      </c>
      <c r="I108" s="27"/>
      <c r="J108" s="28"/>
      <c r="K108" s="29">
        <v>151730.0</v>
      </c>
      <c r="L108" s="30">
        <v>104320.0</v>
      </c>
      <c r="M108" s="49"/>
      <c r="N108" s="32"/>
      <c r="O108" s="33"/>
      <c r="P108" s="40"/>
      <c r="Q108" s="35"/>
      <c r="R108" s="33"/>
      <c r="S108" s="33"/>
      <c r="T108" s="35"/>
      <c r="U108" s="35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hidden="1">
      <c r="A109" s="358" t="s">
        <v>27</v>
      </c>
      <c r="B109" s="100">
        <v>45396.0</v>
      </c>
      <c r="C109" s="44"/>
      <c r="D109" s="44"/>
      <c r="E109" s="44"/>
      <c r="F109" s="44"/>
      <c r="G109" s="44"/>
      <c r="H109" s="44"/>
      <c r="I109" s="44"/>
      <c r="J109" s="110"/>
      <c r="K109" s="44"/>
      <c r="L109" s="44"/>
      <c r="M109" s="44"/>
      <c r="N109" s="32"/>
      <c r="O109" s="33"/>
      <c r="P109" s="40"/>
      <c r="Q109" s="35"/>
      <c r="R109" s="33"/>
      <c r="S109" s="33"/>
      <c r="T109" s="35"/>
      <c r="U109" s="35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hidden="1">
      <c r="A110" s="357" t="s">
        <v>21</v>
      </c>
      <c r="B110" s="100">
        <v>45397.0</v>
      </c>
      <c r="C110" s="44">
        <v>588340.0</v>
      </c>
      <c r="D110" s="44">
        <v>414740.0</v>
      </c>
      <c r="E110" s="44"/>
      <c r="F110" s="44">
        <v>2000.0</v>
      </c>
      <c r="G110" s="44">
        <v>106800.0</v>
      </c>
      <c r="H110" s="44">
        <v>175651.0</v>
      </c>
      <c r="I110" s="44"/>
      <c r="J110" s="110"/>
      <c r="K110" s="44">
        <v>161540.0</v>
      </c>
      <c r="L110" s="44">
        <v>170300.0</v>
      </c>
      <c r="M110" s="49"/>
      <c r="N110" s="32"/>
      <c r="O110" s="33"/>
      <c r="P110" s="40"/>
      <c r="Q110" s="35"/>
      <c r="R110" s="33"/>
      <c r="S110" s="33"/>
      <c r="T110" s="35"/>
      <c r="U110" s="35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hidden="1">
      <c r="A111" s="357" t="s">
        <v>22</v>
      </c>
      <c r="B111" s="100">
        <v>45398.0</v>
      </c>
      <c r="C111" s="22">
        <v>946390.0</v>
      </c>
      <c r="D111" s="23">
        <v>711050.0</v>
      </c>
      <c r="E111" s="24"/>
      <c r="F111" s="25">
        <v>2000.0</v>
      </c>
      <c r="G111" s="101">
        <v>355100.0</v>
      </c>
      <c r="H111" s="27"/>
      <c r="I111" s="27"/>
      <c r="J111" s="28"/>
      <c r="K111" s="29">
        <v>182900.0</v>
      </c>
      <c r="L111" s="30">
        <v>166740.0</v>
      </c>
      <c r="M111" s="49"/>
      <c r="N111" s="39"/>
      <c r="O111" s="33"/>
      <c r="P111" s="40"/>
      <c r="Q111" s="35"/>
      <c r="R111" s="33"/>
      <c r="S111" s="33"/>
      <c r="T111" s="35"/>
      <c r="U111" s="35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hidden="1">
      <c r="A112" s="357" t="s">
        <v>32</v>
      </c>
      <c r="B112" s="100">
        <v>45399.0</v>
      </c>
      <c r="C112" s="22">
        <v>927662.0</v>
      </c>
      <c r="D112" s="23">
        <v>720210.0</v>
      </c>
      <c r="E112" s="24"/>
      <c r="F112" s="25">
        <v>2000.0</v>
      </c>
      <c r="G112" s="101">
        <v>322830.0</v>
      </c>
      <c r="H112" s="27">
        <v>172455.0</v>
      </c>
      <c r="I112" s="27"/>
      <c r="J112" s="28"/>
      <c r="K112" s="29">
        <v>176430.0</v>
      </c>
      <c r="L112" s="30">
        <v>198252.0</v>
      </c>
      <c r="M112" s="49"/>
      <c r="N112" s="32"/>
      <c r="O112" s="35"/>
      <c r="P112" s="40"/>
      <c r="Q112" s="35"/>
      <c r="R112" s="33"/>
      <c r="S112" s="33"/>
      <c r="T112" s="35"/>
      <c r="U112" s="35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hidden="1">
      <c r="A113" s="357" t="s">
        <v>24</v>
      </c>
      <c r="B113" s="100">
        <v>45400.0</v>
      </c>
      <c r="C113" s="22">
        <v>982460.0</v>
      </c>
      <c r="D113" s="23">
        <v>870640.0</v>
      </c>
      <c r="E113" s="24"/>
      <c r="F113" s="25">
        <v>2000.0</v>
      </c>
      <c r="G113" s="101">
        <v>357400.0</v>
      </c>
      <c r="H113" s="27">
        <v>118450.0</v>
      </c>
      <c r="I113" s="27"/>
      <c r="J113" s="28"/>
      <c r="K113" s="29">
        <v>407990.0</v>
      </c>
      <c r="L113" s="30">
        <v>130220.0</v>
      </c>
      <c r="M113" s="49"/>
      <c r="N113" s="32"/>
      <c r="O113" s="33"/>
      <c r="P113" s="40"/>
      <c r="Q113" s="35"/>
      <c r="R113" s="33"/>
      <c r="S113" s="33"/>
      <c r="T113" s="35"/>
      <c r="U113" s="35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hidden="1">
      <c r="A114" s="357" t="s">
        <v>25</v>
      </c>
      <c r="B114" s="100">
        <v>45401.0</v>
      </c>
      <c r="C114" s="22">
        <v>827765.0</v>
      </c>
      <c r="D114" s="23">
        <v>693740.0</v>
      </c>
      <c r="E114" s="24"/>
      <c r="F114" s="25"/>
      <c r="G114" s="101">
        <v>306700.0</v>
      </c>
      <c r="H114" s="27">
        <v>133551.0</v>
      </c>
      <c r="I114" s="27"/>
      <c r="J114" s="28"/>
      <c r="K114" s="29">
        <v>257140.0</v>
      </c>
      <c r="L114" s="30">
        <v>139325.0</v>
      </c>
      <c r="M114" s="49"/>
      <c r="N114" s="32"/>
      <c r="O114" s="33"/>
      <c r="P114" s="40"/>
      <c r="Q114" s="35"/>
      <c r="R114" s="33"/>
      <c r="S114" s="33"/>
      <c r="T114" s="35"/>
      <c r="U114" s="35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hidden="1">
      <c r="A115" s="357" t="s">
        <v>33</v>
      </c>
      <c r="B115" s="100">
        <v>45402.0</v>
      </c>
      <c r="C115" s="22">
        <v>668550.0</v>
      </c>
      <c r="D115" s="23">
        <v>550550.0</v>
      </c>
      <c r="E115" s="24"/>
      <c r="F115" s="25"/>
      <c r="G115" s="101">
        <v>77000.0</v>
      </c>
      <c r="H115" s="27"/>
      <c r="I115" s="27"/>
      <c r="J115" s="28"/>
      <c r="K115" s="29">
        <v>174550.0</v>
      </c>
      <c r="L115" s="30">
        <v>118000.0</v>
      </c>
      <c r="M115" s="49"/>
      <c r="N115" s="32"/>
      <c r="O115" s="33"/>
      <c r="P115" s="40"/>
      <c r="Q115" s="35"/>
      <c r="R115" s="33"/>
      <c r="S115" s="33"/>
      <c r="T115" s="35"/>
      <c r="U115" s="35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hidden="1">
      <c r="A116" s="358" t="s">
        <v>27</v>
      </c>
      <c r="B116" s="100">
        <v>45403.0</v>
      </c>
      <c r="C116" s="44"/>
      <c r="D116" s="44"/>
      <c r="E116" s="44"/>
      <c r="F116" s="44"/>
      <c r="G116" s="44"/>
      <c r="H116" s="44"/>
      <c r="I116" s="44"/>
      <c r="J116" s="110"/>
      <c r="K116" s="44"/>
      <c r="L116" s="44"/>
      <c r="M116" s="44"/>
      <c r="N116" s="32"/>
      <c r="O116" s="33"/>
      <c r="P116" s="40"/>
      <c r="Q116" s="35"/>
      <c r="R116" s="33"/>
      <c r="S116" s="33"/>
      <c r="T116" s="35"/>
      <c r="U116" s="35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hidden="1">
      <c r="A117" s="357" t="s">
        <v>21</v>
      </c>
      <c r="B117" s="100">
        <v>45404.0</v>
      </c>
      <c r="C117" s="22">
        <v>741180.0</v>
      </c>
      <c r="D117" s="23">
        <v>605050.0</v>
      </c>
      <c r="E117" s="24"/>
      <c r="F117" s="25">
        <v>2000.0</v>
      </c>
      <c r="G117" s="101">
        <v>263780.0</v>
      </c>
      <c r="H117" s="27">
        <v>157986.0</v>
      </c>
      <c r="I117" s="27"/>
      <c r="J117" s="28"/>
      <c r="K117" s="29">
        <v>136220.0</v>
      </c>
      <c r="L117" s="30">
        <v>140930.0</v>
      </c>
      <c r="M117" s="49"/>
      <c r="N117" s="32"/>
      <c r="O117" s="33"/>
      <c r="P117" s="40"/>
      <c r="Q117" s="35"/>
      <c r="R117" s="33"/>
      <c r="S117" s="33"/>
      <c r="T117" s="35"/>
      <c r="U117" s="35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hidden="1">
      <c r="A118" s="357" t="s">
        <v>22</v>
      </c>
      <c r="B118" s="100">
        <v>45405.0</v>
      </c>
      <c r="C118" s="22">
        <v>1152925.0</v>
      </c>
      <c r="D118" s="23">
        <v>976580.0</v>
      </c>
      <c r="E118" s="24"/>
      <c r="F118" s="25">
        <v>2000.0</v>
      </c>
      <c r="G118" s="101">
        <v>395300.0</v>
      </c>
      <c r="H118" s="27">
        <v>354150.0</v>
      </c>
      <c r="I118" s="27"/>
      <c r="J118" s="28"/>
      <c r="K118" s="29">
        <v>236730.0</v>
      </c>
      <c r="L118" s="30">
        <v>175445.0</v>
      </c>
      <c r="M118" s="49"/>
      <c r="N118" s="39"/>
      <c r="O118" s="33"/>
      <c r="P118" s="40"/>
      <c r="Q118" s="35"/>
      <c r="R118" s="33"/>
      <c r="S118" s="33"/>
      <c r="T118" s="35"/>
      <c r="U118" s="35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hidden="1">
      <c r="A119" s="357" t="s">
        <v>32</v>
      </c>
      <c r="B119" s="100">
        <v>45406.0</v>
      </c>
      <c r="C119" s="22">
        <v>1133160.0</v>
      </c>
      <c r="D119" s="23">
        <v>908010.0</v>
      </c>
      <c r="E119" s="24"/>
      <c r="F119" s="25"/>
      <c r="G119" s="101">
        <v>345660.0</v>
      </c>
      <c r="H119" s="27">
        <v>219550.0</v>
      </c>
      <c r="I119" s="27"/>
      <c r="J119" s="28"/>
      <c r="K119" s="29">
        <v>300650.0</v>
      </c>
      <c r="L119" s="30">
        <v>237750.0</v>
      </c>
      <c r="M119" s="49"/>
      <c r="N119" s="32"/>
      <c r="O119" s="33"/>
      <c r="P119" s="40"/>
      <c r="Q119" s="35"/>
      <c r="R119" s="33"/>
      <c r="S119" s="33"/>
      <c r="T119" s="35"/>
      <c r="U119" s="35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hidden="1">
      <c r="A120" s="357" t="s">
        <v>24</v>
      </c>
      <c r="B120" s="100">
        <v>45407.0</v>
      </c>
      <c r="C120" s="22">
        <f>972795+124000</f>
        <v>1096795</v>
      </c>
      <c r="D120" s="23">
        <v>672190.0</v>
      </c>
      <c r="E120" s="24"/>
      <c r="F120" s="25"/>
      <c r="G120" s="101">
        <v>252000.0</v>
      </c>
      <c r="H120" s="27">
        <v>179950.0</v>
      </c>
      <c r="I120" s="27"/>
      <c r="J120" s="28"/>
      <c r="K120" s="29"/>
      <c r="L120" s="30">
        <v>304705.0</v>
      </c>
      <c r="M120" s="49"/>
      <c r="N120" s="32"/>
      <c r="O120" s="35" t="s">
        <v>741</v>
      </c>
      <c r="P120" s="40"/>
      <c r="Q120" s="35">
        <v>1240000.0</v>
      </c>
      <c r="R120" s="33"/>
      <c r="S120" s="33"/>
      <c r="T120" s="35"/>
      <c r="U120" s="35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hidden="1">
      <c r="A121" s="357" t="s">
        <v>25</v>
      </c>
      <c r="B121" s="100">
        <v>45408.0</v>
      </c>
      <c r="C121" s="22">
        <v>1270995.0</v>
      </c>
      <c r="D121" s="23">
        <v>954265.0</v>
      </c>
      <c r="E121" s="24"/>
      <c r="F121" s="25">
        <v>2000.0</v>
      </c>
      <c r="G121" s="101">
        <v>348400.0</v>
      </c>
      <c r="H121" s="27">
        <v>84890.0</v>
      </c>
      <c r="I121" s="27"/>
      <c r="J121" s="28"/>
      <c r="K121" s="29">
        <v>240700.0</v>
      </c>
      <c r="L121" s="30">
        <v>174230.0</v>
      </c>
      <c r="M121" s="49"/>
      <c r="N121" s="32"/>
      <c r="O121" s="35" t="s">
        <v>742</v>
      </c>
      <c r="P121" s="40"/>
      <c r="Q121" s="35"/>
      <c r="R121" s="33"/>
      <c r="S121" s="33"/>
      <c r="T121" s="35"/>
      <c r="U121" s="35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hidden="1">
      <c r="A122" s="357" t="s">
        <v>26</v>
      </c>
      <c r="B122" s="100">
        <v>45409.0</v>
      </c>
      <c r="C122" s="22">
        <v>839285.0</v>
      </c>
      <c r="D122" s="23">
        <v>641820.0</v>
      </c>
      <c r="E122" s="24"/>
      <c r="F122" s="25">
        <v>2000.0</v>
      </c>
      <c r="G122" s="101">
        <v>445500.0</v>
      </c>
      <c r="H122" s="27">
        <v>40350.0</v>
      </c>
      <c r="I122" s="27"/>
      <c r="J122" s="28"/>
      <c r="K122" s="29">
        <v>165700.0</v>
      </c>
      <c r="L122" s="30">
        <v>197465.0</v>
      </c>
      <c r="M122" s="49"/>
      <c r="N122" s="32"/>
      <c r="O122" s="33"/>
      <c r="P122" s="40"/>
      <c r="Q122" s="35"/>
      <c r="R122" s="33"/>
      <c r="S122" s="33"/>
      <c r="T122" s="35"/>
      <c r="U122" s="35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hidden="1">
      <c r="A123" s="358" t="s">
        <v>27</v>
      </c>
      <c r="B123" s="100">
        <v>45410.0</v>
      </c>
      <c r="C123" s="44"/>
      <c r="D123" s="44"/>
      <c r="E123" s="44"/>
      <c r="F123" s="44"/>
      <c r="G123" s="44"/>
      <c r="H123" s="44"/>
      <c r="I123" s="44"/>
      <c r="J123" s="110"/>
      <c r="K123" s="44"/>
      <c r="L123" s="44"/>
      <c r="M123" s="44"/>
      <c r="N123" s="32"/>
      <c r="O123" s="33"/>
      <c r="P123" s="40"/>
      <c r="Q123" s="35"/>
      <c r="R123" s="33"/>
      <c r="S123" s="33"/>
      <c r="T123" s="35"/>
      <c r="U123" s="35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hidden="1">
      <c r="A124" s="357" t="s">
        <v>21</v>
      </c>
      <c r="B124" s="100">
        <v>45411.0</v>
      </c>
      <c r="C124" s="22">
        <v>982940.0</v>
      </c>
      <c r="D124" s="23">
        <v>868585.0</v>
      </c>
      <c r="E124" s="24"/>
      <c r="F124" s="25"/>
      <c r="G124" s="101">
        <v>259980.0</v>
      </c>
      <c r="H124" s="27">
        <v>194191.0</v>
      </c>
      <c r="I124" s="27"/>
      <c r="J124" s="28"/>
      <c r="K124" s="29">
        <v>335015.0</v>
      </c>
      <c r="L124" s="30">
        <v>113655.0</v>
      </c>
      <c r="M124" s="49"/>
      <c r="N124" s="32"/>
      <c r="O124" s="33"/>
      <c r="P124" s="40"/>
      <c r="Q124" s="35"/>
      <c r="R124" s="33"/>
      <c r="S124" s="33"/>
      <c r="T124" s="35"/>
      <c r="U124" s="35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hidden="1">
      <c r="A125" s="357" t="s">
        <v>22</v>
      </c>
      <c r="B125" s="100">
        <v>45412.0</v>
      </c>
      <c r="C125" s="22">
        <v>899325.0</v>
      </c>
      <c r="D125" s="23">
        <v>799455.0</v>
      </c>
      <c r="E125" s="24"/>
      <c r="F125" s="25"/>
      <c r="G125" s="101">
        <v>506580.0</v>
      </c>
      <c r="H125" s="27">
        <v>239156.0</v>
      </c>
      <c r="I125" s="27"/>
      <c r="J125" s="28"/>
      <c r="K125" s="29">
        <v>154480.0</v>
      </c>
      <c r="L125" s="30">
        <v>148845.0</v>
      </c>
      <c r="M125" s="49"/>
      <c r="N125" s="32"/>
      <c r="O125" s="33"/>
      <c r="P125" s="40"/>
      <c r="Q125" s="35"/>
      <c r="R125" s="33"/>
      <c r="S125" s="33"/>
      <c r="T125" s="35"/>
      <c r="U125" s="35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hidden="1">
      <c r="A126" s="360" t="s">
        <v>28</v>
      </c>
      <c r="B126" s="135"/>
      <c r="C126" s="136">
        <f>SUM(C96:C125)+Q120</f>
        <v>23435247</v>
      </c>
      <c r="D126" s="136"/>
      <c r="E126" s="136"/>
      <c r="F126" s="136"/>
      <c r="G126" s="136"/>
      <c r="H126" s="136"/>
      <c r="I126" s="136"/>
      <c r="J126" s="136"/>
      <c r="K126" s="136"/>
      <c r="L126" s="136"/>
      <c r="M126" s="125"/>
      <c r="N126" s="39"/>
      <c r="O126" s="33"/>
      <c r="P126" s="40"/>
      <c r="Q126" s="35"/>
      <c r="R126" s="33"/>
      <c r="S126" s="33"/>
      <c r="T126" s="35"/>
      <c r="U126" s="35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hidden="1">
      <c r="A127" s="357" t="s">
        <v>23</v>
      </c>
      <c r="B127" s="100">
        <v>45413.0</v>
      </c>
      <c r="C127" s="22"/>
      <c r="D127" s="23"/>
      <c r="E127" s="24"/>
      <c r="F127" s="25"/>
      <c r="G127" s="101"/>
      <c r="H127" s="27"/>
      <c r="I127" s="27"/>
      <c r="J127" s="28"/>
      <c r="K127" s="29"/>
      <c r="L127" s="30"/>
      <c r="M127" s="49"/>
      <c r="N127" s="32"/>
      <c r="O127" s="33"/>
      <c r="P127" s="40"/>
      <c r="Q127" s="35"/>
      <c r="R127" s="33"/>
      <c r="S127" s="33"/>
      <c r="T127" s="35"/>
      <c r="U127" s="35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hidden="1">
      <c r="A128" s="357" t="s">
        <v>24</v>
      </c>
      <c r="B128" s="100">
        <v>45414.0</v>
      </c>
      <c r="C128" s="22">
        <v>941425.0</v>
      </c>
      <c r="D128" s="23">
        <v>729810.0</v>
      </c>
      <c r="E128" s="24"/>
      <c r="F128" s="25"/>
      <c r="G128" s="101">
        <v>303070.0</v>
      </c>
      <c r="H128" s="27">
        <v>206600.0</v>
      </c>
      <c r="I128" s="27"/>
      <c r="J128" s="28"/>
      <c r="K128" s="29">
        <v>200080.0</v>
      </c>
      <c r="L128" s="30">
        <v>219915.0</v>
      </c>
      <c r="M128" s="49"/>
      <c r="N128" s="32"/>
      <c r="O128" s="33"/>
      <c r="P128" s="40"/>
      <c r="Q128" s="35"/>
      <c r="R128" s="33"/>
      <c r="S128" s="33"/>
      <c r="T128" s="35"/>
      <c r="U128" s="35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hidden="1">
      <c r="A129" s="357" t="s">
        <v>25</v>
      </c>
      <c r="B129" s="100">
        <v>45415.0</v>
      </c>
      <c r="C129" s="22">
        <v>857755.0</v>
      </c>
      <c r="D129" s="23">
        <v>714675.0</v>
      </c>
      <c r="E129" s="24"/>
      <c r="F129" s="25"/>
      <c r="G129" s="101">
        <f>277350</f>
        <v>277350</v>
      </c>
      <c r="H129" s="27">
        <v>188201.0</v>
      </c>
      <c r="I129" s="27"/>
      <c r="J129" s="28"/>
      <c r="K129" s="29">
        <v>239360.0</v>
      </c>
      <c r="L129" s="30">
        <v>167780.0</v>
      </c>
      <c r="M129" s="49"/>
      <c r="N129" s="32"/>
      <c r="O129" s="33"/>
      <c r="P129" s="40"/>
      <c r="Q129" s="35"/>
      <c r="R129" s="33"/>
      <c r="S129" s="33"/>
      <c r="T129" s="35"/>
      <c r="U129" s="35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hidden="1">
      <c r="A130" s="357" t="s">
        <v>26</v>
      </c>
      <c r="B130" s="100">
        <v>45416.0</v>
      </c>
      <c r="C130" s="22">
        <v>690130.0</v>
      </c>
      <c r="D130" s="23">
        <v>598730.0</v>
      </c>
      <c r="E130" s="24"/>
      <c r="F130" s="25"/>
      <c r="G130" s="101">
        <v>418500.0</v>
      </c>
      <c r="H130" s="27">
        <v>63700.0</v>
      </c>
      <c r="I130" s="27"/>
      <c r="J130" s="28"/>
      <c r="K130" s="29">
        <v>96900.0</v>
      </c>
      <c r="L130" s="30">
        <v>91400.0</v>
      </c>
      <c r="M130" s="49"/>
      <c r="N130" s="32"/>
      <c r="O130" s="33"/>
      <c r="P130" s="40"/>
      <c r="Q130" s="35"/>
      <c r="R130" s="33"/>
      <c r="S130" s="33"/>
      <c r="T130" s="35"/>
      <c r="U130" s="35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hidden="1">
      <c r="A131" s="358" t="s">
        <v>27</v>
      </c>
      <c r="B131" s="100">
        <v>45417.0</v>
      </c>
      <c r="C131" s="110"/>
      <c r="D131" s="110"/>
      <c r="E131" s="110"/>
      <c r="F131" s="110"/>
      <c r="G131" s="110"/>
      <c r="H131" s="110"/>
      <c r="I131" s="110"/>
      <c r="J131" s="108"/>
      <c r="K131" s="108"/>
      <c r="L131" s="110"/>
      <c r="M131" s="108"/>
      <c r="N131" s="32"/>
      <c r="O131" s="33"/>
      <c r="P131" s="40"/>
      <c r="Q131" s="35"/>
      <c r="R131" s="33"/>
      <c r="S131" s="33"/>
      <c r="T131" s="35"/>
      <c r="U131" s="35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hidden="1">
      <c r="A132" s="357" t="s">
        <v>21</v>
      </c>
      <c r="B132" s="100">
        <v>45418.0</v>
      </c>
      <c r="C132" s="22">
        <v>669730.0</v>
      </c>
      <c r="D132" s="23">
        <v>514550.0</v>
      </c>
      <c r="E132" s="24"/>
      <c r="F132" s="25"/>
      <c r="G132" s="101">
        <v>252100.0</v>
      </c>
      <c r="H132" s="27">
        <v>116726.0</v>
      </c>
      <c r="I132" s="27"/>
      <c r="J132" s="28"/>
      <c r="K132" s="29">
        <v>141350.0</v>
      </c>
      <c r="L132" s="30">
        <v>152380.0</v>
      </c>
      <c r="M132" s="49"/>
      <c r="N132" s="39"/>
      <c r="O132" s="33"/>
      <c r="P132" s="40"/>
      <c r="Q132" s="35"/>
      <c r="R132" s="33"/>
      <c r="S132" s="33"/>
      <c r="T132" s="35"/>
      <c r="U132" s="35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hidden="1">
      <c r="A133" s="357" t="s">
        <v>22</v>
      </c>
      <c r="B133" s="100">
        <v>45419.0</v>
      </c>
      <c r="C133" s="22">
        <v>608585.0</v>
      </c>
      <c r="D133" s="23">
        <v>535095.0</v>
      </c>
      <c r="E133" s="24"/>
      <c r="F133" s="25"/>
      <c r="G133" s="101">
        <v>183400.0</v>
      </c>
      <c r="H133" s="27">
        <v>128302.0</v>
      </c>
      <c r="I133" s="27"/>
      <c r="J133" s="28"/>
      <c r="K133" s="29">
        <v>213295.0</v>
      </c>
      <c r="L133" s="30">
        <v>78090.0</v>
      </c>
      <c r="M133" s="49"/>
      <c r="N133" s="32"/>
      <c r="O133" s="33"/>
      <c r="P133" s="40"/>
      <c r="Q133" s="35"/>
      <c r="R133" s="33"/>
      <c r="S133" s="33"/>
      <c r="T133" s="35"/>
      <c r="U133" s="35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hidden="1">
      <c r="A134" s="357" t="s">
        <v>23</v>
      </c>
      <c r="B134" s="100">
        <v>45420.0</v>
      </c>
      <c r="C134" s="22">
        <f>1637571-C133</f>
        <v>1028986</v>
      </c>
      <c r="D134" s="23">
        <f>887666-D133</f>
        <v>352571</v>
      </c>
      <c r="E134" s="24"/>
      <c r="F134" s="25"/>
      <c r="G134" s="101">
        <f>409900-G133</f>
        <v>226500</v>
      </c>
      <c r="H134" s="28">
        <f>290807-H133</f>
        <v>162505</v>
      </c>
      <c r="I134" s="28"/>
      <c r="J134" s="28"/>
      <c r="K134" s="29">
        <f>464835-K133</f>
        <v>251540</v>
      </c>
      <c r="L134" s="30">
        <f>225710-L133</f>
        <v>147620</v>
      </c>
      <c r="M134" s="31"/>
      <c r="N134" s="32"/>
      <c r="O134" s="33"/>
      <c r="P134" s="40"/>
      <c r="Q134" s="35"/>
      <c r="R134" s="33"/>
      <c r="S134" s="33"/>
      <c r="T134" s="35"/>
      <c r="U134" s="35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hidden="1">
      <c r="A135" s="357" t="s">
        <v>24</v>
      </c>
      <c r="B135" s="100">
        <v>45421.0</v>
      </c>
      <c r="C135" s="22">
        <v>720321.0</v>
      </c>
      <c r="D135" s="23">
        <v>557690.0</v>
      </c>
      <c r="E135" s="24"/>
      <c r="F135" s="25"/>
      <c r="G135" s="101">
        <v>324000.0</v>
      </c>
      <c r="H135" s="27" t="s">
        <v>38</v>
      </c>
      <c r="I135" s="27"/>
      <c r="J135" s="28"/>
      <c r="K135" s="29">
        <v>192890.0</v>
      </c>
      <c r="L135" s="30">
        <v>152631.0</v>
      </c>
      <c r="M135" s="31"/>
      <c r="N135" s="32"/>
      <c r="O135" s="33"/>
      <c r="P135" s="40"/>
      <c r="Q135" s="35"/>
      <c r="R135" s="33"/>
      <c r="S135" s="33"/>
      <c r="T135" s="35"/>
      <c r="U135" s="35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hidden="1">
      <c r="A136" s="357" t="s">
        <v>25</v>
      </c>
      <c r="B136" s="100">
        <v>45422.0</v>
      </c>
      <c r="C136" s="22">
        <v>1002400.0</v>
      </c>
      <c r="D136" s="23">
        <v>879540.0</v>
      </c>
      <c r="E136" s="24"/>
      <c r="F136" s="25"/>
      <c r="G136" s="101">
        <v>418700.0</v>
      </c>
      <c r="H136" s="27">
        <v>236005.0</v>
      </c>
      <c r="I136" s="27"/>
      <c r="J136" s="28"/>
      <c r="K136" s="29">
        <v>274340.0</v>
      </c>
      <c r="L136" s="30">
        <v>127460.0</v>
      </c>
      <c r="M136" s="31"/>
      <c r="N136" s="32"/>
      <c r="O136" s="33"/>
      <c r="P136" s="40"/>
      <c r="Q136" s="35"/>
      <c r="R136" s="33"/>
      <c r="S136" s="33"/>
      <c r="T136" s="35"/>
      <c r="U136" s="35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hidden="1">
      <c r="A137" s="357" t="s">
        <v>26</v>
      </c>
      <c r="B137" s="100">
        <v>45423.0</v>
      </c>
      <c r="C137" s="22">
        <v>850790.0</v>
      </c>
      <c r="D137" s="23">
        <v>709880.0</v>
      </c>
      <c r="E137" s="24"/>
      <c r="F137" s="25">
        <v>12000.0</v>
      </c>
      <c r="G137" s="101">
        <v>496280.0</v>
      </c>
      <c r="H137" s="27">
        <v>81200.0</v>
      </c>
      <c r="I137" s="27"/>
      <c r="J137" s="28"/>
      <c r="K137" s="29">
        <v>131700.0</v>
      </c>
      <c r="L137" s="30">
        <v>171910.0</v>
      </c>
      <c r="M137" s="49"/>
      <c r="N137" s="39"/>
      <c r="O137" s="33"/>
      <c r="P137" s="40"/>
      <c r="Q137" s="35"/>
      <c r="R137" s="33"/>
      <c r="S137" s="33"/>
      <c r="T137" s="35"/>
      <c r="U137" s="35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hidden="1">
      <c r="A138" s="358" t="s">
        <v>27</v>
      </c>
      <c r="B138" s="100">
        <v>45424.0</v>
      </c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08"/>
      <c r="N138" s="32"/>
      <c r="O138" s="33"/>
      <c r="P138" s="40"/>
      <c r="Q138" s="35"/>
      <c r="R138" s="33"/>
      <c r="S138" s="33"/>
      <c r="T138" s="35"/>
      <c r="U138" s="35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hidden="1">
      <c r="A139" s="357" t="s">
        <v>21</v>
      </c>
      <c r="B139" s="100">
        <v>45425.0</v>
      </c>
      <c r="C139" s="22">
        <v>663740.0</v>
      </c>
      <c r="D139" s="23">
        <v>433010.0</v>
      </c>
      <c r="E139" s="24"/>
      <c r="F139" s="25">
        <v>12000.0</v>
      </c>
      <c r="G139" s="101">
        <v>127900.0</v>
      </c>
      <c r="H139" s="27">
        <v>105791.0</v>
      </c>
      <c r="I139" s="27"/>
      <c r="J139" s="28"/>
      <c r="K139" s="29">
        <v>211750.0</v>
      </c>
      <c r="L139" s="30">
        <v>234630.0</v>
      </c>
      <c r="M139" s="49"/>
      <c r="N139" s="39"/>
      <c r="O139" s="33"/>
      <c r="P139" s="40"/>
      <c r="Q139" s="35"/>
      <c r="R139" s="33"/>
      <c r="S139" s="33"/>
      <c r="T139" s="35"/>
      <c r="U139" s="35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hidden="1">
      <c r="A140" s="357" t="s">
        <v>22</v>
      </c>
      <c r="B140" s="100">
        <v>45426.0</v>
      </c>
      <c r="C140" s="22">
        <v>658080.0</v>
      </c>
      <c r="D140" s="23">
        <v>492420.0</v>
      </c>
      <c r="E140" s="24"/>
      <c r="F140" s="25"/>
      <c r="G140" s="101">
        <f>218400+13700</f>
        <v>232100</v>
      </c>
      <c r="H140" s="27">
        <v>69800.0</v>
      </c>
      <c r="I140" s="27"/>
      <c r="J140" s="28"/>
      <c r="K140" s="29">
        <v>146320.0</v>
      </c>
      <c r="L140" s="30">
        <v>165660.0</v>
      </c>
      <c r="M140" s="49"/>
      <c r="N140" s="32"/>
      <c r="O140" s="33"/>
      <c r="P140" s="40"/>
      <c r="Q140" s="35"/>
      <c r="R140" s="33"/>
      <c r="S140" s="33"/>
      <c r="T140" s="35"/>
      <c r="U140" s="35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hidden="1">
      <c r="A141" s="357" t="s">
        <v>23</v>
      </c>
      <c r="B141" s="100">
        <v>45427.0</v>
      </c>
      <c r="C141" s="22">
        <v>1177965.0</v>
      </c>
      <c r="D141" s="23">
        <v>1008510.0</v>
      </c>
      <c r="E141" s="24"/>
      <c r="F141" s="25"/>
      <c r="G141" s="101">
        <f>430170+28800</f>
        <v>458970</v>
      </c>
      <c r="H141" s="27">
        <v>309605.0</v>
      </c>
      <c r="I141" s="27"/>
      <c r="J141" s="28"/>
      <c r="K141" s="29">
        <v>224510.0</v>
      </c>
      <c r="L141" s="30">
        <v>149155.0</v>
      </c>
      <c r="M141" s="49"/>
      <c r="N141" s="32"/>
      <c r="O141" s="33"/>
      <c r="P141" s="40"/>
      <c r="Q141" s="35"/>
      <c r="R141" s="33"/>
      <c r="S141" s="33"/>
      <c r="T141" s="35"/>
      <c r="U141" s="35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hidden="1">
      <c r="A142" s="357" t="s">
        <v>24</v>
      </c>
      <c r="B142" s="100">
        <v>45428.0</v>
      </c>
      <c r="C142" s="22">
        <v>1141290.0</v>
      </c>
      <c r="D142" s="23">
        <v>1010150.0</v>
      </c>
      <c r="E142" s="24"/>
      <c r="F142" s="25"/>
      <c r="G142" s="101">
        <f>235100+213200</f>
        <v>448300</v>
      </c>
      <c r="H142" s="27">
        <v>267096.0</v>
      </c>
      <c r="I142" s="27"/>
      <c r="J142" s="28"/>
      <c r="K142" s="29">
        <v>198830.0</v>
      </c>
      <c r="L142" s="30">
        <v>135040.0</v>
      </c>
      <c r="M142" s="49"/>
      <c r="N142" s="32"/>
      <c r="O142" s="33"/>
      <c r="P142" s="40"/>
      <c r="Q142" s="35"/>
      <c r="R142" s="33"/>
      <c r="S142" s="33"/>
      <c r="T142" s="35"/>
      <c r="U142" s="35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hidden="1">
      <c r="A143" s="357" t="s">
        <v>25</v>
      </c>
      <c r="B143" s="100">
        <v>45429.0</v>
      </c>
      <c r="C143" s="22">
        <v>732470.0</v>
      </c>
      <c r="D143" s="23">
        <v>620190.0</v>
      </c>
      <c r="E143" s="24"/>
      <c r="F143" s="25"/>
      <c r="G143" s="101">
        <v>281200.0</v>
      </c>
      <c r="H143" s="27">
        <v>176292.0</v>
      </c>
      <c r="I143" s="27"/>
      <c r="J143" s="28"/>
      <c r="K143" s="29">
        <v>149790.0</v>
      </c>
      <c r="L143" s="30">
        <v>114280.0</v>
      </c>
      <c r="M143" s="49"/>
      <c r="N143" s="32"/>
      <c r="O143" s="33"/>
      <c r="P143" s="40"/>
      <c r="Q143" s="35"/>
      <c r="R143" s="33"/>
      <c r="S143" s="33"/>
      <c r="T143" s="35"/>
      <c r="U143" s="35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hidden="1">
      <c r="A144" s="357" t="s">
        <v>26</v>
      </c>
      <c r="B144" s="100">
        <v>45430.0</v>
      </c>
      <c r="C144" s="22">
        <v>836960.0</v>
      </c>
      <c r="D144" s="23">
        <v>660230.0</v>
      </c>
      <c r="E144" s="24"/>
      <c r="F144" s="25"/>
      <c r="G144" s="101">
        <v>408400.0</v>
      </c>
      <c r="H144" s="27">
        <v>109800.0</v>
      </c>
      <c r="I144" s="27"/>
      <c r="J144" s="28"/>
      <c r="K144" s="29">
        <v>140280.0</v>
      </c>
      <c r="L144" s="30">
        <v>176730.0</v>
      </c>
      <c r="M144" s="31"/>
      <c r="N144" s="32"/>
      <c r="O144" s="33"/>
      <c r="P144" s="40"/>
      <c r="Q144" s="35"/>
      <c r="R144" s="33"/>
      <c r="S144" s="33"/>
      <c r="T144" s="35"/>
      <c r="U144" s="35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hidden="1">
      <c r="A145" s="358" t="s">
        <v>27</v>
      </c>
      <c r="B145" s="100">
        <v>45431.0</v>
      </c>
      <c r="C145" s="110"/>
      <c r="D145" s="110"/>
      <c r="E145" s="110"/>
      <c r="F145" s="110"/>
      <c r="G145" s="110"/>
      <c r="H145" s="108"/>
      <c r="I145" s="108"/>
      <c r="J145" s="108"/>
      <c r="K145" s="108"/>
      <c r="L145" s="110"/>
      <c r="M145" s="108"/>
      <c r="N145" s="32"/>
      <c r="O145" s="33"/>
      <c r="P145" s="40"/>
      <c r="Q145" s="35"/>
      <c r="R145" s="33"/>
      <c r="S145" s="33"/>
      <c r="T145" s="35"/>
      <c r="U145" s="35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hidden="1">
      <c r="A146" s="357" t="s">
        <v>21</v>
      </c>
      <c r="B146" s="100">
        <v>45432.0</v>
      </c>
      <c r="C146" s="22">
        <v>822900.0</v>
      </c>
      <c r="D146" s="23">
        <v>665670.0</v>
      </c>
      <c r="E146" s="24"/>
      <c r="F146" s="25"/>
      <c r="G146" s="101">
        <v>326840.0</v>
      </c>
      <c r="H146" s="27">
        <v>112951.0</v>
      </c>
      <c r="I146" s="27"/>
      <c r="J146" s="28"/>
      <c r="K146" s="29">
        <v>231070.0</v>
      </c>
      <c r="L146" s="30">
        <v>157430.0</v>
      </c>
      <c r="M146" s="31"/>
      <c r="N146" s="39"/>
      <c r="O146" s="33"/>
      <c r="P146" s="40"/>
      <c r="Q146" s="35"/>
      <c r="R146" s="33"/>
      <c r="S146" s="33"/>
      <c r="T146" s="35"/>
      <c r="U146" s="35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hidden="1">
      <c r="A147" s="357" t="s">
        <v>22</v>
      </c>
      <c r="B147" s="100">
        <v>45433.0</v>
      </c>
      <c r="C147" s="22">
        <v>1068565.0</v>
      </c>
      <c r="D147" s="23">
        <v>881655.0</v>
      </c>
      <c r="E147" s="24"/>
      <c r="F147" s="25"/>
      <c r="G147" s="101">
        <f>64200+265050</f>
        <v>329250</v>
      </c>
      <c r="H147" s="27">
        <v>295276.0</v>
      </c>
      <c r="I147" s="27"/>
      <c r="J147" s="28"/>
      <c r="K147" s="29">
        <v>250800.0</v>
      </c>
      <c r="L147" s="30">
        <v>188755.0</v>
      </c>
      <c r="M147" s="31"/>
      <c r="N147" s="39"/>
      <c r="O147" s="33"/>
      <c r="P147" s="40"/>
      <c r="Q147" s="35"/>
      <c r="R147" s="33"/>
      <c r="S147" s="33"/>
      <c r="T147" s="35"/>
      <c r="U147" s="35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hidden="1">
      <c r="A148" s="357" t="s">
        <v>23</v>
      </c>
      <c r="B148" s="100">
        <v>45434.0</v>
      </c>
      <c r="C148" s="22">
        <v>837880.0</v>
      </c>
      <c r="D148" s="23">
        <v>640810.0</v>
      </c>
      <c r="E148" s="24"/>
      <c r="F148" s="25"/>
      <c r="G148" s="101">
        <f>262070+87240</f>
        <v>349310</v>
      </c>
      <c r="H148" s="27">
        <v>150430.0</v>
      </c>
      <c r="I148" s="27"/>
      <c r="J148" s="28"/>
      <c r="K148" s="29">
        <v>161520.0</v>
      </c>
      <c r="L148" s="30">
        <v>156770.0</v>
      </c>
      <c r="M148" s="31"/>
      <c r="N148" s="39"/>
      <c r="O148" s="33"/>
      <c r="P148" s="40"/>
      <c r="Q148" s="35"/>
      <c r="R148" s="33"/>
      <c r="S148" s="33"/>
      <c r="T148" s="35"/>
      <c r="U148" s="35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hidden="1">
      <c r="A149" s="357" t="s">
        <v>24</v>
      </c>
      <c r="B149" s="100">
        <v>45435.0</v>
      </c>
      <c r="C149" s="22">
        <v>1012870.0</v>
      </c>
      <c r="D149" s="23">
        <v>841160.0</v>
      </c>
      <c r="E149" s="24"/>
      <c r="F149" s="25"/>
      <c r="G149" s="101">
        <v>376270.0</v>
      </c>
      <c r="H149" s="27">
        <v>276021.0</v>
      </c>
      <c r="I149" s="27"/>
      <c r="J149" s="28"/>
      <c r="K149" s="29">
        <v>157160.0</v>
      </c>
      <c r="L149" s="30">
        <v>137410.0</v>
      </c>
      <c r="M149" s="49"/>
      <c r="N149" s="32"/>
      <c r="O149" s="33"/>
      <c r="P149" s="40"/>
      <c r="Q149" s="35"/>
      <c r="R149" s="33"/>
      <c r="S149" s="33"/>
      <c r="T149" s="35"/>
      <c r="U149" s="35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hidden="1">
      <c r="A150" s="357" t="s">
        <v>25</v>
      </c>
      <c r="B150" s="100">
        <v>45436.0</v>
      </c>
      <c r="C150" s="22">
        <v>946800.0</v>
      </c>
      <c r="D150" s="23">
        <v>736250.0</v>
      </c>
      <c r="E150" s="24"/>
      <c r="F150" s="25"/>
      <c r="G150" s="101">
        <v>348300.0</v>
      </c>
      <c r="H150" s="27">
        <v>174945.0</v>
      </c>
      <c r="I150" s="27"/>
      <c r="J150" s="28"/>
      <c r="K150" s="29">
        <v>240490.0</v>
      </c>
      <c r="L150" s="30">
        <v>153950.0</v>
      </c>
      <c r="M150" s="49"/>
      <c r="N150" s="32"/>
      <c r="O150" s="33"/>
      <c r="P150" s="40"/>
      <c r="Q150" s="35"/>
      <c r="R150" s="33"/>
      <c r="S150" s="33"/>
      <c r="T150" s="35"/>
      <c r="U150" s="35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hidden="1">
      <c r="A151" s="357" t="s">
        <v>26</v>
      </c>
      <c r="B151" s="100">
        <v>45437.0</v>
      </c>
      <c r="C151" s="22">
        <v>793010.0</v>
      </c>
      <c r="D151" s="23">
        <v>662690.0</v>
      </c>
      <c r="E151" s="24"/>
      <c r="F151" s="25"/>
      <c r="G151" s="101">
        <v>487300.0</v>
      </c>
      <c r="H151" s="27">
        <v>31295.0</v>
      </c>
      <c r="I151" s="27"/>
      <c r="J151" s="28"/>
      <c r="K151" s="29">
        <v>139950.0</v>
      </c>
      <c r="L151" s="30">
        <v>96630.0</v>
      </c>
      <c r="M151" s="31"/>
      <c r="N151" s="32"/>
      <c r="O151" s="33"/>
      <c r="P151" s="40"/>
      <c r="Q151" s="35"/>
      <c r="R151" s="33"/>
      <c r="S151" s="33"/>
      <c r="T151" s="35"/>
      <c r="U151" s="35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hidden="1">
      <c r="A152" s="358" t="s">
        <v>27</v>
      </c>
      <c r="B152" s="100">
        <v>45438.0</v>
      </c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6"/>
      <c r="N152" s="39"/>
      <c r="O152" s="33"/>
      <c r="P152" s="40"/>
      <c r="Q152" s="35"/>
      <c r="R152" s="33"/>
      <c r="S152" s="33"/>
      <c r="T152" s="35"/>
      <c r="U152" s="35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hidden="1">
      <c r="A153" s="357" t="s">
        <v>21</v>
      </c>
      <c r="B153" s="100">
        <v>45439.0</v>
      </c>
      <c r="C153" s="22">
        <v>712540.0</v>
      </c>
      <c r="D153" s="23">
        <v>573350.0</v>
      </c>
      <c r="E153" s="24"/>
      <c r="F153" s="25"/>
      <c r="G153" s="101">
        <v>224900.0</v>
      </c>
      <c r="H153" s="27">
        <v>179931.0</v>
      </c>
      <c r="I153" s="27"/>
      <c r="J153" s="28"/>
      <c r="K153" s="29">
        <v>149350.0</v>
      </c>
      <c r="L153" s="30">
        <v>153290.0</v>
      </c>
      <c r="M153" s="31"/>
      <c r="N153" s="39"/>
      <c r="O153" s="33"/>
      <c r="P153" s="40"/>
      <c r="Q153" s="35"/>
      <c r="R153" s="33"/>
      <c r="S153" s="33"/>
      <c r="T153" s="35"/>
      <c r="U153" s="35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hidden="1">
      <c r="A154" s="357" t="s">
        <v>22</v>
      </c>
      <c r="B154" s="100">
        <v>45440.0</v>
      </c>
      <c r="C154" s="22">
        <v>729445.0</v>
      </c>
      <c r="D154" s="23">
        <v>566990.0</v>
      </c>
      <c r="E154" s="24"/>
      <c r="F154" s="25"/>
      <c r="G154" s="101">
        <v>232100.0</v>
      </c>
      <c r="H154" s="27">
        <v>179800.0</v>
      </c>
      <c r="I154" s="27"/>
      <c r="J154" s="28"/>
      <c r="K154" s="29">
        <v>131870.0</v>
      </c>
      <c r="L154" s="30">
        <v>157855.0</v>
      </c>
      <c r="M154" s="31"/>
      <c r="N154" s="144"/>
      <c r="O154" s="33"/>
      <c r="P154" s="40"/>
      <c r="Q154" s="35"/>
      <c r="R154" s="33"/>
      <c r="S154" s="33"/>
      <c r="T154" s="35"/>
      <c r="U154" s="35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hidden="1">
      <c r="A155" s="357" t="s">
        <v>23</v>
      </c>
      <c r="B155" s="100">
        <v>45441.0</v>
      </c>
      <c r="C155" s="22">
        <v>979610.0</v>
      </c>
      <c r="D155" s="23">
        <v>741580.0</v>
      </c>
      <c r="E155" s="24"/>
      <c r="F155" s="25"/>
      <c r="G155" s="101">
        <v>367660.0</v>
      </c>
      <c r="H155" s="27">
        <v>266786.0</v>
      </c>
      <c r="I155" s="27"/>
      <c r="J155" s="28"/>
      <c r="K155" s="29">
        <v>208590.0</v>
      </c>
      <c r="L155" s="30">
        <v>185730.0</v>
      </c>
      <c r="M155" s="31"/>
      <c r="N155" s="39"/>
      <c r="O155" s="33"/>
      <c r="P155" s="40"/>
      <c r="Q155" s="35"/>
      <c r="R155" s="33"/>
      <c r="S155" s="33"/>
      <c r="T155" s="35"/>
      <c r="U155" s="35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hidden="1">
      <c r="A156" s="357" t="s">
        <v>24</v>
      </c>
      <c r="B156" s="100">
        <v>45442.0</v>
      </c>
      <c r="C156" s="22">
        <v>898150.0</v>
      </c>
      <c r="D156" s="23">
        <v>700000.0</v>
      </c>
      <c r="E156" s="24"/>
      <c r="F156" s="25"/>
      <c r="G156" s="101">
        <v>364600.0</v>
      </c>
      <c r="H156" s="27">
        <v>159501.0</v>
      </c>
      <c r="I156" s="27"/>
      <c r="J156" s="28"/>
      <c r="K156" s="29">
        <v>227080.0</v>
      </c>
      <c r="L156" s="30">
        <v>177340.0</v>
      </c>
      <c r="M156" s="31"/>
      <c r="N156" s="39"/>
      <c r="O156" s="33"/>
      <c r="P156" s="40"/>
      <c r="Q156" s="35"/>
      <c r="R156" s="33"/>
      <c r="S156" s="33"/>
      <c r="T156" s="35"/>
      <c r="U156" s="35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hidden="1">
      <c r="A157" s="357" t="s">
        <v>25</v>
      </c>
      <c r="B157" s="100">
        <v>45443.0</v>
      </c>
      <c r="C157" s="22">
        <v>923530.0</v>
      </c>
      <c r="D157" s="23">
        <v>762890.0</v>
      </c>
      <c r="E157" s="24"/>
      <c r="F157" s="25"/>
      <c r="G157" s="101">
        <v>383500.0</v>
      </c>
      <c r="H157" s="27">
        <v>197457.0</v>
      </c>
      <c r="I157" s="27"/>
      <c r="J157" s="28"/>
      <c r="K157" s="29">
        <v>184200.0</v>
      </c>
      <c r="L157" s="30">
        <v>166540.0</v>
      </c>
      <c r="M157" s="31"/>
      <c r="N157" s="39"/>
      <c r="O157" s="33"/>
      <c r="P157" s="40"/>
      <c r="Q157" s="35"/>
      <c r="R157" s="33"/>
      <c r="S157" s="33"/>
      <c r="T157" s="35"/>
      <c r="U157" s="35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hidden="1">
      <c r="A158" s="360" t="s">
        <v>28</v>
      </c>
      <c r="B158" s="135"/>
      <c r="C158" s="136">
        <f>SUM(C127:C157)</f>
        <v>22305927</v>
      </c>
      <c r="D158" s="136"/>
      <c r="E158" s="149"/>
      <c r="F158" s="149"/>
      <c r="G158" s="136"/>
      <c r="H158" s="136"/>
      <c r="I158" s="136"/>
      <c r="J158" s="136"/>
      <c r="K158" s="136"/>
      <c r="L158" s="136"/>
      <c r="M158" s="31"/>
      <c r="N158" s="39"/>
      <c r="O158" s="33"/>
      <c r="P158" s="40"/>
      <c r="Q158" s="35"/>
      <c r="R158" s="33"/>
      <c r="S158" s="33"/>
      <c r="T158" s="35"/>
      <c r="U158" s="35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hidden="1">
      <c r="A159" s="357" t="s">
        <v>26</v>
      </c>
      <c r="B159" s="100">
        <v>45444.0</v>
      </c>
      <c r="C159" s="22">
        <v>898150.0</v>
      </c>
      <c r="D159" s="23">
        <v>769400.0</v>
      </c>
      <c r="E159" s="24"/>
      <c r="F159" s="25"/>
      <c r="G159" s="35">
        <v>427320.0</v>
      </c>
      <c r="H159" s="27">
        <v>128075.0</v>
      </c>
      <c r="I159" s="27"/>
      <c r="J159" s="28"/>
      <c r="K159" s="29">
        <v>222970.0</v>
      </c>
      <c r="L159" s="30">
        <v>139850.0</v>
      </c>
      <c r="M159" s="31"/>
      <c r="N159" s="39"/>
      <c r="O159" s="33"/>
      <c r="P159" s="40"/>
      <c r="Q159" s="35"/>
      <c r="R159" s="33"/>
      <c r="S159" s="33"/>
      <c r="T159" s="35"/>
      <c r="U159" s="35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hidden="1">
      <c r="A160" s="361" t="s">
        <v>27</v>
      </c>
      <c r="B160" s="100">
        <v>45445.0</v>
      </c>
      <c r="C160" s="160"/>
      <c r="D160" s="160"/>
      <c r="E160" s="160"/>
      <c r="F160" s="160"/>
      <c r="G160" s="160"/>
      <c r="H160" s="160"/>
      <c r="I160" s="160"/>
      <c r="J160" s="28"/>
      <c r="K160" s="160"/>
      <c r="L160" s="160"/>
      <c r="M160" s="31"/>
      <c r="N160" s="32"/>
      <c r="O160" s="33"/>
      <c r="P160" s="40"/>
      <c r="Q160" s="35"/>
      <c r="R160" s="33"/>
      <c r="S160" s="33"/>
      <c r="T160" s="35"/>
      <c r="U160" s="35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hidden="1">
      <c r="A161" s="357" t="s">
        <v>21</v>
      </c>
      <c r="B161" s="100">
        <v>45446.0</v>
      </c>
      <c r="C161" s="22">
        <v>970585.0</v>
      </c>
      <c r="D161" s="23">
        <v>707925.0</v>
      </c>
      <c r="E161" s="24"/>
      <c r="F161" s="25"/>
      <c r="G161" s="35">
        <v>289800.0</v>
      </c>
      <c r="H161" s="27">
        <v>253181.0</v>
      </c>
      <c r="I161" s="27"/>
      <c r="J161" s="28"/>
      <c r="K161" s="29">
        <v>165750.0</v>
      </c>
      <c r="L161" s="30">
        <v>280485.0</v>
      </c>
      <c r="M161" s="49"/>
      <c r="N161" s="39"/>
      <c r="O161" s="33"/>
      <c r="P161" s="40"/>
      <c r="Q161" s="35"/>
      <c r="R161" s="33"/>
      <c r="S161" s="33"/>
      <c r="T161" s="35"/>
      <c r="U161" s="35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hidden="1">
      <c r="A162" s="357" t="s">
        <v>22</v>
      </c>
      <c r="B162" s="100">
        <v>45447.0</v>
      </c>
      <c r="C162" s="22">
        <v>890910.0</v>
      </c>
      <c r="D162" s="23">
        <v>689070.0</v>
      </c>
      <c r="E162" s="24"/>
      <c r="F162" s="25"/>
      <c r="G162" s="35">
        <f>341600+34900</f>
        <v>376500</v>
      </c>
      <c r="H162" s="27">
        <v>97900.0</v>
      </c>
      <c r="I162" s="27"/>
      <c r="J162" s="28"/>
      <c r="K162" s="29">
        <v>208420.0</v>
      </c>
      <c r="L162" s="30">
        <v>210040.0</v>
      </c>
      <c r="M162" s="31"/>
      <c r="N162" s="39"/>
      <c r="O162" s="33"/>
      <c r="P162" s="40"/>
      <c r="Q162" s="35"/>
      <c r="R162" s="33"/>
      <c r="S162" s="33"/>
      <c r="T162" s="35"/>
      <c r="U162" s="35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hidden="1">
      <c r="A163" s="357" t="s">
        <v>32</v>
      </c>
      <c r="B163" s="100">
        <v>45448.0</v>
      </c>
      <c r="C163" s="22">
        <v>1000410.0</v>
      </c>
      <c r="D163" s="101">
        <v>838740.0</v>
      </c>
      <c r="E163" s="24"/>
      <c r="F163" s="25"/>
      <c r="G163" s="35">
        <v>84400.0</v>
      </c>
      <c r="H163" s="27">
        <v>267700.0</v>
      </c>
      <c r="I163" s="27"/>
      <c r="J163" s="28"/>
      <c r="K163" s="29">
        <v>180340.0</v>
      </c>
      <c r="L163" s="30">
        <v>161670.0</v>
      </c>
      <c r="M163" s="31"/>
      <c r="N163" s="32"/>
      <c r="O163" s="33"/>
      <c r="P163" s="40"/>
      <c r="Q163" s="35"/>
      <c r="R163" s="33"/>
      <c r="S163" s="33"/>
      <c r="T163" s="35"/>
      <c r="U163" s="35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hidden="1">
      <c r="A164" s="357" t="s">
        <v>24</v>
      </c>
      <c r="B164" s="100">
        <v>45449.0</v>
      </c>
      <c r="C164" s="152">
        <v>1084535.0</v>
      </c>
      <c r="D164" s="153">
        <v>932820.0</v>
      </c>
      <c r="E164" s="154"/>
      <c r="F164" s="155"/>
      <c r="G164" s="156">
        <v>457600.0</v>
      </c>
      <c r="H164" s="157">
        <v>164635.0</v>
      </c>
      <c r="I164" s="157"/>
      <c r="J164" s="139"/>
      <c r="K164" s="158">
        <v>279020.0</v>
      </c>
      <c r="L164" s="30">
        <v>173015.0</v>
      </c>
      <c r="M164" s="31"/>
      <c r="N164" s="32"/>
      <c r="O164" s="33"/>
      <c r="P164" s="40"/>
      <c r="Q164" s="35"/>
      <c r="R164" s="33"/>
      <c r="S164" s="33"/>
      <c r="T164" s="35"/>
      <c r="U164" s="35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hidden="1">
      <c r="A165" s="357" t="s">
        <v>25</v>
      </c>
      <c r="B165" s="100">
        <v>45450.0</v>
      </c>
      <c r="C165" s="22">
        <v>867760.0</v>
      </c>
      <c r="D165" s="23">
        <v>772620.0</v>
      </c>
      <c r="E165" s="24"/>
      <c r="F165" s="25"/>
      <c r="G165" s="35">
        <v>273630.0</v>
      </c>
      <c r="H165" s="27">
        <v>200300.0</v>
      </c>
      <c r="I165" s="27"/>
      <c r="J165" s="28"/>
      <c r="K165" s="29">
        <v>295550.0</v>
      </c>
      <c r="L165" s="30">
        <v>104640.0</v>
      </c>
      <c r="M165" s="49"/>
      <c r="N165" s="141"/>
      <c r="O165" s="33"/>
      <c r="P165" s="40"/>
      <c r="Q165" s="35"/>
      <c r="R165" s="33"/>
      <c r="S165" s="33"/>
      <c r="T165" s="35"/>
      <c r="U165" s="35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hidden="1">
      <c r="A166" s="357" t="s">
        <v>33</v>
      </c>
      <c r="B166" s="100">
        <v>45451.0</v>
      </c>
      <c r="C166" s="22">
        <v>799370.0</v>
      </c>
      <c r="D166" s="23">
        <v>485400.0</v>
      </c>
      <c r="E166" s="24"/>
      <c r="F166" s="25"/>
      <c r="G166" s="35">
        <v>493230.0</v>
      </c>
      <c r="H166" s="27">
        <v>67950.0</v>
      </c>
      <c r="I166" s="27"/>
      <c r="J166" s="28"/>
      <c r="K166" s="29">
        <v>257235.0</v>
      </c>
      <c r="L166" s="30">
        <v>140000.0</v>
      </c>
      <c r="M166" s="49"/>
      <c r="N166" s="32"/>
      <c r="O166" s="33"/>
      <c r="P166" s="40"/>
      <c r="Q166" s="35"/>
      <c r="R166" s="33"/>
      <c r="S166" s="33"/>
      <c r="T166" s="35"/>
      <c r="U166" s="35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hidden="1">
      <c r="A167" s="361" t="s">
        <v>27</v>
      </c>
      <c r="B167" s="100">
        <v>45452.0</v>
      </c>
      <c r="C167" s="160"/>
      <c r="D167" s="160"/>
      <c r="E167" s="160"/>
      <c r="F167" s="160"/>
      <c r="G167" s="160"/>
      <c r="H167" s="160"/>
      <c r="I167" s="160"/>
      <c r="J167" s="28"/>
      <c r="K167" s="160"/>
      <c r="L167" s="160"/>
      <c r="M167" s="49"/>
      <c r="N167" s="32"/>
      <c r="O167" s="33"/>
      <c r="P167" s="40"/>
      <c r="Q167" s="35"/>
      <c r="R167" s="33"/>
      <c r="S167" s="33"/>
      <c r="T167" s="35"/>
      <c r="U167" s="35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hidden="1">
      <c r="A168" s="357" t="s">
        <v>21</v>
      </c>
      <c r="B168" s="100">
        <v>45453.0</v>
      </c>
      <c r="C168" s="22">
        <v>693354.0</v>
      </c>
      <c r="D168" s="23">
        <v>485400.0</v>
      </c>
      <c r="E168" s="24"/>
      <c r="F168" s="25"/>
      <c r="G168" s="35">
        <v>480230.0</v>
      </c>
      <c r="H168" s="27">
        <v>162300.0</v>
      </c>
      <c r="I168" s="27"/>
      <c r="J168" s="28"/>
      <c r="K168" s="29">
        <v>99800.0</v>
      </c>
      <c r="L168" s="30"/>
      <c r="M168" s="49"/>
      <c r="N168" s="39"/>
      <c r="O168" s="33"/>
      <c r="P168" s="40"/>
      <c r="Q168" s="35"/>
      <c r="R168" s="33"/>
      <c r="S168" s="33"/>
      <c r="T168" s="35"/>
      <c r="U168" s="35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hidden="1">
      <c r="A169" s="357" t="s">
        <v>22</v>
      </c>
      <c r="B169" s="100">
        <v>45454.0</v>
      </c>
      <c r="C169" s="22">
        <v>1050700.0</v>
      </c>
      <c r="D169" s="23">
        <v>871850.0</v>
      </c>
      <c r="E169" s="24"/>
      <c r="F169" s="25"/>
      <c r="G169" s="35">
        <v>380100.0</v>
      </c>
      <c r="H169" s="27">
        <v>213901.0</v>
      </c>
      <c r="I169" s="27"/>
      <c r="J169" s="28"/>
      <c r="K169" s="29">
        <v>298040.0</v>
      </c>
      <c r="L169" s="30">
        <v>181410.0</v>
      </c>
      <c r="M169" s="49"/>
      <c r="N169" s="32"/>
      <c r="O169" s="33"/>
      <c r="P169" s="40"/>
      <c r="Q169" s="35"/>
      <c r="R169" s="33"/>
      <c r="S169" s="33"/>
      <c r="T169" s="35"/>
      <c r="U169" s="35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hidden="1">
      <c r="A170" s="357" t="s">
        <v>32</v>
      </c>
      <c r="B170" s="100">
        <v>45455.0</v>
      </c>
      <c r="C170" s="22">
        <v>1082900.0</v>
      </c>
      <c r="D170" s="101">
        <v>903670.0</v>
      </c>
      <c r="E170" s="24"/>
      <c r="F170" s="25"/>
      <c r="G170" s="35">
        <v>344700.0</v>
      </c>
      <c r="H170" s="27">
        <v>247185.0</v>
      </c>
      <c r="I170" s="27"/>
      <c r="J170" s="28"/>
      <c r="K170" s="29">
        <v>284610.0</v>
      </c>
      <c r="L170" s="30">
        <v>185500.0</v>
      </c>
      <c r="M170" s="49"/>
      <c r="N170" s="32"/>
      <c r="O170" s="33"/>
      <c r="P170" s="40"/>
      <c r="Q170" s="35"/>
      <c r="R170" s="33"/>
      <c r="S170" s="33"/>
      <c r="T170" s="35"/>
      <c r="U170" s="35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hidden="1">
      <c r="A171" s="357" t="s">
        <v>24</v>
      </c>
      <c r="B171" s="100">
        <v>45456.0</v>
      </c>
      <c r="C171" s="22">
        <v>1278970.0</v>
      </c>
      <c r="D171" s="23">
        <v>1097650.0</v>
      </c>
      <c r="E171" s="24"/>
      <c r="F171" s="25"/>
      <c r="G171" s="26">
        <v>587300.0</v>
      </c>
      <c r="H171" s="27">
        <v>165500.0</v>
      </c>
      <c r="I171" s="27"/>
      <c r="J171" s="28"/>
      <c r="K171" s="29">
        <v>428600.0</v>
      </c>
      <c r="L171" s="30">
        <v>148120.0</v>
      </c>
      <c r="M171" s="49"/>
      <c r="N171" s="39"/>
      <c r="O171" s="33"/>
      <c r="P171" s="40"/>
      <c r="Q171" s="35"/>
      <c r="R171" s="33"/>
      <c r="S171" s="33"/>
      <c r="T171" s="35"/>
      <c r="U171" s="35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hidden="1">
      <c r="A172" s="357" t="s">
        <v>25</v>
      </c>
      <c r="B172" s="100">
        <v>45457.0</v>
      </c>
      <c r="C172" s="22">
        <v>894330.0</v>
      </c>
      <c r="D172" s="23">
        <v>746930.0</v>
      </c>
      <c r="E172" s="24"/>
      <c r="F172" s="25"/>
      <c r="G172" s="35">
        <v>377700.0</v>
      </c>
      <c r="H172" s="27">
        <v>144000.0</v>
      </c>
      <c r="I172" s="27"/>
      <c r="J172" s="28"/>
      <c r="K172" s="29">
        <v>261310.0</v>
      </c>
      <c r="L172" s="30">
        <v>125400.0</v>
      </c>
      <c r="M172" s="49"/>
      <c r="N172" s="39"/>
      <c r="O172" s="33"/>
      <c r="P172" s="40"/>
      <c r="Q172" s="35"/>
      <c r="R172" s="33"/>
      <c r="S172" s="33"/>
      <c r="T172" s="35"/>
      <c r="U172" s="35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hidden="1">
      <c r="A173" s="357" t="s">
        <v>33</v>
      </c>
      <c r="B173" s="100">
        <v>45458.0</v>
      </c>
      <c r="C173" s="22">
        <v>895070.0</v>
      </c>
      <c r="D173" s="23">
        <v>738340.0</v>
      </c>
      <c r="E173" s="24"/>
      <c r="F173" s="25"/>
      <c r="G173" s="35">
        <f>386000+17200</f>
        <v>403200</v>
      </c>
      <c r="H173" s="27">
        <v>48600.0</v>
      </c>
      <c r="I173" s="27"/>
      <c r="J173" s="28"/>
      <c r="K173" s="29">
        <v>304750.0</v>
      </c>
      <c r="L173" s="30">
        <v>156730.0</v>
      </c>
      <c r="M173" s="31"/>
      <c r="N173" s="32"/>
      <c r="O173" s="33"/>
      <c r="P173" s="40"/>
      <c r="Q173" s="35"/>
      <c r="R173" s="33"/>
      <c r="S173" s="33"/>
      <c r="T173" s="35"/>
      <c r="U173" s="35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hidden="1">
      <c r="A174" s="362" t="s">
        <v>27</v>
      </c>
      <c r="B174" s="100">
        <v>45459.0</v>
      </c>
      <c r="C174" s="160"/>
      <c r="D174" s="160"/>
      <c r="E174" s="160"/>
      <c r="F174" s="160"/>
      <c r="G174" s="160"/>
      <c r="H174" s="160"/>
      <c r="I174" s="160"/>
      <c r="J174" s="28"/>
      <c r="K174" s="160"/>
      <c r="L174" s="160"/>
      <c r="M174" s="31"/>
      <c r="N174" s="32"/>
      <c r="O174" s="33"/>
      <c r="P174" s="40"/>
      <c r="Q174" s="35"/>
      <c r="R174" s="33"/>
      <c r="S174" s="33"/>
      <c r="T174" s="35"/>
      <c r="U174" s="35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hidden="1">
      <c r="A175" s="363" t="s">
        <v>21</v>
      </c>
      <c r="B175" s="100">
        <v>45460.0</v>
      </c>
      <c r="C175" s="22"/>
      <c r="D175" s="23"/>
      <c r="E175" s="24"/>
      <c r="F175" s="25"/>
      <c r="G175" s="35"/>
      <c r="H175" s="27"/>
      <c r="I175" s="27"/>
      <c r="J175" s="28"/>
      <c r="K175" s="29"/>
      <c r="L175" s="30"/>
      <c r="M175" s="49"/>
      <c r="N175" s="39"/>
      <c r="O175" s="33"/>
      <c r="P175" s="40"/>
      <c r="Q175" s="35"/>
      <c r="R175" s="33"/>
      <c r="S175" s="33"/>
      <c r="T175" s="35"/>
      <c r="U175" s="35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hidden="1">
      <c r="A176" s="363" t="s">
        <v>22</v>
      </c>
      <c r="B176" s="100">
        <v>45461.0</v>
      </c>
      <c r="C176" s="22">
        <v>623830.0</v>
      </c>
      <c r="D176" s="23">
        <v>558400.0</v>
      </c>
      <c r="E176" s="24"/>
      <c r="F176" s="25"/>
      <c r="G176" s="35">
        <v>184600.0</v>
      </c>
      <c r="H176" s="27">
        <v>158686.0</v>
      </c>
      <c r="I176" s="27"/>
      <c r="J176" s="28"/>
      <c r="K176" s="29">
        <v>137910.0</v>
      </c>
      <c r="L176" s="30">
        <v>81590.0</v>
      </c>
      <c r="M176" s="31"/>
      <c r="N176" s="39"/>
      <c r="O176" s="33"/>
      <c r="P176" s="40"/>
      <c r="Q176" s="35"/>
      <c r="R176" s="33"/>
      <c r="S176" s="33"/>
      <c r="T176" s="35"/>
      <c r="U176" s="35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hidden="1">
      <c r="A177" s="363" t="s">
        <v>32</v>
      </c>
      <c r="B177" s="100">
        <v>45462.0</v>
      </c>
      <c r="C177" s="22">
        <v>792220.0</v>
      </c>
      <c r="D177" s="23">
        <v>597770.0</v>
      </c>
      <c r="E177" s="24"/>
      <c r="F177" s="25"/>
      <c r="G177" s="35">
        <v>353920.0</v>
      </c>
      <c r="H177" s="27">
        <v>42100.0</v>
      </c>
      <c r="I177" s="27"/>
      <c r="J177" s="28"/>
      <c r="K177" s="29">
        <v>214350.0</v>
      </c>
      <c r="L177" s="30">
        <v>194450.0</v>
      </c>
      <c r="M177" s="31"/>
      <c r="N177" s="32"/>
      <c r="O177" s="33"/>
      <c r="P177" s="40"/>
      <c r="Q177" s="35"/>
      <c r="R177" s="33"/>
      <c r="S177" s="33"/>
      <c r="T177" s="35"/>
      <c r="U177" s="35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hidden="1">
      <c r="A178" s="363" t="s">
        <v>24</v>
      </c>
      <c r="B178" s="100">
        <v>45463.0</v>
      </c>
      <c r="C178" s="22">
        <v>923610.0</v>
      </c>
      <c r="D178" s="23">
        <v>788530.0</v>
      </c>
      <c r="E178" s="24"/>
      <c r="F178" s="25"/>
      <c r="G178" s="35">
        <v>516400.0</v>
      </c>
      <c r="H178" s="27">
        <v>95100.0</v>
      </c>
      <c r="I178" s="27"/>
      <c r="J178" s="28"/>
      <c r="K178" s="29">
        <v>152550.0</v>
      </c>
      <c r="L178" s="30">
        <v>135080.0</v>
      </c>
      <c r="M178" s="31"/>
      <c r="N178" s="39"/>
      <c r="O178" s="33"/>
      <c r="P178" s="40"/>
      <c r="Q178" s="35"/>
      <c r="R178" s="33"/>
      <c r="S178" s="33"/>
      <c r="T178" s="35"/>
      <c r="U178" s="35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hidden="1">
      <c r="A179" s="363" t="s">
        <v>25</v>
      </c>
      <c r="B179" s="100">
        <v>45464.0</v>
      </c>
      <c r="C179" s="22">
        <v>1002200.0</v>
      </c>
      <c r="D179" s="23">
        <v>876030.0</v>
      </c>
      <c r="E179" s="24">
        <v>7930.0</v>
      </c>
      <c r="F179" s="25">
        <v>900.0</v>
      </c>
      <c r="G179" s="35">
        <v>523100.0</v>
      </c>
      <c r="H179" s="27">
        <v>95035.0</v>
      </c>
      <c r="I179" s="27"/>
      <c r="J179" s="28"/>
      <c r="K179" s="29">
        <v>196460.0</v>
      </c>
      <c r="L179" s="30">
        <v>177260.0</v>
      </c>
      <c r="M179" s="31"/>
      <c r="N179" s="39"/>
      <c r="O179" s="33"/>
      <c r="P179" s="40"/>
      <c r="Q179" s="35"/>
      <c r="R179" s="33"/>
      <c r="S179" s="33"/>
      <c r="T179" s="35"/>
      <c r="U179" s="35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hidden="1">
      <c r="A180" s="363" t="s">
        <v>33</v>
      </c>
      <c r="B180" s="100">
        <v>45465.0</v>
      </c>
      <c r="C180" s="22">
        <v>789060.0</v>
      </c>
      <c r="D180" s="23">
        <v>66990.0</v>
      </c>
      <c r="E180" s="24">
        <v>3910.0</v>
      </c>
      <c r="F180" s="25">
        <v>900.0</v>
      </c>
      <c r="G180" s="35">
        <v>421520.0</v>
      </c>
      <c r="H180" s="27">
        <v>24320.0</v>
      </c>
      <c r="I180" s="27"/>
      <c r="J180" s="28"/>
      <c r="K180" s="29">
        <v>207300.0</v>
      </c>
      <c r="L180" s="30">
        <v>146470.0</v>
      </c>
      <c r="M180" s="31"/>
      <c r="N180" s="39"/>
      <c r="O180" s="33"/>
      <c r="P180" s="40"/>
      <c r="Q180" s="35"/>
      <c r="R180" s="33"/>
      <c r="S180" s="33"/>
      <c r="T180" s="35"/>
      <c r="U180" s="35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hidden="1">
      <c r="A181" s="362" t="s">
        <v>27</v>
      </c>
      <c r="B181" s="100">
        <v>45466.0</v>
      </c>
      <c r="C181" s="160"/>
      <c r="D181" s="160"/>
      <c r="E181" s="160"/>
      <c r="F181" s="160"/>
      <c r="G181" s="160"/>
      <c r="H181" s="160"/>
      <c r="I181" s="160"/>
      <c r="J181" s="28"/>
      <c r="K181" s="160"/>
      <c r="L181" s="160"/>
      <c r="M181" s="31"/>
      <c r="N181" s="39"/>
      <c r="O181" s="33"/>
      <c r="P181" s="40"/>
      <c r="Q181" s="35"/>
      <c r="R181" s="33"/>
      <c r="S181" s="33"/>
      <c r="T181" s="35"/>
      <c r="U181" s="35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hidden="1">
      <c r="A182" s="363" t="s">
        <v>21</v>
      </c>
      <c r="B182" s="100">
        <v>45467.0</v>
      </c>
      <c r="C182" s="22">
        <v>763940.0</v>
      </c>
      <c r="D182" s="23">
        <v>552490.0</v>
      </c>
      <c r="E182" s="24"/>
      <c r="F182" s="25"/>
      <c r="G182" s="35">
        <v>284700.0</v>
      </c>
      <c r="H182" s="27">
        <v>92771.0</v>
      </c>
      <c r="I182" s="27"/>
      <c r="J182" s="28"/>
      <c r="K182" s="29">
        <v>185300.0</v>
      </c>
      <c r="L182" s="30">
        <v>222650.0</v>
      </c>
      <c r="M182" s="49"/>
      <c r="N182" s="39"/>
      <c r="O182" s="33"/>
      <c r="P182" s="40"/>
      <c r="Q182" s="35"/>
      <c r="R182" s="33"/>
      <c r="S182" s="33"/>
      <c r="T182" s="35"/>
      <c r="U182" s="35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hidden="1">
      <c r="A183" s="363" t="s">
        <v>22</v>
      </c>
      <c r="B183" s="100">
        <v>45468.0</v>
      </c>
      <c r="C183" s="22">
        <v>963550.0</v>
      </c>
      <c r="D183" s="23">
        <v>795560.0</v>
      </c>
      <c r="E183" s="24"/>
      <c r="F183" s="25"/>
      <c r="G183" s="35">
        <v>296700.0</v>
      </c>
      <c r="H183" s="27"/>
      <c r="I183" s="27"/>
      <c r="J183" s="28"/>
      <c r="K183" s="29">
        <v>245100.0</v>
      </c>
      <c r="L183" s="30">
        <v>167990.0</v>
      </c>
      <c r="M183" s="31"/>
      <c r="N183" s="39"/>
      <c r="O183" s="33"/>
      <c r="P183" s="40"/>
      <c r="Q183" s="35"/>
      <c r="R183" s="33"/>
      <c r="S183" s="33"/>
      <c r="T183" s="35"/>
      <c r="U183" s="35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hidden="1">
      <c r="A184" s="363" t="s">
        <v>32</v>
      </c>
      <c r="B184" s="100">
        <v>45469.0</v>
      </c>
      <c r="C184" s="22">
        <v>1247870.0</v>
      </c>
      <c r="D184" s="23">
        <v>1011680.0</v>
      </c>
      <c r="E184" s="24"/>
      <c r="F184" s="25"/>
      <c r="G184" s="35">
        <v>407900.0</v>
      </c>
      <c r="H184" s="27">
        <v>251585.0</v>
      </c>
      <c r="I184" s="27"/>
      <c r="J184" s="28"/>
      <c r="K184" s="29">
        <v>343450.0</v>
      </c>
      <c r="L184" s="30">
        <v>231920.0</v>
      </c>
      <c r="M184" s="31"/>
      <c r="N184" s="39"/>
      <c r="O184" s="33"/>
      <c r="P184" s="40"/>
      <c r="Q184" s="35"/>
      <c r="R184" s="33"/>
      <c r="S184" s="33"/>
      <c r="T184" s="35"/>
      <c r="U184" s="35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hidden="1">
      <c r="A185" s="363" t="s">
        <v>24</v>
      </c>
      <c r="B185" s="100">
        <v>45470.0</v>
      </c>
      <c r="C185" s="22">
        <v>1149210.0</v>
      </c>
      <c r="D185" s="23">
        <v>961460.0</v>
      </c>
      <c r="E185" s="24"/>
      <c r="F185" s="25"/>
      <c r="G185" s="35">
        <v>484260.0</v>
      </c>
      <c r="H185" s="27">
        <v>126800.0</v>
      </c>
      <c r="I185" s="27"/>
      <c r="J185" s="28"/>
      <c r="K185" s="29">
        <v>312900.0</v>
      </c>
      <c r="L185" s="30">
        <v>196250.0</v>
      </c>
      <c r="M185" s="31"/>
      <c r="N185" s="39"/>
      <c r="O185" s="33"/>
      <c r="P185" s="40"/>
      <c r="Q185" s="35"/>
      <c r="R185" s="33"/>
      <c r="S185" s="33"/>
      <c r="T185" s="35"/>
      <c r="U185" s="35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hidden="1">
      <c r="A186" s="363" t="s">
        <v>25</v>
      </c>
      <c r="B186" s="100">
        <v>45471.0</v>
      </c>
      <c r="C186" s="22">
        <v>1076190.0</v>
      </c>
      <c r="D186" s="23">
        <v>905900.0</v>
      </c>
      <c r="E186" s="24"/>
      <c r="F186" s="25"/>
      <c r="G186" s="35">
        <v>431100.0</v>
      </c>
      <c r="H186" s="27">
        <v>172486.0</v>
      </c>
      <c r="I186" s="27"/>
      <c r="J186" s="28"/>
      <c r="K186" s="29">
        <v>304780.0</v>
      </c>
      <c r="L186" s="30">
        <v>190010.0</v>
      </c>
      <c r="M186" s="49"/>
      <c r="N186" s="32"/>
      <c r="O186" s="33"/>
      <c r="P186" s="40"/>
      <c r="Q186" s="35"/>
      <c r="R186" s="33"/>
      <c r="S186" s="33"/>
      <c r="T186" s="35"/>
      <c r="U186" s="35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hidden="1">
      <c r="A187" s="363" t="s">
        <v>33</v>
      </c>
      <c r="B187" s="100">
        <v>45472.0</v>
      </c>
      <c r="C187" s="22">
        <v>1184130.0</v>
      </c>
      <c r="D187" s="118">
        <v>962970.0</v>
      </c>
      <c r="E187" s="119"/>
      <c r="F187" s="120"/>
      <c r="G187" s="163">
        <v>616750.0</v>
      </c>
      <c r="H187" s="122">
        <v>91600.0</v>
      </c>
      <c r="I187" s="122"/>
      <c r="J187" s="123"/>
      <c r="K187" s="164">
        <v>251920.0</v>
      </c>
      <c r="L187" s="30">
        <v>231260.0</v>
      </c>
      <c r="M187" s="31"/>
      <c r="N187" s="39"/>
      <c r="O187" s="33"/>
      <c r="P187" s="40"/>
      <c r="Q187" s="35"/>
      <c r="R187" s="33"/>
      <c r="S187" s="33"/>
      <c r="T187" s="35"/>
      <c r="U187" s="35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hidden="1">
      <c r="A188" s="362" t="s">
        <v>27</v>
      </c>
      <c r="B188" s="100">
        <v>45473.0</v>
      </c>
      <c r="C188" s="160"/>
      <c r="D188" s="160"/>
      <c r="E188" s="160"/>
      <c r="F188" s="160"/>
      <c r="G188" s="160"/>
      <c r="H188" s="160"/>
      <c r="I188" s="160"/>
      <c r="J188" s="28"/>
      <c r="K188" s="160"/>
      <c r="L188" s="160"/>
      <c r="M188" s="31"/>
      <c r="N188" s="39"/>
      <c r="O188" s="33"/>
      <c r="P188" s="40"/>
      <c r="Q188" s="35"/>
      <c r="R188" s="33"/>
      <c r="S188" s="33"/>
      <c r="T188" s="35"/>
      <c r="U188" s="35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hidden="1">
      <c r="A189" s="165" t="s">
        <v>28</v>
      </c>
      <c r="B189" s="129"/>
      <c r="C189" s="73">
        <f t="shared" ref="C189:D189" si="1">SUM(C159:C188)</f>
        <v>22922854</v>
      </c>
      <c r="D189" s="73">
        <f t="shared" si="1"/>
        <v>18117595</v>
      </c>
      <c r="E189" s="73"/>
      <c r="F189" s="73"/>
      <c r="G189" s="73">
        <f t="shared" ref="G189:H189" si="2">SUM(G159:G188)</f>
        <v>9496660</v>
      </c>
      <c r="H189" s="73">
        <f t="shared" si="2"/>
        <v>3311710</v>
      </c>
      <c r="I189" s="73"/>
      <c r="J189" s="73"/>
      <c r="K189" s="73">
        <f t="shared" ref="K189:L189" si="3">SUM(K159:K188)</f>
        <v>5838415</v>
      </c>
      <c r="L189" s="73">
        <f t="shared" si="3"/>
        <v>3981790</v>
      </c>
      <c r="M189" s="74"/>
      <c r="N189" s="39"/>
      <c r="O189" s="33"/>
      <c r="P189" s="40"/>
      <c r="Q189" s="35"/>
      <c r="R189" s="33"/>
      <c r="S189" s="33"/>
      <c r="T189" s="35"/>
      <c r="U189" s="35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hidden="1">
      <c r="A190" s="99" t="s">
        <v>21</v>
      </c>
      <c r="B190" s="100">
        <v>45474.0</v>
      </c>
      <c r="C190" s="22">
        <v>671330.0</v>
      </c>
      <c r="D190" s="23">
        <v>514930.0</v>
      </c>
      <c r="E190" s="24"/>
      <c r="F190" s="25"/>
      <c r="G190" s="35">
        <v>178200.0</v>
      </c>
      <c r="H190" s="27">
        <v>76100.0</v>
      </c>
      <c r="I190" s="27"/>
      <c r="J190" s="28"/>
      <c r="K190" s="29">
        <v>238300.0</v>
      </c>
      <c r="L190" s="30">
        <v>177400.0</v>
      </c>
      <c r="M190" s="31"/>
      <c r="N190" s="32"/>
      <c r="O190" s="33"/>
      <c r="P190" s="40"/>
      <c r="Q190" s="35"/>
      <c r="R190" s="33"/>
      <c r="S190" s="33"/>
      <c r="T190" s="35"/>
      <c r="U190" s="35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hidden="1">
      <c r="A191" s="99" t="s">
        <v>22</v>
      </c>
      <c r="B191" s="100">
        <v>45475.0</v>
      </c>
      <c r="C191" s="22">
        <v>996075.0</v>
      </c>
      <c r="D191" s="23">
        <v>794705.0</v>
      </c>
      <c r="E191" s="24"/>
      <c r="F191" s="25"/>
      <c r="G191" s="35">
        <v>391900.0</v>
      </c>
      <c r="H191" s="27">
        <v>128676.0</v>
      </c>
      <c r="I191" s="27"/>
      <c r="J191" s="28"/>
      <c r="K191" s="29">
        <v>255665.0</v>
      </c>
      <c r="L191" s="30">
        <v>201370.0</v>
      </c>
      <c r="M191" s="31"/>
      <c r="N191" s="39"/>
      <c r="O191" s="33"/>
      <c r="P191" s="40"/>
      <c r="Q191" s="35"/>
      <c r="R191" s="33"/>
      <c r="S191" s="33"/>
      <c r="T191" s="35"/>
      <c r="U191" s="35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hidden="1">
      <c r="A192" s="99" t="s">
        <v>32</v>
      </c>
      <c r="B192" s="100">
        <v>45476.0</v>
      </c>
      <c r="C192" s="22">
        <v>1014730.0</v>
      </c>
      <c r="D192" s="23">
        <v>885770.0</v>
      </c>
      <c r="E192" s="24"/>
      <c r="F192" s="25"/>
      <c r="G192" s="35">
        <v>448750.0</v>
      </c>
      <c r="H192" s="27">
        <v>126800.0</v>
      </c>
      <c r="I192" s="27"/>
      <c r="J192" s="28"/>
      <c r="K192" s="29">
        <v>285820.0</v>
      </c>
      <c r="L192" s="30">
        <v>133060.0</v>
      </c>
      <c r="M192" s="31"/>
      <c r="N192" s="39"/>
      <c r="O192" s="33"/>
      <c r="P192" s="40"/>
      <c r="Q192" s="35"/>
      <c r="R192" s="33"/>
      <c r="S192" s="33"/>
      <c r="T192" s="35"/>
      <c r="U192" s="35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hidden="1">
      <c r="A193" s="99" t="s">
        <v>24</v>
      </c>
      <c r="B193" s="100">
        <v>45477.0</v>
      </c>
      <c r="C193" s="22">
        <v>1144134.0</v>
      </c>
      <c r="D193" s="23">
        <v>1007140.0</v>
      </c>
      <c r="E193" s="24"/>
      <c r="F193" s="25"/>
      <c r="G193" s="35">
        <v>390800.0</v>
      </c>
      <c r="H193" s="27">
        <v>335391.0</v>
      </c>
      <c r="I193" s="27"/>
      <c r="J193" s="28"/>
      <c r="K193" s="29">
        <v>232680.0</v>
      </c>
      <c r="L193" s="30">
        <v>152294.0</v>
      </c>
      <c r="M193" s="31"/>
      <c r="N193" s="32"/>
      <c r="O193" s="33"/>
      <c r="P193" s="40"/>
      <c r="Q193" s="35"/>
      <c r="R193" s="33"/>
      <c r="S193" s="33"/>
      <c r="T193" s="35"/>
      <c r="U193" s="35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hidden="1">
      <c r="A194" s="99" t="s">
        <v>25</v>
      </c>
      <c r="B194" s="100">
        <v>45478.0</v>
      </c>
      <c r="C194" s="22">
        <v>1227300.0</v>
      </c>
      <c r="D194" s="23">
        <v>1016380.0</v>
      </c>
      <c r="E194" s="24"/>
      <c r="F194" s="25"/>
      <c r="G194" s="35">
        <v>524700.0</v>
      </c>
      <c r="H194" s="27">
        <v>218138.0</v>
      </c>
      <c r="I194" s="27"/>
      <c r="J194" s="28"/>
      <c r="K194" s="29">
        <v>241820.0</v>
      </c>
      <c r="L194" s="30">
        <v>229170.0</v>
      </c>
      <c r="M194" s="31"/>
      <c r="N194" s="32"/>
      <c r="O194" s="33"/>
      <c r="P194" s="40"/>
      <c r="Q194" s="35"/>
      <c r="R194" s="33"/>
      <c r="S194" s="33"/>
      <c r="T194" s="35"/>
      <c r="U194" s="35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hidden="1">
      <c r="A195" s="99" t="s">
        <v>33</v>
      </c>
      <c r="B195" s="100">
        <v>45479.0</v>
      </c>
      <c r="C195" s="22">
        <v>1112950.0</v>
      </c>
      <c r="D195" s="23">
        <v>867240.0</v>
      </c>
      <c r="E195" s="24"/>
      <c r="F195" s="25"/>
      <c r="G195" s="35">
        <v>458600.0</v>
      </c>
      <c r="H195" s="27">
        <v>100390.0</v>
      </c>
      <c r="I195" s="27"/>
      <c r="J195" s="28"/>
      <c r="K195" s="29">
        <v>284330.0</v>
      </c>
      <c r="L195" s="30">
        <v>275990.0</v>
      </c>
      <c r="M195" s="31"/>
      <c r="N195" s="39"/>
      <c r="O195" s="33"/>
      <c r="P195" s="40"/>
      <c r="Q195" s="35"/>
      <c r="R195" s="33"/>
      <c r="S195" s="33"/>
      <c r="T195" s="35"/>
      <c r="U195" s="35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hidden="1">
      <c r="A196" s="150" t="s">
        <v>27</v>
      </c>
      <c r="B196" s="100">
        <v>45480.0</v>
      </c>
      <c r="C196" s="160"/>
      <c r="D196" s="160"/>
      <c r="E196" s="160"/>
      <c r="F196" s="160"/>
      <c r="G196" s="160"/>
      <c r="H196" s="160"/>
      <c r="I196" s="160"/>
      <c r="J196" s="28"/>
      <c r="K196" s="160"/>
      <c r="L196" s="160"/>
      <c r="M196" s="31"/>
      <c r="N196" s="39"/>
      <c r="O196" s="33"/>
      <c r="P196" s="40"/>
      <c r="Q196" s="35"/>
      <c r="R196" s="33"/>
      <c r="S196" s="33"/>
      <c r="T196" s="35"/>
      <c r="U196" s="35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hidden="1">
      <c r="A197" s="99" t="s">
        <v>21</v>
      </c>
      <c r="B197" s="100">
        <v>45481.0</v>
      </c>
      <c r="C197" s="22">
        <v>1086740.0</v>
      </c>
      <c r="D197" s="23">
        <v>889479.0</v>
      </c>
      <c r="E197" s="24"/>
      <c r="F197" s="25"/>
      <c r="G197" s="35">
        <v>345800.0</v>
      </c>
      <c r="H197" s="27">
        <v>289361.0</v>
      </c>
      <c r="I197" s="27"/>
      <c r="J197" s="28"/>
      <c r="K197" s="29">
        <v>291500.0</v>
      </c>
      <c r="L197" s="30">
        <v>184360.0</v>
      </c>
      <c r="M197" s="31"/>
      <c r="N197" s="39"/>
      <c r="O197" s="33"/>
      <c r="P197" s="40"/>
      <c r="Q197" s="35"/>
      <c r="R197" s="33"/>
      <c r="S197" s="33"/>
      <c r="T197" s="35"/>
      <c r="U197" s="35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hidden="1">
      <c r="A198" s="99" t="s">
        <v>22</v>
      </c>
      <c r="B198" s="100">
        <v>45482.0</v>
      </c>
      <c r="C198" s="22">
        <v>684250.0</v>
      </c>
      <c r="D198" s="23">
        <v>505600.0</v>
      </c>
      <c r="E198" s="24"/>
      <c r="F198" s="25"/>
      <c r="G198" s="35">
        <f>160700+161400</f>
        <v>322100</v>
      </c>
      <c r="H198" s="27">
        <v>58300.0</v>
      </c>
      <c r="I198" s="27"/>
      <c r="J198" s="28"/>
      <c r="K198" s="29">
        <v>204300.0</v>
      </c>
      <c r="L198" s="30">
        <v>100350.0</v>
      </c>
      <c r="M198" s="31"/>
      <c r="N198" s="32"/>
      <c r="O198" s="33"/>
      <c r="P198" s="40"/>
      <c r="Q198" s="35"/>
      <c r="R198" s="33"/>
      <c r="S198" s="33"/>
      <c r="T198" s="35"/>
      <c r="U198" s="35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hidden="1">
      <c r="A199" s="99" t="s">
        <v>32</v>
      </c>
      <c r="B199" s="100">
        <v>45483.0</v>
      </c>
      <c r="C199" s="22">
        <v>984710.0</v>
      </c>
      <c r="D199" s="23">
        <v>734420.0</v>
      </c>
      <c r="E199" s="24"/>
      <c r="F199" s="25"/>
      <c r="G199" s="35">
        <v>299200.0</v>
      </c>
      <c r="H199" s="27">
        <v>156728.0</v>
      </c>
      <c r="I199" s="27"/>
      <c r="J199" s="28"/>
      <c r="K199" s="29">
        <v>268590.0</v>
      </c>
      <c r="L199" s="30">
        <v>249750.0</v>
      </c>
      <c r="M199" s="31"/>
      <c r="N199" s="39"/>
      <c r="O199" s="33"/>
      <c r="P199" s="40"/>
      <c r="Q199" s="35"/>
      <c r="R199" s="33"/>
      <c r="S199" s="33"/>
      <c r="T199" s="35"/>
      <c r="U199" s="35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hidden="1">
      <c r="A200" s="99" t="s">
        <v>24</v>
      </c>
      <c r="B200" s="100">
        <v>45484.0</v>
      </c>
      <c r="C200" s="22">
        <v>1163540.0</v>
      </c>
      <c r="D200" s="23">
        <v>974540.0</v>
      </c>
      <c r="E200" s="24"/>
      <c r="F200" s="25"/>
      <c r="G200" s="35">
        <v>486900.0</v>
      </c>
      <c r="H200" s="27">
        <v>140050.0</v>
      </c>
      <c r="I200" s="27"/>
      <c r="J200" s="28"/>
      <c r="K200" s="29">
        <v>294390.0</v>
      </c>
      <c r="L200" s="30"/>
      <c r="M200" s="31"/>
      <c r="N200" s="32"/>
      <c r="O200" s="33"/>
      <c r="P200" s="40"/>
      <c r="Q200" s="35"/>
      <c r="R200" s="33"/>
      <c r="S200" s="33"/>
      <c r="T200" s="35"/>
      <c r="U200" s="35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hidden="1">
      <c r="A201" s="99" t="s">
        <v>25</v>
      </c>
      <c r="B201" s="100">
        <v>45485.0</v>
      </c>
      <c r="C201" s="22">
        <v>1175220.0</v>
      </c>
      <c r="D201" s="23">
        <v>1072690.0</v>
      </c>
      <c r="E201" s="24"/>
      <c r="F201" s="25"/>
      <c r="G201" s="35">
        <v>540200.0</v>
      </c>
      <c r="H201" s="27">
        <v>205600.0</v>
      </c>
      <c r="I201" s="27"/>
      <c r="J201" s="28"/>
      <c r="K201" s="29">
        <v>256140.0</v>
      </c>
      <c r="L201" s="30">
        <v>105930.0</v>
      </c>
      <c r="M201" s="31"/>
      <c r="N201" s="39"/>
      <c r="O201" s="33"/>
      <c r="P201" s="40"/>
      <c r="Q201" s="35"/>
      <c r="R201" s="33"/>
      <c r="S201" s="33"/>
      <c r="T201" s="35"/>
      <c r="U201" s="35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hidden="1">
      <c r="A202" s="99" t="s">
        <v>33</v>
      </c>
      <c r="B202" s="100">
        <v>45486.0</v>
      </c>
      <c r="C202" s="22">
        <v>866780.0</v>
      </c>
      <c r="D202" s="23">
        <v>592100.0</v>
      </c>
      <c r="E202" s="24"/>
      <c r="F202" s="25"/>
      <c r="G202" s="35">
        <v>438200.0</v>
      </c>
      <c r="H202" s="27">
        <v>32100.0</v>
      </c>
      <c r="I202" s="27"/>
      <c r="J202" s="28"/>
      <c r="K202" s="29">
        <v>149030.0</v>
      </c>
      <c r="L202" s="30">
        <v>262250.0</v>
      </c>
      <c r="M202" s="31"/>
      <c r="N202" s="39"/>
      <c r="O202" s="33"/>
      <c r="P202" s="40"/>
      <c r="Q202" s="35"/>
      <c r="R202" s="33"/>
      <c r="S202" s="33"/>
      <c r="T202" s="35"/>
      <c r="U202" s="35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hidden="1">
      <c r="A203" s="150" t="s">
        <v>27</v>
      </c>
      <c r="B203" s="100">
        <v>45487.0</v>
      </c>
      <c r="C203" s="160"/>
      <c r="D203" s="160"/>
      <c r="E203" s="160"/>
      <c r="F203" s="160"/>
      <c r="G203" s="160"/>
      <c r="H203" s="160"/>
      <c r="I203" s="160"/>
      <c r="J203" s="28"/>
      <c r="K203" s="160"/>
      <c r="L203" s="160"/>
      <c r="M203" s="31"/>
      <c r="N203" s="39"/>
      <c r="O203" s="33"/>
      <c r="P203" s="40"/>
      <c r="Q203" s="35"/>
      <c r="R203" s="33"/>
      <c r="S203" s="33"/>
      <c r="T203" s="35"/>
      <c r="U203" s="35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hidden="1">
      <c r="A204" s="99" t="s">
        <v>21</v>
      </c>
      <c r="B204" s="100">
        <v>45488.0</v>
      </c>
      <c r="C204" s="22">
        <v>809260.0</v>
      </c>
      <c r="D204" s="23">
        <v>561250.0</v>
      </c>
      <c r="E204" s="24"/>
      <c r="F204" s="25"/>
      <c r="G204" s="35">
        <v>231100.0</v>
      </c>
      <c r="H204" s="27">
        <v>145361.0</v>
      </c>
      <c r="I204" s="27"/>
      <c r="J204" s="28"/>
      <c r="K204" s="29">
        <v>260450.0</v>
      </c>
      <c r="L204" s="30">
        <v>177270.0</v>
      </c>
      <c r="M204" s="31"/>
      <c r="N204" s="39"/>
      <c r="O204" s="33"/>
      <c r="P204" s="40"/>
      <c r="Q204" s="35"/>
      <c r="R204" s="33"/>
      <c r="S204" s="33"/>
      <c r="T204" s="35"/>
      <c r="U204" s="35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hidden="1">
      <c r="A205" s="99" t="s">
        <v>22</v>
      </c>
      <c r="B205" s="100">
        <v>45489.0</v>
      </c>
      <c r="C205" s="22">
        <v>853940.0</v>
      </c>
      <c r="D205" s="23">
        <v>611420.0</v>
      </c>
      <c r="E205" s="24"/>
      <c r="F205" s="25"/>
      <c r="G205" s="35">
        <v>197650.0</v>
      </c>
      <c r="H205" s="27">
        <v>137981.0</v>
      </c>
      <c r="I205" s="27"/>
      <c r="J205" s="28"/>
      <c r="K205" s="29">
        <v>341780.0</v>
      </c>
      <c r="L205" s="30">
        <v>162720.0</v>
      </c>
      <c r="M205" s="31"/>
      <c r="N205" s="32"/>
      <c r="O205" s="33"/>
      <c r="P205" s="40"/>
      <c r="Q205" s="35"/>
      <c r="R205" s="33"/>
      <c r="S205" s="33"/>
      <c r="T205" s="35"/>
      <c r="U205" s="35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hidden="1">
      <c r="A206" s="99" t="s">
        <v>32</v>
      </c>
      <c r="B206" s="100">
        <v>45490.0</v>
      </c>
      <c r="C206" s="22">
        <v>1254500.0</v>
      </c>
      <c r="D206" s="23">
        <v>926120.0</v>
      </c>
      <c r="E206" s="24"/>
      <c r="F206" s="25"/>
      <c r="G206" s="35">
        <v>398600.0</v>
      </c>
      <c r="H206" s="27">
        <v>288070.0</v>
      </c>
      <c r="I206" s="27"/>
      <c r="J206" s="28"/>
      <c r="K206" s="29">
        <v>298200.0</v>
      </c>
      <c r="L206" s="30">
        <v>255070.0</v>
      </c>
      <c r="M206" s="31"/>
      <c r="N206" s="39"/>
      <c r="O206" s="33"/>
      <c r="P206" s="40"/>
      <c r="Q206" s="35"/>
      <c r="R206" s="33"/>
      <c r="S206" s="33"/>
      <c r="T206" s="35"/>
      <c r="U206" s="35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hidden="1">
      <c r="A207" s="99" t="s">
        <v>24</v>
      </c>
      <c r="B207" s="100">
        <v>45491.0</v>
      </c>
      <c r="C207" s="22">
        <v>1479200.0</v>
      </c>
      <c r="D207" s="23">
        <v>875090.0</v>
      </c>
      <c r="E207" s="24"/>
      <c r="F207" s="25"/>
      <c r="G207" s="35">
        <v>482600.0</v>
      </c>
      <c r="H207" s="27">
        <v>202500.0</v>
      </c>
      <c r="I207" s="27"/>
      <c r="J207" s="28"/>
      <c r="K207" s="29">
        <v>502870.0</v>
      </c>
      <c r="L207" s="30">
        <v>316340.0</v>
      </c>
      <c r="M207" s="31"/>
      <c r="N207" s="39"/>
      <c r="O207" s="33"/>
      <c r="P207" s="40"/>
      <c r="Q207" s="35"/>
      <c r="R207" s="33"/>
      <c r="S207" s="33"/>
      <c r="T207" s="35"/>
      <c r="U207" s="35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hidden="1">
      <c r="A208" s="99" t="s">
        <v>25</v>
      </c>
      <c r="B208" s="100">
        <v>45492.0</v>
      </c>
      <c r="C208" s="22">
        <v>1152930.0</v>
      </c>
      <c r="D208" s="23">
        <v>794135.0</v>
      </c>
      <c r="E208" s="24"/>
      <c r="F208" s="25"/>
      <c r="G208" s="35">
        <v>486900.0</v>
      </c>
      <c r="H208" s="27">
        <v>93900.0</v>
      </c>
      <c r="I208" s="27"/>
      <c r="J208" s="28"/>
      <c r="K208" s="29">
        <v>369325.0</v>
      </c>
      <c r="L208" s="30">
        <v>191175.0</v>
      </c>
      <c r="M208" s="49"/>
      <c r="N208" s="39"/>
      <c r="O208" s="33"/>
      <c r="P208" s="40"/>
      <c r="Q208" s="35"/>
      <c r="R208" s="33"/>
      <c r="S208" s="33"/>
      <c r="T208" s="35"/>
      <c r="U208" s="35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hidden="1">
      <c r="A209" s="99" t="s">
        <v>33</v>
      </c>
      <c r="B209" s="100">
        <v>45493.0</v>
      </c>
      <c r="C209" s="22">
        <v>967480.0</v>
      </c>
      <c r="D209" s="23">
        <v>668150.0</v>
      </c>
      <c r="E209" s="24"/>
      <c r="F209" s="25"/>
      <c r="G209" s="35">
        <v>477400.0</v>
      </c>
      <c r="H209" s="27">
        <v>78100.0</v>
      </c>
      <c r="I209" s="27"/>
      <c r="J209" s="28"/>
      <c r="K209" s="29">
        <v>247710.0</v>
      </c>
      <c r="L209" s="30">
        <v>147280.0</v>
      </c>
      <c r="M209" s="31"/>
      <c r="N209" s="39"/>
      <c r="O209" s="33"/>
      <c r="P209" s="40"/>
      <c r="Q209" s="35"/>
      <c r="R209" s="33"/>
      <c r="S209" s="33"/>
      <c r="T209" s="35"/>
      <c r="U209" s="35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hidden="1">
      <c r="A210" s="150" t="s">
        <v>27</v>
      </c>
      <c r="B210" s="100">
        <v>45494.0</v>
      </c>
      <c r="C210" s="160"/>
      <c r="D210" s="160"/>
      <c r="E210" s="160"/>
      <c r="F210" s="160"/>
      <c r="G210" s="160"/>
      <c r="H210" s="160"/>
      <c r="I210" s="160"/>
      <c r="J210" s="28"/>
      <c r="K210" s="160"/>
      <c r="L210" s="160"/>
      <c r="M210" s="31"/>
      <c r="N210" s="39"/>
      <c r="O210" s="33"/>
      <c r="P210" s="40"/>
      <c r="Q210" s="35"/>
      <c r="R210" s="33"/>
      <c r="S210" s="33"/>
      <c r="T210" s="35"/>
      <c r="U210" s="35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hidden="1">
      <c r="A211" s="99" t="s">
        <v>21</v>
      </c>
      <c r="B211" s="100">
        <v>45495.0</v>
      </c>
      <c r="C211" s="22">
        <v>771450.0</v>
      </c>
      <c r="D211" s="23">
        <v>512960.0</v>
      </c>
      <c r="E211" s="24"/>
      <c r="F211" s="25"/>
      <c r="G211" s="35">
        <v>334200.0</v>
      </c>
      <c r="H211" s="27">
        <v>64300.0</v>
      </c>
      <c r="I211" s="27"/>
      <c r="J211" s="28"/>
      <c r="K211" s="29">
        <v>191060.0</v>
      </c>
      <c r="L211" s="30">
        <v>180390.0</v>
      </c>
      <c r="M211" s="31"/>
      <c r="N211" s="39"/>
      <c r="O211" s="33"/>
      <c r="P211" s="40"/>
      <c r="Q211" s="35"/>
      <c r="R211" s="33"/>
      <c r="S211" s="33"/>
      <c r="T211" s="35"/>
      <c r="U211" s="35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hidden="1">
      <c r="A212" s="99" t="s">
        <v>22</v>
      </c>
      <c r="B212" s="100">
        <v>45496.0</v>
      </c>
      <c r="C212" s="22">
        <v>1184870.0</v>
      </c>
      <c r="D212" s="23">
        <v>922430.0</v>
      </c>
      <c r="E212" s="24"/>
      <c r="F212" s="25"/>
      <c r="G212" s="35">
        <v>556400.0</v>
      </c>
      <c r="H212" s="27">
        <v>154250.0</v>
      </c>
      <c r="I212" s="27"/>
      <c r="J212" s="28"/>
      <c r="K212" s="29">
        <v>150680.0</v>
      </c>
      <c r="L212" s="30">
        <v>226790.0</v>
      </c>
      <c r="M212" s="31"/>
      <c r="N212" s="39"/>
      <c r="O212" s="33"/>
      <c r="P212" s="40"/>
      <c r="Q212" s="35"/>
      <c r="R212" s="33"/>
      <c r="S212" s="33"/>
      <c r="T212" s="35"/>
      <c r="U212" s="35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hidden="1">
      <c r="A213" s="99" t="s">
        <v>32</v>
      </c>
      <c r="B213" s="100">
        <v>45497.0</v>
      </c>
      <c r="C213" s="22">
        <v>965830.0</v>
      </c>
      <c r="D213" s="23">
        <v>689170.0</v>
      </c>
      <c r="E213" s="24"/>
      <c r="F213" s="25"/>
      <c r="G213" s="35">
        <f>188000+270200</f>
        <v>458200</v>
      </c>
      <c r="H213" s="27">
        <v>91900.0</v>
      </c>
      <c r="I213" s="27"/>
      <c r="J213" s="28"/>
      <c r="K213" s="29">
        <v>195430.0</v>
      </c>
      <c r="L213" s="30">
        <v>219560.0</v>
      </c>
      <c r="M213" s="31"/>
      <c r="N213" s="39"/>
      <c r="O213" s="33"/>
      <c r="P213" s="40"/>
      <c r="Q213" s="35"/>
      <c r="R213" s="33"/>
      <c r="S213" s="33"/>
      <c r="T213" s="35"/>
      <c r="U213" s="35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hidden="1">
      <c r="A214" s="99" t="s">
        <v>24</v>
      </c>
      <c r="B214" s="100">
        <v>45498.0</v>
      </c>
      <c r="C214" s="22">
        <v>783870.0</v>
      </c>
      <c r="D214" s="23">
        <v>552800.0</v>
      </c>
      <c r="E214" s="24"/>
      <c r="F214" s="25"/>
      <c r="G214" s="35">
        <v>307200.0</v>
      </c>
      <c r="H214" s="27">
        <v>171700.0</v>
      </c>
      <c r="I214" s="27"/>
      <c r="J214" s="28"/>
      <c r="K214" s="29">
        <v>115150.0</v>
      </c>
      <c r="L214" s="30">
        <v>174520.0</v>
      </c>
      <c r="M214" s="31"/>
      <c r="N214" s="39"/>
      <c r="O214" s="33"/>
      <c r="P214" s="40"/>
      <c r="Q214" s="35"/>
      <c r="R214" s="33"/>
      <c r="S214" s="33"/>
      <c r="T214" s="35"/>
      <c r="U214" s="35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hidden="1">
      <c r="A215" s="99" t="s">
        <v>25</v>
      </c>
      <c r="B215" s="100">
        <v>45499.0</v>
      </c>
      <c r="C215" s="22">
        <v>1028790.0</v>
      </c>
      <c r="D215" s="23">
        <v>820370.0</v>
      </c>
      <c r="E215" s="24"/>
      <c r="F215" s="25"/>
      <c r="G215" s="35">
        <v>320700.0</v>
      </c>
      <c r="H215" s="27">
        <v>201000.0</v>
      </c>
      <c r="I215" s="27"/>
      <c r="J215" s="28"/>
      <c r="K215" s="29">
        <v>296440.0</v>
      </c>
      <c r="L215" s="30">
        <v>161230.0</v>
      </c>
      <c r="M215" s="31"/>
      <c r="N215" s="39"/>
      <c r="O215" s="33"/>
      <c r="P215" s="40"/>
      <c r="Q215" s="35"/>
      <c r="R215" s="33"/>
      <c r="S215" s="33"/>
      <c r="T215" s="35"/>
      <c r="U215" s="35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hidden="1">
      <c r="A216" s="99" t="s">
        <v>26</v>
      </c>
      <c r="B216" s="100">
        <v>45500.0</v>
      </c>
      <c r="C216" s="22">
        <v>952860.0</v>
      </c>
      <c r="D216" s="23">
        <v>709700.0</v>
      </c>
      <c r="E216" s="24"/>
      <c r="F216" s="25"/>
      <c r="G216" s="26">
        <f>45200+410300+40800</f>
        <v>496300</v>
      </c>
      <c r="H216" s="27">
        <v>81600.0</v>
      </c>
      <c r="I216" s="27"/>
      <c r="J216" s="28"/>
      <c r="K216" s="29">
        <v>176150.0</v>
      </c>
      <c r="L216" s="30">
        <v>194410.0</v>
      </c>
      <c r="M216" s="31"/>
      <c r="N216" s="39"/>
      <c r="O216" s="33"/>
      <c r="P216" s="40"/>
      <c r="Q216" s="35"/>
      <c r="R216" s="33"/>
      <c r="S216" s="33"/>
      <c r="T216" s="35"/>
      <c r="U216" s="35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hidden="1">
      <c r="A217" s="150" t="s">
        <v>27</v>
      </c>
      <c r="B217" s="100">
        <v>45501.0</v>
      </c>
      <c r="C217" s="167"/>
      <c r="D217" s="167"/>
      <c r="E217" s="167"/>
      <c r="F217" s="167"/>
      <c r="G217" s="167"/>
      <c r="H217" s="167"/>
      <c r="I217" s="167"/>
      <c r="J217" s="123"/>
      <c r="K217" s="167"/>
      <c r="L217" s="160"/>
      <c r="M217" s="31"/>
      <c r="N217" s="32"/>
      <c r="O217" s="33"/>
      <c r="P217" s="40"/>
      <c r="Q217" s="35"/>
      <c r="R217" s="33"/>
      <c r="S217" s="33"/>
      <c r="T217" s="35"/>
      <c r="U217" s="35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hidden="1">
      <c r="A218" s="99" t="s">
        <v>21</v>
      </c>
      <c r="B218" s="100">
        <v>45502.0</v>
      </c>
      <c r="C218" s="22">
        <v>1230610.0</v>
      </c>
      <c r="D218" s="101">
        <v>927790.0</v>
      </c>
      <c r="E218" s="168"/>
      <c r="F218" s="25"/>
      <c r="G218" s="35">
        <f>414300+8400</f>
        <v>422700</v>
      </c>
      <c r="H218" s="27">
        <v>360300.0</v>
      </c>
      <c r="I218" s="27"/>
      <c r="J218" s="28"/>
      <c r="K218" s="29">
        <v>203030.0</v>
      </c>
      <c r="L218" s="30">
        <v>244510.0</v>
      </c>
      <c r="M218" s="31"/>
      <c r="N218" s="39"/>
      <c r="O218" s="33"/>
      <c r="P218" s="40"/>
      <c r="Q218" s="35"/>
      <c r="R218" s="33"/>
      <c r="S218" s="33"/>
      <c r="T218" s="35"/>
      <c r="U218" s="35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hidden="1">
      <c r="A219" s="99" t="s">
        <v>22</v>
      </c>
      <c r="B219" s="100">
        <v>45503.0</v>
      </c>
      <c r="C219" s="22">
        <v>965230.0</v>
      </c>
      <c r="D219" s="101">
        <v>687840.0</v>
      </c>
      <c r="E219" s="168"/>
      <c r="F219" s="25"/>
      <c r="G219" s="35">
        <f>259300+7200</f>
        <v>266500</v>
      </c>
      <c r="H219" s="27">
        <v>215900.0</v>
      </c>
      <c r="I219" s="27"/>
      <c r="J219" s="28"/>
      <c r="K219" s="29">
        <v>312800.0</v>
      </c>
      <c r="L219" s="30">
        <v>194880.0</v>
      </c>
      <c r="M219" s="31"/>
      <c r="N219" s="39"/>
      <c r="O219" s="33"/>
      <c r="P219" s="40"/>
      <c r="Q219" s="35"/>
      <c r="R219" s="33"/>
      <c r="S219" s="33"/>
      <c r="T219" s="35"/>
      <c r="U219" s="35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hidden="1">
      <c r="A220" s="99" t="s">
        <v>23</v>
      </c>
      <c r="B220" s="100">
        <v>45504.0</v>
      </c>
      <c r="C220" s="22">
        <v>1131190.0</v>
      </c>
      <c r="D220" s="101">
        <v>857100.0</v>
      </c>
      <c r="E220" s="168"/>
      <c r="F220" s="25"/>
      <c r="G220" s="35">
        <v>491700.0</v>
      </c>
      <c r="H220" s="27" t="s">
        <v>595</v>
      </c>
      <c r="I220" s="27"/>
      <c r="J220" s="28"/>
      <c r="K220" s="29">
        <v>229670.0</v>
      </c>
      <c r="L220" s="30">
        <v>211490.0</v>
      </c>
      <c r="M220" s="31"/>
      <c r="N220" s="39"/>
      <c r="O220" s="33"/>
      <c r="P220" s="40"/>
      <c r="Q220" s="35"/>
      <c r="R220" s="33"/>
      <c r="S220" s="33"/>
      <c r="T220" s="35"/>
      <c r="U220" s="35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 hidden="1">
      <c r="A221" s="93" t="s">
        <v>28</v>
      </c>
      <c r="B221" s="170"/>
      <c r="C221" s="170">
        <f t="shared" ref="C221:D221" si="4">SUM(C190:C220)</f>
        <v>27659769</v>
      </c>
      <c r="D221" s="170">
        <f t="shared" si="4"/>
        <v>20971319</v>
      </c>
      <c r="E221" s="170"/>
      <c r="F221" s="170"/>
      <c r="G221" s="170"/>
      <c r="H221" s="170"/>
      <c r="I221" s="170"/>
      <c r="J221" s="123"/>
      <c r="K221" s="170"/>
      <c r="L221" s="170"/>
      <c r="M221" s="74"/>
      <c r="N221" s="32"/>
      <c r="O221" s="33"/>
      <c r="P221" s="40"/>
      <c r="Q221" s="35"/>
      <c r="R221" s="33"/>
      <c r="S221" s="33"/>
      <c r="T221" s="35"/>
      <c r="U221" s="35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</row>
    <row r="222" hidden="1">
      <c r="A222" s="99" t="s">
        <v>24</v>
      </c>
      <c r="B222" s="364">
        <v>45505.0</v>
      </c>
      <c r="C222" s="22">
        <v>1279740.0</v>
      </c>
      <c r="D222" s="23">
        <v>972230.0</v>
      </c>
      <c r="E222" s="24"/>
      <c r="F222" s="25"/>
      <c r="G222" s="35">
        <v>505300.0</v>
      </c>
      <c r="H222" s="171" t="s">
        <v>595</v>
      </c>
      <c r="I222" s="171"/>
      <c r="J222" s="28"/>
      <c r="K222" s="29">
        <v>312430.0</v>
      </c>
      <c r="L222" s="30">
        <v>250860.0</v>
      </c>
      <c r="M222" s="31"/>
      <c r="N222" s="39"/>
      <c r="O222" s="33"/>
      <c r="P222" s="40"/>
      <c r="Q222" s="35"/>
      <c r="R222" s="33"/>
      <c r="S222" s="33"/>
      <c r="T222" s="35"/>
      <c r="U222" s="35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</row>
    <row r="223" hidden="1">
      <c r="A223" s="99" t="s">
        <v>25</v>
      </c>
      <c r="B223" s="364">
        <v>45506.0</v>
      </c>
      <c r="C223" s="22">
        <v>953340.0</v>
      </c>
      <c r="D223" s="23">
        <v>587120.0</v>
      </c>
      <c r="E223" s="24"/>
      <c r="F223" s="25"/>
      <c r="G223" s="35">
        <v>243700.0</v>
      </c>
      <c r="H223" s="171" t="s">
        <v>595</v>
      </c>
      <c r="I223" s="171"/>
      <c r="J223" s="28"/>
      <c r="K223" s="29">
        <v>316870.0</v>
      </c>
      <c r="L223" s="30">
        <v>202970.0</v>
      </c>
      <c r="M223" s="31"/>
      <c r="N223" s="39"/>
      <c r="O223" s="33"/>
      <c r="P223" s="40"/>
      <c r="Q223" s="35"/>
      <c r="R223" s="33"/>
      <c r="S223" s="33"/>
      <c r="T223" s="35"/>
      <c r="U223" s="35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</row>
    <row r="224" hidden="1">
      <c r="A224" s="99" t="s">
        <v>26</v>
      </c>
      <c r="B224" s="364">
        <v>45507.0</v>
      </c>
      <c r="C224" s="22">
        <v>889913.0</v>
      </c>
      <c r="D224" s="23">
        <v>509910.0</v>
      </c>
      <c r="E224" s="24"/>
      <c r="F224" s="25"/>
      <c r="G224" s="35">
        <v>371100.0</v>
      </c>
      <c r="H224" s="171" t="s">
        <v>595</v>
      </c>
      <c r="I224" s="171"/>
      <c r="J224" s="28"/>
      <c r="K224" s="29">
        <v>228400.0</v>
      </c>
      <c r="L224" s="30">
        <v>281503.0</v>
      </c>
      <c r="M224" s="31"/>
      <c r="N224" s="39"/>
      <c r="O224" s="33"/>
      <c r="P224" s="40"/>
      <c r="Q224" s="35"/>
      <c r="R224" s="33"/>
      <c r="S224" s="33"/>
      <c r="T224" s="35"/>
      <c r="U224" s="35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</row>
    <row r="225" hidden="1">
      <c r="A225" s="150" t="s">
        <v>27</v>
      </c>
      <c r="B225" s="364">
        <v>45508.0</v>
      </c>
      <c r="C225" s="160"/>
      <c r="D225" s="160"/>
      <c r="E225" s="160"/>
      <c r="F225" s="160"/>
      <c r="G225" s="160"/>
      <c r="H225" s="176"/>
      <c r="I225" s="176"/>
      <c r="J225" s="28"/>
      <c r="K225" s="160"/>
      <c r="L225" s="160"/>
      <c r="M225" s="31"/>
      <c r="N225" s="39"/>
      <c r="O225" s="33"/>
      <c r="P225" s="40"/>
      <c r="Q225" s="35"/>
      <c r="R225" s="33"/>
      <c r="S225" s="33"/>
      <c r="T225" s="35"/>
      <c r="U225" s="35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</row>
    <row r="226" hidden="1">
      <c r="A226" s="99" t="s">
        <v>21</v>
      </c>
      <c r="B226" s="364">
        <v>45509.0</v>
      </c>
      <c r="C226" s="22">
        <v>932210.0</v>
      </c>
      <c r="D226" s="23">
        <v>546050.0</v>
      </c>
      <c r="E226" s="24"/>
      <c r="F226" s="25"/>
      <c r="G226" s="35">
        <v>309300.0</v>
      </c>
      <c r="H226" s="27"/>
      <c r="I226" s="27"/>
      <c r="J226" s="177"/>
      <c r="K226" s="178">
        <v>242640.0</v>
      </c>
      <c r="L226" s="30">
        <v>206106.0</v>
      </c>
      <c r="M226" s="31"/>
      <c r="N226" s="39"/>
      <c r="O226" s="33"/>
      <c r="P226" s="40"/>
      <c r="Q226" s="35"/>
      <c r="R226" s="33"/>
      <c r="S226" s="33"/>
      <c r="T226" s="35"/>
      <c r="U226" s="35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</row>
    <row r="227" hidden="1">
      <c r="A227" s="99" t="s">
        <v>22</v>
      </c>
      <c r="B227" s="364">
        <v>45510.0</v>
      </c>
      <c r="C227" s="22">
        <v>950530.0</v>
      </c>
      <c r="D227" s="23">
        <v>667530.0</v>
      </c>
      <c r="E227" s="24"/>
      <c r="F227" s="25"/>
      <c r="G227" s="35">
        <f>372400+7000</f>
        <v>379400</v>
      </c>
      <c r="H227" s="27">
        <v>91700.0</v>
      </c>
      <c r="I227" s="27"/>
      <c r="J227" s="177"/>
      <c r="K227" s="178">
        <v>198780.0</v>
      </c>
      <c r="L227" s="30">
        <v>257220.0</v>
      </c>
      <c r="M227" s="31"/>
      <c r="N227" s="39"/>
      <c r="O227" s="33"/>
      <c r="P227" s="40"/>
      <c r="Q227" s="35"/>
      <c r="R227" s="33"/>
      <c r="S227" s="33"/>
      <c r="T227" s="35"/>
      <c r="U227" s="35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</row>
    <row r="228" hidden="1">
      <c r="A228" s="99" t="s">
        <v>32</v>
      </c>
      <c r="B228" s="364">
        <v>45511.0</v>
      </c>
      <c r="C228" s="22">
        <v>1348805.0</v>
      </c>
      <c r="D228" s="23">
        <v>964840.0</v>
      </c>
      <c r="E228" s="24"/>
      <c r="F228" s="25"/>
      <c r="G228" s="35">
        <v>398800.0</v>
      </c>
      <c r="H228" s="27">
        <v>305322.0</v>
      </c>
      <c r="I228" s="27"/>
      <c r="J228" s="28"/>
      <c r="K228" s="29">
        <v>305880.0</v>
      </c>
      <c r="L228" s="30">
        <v>312105.0</v>
      </c>
      <c r="M228" s="31"/>
      <c r="N228" s="39"/>
      <c r="O228" s="33"/>
      <c r="P228" s="40"/>
      <c r="Q228" s="35"/>
      <c r="R228" s="33"/>
      <c r="S228" s="33"/>
      <c r="T228" s="35"/>
      <c r="U228" s="35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</row>
    <row r="229" hidden="1">
      <c r="A229" s="99" t="s">
        <v>24</v>
      </c>
      <c r="B229" s="364">
        <v>45512.0</v>
      </c>
      <c r="C229" s="22">
        <v>1384320.0</v>
      </c>
      <c r="D229" s="23">
        <v>1063030.0</v>
      </c>
      <c r="E229" s="24"/>
      <c r="F229" s="25"/>
      <c r="G229" s="35">
        <f>423750</f>
        <v>423750</v>
      </c>
      <c r="H229" s="27">
        <v>245500.0</v>
      </c>
      <c r="I229" s="27"/>
      <c r="J229" s="28">
        <v>240000.0</v>
      </c>
      <c r="K229" s="29">
        <v>288210.0</v>
      </c>
      <c r="L229" s="30">
        <v>180040.0</v>
      </c>
      <c r="M229" s="31"/>
      <c r="N229" s="39"/>
      <c r="O229" s="33"/>
      <c r="P229" s="40"/>
      <c r="Q229" s="35"/>
      <c r="R229" s="33"/>
      <c r="S229" s="33"/>
      <c r="T229" s="35"/>
      <c r="U229" s="35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</row>
    <row r="230" hidden="1">
      <c r="A230" s="99" t="s">
        <v>25</v>
      </c>
      <c r="B230" s="364">
        <v>45513.0</v>
      </c>
      <c r="C230" s="22">
        <v>1148085.0</v>
      </c>
      <c r="D230" s="23">
        <v>876035.0</v>
      </c>
      <c r="E230" s="24"/>
      <c r="F230" s="25"/>
      <c r="G230" s="35">
        <f>445670+3700</f>
        <v>449370</v>
      </c>
      <c r="H230" s="27">
        <v>154900.0</v>
      </c>
      <c r="I230" s="27"/>
      <c r="J230" s="28"/>
      <c r="K230" s="29">
        <v>299800.0</v>
      </c>
      <c r="L230" s="30">
        <v>200075.0</v>
      </c>
      <c r="M230" s="31"/>
      <c r="N230" s="39"/>
      <c r="O230" s="33"/>
      <c r="P230" s="40"/>
      <c r="Q230" s="35"/>
      <c r="R230" s="33"/>
      <c r="S230" s="33"/>
      <c r="T230" s="35"/>
      <c r="U230" s="35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</row>
    <row r="231" hidden="1">
      <c r="A231" s="99" t="s">
        <v>26</v>
      </c>
      <c r="B231" s="364">
        <v>45514.0</v>
      </c>
      <c r="C231" s="22">
        <v>1113550.0</v>
      </c>
      <c r="D231" s="23">
        <v>682460.0</v>
      </c>
      <c r="E231" s="24"/>
      <c r="F231" s="25"/>
      <c r="G231" s="35">
        <f>517300+14000</f>
        <v>531300</v>
      </c>
      <c r="H231" s="27">
        <v>68300.0</v>
      </c>
      <c r="I231" s="27"/>
      <c r="J231" s="28"/>
      <c r="K231" s="29">
        <v>141360.0</v>
      </c>
      <c r="L231" s="30">
        <v>355090.0</v>
      </c>
      <c r="M231" s="31"/>
      <c r="N231" s="39"/>
      <c r="O231" s="33"/>
      <c r="P231" s="40"/>
      <c r="Q231" s="35"/>
      <c r="R231" s="33"/>
      <c r="S231" s="33"/>
      <c r="T231" s="35"/>
      <c r="U231" s="35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</row>
    <row r="232" hidden="1">
      <c r="A232" s="150" t="s">
        <v>27</v>
      </c>
      <c r="B232" s="364">
        <v>45515.0</v>
      </c>
      <c r="C232" s="160"/>
      <c r="D232" s="160"/>
      <c r="E232" s="160"/>
      <c r="F232" s="160"/>
      <c r="G232" s="160"/>
      <c r="H232" s="160"/>
      <c r="I232" s="160"/>
      <c r="J232" s="28"/>
      <c r="K232" s="160"/>
      <c r="L232" s="160"/>
      <c r="M232" s="31"/>
      <c r="N232" s="39"/>
      <c r="O232" s="33"/>
      <c r="P232" s="40"/>
      <c r="Q232" s="35"/>
      <c r="R232" s="33"/>
      <c r="S232" s="33"/>
      <c r="T232" s="35"/>
      <c r="U232" s="35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</row>
    <row r="233" hidden="1">
      <c r="A233" s="99" t="s">
        <v>21</v>
      </c>
      <c r="B233" s="364">
        <v>45516.0</v>
      </c>
      <c r="C233" s="22">
        <v>982480.0</v>
      </c>
      <c r="D233" s="23">
        <v>646590.0</v>
      </c>
      <c r="E233" s="24"/>
      <c r="F233" s="25"/>
      <c r="G233" s="35">
        <f>3600+438150</f>
        <v>441750</v>
      </c>
      <c r="H233" s="27">
        <v>151900.0</v>
      </c>
      <c r="I233" s="27"/>
      <c r="J233" s="28"/>
      <c r="K233" s="29">
        <v>179270.0</v>
      </c>
      <c r="L233" s="30">
        <v>204720.0</v>
      </c>
      <c r="M233" s="31"/>
      <c r="N233" s="39"/>
      <c r="O233" s="33"/>
      <c r="P233" s="40"/>
      <c r="Q233" s="35"/>
      <c r="R233" s="33"/>
      <c r="S233" s="33"/>
      <c r="T233" s="35"/>
      <c r="U233" s="35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</row>
    <row r="234" hidden="1">
      <c r="A234" s="99" t="s">
        <v>22</v>
      </c>
      <c r="B234" s="364">
        <v>45517.0</v>
      </c>
      <c r="C234" s="22">
        <v>975760.0</v>
      </c>
      <c r="D234" s="23">
        <v>693390.0</v>
      </c>
      <c r="E234" s="24"/>
      <c r="F234" s="25"/>
      <c r="G234" s="35">
        <v>396200.0</v>
      </c>
      <c r="H234" s="27">
        <v>170557.0</v>
      </c>
      <c r="I234" s="27"/>
      <c r="J234" s="28"/>
      <c r="K234" s="29">
        <v>224250.0</v>
      </c>
      <c r="L234" s="30">
        <v>180210.0</v>
      </c>
      <c r="M234" s="31"/>
      <c r="N234" s="39"/>
      <c r="O234" s="33"/>
      <c r="P234" s="40"/>
      <c r="Q234" s="35"/>
      <c r="R234" s="33"/>
      <c r="S234" s="33"/>
      <c r="T234" s="35"/>
      <c r="U234" s="35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</row>
    <row r="235" hidden="1">
      <c r="A235" s="99" t="s">
        <v>32</v>
      </c>
      <c r="B235" s="364">
        <v>45518.0</v>
      </c>
      <c r="C235" s="22">
        <v>1040490.0</v>
      </c>
      <c r="D235" s="23">
        <v>741870.0</v>
      </c>
      <c r="E235" s="24"/>
      <c r="F235" s="25"/>
      <c r="G235" s="35">
        <v>319180.0</v>
      </c>
      <c r="H235" s="27">
        <v>289500.0</v>
      </c>
      <c r="I235" s="27"/>
      <c r="J235" s="28"/>
      <c r="K235" s="29">
        <v>252630.0</v>
      </c>
      <c r="L235" s="30">
        <v>162590.0</v>
      </c>
      <c r="M235" s="31"/>
      <c r="N235" s="39"/>
      <c r="O235" s="33"/>
      <c r="P235" s="40"/>
      <c r="Q235" s="35"/>
      <c r="R235" s="33"/>
      <c r="S235" s="33"/>
      <c r="T235" s="35"/>
      <c r="U235" s="35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</row>
    <row r="236" hidden="1">
      <c r="A236" s="99" t="s">
        <v>24</v>
      </c>
      <c r="B236" s="364">
        <v>45519.0</v>
      </c>
      <c r="C236" s="22">
        <v>1207740.0</v>
      </c>
      <c r="D236" s="23">
        <v>824060.0</v>
      </c>
      <c r="E236" s="24"/>
      <c r="F236" s="25"/>
      <c r="G236" s="35">
        <v>483060.0</v>
      </c>
      <c r="H236" s="27">
        <v>245800.0</v>
      </c>
      <c r="I236" s="27"/>
      <c r="J236" s="28"/>
      <c r="K236" s="29">
        <v>238310.0</v>
      </c>
      <c r="L236" s="30">
        <v>254170.0</v>
      </c>
      <c r="M236" s="31"/>
      <c r="N236" s="39"/>
      <c r="O236" s="33"/>
      <c r="P236" s="40"/>
      <c r="Q236" s="35"/>
      <c r="R236" s="33"/>
      <c r="S236" s="33"/>
      <c r="T236" s="35"/>
      <c r="U236" s="35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</row>
    <row r="237" hidden="1">
      <c r="A237" s="99" t="s">
        <v>25</v>
      </c>
      <c r="B237" s="364">
        <v>45520.0</v>
      </c>
      <c r="C237" s="22">
        <f>2238525-C236</f>
        <v>1030785</v>
      </c>
      <c r="D237" s="23">
        <v>556120.0</v>
      </c>
      <c r="E237" s="24"/>
      <c r="F237" s="25"/>
      <c r="G237" s="35">
        <v>318800.0</v>
      </c>
      <c r="H237" s="27">
        <v>85606.0</v>
      </c>
      <c r="I237" s="27"/>
      <c r="J237" s="28"/>
      <c r="K237" s="29">
        <f>465660-K236</f>
        <v>227350</v>
      </c>
      <c r="L237" s="30">
        <f>476315-L236</f>
        <v>222145</v>
      </c>
      <c r="M237" s="31"/>
      <c r="N237" s="39"/>
      <c r="O237" s="33"/>
      <c r="P237" s="40"/>
      <c r="Q237" s="35"/>
      <c r="R237" s="33"/>
      <c r="S237" s="33"/>
      <c r="T237" s="35"/>
      <c r="U237" s="35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</row>
    <row r="238" hidden="1">
      <c r="A238" s="99" t="s">
        <v>26</v>
      </c>
      <c r="B238" s="364">
        <v>45521.0</v>
      </c>
      <c r="C238" s="22">
        <v>1221510.0</v>
      </c>
      <c r="D238" s="23">
        <v>866370.0</v>
      </c>
      <c r="E238" s="24"/>
      <c r="F238" s="25"/>
      <c r="G238" s="35">
        <v>714800.0</v>
      </c>
      <c r="H238" s="27">
        <v>106000.0</v>
      </c>
      <c r="I238" s="27"/>
      <c r="J238" s="28"/>
      <c r="K238" s="29">
        <v>188990.0</v>
      </c>
      <c r="L238" s="30">
        <v>216750.0</v>
      </c>
      <c r="M238" s="31"/>
      <c r="N238" s="39"/>
      <c r="O238" s="33"/>
      <c r="P238" s="40"/>
      <c r="Q238" s="35"/>
      <c r="R238" s="33"/>
      <c r="S238" s="33"/>
      <c r="T238" s="35"/>
      <c r="U238" s="35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</row>
    <row r="239" hidden="1">
      <c r="A239" s="150" t="s">
        <v>27</v>
      </c>
      <c r="B239" s="364">
        <v>45522.0</v>
      </c>
      <c r="C239" s="160">
        <v>661380.0</v>
      </c>
      <c r="D239" s="160">
        <v>307850.0</v>
      </c>
      <c r="E239" s="160"/>
      <c r="F239" s="160"/>
      <c r="G239" s="160">
        <f>218950+9000</f>
        <v>227950</v>
      </c>
      <c r="H239" s="160">
        <v>79900.0</v>
      </c>
      <c r="I239" s="160"/>
      <c r="J239" s="28"/>
      <c r="K239" s="160">
        <v>193160.0</v>
      </c>
      <c r="L239" s="160">
        <v>160370.0</v>
      </c>
      <c r="M239" s="49"/>
      <c r="N239" s="39"/>
      <c r="O239" s="33"/>
      <c r="P239" s="40"/>
      <c r="Q239" s="35"/>
      <c r="R239" s="33"/>
      <c r="S239" s="33"/>
      <c r="T239" s="35"/>
      <c r="U239" s="35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</row>
    <row r="240" hidden="1">
      <c r="A240" s="99" t="s">
        <v>21</v>
      </c>
      <c r="B240" s="364">
        <v>45523.0</v>
      </c>
      <c r="C240" s="22">
        <v>1176440.0</v>
      </c>
      <c r="D240" s="23">
        <v>819440.0</v>
      </c>
      <c r="E240" s="24"/>
      <c r="F240" s="25"/>
      <c r="G240" s="35">
        <v>464100.0</v>
      </c>
      <c r="H240" s="27">
        <v>169775.0</v>
      </c>
      <c r="I240" s="27"/>
      <c r="J240" s="28"/>
      <c r="K240" s="29">
        <v>300000.0</v>
      </c>
      <c r="L240" s="30">
        <v>238450.0</v>
      </c>
      <c r="M240" s="49"/>
      <c r="N240" s="32"/>
      <c r="O240" s="33"/>
      <c r="P240" s="40"/>
      <c r="Q240" s="35"/>
      <c r="R240" s="33"/>
      <c r="S240" s="33"/>
      <c r="T240" s="35"/>
      <c r="U240" s="35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</row>
    <row r="241" hidden="1">
      <c r="A241" s="99" t="s">
        <v>22</v>
      </c>
      <c r="B241" s="364">
        <v>45524.0</v>
      </c>
      <c r="C241" s="22">
        <v>934160.0</v>
      </c>
      <c r="D241" s="23">
        <v>542150.0</v>
      </c>
      <c r="E241" s="24"/>
      <c r="F241" s="25"/>
      <c r="G241" s="35">
        <v>287550.0</v>
      </c>
      <c r="H241" s="27">
        <v>151900.0</v>
      </c>
      <c r="I241" s="27"/>
      <c r="J241" s="28"/>
      <c r="K241" s="29">
        <v>191570.0</v>
      </c>
      <c r="L241" s="30">
        <v>289640.0</v>
      </c>
      <c r="M241" s="49"/>
      <c r="N241" s="39"/>
      <c r="O241" s="33"/>
      <c r="P241" s="40"/>
      <c r="Q241" s="35"/>
      <c r="R241" s="33"/>
      <c r="S241" s="33"/>
      <c r="T241" s="35"/>
      <c r="U241" s="35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</row>
    <row r="242" hidden="1">
      <c r="A242" s="99" t="s">
        <v>32</v>
      </c>
      <c r="B242" s="364">
        <v>45525.0</v>
      </c>
      <c r="C242" s="22">
        <v>983620.0</v>
      </c>
      <c r="D242" s="23">
        <v>600540.0</v>
      </c>
      <c r="E242" s="24"/>
      <c r="F242" s="25"/>
      <c r="G242" s="35">
        <v>603210.0</v>
      </c>
      <c r="H242" s="179">
        <v>260456.0</v>
      </c>
      <c r="I242" s="179"/>
      <c r="J242" s="28"/>
      <c r="K242" s="29">
        <v>178850.0</v>
      </c>
      <c r="L242" s="30">
        <v>256430.0</v>
      </c>
      <c r="M242" s="49"/>
      <c r="N242" s="32"/>
      <c r="O242" s="33"/>
      <c r="P242" s="40"/>
      <c r="Q242" s="35"/>
      <c r="R242" s="33"/>
      <c r="S242" s="33"/>
      <c r="T242" s="35"/>
      <c r="U242" s="35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</row>
    <row r="243" hidden="1">
      <c r="A243" s="99" t="s">
        <v>24</v>
      </c>
      <c r="B243" s="364">
        <v>45526.0</v>
      </c>
      <c r="C243" s="22">
        <f>2610360-C242</f>
        <v>1626740</v>
      </c>
      <c r="D243" s="23">
        <f>1321270-D242</f>
        <v>720730</v>
      </c>
      <c r="E243" s="24"/>
      <c r="F243" s="25"/>
      <c r="G243" s="35">
        <f>151960+603470</f>
        <v>755430</v>
      </c>
      <c r="H243" s="27">
        <f>478800-260456</f>
        <v>218344</v>
      </c>
      <c r="I243" s="27"/>
      <c r="J243" s="28">
        <v>460000.0</v>
      </c>
      <c r="K243" s="29">
        <f>431070-K242</f>
        <v>252220</v>
      </c>
      <c r="L243" s="30">
        <f>403430-L242</f>
        <v>147000</v>
      </c>
      <c r="M243" s="49"/>
      <c r="N243" s="39"/>
      <c r="O243" s="33"/>
      <c r="P243" s="40"/>
      <c r="Q243" s="35"/>
      <c r="R243" s="33"/>
      <c r="S243" s="33"/>
      <c r="T243" s="35"/>
      <c r="U243" s="35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</row>
    <row r="244" hidden="1">
      <c r="A244" s="99" t="s">
        <v>25</v>
      </c>
      <c r="B244" s="364">
        <v>45527.0</v>
      </c>
      <c r="C244" s="22">
        <v>880565.0</v>
      </c>
      <c r="D244" s="23"/>
      <c r="E244" s="24"/>
      <c r="F244" s="25"/>
      <c r="G244" s="35">
        <f>735500+203860</f>
        <v>939360</v>
      </c>
      <c r="H244" s="27">
        <v>156100.0</v>
      </c>
      <c r="I244" s="27"/>
      <c r="J244" s="180"/>
      <c r="K244" s="181">
        <v>111930.0</v>
      </c>
      <c r="L244" s="30">
        <v>113990.0</v>
      </c>
      <c r="M244" s="49"/>
      <c r="N244" s="39"/>
      <c r="O244" s="33"/>
      <c r="P244" s="40"/>
      <c r="Q244" s="35"/>
      <c r="R244" s="33"/>
      <c r="S244" s="33"/>
      <c r="T244" s="35"/>
      <c r="U244" s="35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</row>
    <row r="245" hidden="1">
      <c r="A245" s="99" t="s">
        <v>26</v>
      </c>
      <c r="B245" s="364">
        <v>45528.0</v>
      </c>
      <c r="C245" s="22">
        <v>985400.0</v>
      </c>
      <c r="D245" s="23">
        <v>689630.0</v>
      </c>
      <c r="E245" s="24"/>
      <c r="F245" s="25"/>
      <c r="G245" s="35">
        <v>580600.0</v>
      </c>
      <c r="H245" s="27">
        <v>94100.0</v>
      </c>
      <c r="I245" s="27"/>
      <c r="J245" s="177"/>
      <c r="K245" s="178">
        <v>187340.0</v>
      </c>
      <c r="L245" s="30">
        <v>122680.0</v>
      </c>
      <c r="M245" s="31"/>
      <c r="N245" s="32"/>
      <c r="O245" s="33"/>
      <c r="P245" s="40"/>
      <c r="Q245" s="35"/>
      <c r="R245" s="33"/>
      <c r="S245" s="33"/>
      <c r="T245" s="35"/>
      <c r="U245" s="35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</row>
    <row r="246" hidden="1">
      <c r="A246" s="150" t="s">
        <v>27</v>
      </c>
      <c r="B246" s="364">
        <v>45529.0</v>
      </c>
      <c r="C246" s="160">
        <v>601870.0</v>
      </c>
      <c r="D246" s="160">
        <v>431340.0</v>
      </c>
      <c r="E246" s="160"/>
      <c r="F246" s="160"/>
      <c r="G246" s="160">
        <f>213380+9200</f>
        <v>222580</v>
      </c>
      <c r="H246" s="160">
        <v>113800.0</v>
      </c>
      <c r="I246" s="160"/>
      <c r="J246" s="28"/>
      <c r="K246" s="160">
        <v>145710.0</v>
      </c>
      <c r="L246" s="160">
        <v>111580.0</v>
      </c>
      <c r="M246" s="31"/>
      <c r="N246" s="32"/>
      <c r="O246" s="33"/>
      <c r="P246" s="40"/>
      <c r="Q246" s="35"/>
      <c r="R246" s="33"/>
      <c r="S246" s="33"/>
      <c r="T246" s="35"/>
      <c r="U246" s="35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</row>
    <row r="247" hidden="1">
      <c r="A247" s="99" t="s">
        <v>21</v>
      </c>
      <c r="B247" s="364">
        <v>45530.0</v>
      </c>
      <c r="C247" s="182">
        <v>691520.0</v>
      </c>
      <c r="D247" s="183">
        <v>428950.0</v>
      </c>
      <c r="E247" s="184"/>
      <c r="F247" s="185"/>
      <c r="G247" s="186">
        <f>217300+71300</f>
        <v>288600</v>
      </c>
      <c r="H247" s="171">
        <v>53300.0</v>
      </c>
      <c r="I247" s="171"/>
      <c r="J247" s="177"/>
      <c r="K247" s="178">
        <v>187370.0</v>
      </c>
      <c r="L247" s="30">
        <v>166650.0</v>
      </c>
      <c r="M247" s="31"/>
      <c r="N247" s="32"/>
      <c r="O247" s="33"/>
      <c r="P247" s="40"/>
      <c r="Q247" s="35"/>
      <c r="R247" s="33"/>
      <c r="S247" s="33"/>
      <c r="T247" s="35"/>
      <c r="U247" s="35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</row>
    <row r="248" hidden="1">
      <c r="A248" s="99" t="s">
        <v>22</v>
      </c>
      <c r="B248" s="364">
        <v>45531.0</v>
      </c>
      <c r="C248" s="182">
        <v>1172190.0</v>
      </c>
      <c r="D248" s="183">
        <v>827089.0</v>
      </c>
      <c r="E248" s="184"/>
      <c r="F248" s="185"/>
      <c r="G248" s="186">
        <v>330280.0</v>
      </c>
      <c r="H248" s="171">
        <v>303400.0</v>
      </c>
      <c r="I248" s="171"/>
      <c r="J248" s="177"/>
      <c r="K248" s="178">
        <v>328300.0</v>
      </c>
      <c r="L248" s="30">
        <v>199710.0</v>
      </c>
      <c r="M248" s="31"/>
      <c r="N248" s="39"/>
      <c r="O248" s="33"/>
      <c r="P248" s="40"/>
      <c r="Q248" s="35"/>
      <c r="R248" s="33"/>
      <c r="S248" s="33"/>
      <c r="T248" s="35"/>
      <c r="U248" s="35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</row>
    <row r="249" hidden="1">
      <c r="A249" s="99" t="s">
        <v>23</v>
      </c>
      <c r="B249" s="364">
        <v>45532.0</v>
      </c>
      <c r="C249" s="22">
        <v>1140275.0</v>
      </c>
      <c r="D249" s="23">
        <v>767070.0</v>
      </c>
      <c r="E249" s="24"/>
      <c r="F249" s="25"/>
      <c r="G249" s="35">
        <f>22300+407300</f>
        <v>429600</v>
      </c>
      <c r="H249" s="179">
        <v>239600.0</v>
      </c>
      <c r="I249" s="179"/>
      <c r="J249" s="28"/>
      <c r="K249" s="29">
        <v>143930.0</v>
      </c>
      <c r="L249" s="30">
        <v>278375.0</v>
      </c>
      <c r="M249" s="31"/>
      <c r="N249" s="32"/>
      <c r="O249" s="33"/>
      <c r="P249" s="40"/>
      <c r="Q249" s="35"/>
      <c r="R249" s="33"/>
      <c r="S249" s="33"/>
      <c r="T249" s="35"/>
      <c r="U249" s="35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</row>
    <row r="250" hidden="1">
      <c r="A250" s="99" t="s">
        <v>24</v>
      </c>
      <c r="B250" s="364">
        <v>45533.0</v>
      </c>
      <c r="C250" s="22">
        <v>1284530.0</v>
      </c>
      <c r="D250" s="23">
        <v>953280.0</v>
      </c>
      <c r="E250" s="24"/>
      <c r="F250" s="25"/>
      <c r="G250" s="35">
        <f>268100+234800</f>
        <v>502900</v>
      </c>
      <c r="H250" s="27">
        <v>226950.0</v>
      </c>
      <c r="I250" s="27"/>
      <c r="J250" s="28"/>
      <c r="K250" s="29">
        <v>316070.0</v>
      </c>
      <c r="L250" s="30">
        <v>162580.0</v>
      </c>
      <c r="M250" s="31"/>
      <c r="N250" s="39"/>
      <c r="O250" s="33"/>
      <c r="P250" s="40"/>
      <c r="Q250" s="35"/>
      <c r="R250" s="33"/>
      <c r="S250" s="33"/>
      <c r="T250" s="35"/>
      <c r="U250" s="35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</row>
    <row r="251" hidden="1">
      <c r="A251" s="99" t="s">
        <v>25</v>
      </c>
      <c r="B251" s="364">
        <v>45534.0</v>
      </c>
      <c r="C251" s="22">
        <v>656960.0</v>
      </c>
      <c r="D251" s="23">
        <v>456630.0</v>
      </c>
      <c r="E251" s="24"/>
      <c r="F251" s="25"/>
      <c r="G251" s="35">
        <v>233910.0</v>
      </c>
      <c r="H251" s="187">
        <v>180200.0</v>
      </c>
      <c r="I251" s="187"/>
      <c r="J251" s="28"/>
      <c r="K251" s="29">
        <v>107300.0</v>
      </c>
      <c r="L251" s="30">
        <v>132500.0</v>
      </c>
      <c r="M251" s="31"/>
      <c r="N251" s="39"/>
      <c r="O251" s="33"/>
      <c r="P251" s="40"/>
      <c r="Q251" s="35"/>
      <c r="R251" s="33"/>
      <c r="S251" s="33"/>
      <c r="T251" s="35"/>
      <c r="U251" s="35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</row>
    <row r="252" hidden="1">
      <c r="A252" s="99" t="s">
        <v>26</v>
      </c>
      <c r="B252" s="364">
        <v>45535.0</v>
      </c>
      <c r="C252" s="22">
        <v>807480.0</v>
      </c>
      <c r="D252" s="23">
        <v>579600.0</v>
      </c>
      <c r="E252" s="24"/>
      <c r="F252" s="25"/>
      <c r="G252" s="35">
        <v>408700.0</v>
      </c>
      <c r="H252" s="187">
        <v>65200.0</v>
      </c>
      <c r="I252" s="187"/>
      <c r="J252" s="28"/>
      <c r="K252" s="29">
        <v>224500.0</v>
      </c>
      <c r="L252" s="30">
        <v>108980.0</v>
      </c>
      <c r="M252" s="31"/>
      <c r="N252" s="39"/>
      <c r="O252" s="33"/>
      <c r="P252" s="40"/>
      <c r="Q252" s="35"/>
      <c r="R252" s="33"/>
      <c r="S252" s="33"/>
      <c r="T252" s="35"/>
      <c r="U252" s="35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</row>
    <row r="253" hidden="1">
      <c r="A253" s="93" t="s">
        <v>28</v>
      </c>
      <c r="B253" s="188"/>
      <c r="C253" s="189">
        <f>SUM(C222:C252)</f>
        <v>30062388</v>
      </c>
      <c r="D253" s="189"/>
      <c r="E253" s="189"/>
      <c r="F253" s="189"/>
      <c r="G253" s="189"/>
      <c r="H253" s="190"/>
      <c r="I253" s="190"/>
      <c r="J253" s="191"/>
      <c r="K253" s="189"/>
      <c r="L253" s="73"/>
      <c r="M253" s="74"/>
      <c r="N253" s="39"/>
      <c r="O253" s="33"/>
      <c r="P253" s="40"/>
      <c r="Q253" s="35"/>
      <c r="R253" s="33"/>
      <c r="S253" s="33"/>
      <c r="T253" s="35"/>
      <c r="U253" s="35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</row>
    <row r="254" hidden="1">
      <c r="A254" s="150" t="s">
        <v>27</v>
      </c>
      <c r="B254" s="100">
        <v>45536.0</v>
      </c>
      <c r="C254" s="160">
        <v>736790.0</v>
      </c>
      <c r="D254" s="160">
        <v>624000.0</v>
      </c>
      <c r="E254" s="160"/>
      <c r="F254" s="160"/>
      <c r="G254" s="160">
        <f>328400+54800</f>
        <v>383200</v>
      </c>
      <c r="H254" s="193">
        <v>105300.0</v>
      </c>
      <c r="I254" s="193"/>
      <c r="J254" s="28"/>
      <c r="K254" s="160">
        <v>146180.0</v>
      </c>
      <c r="L254" s="160">
        <v>102810.0</v>
      </c>
      <c r="M254" s="31"/>
      <c r="N254" s="39"/>
      <c r="O254" s="33"/>
      <c r="P254" s="40"/>
      <c r="Q254" s="35"/>
      <c r="R254" s="33"/>
      <c r="S254" s="33"/>
      <c r="T254" s="35"/>
      <c r="U254" s="35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</row>
    <row r="255" hidden="1">
      <c r="A255" s="99" t="s">
        <v>21</v>
      </c>
      <c r="B255" s="100">
        <v>45537.0</v>
      </c>
      <c r="C255" s="22">
        <v>677890.0</v>
      </c>
      <c r="D255" s="23">
        <v>458180.0</v>
      </c>
      <c r="E255" s="24"/>
      <c r="F255" s="25"/>
      <c r="G255" s="35">
        <v>300800.0</v>
      </c>
      <c r="H255" s="187">
        <v>79756.0</v>
      </c>
      <c r="I255" s="187"/>
      <c r="J255" s="177"/>
      <c r="K255" s="178">
        <v>125740.0</v>
      </c>
      <c r="L255" s="30">
        <v>183410.0</v>
      </c>
      <c r="M255" s="31"/>
      <c r="N255" s="32"/>
      <c r="O255" s="33"/>
      <c r="P255" s="40"/>
      <c r="Q255" s="35"/>
      <c r="R255" s="33"/>
      <c r="S255" s="33"/>
      <c r="T255" s="35"/>
      <c r="U255" s="35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</row>
    <row r="256" hidden="1">
      <c r="A256" s="99" t="s">
        <v>22</v>
      </c>
      <c r="B256" s="100">
        <v>45538.0</v>
      </c>
      <c r="C256" s="22">
        <v>992970.0</v>
      </c>
      <c r="D256" s="23">
        <v>721230.0</v>
      </c>
      <c r="E256" s="24"/>
      <c r="F256" s="25"/>
      <c r="G256" s="35">
        <f>381400</f>
        <v>381400</v>
      </c>
      <c r="H256" s="187">
        <v>215150.0</v>
      </c>
      <c r="I256" s="187"/>
      <c r="J256" s="177"/>
      <c r="K256" s="178">
        <v>202960.0</v>
      </c>
      <c r="L256" s="30">
        <v>185400.0</v>
      </c>
      <c r="M256" s="31"/>
      <c r="N256" s="32"/>
      <c r="O256" s="33"/>
      <c r="P256" s="40"/>
      <c r="Q256" s="35"/>
      <c r="R256" s="33"/>
      <c r="S256" s="33"/>
      <c r="T256" s="35"/>
      <c r="U256" s="35"/>
      <c r="V256" s="33"/>
      <c r="W256" s="33"/>
      <c r="X256" s="365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</row>
    <row r="257" hidden="1">
      <c r="A257" s="99" t="s">
        <v>32</v>
      </c>
      <c r="B257" s="100">
        <v>45539.0</v>
      </c>
      <c r="C257" s="22">
        <v>1478360.0</v>
      </c>
      <c r="D257" s="23">
        <v>1097700.0</v>
      </c>
      <c r="E257" s="24"/>
      <c r="F257" s="25"/>
      <c r="G257" s="26">
        <v>538800.0</v>
      </c>
      <c r="H257" s="187">
        <v>337107.0</v>
      </c>
      <c r="I257" s="187"/>
      <c r="J257" s="28"/>
      <c r="K257" s="29">
        <v>408700.0</v>
      </c>
      <c r="L257" s="30">
        <v>241910.0</v>
      </c>
      <c r="M257" s="31"/>
      <c r="N257" s="32"/>
      <c r="O257" s="33"/>
      <c r="P257" s="40"/>
      <c r="Q257" s="35"/>
      <c r="R257" s="33"/>
      <c r="S257" s="33"/>
      <c r="T257" s="35"/>
      <c r="U257" s="35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</row>
    <row r="258" hidden="1">
      <c r="A258" s="99" t="s">
        <v>24</v>
      </c>
      <c r="B258" s="100">
        <v>45540.0</v>
      </c>
      <c r="C258" s="22">
        <v>1325140.0</v>
      </c>
      <c r="D258" s="23">
        <v>1090850.0</v>
      </c>
      <c r="E258" s="24"/>
      <c r="F258" s="25"/>
      <c r="G258" s="186">
        <f>630200+16000</f>
        <v>646200</v>
      </c>
      <c r="H258" s="171">
        <v>226300.0</v>
      </c>
      <c r="I258" s="171"/>
      <c r="J258" s="28"/>
      <c r="K258" s="29">
        <v>253500.0</v>
      </c>
      <c r="L258" s="30">
        <v>186290.0</v>
      </c>
      <c r="M258" s="31"/>
      <c r="N258" s="39"/>
      <c r="O258" s="33"/>
      <c r="P258" s="40"/>
      <c r="Q258" s="35"/>
      <c r="R258" s="33"/>
      <c r="S258" s="33"/>
      <c r="T258" s="35"/>
      <c r="U258" s="35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</row>
    <row r="259" hidden="1">
      <c r="A259" s="99" t="s">
        <v>25</v>
      </c>
      <c r="B259" s="100">
        <v>45541.0</v>
      </c>
      <c r="C259" s="22">
        <v>958050.0</v>
      </c>
      <c r="D259" s="23">
        <v>597570.0</v>
      </c>
      <c r="E259" s="24"/>
      <c r="F259" s="25"/>
      <c r="G259" s="186">
        <f>97900+208000</f>
        <v>305900</v>
      </c>
      <c r="H259" s="171">
        <v>172200.0</v>
      </c>
      <c r="I259" s="171"/>
      <c r="J259" s="28">
        <v>19500.0</v>
      </c>
      <c r="K259" s="29">
        <v>207120.0</v>
      </c>
      <c r="L259" s="30">
        <v>254110.0</v>
      </c>
      <c r="M259" s="49" t="s">
        <v>743</v>
      </c>
      <c r="N259" s="32"/>
      <c r="O259" s="33"/>
      <c r="P259" s="40"/>
      <c r="Q259" s="35"/>
      <c r="R259" s="33"/>
      <c r="S259" s="33"/>
      <c r="T259" s="35"/>
      <c r="U259" s="35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</row>
    <row r="260" hidden="1">
      <c r="A260" s="99" t="s">
        <v>26</v>
      </c>
      <c r="B260" s="100">
        <v>45542.0</v>
      </c>
      <c r="C260" s="22">
        <v>952330.0</v>
      </c>
      <c r="D260" s="23">
        <v>740630.0</v>
      </c>
      <c r="E260" s="24"/>
      <c r="F260" s="25"/>
      <c r="G260" s="186">
        <f>453210+76200</f>
        <v>529410</v>
      </c>
      <c r="H260" s="171">
        <v>88800.0</v>
      </c>
      <c r="I260" s="171"/>
      <c r="J260" s="28"/>
      <c r="K260" s="29">
        <v>145090.0</v>
      </c>
      <c r="L260" s="30">
        <v>186010.0</v>
      </c>
      <c r="M260" s="31"/>
      <c r="N260" s="39"/>
      <c r="O260" s="33"/>
      <c r="P260" s="40"/>
      <c r="Q260" s="35"/>
      <c r="R260" s="33"/>
      <c r="S260" s="33"/>
      <c r="T260" s="35"/>
      <c r="U260" s="35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</row>
    <row r="261" hidden="1">
      <c r="A261" s="150" t="s">
        <v>27</v>
      </c>
      <c r="B261" s="100">
        <v>45543.0</v>
      </c>
      <c r="C261" s="160">
        <v>652190.0</v>
      </c>
      <c r="D261" s="160">
        <v>440820.0</v>
      </c>
      <c r="E261" s="160"/>
      <c r="F261" s="160"/>
      <c r="G261" s="160">
        <v>303800.0</v>
      </c>
      <c r="H261" s="193">
        <v>27400.0</v>
      </c>
      <c r="I261" s="193"/>
      <c r="J261" s="28"/>
      <c r="K261" s="160">
        <v>183420.0</v>
      </c>
      <c r="L261" s="160">
        <v>141270.0</v>
      </c>
      <c r="M261" s="31"/>
      <c r="N261" s="39"/>
      <c r="O261" s="33"/>
      <c r="P261" s="40"/>
      <c r="Q261" s="35"/>
      <c r="R261" s="33"/>
      <c r="S261" s="33"/>
      <c r="T261" s="35"/>
      <c r="U261" s="35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</row>
    <row r="262" hidden="1">
      <c r="A262" s="99" t="s">
        <v>21</v>
      </c>
      <c r="B262" s="100">
        <v>45544.0</v>
      </c>
      <c r="C262" s="22">
        <v>689030.0</v>
      </c>
      <c r="D262" s="23">
        <v>503110.0</v>
      </c>
      <c r="E262" s="24"/>
      <c r="F262" s="25"/>
      <c r="G262" s="35">
        <v>206280.0</v>
      </c>
      <c r="H262" s="187">
        <v>96751.0</v>
      </c>
      <c r="I262" s="187"/>
      <c r="J262" s="177"/>
      <c r="K262" s="178">
        <v>248330.0</v>
      </c>
      <c r="L262" s="30">
        <v>121520.0</v>
      </c>
      <c r="M262" s="31"/>
      <c r="N262" s="32"/>
      <c r="O262" s="33"/>
      <c r="P262" s="40"/>
      <c r="Q262" s="35"/>
      <c r="R262" s="33"/>
      <c r="S262" s="33"/>
      <c r="T262" s="35"/>
      <c r="U262" s="35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</row>
    <row r="263" hidden="1">
      <c r="A263" s="99" t="s">
        <v>22</v>
      </c>
      <c r="B263" s="100">
        <v>45545.0</v>
      </c>
      <c r="C263" s="22">
        <v>896730.0</v>
      </c>
      <c r="D263" s="23">
        <v>678370.0</v>
      </c>
      <c r="E263" s="24"/>
      <c r="F263" s="25"/>
      <c r="G263" s="186">
        <f>111600+231200</f>
        <v>342800</v>
      </c>
      <c r="H263" s="171">
        <v>132400.0</v>
      </c>
      <c r="I263" s="171"/>
      <c r="J263" s="177"/>
      <c r="K263" s="178">
        <v>228200.0</v>
      </c>
      <c r="L263" s="30">
        <v>160760.0</v>
      </c>
      <c r="M263" s="31"/>
      <c r="N263" s="39"/>
      <c r="O263" s="33"/>
      <c r="P263" s="40"/>
      <c r="Q263" s="35"/>
      <c r="R263" s="33"/>
      <c r="S263" s="33"/>
      <c r="T263" s="35"/>
      <c r="U263" s="35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</row>
    <row r="264" hidden="1">
      <c r="A264" s="99" t="s">
        <v>32</v>
      </c>
      <c r="B264" s="100">
        <v>45546.0</v>
      </c>
      <c r="C264" s="22">
        <v>1270945.0</v>
      </c>
      <c r="D264" s="23">
        <v>1007880.0</v>
      </c>
      <c r="E264" s="24"/>
      <c r="F264" s="25"/>
      <c r="G264" s="195">
        <f>385600+77100</f>
        <v>462700</v>
      </c>
      <c r="H264" s="171">
        <v>258500.0</v>
      </c>
      <c r="I264" s="171"/>
      <c r="J264" s="28"/>
      <c r="K264" s="29">
        <v>277300.0</v>
      </c>
      <c r="L264" s="30">
        <v>171745.0</v>
      </c>
      <c r="M264" s="31"/>
      <c r="N264" s="32"/>
      <c r="O264" s="33"/>
      <c r="P264" s="40"/>
      <c r="Q264" s="35"/>
      <c r="R264" s="33"/>
      <c r="S264" s="33"/>
      <c r="T264" s="35"/>
      <c r="U264" s="35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</row>
    <row r="265" hidden="1">
      <c r="A265" s="99" t="s">
        <v>24</v>
      </c>
      <c r="B265" s="100">
        <v>45547.0</v>
      </c>
      <c r="C265" s="22">
        <v>1479825.0</v>
      </c>
      <c r="D265" s="23">
        <v>980719.0</v>
      </c>
      <c r="E265" s="24"/>
      <c r="F265" s="25"/>
      <c r="G265" s="186">
        <f>258800+235600</f>
        <v>494400</v>
      </c>
      <c r="H265" s="171">
        <v>241540.0</v>
      </c>
      <c r="I265" s="171"/>
      <c r="J265" s="28">
        <v>165000.0</v>
      </c>
      <c r="K265" s="29">
        <v>441700.0</v>
      </c>
      <c r="L265" s="30">
        <v>186765.0</v>
      </c>
      <c r="M265" s="31"/>
      <c r="N265" s="39"/>
      <c r="O265" s="33"/>
      <c r="P265" s="40"/>
      <c r="Q265" s="35"/>
      <c r="R265" s="33"/>
      <c r="S265" s="33"/>
      <c r="T265" s="35"/>
      <c r="U265" s="35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</row>
    <row r="266" hidden="1">
      <c r="A266" s="99" t="s">
        <v>25</v>
      </c>
      <c r="B266" s="100">
        <v>45548.0</v>
      </c>
      <c r="C266" s="366">
        <v>1334306.0</v>
      </c>
      <c r="D266" s="23">
        <v>889060.0</v>
      </c>
      <c r="E266" s="24"/>
      <c r="F266" s="25"/>
      <c r="G266" s="186">
        <f>402860+19000</f>
        <v>421860</v>
      </c>
      <c r="H266" s="171">
        <v>266100.0</v>
      </c>
      <c r="I266" s="171"/>
      <c r="J266" s="28"/>
      <c r="K266" s="29">
        <v>369970.0</v>
      </c>
      <c r="L266" s="30">
        <v>292830.0</v>
      </c>
      <c r="M266" s="31"/>
      <c r="N266" s="196"/>
      <c r="O266" s="33"/>
      <c r="P266" s="40"/>
      <c r="Q266" s="35"/>
      <c r="R266" s="33"/>
      <c r="S266" s="33"/>
      <c r="T266" s="35"/>
      <c r="U266" s="35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</row>
    <row r="267" hidden="1">
      <c r="A267" s="99" t="s">
        <v>26</v>
      </c>
      <c r="B267" s="100">
        <v>45549.0</v>
      </c>
      <c r="C267" s="22">
        <v>1157400.0</v>
      </c>
      <c r="D267" s="23">
        <v>698000.0</v>
      </c>
      <c r="E267" s="24"/>
      <c r="F267" s="25"/>
      <c r="G267" s="35">
        <v>612500.0</v>
      </c>
      <c r="H267" s="27">
        <v>55200.0</v>
      </c>
      <c r="I267" s="27"/>
      <c r="J267" s="28"/>
      <c r="K267" s="29">
        <v>149300.0</v>
      </c>
      <c r="L267" s="30">
        <v>340300.0</v>
      </c>
      <c r="M267" s="31"/>
      <c r="N267" s="39"/>
      <c r="O267" s="33"/>
      <c r="P267" s="40"/>
      <c r="Q267" s="35"/>
      <c r="R267" s="33"/>
      <c r="S267" s="33"/>
      <c r="T267" s="35"/>
      <c r="U267" s="35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</row>
    <row r="268" hidden="1">
      <c r="A268" s="150" t="s">
        <v>27</v>
      </c>
      <c r="B268" s="100">
        <v>45550.0</v>
      </c>
      <c r="C268" s="160">
        <v>648620.0</v>
      </c>
      <c r="D268" s="160">
        <v>381100.0</v>
      </c>
      <c r="E268" s="160">
        <v>4970.0</v>
      </c>
      <c r="F268" s="160">
        <f>3000+600</f>
        <v>3600</v>
      </c>
      <c r="G268" s="160">
        <f>22400+228100</f>
        <v>250500</v>
      </c>
      <c r="H268" s="193">
        <v>50000.0</v>
      </c>
      <c r="I268" s="193"/>
      <c r="J268" s="28"/>
      <c r="K268" s="160">
        <v>116600.0</v>
      </c>
      <c r="L268" s="160">
        <v>241420.0</v>
      </c>
      <c r="M268" s="31"/>
      <c r="N268" s="39"/>
      <c r="O268" s="33"/>
      <c r="P268" s="40"/>
      <c r="Q268" s="35"/>
      <c r="R268" s="33"/>
      <c r="S268" s="33"/>
      <c r="T268" s="35"/>
      <c r="U268" s="35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</row>
    <row r="269" hidden="1">
      <c r="A269" s="99" t="s">
        <v>21</v>
      </c>
      <c r="B269" s="100">
        <v>45551.0</v>
      </c>
      <c r="C269" s="22">
        <v>1030090.0</v>
      </c>
      <c r="D269" s="23">
        <v>816500.0</v>
      </c>
      <c r="E269" s="24"/>
      <c r="F269" s="25"/>
      <c r="G269" s="35">
        <v>533800.0</v>
      </c>
      <c r="H269" s="187">
        <v>131947.0</v>
      </c>
      <c r="I269" s="187"/>
      <c r="J269" s="177"/>
      <c r="K269" s="178">
        <v>234470.0</v>
      </c>
      <c r="L269" s="30">
        <v>160320.0</v>
      </c>
      <c r="M269" s="31"/>
      <c r="N269" s="32"/>
      <c r="O269" s="33"/>
      <c r="P269" s="40"/>
      <c r="Q269" s="35"/>
      <c r="R269" s="33"/>
      <c r="S269" s="33"/>
      <c r="T269" s="35"/>
      <c r="U269" s="35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</row>
    <row r="270" hidden="1">
      <c r="A270" s="99" t="s">
        <v>22</v>
      </c>
      <c r="B270" s="100">
        <v>45552.0</v>
      </c>
      <c r="C270" s="22">
        <v>1123400.0</v>
      </c>
      <c r="D270" s="23">
        <v>845950.0</v>
      </c>
      <c r="E270" s="24"/>
      <c r="F270" s="25"/>
      <c r="G270" s="35">
        <v>464400.0</v>
      </c>
      <c r="H270" s="27">
        <v>205600.0</v>
      </c>
      <c r="I270" s="27"/>
      <c r="J270" s="28"/>
      <c r="K270" s="29">
        <v>203980.0</v>
      </c>
      <c r="L270" s="30">
        <v>220670.0</v>
      </c>
      <c r="M270" s="31"/>
      <c r="N270" s="32"/>
      <c r="O270" s="33"/>
      <c r="P270" s="40"/>
      <c r="Q270" s="35"/>
      <c r="R270" s="33"/>
      <c r="S270" s="33"/>
      <c r="T270" s="35"/>
      <c r="U270" s="35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5">
        <v>8.0</v>
      </c>
    </row>
    <row r="271" hidden="1">
      <c r="A271" s="99" t="s">
        <v>32</v>
      </c>
      <c r="B271" s="100">
        <v>45553.0</v>
      </c>
      <c r="C271" s="22">
        <v>861235.0</v>
      </c>
      <c r="D271" s="23">
        <v>569400.0</v>
      </c>
      <c r="E271" s="24"/>
      <c r="F271" s="25"/>
      <c r="G271" s="197">
        <f>86000+230300</f>
        <v>316300</v>
      </c>
      <c r="H271" s="27">
        <v>83500.0</v>
      </c>
      <c r="I271" s="27"/>
      <c r="J271" s="28"/>
      <c r="K271" s="29">
        <v>202835.0</v>
      </c>
      <c r="L271" s="30">
        <v>234800.0</v>
      </c>
      <c r="M271" s="31"/>
      <c r="N271" s="32"/>
      <c r="O271" s="33"/>
      <c r="P271" s="40"/>
      <c r="Q271" s="35"/>
      <c r="R271" s="33"/>
      <c r="S271" s="33"/>
      <c r="T271" s="35"/>
      <c r="U271" s="35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</row>
    <row r="272" hidden="1">
      <c r="A272" s="99" t="s">
        <v>24</v>
      </c>
      <c r="B272" s="100">
        <v>45554.0</v>
      </c>
      <c r="C272" s="22">
        <v>1059630.0</v>
      </c>
      <c r="D272" s="23">
        <v>764750.0</v>
      </c>
      <c r="E272" s="24"/>
      <c r="F272" s="25"/>
      <c r="G272" s="35">
        <v>498450.0</v>
      </c>
      <c r="H272" s="171">
        <v>155700.0</v>
      </c>
      <c r="I272" s="171"/>
      <c r="J272" s="177"/>
      <c r="K272" s="178">
        <v>168160.0</v>
      </c>
      <c r="L272" s="30">
        <v>215590.0</v>
      </c>
      <c r="M272" s="31"/>
      <c r="N272" s="39"/>
      <c r="O272" s="33"/>
      <c r="P272" s="40"/>
      <c r="Q272" s="35"/>
      <c r="R272" s="33"/>
      <c r="S272" s="33"/>
      <c r="T272" s="35"/>
      <c r="U272" s="35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</row>
    <row r="273" hidden="1">
      <c r="A273" s="99" t="s">
        <v>25</v>
      </c>
      <c r="B273" s="100">
        <v>45555.0</v>
      </c>
      <c r="C273" s="22">
        <v>954250.0</v>
      </c>
      <c r="D273" s="23">
        <v>676090.0</v>
      </c>
      <c r="E273" s="24"/>
      <c r="F273" s="25"/>
      <c r="G273" s="35">
        <v>342840.0</v>
      </c>
      <c r="H273" s="187">
        <v>163750.0</v>
      </c>
      <c r="I273" s="187"/>
      <c r="J273" s="177"/>
      <c r="K273" s="178">
        <v>247790.0</v>
      </c>
      <c r="L273" s="30">
        <v>210570.0</v>
      </c>
      <c r="M273" s="31"/>
      <c r="N273" s="32"/>
      <c r="O273" s="33"/>
      <c r="P273" s="40"/>
      <c r="Q273" s="35"/>
      <c r="R273" s="33"/>
      <c r="S273" s="33"/>
      <c r="T273" s="35"/>
      <c r="U273" s="35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</row>
    <row r="274" hidden="1">
      <c r="A274" s="99" t="s">
        <v>26</v>
      </c>
      <c r="B274" s="100">
        <v>45556.0</v>
      </c>
      <c r="C274" s="22">
        <v>1060510.0</v>
      </c>
      <c r="D274" s="23">
        <v>835340.0</v>
      </c>
      <c r="E274" s="24"/>
      <c r="F274" s="25"/>
      <c r="G274" s="186">
        <v>558670.0</v>
      </c>
      <c r="H274" s="187" t="s">
        <v>744</v>
      </c>
      <c r="I274" s="187"/>
      <c r="J274" s="177"/>
      <c r="K274" s="178">
        <v>287920.0</v>
      </c>
      <c r="L274" s="30">
        <v>221320.0</v>
      </c>
      <c r="M274" s="31"/>
      <c r="N274" s="32"/>
      <c r="O274" s="33"/>
      <c r="P274" s="40"/>
      <c r="Q274" s="35"/>
      <c r="R274" s="33"/>
      <c r="S274" s="33"/>
      <c r="T274" s="35"/>
      <c r="U274" s="35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</row>
    <row r="275" hidden="1">
      <c r="A275" s="150" t="s">
        <v>27</v>
      </c>
      <c r="B275" s="100">
        <v>45557.0</v>
      </c>
      <c r="C275" s="160">
        <v>628600.0</v>
      </c>
      <c r="D275" s="160">
        <v>459500.0</v>
      </c>
      <c r="E275" s="160"/>
      <c r="F275" s="160"/>
      <c r="G275" s="160">
        <f>100300+207700</f>
        <v>308000</v>
      </c>
      <c r="H275" s="193">
        <v>99300.0</v>
      </c>
      <c r="I275" s="193"/>
      <c r="J275" s="28"/>
      <c r="K275" s="160">
        <v>47000.0</v>
      </c>
      <c r="L275" s="160">
        <v>174300.0</v>
      </c>
      <c r="M275" s="31"/>
      <c r="N275" s="39"/>
      <c r="O275" s="33"/>
      <c r="P275" s="40"/>
      <c r="Q275" s="35"/>
      <c r="R275" s="33"/>
      <c r="S275" s="33"/>
      <c r="T275" s="35"/>
      <c r="U275" s="35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</row>
    <row r="276" hidden="1">
      <c r="A276" s="99" t="s">
        <v>21</v>
      </c>
      <c r="B276" s="100">
        <v>45558.0</v>
      </c>
      <c r="C276" s="22">
        <v>828230.0</v>
      </c>
      <c r="D276" s="23">
        <v>484300.0</v>
      </c>
      <c r="E276" s="24"/>
      <c r="F276" s="25"/>
      <c r="G276" s="35">
        <v>323600.0</v>
      </c>
      <c r="H276" s="187">
        <v>124200.0</v>
      </c>
      <c r="I276" s="187"/>
      <c r="J276" s="177"/>
      <c r="K276" s="178">
        <v>105000.0</v>
      </c>
      <c r="L276" s="30">
        <v>275430.0</v>
      </c>
      <c r="M276" s="31"/>
      <c r="N276" s="32"/>
      <c r="O276" s="33"/>
      <c r="P276" s="40"/>
      <c r="Q276" s="35"/>
      <c r="R276" s="33"/>
      <c r="S276" s="33"/>
      <c r="T276" s="35"/>
      <c r="U276" s="35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</row>
    <row r="277" hidden="1">
      <c r="A277" s="99" t="s">
        <v>22</v>
      </c>
      <c r="B277" s="100">
        <v>45559.0</v>
      </c>
      <c r="C277" s="22">
        <v>1194300.0</v>
      </c>
      <c r="D277" s="23">
        <v>755700.0</v>
      </c>
      <c r="E277" s="24"/>
      <c r="F277" s="25"/>
      <c r="G277" s="35">
        <f>253100+173800</f>
        <v>426900</v>
      </c>
      <c r="H277" s="187">
        <v>188100.0</v>
      </c>
      <c r="I277" s="187"/>
      <c r="J277" s="28"/>
      <c r="K277" s="29">
        <v>304710.0</v>
      </c>
      <c r="L277" s="30">
        <v>275890.0</v>
      </c>
      <c r="M277" s="31"/>
      <c r="N277" s="39"/>
      <c r="O277" s="33"/>
      <c r="P277" s="40"/>
      <c r="Q277" s="35"/>
      <c r="R277" s="33"/>
      <c r="S277" s="33"/>
      <c r="T277" s="35"/>
      <c r="U277" s="35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</row>
    <row r="278" hidden="1">
      <c r="A278" s="99" t="s">
        <v>32</v>
      </c>
      <c r="B278" s="100">
        <v>45560.0</v>
      </c>
      <c r="C278" s="22">
        <v>1520065.0</v>
      </c>
      <c r="D278" s="23">
        <v>1055450.0</v>
      </c>
      <c r="E278" s="24"/>
      <c r="F278" s="25"/>
      <c r="G278" s="26">
        <v>574900.0</v>
      </c>
      <c r="H278" s="27">
        <v>283875.0</v>
      </c>
      <c r="I278" s="27"/>
      <c r="J278" s="198"/>
      <c r="K278" s="199">
        <v>346380.0</v>
      </c>
      <c r="L278" s="30">
        <v>281885.0</v>
      </c>
      <c r="M278" s="31"/>
      <c r="N278" s="32"/>
      <c r="O278" s="33"/>
      <c r="P278" s="40"/>
      <c r="Q278" s="35"/>
      <c r="R278" s="33"/>
      <c r="S278" s="33"/>
      <c r="T278" s="35"/>
      <c r="U278" s="35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</row>
    <row r="279" hidden="1">
      <c r="A279" s="99" t="s">
        <v>24</v>
      </c>
      <c r="B279" s="100">
        <v>45561.0</v>
      </c>
      <c r="C279" s="22">
        <v>1324600.0</v>
      </c>
      <c r="D279" s="23">
        <v>967560.0</v>
      </c>
      <c r="E279" s="24"/>
      <c r="F279" s="25"/>
      <c r="G279" s="35">
        <v>502640.0</v>
      </c>
      <c r="H279" s="27">
        <v>167306.0</v>
      </c>
      <c r="I279" s="27"/>
      <c r="J279" s="177"/>
      <c r="K279" s="178">
        <v>292210.0</v>
      </c>
      <c r="L279" s="30">
        <v>230640.0</v>
      </c>
      <c r="M279" s="31"/>
      <c r="N279" s="39"/>
      <c r="O279" s="33"/>
      <c r="P279" s="40"/>
      <c r="Q279" s="35"/>
      <c r="R279" s="33"/>
      <c r="S279" s="33"/>
      <c r="T279" s="35"/>
      <c r="U279" s="35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</row>
    <row r="280" hidden="1">
      <c r="A280" s="99" t="s">
        <v>25</v>
      </c>
      <c r="B280" s="100">
        <v>45562.0</v>
      </c>
      <c r="C280" s="22">
        <v>1242250.0</v>
      </c>
      <c r="D280" s="23">
        <v>816610.0</v>
      </c>
      <c r="E280" s="24"/>
      <c r="F280" s="25"/>
      <c r="G280" s="200">
        <v>54700.0</v>
      </c>
      <c r="H280" s="27">
        <v>1024444.0</v>
      </c>
      <c r="I280" s="27"/>
      <c r="J280" s="177"/>
      <c r="K280" s="178">
        <v>388800.0</v>
      </c>
      <c r="L280" s="30">
        <v>274740.0</v>
      </c>
      <c r="M280" s="31"/>
      <c r="N280" s="32"/>
      <c r="O280" s="33"/>
      <c r="P280" s="40"/>
      <c r="Q280" s="35"/>
      <c r="R280" s="33"/>
      <c r="S280" s="33"/>
      <c r="T280" s="35"/>
      <c r="U280" s="35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</row>
    <row r="281" hidden="1">
      <c r="A281" s="99" t="s">
        <v>26</v>
      </c>
      <c r="B281" s="100">
        <v>45563.0</v>
      </c>
      <c r="C281" s="22">
        <v>1279220.0</v>
      </c>
      <c r="D281" s="23">
        <v>855600.0</v>
      </c>
      <c r="E281" s="24">
        <v>10850.0</v>
      </c>
      <c r="F281" s="25">
        <v>600.0</v>
      </c>
      <c r="G281" s="35">
        <v>668900.0</v>
      </c>
      <c r="H281" s="27">
        <v>83076.0</v>
      </c>
      <c r="I281" s="27"/>
      <c r="J281" s="198"/>
      <c r="K281" s="199">
        <v>348900.0</v>
      </c>
      <c r="L281" s="30">
        <v>176320.0</v>
      </c>
      <c r="M281" s="31"/>
      <c r="N281" s="39"/>
      <c r="O281" s="33"/>
      <c r="P281" s="40"/>
      <c r="Q281" s="35"/>
      <c r="R281" s="33"/>
      <c r="S281" s="33"/>
      <c r="T281" s="35"/>
      <c r="U281" s="35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</row>
    <row r="282" hidden="1">
      <c r="A282" s="150" t="s">
        <v>27</v>
      </c>
      <c r="B282" s="100">
        <v>45564.0</v>
      </c>
      <c r="C282" s="160">
        <v>798829.0</v>
      </c>
      <c r="D282" s="160">
        <v>521900.0</v>
      </c>
      <c r="E282" s="160"/>
      <c r="F282" s="160"/>
      <c r="G282" s="160">
        <f>209100+125900+7500+31100</f>
        <v>373600</v>
      </c>
      <c r="H282" s="193">
        <v>143500.0</v>
      </c>
      <c r="I282" s="193"/>
      <c r="J282" s="198"/>
      <c r="K282" s="160">
        <v>56500.0</v>
      </c>
      <c r="L282" s="160">
        <v>225220.0</v>
      </c>
      <c r="M282" s="31"/>
      <c r="N282" s="39"/>
      <c r="O282" s="33"/>
      <c r="P282" s="40"/>
      <c r="Q282" s="35"/>
      <c r="R282" s="33"/>
      <c r="S282" s="33"/>
      <c r="T282" s="35"/>
      <c r="U282" s="35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</row>
    <row r="283" hidden="1">
      <c r="A283" s="99" t="s">
        <v>21</v>
      </c>
      <c r="B283" s="100">
        <v>45565.0</v>
      </c>
      <c r="C283" s="22">
        <v>992536.0</v>
      </c>
      <c r="D283" s="23">
        <v>574500.0</v>
      </c>
      <c r="E283" s="24"/>
      <c r="F283" s="25"/>
      <c r="G283" s="35">
        <v>303100.0</v>
      </c>
      <c r="H283" s="27">
        <v>246300.0</v>
      </c>
      <c r="I283" s="27"/>
      <c r="J283" s="198"/>
      <c r="K283" s="199">
        <v>147750.0</v>
      </c>
      <c r="L283" s="30">
        <v>290536.0</v>
      </c>
      <c r="M283" s="31"/>
      <c r="N283" s="39"/>
      <c r="O283" s="33"/>
      <c r="P283" s="40"/>
      <c r="Q283" s="35"/>
      <c r="R283" s="33"/>
      <c r="S283" s="33"/>
      <c r="T283" s="35"/>
      <c r="U283" s="35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</row>
    <row r="284">
      <c r="A284" s="93" t="s">
        <v>28</v>
      </c>
      <c r="B284" s="129"/>
      <c r="C284" s="73"/>
      <c r="D284" s="73"/>
      <c r="E284" s="73"/>
      <c r="F284" s="73"/>
      <c r="G284" s="73"/>
      <c r="H284" s="73"/>
      <c r="I284" s="73"/>
      <c r="J284" s="198"/>
      <c r="K284" s="201"/>
      <c r="L284" s="73"/>
      <c r="M284" s="74"/>
      <c r="N284" s="39"/>
      <c r="O284" s="33"/>
      <c r="P284" s="40"/>
      <c r="Q284" s="35"/>
      <c r="R284" s="33"/>
      <c r="S284" s="33"/>
      <c r="T284" s="35"/>
      <c r="U284" s="35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</row>
    <row r="285">
      <c r="A285" s="54" t="s">
        <v>24</v>
      </c>
      <c r="B285" s="100">
        <v>45659.0</v>
      </c>
      <c r="C285" s="22">
        <v>638490.0</v>
      </c>
      <c r="D285" s="23">
        <v>358280.0</v>
      </c>
      <c r="E285" s="24"/>
      <c r="F285" s="25"/>
      <c r="G285" s="35">
        <v>134100.0</v>
      </c>
      <c r="H285" s="27"/>
      <c r="I285" s="27"/>
      <c r="J285" s="28"/>
      <c r="K285" s="29">
        <v>199180.0</v>
      </c>
      <c r="L285" s="30">
        <v>305210.0</v>
      </c>
      <c r="M285" s="31"/>
      <c r="N285" s="39"/>
      <c r="O285" s="33"/>
      <c r="P285" s="40"/>
      <c r="Q285" s="35"/>
      <c r="R285" s="33"/>
      <c r="S285" s="33"/>
      <c r="T285" s="35"/>
      <c r="U285" s="35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</row>
    <row r="286">
      <c r="A286" s="54" t="s">
        <v>25</v>
      </c>
      <c r="B286" s="100">
        <v>45660.0</v>
      </c>
      <c r="C286" s="22">
        <v>719930.0</v>
      </c>
      <c r="D286" s="23">
        <v>227540.0</v>
      </c>
      <c r="E286" s="24"/>
      <c r="F286" s="25"/>
      <c r="G286" s="35">
        <v>124100.0</v>
      </c>
      <c r="H286" s="27"/>
      <c r="I286" s="27"/>
      <c r="J286" s="28"/>
      <c r="K286" s="29">
        <v>188880.0</v>
      </c>
      <c r="L286" s="30">
        <v>398330.0</v>
      </c>
      <c r="M286" s="31"/>
      <c r="N286" s="32"/>
      <c r="O286" s="33"/>
      <c r="P286" s="40"/>
      <c r="Q286" s="35"/>
      <c r="R286" s="33"/>
      <c r="S286" s="33"/>
      <c r="T286" s="35"/>
      <c r="U286" s="35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</row>
    <row r="287">
      <c r="A287" s="54" t="s">
        <v>33</v>
      </c>
      <c r="B287" s="100">
        <v>45662.0</v>
      </c>
      <c r="C287" s="22">
        <v>826130.0</v>
      </c>
      <c r="D287" s="23">
        <v>617670.0</v>
      </c>
      <c r="E287" s="227"/>
      <c r="F287" s="228"/>
      <c r="G287" s="35">
        <v>273100.0</v>
      </c>
      <c r="H287" s="143"/>
      <c r="I287" s="143"/>
      <c r="J287" s="111"/>
      <c r="K287" s="29">
        <v>163470.0</v>
      </c>
      <c r="L287" s="30">
        <v>285660.0</v>
      </c>
      <c r="M287" s="31"/>
      <c r="N287" s="32"/>
      <c r="O287" s="33"/>
      <c r="P287" s="40"/>
      <c r="Q287" s="35"/>
      <c r="R287" s="33"/>
      <c r="S287" s="33"/>
      <c r="T287" s="35"/>
      <c r="U287" s="35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</row>
    <row r="288">
      <c r="A288" s="54" t="s">
        <v>21</v>
      </c>
      <c r="B288" s="100">
        <v>45663.0</v>
      </c>
      <c r="C288" s="22">
        <v>761400.0</v>
      </c>
      <c r="D288" s="23">
        <v>322380.0</v>
      </c>
      <c r="E288" s="227"/>
      <c r="F288" s="228"/>
      <c r="G288" s="35">
        <v>213900.0</v>
      </c>
      <c r="H288" s="143"/>
      <c r="I288" s="143"/>
      <c r="J288" s="111"/>
      <c r="K288" s="29">
        <v>188300.0</v>
      </c>
      <c r="L288" s="30">
        <v>343680.0</v>
      </c>
      <c r="M288" s="31"/>
      <c r="N288" s="32"/>
      <c r="O288" s="33"/>
      <c r="P288" s="40"/>
      <c r="Q288" s="35"/>
      <c r="R288" s="33"/>
      <c r="S288" s="33"/>
      <c r="T288" s="35"/>
      <c r="U288" s="35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</row>
    <row r="289">
      <c r="A289" s="54" t="s">
        <v>22</v>
      </c>
      <c r="B289" s="100">
        <v>45664.0</v>
      </c>
      <c r="C289" s="22">
        <v>1022520.0</v>
      </c>
      <c r="D289" s="23">
        <v>707800.0</v>
      </c>
      <c r="E289" s="227"/>
      <c r="F289" s="228"/>
      <c r="G289" s="35">
        <v>282850.0</v>
      </c>
      <c r="H289" s="143"/>
      <c r="I289" s="143"/>
      <c r="J289" s="111"/>
      <c r="K289" s="29">
        <v>392220.0</v>
      </c>
      <c r="L289" s="30">
        <v>321200.0</v>
      </c>
      <c r="M289" s="31"/>
      <c r="N289" s="39"/>
      <c r="O289" s="33"/>
      <c r="P289" s="40"/>
      <c r="Q289" s="35"/>
      <c r="R289" s="33"/>
      <c r="S289" s="33"/>
      <c r="T289" s="35"/>
      <c r="U289" s="35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</row>
    <row r="290">
      <c r="A290" s="54" t="s">
        <v>32</v>
      </c>
      <c r="B290" s="100">
        <v>45665.0</v>
      </c>
      <c r="C290" s="22">
        <v>875690.0</v>
      </c>
      <c r="D290" s="23">
        <v>624800.0</v>
      </c>
      <c r="E290" s="227"/>
      <c r="F290" s="228"/>
      <c r="G290" s="35">
        <v>397710.0</v>
      </c>
      <c r="H290" s="143"/>
      <c r="I290" s="143"/>
      <c r="J290" s="111"/>
      <c r="K290" s="29">
        <v>177190.0</v>
      </c>
      <c r="L290" s="30">
        <v>281790.0</v>
      </c>
      <c r="M290" s="31"/>
      <c r="N290" s="39"/>
      <c r="O290" s="33"/>
      <c r="P290" s="40"/>
      <c r="Q290" s="35"/>
      <c r="R290" s="33"/>
      <c r="S290" s="33"/>
      <c r="T290" s="35"/>
      <c r="U290" s="35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</row>
    <row r="291">
      <c r="A291" s="54" t="s">
        <v>24</v>
      </c>
      <c r="B291" s="100">
        <v>45666.0</v>
      </c>
      <c r="C291" s="22">
        <v>896690.0</v>
      </c>
      <c r="D291" s="23">
        <v>659820.0</v>
      </c>
      <c r="E291" s="227"/>
      <c r="F291" s="228"/>
      <c r="G291" s="35">
        <v>220980.0</v>
      </c>
      <c r="H291" s="143"/>
      <c r="I291" s="143"/>
      <c r="J291" s="111"/>
      <c r="K291" s="29">
        <v>412650.0</v>
      </c>
      <c r="L291" s="30">
        <v>263060.0</v>
      </c>
      <c r="M291" s="31"/>
      <c r="N291" s="39"/>
      <c r="O291" s="33"/>
      <c r="P291" s="40"/>
      <c r="Q291" s="35"/>
      <c r="R291" s="33"/>
      <c r="S291" s="33"/>
      <c r="T291" s="35"/>
      <c r="U291" s="35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</row>
    <row r="292">
      <c r="A292" s="54" t="s">
        <v>25</v>
      </c>
      <c r="B292" s="100">
        <v>45667.0</v>
      </c>
      <c r="C292" s="22">
        <v>853550.0</v>
      </c>
      <c r="D292" s="23">
        <v>683930.0</v>
      </c>
      <c r="E292" s="24"/>
      <c r="F292" s="204"/>
      <c r="G292" s="26">
        <v>409700.0</v>
      </c>
      <c r="H292" s="27"/>
      <c r="I292" s="27"/>
      <c r="J292" s="28"/>
      <c r="K292" s="29">
        <v>222030.0</v>
      </c>
      <c r="L292" s="30">
        <v>221820.0</v>
      </c>
      <c r="M292" s="31"/>
      <c r="N292" s="206"/>
      <c r="O292" s="33"/>
      <c r="P292" s="40"/>
      <c r="Q292" s="35"/>
      <c r="R292" s="33"/>
      <c r="S292" s="33"/>
      <c r="T292" s="35"/>
      <c r="U292" s="35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</row>
    <row r="293">
      <c r="A293" s="54" t="s">
        <v>33</v>
      </c>
      <c r="B293" s="100">
        <v>45668.0</v>
      </c>
      <c r="C293" s="22">
        <v>685130.0</v>
      </c>
      <c r="D293" s="23">
        <v>423960.0</v>
      </c>
      <c r="E293" s="24"/>
      <c r="F293" s="204"/>
      <c r="G293" s="26">
        <v>253850.0</v>
      </c>
      <c r="H293" s="27"/>
      <c r="I293" s="27"/>
      <c r="J293" s="28"/>
      <c r="K293" s="29">
        <v>907110.0</v>
      </c>
      <c r="L293" s="30">
        <v>276570.0</v>
      </c>
      <c r="M293" s="31"/>
      <c r="N293" s="32"/>
      <c r="O293" s="33"/>
      <c r="P293" s="40"/>
      <c r="Q293" s="35"/>
      <c r="R293" s="33"/>
      <c r="S293" s="33"/>
      <c r="T293" s="35"/>
      <c r="U293" s="35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</row>
    <row r="294">
      <c r="A294" s="209" t="s">
        <v>27</v>
      </c>
      <c r="B294" s="100">
        <v>45669.0</v>
      </c>
      <c r="C294" s="160"/>
      <c r="D294" s="160"/>
      <c r="E294" s="160"/>
      <c r="F294" s="160"/>
      <c r="G294" s="160"/>
      <c r="H294" s="160"/>
      <c r="I294" s="160"/>
      <c r="J294" s="28"/>
      <c r="K294" s="160"/>
      <c r="L294" s="160"/>
      <c r="M294" s="31"/>
      <c r="N294" s="32"/>
      <c r="O294" s="40"/>
      <c r="P294" s="40"/>
      <c r="Q294" s="34"/>
      <c r="R294" s="40"/>
      <c r="S294" s="40"/>
      <c r="T294" s="34"/>
      <c r="U294" s="34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</row>
    <row r="295">
      <c r="A295" s="210" t="s">
        <v>21</v>
      </c>
      <c r="B295" s="100">
        <v>45670.0</v>
      </c>
      <c r="C295" s="22">
        <v>614830.0</v>
      </c>
      <c r="D295" s="23">
        <v>232860.0</v>
      </c>
      <c r="E295" s="24"/>
      <c r="F295" s="204"/>
      <c r="G295" s="26">
        <v>223600.0</v>
      </c>
      <c r="H295" s="27"/>
      <c r="I295" s="27"/>
      <c r="J295" s="28"/>
      <c r="K295" s="29">
        <v>136210.0</v>
      </c>
      <c r="L295" s="30">
        <v>233460.0</v>
      </c>
      <c r="M295" s="31"/>
      <c r="N295" s="39"/>
      <c r="O295" s="33"/>
      <c r="P295" s="40"/>
      <c r="Q295" s="35"/>
      <c r="R295" s="33"/>
      <c r="S295" s="33"/>
      <c r="T295" s="35"/>
      <c r="U295" s="35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</row>
    <row r="296">
      <c r="A296" s="54" t="s">
        <v>22</v>
      </c>
      <c r="B296" s="100">
        <v>45671.0</v>
      </c>
      <c r="C296" s="22"/>
      <c r="D296" s="23"/>
      <c r="E296" s="24"/>
      <c r="F296" s="204"/>
      <c r="G296" s="26"/>
      <c r="H296" s="27"/>
      <c r="I296" s="27"/>
      <c r="J296" s="28"/>
      <c r="K296" s="29"/>
      <c r="L296" s="30"/>
      <c r="M296" s="49"/>
      <c r="N296" s="32"/>
      <c r="O296" s="33"/>
      <c r="P296" s="40"/>
      <c r="Q296" s="35"/>
      <c r="R296" s="33"/>
      <c r="S296" s="33"/>
      <c r="T296" s="35"/>
      <c r="U296" s="35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</row>
    <row r="297">
      <c r="A297" s="54" t="s">
        <v>32</v>
      </c>
      <c r="B297" s="100">
        <v>45672.0</v>
      </c>
      <c r="C297" s="22">
        <v>627570.0</v>
      </c>
      <c r="D297" s="23">
        <v>312390.0</v>
      </c>
      <c r="E297" s="24"/>
      <c r="F297" s="204"/>
      <c r="G297" s="26">
        <v>197830.0</v>
      </c>
      <c r="H297" s="27"/>
      <c r="I297" s="27"/>
      <c r="J297" s="28"/>
      <c r="K297" s="29">
        <v>124820.0</v>
      </c>
      <c r="L297" s="30">
        <v>304920.0</v>
      </c>
      <c r="M297" s="31"/>
      <c r="N297" s="39"/>
      <c r="O297" s="33"/>
      <c r="P297" s="40"/>
      <c r="Q297" s="35"/>
      <c r="R297" s="33"/>
      <c r="S297" s="33"/>
      <c r="T297" s="35"/>
      <c r="U297" s="35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</row>
    <row r="298">
      <c r="A298" s="54" t="s">
        <v>24</v>
      </c>
      <c r="B298" s="100">
        <v>45673.0</v>
      </c>
      <c r="C298" s="22">
        <v>745990.0</v>
      </c>
      <c r="D298" s="23">
        <v>512800.0</v>
      </c>
      <c r="E298" s="24"/>
      <c r="F298" s="204"/>
      <c r="G298" s="26">
        <v>256870.0</v>
      </c>
      <c r="H298" s="27"/>
      <c r="I298" s="27"/>
      <c r="J298" s="28"/>
      <c r="K298" s="29">
        <v>229210.0</v>
      </c>
      <c r="L298" s="30">
        <v>238410.0</v>
      </c>
      <c r="M298" s="31"/>
      <c r="N298" s="39"/>
      <c r="O298" s="33"/>
      <c r="P298" s="40"/>
      <c r="Q298" s="35"/>
      <c r="R298" s="33"/>
      <c r="S298" s="33"/>
      <c r="T298" s="35"/>
      <c r="U298" s="35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</row>
    <row r="299">
      <c r="A299" s="54" t="s">
        <v>25</v>
      </c>
      <c r="B299" s="100">
        <v>45674.0</v>
      </c>
      <c r="C299" s="22">
        <v>615430.0</v>
      </c>
      <c r="D299" s="23">
        <v>239410.0</v>
      </c>
      <c r="E299" s="24"/>
      <c r="F299" s="204"/>
      <c r="G299" s="26">
        <v>42600.0</v>
      </c>
      <c r="H299" s="27"/>
      <c r="I299" s="27"/>
      <c r="J299" s="28"/>
      <c r="K299" s="29">
        <v>49860.0</v>
      </c>
      <c r="L299" s="30">
        <v>376020.0</v>
      </c>
      <c r="M299" s="31"/>
      <c r="N299" s="39"/>
      <c r="O299" s="33"/>
      <c r="P299" s="40"/>
      <c r="Q299" s="35"/>
      <c r="R299" s="33"/>
      <c r="S299" s="33"/>
      <c r="T299" s="35"/>
      <c r="U299" s="35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</row>
    <row r="300">
      <c r="A300" s="54" t="s">
        <v>33</v>
      </c>
      <c r="B300" s="100">
        <v>45675.0</v>
      </c>
      <c r="C300" s="22">
        <v>658950.0</v>
      </c>
      <c r="D300" s="23">
        <v>324170.0</v>
      </c>
      <c r="E300" s="24"/>
      <c r="F300" s="204"/>
      <c r="G300" s="26">
        <v>172000.0</v>
      </c>
      <c r="H300" s="27"/>
      <c r="I300" s="27"/>
      <c r="J300" s="28"/>
      <c r="K300" s="29">
        <v>118790.0</v>
      </c>
      <c r="L300" s="30">
        <v>334780.0</v>
      </c>
      <c r="M300" s="31"/>
      <c r="N300" s="32"/>
      <c r="O300" s="33"/>
      <c r="P300" s="40"/>
      <c r="Q300" s="35"/>
      <c r="R300" s="33"/>
      <c r="S300" s="33"/>
      <c r="T300" s="35"/>
      <c r="U300" s="35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</row>
    <row r="301">
      <c r="A301" s="209" t="s">
        <v>27</v>
      </c>
      <c r="B301" s="100">
        <v>45676.0</v>
      </c>
      <c r="C301" s="160"/>
      <c r="D301" s="160"/>
      <c r="E301" s="160"/>
      <c r="F301" s="160"/>
      <c r="G301" s="160"/>
      <c r="H301" s="160"/>
      <c r="I301" s="160"/>
      <c r="J301" s="28"/>
      <c r="K301" s="160"/>
      <c r="L301" s="160"/>
      <c r="M301" s="31"/>
      <c r="N301" s="32"/>
      <c r="O301" s="33"/>
      <c r="P301" s="40"/>
      <c r="Q301" s="35"/>
      <c r="R301" s="33"/>
      <c r="S301" s="33"/>
      <c r="T301" s="35"/>
      <c r="U301" s="35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</row>
    <row r="302">
      <c r="A302" s="54" t="s">
        <v>21</v>
      </c>
      <c r="B302" s="100">
        <v>45677.0</v>
      </c>
      <c r="C302" s="22">
        <v>1078640.0</v>
      </c>
      <c r="D302" s="23">
        <v>635890.0</v>
      </c>
      <c r="E302" s="24"/>
      <c r="F302" s="204"/>
      <c r="G302" s="26">
        <v>309800.0</v>
      </c>
      <c r="H302" s="27"/>
      <c r="I302" s="27"/>
      <c r="J302" s="28"/>
      <c r="K302" s="29">
        <v>283220.0</v>
      </c>
      <c r="L302" s="30">
        <v>474120.0</v>
      </c>
      <c r="M302" s="31"/>
      <c r="N302" s="32"/>
      <c r="O302" s="33"/>
      <c r="P302" s="40"/>
      <c r="Q302" s="35"/>
      <c r="R302" s="33"/>
      <c r="S302" s="33"/>
      <c r="T302" s="35"/>
      <c r="U302" s="35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</row>
    <row r="303">
      <c r="A303" s="54" t="s">
        <v>22</v>
      </c>
      <c r="B303" s="100">
        <v>45678.0</v>
      </c>
      <c r="C303" s="22">
        <v>740750.0</v>
      </c>
      <c r="D303" s="23">
        <v>432180.0</v>
      </c>
      <c r="E303" s="24"/>
      <c r="F303" s="204"/>
      <c r="G303" s="26">
        <v>206000.0</v>
      </c>
      <c r="H303" s="27"/>
      <c r="I303" s="27"/>
      <c r="J303" s="28"/>
      <c r="K303" s="29">
        <v>169140.0</v>
      </c>
      <c r="L303" s="30">
        <v>352710.0</v>
      </c>
      <c r="M303" s="31"/>
      <c r="N303" s="32"/>
      <c r="O303" s="33"/>
      <c r="P303" s="40"/>
      <c r="Q303" s="35"/>
      <c r="R303" s="33"/>
      <c r="S303" s="33"/>
      <c r="T303" s="35"/>
      <c r="U303" s="35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</row>
    <row r="304">
      <c r="A304" s="54" t="s">
        <v>32</v>
      </c>
      <c r="B304" s="100">
        <v>45679.0</v>
      </c>
      <c r="C304" s="22">
        <v>569870.0</v>
      </c>
      <c r="D304" s="23">
        <v>337190.0</v>
      </c>
      <c r="E304" s="24"/>
      <c r="F304" s="204"/>
      <c r="G304" s="26">
        <v>139650.0</v>
      </c>
      <c r="H304" s="27"/>
      <c r="I304" s="27"/>
      <c r="J304" s="28"/>
      <c r="K304" s="29">
        <v>172990.0</v>
      </c>
      <c r="L304" s="30">
        <v>256530.0</v>
      </c>
      <c r="M304" s="31"/>
      <c r="N304" s="39"/>
      <c r="O304" s="33"/>
      <c r="P304" s="40"/>
      <c r="Q304" s="35"/>
      <c r="R304" s="33"/>
      <c r="S304" s="33"/>
      <c r="T304" s="35"/>
      <c r="U304" s="35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</row>
    <row r="305">
      <c r="A305" s="54" t="s">
        <v>24</v>
      </c>
      <c r="B305" s="100">
        <v>45680.0</v>
      </c>
      <c r="C305" s="22">
        <v>603750.0</v>
      </c>
      <c r="D305" s="23">
        <v>269860.0</v>
      </c>
      <c r="E305" s="24"/>
      <c r="F305" s="204"/>
      <c r="G305" s="26">
        <v>137060.0</v>
      </c>
      <c r="H305" s="27"/>
      <c r="I305" s="27"/>
      <c r="J305" s="28"/>
      <c r="K305" s="29">
        <v>141200.0</v>
      </c>
      <c r="L305" s="30">
        <v>325490.0</v>
      </c>
      <c r="M305" s="31"/>
      <c r="N305" s="32"/>
      <c r="O305" s="33"/>
      <c r="P305" s="40"/>
      <c r="Q305" s="35"/>
      <c r="R305" s="33"/>
      <c r="S305" s="33"/>
      <c r="T305" s="35"/>
      <c r="U305" s="35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</row>
    <row r="306">
      <c r="A306" s="38" t="s">
        <v>25</v>
      </c>
      <c r="B306" s="100">
        <v>45681.0</v>
      </c>
      <c r="C306" s="22">
        <v>750120.0</v>
      </c>
      <c r="D306" s="23">
        <v>442270.0</v>
      </c>
      <c r="E306" s="24"/>
      <c r="F306" s="204"/>
      <c r="G306" s="26">
        <v>164400.0</v>
      </c>
      <c r="H306" s="27"/>
      <c r="I306" s="27"/>
      <c r="J306" s="28"/>
      <c r="K306" s="29">
        <v>210900.0</v>
      </c>
      <c r="L306" s="30">
        <v>271290.0</v>
      </c>
      <c r="M306" s="31"/>
      <c r="N306" s="39"/>
      <c r="O306" s="33"/>
      <c r="P306" s="40"/>
      <c r="Q306" s="35"/>
      <c r="R306" s="33"/>
      <c r="S306" s="33"/>
      <c r="T306" s="35"/>
      <c r="U306" s="35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</row>
    <row r="307">
      <c r="A307" s="38" t="s">
        <v>26</v>
      </c>
      <c r="B307" s="100">
        <v>45682.0</v>
      </c>
      <c r="C307" s="22">
        <v>530790.0</v>
      </c>
      <c r="D307" s="23">
        <v>317340.0</v>
      </c>
      <c r="E307" s="24"/>
      <c r="F307" s="204"/>
      <c r="G307" s="26">
        <v>123500.0</v>
      </c>
      <c r="H307" s="27"/>
      <c r="I307" s="27"/>
      <c r="J307" s="28"/>
      <c r="K307" s="29">
        <v>137200.0</v>
      </c>
      <c r="L307" s="30">
        <v>251790.0</v>
      </c>
      <c r="M307" s="31"/>
      <c r="N307" s="32"/>
      <c r="O307" s="33"/>
      <c r="P307" s="40"/>
      <c r="Q307" s="35"/>
      <c r="R307" s="33"/>
      <c r="S307" s="33"/>
      <c r="T307" s="35"/>
      <c r="U307" s="35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</row>
    <row r="308">
      <c r="A308" s="150" t="s">
        <v>27</v>
      </c>
      <c r="B308" s="100">
        <v>45683.0</v>
      </c>
      <c r="C308" s="160"/>
      <c r="D308" s="160"/>
      <c r="E308" s="160"/>
      <c r="F308" s="160"/>
      <c r="G308" s="160"/>
      <c r="H308" s="160"/>
      <c r="I308" s="160"/>
      <c r="J308" s="28"/>
      <c r="K308" s="160"/>
      <c r="L308" s="160"/>
      <c r="M308" s="31"/>
      <c r="N308" s="32"/>
      <c r="O308" s="33"/>
      <c r="P308" s="40"/>
      <c r="Q308" s="35"/>
      <c r="R308" s="33"/>
      <c r="S308" s="33"/>
      <c r="T308" s="35"/>
      <c r="U308" s="35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</row>
    <row r="309">
      <c r="A309" s="38" t="s">
        <v>21</v>
      </c>
      <c r="B309" s="100">
        <v>45684.0</v>
      </c>
      <c r="C309" s="22">
        <v>711190.0</v>
      </c>
      <c r="D309" s="23">
        <v>355370.0</v>
      </c>
      <c r="E309" s="24"/>
      <c r="F309" s="204"/>
      <c r="G309" s="26">
        <v>241310.0</v>
      </c>
      <c r="H309" s="27"/>
      <c r="I309" s="27"/>
      <c r="J309" s="28"/>
      <c r="K309" s="29">
        <v>162960.0</v>
      </c>
      <c r="L309" s="30">
        <v>302020.0</v>
      </c>
      <c r="M309" s="31"/>
      <c r="N309" s="39"/>
      <c r="O309" s="33"/>
      <c r="P309" s="40"/>
      <c r="Q309" s="35"/>
      <c r="R309" s="33"/>
      <c r="S309" s="33"/>
      <c r="T309" s="35"/>
      <c r="U309" s="35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</row>
    <row r="310">
      <c r="A310" s="38" t="s">
        <v>22</v>
      </c>
      <c r="B310" s="100">
        <v>45685.0</v>
      </c>
      <c r="C310" s="22">
        <v>629730.0</v>
      </c>
      <c r="D310" s="23">
        <v>314590.0</v>
      </c>
      <c r="E310" s="24"/>
      <c r="F310" s="204"/>
      <c r="G310" s="26">
        <v>145100.0</v>
      </c>
      <c r="H310" s="27"/>
      <c r="I310" s="27"/>
      <c r="J310" s="28"/>
      <c r="K310" s="29">
        <v>192360.0</v>
      </c>
      <c r="L310" s="30">
        <v>312920.0</v>
      </c>
      <c r="M310" s="31"/>
      <c r="N310" s="32"/>
      <c r="O310" s="33"/>
      <c r="P310" s="40"/>
      <c r="Q310" s="35"/>
      <c r="R310" s="33"/>
      <c r="S310" s="33"/>
      <c r="T310" s="35"/>
      <c r="U310" s="35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</row>
    <row r="311">
      <c r="A311" s="38" t="s">
        <v>32</v>
      </c>
      <c r="B311" s="100">
        <v>45686.0</v>
      </c>
      <c r="C311" s="22">
        <v>864160.0</v>
      </c>
      <c r="D311" s="23">
        <v>590810.0</v>
      </c>
      <c r="E311" s="24"/>
      <c r="F311" s="25"/>
      <c r="G311" s="35">
        <v>257700.0</v>
      </c>
      <c r="H311" s="27"/>
      <c r="I311" s="27"/>
      <c r="J311" s="28"/>
      <c r="K311" s="29">
        <v>285330.0</v>
      </c>
      <c r="L311" s="30">
        <v>307730.0</v>
      </c>
      <c r="M311" s="31"/>
      <c r="N311" s="39"/>
      <c r="O311" s="33"/>
      <c r="P311" s="40"/>
      <c r="Q311" s="35"/>
      <c r="R311" s="33"/>
      <c r="S311" s="33"/>
      <c r="T311" s="35"/>
      <c r="U311" s="35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</row>
    <row r="312">
      <c r="A312" s="38" t="s">
        <v>24</v>
      </c>
      <c r="B312" s="100">
        <v>45687.0</v>
      </c>
      <c r="C312" s="22">
        <v>988580.0</v>
      </c>
      <c r="D312" s="101">
        <v>620670.0</v>
      </c>
      <c r="E312" s="119"/>
      <c r="F312" s="120"/>
      <c r="G312" s="26">
        <v>323800.0</v>
      </c>
      <c r="H312" s="122"/>
      <c r="I312" s="122"/>
      <c r="J312" s="123"/>
      <c r="K312" s="29">
        <v>286540.0</v>
      </c>
      <c r="L312" s="30">
        <v>398910.0</v>
      </c>
      <c r="M312" s="65"/>
      <c r="N312" s="32"/>
      <c r="O312" s="33"/>
      <c r="P312" s="40"/>
      <c r="Q312" s="35"/>
      <c r="R312" s="33"/>
      <c r="S312" s="33"/>
      <c r="T312" s="35"/>
      <c r="U312" s="35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</row>
    <row r="313">
      <c r="A313" s="379" t="s">
        <v>25</v>
      </c>
      <c r="B313" s="380">
        <v>45688.0</v>
      </c>
      <c r="C313" s="22">
        <v>719350.0</v>
      </c>
      <c r="D313" s="23">
        <v>314120.0</v>
      </c>
      <c r="E313" s="24"/>
      <c r="F313" s="25"/>
      <c r="G313" s="26">
        <v>127500.0</v>
      </c>
      <c r="H313" s="27"/>
      <c r="I313" s="27"/>
      <c r="J313" s="28"/>
      <c r="K313" s="29">
        <v>193600.0</v>
      </c>
      <c r="L313" s="30">
        <v>409450.0</v>
      </c>
      <c r="M313" s="31"/>
      <c r="N313" s="166"/>
      <c r="O313" s="33"/>
      <c r="P313" s="40"/>
      <c r="Q313" s="35"/>
      <c r="R313" s="33"/>
      <c r="S313" s="33"/>
      <c r="T313" s="35"/>
      <c r="U313" s="35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</row>
    <row r="314">
      <c r="A314" s="367" t="s">
        <v>28</v>
      </c>
      <c r="B314" s="368"/>
      <c r="C314" s="95">
        <f>SUM(C285:C313)</f>
        <v>18729230</v>
      </c>
      <c r="D314" s="95"/>
      <c r="E314" s="95"/>
      <c r="F314" s="95"/>
      <c r="G314" s="95"/>
      <c r="H314" s="95"/>
      <c r="I314" s="95"/>
      <c r="J314" s="95"/>
      <c r="K314" s="95"/>
      <c r="L314" s="73"/>
      <c r="M314" s="31"/>
      <c r="N314" s="39"/>
      <c r="O314" s="33"/>
      <c r="P314" s="40"/>
      <c r="Q314" s="35"/>
      <c r="R314" s="33"/>
      <c r="S314" s="33"/>
      <c r="T314" s="35"/>
      <c r="U314" s="35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</row>
    <row r="315">
      <c r="A315" s="38" t="s">
        <v>33</v>
      </c>
      <c r="B315" s="100">
        <v>45689.0</v>
      </c>
      <c r="C315" s="22">
        <v>705740.0</v>
      </c>
      <c r="D315" s="23">
        <v>314600.0</v>
      </c>
      <c r="E315" s="24"/>
      <c r="F315" s="25"/>
      <c r="G315" s="26">
        <v>182700.0</v>
      </c>
      <c r="H315" s="27"/>
      <c r="I315" s="27"/>
      <c r="J315" s="28"/>
      <c r="K315" s="29">
        <v>134400.0</v>
      </c>
      <c r="L315" s="30">
        <v>391140.0</v>
      </c>
      <c r="M315" s="31"/>
      <c r="N315" s="32"/>
      <c r="O315" s="34"/>
      <c r="P315" s="40"/>
      <c r="Q315" s="35"/>
      <c r="R315" s="33"/>
      <c r="S315" s="33"/>
      <c r="T315" s="34"/>
      <c r="U315" s="34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</row>
    <row r="316">
      <c r="A316" s="212" t="s">
        <v>27</v>
      </c>
      <c r="B316" s="100">
        <v>45690.0</v>
      </c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31"/>
      <c r="N316" s="39"/>
      <c r="O316" s="33"/>
      <c r="P316" s="40"/>
      <c r="Q316" s="35"/>
      <c r="R316" s="33"/>
      <c r="S316" s="33"/>
      <c r="T316" s="35"/>
      <c r="U316" s="35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</row>
    <row r="317">
      <c r="A317" s="38" t="s">
        <v>21</v>
      </c>
      <c r="B317" s="100">
        <v>45691.0</v>
      </c>
      <c r="C317" s="22">
        <v>462680.0</v>
      </c>
      <c r="D317" s="23">
        <v>254130.0</v>
      </c>
      <c r="E317" s="24"/>
      <c r="F317" s="25"/>
      <c r="G317" s="26">
        <v>114000.0</v>
      </c>
      <c r="H317" s="27"/>
      <c r="I317" s="27"/>
      <c r="J317" s="28"/>
      <c r="K317" s="29">
        <v>143520.0</v>
      </c>
      <c r="L317" s="30">
        <v>204930.0</v>
      </c>
      <c r="M317" s="31"/>
      <c r="N317" s="39"/>
      <c r="O317" s="33"/>
      <c r="P317" s="40"/>
      <c r="Q317" s="35"/>
      <c r="R317" s="33"/>
      <c r="S317" s="33"/>
      <c r="T317" s="35"/>
      <c r="U317" s="35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</row>
    <row r="318">
      <c r="A318" s="38" t="s">
        <v>22</v>
      </c>
      <c r="B318" s="100">
        <v>45692.0</v>
      </c>
      <c r="C318" s="22">
        <v>857170.0</v>
      </c>
      <c r="D318" s="23">
        <v>576730.0</v>
      </c>
      <c r="E318" s="24"/>
      <c r="F318" s="25"/>
      <c r="G318" s="26">
        <v>266300.0</v>
      </c>
      <c r="H318" s="27"/>
      <c r="I318" s="27"/>
      <c r="J318" s="28"/>
      <c r="K318" s="29">
        <v>249330.0</v>
      </c>
      <c r="L318" s="30">
        <v>311240.0</v>
      </c>
      <c r="M318" s="31"/>
      <c r="N318" s="32"/>
      <c r="O318" s="33"/>
      <c r="P318" s="40"/>
      <c r="Q318" s="35"/>
      <c r="R318" s="33"/>
      <c r="S318" s="33"/>
      <c r="T318" s="35"/>
      <c r="U318" s="35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</row>
    <row r="319">
      <c r="A319" s="38" t="s">
        <v>32</v>
      </c>
      <c r="B319" s="100">
        <v>45693.0</v>
      </c>
      <c r="C319" s="22">
        <v>627781.0</v>
      </c>
      <c r="D319" s="23">
        <v>246500.0</v>
      </c>
      <c r="E319" s="24"/>
      <c r="F319" s="25"/>
      <c r="G319" s="26">
        <v>57800.0</v>
      </c>
      <c r="H319" s="27"/>
      <c r="I319" s="27"/>
      <c r="J319" s="28"/>
      <c r="K319" s="29">
        <v>203600.0</v>
      </c>
      <c r="L319" s="30">
        <v>360181.0</v>
      </c>
      <c r="M319" s="31"/>
      <c r="N319" s="32"/>
      <c r="O319" s="33"/>
      <c r="P319" s="40"/>
      <c r="Q319" s="35"/>
      <c r="R319" s="33"/>
      <c r="S319" s="33"/>
      <c r="T319" s="35"/>
      <c r="U319" s="35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</row>
    <row r="320">
      <c r="A320" s="38" t="s">
        <v>24</v>
      </c>
      <c r="B320" s="100">
        <v>45694.0</v>
      </c>
      <c r="C320" s="22"/>
      <c r="D320" s="23"/>
      <c r="E320" s="24"/>
      <c r="F320" s="25"/>
      <c r="G320" s="26"/>
      <c r="H320" s="27"/>
      <c r="I320" s="27"/>
      <c r="J320" s="28"/>
      <c r="K320" s="29"/>
      <c r="L320" s="30"/>
      <c r="M320" s="31"/>
      <c r="N320" s="39"/>
      <c r="O320" s="33"/>
      <c r="P320" s="40"/>
      <c r="Q320" s="35"/>
      <c r="R320" s="33"/>
      <c r="S320" s="33"/>
      <c r="T320" s="35"/>
      <c r="U320" s="35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</row>
    <row r="321">
      <c r="A321" s="38" t="s">
        <v>25</v>
      </c>
      <c r="B321" s="100">
        <v>45695.0</v>
      </c>
      <c r="C321" s="22">
        <v>1810300.0</v>
      </c>
      <c r="D321" s="23">
        <v>1100290.0</v>
      </c>
      <c r="E321" s="24"/>
      <c r="F321" s="25"/>
      <c r="G321" s="26">
        <v>649060.0</v>
      </c>
      <c r="H321" s="27"/>
      <c r="I321" s="27"/>
      <c r="J321" s="28"/>
      <c r="K321" s="29">
        <v>519070.0</v>
      </c>
      <c r="L321" s="30">
        <v>642170.0</v>
      </c>
      <c r="M321" s="49" t="s">
        <v>752</v>
      </c>
      <c r="N321" s="32"/>
      <c r="O321" s="33"/>
      <c r="P321" s="40"/>
      <c r="Q321" s="35"/>
      <c r="R321" s="33"/>
      <c r="S321" s="33"/>
      <c r="T321" s="35"/>
      <c r="U321" s="35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</row>
    <row r="322">
      <c r="A322" s="38" t="s">
        <v>33</v>
      </c>
      <c r="B322" s="100">
        <v>45696.0</v>
      </c>
      <c r="C322" s="22">
        <v>712280.0</v>
      </c>
      <c r="D322" s="23">
        <v>505970.0</v>
      </c>
      <c r="E322" s="24"/>
      <c r="F322" s="25"/>
      <c r="G322" s="26">
        <v>360210.0</v>
      </c>
      <c r="H322" s="27"/>
      <c r="I322" s="27"/>
      <c r="J322" s="28"/>
      <c r="K322" s="29">
        <v>164280.0</v>
      </c>
      <c r="L322" s="30">
        <v>187790.0</v>
      </c>
      <c r="M322" s="31"/>
      <c r="N322" s="32"/>
      <c r="O322" s="33"/>
      <c r="P322" s="40"/>
      <c r="Q322" s="35"/>
      <c r="R322" s="33"/>
      <c r="S322" s="33"/>
      <c r="T322" s="35"/>
      <c r="U322" s="35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</row>
    <row r="323">
      <c r="A323" s="150" t="s">
        <v>27</v>
      </c>
      <c r="B323" s="100">
        <v>45697.0</v>
      </c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31"/>
      <c r="N323" s="32"/>
      <c r="O323" s="33"/>
      <c r="P323" s="40"/>
      <c r="Q323" s="35"/>
      <c r="R323" s="33"/>
      <c r="S323" s="33"/>
      <c r="T323" s="35"/>
      <c r="U323" s="35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</row>
    <row r="324">
      <c r="A324" s="38" t="s">
        <v>21</v>
      </c>
      <c r="B324" s="100">
        <v>45698.0</v>
      </c>
      <c r="C324" s="22">
        <v>593830.0</v>
      </c>
      <c r="D324" s="23">
        <v>293170.0</v>
      </c>
      <c r="E324" s="24"/>
      <c r="F324" s="25"/>
      <c r="G324" s="26">
        <v>122000.0</v>
      </c>
      <c r="H324" s="27"/>
      <c r="I324" s="27"/>
      <c r="J324" s="28"/>
      <c r="K324" s="29">
        <v>179870.0</v>
      </c>
      <c r="L324" s="30">
        <v>291960.0</v>
      </c>
      <c r="M324" s="31"/>
      <c r="N324" s="39"/>
      <c r="O324" s="33"/>
      <c r="P324" s="40"/>
      <c r="Q324" s="35"/>
      <c r="R324" s="33"/>
      <c r="S324" s="33"/>
      <c r="T324" s="35"/>
      <c r="U324" s="35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</row>
    <row r="325">
      <c r="A325" s="38" t="s">
        <v>22</v>
      </c>
      <c r="B325" s="100">
        <v>45699.0</v>
      </c>
      <c r="C325" s="22">
        <v>849470.0</v>
      </c>
      <c r="D325" s="23">
        <v>595700.0</v>
      </c>
      <c r="E325" s="24"/>
      <c r="F325" s="25"/>
      <c r="G325" s="26">
        <v>318400.0</v>
      </c>
      <c r="H325" s="27"/>
      <c r="I325" s="27"/>
      <c r="J325" s="28"/>
      <c r="K325" s="29">
        <v>273100.0</v>
      </c>
      <c r="L325" s="30">
        <v>253770.0</v>
      </c>
      <c r="M325" s="31"/>
      <c r="N325" s="32"/>
      <c r="O325" s="33"/>
      <c r="P325" s="40"/>
      <c r="Q325" s="35"/>
      <c r="R325" s="33"/>
      <c r="S325" s="33"/>
      <c r="T325" s="35"/>
      <c r="U325" s="35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</row>
    <row r="326">
      <c r="A326" s="38" t="s">
        <v>32</v>
      </c>
      <c r="B326" s="100">
        <v>45700.0</v>
      </c>
      <c r="C326" s="22">
        <v>796540.0</v>
      </c>
      <c r="D326" s="23">
        <v>413900.0</v>
      </c>
      <c r="E326" s="24"/>
      <c r="F326" s="25"/>
      <c r="G326" s="26">
        <v>158200.0</v>
      </c>
      <c r="H326" s="27"/>
      <c r="I326" s="27"/>
      <c r="J326" s="28"/>
      <c r="K326" s="29">
        <v>273900.0</v>
      </c>
      <c r="L326" s="30">
        <v>364440.0</v>
      </c>
      <c r="M326" s="31"/>
      <c r="N326" s="39"/>
      <c r="O326" s="33"/>
      <c r="P326" s="40"/>
      <c r="Q326" s="35"/>
      <c r="R326" s="33"/>
      <c r="S326" s="33"/>
      <c r="T326" s="35"/>
      <c r="U326" s="35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</row>
    <row r="327">
      <c r="A327" s="38" t="s">
        <v>24</v>
      </c>
      <c r="B327" s="100">
        <v>45701.0</v>
      </c>
      <c r="C327" s="22">
        <v>696950.0</v>
      </c>
      <c r="D327" s="23">
        <v>445160.0</v>
      </c>
      <c r="E327" s="24"/>
      <c r="F327" s="25"/>
      <c r="G327" s="26">
        <v>193340.0</v>
      </c>
      <c r="H327" s="27"/>
      <c r="I327" s="27"/>
      <c r="J327" s="28"/>
      <c r="K327" s="29">
        <v>238740.0</v>
      </c>
      <c r="L327" s="30">
        <v>264870.0</v>
      </c>
      <c r="M327" s="31"/>
      <c r="N327" s="32"/>
      <c r="O327" s="33"/>
      <c r="P327" s="40"/>
      <c r="Q327" s="35"/>
      <c r="R327" s="33"/>
      <c r="S327" s="33"/>
      <c r="T327" s="35"/>
      <c r="U327" s="35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</row>
    <row r="328">
      <c r="A328" s="38" t="s">
        <v>25</v>
      </c>
      <c r="B328" s="100">
        <v>45702.0</v>
      </c>
      <c r="C328" s="22">
        <v>1179970.0</v>
      </c>
      <c r="D328" s="23">
        <v>567770.0</v>
      </c>
      <c r="E328" s="24"/>
      <c r="F328" s="25"/>
      <c r="G328" s="26">
        <v>378500.0</v>
      </c>
      <c r="H328" s="27"/>
      <c r="I328" s="27"/>
      <c r="J328" s="28"/>
      <c r="K328" s="29">
        <v>247370.0</v>
      </c>
      <c r="L328" s="30">
        <v>554100.0</v>
      </c>
      <c r="M328" s="31"/>
      <c r="N328" s="32"/>
      <c r="O328" s="33"/>
      <c r="P328" s="40"/>
      <c r="Q328" s="35"/>
      <c r="R328" s="33"/>
      <c r="S328" s="33"/>
      <c r="T328" s="35"/>
      <c r="U328" s="35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</row>
    <row r="329">
      <c r="A329" s="38" t="s">
        <v>33</v>
      </c>
      <c r="B329" s="100">
        <v>45703.0</v>
      </c>
      <c r="C329" s="22">
        <v>731960.0</v>
      </c>
      <c r="D329" s="23">
        <v>390140.0</v>
      </c>
      <c r="E329" s="24"/>
      <c r="F329" s="25"/>
      <c r="G329" s="26">
        <v>199500.0</v>
      </c>
      <c r="H329" s="27"/>
      <c r="I329" s="27"/>
      <c r="J329" s="28"/>
      <c r="K329" s="29">
        <v>155460.0</v>
      </c>
      <c r="L329" s="30">
        <v>377000.0</v>
      </c>
      <c r="M329" s="31"/>
      <c r="N329" s="32"/>
      <c r="O329" s="33"/>
      <c r="P329" s="40"/>
      <c r="Q329" s="35"/>
      <c r="R329" s="33"/>
      <c r="S329" s="33"/>
      <c r="T329" s="35"/>
      <c r="U329" s="35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</row>
    <row r="330">
      <c r="A330" s="212" t="s">
        <v>27</v>
      </c>
      <c r="B330" s="100">
        <v>45704.0</v>
      </c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31"/>
      <c r="N330" s="32"/>
      <c r="O330" s="33"/>
      <c r="P330" s="40"/>
      <c r="Q330" s="35"/>
      <c r="R330" s="33"/>
      <c r="S330" s="33"/>
      <c r="T330" s="35"/>
      <c r="U330" s="35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</row>
    <row r="331">
      <c r="A331" s="38" t="s">
        <v>21</v>
      </c>
      <c r="B331" s="100">
        <v>45705.0</v>
      </c>
      <c r="C331" s="22">
        <v>996080.0</v>
      </c>
      <c r="D331" s="23">
        <v>691770.0</v>
      </c>
      <c r="E331" s="24"/>
      <c r="F331" s="25"/>
      <c r="G331" s="26">
        <v>343810.0</v>
      </c>
      <c r="H331" s="27"/>
      <c r="I331" s="27"/>
      <c r="J331" s="28"/>
      <c r="K331" s="29">
        <v>299160.0</v>
      </c>
      <c r="L331" s="30">
        <v>345610.0</v>
      </c>
      <c r="M331" s="31"/>
      <c r="N331" s="32"/>
      <c r="O331" s="33"/>
      <c r="P331" s="40"/>
      <c r="Q331" s="35"/>
      <c r="R331" s="33"/>
      <c r="S331" s="33"/>
      <c r="T331" s="35"/>
      <c r="U331" s="35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</row>
    <row r="332">
      <c r="A332" s="38" t="s">
        <v>22</v>
      </c>
      <c r="B332" s="100">
        <v>45706.0</v>
      </c>
      <c r="C332" s="22">
        <v>965790.0</v>
      </c>
      <c r="D332" s="23">
        <v>632880.0</v>
      </c>
      <c r="E332" s="24"/>
      <c r="F332" s="25"/>
      <c r="G332" s="26">
        <v>359730.0</v>
      </c>
      <c r="H332" s="27"/>
      <c r="I332" s="27"/>
      <c r="J332" s="28"/>
      <c r="K332" s="29">
        <v>244530.0</v>
      </c>
      <c r="L332" s="30">
        <v>361530.0</v>
      </c>
      <c r="M332" s="31"/>
      <c r="N332" s="32"/>
      <c r="O332" s="33"/>
      <c r="P332" s="40"/>
      <c r="Q332" s="35"/>
      <c r="R332" s="33"/>
      <c r="S332" s="33"/>
      <c r="T332" s="35"/>
      <c r="U332" s="35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</row>
    <row r="333">
      <c r="A333" s="38" t="s">
        <v>32</v>
      </c>
      <c r="B333" s="100">
        <v>45707.0</v>
      </c>
      <c r="C333" s="22">
        <v>975350.0</v>
      </c>
      <c r="D333" s="23">
        <v>686650.0</v>
      </c>
      <c r="E333" s="24"/>
      <c r="F333" s="25"/>
      <c r="G333" s="26">
        <v>384800.0</v>
      </c>
      <c r="H333" s="27"/>
      <c r="I333" s="27"/>
      <c r="J333" s="28"/>
      <c r="K333" s="29">
        <v>305460.0</v>
      </c>
      <c r="L333" s="30">
        <v>273290.0</v>
      </c>
      <c r="M333" s="31"/>
      <c r="N333" s="32"/>
      <c r="O333" s="33"/>
      <c r="P333" s="40"/>
      <c r="Q333" s="35"/>
      <c r="R333" s="33"/>
      <c r="S333" s="33"/>
      <c r="T333" s="35"/>
      <c r="U333" s="35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</row>
    <row r="334">
      <c r="A334" s="38" t="s">
        <v>24</v>
      </c>
      <c r="B334" s="100">
        <v>45708.0</v>
      </c>
      <c r="C334" s="22">
        <v>1158360.0</v>
      </c>
      <c r="D334" s="23">
        <v>820310.0</v>
      </c>
      <c r="E334" s="24"/>
      <c r="F334" s="25"/>
      <c r="G334" s="26">
        <v>392850.0</v>
      </c>
      <c r="H334" s="27"/>
      <c r="I334" s="27"/>
      <c r="J334" s="28"/>
      <c r="K334" s="29">
        <v>411460.0</v>
      </c>
      <c r="L334" s="30">
        <v>332550.0</v>
      </c>
      <c r="M334" s="31"/>
      <c r="N334" s="39"/>
      <c r="O334" s="33"/>
      <c r="P334" s="40"/>
      <c r="Q334" s="35"/>
      <c r="R334" s="33"/>
      <c r="S334" s="33"/>
      <c r="T334" s="35"/>
      <c r="U334" s="35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</row>
    <row r="335">
      <c r="A335" s="38" t="s">
        <v>25</v>
      </c>
      <c r="B335" s="100">
        <v>45709.0</v>
      </c>
      <c r="C335" s="22">
        <v>578250.0</v>
      </c>
      <c r="D335" s="23">
        <v>405720.0</v>
      </c>
      <c r="E335" s="24"/>
      <c r="F335" s="25"/>
      <c r="G335" s="26">
        <v>191800.0</v>
      </c>
      <c r="H335" s="27"/>
      <c r="I335" s="27"/>
      <c r="J335" s="28"/>
      <c r="K335" s="29">
        <v>210500.0</v>
      </c>
      <c r="L335" s="30">
        <v>175950.0</v>
      </c>
      <c r="M335" s="31"/>
      <c r="N335" s="32"/>
      <c r="O335" s="33"/>
      <c r="P335" s="40"/>
      <c r="Q335" s="35"/>
      <c r="R335" s="33"/>
      <c r="S335" s="33"/>
      <c r="T335" s="35"/>
      <c r="U335" s="35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</row>
    <row r="336">
      <c r="A336" s="38" t="s">
        <v>33</v>
      </c>
      <c r="B336" s="100">
        <v>45710.0</v>
      </c>
      <c r="C336" s="22">
        <v>844130.0</v>
      </c>
      <c r="D336" s="23">
        <v>621380.0</v>
      </c>
      <c r="E336" s="24"/>
      <c r="F336" s="25"/>
      <c r="G336" s="26">
        <v>339580.0</v>
      </c>
      <c r="H336" s="27"/>
      <c r="I336" s="27"/>
      <c r="J336" s="28"/>
      <c r="K336" s="29">
        <v>281800.0</v>
      </c>
      <c r="L336" s="30">
        <v>222750.0</v>
      </c>
      <c r="M336" s="31"/>
      <c r="N336" s="32"/>
      <c r="O336" s="33"/>
      <c r="P336" s="40"/>
      <c r="Q336" s="35"/>
      <c r="R336" s="33"/>
      <c r="S336" s="33"/>
      <c r="T336" s="35"/>
      <c r="U336" s="35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</row>
    <row r="337">
      <c r="A337" s="150" t="s">
        <v>27</v>
      </c>
      <c r="B337" s="100">
        <v>45711.0</v>
      </c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31"/>
      <c r="N337" s="32"/>
      <c r="O337" s="33"/>
      <c r="P337" s="40"/>
      <c r="Q337" s="35"/>
      <c r="R337" s="33"/>
      <c r="S337" s="33"/>
      <c r="T337" s="35"/>
      <c r="U337" s="35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</row>
    <row r="338">
      <c r="A338" s="38" t="s">
        <v>21</v>
      </c>
      <c r="B338" s="100">
        <v>45712.0</v>
      </c>
      <c r="C338" s="22">
        <v>860010.0</v>
      </c>
      <c r="D338" s="23">
        <v>531400.0</v>
      </c>
      <c r="E338" s="24"/>
      <c r="F338" s="25"/>
      <c r="G338" s="26">
        <v>281600.0</v>
      </c>
      <c r="H338" s="27"/>
      <c r="I338" s="27"/>
      <c r="J338" s="28"/>
      <c r="K338" s="29">
        <v>147270.0</v>
      </c>
      <c r="L338" s="30">
        <v>431140.0</v>
      </c>
      <c r="M338" s="31"/>
      <c r="N338" s="39"/>
      <c r="O338" s="33"/>
      <c r="P338" s="40"/>
      <c r="Q338" s="35"/>
      <c r="R338" s="33"/>
      <c r="S338" s="33"/>
      <c r="T338" s="35"/>
      <c r="U338" s="35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</row>
    <row r="339">
      <c r="A339" s="38" t="s">
        <v>22</v>
      </c>
      <c r="B339" s="100">
        <v>45713.0</v>
      </c>
      <c r="C339" s="22">
        <v>997370.0</v>
      </c>
      <c r="D339" s="23">
        <v>450510.0</v>
      </c>
      <c r="E339" s="24"/>
      <c r="F339" s="25"/>
      <c r="G339" s="26">
        <v>157170.0</v>
      </c>
      <c r="H339" s="27"/>
      <c r="I339" s="27"/>
      <c r="J339" s="28"/>
      <c r="K339" s="29">
        <v>277720.0</v>
      </c>
      <c r="L339" s="30">
        <v>562480.0</v>
      </c>
      <c r="M339" s="31"/>
      <c r="N339" s="32"/>
      <c r="O339" s="33"/>
      <c r="P339" s="40"/>
      <c r="Q339" s="35"/>
      <c r="R339" s="33"/>
      <c r="S339" s="33"/>
      <c r="T339" s="35"/>
      <c r="U339" s="35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</row>
    <row r="340">
      <c r="A340" s="38" t="s">
        <v>23</v>
      </c>
      <c r="B340" s="100">
        <v>45714.0</v>
      </c>
      <c r="C340" s="22">
        <v>1012960.0</v>
      </c>
      <c r="D340" s="23">
        <v>725520.0</v>
      </c>
      <c r="E340" s="24"/>
      <c r="F340" s="25"/>
      <c r="G340" s="26">
        <v>505010.0</v>
      </c>
      <c r="H340" s="27"/>
      <c r="I340" s="27"/>
      <c r="J340" s="28"/>
      <c r="K340" s="29">
        <v>155240.0</v>
      </c>
      <c r="L340" s="30">
        <v>352710.0</v>
      </c>
      <c r="M340" s="31"/>
      <c r="N340" s="32"/>
      <c r="O340" s="33"/>
      <c r="P340" s="40"/>
      <c r="Q340" s="35"/>
      <c r="R340" s="33"/>
      <c r="S340" s="33"/>
      <c r="T340" s="35"/>
      <c r="U340" s="35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</row>
    <row r="341">
      <c r="A341" s="38" t="s">
        <v>24</v>
      </c>
      <c r="B341" s="100">
        <v>45715.0</v>
      </c>
      <c r="C341" s="22">
        <v>1107950.0</v>
      </c>
      <c r="D341" s="23">
        <v>804930.0</v>
      </c>
      <c r="E341" s="24"/>
      <c r="F341" s="25"/>
      <c r="G341" s="35">
        <v>389760.0</v>
      </c>
      <c r="H341" s="27"/>
      <c r="I341" s="27"/>
      <c r="J341" s="28"/>
      <c r="K341" s="29">
        <v>345920.0</v>
      </c>
      <c r="L341" s="30">
        <v>354770.0</v>
      </c>
      <c r="M341" s="31"/>
      <c r="N341" s="32"/>
      <c r="O341" s="33"/>
      <c r="P341" s="40"/>
      <c r="Q341" s="35"/>
      <c r="R341" s="33"/>
      <c r="S341" s="33"/>
      <c r="T341" s="35"/>
      <c r="U341" s="35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</row>
    <row r="342" ht="15.75" customHeight="1">
      <c r="A342" s="38" t="s">
        <v>25</v>
      </c>
      <c r="B342" s="100">
        <v>45716.0</v>
      </c>
      <c r="C342" s="22">
        <v>861990.0</v>
      </c>
      <c r="D342" s="23">
        <v>428820.0</v>
      </c>
      <c r="E342" s="24"/>
      <c r="F342" s="25"/>
      <c r="G342" s="35">
        <v>209360.0</v>
      </c>
      <c r="H342" s="27"/>
      <c r="I342" s="27"/>
      <c r="J342" s="28"/>
      <c r="K342" s="29">
        <v>209910.0</v>
      </c>
      <c r="L342" s="30">
        <v>439920.0</v>
      </c>
      <c r="M342" s="74"/>
      <c r="N342" s="32"/>
      <c r="O342" s="33"/>
      <c r="P342" s="40"/>
      <c r="Q342" s="35"/>
      <c r="R342" s="33"/>
      <c r="S342" s="33"/>
      <c r="T342" s="35"/>
      <c r="U342" s="35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</row>
    <row r="343">
      <c r="A343" s="367" t="s">
        <v>28</v>
      </c>
      <c r="B343" s="368"/>
      <c r="C343" s="95">
        <f>SUM(C315:C342)</f>
        <v>20382911</v>
      </c>
      <c r="D343" s="95"/>
      <c r="E343" s="95"/>
      <c r="F343" s="95"/>
      <c r="G343" s="95"/>
      <c r="H343" s="95"/>
      <c r="I343" s="95"/>
      <c r="J343" s="95"/>
      <c r="K343" s="95"/>
      <c r="L343" s="73"/>
      <c r="M343" s="31"/>
      <c r="N343" s="32"/>
      <c r="O343" s="33"/>
      <c r="P343" s="34"/>
      <c r="Q343" s="35"/>
      <c r="R343" s="33"/>
      <c r="S343" s="33"/>
      <c r="T343" s="35"/>
      <c r="U343" s="35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</row>
    <row r="344">
      <c r="A344" s="38" t="s">
        <v>26</v>
      </c>
      <c r="B344" s="100">
        <v>45717.0</v>
      </c>
      <c r="C344" s="22">
        <v>822800.0</v>
      </c>
      <c r="D344" s="23">
        <v>502970.0</v>
      </c>
      <c r="E344" s="24"/>
      <c r="F344" s="25"/>
      <c r="G344" s="26">
        <v>289880.0</v>
      </c>
      <c r="H344" s="218"/>
      <c r="I344" s="218"/>
      <c r="J344" s="28"/>
      <c r="K344" s="29">
        <v>188850.0</v>
      </c>
      <c r="L344" s="30">
        <v>338370.0</v>
      </c>
      <c r="M344" s="49"/>
      <c r="N344" s="166"/>
      <c r="O344" s="33"/>
      <c r="P344" s="34"/>
      <c r="Q344" s="35"/>
      <c r="R344" s="33"/>
      <c r="S344" s="33"/>
      <c r="T344" s="35"/>
      <c r="U344" s="35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</row>
    <row r="345">
      <c r="A345" s="219" t="s">
        <v>27</v>
      </c>
      <c r="B345" s="100">
        <v>45718.0</v>
      </c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31"/>
      <c r="N345" s="32"/>
      <c r="O345" s="33"/>
      <c r="P345" s="34"/>
      <c r="Q345" s="35"/>
      <c r="R345" s="33"/>
      <c r="S345" s="33"/>
      <c r="T345" s="35"/>
      <c r="U345" s="35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</row>
    <row r="346">
      <c r="A346" s="38" t="s">
        <v>21</v>
      </c>
      <c r="B346" s="100">
        <v>45719.0</v>
      </c>
      <c r="C346" s="22">
        <v>566090.0</v>
      </c>
      <c r="D346" s="23">
        <v>442280.0</v>
      </c>
      <c r="E346" s="24"/>
      <c r="F346" s="25"/>
      <c r="G346" s="26">
        <v>372400.0</v>
      </c>
      <c r="H346" s="27"/>
      <c r="I346" s="27"/>
      <c r="J346" s="28"/>
      <c r="K346" s="29">
        <v>32100.0</v>
      </c>
      <c r="L346" s="30">
        <v>132390.0</v>
      </c>
      <c r="M346" s="31"/>
      <c r="N346" s="32"/>
      <c r="O346" s="61"/>
      <c r="P346" s="67"/>
      <c r="Q346" s="67"/>
      <c r="R346" s="67"/>
      <c r="S346" s="67"/>
      <c r="T346" s="61"/>
      <c r="U346" s="61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</row>
    <row r="347">
      <c r="A347" s="38" t="s">
        <v>22</v>
      </c>
      <c r="B347" s="100">
        <v>45720.0</v>
      </c>
      <c r="C347" s="22">
        <v>683880.0</v>
      </c>
      <c r="D347" s="23">
        <v>511300.0</v>
      </c>
      <c r="E347" s="24"/>
      <c r="F347" s="25"/>
      <c r="G347" s="26">
        <v>277810.0</v>
      </c>
      <c r="H347" s="27"/>
      <c r="I347" s="27"/>
      <c r="J347" s="28"/>
      <c r="K347" s="29">
        <v>202980.0</v>
      </c>
      <c r="L347" s="30">
        <v>203090.0</v>
      </c>
      <c r="M347" s="31"/>
      <c r="N347" s="39"/>
      <c r="O347" s="33"/>
      <c r="P347" s="40"/>
      <c r="Q347" s="35"/>
      <c r="R347" s="33"/>
      <c r="S347" s="33"/>
      <c r="T347" s="35"/>
      <c r="U347" s="35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</row>
    <row r="348">
      <c r="A348" s="38" t="s">
        <v>32</v>
      </c>
      <c r="B348" s="100">
        <v>45721.0</v>
      </c>
      <c r="C348" s="22">
        <v>916720.0</v>
      </c>
      <c r="D348" s="23">
        <v>582490.0</v>
      </c>
      <c r="E348" s="24"/>
      <c r="F348" s="25"/>
      <c r="G348" s="26">
        <v>316420.0</v>
      </c>
      <c r="H348" s="27"/>
      <c r="I348" s="27"/>
      <c r="J348" s="28"/>
      <c r="K348" s="29">
        <v>261270.0</v>
      </c>
      <c r="L348" s="30">
        <v>339030.0</v>
      </c>
      <c r="M348" s="49"/>
      <c r="N348" s="32"/>
      <c r="O348" s="33"/>
      <c r="P348" s="40"/>
      <c r="Q348" s="35"/>
      <c r="R348" s="33"/>
      <c r="S348" s="33"/>
      <c r="T348" s="35"/>
      <c r="U348" s="35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</row>
    <row r="349">
      <c r="A349" s="38" t="s">
        <v>24</v>
      </c>
      <c r="B349" s="100">
        <v>45722.0</v>
      </c>
      <c r="C349" s="22">
        <v>640430.0</v>
      </c>
      <c r="D349" s="23">
        <v>379470.0</v>
      </c>
      <c r="E349" s="24"/>
      <c r="F349" s="25"/>
      <c r="G349" s="26">
        <v>132900.0</v>
      </c>
      <c r="H349" s="27"/>
      <c r="I349" s="27"/>
      <c r="J349" s="28"/>
      <c r="K349" s="29">
        <v>184470.0</v>
      </c>
      <c r="L349" s="30">
        <v>323060.0</v>
      </c>
      <c r="M349" s="31"/>
      <c r="N349" s="39"/>
      <c r="O349" s="33"/>
      <c r="P349" s="40"/>
      <c r="Q349" s="35"/>
      <c r="R349" s="33"/>
      <c r="S349" s="33"/>
      <c r="T349" s="35"/>
      <c r="U349" s="35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</row>
    <row r="350">
      <c r="A350" s="38" t="s">
        <v>25</v>
      </c>
      <c r="B350" s="100">
        <v>45723.0</v>
      </c>
      <c r="C350" s="22">
        <v>971990.0</v>
      </c>
      <c r="D350" s="23">
        <v>577520.0</v>
      </c>
      <c r="E350" s="24"/>
      <c r="F350" s="25"/>
      <c r="G350" s="26">
        <v>315650.0</v>
      </c>
      <c r="H350" s="27"/>
      <c r="I350" s="27"/>
      <c r="J350" s="28"/>
      <c r="K350" s="29">
        <v>229570.0</v>
      </c>
      <c r="L350" s="30">
        <v>414270.0</v>
      </c>
      <c r="M350" s="49"/>
      <c r="N350" s="32"/>
      <c r="O350" s="33"/>
      <c r="P350" s="40"/>
      <c r="Q350" s="35"/>
      <c r="R350" s="33"/>
      <c r="S350" s="33"/>
      <c r="T350" s="35"/>
      <c r="U350" s="35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</row>
    <row r="351">
      <c r="A351" s="38" t="s">
        <v>33</v>
      </c>
      <c r="B351" s="100">
        <v>45724.0</v>
      </c>
      <c r="C351" s="22">
        <v>1135700.0</v>
      </c>
      <c r="D351" s="23">
        <v>687660.0</v>
      </c>
      <c r="E351" s="24"/>
      <c r="F351" s="25"/>
      <c r="G351" s="26">
        <v>384100.0</v>
      </c>
      <c r="H351" s="27"/>
      <c r="I351" s="27"/>
      <c r="J351" s="28"/>
      <c r="K351" s="29">
        <v>292459.0</v>
      </c>
      <c r="L351" s="30">
        <v>426550.0</v>
      </c>
      <c r="M351" s="49"/>
      <c r="N351" s="32"/>
      <c r="O351" s="33"/>
      <c r="P351" s="40"/>
      <c r="Q351" s="35"/>
      <c r="R351" s="33"/>
      <c r="S351" s="33"/>
      <c r="T351" s="35"/>
      <c r="U351" s="35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</row>
    <row r="352">
      <c r="A352" s="219" t="s">
        <v>27</v>
      </c>
      <c r="B352" s="100">
        <v>45725.0</v>
      </c>
      <c r="C352" s="160"/>
      <c r="D352" s="160"/>
      <c r="E352" s="160"/>
      <c r="F352" s="160"/>
      <c r="G352" s="160"/>
      <c r="H352" s="160"/>
      <c r="I352" s="160"/>
      <c r="J352" s="28"/>
      <c r="K352" s="160"/>
      <c r="L352" s="160"/>
      <c r="M352" s="31"/>
      <c r="N352" s="39"/>
      <c r="O352" s="33"/>
      <c r="P352" s="40"/>
      <c r="Q352" s="35"/>
      <c r="R352" s="33"/>
      <c r="S352" s="33"/>
      <c r="T352" s="35"/>
      <c r="U352" s="35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</row>
    <row r="353">
      <c r="A353" s="38" t="s">
        <v>21</v>
      </c>
      <c r="B353" s="100">
        <v>45726.0</v>
      </c>
      <c r="C353" s="22">
        <v>760890.0</v>
      </c>
      <c r="D353" s="23">
        <v>489990.0</v>
      </c>
      <c r="E353" s="24"/>
      <c r="F353" s="25"/>
      <c r="G353" s="26">
        <v>282200.0</v>
      </c>
      <c r="H353" s="27"/>
      <c r="I353" s="27"/>
      <c r="J353" s="28"/>
      <c r="K353" s="29">
        <v>168900.0</v>
      </c>
      <c r="L353" s="30">
        <v>317930.0</v>
      </c>
      <c r="M353" s="49"/>
      <c r="N353" s="32"/>
      <c r="O353" s="33"/>
      <c r="P353" s="40"/>
      <c r="Q353" s="35"/>
      <c r="R353" s="33"/>
      <c r="S353" s="33"/>
      <c r="T353" s="35"/>
      <c r="U353" s="35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</row>
    <row r="354">
      <c r="A354" s="38" t="s">
        <v>22</v>
      </c>
      <c r="B354" s="100">
        <v>45727.0</v>
      </c>
      <c r="C354" s="22">
        <v>958470.0</v>
      </c>
      <c r="D354" s="23">
        <v>598470.0</v>
      </c>
      <c r="E354" s="24"/>
      <c r="F354" s="25"/>
      <c r="G354" s="26">
        <v>247800.0</v>
      </c>
      <c r="H354" s="27"/>
      <c r="I354" s="27"/>
      <c r="J354" s="28"/>
      <c r="K354" s="29">
        <v>265170.0</v>
      </c>
      <c r="L354" s="30">
        <v>384300.0</v>
      </c>
      <c r="M354" s="31"/>
      <c r="N354" s="39"/>
      <c r="O354" s="33"/>
      <c r="P354" s="40"/>
      <c r="Q354" s="35"/>
      <c r="R354" s="33"/>
      <c r="S354" s="33"/>
      <c r="T354" s="35"/>
      <c r="U354" s="35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</row>
    <row r="355">
      <c r="A355" s="38" t="s">
        <v>32</v>
      </c>
      <c r="B355" s="100">
        <v>45728.0</v>
      </c>
      <c r="C355" s="22">
        <v>1001450.0</v>
      </c>
      <c r="D355" s="23">
        <v>699610.0</v>
      </c>
      <c r="E355" s="24"/>
      <c r="F355" s="25"/>
      <c r="G355" s="26">
        <v>360800.0</v>
      </c>
      <c r="H355" s="27"/>
      <c r="I355" s="27"/>
      <c r="J355" s="28"/>
      <c r="K355" s="29">
        <v>254550.0</v>
      </c>
      <c r="L355" s="30">
        <v>386100.0</v>
      </c>
      <c r="M355" s="39"/>
      <c r="N355" s="39"/>
      <c r="O355" s="33"/>
      <c r="P355" s="40"/>
      <c r="Q355" s="35"/>
      <c r="R355" s="33"/>
      <c r="S355" s="33"/>
      <c r="T355" s="35"/>
      <c r="U355" s="35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</row>
    <row r="356">
      <c r="A356" s="38" t="s">
        <v>24</v>
      </c>
      <c r="B356" s="100">
        <v>45729.0</v>
      </c>
      <c r="C356" s="22">
        <v>1259799.0</v>
      </c>
      <c r="D356" s="23">
        <v>936319.0</v>
      </c>
      <c r="E356" s="24"/>
      <c r="F356" s="25"/>
      <c r="G356" s="26">
        <v>340300.0</v>
      </c>
      <c r="H356" s="27"/>
      <c r="I356" s="27"/>
      <c r="J356" s="28"/>
      <c r="K356" s="29">
        <v>367530.0</v>
      </c>
      <c r="L356" s="30">
        <v>348700.0</v>
      </c>
      <c r="M356" s="31"/>
      <c r="N356" s="39"/>
      <c r="O356" s="33"/>
      <c r="P356" s="40"/>
      <c r="Q356" s="35"/>
      <c r="R356" s="33"/>
      <c r="S356" s="33"/>
      <c r="T356" s="35"/>
      <c r="U356" s="35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</row>
    <row r="357">
      <c r="A357" s="38" t="s">
        <v>25</v>
      </c>
      <c r="B357" s="100">
        <v>45730.0</v>
      </c>
      <c r="C357" s="22">
        <v>957000.0</v>
      </c>
      <c r="D357" s="23">
        <v>610180.0</v>
      </c>
      <c r="E357" s="24"/>
      <c r="F357" s="25"/>
      <c r="G357" s="26">
        <v>253200.0</v>
      </c>
      <c r="H357" s="27"/>
      <c r="I357" s="27"/>
      <c r="J357" s="28"/>
      <c r="K357" s="29">
        <v>262600.0</v>
      </c>
      <c r="L357" s="30">
        <v>366200.0</v>
      </c>
      <c r="M357" s="31"/>
      <c r="N357" s="32"/>
      <c r="O357" s="33"/>
      <c r="P357" s="40"/>
      <c r="Q357" s="35"/>
      <c r="R357" s="33"/>
      <c r="S357" s="33"/>
      <c r="T357" s="35"/>
      <c r="U357" s="35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</row>
    <row r="358">
      <c r="A358" s="38" t="s">
        <v>33</v>
      </c>
      <c r="B358" s="100">
        <v>45731.0</v>
      </c>
      <c r="C358" s="22">
        <v>949730.0</v>
      </c>
      <c r="D358" s="23">
        <v>404340.0</v>
      </c>
      <c r="E358" s="24"/>
      <c r="F358" s="25"/>
      <c r="G358" s="26">
        <v>221000.0</v>
      </c>
      <c r="H358" s="27"/>
      <c r="I358" s="27"/>
      <c r="J358" s="28"/>
      <c r="K358" s="29">
        <v>198440.0</v>
      </c>
      <c r="L358" s="30">
        <v>534290.0</v>
      </c>
      <c r="M358" s="31"/>
      <c r="N358" s="39"/>
      <c r="O358" s="33"/>
      <c r="P358" s="40"/>
      <c r="Q358" s="35"/>
      <c r="R358" s="33"/>
      <c r="S358" s="33"/>
      <c r="T358" s="35"/>
      <c r="U358" s="35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</row>
    <row r="359">
      <c r="A359" s="219" t="s">
        <v>27</v>
      </c>
      <c r="B359" s="100">
        <v>45732.0</v>
      </c>
      <c r="C359" s="160"/>
      <c r="D359" s="160"/>
      <c r="E359" s="160"/>
      <c r="F359" s="160"/>
      <c r="G359" s="160"/>
      <c r="H359" s="160"/>
      <c r="I359" s="160"/>
      <c r="J359" s="28"/>
      <c r="K359" s="160"/>
      <c r="L359" s="160"/>
      <c r="M359" s="31"/>
      <c r="N359" s="39"/>
      <c r="O359" s="33"/>
      <c r="P359" s="40"/>
      <c r="Q359" s="35"/>
      <c r="R359" s="33"/>
      <c r="S359" s="33"/>
      <c r="T359" s="35"/>
      <c r="U359" s="35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</row>
    <row r="360">
      <c r="A360" s="38" t="s">
        <v>21</v>
      </c>
      <c r="B360" s="100">
        <v>45733.0</v>
      </c>
      <c r="C360" s="22">
        <f>406950+687450</f>
        <v>1094400</v>
      </c>
      <c r="D360" s="23">
        <f>220950+356820</f>
        <v>577770</v>
      </c>
      <c r="E360" s="24"/>
      <c r="F360" s="25"/>
      <c r="G360" s="26">
        <f>239000+144610</f>
        <v>383610</v>
      </c>
      <c r="H360" s="27"/>
      <c r="I360" s="27"/>
      <c r="J360" s="28"/>
      <c r="K360" s="29">
        <f>131320+201380</f>
        <v>332700</v>
      </c>
      <c r="L360" s="30">
        <f>194400+317460</f>
        <v>511860</v>
      </c>
      <c r="M360" s="31"/>
      <c r="N360" s="32"/>
      <c r="O360" s="33"/>
      <c r="P360" s="40"/>
      <c r="Q360" s="35"/>
      <c r="R360" s="33"/>
      <c r="S360" s="33"/>
      <c r="T360" s="35"/>
      <c r="U360" s="35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</row>
    <row r="361">
      <c r="A361" s="38" t="s">
        <v>22</v>
      </c>
      <c r="B361" s="100">
        <v>45734.0</v>
      </c>
      <c r="C361" s="22">
        <f>459610+350160</f>
        <v>809770</v>
      </c>
      <c r="D361" s="23">
        <f>258310+231970</f>
        <v>490280</v>
      </c>
      <c r="E361" s="24"/>
      <c r="F361" s="25"/>
      <c r="G361" s="26">
        <f>72600+183900</f>
        <v>256500</v>
      </c>
      <c r="H361" s="27"/>
      <c r="I361" s="27"/>
      <c r="J361" s="28"/>
      <c r="K361" s="29">
        <f>122610+112770</f>
        <v>235380</v>
      </c>
      <c r="L361" s="30">
        <f>246400+141390</f>
        <v>387790</v>
      </c>
      <c r="M361" s="31"/>
      <c r="N361" s="39"/>
      <c r="O361" s="33"/>
      <c r="P361" s="40"/>
      <c r="Q361" s="35"/>
      <c r="R361" s="33"/>
      <c r="S361" s="33"/>
      <c r="T361" s="35"/>
      <c r="U361" s="35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</row>
    <row r="362">
      <c r="A362" s="38" t="s">
        <v>32</v>
      </c>
      <c r="B362" s="100">
        <v>45735.0</v>
      </c>
      <c r="C362" s="22">
        <f>458700+402030</f>
        <v>860730</v>
      </c>
      <c r="D362" s="23">
        <f>266730+273830</f>
        <v>540560</v>
      </c>
      <c r="E362" s="24"/>
      <c r="F362" s="25"/>
      <c r="G362" s="26">
        <v>227000.0</v>
      </c>
      <c r="H362" s="27"/>
      <c r="I362" s="27"/>
      <c r="J362" s="28"/>
      <c r="K362" s="29">
        <f>183360+72230</f>
        <v>255590</v>
      </c>
      <c r="L362" s="30">
        <f>200340+150700</f>
        <v>351040</v>
      </c>
      <c r="M362" s="39"/>
      <c r="N362" s="39"/>
      <c r="O362" s="33"/>
      <c r="P362" s="40"/>
      <c r="Q362" s="35"/>
      <c r="R362" s="33"/>
      <c r="S362" s="33"/>
      <c r="T362" s="35"/>
      <c r="U362" s="35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</row>
    <row r="363">
      <c r="A363" s="38" t="s">
        <v>24</v>
      </c>
      <c r="B363" s="100">
        <v>45736.0</v>
      </c>
      <c r="C363" s="22">
        <f>582280+420330</f>
        <v>1002610</v>
      </c>
      <c r="D363" s="23">
        <f>371290+258800</f>
        <v>630090</v>
      </c>
      <c r="E363" s="24"/>
      <c r="F363" s="25"/>
      <c r="G363" s="26">
        <v>312700.0</v>
      </c>
      <c r="H363" s="27"/>
      <c r="I363" s="27"/>
      <c r="J363" s="28"/>
      <c r="K363" s="29">
        <f>198060+160700</f>
        <v>358760</v>
      </c>
      <c r="L363" s="30">
        <f>219550+136530</f>
        <v>356080</v>
      </c>
      <c r="M363" s="31"/>
      <c r="N363" s="32"/>
      <c r="O363" s="33"/>
      <c r="P363" s="40"/>
      <c r="Q363" s="35"/>
      <c r="R363" s="33"/>
      <c r="S363" s="33"/>
      <c r="T363" s="35"/>
      <c r="U363" s="35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</row>
    <row r="364">
      <c r="A364" s="38" t="s">
        <v>25</v>
      </c>
      <c r="B364" s="100">
        <v>45737.0</v>
      </c>
      <c r="C364" s="22">
        <f>445290+312730</f>
        <v>758020</v>
      </c>
      <c r="D364" s="23">
        <f>178410+178480</f>
        <v>356890</v>
      </c>
      <c r="E364" s="24"/>
      <c r="F364" s="25"/>
      <c r="G364" s="26">
        <v>206800.0</v>
      </c>
      <c r="H364" s="27"/>
      <c r="I364" s="27"/>
      <c r="J364" s="28"/>
      <c r="K364" s="29">
        <f>100910+47400</f>
        <v>148310</v>
      </c>
      <c r="L364" s="30">
        <f>271480+134250</f>
        <v>405730</v>
      </c>
      <c r="M364" s="31"/>
      <c r="N364" s="32"/>
      <c r="O364" s="33"/>
      <c r="P364" s="40"/>
      <c r="Q364" s="35"/>
      <c r="R364" s="33"/>
      <c r="S364" s="33"/>
      <c r="T364" s="35"/>
      <c r="U364" s="35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</row>
    <row r="365">
      <c r="A365" s="38" t="s">
        <v>33</v>
      </c>
      <c r="B365" s="100">
        <v>45738.0</v>
      </c>
      <c r="C365" s="22">
        <v>620210.0</v>
      </c>
      <c r="D365" s="23">
        <v>316870.0</v>
      </c>
      <c r="E365" s="24"/>
      <c r="F365" s="25"/>
      <c r="G365" s="26">
        <v>153200.0</v>
      </c>
      <c r="H365" s="27"/>
      <c r="I365" s="27"/>
      <c r="J365" s="28"/>
      <c r="K365" s="29">
        <v>172130.0</v>
      </c>
      <c r="L365" s="30">
        <v>287640.0</v>
      </c>
      <c r="M365" s="31"/>
      <c r="N365" s="39"/>
      <c r="O365" s="33"/>
      <c r="P365" s="40"/>
      <c r="Q365" s="35"/>
      <c r="R365" s="33"/>
      <c r="S365" s="33"/>
      <c r="T365" s="35"/>
      <c r="U365" s="35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</row>
    <row r="366">
      <c r="A366" s="212" t="s">
        <v>27</v>
      </c>
      <c r="B366" s="100">
        <v>45739.0</v>
      </c>
      <c r="C366" s="49">
        <v>590700.0</v>
      </c>
      <c r="D366" s="49">
        <v>370480.0</v>
      </c>
      <c r="E366" s="49"/>
      <c r="F366" s="49"/>
      <c r="G366" s="49">
        <v>282230.0</v>
      </c>
      <c r="H366" s="49"/>
      <c r="I366" s="49"/>
      <c r="J366" s="49"/>
      <c r="K366" s="49">
        <v>81500.0</v>
      </c>
      <c r="L366" s="49">
        <v>226970.0</v>
      </c>
      <c r="M366" s="31"/>
      <c r="N366" s="39"/>
      <c r="O366" s="33"/>
      <c r="P366" s="40"/>
      <c r="Q366" s="35"/>
      <c r="R366" s="33"/>
      <c r="S366" s="33"/>
      <c r="T366" s="35"/>
      <c r="U366" s="35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</row>
    <row r="367">
      <c r="A367" s="38" t="s">
        <v>21</v>
      </c>
      <c r="B367" s="100">
        <v>45740.0</v>
      </c>
      <c r="C367" s="22">
        <v>858570.0</v>
      </c>
      <c r="D367" s="23">
        <v>491200.0</v>
      </c>
      <c r="E367" s="24"/>
      <c r="F367" s="25"/>
      <c r="G367" s="26">
        <f>186060+70710</f>
        <v>256770</v>
      </c>
      <c r="H367" s="27"/>
      <c r="I367" s="27"/>
      <c r="J367" s="28"/>
      <c r="K367" s="29">
        <v>212200.0</v>
      </c>
      <c r="L367" s="30">
        <v>389600.0</v>
      </c>
      <c r="M367" s="31"/>
      <c r="N367" s="39"/>
      <c r="O367" s="33"/>
      <c r="P367" s="40"/>
      <c r="Q367" s="35"/>
      <c r="R367" s="33"/>
      <c r="S367" s="33"/>
      <c r="T367" s="35"/>
      <c r="U367" s="35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</row>
    <row r="368">
      <c r="A368" s="38" t="s">
        <v>22</v>
      </c>
      <c r="B368" s="100">
        <v>45741.0</v>
      </c>
      <c r="C368" s="22">
        <f>723800+175750</f>
        <v>899550</v>
      </c>
      <c r="D368" s="23">
        <f>462930+83500</f>
        <v>546430</v>
      </c>
      <c r="E368" s="24"/>
      <c r="F368" s="25"/>
      <c r="G368" s="26">
        <v>152400.0</v>
      </c>
      <c r="H368" s="27"/>
      <c r="I368" s="27"/>
      <c r="J368" s="28"/>
      <c r="K368" s="29">
        <f>259580+52800</f>
        <v>312380</v>
      </c>
      <c r="L368" s="30">
        <f>305520+92250</f>
        <v>397770</v>
      </c>
      <c r="M368" s="31"/>
      <c r="N368" s="32"/>
      <c r="O368" s="33"/>
      <c r="P368" s="40"/>
      <c r="Q368" s="35"/>
      <c r="R368" s="33"/>
      <c r="S368" s="33"/>
      <c r="T368" s="35"/>
      <c r="U368" s="35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</row>
    <row r="369">
      <c r="A369" s="381" t="s">
        <v>32</v>
      </c>
      <c r="B369" s="100">
        <v>45742.0</v>
      </c>
      <c r="C369" s="22">
        <f>676570+145540</f>
        <v>822110</v>
      </c>
      <c r="D369" s="23">
        <f>519850+57080</f>
        <v>576930</v>
      </c>
      <c r="E369" s="24"/>
      <c r="F369" s="25"/>
      <c r="G369" s="26">
        <v>160600.0</v>
      </c>
      <c r="H369" s="27"/>
      <c r="I369" s="27"/>
      <c r="J369" s="28"/>
      <c r="K369" s="29">
        <f>355020+17680</f>
        <v>372700</v>
      </c>
      <c r="L369" s="30">
        <f>198400+88460</f>
        <v>286860</v>
      </c>
      <c r="M369" s="31"/>
      <c r="N369" s="374"/>
      <c r="O369" s="33"/>
      <c r="P369" s="40"/>
      <c r="Q369" s="35"/>
      <c r="R369" s="33"/>
      <c r="S369" s="33"/>
      <c r="T369" s="35"/>
      <c r="U369" s="35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</row>
    <row r="370">
      <c r="A370" s="38" t="s">
        <v>24</v>
      </c>
      <c r="B370" s="100">
        <v>45743.0</v>
      </c>
      <c r="C370" s="22">
        <f>696020+260690</f>
        <v>956710</v>
      </c>
      <c r="D370" s="23">
        <f>413330+150440</f>
        <v>563770</v>
      </c>
      <c r="E370" s="24"/>
      <c r="F370" s="25"/>
      <c r="G370" s="26">
        <v>310950.0</v>
      </c>
      <c r="H370" s="27"/>
      <c r="I370" s="27"/>
      <c r="J370" s="28"/>
      <c r="K370" s="29">
        <f>223800+76940</f>
        <v>300740</v>
      </c>
      <c r="L370" s="30">
        <f>318550+110250</f>
        <v>428800</v>
      </c>
      <c r="M370" s="31"/>
      <c r="N370" s="213"/>
      <c r="O370" s="33"/>
      <c r="P370" s="40"/>
      <c r="Q370" s="35"/>
      <c r="R370" s="33"/>
      <c r="S370" s="33"/>
      <c r="T370" s="35"/>
      <c r="U370" s="35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</row>
    <row r="371">
      <c r="A371" s="38" t="s">
        <v>25</v>
      </c>
      <c r="B371" s="100">
        <v>45744.0</v>
      </c>
      <c r="C371" s="22">
        <f>423765+448130</f>
        <v>871895</v>
      </c>
      <c r="D371" s="23">
        <v>202450.0</v>
      </c>
      <c r="E371" s="24"/>
      <c r="F371" s="25"/>
      <c r="G371" s="26">
        <v>234450.0</v>
      </c>
      <c r="H371" s="27"/>
      <c r="I371" s="27"/>
      <c r="J371" s="28"/>
      <c r="K371" s="29">
        <f>93070+103180</f>
        <v>196250</v>
      </c>
      <c r="L371" s="30">
        <f>216815+210150</f>
        <v>426965</v>
      </c>
      <c r="M371" s="31"/>
      <c r="N371" s="32"/>
      <c r="O371" s="33"/>
      <c r="P371" s="40"/>
      <c r="Q371" s="35"/>
      <c r="R371" s="33"/>
      <c r="S371" s="33"/>
      <c r="T371" s="35"/>
      <c r="U371" s="35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</row>
    <row r="372">
      <c r="A372" s="220" t="s">
        <v>26</v>
      </c>
      <c r="B372" s="100">
        <v>45745.0</v>
      </c>
      <c r="C372" s="22">
        <f>449930+494890</f>
        <v>944820</v>
      </c>
      <c r="D372" s="23">
        <f>289380+402100</f>
        <v>691480</v>
      </c>
      <c r="E372" s="24" t="s">
        <v>46</v>
      </c>
      <c r="F372" s="25"/>
      <c r="G372" s="26">
        <v>405900.0</v>
      </c>
      <c r="H372" s="27"/>
      <c r="I372" s="27"/>
      <c r="J372" s="28"/>
      <c r="K372" s="29">
        <f>122380+160020</f>
        <v>282400</v>
      </c>
      <c r="L372" s="30">
        <f>166950+91070</f>
        <v>258020</v>
      </c>
      <c r="M372" s="31"/>
      <c r="N372" s="39"/>
      <c r="O372" s="33"/>
      <c r="P372" s="40"/>
      <c r="Q372" s="35"/>
      <c r="R372" s="33"/>
      <c r="S372" s="33"/>
      <c r="T372" s="35"/>
      <c r="U372" s="35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</row>
    <row r="373">
      <c r="A373" s="382" t="s">
        <v>27</v>
      </c>
      <c r="B373" s="100">
        <v>45746.0</v>
      </c>
      <c r="C373" s="49">
        <v>491300.0</v>
      </c>
      <c r="D373" s="49">
        <v>270260.0</v>
      </c>
      <c r="E373" s="49"/>
      <c r="F373" s="49"/>
      <c r="G373" s="49">
        <v>110200.0</v>
      </c>
      <c r="H373" s="49"/>
      <c r="I373" s="49"/>
      <c r="J373" s="49"/>
      <c r="K373" s="49">
        <v>160060.0</v>
      </c>
      <c r="L373" s="49">
        <v>221040.0</v>
      </c>
      <c r="M373" s="31"/>
      <c r="N373" s="39"/>
      <c r="O373" s="33"/>
      <c r="P373" s="40"/>
      <c r="Q373" s="35"/>
      <c r="R373" s="33"/>
      <c r="S373" s="33"/>
      <c r="T373" s="35"/>
      <c r="U373" s="35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</row>
    <row r="374">
      <c r="A374" s="220" t="s">
        <v>21</v>
      </c>
      <c r="B374" s="100">
        <v>45747.0</v>
      </c>
      <c r="C374" s="22">
        <f>640190+221410</f>
        <v>861600</v>
      </c>
      <c r="D374" s="23">
        <f>432200+174070</f>
        <v>606270</v>
      </c>
      <c r="E374" s="24"/>
      <c r="F374" s="25"/>
      <c r="G374" s="26">
        <v>243200.0</v>
      </c>
      <c r="H374" s="27" t="s">
        <v>46</v>
      </c>
      <c r="I374" s="27"/>
      <c r="J374" s="28"/>
      <c r="K374" s="29">
        <f>209280+108020</f>
        <v>317300</v>
      </c>
      <c r="L374" s="30">
        <f>238330+51390</f>
        <v>289720</v>
      </c>
      <c r="M374" s="31"/>
      <c r="N374" s="39"/>
      <c r="O374" s="33"/>
      <c r="P374" s="40"/>
      <c r="Q374" s="35"/>
      <c r="R374" s="33"/>
      <c r="S374" s="33"/>
      <c r="T374" s="35"/>
      <c r="U374" s="35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</row>
    <row r="375">
      <c r="A375" s="68" t="s">
        <v>28</v>
      </c>
      <c r="B375" s="129"/>
      <c r="C375" s="70">
        <f t="shared" ref="C375:H375" si="5">SUM(C344:C374)</f>
        <v>24067944</v>
      </c>
      <c r="D375" s="70">
        <f t="shared" si="5"/>
        <v>14654329</v>
      </c>
      <c r="E375" s="70">
        <f t="shared" si="5"/>
        <v>0</v>
      </c>
      <c r="F375" s="70">
        <f t="shared" si="5"/>
        <v>0</v>
      </c>
      <c r="G375" s="70">
        <f t="shared" si="5"/>
        <v>7490970</v>
      </c>
      <c r="H375" s="70">
        <f t="shared" si="5"/>
        <v>0</v>
      </c>
      <c r="I375" s="70"/>
      <c r="J375" s="70">
        <f t="shared" ref="J375:L375" si="6">SUM(J344:J374)</f>
        <v>0</v>
      </c>
      <c r="K375" s="70">
        <f t="shared" si="6"/>
        <v>6647289</v>
      </c>
      <c r="L375" s="70">
        <f t="shared" si="6"/>
        <v>9740165</v>
      </c>
      <c r="M375" s="31"/>
      <c r="N375" s="39"/>
      <c r="O375" s="33"/>
      <c r="P375" s="40"/>
      <c r="Q375" s="35"/>
      <c r="R375" s="33"/>
      <c r="S375" s="33"/>
      <c r="T375" s="35"/>
      <c r="U375" s="35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</row>
    <row r="376">
      <c r="A376" s="38" t="s">
        <v>22</v>
      </c>
      <c r="B376" s="100">
        <v>45748.0</v>
      </c>
      <c r="C376" s="22">
        <f>395210+414800</f>
        <v>810010</v>
      </c>
      <c r="D376" s="23">
        <f>229430+262640</f>
        <v>492070</v>
      </c>
      <c r="E376" s="24"/>
      <c r="F376" s="25"/>
      <c r="G376" s="35">
        <f>232300+56500</f>
        <v>288800</v>
      </c>
      <c r="H376" s="27"/>
      <c r="I376" s="27"/>
      <c r="J376" s="28"/>
      <c r="K376" s="29">
        <f>31980+197740</f>
        <v>229720</v>
      </c>
      <c r="L376" s="30">
        <f>164880+160560</f>
        <v>325440</v>
      </c>
      <c r="M376" s="31"/>
      <c r="N376" s="39"/>
      <c r="O376" s="33"/>
      <c r="P376" s="40"/>
      <c r="Q376" s="35"/>
      <c r="R376" s="33"/>
      <c r="S376" s="33"/>
      <c r="T376" s="35"/>
      <c r="U376" s="35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</row>
    <row r="377">
      <c r="A377" s="38" t="s">
        <v>32</v>
      </c>
      <c r="B377" s="100">
        <v>45749.0</v>
      </c>
      <c r="C377" s="22">
        <v>946330.0</v>
      </c>
      <c r="D377" s="23">
        <v>577850.0</v>
      </c>
      <c r="E377" s="24"/>
      <c r="F377" s="25"/>
      <c r="G377" s="35">
        <v>286290.0</v>
      </c>
      <c r="H377" s="27"/>
      <c r="I377" s="27"/>
      <c r="J377" s="28"/>
      <c r="K377" s="29">
        <v>315560.0</v>
      </c>
      <c r="L377" s="30">
        <v>344480.0</v>
      </c>
      <c r="M377" s="74"/>
      <c r="N377" s="39"/>
      <c r="O377" s="33"/>
      <c r="P377" s="40"/>
      <c r="Q377" s="35"/>
      <c r="R377" s="33"/>
      <c r="S377" s="33"/>
      <c r="T377" s="35"/>
      <c r="U377" s="35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</row>
    <row r="378">
      <c r="A378" s="38" t="s">
        <v>24</v>
      </c>
      <c r="B378" s="100">
        <v>45750.0</v>
      </c>
      <c r="C378" s="22">
        <f>496070+397570</f>
        <v>893640</v>
      </c>
      <c r="D378" s="23">
        <f>279960+265170</f>
        <v>545130</v>
      </c>
      <c r="E378" s="24"/>
      <c r="F378" s="25"/>
      <c r="G378" s="35">
        <v>251100.0</v>
      </c>
      <c r="H378" s="27"/>
      <c r="I378" s="27"/>
      <c r="J378" s="28"/>
      <c r="K378" s="29">
        <f>168060+84870</f>
        <v>252930</v>
      </c>
      <c r="L378" s="30">
        <f>216110+138500</f>
        <v>354610</v>
      </c>
      <c r="M378" s="31"/>
      <c r="N378" s="75"/>
      <c r="O378" s="33"/>
      <c r="P378" s="40"/>
      <c r="Q378" s="35"/>
      <c r="R378" s="33"/>
      <c r="S378" s="33"/>
      <c r="T378" s="35"/>
      <c r="U378" s="35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</row>
    <row r="379">
      <c r="A379" s="38" t="s">
        <v>25</v>
      </c>
      <c r="B379" s="100">
        <v>45751.0</v>
      </c>
      <c r="C379" s="22">
        <f>507570+294470</f>
        <v>802040</v>
      </c>
      <c r="D379" s="23">
        <f>239360+206570</f>
        <v>445930</v>
      </c>
      <c r="E379" s="227"/>
      <c r="F379" s="228"/>
      <c r="G379" s="33">
        <f>86600+91700+13400</f>
        <v>191700</v>
      </c>
      <c r="H379" s="143"/>
      <c r="I379" s="143"/>
      <c r="J379" s="111"/>
      <c r="K379" s="29">
        <f>122360+104880</f>
        <v>227240</v>
      </c>
      <c r="L379" s="30">
        <f>259570+132020</f>
        <v>391590</v>
      </c>
      <c r="M379" s="31"/>
      <c r="N379" s="39"/>
      <c r="O379" s="33"/>
      <c r="P379" s="40"/>
      <c r="Q379" s="35"/>
      <c r="R379" s="33"/>
      <c r="S379" s="33"/>
      <c r="T379" s="35"/>
      <c r="U379" s="35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</row>
    <row r="380">
      <c r="A380" s="38" t="s">
        <v>33</v>
      </c>
      <c r="B380" s="100">
        <v>45752.0</v>
      </c>
      <c r="C380" s="225">
        <f>459180+406200</f>
        <v>865380</v>
      </c>
      <c r="D380" s="226">
        <f>333700+216420</f>
        <v>550120</v>
      </c>
      <c r="E380" s="227"/>
      <c r="F380" s="228"/>
      <c r="G380" s="33">
        <f>214800+182200</f>
        <v>397000</v>
      </c>
      <c r="H380" s="143"/>
      <c r="I380" s="143"/>
      <c r="J380" s="111"/>
      <c r="K380" s="112">
        <f>90800+51090</f>
        <v>141890</v>
      </c>
      <c r="L380" s="30">
        <f>153580+172910</f>
        <v>326490</v>
      </c>
      <c r="M380" s="31"/>
      <c r="N380" s="39"/>
      <c r="O380" s="61"/>
      <c r="P380" s="67"/>
      <c r="Q380" s="67"/>
      <c r="R380" s="67"/>
      <c r="S380" s="67"/>
      <c r="T380" s="61"/>
      <c r="U380" s="61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</row>
    <row r="381">
      <c r="A381" s="383" t="s">
        <v>27</v>
      </c>
      <c r="B381" s="100">
        <v>45753.0</v>
      </c>
      <c r="C381" s="49">
        <v>437830.0</v>
      </c>
      <c r="D381" s="49">
        <v>296340.0</v>
      </c>
      <c r="E381" s="31"/>
      <c r="F381" s="31"/>
      <c r="G381" s="49">
        <v>171300.0</v>
      </c>
      <c r="H381" s="31"/>
      <c r="I381" s="31"/>
      <c r="J381" s="31"/>
      <c r="K381" s="49">
        <v>82500.0</v>
      </c>
      <c r="L381" s="49">
        <v>184030.0</v>
      </c>
      <c r="M381" s="31"/>
      <c r="N381" s="39"/>
      <c r="O381" s="33"/>
      <c r="P381" s="33"/>
      <c r="Q381" s="35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</row>
    <row r="382">
      <c r="A382" s="38" t="s">
        <v>21</v>
      </c>
      <c r="B382" s="100">
        <v>45754.0</v>
      </c>
      <c r="C382" s="225">
        <f>355780+332050</f>
        <v>687830</v>
      </c>
      <c r="D382" s="226">
        <f>282700+152000</f>
        <v>434700</v>
      </c>
      <c r="E382" s="227"/>
      <c r="F382" s="228"/>
      <c r="G382" s="35">
        <f>97200+85900</f>
        <v>183100</v>
      </c>
      <c r="H382" s="143"/>
      <c r="I382" s="143"/>
      <c r="J382" s="111"/>
      <c r="K382" s="112">
        <f>134200+89280</f>
        <v>223480</v>
      </c>
      <c r="L382" s="30">
        <f>124380+156870</f>
        <v>281250</v>
      </c>
      <c r="M382" s="31"/>
      <c r="N382" s="39"/>
      <c r="O382" s="33"/>
      <c r="P382" s="33"/>
      <c r="Q382" s="35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</row>
    <row r="383">
      <c r="A383" s="38" t="s">
        <v>22</v>
      </c>
      <c r="B383" s="100">
        <v>45755.0</v>
      </c>
      <c r="C383" s="22">
        <f>313530+574720</f>
        <v>888250</v>
      </c>
      <c r="D383" s="23">
        <f>192750+267790</f>
        <v>460540</v>
      </c>
      <c r="E383" s="227"/>
      <c r="F383" s="228"/>
      <c r="G383" s="35">
        <f>211600+79800</f>
        <v>291400</v>
      </c>
      <c r="H383" s="143"/>
      <c r="I383" s="143"/>
      <c r="J383" s="111"/>
      <c r="K383" s="29">
        <f>104450+169000</f>
        <v>273450</v>
      </c>
      <c r="L383" s="30">
        <f>137880+325920</f>
        <v>463800</v>
      </c>
      <c r="M383" s="31"/>
      <c r="N383" s="39"/>
      <c r="O383" s="33"/>
      <c r="P383" s="33"/>
      <c r="Q383" s="35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</row>
    <row r="384">
      <c r="A384" s="38" t="s">
        <v>32</v>
      </c>
      <c r="B384" s="100">
        <v>45756.0</v>
      </c>
      <c r="C384" s="22">
        <v>799880.0</v>
      </c>
      <c r="D384" s="23">
        <v>481530.0</v>
      </c>
      <c r="E384" s="227"/>
      <c r="F384" s="228"/>
      <c r="G384" s="35">
        <v>196400.0</v>
      </c>
      <c r="H384" s="143"/>
      <c r="I384" s="143"/>
      <c r="J384" s="111"/>
      <c r="K384" s="29">
        <v>203820.0</v>
      </c>
      <c r="L384" s="30">
        <v>335860.0</v>
      </c>
      <c r="M384" s="31"/>
      <c r="N384" s="39"/>
      <c r="O384" s="33"/>
      <c r="P384" s="33"/>
      <c r="Q384" s="35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</row>
    <row r="385">
      <c r="A385" s="38" t="s">
        <v>24</v>
      </c>
      <c r="B385" s="100">
        <v>45757.0</v>
      </c>
      <c r="C385" s="22">
        <v>767290.0</v>
      </c>
      <c r="D385" s="23">
        <v>328850.0</v>
      </c>
      <c r="E385" s="227"/>
      <c r="F385" s="228"/>
      <c r="G385" s="35">
        <v>165500.0</v>
      </c>
      <c r="H385" s="143"/>
      <c r="I385" s="143"/>
      <c r="J385" s="111"/>
      <c r="K385" s="29">
        <v>164780.0</v>
      </c>
      <c r="L385" s="30">
        <v>433810.0</v>
      </c>
      <c r="M385" s="31"/>
      <c r="N385" s="39"/>
      <c r="O385" s="33"/>
      <c r="P385" s="33"/>
      <c r="Q385" s="35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</row>
    <row r="386">
      <c r="A386" s="38" t="s">
        <v>25</v>
      </c>
      <c r="B386" s="100">
        <v>45758.0</v>
      </c>
      <c r="C386" s="22">
        <v>1102310.0</v>
      </c>
      <c r="D386" s="23">
        <v>506950.0</v>
      </c>
      <c r="E386" s="227"/>
      <c r="F386" s="228"/>
      <c r="G386" s="35">
        <v>250740.0</v>
      </c>
      <c r="H386" s="143"/>
      <c r="I386" s="143"/>
      <c r="J386" s="111"/>
      <c r="K386" s="29">
        <v>363310.0</v>
      </c>
      <c r="L386" s="30">
        <v>488260.0</v>
      </c>
      <c r="M386" s="31"/>
      <c r="N386" s="39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</row>
    <row r="387">
      <c r="A387" s="38" t="s">
        <v>33</v>
      </c>
      <c r="B387" s="100">
        <v>45759.0</v>
      </c>
      <c r="C387" s="22">
        <v>1058840.0</v>
      </c>
      <c r="D387" s="23">
        <v>713360.0</v>
      </c>
      <c r="E387" s="227"/>
      <c r="F387" s="228"/>
      <c r="G387" s="33">
        <f>121500+257600</f>
        <v>379100</v>
      </c>
      <c r="H387" s="143"/>
      <c r="I387" s="143"/>
      <c r="J387" s="111"/>
      <c r="K387" s="29">
        <v>135180.0</v>
      </c>
      <c r="L387" s="30">
        <v>343360.0</v>
      </c>
      <c r="M387" s="31"/>
      <c r="N387" s="39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</row>
    <row r="388">
      <c r="A388" s="383" t="s">
        <v>27</v>
      </c>
      <c r="B388" s="100">
        <v>45760.0</v>
      </c>
      <c r="C388" s="49">
        <v>369490.0</v>
      </c>
      <c r="D388" s="49">
        <v>272480.0</v>
      </c>
      <c r="E388" s="31"/>
      <c r="F388" s="31"/>
      <c r="G388" s="49">
        <v>178080.0</v>
      </c>
      <c r="H388" s="31"/>
      <c r="I388" s="31"/>
      <c r="J388" s="31"/>
      <c r="K388" s="49">
        <v>95200.0</v>
      </c>
      <c r="L388" s="49">
        <v>96210.0</v>
      </c>
      <c r="M388" s="31"/>
      <c r="N388" s="39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</row>
    <row r="389">
      <c r="A389" s="38" t="s">
        <v>21</v>
      </c>
      <c r="B389" s="100">
        <v>45761.0</v>
      </c>
      <c r="C389" s="22">
        <v>997810.0</v>
      </c>
      <c r="D389" s="23">
        <v>627130.0</v>
      </c>
      <c r="E389" s="227"/>
      <c r="F389" s="228"/>
      <c r="G389" s="35">
        <v>353000.0</v>
      </c>
      <c r="H389" s="143"/>
      <c r="I389" s="143"/>
      <c r="J389" s="111"/>
      <c r="K389" s="29">
        <v>197040.0</v>
      </c>
      <c r="L389" s="30">
        <v>405580.0</v>
      </c>
      <c r="M389" s="31"/>
      <c r="N389" s="39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</row>
    <row r="390">
      <c r="A390" s="38" t="s">
        <v>22</v>
      </c>
      <c r="B390" s="100">
        <v>45762.0</v>
      </c>
      <c r="C390" s="22">
        <v>1043970.0</v>
      </c>
      <c r="D390" s="23">
        <v>635680.0</v>
      </c>
      <c r="E390" s="227"/>
      <c r="F390" s="228"/>
      <c r="G390" s="35">
        <v>294900.0</v>
      </c>
      <c r="H390" s="143"/>
      <c r="I390" s="143"/>
      <c r="J390" s="111"/>
      <c r="K390" s="29">
        <v>297130.0</v>
      </c>
      <c r="L390" s="30">
        <v>409810.0</v>
      </c>
      <c r="M390" s="31"/>
      <c r="N390" s="39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</row>
    <row r="391">
      <c r="A391" s="38" t="s">
        <v>32</v>
      </c>
      <c r="B391" s="100">
        <v>45763.0</v>
      </c>
      <c r="C391" s="22">
        <v>1164910.0</v>
      </c>
      <c r="D391" s="23">
        <v>792850.0</v>
      </c>
      <c r="E391" s="227"/>
      <c r="F391" s="228"/>
      <c r="G391" s="35">
        <v>486540.0</v>
      </c>
      <c r="H391" s="143"/>
      <c r="I391" s="143"/>
      <c r="J391" s="111"/>
      <c r="K391" s="29">
        <v>280940.0</v>
      </c>
      <c r="L391" s="30">
        <v>398610.0</v>
      </c>
      <c r="M391" s="31"/>
      <c r="N391" s="39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</row>
    <row r="392">
      <c r="A392" s="38" t="s">
        <v>24</v>
      </c>
      <c r="B392" s="100">
        <v>45764.0</v>
      </c>
      <c r="C392" s="22">
        <v>761030.0</v>
      </c>
      <c r="D392" s="23">
        <v>456620.0</v>
      </c>
      <c r="E392" s="227"/>
      <c r="F392" s="228"/>
      <c r="G392" s="33">
        <f>95300+129180</f>
        <v>224480</v>
      </c>
      <c r="H392" s="143"/>
      <c r="I392" s="143"/>
      <c r="J392" s="111"/>
      <c r="K392" s="29">
        <v>173000.0</v>
      </c>
      <c r="L392" s="30">
        <v>326730.0</v>
      </c>
      <c r="M392" s="31"/>
      <c r="N392" s="39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</row>
    <row r="393">
      <c r="A393" s="38" t="s">
        <v>25</v>
      </c>
      <c r="B393" s="100">
        <v>45765.0</v>
      </c>
      <c r="C393" s="22">
        <v>694850.0</v>
      </c>
      <c r="D393" s="23">
        <v>303450.0</v>
      </c>
      <c r="E393" s="227"/>
      <c r="F393" s="228"/>
      <c r="G393" s="35">
        <v>312400.0</v>
      </c>
      <c r="H393" s="143"/>
      <c r="I393" s="143"/>
      <c r="J393" s="111"/>
      <c r="K393" s="29">
        <v>66600.0</v>
      </c>
      <c r="L393" s="30">
        <v>315850.0</v>
      </c>
      <c r="M393" s="31"/>
      <c r="N393" s="39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</row>
    <row r="394">
      <c r="A394" s="38" t="s">
        <v>33</v>
      </c>
      <c r="B394" s="100">
        <v>45766.0</v>
      </c>
      <c r="C394" s="22">
        <v>902330.0</v>
      </c>
      <c r="D394" s="23">
        <v>421100.0</v>
      </c>
      <c r="E394" s="227"/>
      <c r="F394" s="228"/>
      <c r="G394" s="35">
        <v>355300.0</v>
      </c>
      <c r="H394" s="143"/>
      <c r="I394" s="143"/>
      <c r="J394" s="111"/>
      <c r="K394" s="29">
        <v>197400.0</v>
      </c>
      <c r="L394" s="30">
        <v>349630.0</v>
      </c>
      <c r="M394" s="31"/>
      <c r="N394" s="39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</row>
    <row r="395">
      <c r="A395" s="383" t="s">
        <v>27</v>
      </c>
      <c r="B395" s="100">
        <v>45767.0</v>
      </c>
      <c r="C395" s="49">
        <v>231020.0</v>
      </c>
      <c r="D395" s="49">
        <v>106860.0</v>
      </c>
      <c r="E395" s="31"/>
      <c r="F395" s="31"/>
      <c r="G395" s="49">
        <v>35260.0</v>
      </c>
      <c r="H395" s="31"/>
      <c r="I395" s="31"/>
      <c r="J395" s="31"/>
      <c r="K395" s="49">
        <v>57700.0</v>
      </c>
      <c r="L395" s="49">
        <v>138060.0</v>
      </c>
      <c r="M395" s="31"/>
      <c r="N395" s="39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</row>
    <row r="396">
      <c r="A396" s="38" t="s">
        <v>21</v>
      </c>
      <c r="B396" s="100">
        <v>45768.0</v>
      </c>
      <c r="C396" s="22">
        <v>674390.0</v>
      </c>
      <c r="D396" s="23">
        <v>326870.0</v>
      </c>
      <c r="E396" s="227"/>
      <c r="F396" s="228"/>
      <c r="G396" s="35">
        <v>174500.0</v>
      </c>
      <c r="H396" s="143"/>
      <c r="I396" s="143"/>
      <c r="J396" s="111"/>
      <c r="K396" s="29">
        <v>124370.0</v>
      </c>
      <c r="L396" s="30">
        <v>368720.0</v>
      </c>
      <c r="M396" s="31"/>
      <c r="N396" s="39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</row>
    <row r="397">
      <c r="A397" s="38" t="s">
        <v>22</v>
      </c>
      <c r="B397" s="100">
        <v>45769.0</v>
      </c>
      <c r="C397" s="22">
        <v>859640.0</v>
      </c>
      <c r="D397" s="23">
        <v>509010.0</v>
      </c>
      <c r="E397" s="227"/>
      <c r="F397" s="228"/>
      <c r="G397" s="33">
        <f>231100+23100</f>
        <v>254200</v>
      </c>
      <c r="H397" s="143"/>
      <c r="I397" s="143"/>
      <c r="J397" s="111"/>
      <c r="K397" s="29">
        <v>166520.0</v>
      </c>
      <c r="L397" s="30">
        <v>380950.0</v>
      </c>
      <c r="M397" s="31"/>
      <c r="N397" s="39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</row>
    <row r="398">
      <c r="A398" s="38" t="s">
        <v>32</v>
      </c>
      <c r="B398" s="100">
        <v>45770.0</v>
      </c>
      <c r="C398" s="22">
        <v>567725.0</v>
      </c>
      <c r="D398" s="23">
        <v>376490.0</v>
      </c>
      <c r="E398" s="227"/>
      <c r="F398" s="228"/>
      <c r="G398" s="33">
        <f>159600+25100</f>
        <v>184700</v>
      </c>
      <c r="H398" s="143"/>
      <c r="I398" s="143"/>
      <c r="J398" s="111"/>
      <c r="K398" s="29">
        <v>108150.0</v>
      </c>
      <c r="L398" s="30">
        <v>216725.0</v>
      </c>
      <c r="M398" s="31"/>
      <c r="N398" s="39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</row>
    <row r="399">
      <c r="A399" s="38" t="s">
        <v>24</v>
      </c>
      <c r="B399" s="100">
        <v>45771.0</v>
      </c>
      <c r="C399" s="22">
        <v>1175490.0</v>
      </c>
      <c r="D399" s="23">
        <v>860270.0</v>
      </c>
      <c r="E399" s="227"/>
      <c r="F399" s="228"/>
      <c r="G399" s="33">
        <f>336850+95300</f>
        <v>432150</v>
      </c>
      <c r="H399" s="143"/>
      <c r="I399" s="143"/>
      <c r="J399" s="111"/>
      <c r="K399" s="29">
        <v>353520.0</v>
      </c>
      <c r="L399" s="30">
        <v>318010.0</v>
      </c>
      <c r="M399" s="31"/>
      <c r="N399" s="39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</row>
    <row r="400">
      <c r="A400" s="38" t="s">
        <v>25</v>
      </c>
      <c r="B400" s="100">
        <v>45772.0</v>
      </c>
      <c r="C400" s="22">
        <v>1014042.0</v>
      </c>
      <c r="D400" s="23">
        <v>596850.0</v>
      </c>
      <c r="E400" s="227"/>
      <c r="F400" s="228"/>
      <c r="G400" s="35">
        <v>264100.0</v>
      </c>
      <c r="H400" s="143"/>
      <c r="I400" s="143"/>
      <c r="J400" s="111"/>
      <c r="K400" s="29">
        <v>309820.0</v>
      </c>
      <c r="L400" s="30">
        <v>475102.0</v>
      </c>
      <c r="M400" s="31"/>
      <c r="N400" s="39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</row>
    <row r="401">
      <c r="A401" s="38" t="s">
        <v>33</v>
      </c>
      <c r="B401" s="100">
        <v>45773.0</v>
      </c>
      <c r="C401" s="22">
        <v>1001680.0</v>
      </c>
      <c r="D401" s="23">
        <v>554500.0</v>
      </c>
      <c r="E401" s="227"/>
      <c r="F401" s="228"/>
      <c r="G401" s="35">
        <v>38060.0</v>
      </c>
      <c r="H401" s="143"/>
      <c r="I401" s="143"/>
      <c r="J401" s="111"/>
      <c r="K401" s="29">
        <v>186830.0</v>
      </c>
      <c r="L401" s="30">
        <v>432790.0</v>
      </c>
      <c r="M401" s="31"/>
      <c r="N401" s="39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</row>
    <row r="402">
      <c r="A402" s="383" t="s">
        <v>27</v>
      </c>
      <c r="B402" s="100">
        <v>45774.0</v>
      </c>
      <c r="C402" s="49">
        <v>455230.0</v>
      </c>
      <c r="D402" s="49">
        <v>341090.0</v>
      </c>
      <c r="E402" s="31"/>
      <c r="F402" s="31"/>
      <c r="G402" s="49">
        <v>146190.0</v>
      </c>
      <c r="H402" s="31"/>
      <c r="I402" s="31"/>
      <c r="J402" s="31"/>
      <c r="K402" s="49">
        <v>176000.0</v>
      </c>
      <c r="L402" s="49">
        <v>133040.0</v>
      </c>
      <c r="M402" s="31"/>
      <c r="N402" s="39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</row>
    <row r="403">
      <c r="A403" s="38" t="s">
        <v>21</v>
      </c>
      <c r="B403" s="100">
        <v>45775.0</v>
      </c>
      <c r="C403" s="22">
        <v>1354611.0</v>
      </c>
      <c r="D403" s="226"/>
      <c r="E403" s="227"/>
      <c r="F403" s="228"/>
      <c r="G403" s="35">
        <v>374060.0</v>
      </c>
      <c r="H403" s="143"/>
      <c r="I403" s="143"/>
      <c r="J403" s="111"/>
      <c r="K403" s="29">
        <v>453240.0</v>
      </c>
      <c r="L403" s="30">
        <v>486111.0</v>
      </c>
      <c r="M403" s="49" t="s">
        <v>753</v>
      </c>
      <c r="N403" s="39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</row>
    <row r="404">
      <c r="A404" s="38" t="s">
        <v>22</v>
      </c>
      <c r="B404" s="100">
        <v>45776.0</v>
      </c>
      <c r="C404" s="22">
        <v>192640.0</v>
      </c>
      <c r="D404" s="23">
        <v>115430.0</v>
      </c>
      <c r="E404" s="227"/>
      <c r="F404" s="228"/>
      <c r="G404" s="35">
        <v>201830.0</v>
      </c>
      <c r="H404" s="143"/>
      <c r="I404" s="143"/>
      <c r="J404" s="111"/>
      <c r="K404" s="29">
        <v>49100.0</v>
      </c>
      <c r="L404" s="30">
        <v>77210.0</v>
      </c>
      <c r="M404" s="31"/>
      <c r="N404" s="39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</row>
    <row r="405">
      <c r="A405" s="38" t="s">
        <v>32</v>
      </c>
      <c r="B405" s="100">
        <v>45777.0</v>
      </c>
      <c r="C405" s="22">
        <v>1159201.0</v>
      </c>
      <c r="D405" s="23">
        <v>1104440.0</v>
      </c>
      <c r="E405" s="227"/>
      <c r="F405" s="228"/>
      <c r="G405" s="35">
        <v>451125.0</v>
      </c>
      <c r="H405" s="143"/>
      <c r="I405" s="143"/>
      <c r="J405" s="111"/>
      <c r="K405" s="29">
        <v>328265.0</v>
      </c>
      <c r="L405" s="30">
        <v>439286.0</v>
      </c>
      <c r="M405" s="31"/>
      <c r="N405" s="39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</row>
    <row r="406">
      <c r="A406" s="68" t="s">
        <v>28</v>
      </c>
      <c r="B406" s="129"/>
      <c r="C406" s="70">
        <f t="shared" ref="C406:D406" si="7">SUM(C376:C405)</f>
        <v>24679689</v>
      </c>
      <c r="D406" s="70">
        <f t="shared" si="7"/>
        <v>14234490</v>
      </c>
      <c r="E406" s="70">
        <f t="shared" ref="E406:F406" si="8">SUM(E375:E405)</f>
        <v>0</v>
      </c>
      <c r="F406" s="70">
        <f t="shared" si="8"/>
        <v>0</v>
      </c>
      <c r="G406" s="70">
        <f>SUM(G376:G405)</f>
        <v>7813305</v>
      </c>
      <c r="H406" s="70">
        <f>SUM(H375:H405)</f>
        <v>0</v>
      </c>
      <c r="I406" s="70"/>
      <c r="J406" s="70">
        <f>SUM(J375:J405)</f>
        <v>0</v>
      </c>
      <c r="K406" s="70">
        <f t="shared" ref="K406:L406" si="9">SUM(K376:K405)</f>
        <v>6234685</v>
      </c>
      <c r="L406" s="70">
        <f t="shared" si="9"/>
        <v>10041404</v>
      </c>
      <c r="M406" s="31"/>
      <c r="N406" s="39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</row>
    <row r="407">
      <c r="A407" s="221" t="s">
        <v>25</v>
      </c>
      <c r="B407" s="384">
        <v>45779.0</v>
      </c>
      <c r="C407" s="22">
        <v>708510.0</v>
      </c>
      <c r="D407" s="23">
        <v>494600.0</v>
      </c>
      <c r="E407" s="227"/>
      <c r="F407" s="228"/>
      <c r="G407" s="33">
        <f>126200+115000</f>
        <v>241200</v>
      </c>
      <c r="H407" s="143"/>
      <c r="I407" s="143"/>
      <c r="J407" s="111"/>
      <c r="K407" s="29">
        <v>103400.0</v>
      </c>
      <c r="L407" s="30">
        <v>213910.0</v>
      </c>
      <c r="M407" s="31"/>
      <c r="N407" s="39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</row>
    <row r="408">
      <c r="A408" s="221" t="s">
        <v>33</v>
      </c>
      <c r="B408" s="384">
        <v>45780.0</v>
      </c>
      <c r="C408" s="22">
        <v>936430.0</v>
      </c>
      <c r="D408" s="23">
        <v>578800.0</v>
      </c>
      <c r="E408" s="227"/>
      <c r="F408" s="228"/>
      <c r="G408" s="33">
        <f>77800+233400</f>
        <v>311200</v>
      </c>
      <c r="H408" s="143"/>
      <c r="I408" s="143"/>
      <c r="J408" s="111"/>
      <c r="K408" s="29">
        <v>266100.0</v>
      </c>
      <c r="L408" s="30">
        <v>357930.0</v>
      </c>
      <c r="M408" s="31"/>
      <c r="N408" s="39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</row>
    <row r="409">
      <c r="A409" s="385" t="s">
        <v>27</v>
      </c>
      <c r="B409" s="386">
        <v>45781.0</v>
      </c>
      <c r="C409" s="49">
        <v>466080.0</v>
      </c>
      <c r="D409" s="49">
        <v>187800.0</v>
      </c>
      <c r="E409" s="31"/>
      <c r="F409" s="31"/>
      <c r="G409" s="49">
        <v>75900.0</v>
      </c>
      <c r="H409" s="31"/>
      <c r="I409" s="31"/>
      <c r="J409" s="31"/>
      <c r="K409" s="49">
        <v>103100.0</v>
      </c>
      <c r="L409" s="30">
        <v>278280.0</v>
      </c>
      <c r="M409" s="31"/>
      <c r="N409" s="39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</row>
    <row r="410">
      <c r="A410" s="221" t="s">
        <v>21</v>
      </c>
      <c r="B410" s="384">
        <v>45782.0</v>
      </c>
      <c r="C410" s="22">
        <v>710871.0</v>
      </c>
      <c r="D410" s="23">
        <v>436050.0</v>
      </c>
      <c r="E410" s="227"/>
      <c r="F410" s="228"/>
      <c r="G410" s="35">
        <v>263300.0</v>
      </c>
      <c r="H410" s="143"/>
      <c r="I410" s="143"/>
      <c r="J410" s="111"/>
      <c r="K410" s="29">
        <v>164690.0</v>
      </c>
      <c r="L410" s="30">
        <v>284221.0</v>
      </c>
      <c r="M410" s="31"/>
      <c r="N410" s="39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</row>
    <row r="411">
      <c r="A411" s="221" t="s">
        <v>22</v>
      </c>
      <c r="B411" s="384">
        <v>45783.0</v>
      </c>
      <c r="C411" s="22">
        <v>919940.0</v>
      </c>
      <c r="D411" s="226"/>
      <c r="E411" s="227"/>
      <c r="F411" s="228"/>
      <c r="G411" s="33">
        <f>145500+65000</f>
        <v>210500</v>
      </c>
      <c r="H411" s="143"/>
      <c r="I411" s="143"/>
      <c r="J411" s="111"/>
      <c r="K411" s="29">
        <v>237620.0</v>
      </c>
      <c r="L411" s="30">
        <v>474620.0</v>
      </c>
      <c r="M411" s="31"/>
      <c r="N411" s="39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</row>
    <row r="412">
      <c r="A412" s="221" t="s">
        <v>32</v>
      </c>
      <c r="B412" s="384">
        <v>45784.0</v>
      </c>
      <c r="C412" s="22">
        <v>1156010.0</v>
      </c>
      <c r="D412" s="23">
        <v>706231.0</v>
      </c>
      <c r="E412" s="227"/>
      <c r="F412" s="228"/>
      <c r="G412" s="33">
        <f>284300+132800</f>
        <v>417100</v>
      </c>
      <c r="H412" s="143"/>
      <c r="I412" s="143"/>
      <c r="J412" s="111"/>
      <c r="K412" s="29">
        <v>390810.0</v>
      </c>
      <c r="L412" s="30">
        <v>414800.0</v>
      </c>
      <c r="M412" s="31"/>
      <c r="N412" s="39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</row>
    <row r="413">
      <c r="A413" s="221" t="s">
        <v>24</v>
      </c>
      <c r="B413" s="384">
        <v>45785.0</v>
      </c>
      <c r="C413" s="22">
        <v>1081380.0</v>
      </c>
      <c r="D413" s="23">
        <v>669010.0</v>
      </c>
      <c r="E413" s="227"/>
      <c r="F413" s="228"/>
      <c r="G413" s="35">
        <v>213690.0</v>
      </c>
      <c r="H413" s="143"/>
      <c r="I413" s="143"/>
      <c r="J413" s="111"/>
      <c r="K413" s="29">
        <v>384270.0</v>
      </c>
      <c r="L413" s="30">
        <v>449620.0</v>
      </c>
      <c r="M413" s="31"/>
      <c r="N413" s="39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</row>
    <row r="414">
      <c r="A414" s="221" t="s">
        <v>25</v>
      </c>
      <c r="B414" s="384">
        <v>45786.0</v>
      </c>
      <c r="C414" s="22">
        <v>940380.0</v>
      </c>
      <c r="D414" s="23">
        <v>599090.0</v>
      </c>
      <c r="E414" s="227"/>
      <c r="F414" s="228"/>
      <c r="G414" s="33">
        <f>18700+236300</f>
        <v>255000</v>
      </c>
      <c r="H414" s="143"/>
      <c r="I414" s="143"/>
      <c r="J414" s="111"/>
      <c r="K414" s="29">
        <v>295870.0</v>
      </c>
      <c r="L414" s="30">
        <v>374960.0</v>
      </c>
      <c r="M414" s="31"/>
      <c r="N414" s="39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</row>
    <row r="415">
      <c r="A415" s="221" t="s">
        <v>33</v>
      </c>
      <c r="B415" s="384">
        <v>45787.0</v>
      </c>
      <c r="C415" s="225">
        <f>-570000+1448841</f>
        <v>878841</v>
      </c>
      <c r="D415" s="23">
        <v>312040.0</v>
      </c>
      <c r="E415" s="227"/>
      <c r="F415" s="228"/>
      <c r="G415" s="33">
        <f>28200+148400</f>
        <v>176600</v>
      </c>
      <c r="H415" s="143"/>
      <c r="I415" s="143"/>
      <c r="J415" s="111"/>
      <c r="K415" s="29">
        <v>199090.0</v>
      </c>
      <c r="L415" s="30">
        <v>492201.0</v>
      </c>
      <c r="M415" s="49" t="s">
        <v>754</v>
      </c>
      <c r="N415" s="39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</row>
    <row r="416">
      <c r="A416" s="385" t="s">
        <v>27</v>
      </c>
      <c r="B416" s="386">
        <v>45788.0</v>
      </c>
      <c r="C416" s="49">
        <v>917370.0</v>
      </c>
      <c r="D416" s="49">
        <v>456900.0</v>
      </c>
      <c r="E416" s="31"/>
      <c r="F416" s="31"/>
      <c r="G416" s="49">
        <v>234300.0</v>
      </c>
      <c r="H416" s="31"/>
      <c r="I416" s="31"/>
      <c r="J416" s="31"/>
      <c r="K416" s="49">
        <v>291080.0</v>
      </c>
      <c r="L416" s="49">
        <v>391990.0</v>
      </c>
      <c r="M416" s="31"/>
      <c r="N416" s="39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</row>
    <row r="417">
      <c r="A417" s="221" t="s">
        <v>21</v>
      </c>
      <c r="B417" s="384">
        <v>45789.0</v>
      </c>
      <c r="C417" s="22">
        <v>1119305.0</v>
      </c>
      <c r="D417" s="23">
        <v>618620.0</v>
      </c>
      <c r="E417" s="227"/>
      <c r="F417" s="228"/>
      <c r="G417" s="33">
        <f>218850+98000</f>
        <v>316850</v>
      </c>
      <c r="H417" s="143"/>
      <c r="I417" s="143"/>
      <c r="J417" s="111"/>
      <c r="K417" s="29">
        <v>363320.0</v>
      </c>
      <c r="L417" s="30">
        <v>530485.0</v>
      </c>
      <c r="M417" s="31"/>
      <c r="N417" s="39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</row>
    <row r="418">
      <c r="A418" s="221" t="s">
        <v>22</v>
      </c>
      <c r="B418" s="384">
        <v>45790.0</v>
      </c>
      <c r="C418" s="22">
        <v>943630.0</v>
      </c>
      <c r="D418" s="23">
        <v>664740.0</v>
      </c>
      <c r="E418" s="227"/>
      <c r="F418" s="228"/>
      <c r="G418" s="33">
        <f>55000+307420</f>
        <v>362420</v>
      </c>
      <c r="H418" s="143"/>
      <c r="I418" s="143"/>
      <c r="J418" s="111"/>
      <c r="K418" s="29">
        <v>278850.0</v>
      </c>
      <c r="L418" s="30">
        <v>310790.0</v>
      </c>
      <c r="M418" s="31"/>
      <c r="N418" s="39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</row>
    <row r="419">
      <c r="A419" s="221" t="s">
        <v>32</v>
      </c>
      <c r="B419" s="384">
        <v>45791.0</v>
      </c>
      <c r="C419" s="22">
        <v>1023730.0</v>
      </c>
      <c r="D419" s="23">
        <v>496850.0</v>
      </c>
      <c r="E419" s="227"/>
      <c r="F419" s="228"/>
      <c r="G419" s="35">
        <v>181600.0</v>
      </c>
      <c r="H419" s="143"/>
      <c r="I419" s="143"/>
      <c r="J419" s="111"/>
      <c r="K419" s="29">
        <v>462750.0</v>
      </c>
      <c r="L419" s="30">
        <v>371080.0</v>
      </c>
      <c r="M419" s="31"/>
      <c r="N419" s="39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</row>
    <row r="420">
      <c r="A420" s="221" t="s">
        <v>24</v>
      </c>
      <c r="B420" s="384">
        <v>45792.0</v>
      </c>
      <c r="C420" s="22">
        <v>867990.0</v>
      </c>
      <c r="D420" s="23">
        <v>555610.0</v>
      </c>
      <c r="E420" s="227"/>
      <c r="F420" s="228"/>
      <c r="G420" s="33">
        <f>126000+83450</f>
        <v>209450</v>
      </c>
      <c r="H420" s="143"/>
      <c r="I420" s="143"/>
      <c r="J420" s="111"/>
      <c r="K420" s="29">
        <v>327210.0</v>
      </c>
      <c r="L420" s="30">
        <v>321930.0</v>
      </c>
      <c r="M420" s="31"/>
      <c r="N420" s="39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</row>
    <row r="421">
      <c r="A421" s="221" t="s">
        <v>25</v>
      </c>
      <c r="B421" s="384">
        <v>45793.0</v>
      </c>
      <c r="C421" s="22">
        <v>817390.0</v>
      </c>
      <c r="D421" s="23">
        <v>444250.0</v>
      </c>
      <c r="E421" s="227"/>
      <c r="F421" s="228"/>
      <c r="G421" s="35">
        <v>169200.0</v>
      </c>
      <c r="H421" s="143"/>
      <c r="I421" s="143"/>
      <c r="J421" s="111"/>
      <c r="K421" s="29">
        <v>356650.0</v>
      </c>
      <c r="L421" s="30">
        <v>291540.0</v>
      </c>
      <c r="M421" s="31"/>
      <c r="N421" s="39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</row>
    <row r="422">
      <c r="A422" s="221" t="s">
        <v>33</v>
      </c>
      <c r="B422" s="384">
        <v>45794.0</v>
      </c>
      <c r="C422" s="22">
        <v>856530.0</v>
      </c>
      <c r="D422" s="23">
        <v>334600.0</v>
      </c>
      <c r="E422" s="227"/>
      <c r="F422" s="228"/>
      <c r="G422" s="35">
        <v>241200.0</v>
      </c>
      <c r="H422" s="143"/>
      <c r="I422" s="143"/>
      <c r="J422" s="111"/>
      <c r="K422" s="29">
        <v>110300.0</v>
      </c>
      <c r="L422" s="30">
        <v>505030.0</v>
      </c>
      <c r="M422" s="31"/>
      <c r="N422" s="39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</row>
    <row r="423">
      <c r="A423" s="221" t="s">
        <v>27</v>
      </c>
      <c r="B423" s="384">
        <v>45795.0</v>
      </c>
      <c r="C423" s="377"/>
      <c r="D423" s="377"/>
      <c r="E423" s="378"/>
      <c r="F423" s="378"/>
      <c r="G423" s="377"/>
      <c r="H423" s="378"/>
      <c r="I423" s="378"/>
      <c r="J423" s="378"/>
      <c r="K423" s="377"/>
      <c r="L423" s="377"/>
      <c r="M423" s="49" t="s">
        <v>755</v>
      </c>
      <c r="N423" s="39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</row>
    <row r="424">
      <c r="A424" s="221" t="s">
        <v>21</v>
      </c>
      <c r="B424" s="384">
        <v>45796.0</v>
      </c>
      <c r="C424" s="22">
        <v>1089880.0</v>
      </c>
      <c r="D424" s="23">
        <v>750850.0</v>
      </c>
      <c r="E424" s="227"/>
      <c r="F424" s="228"/>
      <c r="G424" s="35">
        <v>319400.0</v>
      </c>
      <c r="H424" s="143"/>
      <c r="I424" s="143"/>
      <c r="J424" s="111"/>
      <c r="K424" s="29">
        <v>371190.0</v>
      </c>
      <c r="L424" s="30">
        <v>386790.0</v>
      </c>
      <c r="M424" s="31"/>
      <c r="N424" s="39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</row>
    <row r="425">
      <c r="A425" s="221" t="s">
        <v>22</v>
      </c>
      <c r="B425" s="384">
        <v>45797.0</v>
      </c>
      <c r="C425" s="22">
        <v>931390.0</v>
      </c>
      <c r="D425" s="23">
        <v>661830.0</v>
      </c>
      <c r="E425" s="227"/>
      <c r="F425" s="228"/>
      <c r="G425" s="33"/>
      <c r="H425" s="143"/>
      <c r="I425" s="143"/>
      <c r="J425" s="111"/>
      <c r="K425" s="29">
        <v>288620.0</v>
      </c>
      <c r="L425" s="30">
        <v>339270.0</v>
      </c>
      <c r="M425" s="31"/>
      <c r="N425" s="39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</row>
    <row r="426">
      <c r="A426" s="221" t="s">
        <v>32</v>
      </c>
      <c r="B426" s="384">
        <v>45798.0</v>
      </c>
      <c r="C426" s="22">
        <v>1173750.0</v>
      </c>
      <c r="D426" s="23">
        <v>859500.0</v>
      </c>
      <c r="E426" s="227"/>
      <c r="F426" s="228"/>
      <c r="G426">
        <f>84000+237800</f>
        <v>321800</v>
      </c>
      <c r="H426" s="143"/>
      <c r="I426" s="143"/>
      <c r="J426" s="111"/>
      <c r="K426" s="29">
        <v>506990.0</v>
      </c>
      <c r="L426" s="30">
        <v>348760.0</v>
      </c>
      <c r="M426" s="31"/>
      <c r="N426" s="39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</row>
    <row r="427">
      <c r="A427" s="221" t="s">
        <v>24</v>
      </c>
      <c r="B427" s="384">
        <v>45799.0</v>
      </c>
      <c r="C427" s="22">
        <v>1308900.0</v>
      </c>
      <c r="D427" s="23">
        <v>918950.0</v>
      </c>
      <c r="E427" s="227"/>
      <c r="F427" s="228"/>
      <c r="G427" s="35">
        <v>534700.0</v>
      </c>
      <c r="H427" s="143"/>
      <c r="I427" s="143"/>
      <c r="J427" s="111"/>
      <c r="K427" s="29">
        <v>371250.0</v>
      </c>
      <c r="L427" s="30">
        <v>393350.0</v>
      </c>
      <c r="M427" s="31"/>
      <c r="N427" s="39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</row>
    <row r="428">
      <c r="A428" s="221" t="s">
        <v>25</v>
      </c>
      <c r="B428" s="384">
        <v>45800.0</v>
      </c>
      <c r="C428" s="22">
        <v>858240.0</v>
      </c>
      <c r="D428" s="23">
        <v>459660.0</v>
      </c>
      <c r="E428" s="227"/>
      <c r="F428" s="228"/>
      <c r="G428" s="35">
        <v>168760.0</v>
      </c>
      <c r="H428" s="143"/>
      <c r="I428" s="143"/>
      <c r="J428" s="111"/>
      <c r="K428" s="29">
        <v>286700.0</v>
      </c>
      <c r="L428" s="30">
        <v>396280.0</v>
      </c>
      <c r="M428" s="31"/>
      <c r="N428" s="39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</row>
    <row r="429">
      <c r="A429" s="221" t="s">
        <v>33</v>
      </c>
      <c r="B429" s="384">
        <v>45801.0</v>
      </c>
      <c r="C429" s="22">
        <v>1035310.0</v>
      </c>
      <c r="D429" s="23">
        <v>674170.0</v>
      </c>
      <c r="E429" s="227"/>
      <c r="F429" s="228"/>
      <c r="G429" s="33">
        <f>108000+243900</f>
        <v>351900</v>
      </c>
      <c r="H429" s="143"/>
      <c r="I429" s="143"/>
      <c r="J429" s="111"/>
      <c r="K429" s="29">
        <v>343700.0</v>
      </c>
      <c r="L429" s="30">
        <v>346820.0</v>
      </c>
      <c r="M429" s="31"/>
      <c r="N429" s="39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</row>
    <row r="430">
      <c r="A430" s="385" t="s">
        <v>27</v>
      </c>
      <c r="B430" s="386">
        <v>45802.0</v>
      </c>
      <c r="C430" s="49">
        <v>389010.0</v>
      </c>
      <c r="D430" s="49">
        <v>252560.0</v>
      </c>
      <c r="E430" s="31"/>
      <c r="F430" s="31"/>
      <c r="G430" s="49">
        <v>63400.0</v>
      </c>
      <c r="H430" s="31"/>
      <c r="I430" s="31"/>
      <c r="J430" s="31"/>
      <c r="K430" s="49">
        <v>110500.0</v>
      </c>
      <c r="L430" s="49">
        <v>172890.0</v>
      </c>
      <c r="M430" s="31"/>
      <c r="N430" s="39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</row>
    <row r="431">
      <c r="A431" s="221" t="s">
        <v>21</v>
      </c>
      <c r="B431" s="384">
        <v>45803.0</v>
      </c>
      <c r="C431" s="22">
        <f>784660+255288</f>
        <v>1039948</v>
      </c>
      <c r="D431" s="23">
        <f>650660+187050</f>
        <v>837710</v>
      </c>
      <c r="E431" s="227"/>
      <c r="F431" s="228"/>
      <c r="G431" s="33">
        <f>232200+228700</f>
        <v>460900</v>
      </c>
      <c r="H431" s="143"/>
      <c r="I431" s="143"/>
      <c r="J431" s="111"/>
      <c r="K431" s="29">
        <f>277660+85250</f>
        <v>362910</v>
      </c>
      <c r="L431" s="30">
        <v>205300.0</v>
      </c>
      <c r="M431" s="31"/>
      <c r="N431" s="39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</row>
    <row r="432">
      <c r="A432" s="221" t="s">
        <v>22</v>
      </c>
      <c r="B432" s="384">
        <v>45804.0</v>
      </c>
      <c r="C432" s="22">
        <f>394460+332670</f>
        <v>727130</v>
      </c>
      <c r="D432" s="23">
        <f>250550+256450</f>
        <v>507000</v>
      </c>
      <c r="E432" s="24"/>
      <c r="F432" s="25"/>
      <c r="G432" s="35">
        <f>46800+121200</f>
        <v>168000</v>
      </c>
      <c r="H432" s="27"/>
      <c r="I432" s="27"/>
      <c r="J432" s="28"/>
      <c r="K432" s="29">
        <f>189800+77650</f>
        <v>267450</v>
      </c>
      <c r="L432" s="30">
        <f>156060+133820</f>
        <v>289880</v>
      </c>
      <c r="M432" s="31"/>
      <c r="N432" s="39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</row>
    <row r="433">
      <c r="A433" s="221" t="s">
        <v>32</v>
      </c>
      <c r="B433" s="384">
        <v>45805.0</v>
      </c>
      <c r="C433" s="225">
        <f>840140+406170</f>
        <v>1246310</v>
      </c>
      <c r="D433" s="226">
        <f>563950+220860</f>
        <v>784810</v>
      </c>
      <c r="E433" s="227"/>
      <c r="F433" s="228"/>
      <c r="G433" s="33">
        <f>207900+196100</f>
        <v>404000</v>
      </c>
      <c r="H433" s="143"/>
      <c r="I433" s="143"/>
      <c r="J433" s="111"/>
      <c r="K433" s="29">
        <f>393400+108060</f>
        <v>501460</v>
      </c>
      <c r="L433" s="230">
        <f>312590+185310</f>
        <v>497900</v>
      </c>
      <c r="M433" s="31"/>
      <c r="N433" s="39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</row>
    <row r="434">
      <c r="A434" s="221" t="s">
        <v>24</v>
      </c>
      <c r="B434" s="384">
        <v>45806.0</v>
      </c>
      <c r="C434" s="225">
        <f>917630+728180</f>
        <v>1645810</v>
      </c>
      <c r="D434" s="23">
        <v>453660.0</v>
      </c>
      <c r="E434" s="227"/>
      <c r="F434" s="228"/>
      <c r="G434" s="35">
        <v>261200.0</v>
      </c>
      <c r="H434" s="143"/>
      <c r="I434" s="143"/>
      <c r="J434" s="111"/>
      <c r="K434" s="29">
        <f>545560+181400</f>
        <v>726960</v>
      </c>
      <c r="L434" s="30">
        <f>242170+285580</f>
        <v>527750</v>
      </c>
      <c r="M434" s="31"/>
      <c r="N434" s="39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</row>
    <row r="435">
      <c r="A435" s="221" t="s">
        <v>25</v>
      </c>
      <c r="B435" s="384">
        <v>45807.0</v>
      </c>
      <c r="C435" s="22">
        <f>723050+425870</f>
        <v>1148920</v>
      </c>
      <c r="D435" s="226">
        <f>469140+329300</f>
        <v>798440</v>
      </c>
      <c r="E435" s="227"/>
      <c r="F435" s="228"/>
      <c r="G435" s="33">
        <f>274500+317800</f>
        <v>592300</v>
      </c>
      <c r="H435" s="143"/>
      <c r="I435" s="143"/>
      <c r="J435" s="111"/>
      <c r="K435" s="112">
        <f>311680+64550</f>
        <v>376230</v>
      </c>
      <c r="L435" s="230">
        <f>275570+101520</f>
        <v>377090</v>
      </c>
      <c r="M435" s="31">
        <f>260000+70000+30000</f>
        <v>360000</v>
      </c>
      <c r="N435" s="39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</row>
    <row r="436">
      <c r="A436" s="221" t="s">
        <v>33</v>
      </c>
      <c r="B436" s="384">
        <v>45808.0</v>
      </c>
      <c r="C436" s="22">
        <f>362520+444840</f>
        <v>807360</v>
      </c>
      <c r="D436" s="23">
        <f>186300+274640</f>
        <v>460940</v>
      </c>
      <c r="E436" s="227"/>
      <c r="F436" s="228"/>
      <c r="G436" s="35">
        <v>215400.0</v>
      </c>
      <c r="H436" s="143"/>
      <c r="I436" s="143"/>
      <c r="J436" s="111"/>
      <c r="K436" s="29">
        <f>41200+165300</f>
        <v>206500</v>
      </c>
      <c r="L436" s="30">
        <f>176220+208440</f>
        <v>384660</v>
      </c>
      <c r="M436" s="49">
        <f>150000+21000+200000</f>
        <v>371000</v>
      </c>
      <c r="N436" s="39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</row>
    <row r="437">
      <c r="A437" s="68" t="s">
        <v>28</v>
      </c>
      <c r="B437" s="129"/>
      <c r="C437" s="70">
        <f t="shared" ref="C437:D437" si="10">SUM(C407:C436)</f>
        <v>27746345</v>
      </c>
      <c r="D437" s="70">
        <f t="shared" si="10"/>
        <v>15975271</v>
      </c>
      <c r="E437" s="70">
        <f t="shared" ref="E437:F437" si="11">SUM(E406:E436)</f>
        <v>0</v>
      </c>
      <c r="F437" s="70">
        <f t="shared" si="11"/>
        <v>0</v>
      </c>
      <c r="G437" s="70">
        <f>SUM(G407:G436)</f>
        <v>7741270</v>
      </c>
      <c r="H437" s="70">
        <f>SUM(H406:H436)</f>
        <v>0</v>
      </c>
      <c r="I437" s="70"/>
      <c r="J437" s="70">
        <f>SUM(J406:J436)</f>
        <v>0</v>
      </c>
      <c r="K437" s="70">
        <f t="shared" ref="K437:L437" si="12">SUM(K407:K436)</f>
        <v>9055570</v>
      </c>
      <c r="L437" s="70">
        <f t="shared" si="12"/>
        <v>10730127</v>
      </c>
      <c r="M437" s="31"/>
      <c r="N437" s="39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</row>
    <row r="438">
      <c r="A438" s="385" t="s">
        <v>27</v>
      </c>
      <c r="B438" s="386">
        <v>45809.0</v>
      </c>
      <c r="C438" s="49">
        <v>562430.0</v>
      </c>
      <c r="D438" s="49">
        <v>316370.0</v>
      </c>
      <c r="E438" s="31"/>
      <c r="F438" s="31"/>
      <c r="G438" s="49">
        <v>163200.0</v>
      </c>
      <c r="H438" s="31"/>
      <c r="I438" s="31"/>
      <c r="J438" s="31"/>
      <c r="K438" s="49">
        <v>108770.0</v>
      </c>
      <c r="L438" s="49">
        <v>249160.0</v>
      </c>
      <c r="M438" s="31"/>
      <c r="N438" s="39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</row>
    <row r="439">
      <c r="A439" s="221" t="s">
        <v>21</v>
      </c>
      <c r="B439" s="384">
        <v>45810.0</v>
      </c>
      <c r="C439" s="22">
        <f>590160+478770</f>
        <v>1068930</v>
      </c>
      <c r="D439" s="23">
        <f>423840+278800</f>
        <v>702640</v>
      </c>
      <c r="E439" s="227"/>
      <c r="F439" s="228"/>
      <c r="G439" s="33">
        <f>251000+88200</f>
        <v>339200</v>
      </c>
      <c r="H439" s="143"/>
      <c r="I439" s="143"/>
      <c r="J439" s="111"/>
      <c r="K439" s="29">
        <f>167540+200200</f>
        <v>367740</v>
      </c>
      <c r="L439" s="30">
        <f>172420+171270</f>
        <v>343690</v>
      </c>
      <c r="M439" s="31">
        <f>190000+170000</f>
        <v>360000</v>
      </c>
      <c r="N439" s="39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</row>
    <row r="440">
      <c r="A440" s="221" t="s">
        <v>22</v>
      </c>
      <c r="B440" s="384">
        <v>45811.0</v>
      </c>
      <c r="C440" s="22">
        <f>912170+411170</f>
        <v>1323340</v>
      </c>
      <c r="D440" s="226">
        <f>578800+324800</f>
        <v>903600</v>
      </c>
      <c r="E440" s="227"/>
      <c r="F440" s="228"/>
      <c r="G440" s="33">
        <f>177800+394900</f>
        <v>572700</v>
      </c>
      <c r="H440" s="143"/>
      <c r="I440" s="143"/>
      <c r="J440" s="111"/>
      <c r="K440" s="29">
        <f>250600+96750</f>
        <v>347350</v>
      </c>
      <c r="L440" s="30">
        <f>280770+76920</f>
        <v>357690</v>
      </c>
      <c r="M440" s="31">
        <f>290000+60000+40000</f>
        <v>390000</v>
      </c>
      <c r="N440" s="39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</row>
    <row r="441">
      <c r="A441" s="221" t="s">
        <v>32</v>
      </c>
      <c r="B441" s="384">
        <v>45812.0</v>
      </c>
      <c r="C441" s="225">
        <f>756890+368230</f>
        <v>1125120</v>
      </c>
      <c r="D441" s="226">
        <f>335240+300730</f>
        <v>635970</v>
      </c>
      <c r="E441" s="227"/>
      <c r="F441" s="228"/>
      <c r="G441" s="35">
        <v>361800.0</v>
      </c>
      <c r="H441" s="143"/>
      <c r="I441" s="143"/>
      <c r="J441" s="111"/>
      <c r="K441" s="112">
        <f>271300</f>
        <v>271300</v>
      </c>
      <c r="L441" s="230">
        <f>324450+103320</f>
        <v>427770</v>
      </c>
      <c r="M441" s="31">
        <f>240000+100000</f>
        <v>340000</v>
      </c>
      <c r="N441" s="39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</row>
    <row r="442">
      <c r="A442" s="221" t="s">
        <v>24</v>
      </c>
      <c r="B442" s="384">
        <v>45813.0</v>
      </c>
      <c r="C442" s="22">
        <f>548650+406440</f>
        <v>955090</v>
      </c>
      <c r="D442" s="23">
        <f>50750+309140</f>
        <v>359890</v>
      </c>
      <c r="E442" s="227"/>
      <c r="F442" s="228"/>
      <c r="G442" s="33">
        <f>142990+195000</f>
        <v>337990</v>
      </c>
      <c r="H442" s="143"/>
      <c r="I442" s="143"/>
      <c r="J442" s="111"/>
      <c r="K442" s="29">
        <f>155780+176850</f>
        <v>332630</v>
      </c>
      <c r="L442" s="230">
        <f>78300+236970</f>
        <v>315270</v>
      </c>
      <c r="M442" s="31">
        <f>200000+100000</f>
        <v>300000</v>
      </c>
      <c r="N442" s="39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</row>
    <row r="443">
      <c r="A443" s="221" t="s">
        <v>25</v>
      </c>
      <c r="B443" s="384">
        <v>45814.0</v>
      </c>
      <c r="C443" s="225">
        <f>714340+368740</f>
        <v>1083080</v>
      </c>
      <c r="D443" s="226">
        <f>494840+219600</f>
        <v>714440</v>
      </c>
      <c r="E443" s="227"/>
      <c r="F443" s="228"/>
      <c r="G443" s="33">
        <f>140000+42300</f>
        <v>182300</v>
      </c>
      <c r="H443" s="143"/>
      <c r="I443" s="143"/>
      <c r="J443" s="111"/>
      <c r="K443" s="112">
        <f>387200+86800</f>
        <v>474000</v>
      </c>
      <c r="L443" s="30">
        <f>245100+149140</f>
        <v>394240</v>
      </c>
      <c r="M443" s="31">
        <f>240000+130000</f>
        <v>370000</v>
      </c>
      <c r="N443" s="39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</row>
    <row r="444">
      <c r="A444" s="221" t="s">
        <v>33</v>
      </c>
      <c r="B444" s="384">
        <v>45815.0</v>
      </c>
      <c r="C444" s="22">
        <v>1009950.0</v>
      </c>
      <c r="D444" s="23">
        <v>595100.0</v>
      </c>
      <c r="E444" s="227"/>
      <c r="F444" s="228"/>
      <c r="G444" s="35">
        <v>291300.0</v>
      </c>
      <c r="H444" s="143"/>
      <c r="I444" s="143"/>
      <c r="J444" s="111"/>
      <c r="K444" s="29">
        <v>162600.0</v>
      </c>
      <c r="L444" s="30">
        <v>441850.0</v>
      </c>
      <c r="M444" s="31">
        <f>200000+230000</f>
        <v>430000</v>
      </c>
      <c r="N444" s="39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</row>
    <row r="445">
      <c r="A445" s="385" t="s">
        <v>27</v>
      </c>
      <c r="B445" s="386">
        <v>45816.0</v>
      </c>
      <c r="C445" s="49">
        <v>538400.0</v>
      </c>
      <c r="D445" s="49">
        <v>391340.0</v>
      </c>
      <c r="E445" s="31"/>
      <c r="F445" s="31"/>
      <c r="G445" s="49">
        <v>172800.0</v>
      </c>
      <c r="H445" s="31"/>
      <c r="I445" s="31"/>
      <c r="J445" s="31"/>
      <c r="K445" s="49">
        <v>194540.0</v>
      </c>
      <c r="L445" s="49">
        <v>142560.0</v>
      </c>
      <c r="M445" s="31"/>
      <c r="N445" s="39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</row>
    <row r="446">
      <c r="A446" s="221" t="s">
        <v>21</v>
      </c>
      <c r="B446" s="384">
        <v>45817.0</v>
      </c>
      <c r="C446" s="225">
        <f>968090+407990</f>
        <v>1376080</v>
      </c>
      <c r="D446" s="23">
        <f>804590+328390</f>
        <v>1132980</v>
      </c>
      <c r="E446" s="227"/>
      <c r="F446" s="228"/>
      <c r="G446" s="33">
        <f>431150+181400</f>
        <v>612550</v>
      </c>
      <c r="H446" s="143"/>
      <c r="I446" s="143"/>
      <c r="J446" s="111"/>
      <c r="K446" s="112">
        <f>463340+56190</f>
        <v>519530</v>
      </c>
      <c r="L446" s="30">
        <f>267400+142300</f>
        <v>409700</v>
      </c>
      <c r="M446" s="31">
        <f>250000+160000</f>
        <v>410000</v>
      </c>
      <c r="N446" s="39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</row>
    <row r="447">
      <c r="A447" s="221" t="s">
        <v>22</v>
      </c>
      <c r="B447" s="384">
        <v>45818.0</v>
      </c>
      <c r="C447" s="22">
        <f>751360+262890</f>
        <v>1014250</v>
      </c>
      <c r="D447" s="23">
        <f>558240+233100</f>
        <v>791340</v>
      </c>
      <c r="E447" s="227"/>
      <c r="F447" s="228"/>
      <c r="G447" s="33">
        <f>81300+265700</f>
        <v>347000</v>
      </c>
      <c r="H447" s="143"/>
      <c r="I447" s="143"/>
      <c r="J447" s="111"/>
      <c r="K447" s="29">
        <f>156800+117400</f>
        <v>274200</v>
      </c>
      <c r="L447" s="30">
        <f>207760+60390</f>
        <v>268150</v>
      </c>
      <c r="M447" s="49">
        <f>180000+70000</f>
        <v>250000</v>
      </c>
      <c r="N447" s="32">
        <v>124900.0</v>
      </c>
      <c r="O447" s="35" t="s">
        <v>756</v>
      </c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</row>
    <row r="448">
      <c r="A448" s="221" t="s">
        <v>32</v>
      </c>
      <c r="B448" s="384">
        <v>45819.0</v>
      </c>
      <c r="C448" s="225">
        <f>877500+302740</f>
        <v>1180240</v>
      </c>
      <c r="D448" s="226">
        <f>545980+149200</f>
        <v>695180</v>
      </c>
      <c r="E448" s="227"/>
      <c r="F448" s="228"/>
      <c r="G448" s="33">
        <f>161500+97500</f>
        <v>259000</v>
      </c>
      <c r="H448" s="143"/>
      <c r="I448" s="143"/>
      <c r="J448" s="111"/>
      <c r="K448" s="112">
        <f>238780+60400</f>
        <v>299180</v>
      </c>
      <c r="L448" s="230">
        <f>321120+153540</f>
        <v>474660</v>
      </c>
      <c r="M448" s="31">
        <f>300000+200000</f>
        <v>500000</v>
      </c>
      <c r="N448" s="39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</row>
    <row r="449">
      <c r="A449" s="221" t="s">
        <v>24</v>
      </c>
      <c r="B449" s="384">
        <v>45820.0</v>
      </c>
      <c r="C449" s="22">
        <f>618950+539100</f>
        <v>1158050</v>
      </c>
      <c r="D449" s="23">
        <f>373500+240690</f>
        <v>614190</v>
      </c>
      <c r="E449" s="227"/>
      <c r="F449" s="228"/>
      <c r="G449" s="33">
        <f>325300+58100</f>
        <v>383400</v>
      </c>
      <c r="H449" s="143"/>
      <c r="I449" s="143"/>
      <c r="J449" s="111"/>
      <c r="K449" s="112">
        <f>206400+111900</f>
        <v>318300</v>
      </c>
      <c r="L449" s="230">
        <f>218550+254460</f>
        <v>473010</v>
      </c>
      <c r="M449" s="31">
        <f>200000+240000</f>
        <v>440000</v>
      </c>
      <c r="N449" s="39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</row>
    <row r="450">
      <c r="A450" s="221" t="s">
        <v>25</v>
      </c>
      <c r="B450" s="384">
        <v>45821.0</v>
      </c>
      <c r="C450" s="22">
        <v>569410.0</v>
      </c>
      <c r="D450" s="23">
        <v>377580.0</v>
      </c>
      <c r="E450" s="227"/>
      <c r="F450" s="228"/>
      <c r="G450" s="33"/>
      <c r="H450" s="143"/>
      <c r="I450" s="143"/>
      <c r="J450" s="111"/>
      <c r="K450" s="29">
        <v>186760.0</v>
      </c>
      <c r="L450" s="30">
        <v>224730.0</v>
      </c>
      <c r="M450" s="31"/>
      <c r="N450" s="39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</row>
    <row r="451">
      <c r="A451" s="221" t="s">
        <v>33</v>
      </c>
      <c r="B451" s="384">
        <v>45822.0</v>
      </c>
      <c r="C451" s="22">
        <v>1308695.0</v>
      </c>
      <c r="D451" s="23">
        <v>751220.0</v>
      </c>
      <c r="E451" s="227"/>
      <c r="F451" s="228"/>
      <c r="G451" s="35">
        <v>487300.0</v>
      </c>
      <c r="H451" s="143"/>
      <c r="I451" s="143"/>
      <c r="J451" s="111"/>
      <c r="K451" s="29">
        <v>328740.0</v>
      </c>
      <c r="L451" s="30">
        <v>489575.0</v>
      </c>
      <c r="M451" s="31">
        <f>280000+210000+20000</f>
        <v>510000</v>
      </c>
      <c r="N451" s="39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</row>
    <row r="452">
      <c r="A452" s="385" t="s">
        <v>27</v>
      </c>
      <c r="B452" s="386">
        <v>45823.0</v>
      </c>
      <c r="C452" s="49">
        <v>571970.0</v>
      </c>
      <c r="D452" s="49">
        <v>306980.0</v>
      </c>
      <c r="E452" s="31"/>
      <c r="F452" s="31"/>
      <c r="G452" s="49">
        <v>126200.0</v>
      </c>
      <c r="H452" s="31"/>
      <c r="I452" s="31"/>
      <c r="J452" s="31"/>
      <c r="K452" s="49">
        <v>158180.0</v>
      </c>
      <c r="L452" s="49">
        <v>277690.0</v>
      </c>
      <c r="M452" s="31"/>
      <c r="N452" s="31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</row>
    <row r="453">
      <c r="A453" s="387" t="s">
        <v>21</v>
      </c>
      <c r="B453" s="388">
        <v>45824.0</v>
      </c>
      <c r="C453" s="44">
        <v>671580.0</v>
      </c>
      <c r="D453" s="44">
        <v>372050.0</v>
      </c>
      <c r="E453" s="46"/>
      <c r="F453" s="46"/>
      <c r="G453" s="44">
        <v>244600.0</v>
      </c>
      <c r="H453" s="46"/>
      <c r="I453" s="46"/>
      <c r="J453" s="46"/>
      <c r="K453" s="44">
        <v>78910.0</v>
      </c>
      <c r="L453" s="44">
        <v>333970.0</v>
      </c>
      <c r="M453" s="46"/>
      <c r="N453" s="46"/>
      <c r="O453" s="389" t="s">
        <v>48</v>
      </c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</row>
    <row r="454">
      <c r="A454" s="221" t="s">
        <v>22</v>
      </c>
      <c r="B454" s="384">
        <v>45825.0</v>
      </c>
      <c r="C454" s="225">
        <f>514710+461120</f>
        <v>975830</v>
      </c>
      <c r="D454" s="226">
        <f>400290+317720</f>
        <v>718010</v>
      </c>
      <c r="E454" s="227"/>
      <c r="F454" s="228"/>
      <c r="G454" s="33">
        <f>229900+173980</f>
        <v>403880</v>
      </c>
      <c r="H454" s="143"/>
      <c r="I454" s="143"/>
      <c r="J454" s="111"/>
      <c r="K454" s="112">
        <f>179090+117550</f>
        <v>296640</v>
      </c>
      <c r="L454" s="230">
        <f>128520+156270</f>
        <v>284790</v>
      </c>
      <c r="M454" s="31">
        <f>130000+150000</f>
        <v>280000</v>
      </c>
      <c r="N454" s="39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</row>
    <row r="455">
      <c r="A455" s="221" t="s">
        <v>32</v>
      </c>
      <c r="B455" s="384">
        <v>45826.0</v>
      </c>
      <c r="C455" s="225">
        <f>502870+525080</f>
        <v>1027950</v>
      </c>
      <c r="D455" s="226">
        <f>348340+343820</f>
        <v>692160</v>
      </c>
      <c r="E455" s="227"/>
      <c r="F455" s="228"/>
      <c r="G455" s="35">
        <v>238000.0</v>
      </c>
      <c r="H455" s="143"/>
      <c r="I455" s="143"/>
      <c r="J455" s="111"/>
      <c r="K455" s="112">
        <f>280490+120850</f>
        <v>401340</v>
      </c>
      <c r="L455" s="230">
        <f>146340+212130</f>
        <v>358470</v>
      </c>
      <c r="M455" s="31">
        <f>150000+160000</f>
        <v>310000</v>
      </c>
      <c r="N455" s="39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</row>
    <row r="456">
      <c r="A456" s="221" t="s">
        <v>24</v>
      </c>
      <c r="B456" s="384">
        <v>45827.0</v>
      </c>
      <c r="C456" s="225">
        <f>628130</f>
        <v>628130</v>
      </c>
      <c r="D456" s="226">
        <f>378920+387430</f>
        <v>766350</v>
      </c>
      <c r="E456" s="227"/>
      <c r="F456" s="228"/>
      <c r="G456" s="33">
        <f>92800+196700</f>
        <v>289500</v>
      </c>
      <c r="H456" s="143"/>
      <c r="I456" s="143"/>
      <c r="J456" s="111"/>
      <c r="K456" s="112">
        <f>121340+161310</f>
        <v>282650</v>
      </c>
      <c r="L456" s="230">
        <f>362680+148180</f>
        <v>510860</v>
      </c>
      <c r="M456" s="31">
        <f>390000+140000</f>
        <v>530000</v>
      </c>
      <c r="N456" s="39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</row>
    <row r="457">
      <c r="A457" s="387" t="s">
        <v>25</v>
      </c>
      <c r="B457" s="388">
        <v>45828.0</v>
      </c>
      <c r="C457" s="44">
        <v>747090.0</v>
      </c>
      <c r="D457" s="44">
        <v>412950.0</v>
      </c>
      <c r="E457" s="46"/>
      <c r="F457" s="46"/>
      <c r="G457" s="44">
        <v>142700.0</v>
      </c>
      <c r="H457" s="46"/>
      <c r="I457" s="46"/>
      <c r="J457" s="46"/>
      <c r="K457" s="44">
        <v>209700.0</v>
      </c>
      <c r="L457" s="44">
        <v>338990.0</v>
      </c>
      <c r="M457" s="46"/>
      <c r="N457" s="46"/>
      <c r="O457" s="389" t="s">
        <v>48</v>
      </c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</row>
    <row r="458">
      <c r="A458" s="221" t="s">
        <v>33</v>
      </c>
      <c r="B458" s="384">
        <v>45829.0</v>
      </c>
      <c r="C458" s="225">
        <f>1069970</f>
        <v>1069970</v>
      </c>
      <c r="D458" s="23">
        <v>488480.0</v>
      </c>
      <c r="E458" s="227"/>
      <c r="F458" s="228"/>
      <c r="G458" s="35">
        <v>285380.0</v>
      </c>
      <c r="H458" s="143"/>
      <c r="I458" s="143"/>
      <c r="J458" s="111"/>
      <c r="K458" s="29">
        <v>188480.0</v>
      </c>
      <c r="L458" s="30">
        <v>454510.0</v>
      </c>
      <c r="M458" s="31"/>
      <c r="N458" s="39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</row>
    <row r="459">
      <c r="A459" s="385" t="s">
        <v>27</v>
      </c>
      <c r="B459" s="386">
        <v>45830.0</v>
      </c>
      <c r="C459" s="49">
        <v>456500.0</v>
      </c>
      <c r="D459" s="49">
        <v>414860.0</v>
      </c>
      <c r="E459" s="31"/>
      <c r="F459" s="31"/>
      <c r="G459" s="49">
        <v>242160.0</v>
      </c>
      <c r="H459" s="31"/>
      <c r="I459" s="31"/>
      <c r="J459" s="31"/>
      <c r="K459" s="49">
        <v>113500.0</v>
      </c>
      <c r="L459" s="49">
        <v>125640.0</v>
      </c>
      <c r="M459" s="31"/>
      <c r="N459" s="39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</row>
    <row r="460">
      <c r="A460" s="221" t="s">
        <v>21</v>
      </c>
      <c r="B460" s="384">
        <v>45831.0</v>
      </c>
      <c r="C460" s="225">
        <f>912660+510510</f>
        <v>1423170</v>
      </c>
      <c r="D460" s="226">
        <f>581650+242900</f>
        <v>824550</v>
      </c>
      <c r="E460" s="227"/>
      <c r="F460" s="228"/>
      <c r="G460" s="33">
        <f>252100+162800</f>
        <v>414900</v>
      </c>
      <c r="H460" s="143"/>
      <c r="I460" s="143"/>
      <c r="J460" s="111"/>
      <c r="K460" s="112">
        <f>243680+47950</f>
        <v>291630</v>
      </c>
      <c r="L460" s="230">
        <f>215380+248560</f>
        <v>463940</v>
      </c>
      <c r="M460" s="31">
        <f>220000+240000</f>
        <v>460000</v>
      </c>
      <c r="N460" s="39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</row>
    <row r="461">
      <c r="A461" s="221" t="s">
        <v>22</v>
      </c>
      <c r="B461" s="384">
        <v>45832.0</v>
      </c>
      <c r="C461" s="225">
        <f>676140+365580</f>
        <v>1041720</v>
      </c>
      <c r="D461" s="226">
        <f>467700+234450</f>
        <v>702150</v>
      </c>
      <c r="E461" s="227"/>
      <c r="F461" s="228"/>
      <c r="G461" s="33">
        <f>217400+99200</f>
        <v>316600</v>
      </c>
      <c r="H461" s="143"/>
      <c r="I461" s="143"/>
      <c r="J461" s="111"/>
      <c r="K461" s="112">
        <f>273000+72550</f>
        <v>345550</v>
      </c>
      <c r="L461" s="230">
        <f>207540+131130</f>
        <v>338670</v>
      </c>
      <c r="M461" s="31">
        <f>220000+130000</f>
        <v>350000</v>
      </c>
      <c r="N461" s="39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</row>
    <row r="462">
      <c r="A462" s="221" t="s">
        <v>32</v>
      </c>
      <c r="B462" s="384">
        <v>45833.0</v>
      </c>
      <c r="C462" s="22">
        <f>1130930+342950</f>
        <v>1473880</v>
      </c>
      <c r="D462" s="23">
        <f>789420+180450</f>
        <v>969870</v>
      </c>
      <c r="E462" s="227"/>
      <c r="F462" s="228"/>
      <c r="G462" s="33">
        <f>79700+325000</f>
        <v>404700</v>
      </c>
      <c r="H462" s="143"/>
      <c r="I462" s="143"/>
      <c r="J462" s="111"/>
      <c r="K462" s="29">
        <f>283500+71150</f>
        <v>354650</v>
      </c>
      <c r="L462" s="30">
        <f>375530+162500</f>
        <v>538030</v>
      </c>
      <c r="M462" s="31">
        <f>400000</f>
        <v>400000</v>
      </c>
      <c r="N462" s="39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</row>
    <row r="463">
      <c r="A463" s="221" t="s">
        <v>24</v>
      </c>
      <c r="B463" s="384">
        <v>45834.0</v>
      </c>
      <c r="C463" s="22">
        <v>1129040.0</v>
      </c>
      <c r="D463" s="23">
        <v>723570.0</v>
      </c>
      <c r="E463" s="227"/>
      <c r="F463" s="228"/>
      <c r="G463" s="33">
        <f>246230+21200</f>
        <v>267430</v>
      </c>
      <c r="H463" s="143"/>
      <c r="I463" s="143"/>
      <c r="J463" s="111"/>
      <c r="K463" s="29">
        <v>317550.0</v>
      </c>
      <c r="L463" s="30">
        <v>416320.0</v>
      </c>
      <c r="M463" s="31">
        <f>260000+140000</f>
        <v>400000</v>
      </c>
      <c r="N463" s="39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</row>
    <row r="464">
      <c r="A464" s="221" t="s">
        <v>25</v>
      </c>
      <c r="B464" s="384">
        <v>45835.0</v>
      </c>
      <c r="C464" s="22">
        <v>1472560.0</v>
      </c>
      <c r="D464" s="23">
        <v>904160.0</v>
      </c>
      <c r="E464" s="227"/>
      <c r="F464" s="228"/>
      <c r="G464" s="35">
        <v>347560.0</v>
      </c>
      <c r="H464" s="143"/>
      <c r="I464" s="143"/>
      <c r="J464" s="111"/>
      <c r="K464" s="112">
        <f>331450+141200</f>
        <v>472650</v>
      </c>
      <c r="L464" s="30">
        <v>620250.0</v>
      </c>
      <c r="M464" s="31"/>
      <c r="N464" s="39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</row>
    <row r="465">
      <c r="A465" s="221" t="s">
        <v>33</v>
      </c>
      <c r="B465" s="384">
        <v>45836.0</v>
      </c>
      <c r="C465" s="22">
        <v>909146.0</v>
      </c>
      <c r="D465" s="23">
        <v>451286.0</v>
      </c>
      <c r="E465" s="227"/>
      <c r="F465" s="228"/>
      <c r="G465" s="35">
        <v>170085.0</v>
      </c>
      <c r="H465" s="143"/>
      <c r="I465" s="143"/>
      <c r="J465" s="111"/>
      <c r="K465" s="29">
        <f>325790+95100</f>
        <v>420890</v>
      </c>
      <c r="L465" s="30">
        <v>350871.0</v>
      </c>
      <c r="M465" s="31"/>
      <c r="N465" s="39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</row>
    <row r="466">
      <c r="A466" s="385" t="s">
        <v>27</v>
      </c>
      <c r="B466" s="386">
        <v>45837.0</v>
      </c>
      <c r="C466" s="49">
        <v>829340.0</v>
      </c>
      <c r="D466" s="49">
        <v>589850.0</v>
      </c>
      <c r="E466" s="31"/>
      <c r="F466" s="31"/>
      <c r="G466" s="49">
        <v>241350.0</v>
      </c>
      <c r="H466" s="31"/>
      <c r="I466" s="31"/>
      <c r="J466" s="31"/>
      <c r="K466" s="49">
        <v>280100.0</v>
      </c>
      <c r="L466" s="49">
        <v>239490.0</v>
      </c>
      <c r="M466" s="31"/>
      <c r="N466" s="39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</row>
    <row r="467">
      <c r="A467" s="221" t="s">
        <v>21</v>
      </c>
      <c r="B467" s="384">
        <v>45838.0</v>
      </c>
      <c r="C467" s="22">
        <f>992960+510640</f>
        <v>1503600</v>
      </c>
      <c r="D467" s="226">
        <f>673300+331850</f>
        <v>1005150</v>
      </c>
      <c r="E467" s="227"/>
      <c r="F467" s="228"/>
      <c r="G467" s="35">
        <v>843680.0</v>
      </c>
      <c r="H467" s="143"/>
      <c r="I467" s="143"/>
      <c r="J467" s="111"/>
      <c r="K467" s="112">
        <f>160100+128550</f>
        <v>288650</v>
      </c>
      <c r="L467" s="230">
        <f>327660+187190</f>
        <v>514850</v>
      </c>
      <c r="M467" s="31">
        <f>330000+180000</f>
        <v>510000</v>
      </c>
      <c r="N467" s="39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</row>
    <row r="468">
      <c r="A468" s="68" t="s">
        <v>28</v>
      </c>
      <c r="B468" s="129"/>
      <c r="C468" s="70">
        <f>SUM(C438:C467)</f>
        <v>30204541</v>
      </c>
      <c r="D468" s="70"/>
      <c r="E468" s="70">
        <f t="shared" ref="E468:F468" si="13">SUM(E437:E467)</f>
        <v>0</v>
      </c>
      <c r="F468" s="70">
        <f t="shared" si="13"/>
        <v>0</v>
      </c>
      <c r="G468" s="70">
        <f>SUM(G438:G467)</f>
        <v>9489265</v>
      </c>
      <c r="H468" s="70">
        <f>SUM(H437:H467)</f>
        <v>0</v>
      </c>
      <c r="I468" s="70"/>
      <c r="J468" s="70">
        <f>SUM(J437:J467)</f>
        <v>0</v>
      </c>
      <c r="K468" s="70">
        <f t="shared" ref="K468:L468" si="14">SUM(K438:K467)</f>
        <v>8686710</v>
      </c>
      <c r="L468" s="70">
        <f t="shared" si="14"/>
        <v>11179396</v>
      </c>
      <c r="M468" s="31"/>
      <c r="N468" s="39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</row>
    <row r="469">
      <c r="A469" s="221" t="s">
        <v>22</v>
      </c>
      <c r="B469" s="384">
        <v>45839.0</v>
      </c>
      <c r="C469" s="22">
        <v>933210.0</v>
      </c>
      <c r="D469" s="23">
        <v>602190.0</v>
      </c>
      <c r="E469" s="227"/>
      <c r="F469" s="228"/>
      <c r="G469" s="35">
        <v>199500.0</v>
      </c>
      <c r="H469" s="143"/>
      <c r="I469" s="143"/>
      <c r="J469" s="111"/>
      <c r="K469" s="29">
        <v>323990.0</v>
      </c>
      <c r="L469" s="30">
        <v>362120.0</v>
      </c>
      <c r="M469" s="49">
        <v>340000.0</v>
      </c>
      <c r="N469" s="39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</row>
    <row r="470">
      <c r="A470" s="221" t="s">
        <v>32</v>
      </c>
      <c r="B470" s="384">
        <v>45840.0</v>
      </c>
      <c r="C470" s="22">
        <f>1136310+635460</f>
        <v>1771770</v>
      </c>
      <c r="D470" s="23">
        <f>825100+359590</f>
        <v>1184690</v>
      </c>
      <c r="E470" s="227"/>
      <c r="F470" s="228"/>
      <c r="G470" s="35">
        <v>535300.0</v>
      </c>
      <c r="H470" s="143"/>
      <c r="I470" s="143"/>
      <c r="J470" s="111"/>
      <c r="K470" s="112">
        <f>329400+105150</f>
        <v>434550</v>
      </c>
      <c r="L470" s="30">
        <f>275960+296210</f>
        <v>572170</v>
      </c>
      <c r="M470" s="31">
        <f>300000+280000</f>
        <v>580000</v>
      </c>
      <c r="N470" s="39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</row>
    <row r="471">
      <c r="A471" s="221" t="s">
        <v>24</v>
      </c>
      <c r="B471" s="384">
        <v>45841.0</v>
      </c>
      <c r="C471" s="22">
        <f>803300+491720</f>
        <v>1295020</v>
      </c>
      <c r="D471" s="23">
        <f>511500+260240</f>
        <v>771740</v>
      </c>
      <c r="E471" s="227"/>
      <c r="F471" s="228"/>
      <c r="G471" s="33">
        <f>54900+173400+131900</f>
        <v>360200</v>
      </c>
      <c r="H471" s="143"/>
      <c r="I471" s="143"/>
      <c r="J471" s="111"/>
      <c r="K471" s="112">
        <f>248400+128340</f>
        <v>376740</v>
      </c>
      <c r="L471" s="230">
        <f>298100+231480</f>
        <v>529580</v>
      </c>
      <c r="M471" s="31">
        <f>260000+250000</f>
        <v>510000</v>
      </c>
      <c r="N471" s="39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</row>
    <row r="472">
      <c r="A472" s="221" t="s">
        <v>25</v>
      </c>
      <c r="B472" s="384">
        <v>45842.0</v>
      </c>
      <c r="C472" s="22">
        <f>432160+514810</f>
        <v>946970</v>
      </c>
      <c r="D472" s="23">
        <f>275930+297150</f>
        <v>573080</v>
      </c>
      <c r="E472" s="227"/>
      <c r="F472" s="228"/>
      <c r="G472" s="33">
        <f>151100+92200</f>
        <v>243300</v>
      </c>
      <c r="H472" s="143"/>
      <c r="I472" s="143"/>
      <c r="J472" s="111"/>
      <c r="K472" s="112">
        <f>135800+144050</f>
        <v>279850</v>
      </c>
      <c r="L472" s="230">
        <f>135800+231660</f>
        <v>367460</v>
      </c>
      <c r="M472" s="31">
        <f>120000+160000</f>
        <v>280000</v>
      </c>
      <c r="N472" s="39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</row>
    <row r="473">
      <c r="A473" s="221" t="s">
        <v>33</v>
      </c>
      <c r="B473" s="384">
        <v>45843.0</v>
      </c>
      <c r="C473" s="22">
        <v>1255635.0</v>
      </c>
      <c r="D473" s="23">
        <v>807290.0</v>
      </c>
      <c r="E473" s="227"/>
      <c r="F473" s="228"/>
      <c r="G473" s="33">
        <f>100900+324100</f>
        <v>425000</v>
      </c>
      <c r="H473" s="143"/>
      <c r="I473" s="143"/>
      <c r="J473" s="111"/>
      <c r="K473" s="29">
        <v>247390.0</v>
      </c>
      <c r="L473" s="30">
        <v>438905.0</v>
      </c>
      <c r="M473" s="31"/>
      <c r="N473" s="39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</row>
    <row r="474">
      <c r="A474" s="385" t="s">
        <v>27</v>
      </c>
      <c r="B474" s="386">
        <v>45844.0</v>
      </c>
      <c r="C474" s="49">
        <v>809290.0</v>
      </c>
      <c r="D474" s="49">
        <v>450910.0</v>
      </c>
      <c r="E474" s="31"/>
      <c r="F474" s="31"/>
      <c r="G474" s="49">
        <v>353050.0</v>
      </c>
      <c r="H474" s="31"/>
      <c r="I474" s="31"/>
      <c r="J474" s="31"/>
      <c r="K474" s="31">
        <f>230550+97860</f>
        <v>328410</v>
      </c>
      <c r="L474" s="49">
        <v>358380.0</v>
      </c>
      <c r="M474" s="49">
        <v>350000.0</v>
      </c>
      <c r="N474" s="39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</row>
    <row r="475">
      <c r="A475" s="221" t="s">
        <v>21</v>
      </c>
      <c r="B475" s="384">
        <v>45845.0</v>
      </c>
      <c r="C475" s="225">
        <f>1202120+293110</f>
        <v>1495230</v>
      </c>
      <c r="D475" s="226">
        <f>850650+214900</f>
        <v>1065550</v>
      </c>
      <c r="E475" s="227"/>
      <c r="F475" s="228"/>
      <c r="G475" s="33">
        <f>112200+301500</f>
        <v>413700</v>
      </c>
      <c r="H475" s="143"/>
      <c r="I475" s="143"/>
      <c r="J475" s="111"/>
      <c r="K475" s="112">
        <f>452850+90700</f>
        <v>543550</v>
      </c>
      <c r="L475" s="230">
        <f>354570+78210</f>
        <v>432780</v>
      </c>
      <c r="M475" s="49">
        <f>300000+130000</f>
        <v>430000</v>
      </c>
      <c r="N475" s="39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</row>
    <row r="476">
      <c r="A476" s="221" t="s">
        <v>22</v>
      </c>
      <c r="B476" s="384">
        <v>45846.0</v>
      </c>
      <c r="C476" s="22">
        <v>1580960.0</v>
      </c>
      <c r="D476" s="23">
        <v>1119990.0</v>
      </c>
      <c r="E476" s="227"/>
      <c r="F476" s="228"/>
      <c r="G476" s="33">
        <f>321900+47600</f>
        <v>369500</v>
      </c>
      <c r="H476" s="143"/>
      <c r="I476" s="143"/>
      <c r="J476" s="111"/>
      <c r="K476" s="29">
        <v>571610.0</v>
      </c>
      <c r="L476" s="30">
        <v>520320.0</v>
      </c>
      <c r="M476" s="31">
        <f>350000+130000</f>
        <v>480000</v>
      </c>
      <c r="N476" s="39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</row>
    <row r="477">
      <c r="A477" s="387" t="s">
        <v>32</v>
      </c>
      <c r="B477" s="388">
        <v>45847.0</v>
      </c>
      <c r="C477" s="44">
        <v>788530.0</v>
      </c>
      <c r="D477" s="44">
        <v>271340.0</v>
      </c>
      <c r="E477" s="46"/>
      <c r="F477" s="46"/>
      <c r="G477" s="46">
        <f>43100+141500</f>
        <v>184600</v>
      </c>
      <c r="H477" s="46"/>
      <c r="I477" s="46"/>
      <c r="J477" s="46"/>
      <c r="K477" s="46">
        <f>138300+123700</f>
        <v>262000</v>
      </c>
      <c r="L477" s="44">
        <v>398590.0</v>
      </c>
      <c r="M477" s="44">
        <v>400000.0</v>
      </c>
      <c r="N477" s="46"/>
      <c r="O477" s="389" t="s">
        <v>48</v>
      </c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</row>
    <row r="478">
      <c r="A478" s="221" t="s">
        <v>24</v>
      </c>
      <c r="B478" s="384">
        <v>45848.0</v>
      </c>
      <c r="C478" s="22">
        <v>928950.0</v>
      </c>
      <c r="D478" s="23">
        <v>529260.0</v>
      </c>
      <c r="E478" s="227"/>
      <c r="F478" s="228"/>
      <c r="G478" s="33">
        <f>101700+88200</f>
        <v>189900</v>
      </c>
      <c r="H478" s="143"/>
      <c r="I478" s="143"/>
      <c r="J478" s="111"/>
      <c r="K478" s="112">
        <f>187760</f>
        <v>187760</v>
      </c>
      <c r="L478" s="30">
        <v>399690.0</v>
      </c>
      <c r="M478" s="31">
        <f>320000+60000</f>
        <v>380000</v>
      </c>
      <c r="N478" s="39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</row>
    <row r="479">
      <c r="A479" s="221" t="s">
        <v>25</v>
      </c>
      <c r="B479" s="384">
        <v>45849.0</v>
      </c>
      <c r="C479" s="22">
        <f>850000+528670</f>
        <v>1378670</v>
      </c>
      <c r="D479" s="23">
        <f>278250++633400</f>
        <v>911650</v>
      </c>
      <c r="E479" s="227"/>
      <c r="F479" s="228"/>
      <c r="G479" s="35">
        <f>91800+233600</f>
        <v>325400</v>
      </c>
      <c r="H479" s="143"/>
      <c r="I479" s="143"/>
      <c r="J479" s="111"/>
      <c r="K479" s="29">
        <f>133310+37800+266000+143700</f>
        <v>580810</v>
      </c>
      <c r="L479" s="30">
        <f>244760+269000</f>
        <v>513760</v>
      </c>
      <c r="M479" s="31"/>
      <c r="N479" s="39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</row>
    <row r="480">
      <c r="A480" s="221" t="s">
        <v>33</v>
      </c>
      <c r="B480" s="384">
        <v>45850.0</v>
      </c>
      <c r="C480" s="22">
        <v>1058420.0</v>
      </c>
      <c r="D480" s="23">
        <f>656800</f>
        <v>656800</v>
      </c>
      <c r="E480" s="227"/>
      <c r="F480" s="228"/>
      <c r="G480" s="35">
        <v>411260.0</v>
      </c>
      <c r="H480" s="143"/>
      <c r="I480" s="143"/>
      <c r="J480" s="111"/>
      <c r="K480" s="29">
        <f>+195470</f>
        <v>195470</v>
      </c>
      <c r="L480" s="30">
        <v>415590.0</v>
      </c>
      <c r="M480" s="31"/>
      <c r="N480" s="39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</row>
    <row r="481">
      <c r="A481" s="385" t="s">
        <v>27</v>
      </c>
      <c r="B481" s="386">
        <v>45851.0</v>
      </c>
      <c r="C481" s="49">
        <v>167940.0</v>
      </c>
      <c r="D481" s="49">
        <v>126000.0</v>
      </c>
      <c r="E481" s="31"/>
      <c r="F481" s="31"/>
      <c r="G481" s="49">
        <v>62600.0</v>
      </c>
      <c r="H481" s="31"/>
      <c r="I481" s="31"/>
      <c r="J481" s="31"/>
      <c r="K481" s="31">
        <f>63400+62600</f>
        <v>126000</v>
      </c>
      <c r="L481" s="31">
        <f>41940</f>
        <v>41940</v>
      </c>
      <c r="M481" s="31"/>
      <c r="N481" s="39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</row>
    <row r="482">
      <c r="A482" s="221" t="s">
        <v>21</v>
      </c>
      <c r="B482" s="384">
        <v>45852.0</v>
      </c>
      <c r="C482" s="22">
        <f>814410+401820</f>
        <v>1216230</v>
      </c>
      <c r="D482" s="226">
        <f>565200+296700</f>
        <v>861900</v>
      </c>
      <c r="E482" s="227"/>
      <c r="F482" s="228"/>
      <c r="G482" s="33">
        <f>46200+385500</f>
        <v>431700</v>
      </c>
      <c r="H482" s="143"/>
      <c r="I482" s="143"/>
      <c r="J482" s="111"/>
      <c r="K482" s="29">
        <f>213850+55200</f>
        <v>269050</v>
      </c>
      <c r="L482" s="30">
        <f>284360+105120</f>
        <v>389480</v>
      </c>
      <c r="M482" s="49">
        <f>300000+120000</f>
        <v>420000</v>
      </c>
      <c r="N482" s="39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</row>
    <row r="483">
      <c r="A483" s="221" t="s">
        <v>22</v>
      </c>
      <c r="B483" s="384">
        <v>45853.0</v>
      </c>
      <c r="C483" s="22">
        <f>839040+520470</f>
        <v>1359510</v>
      </c>
      <c r="D483" s="23">
        <f>564550+141560</f>
        <v>706110</v>
      </c>
      <c r="E483" s="227"/>
      <c r="F483" s="228"/>
      <c r="G483" s="35">
        <v>369590.0</v>
      </c>
      <c r="H483" s="143"/>
      <c r="I483" s="143"/>
      <c r="J483" s="111"/>
      <c r="K483" s="112">
        <f>346600+65650</f>
        <v>412250</v>
      </c>
      <c r="L483" s="230">
        <f>297540+263110</f>
        <v>560650</v>
      </c>
      <c r="M483" s="31">
        <f>270000+240000</f>
        <v>510000</v>
      </c>
      <c r="N483" s="39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</row>
    <row r="484">
      <c r="A484" s="221" t="s">
        <v>32</v>
      </c>
      <c r="B484" s="384">
        <v>45854.0</v>
      </c>
      <c r="C484" s="22">
        <f>660960+296110</f>
        <v>957070</v>
      </c>
      <c r="D484" s="226">
        <f>497280+141640</f>
        <v>638920</v>
      </c>
      <c r="E484" s="227"/>
      <c r="F484" s="228"/>
      <c r="G484" s="35">
        <v>214190.0</v>
      </c>
      <c r="H484" s="143"/>
      <c r="I484" s="143"/>
      <c r="J484" s="111"/>
      <c r="K484" s="112">
        <f>302380+55610</f>
        <v>357990</v>
      </c>
      <c r="L484" s="230">
        <f>173580+90810</f>
        <v>264390</v>
      </c>
      <c r="M484" s="31">
        <f>170000+90000</f>
        <v>260000</v>
      </c>
      <c r="N484" s="39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</row>
    <row r="485">
      <c r="A485" s="221" t="s">
        <v>24</v>
      </c>
      <c r="B485" s="384">
        <v>45855.0</v>
      </c>
      <c r="C485" s="225">
        <f>681720+594010</f>
        <v>1275730</v>
      </c>
      <c r="D485" s="226">
        <f>452040+542040</f>
        <v>994080</v>
      </c>
      <c r="E485" s="227"/>
      <c r="F485" s="228"/>
      <c r="G485" s="35">
        <v>241900.0</v>
      </c>
      <c r="H485" s="143"/>
      <c r="I485" s="143"/>
      <c r="J485" s="111"/>
      <c r="K485" s="112">
        <f>316440+126940</f>
        <v>443380</v>
      </c>
      <c r="L485" s="230">
        <f>245680+101870</f>
        <v>347550</v>
      </c>
      <c r="M485" s="31">
        <f>200000+120000</f>
        <v>320000</v>
      </c>
      <c r="N485" s="39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</row>
    <row r="486">
      <c r="A486" s="221" t="s">
        <v>25</v>
      </c>
      <c r="B486" s="384">
        <v>45856.0</v>
      </c>
      <c r="C486" s="225">
        <f>434800+555850</f>
        <v>990650</v>
      </c>
      <c r="D486" s="226">
        <f>262000+156850</f>
        <v>418850</v>
      </c>
      <c r="E486" s="227"/>
      <c r="F486" s="228"/>
      <c r="G486" s="33">
        <f>84900+139700</f>
        <v>224600</v>
      </c>
      <c r="H486" s="143"/>
      <c r="I486" s="143"/>
      <c r="J486" s="111"/>
      <c r="K486" s="112">
        <f>131850+166970</f>
        <v>298820</v>
      </c>
      <c r="L486" s="230">
        <f>194250+235680</f>
        <v>429930</v>
      </c>
      <c r="M486" s="31"/>
      <c r="N486" s="39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</row>
    <row r="487">
      <c r="A487" s="221" t="s">
        <v>33</v>
      </c>
      <c r="B487" s="384">
        <v>45857.0</v>
      </c>
      <c r="C487" s="22">
        <v>1287820.0</v>
      </c>
      <c r="D487" s="23">
        <v>536040.0</v>
      </c>
      <c r="E487" s="227"/>
      <c r="F487" s="228"/>
      <c r="G487" s="35">
        <v>286000.0</v>
      </c>
      <c r="H487" s="143"/>
      <c r="I487" s="143"/>
      <c r="J487" s="111"/>
      <c r="K487" s="112">
        <f>268040+286000</f>
        <v>554040</v>
      </c>
      <c r="L487" s="30">
        <v>541760.0</v>
      </c>
      <c r="M487" s="49">
        <v>110000.0</v>
      </c>
      <c r="N487" s="39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</row>
    <row r="488">
      <c r="A488" s="385" t="s">
        <v>27</v>
      </c>
      <c r="B488" s="386">
        <v>45858.0</v>
      </c>
      <c r="C488" s="49">
        <v>804940.0</v>
      </c>
      <c r="D488" s="49">
        <v>277400.0</v>
      </c>
      <c r="E488" s="31"/>
      <c r="F488" s="31"/>
      <c r="G488" s="49">
        <v>213400.0</v>
      </c>
      <c r="H488" s="31"/>
      <c r="I488" s="31"/>
      <c r="J488" s="31"/>
      <c r="K488" s="49">
        <v>173100.0</v>
      </c>
      <c r="L488" s="49">
        <v>350640.0</v>
      </c>
      <c r="M488" s="49">
        <v>340000.0</v>
      </c>
      <c r="N488" s="39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</row>
    <row r="489">
      <c r="A489" s="221" t="s">
        <v>21</v>
      </c>
      <c r="B489" s="384">
        <v>45859.0</v>
      </c>
      <c r="C489" s="225">
        <f>804070+416040</f>
        <v>1220110</v>
      </c>
      <c r="D489" s="226">
        <f>445000+346400</f>
        <v>791400</v>
      </c>
      <c r="E489" s="227"/>
      <c r="F489" s="228"/>
      <c r="G489" s="33">
        <f>146700+111870</f>
        <v>258570</v>
      </c>
      <c r="H489" s="143"/>
      <c r="I489" s="143"/>
      <c r="J489" s="111"/>
      <c r="K489" s="112">
        <f>212400+146700+11870+80840</f>
        <v>451810</v>
      </c>
      <c r="L489" s="230">
        <f>389970+158750</f>
        <v>548720</v>
      </c>
      <c r="M489" s="31">
        <f>370000+160000</f>
        <v>530000</v>
      </c>
      <c r="N489" s="39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</row>
    <row r="490">
      <c r="A490" s="221" t="s">
        <v>22</v>
      </c>
      <c r="B490" s="384">
        <v>45860.0</v>
      </c>
      <c r="C490" s="225">
        <f>737320+543530</f>
        <v>1280850</v>
      </c>
      <c r="D490" s="226">
        <f>429800+87500</f>
        <v>517300</v>
      </c>
      <c r="E490" s="227"/>
      <c r="F490" s="228"/>
      <c r="G490" s="33">
        <f>218800+139300</f>
        <v>358100</v>
      </c>
      <c r="H490" s="143"/>
      <c r="I490" s="143"/>
      <c r="J490" s="111"/>
      <c r="K490" s="112">
        <f>148800+218800+119390</f>
        <v>486990</v>
      </c>
      <c r="L490" s="230">
        <f>290020+243540</f>
        <v>533560</v>
      </c>
      <c r="M490" s="31">
        <f>270000+260000</f>
        <v>530000</v>
      </c>
      <c r="N490" s="39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</row>
    <row r="491">
      <c r="A491" s="221" t="s">
        <v>32</v>
      </c>
      <c r="B491" s="384">
        <v>45861.0</v>
      </c>
      <c r="C491" s="225">
        <f>1133260+579490</f>
        <v>1712750</v>
      </c>
      <c r="D491" s="226">
        <f>283600+165840</f>
        <v>449440</v>
      </c>
      <c r="E491" s="227"/>
      <c r="F491" s="228"/>
      <c r="G491" s="33">
        <f>273700+78740</f>
        <v>352440</v>
      </c>
      <c r="H491" s="143"/>
      <c r="I491" s="143"/>
      <c r="J491" s="111"/>
      <c r="K491" s="112">
        <f>202290+161840</f>
        <v>364130</v>
      </c>
      <c r="L491" s="230">
        <f>260000+308710</f>
        <v>568710</v>
      </c>
      <c r="M491" s="31">
        <f>250000+300000</f>
        <v>550000</v>
      </c>
      <c r="N491" s="39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</row>
    <row r="492">
      <c r="A492" s="221" t="s">
        <v>24</v>
      </c>
      <c r="B492" s="384">
        <v>45862.0</v>
      </c>
      <c r="C492" s="225">
        <f>627720+537000</f>
        <v>1164720</v>
      </c>
      <c r="D492" s="226">
        <f>393580+290900</f>
        <v>684480</v>
      </c>
      <c r="E492" s="227"/>
      <c r="F492" s="228"/>
      <c r="G492" s="33">
        <f>54000+115200</f>
        <v>169200</v>
      </c>
      <c r="H492" s="143"/>
      <c r="I492" s="143"/>
      <c r="J492" s="111"/>
      <c r="K492" s="112">
        <f>191300+191700</f>
        <v>383000</v>
      </c>
      <c r="L492" s="230">
        <f>258020+223100</f>
        <v>481120</v>
      </c>
      <c r="M492" s="31">
        <f>230000+210000</f>
        <v>440000</v>
      </c>
      <c r="N492" s="39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</row>
    <row r="493">
      <c r="A493" s="221" t="s">
        <v>25</v>
      </c>
      <c r="B493" s="384">
        <v>45863.0</v>
      </c>
      <c r="C493" s="225">
        <f>684540+543730</f>
        <v>1228270</v>
      </c>
      <c r="D493" s="226">
        <f>464340+273040</f>
        <v>737380</v>
      </c>
      <c r="E493" s="227"/>
      <c r="F493" s="228"/>
      <c r="G493" s="33">
        <f>259700+114540</f>
        <v>374240</v>
      </c>
      <c r="H493" s="143"/>
      <c r="I493" s="143"/>
      <c r="J493" s="111"/>
      <c r="K493" s="112">
        <f>127240+159200</f>
        <v>286440</v>
      </c>
      <c r="L493" s="230">
        <f>218400+235190</f>
        <v>453590</v>
      </c>
      <c r="M493" s="31">
        <f>200000+140000+86000</f>
        <v>426000</v>
      </c>
      <c r="N493" s="39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</row>
    <row r="494">
      <c r="A494" s="221" t="s">
        <v>33</v>
      </c>
      <c r="B494" s="384">
        <v>45864.0</v>
      </c>
      <c r="C494" s="22">
        <v>935860.0</v>
      </c>
      <c r="D494" s="23">
        <v>350500.0</v>
      </c>
      <c r="E494" s="227"/>
      <c r="F494" s="228"/>
      <c r="G494" s="35">
        <v>180600.0</v>
      </c>
      <c r="H494" s="143"/>
      <c r="I494" s="143"/>
      <c r="J494" s="111"/>
      <c r="K494" s="29">
        <v>90900.0</v>
      </c>
      <c r="L494" s="30">
        <v>549360.0</v>
      </c>
      <c r="M494" s="31">
        <f>200000+350000</f>
        <v>550000</v>
      </c>
      <c r="N494" s="39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</row>
    <row r="495">
      <c r="A495" s="385" t="s">
        <v>27</v>
      </c>
      <c r="B495" s="386">
        <v>45865.0</v>
      </c>
      <c r="C495" s="49">
        <v>709020.0</v>
      </c>
      <c r="D495" s="49">
        <v>364500.0</v>
      </c>
      <c r="E495" s="31"/>
      <c r="F495" s="31"/>
      <c r="G495" s="49">
        <v>131600.0</v>
      </c>
      <c r="H495" s="31"/>
      <c r="I495" s="31"/>
      <c r="J495" s="31"/>
      <c r="K495" s="49">
        <v>135520.0</v>
      </c>
      <c r="L495" s="49">
        <v>344700.0</v>
      </c>
      <c r="M495" s="49">
        <v>350000.0</v>
      </c>
      <c r="N495" s="39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</row>
    <row r="496">
      <c r="A496" s="221" t="s">
        <v>21</v>
      </c>
      <c r="B496" s="384">
        <v>45866.0</v>
      </c>
      <c r="C496" s="22">
        <v>1180700.0</v>
      </c>
      <c r="D496" s="23">
        <v>625570.0</v>
      </c>
      <c r="E496" s="227"/>
      <c r="F496" s="228"/>
      <c r="G496" s="35">
        <v>281700.0</v>
      </c>
      <c r="H496" s="143"/>
      <c r="I496" s="143"/>
      <c r="J496" s="111"/>
      <c r="K496" s="29">
        <v>190600.0</v>
      </c>
      <c r="L496" s="30">
        <v>573300.0</v>
      </c>
      <c r="M496" s="49">
        <f>240000+260000</f>
        <v>500000</v>
      </c>
      <c r="N496" s="39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</row>
    <row r="497">
      <c r="A497" s="221" t="s">
        <v>22</v>
      </c>
      <c r="B497" s="384">
        <v>45867.0</v>
      </c>
      <c r="C497" s="22">
        <v>2138830.0</v>
      </c>
      <c r="D497" s="23">
        <v>1523500.0</v>
      </c>
      <c r="E497" s="227"/>
      <c r="F497" s="228"/>
      <c r="G497" s="35">
        <v>1085400.0</v>
      </c>
      <c r="H497" s="143"/>
      <c r="I497" s="143"/>
      <c r="J497" s="28">
        <v>432500.0</v>
      </c>
      <c r="K497" s="29">
        <v>427900.0</v>
      </c>
      <c r="L497" s="30">
        <v>460830.0</v>
      </c>
      <c r="M497" s="31">
        <f>270000+150000</f>
        <v>420000</v>
      </c>
      <c r="N497" s="39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</row>
    <row r="498">
      <c r="A498" s="221" t="s">
        <v>32</v>
      </c>
      <c r="B498" s="384">
        <v>45868.0</v>
      </c>
      <c r="C498" s="225">
        <f>535930+604530</f>
        <v>1140460</v>
      </c>
      <c r="D498" s="226">
        <f>253850+451110</f>
        <v>704960</v>
      </c>
      <c r="E498" s="227"/>
      <c r="F498" s="228"/>
      <c r="G498" s="35">
        <f>106500+194400</f>
        <v>300900</v>
      </c>
      <c r="H498" s="143"/>
      <c r="I498" s="143"/>
      <c r="J498" s="111"/>
      <c r="K498" s="29">
        <f>154100+137100</f>
        <v>291200</v>
      </c>
      <c r="L498" s="30">
        <f>195030+180630</f>
        <v>375660</v>
      </c>
      <c r="M498" s="31">
        <f>190000+160000</f>
        <v>350000</v>
      </c>
      <c r="N498" s="39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</row>
    <row r="499">
      <c r="A499" s="221" t="s">
        <v>24</v>
      </c>
      <c r="B499" s="384">
        <v>45869.0</v>
      </c>
      <c r="C499" s="22">
        <v>1167260.0</v>
      </c>
      <c r="D499" s="23">
        <v>687000.0</v>
      </c>
      <c r="E499" s="227"/>
      <c r="F499" s="228"/>
      <c r="G499" s="35">
        <v>395900.0</v>
      </c>
      <c r="H499" s="143"/>
      <c r="I499" s="143"/>
      <c r="J499" s="111"/>
      <c r="K499" s="29">
        <v>290700.0</v>
      </c>
      <c r="L499" s="30">
        <v>476300.0</v>
      </c>
      <c r="M499" s="31">
        <f>260000+150000</f>
        <v>410000</v>
      </c>
      <c r="N499" s="39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</row>
    <row r="500">
      <c r="A500" s="68" t="s">
        <v>28</v>
      </c>
      <c r="B500" s="129" t="s">
        <v>42</v>
      </c>
      <c r="C500" s="70">
        <f>SUM(C469:C499)</f>
        <v>36181375</v>
      </c>
      <c r="D500" s="70"/>
      <c r="E500" s="70">
        <f t="shared" ref="E500:H500" si="15">SUM(E469:E499)</f>
        <v>0</v>
      </c>
      <c r="F500" s="70">
        <f t="shared" si="15"/>
        <v>0</v>
      </c>
      <c r="G500" s="70">
        <f t="shared" si="15"/>
        <v>9943340</v>
      </c>
      <c r="H500" s="70">
        <f t="shared" si="15"/>
        <v>0</v>
      </c>
      <c r="I500" s="70"/>
      <c r="J500" s="70">
        <f t="shared" ref="J500:L500" si="16">SUM(J469:J499)</f>
        <v>432500</v>
      </c>
      <c r="K500" s="70">
        <f t="shared" si="16"/>
        <v>10365950</v>
      </c>
      <c r="L500" s="70">
        <f t="shared" si="16"/>
        <v>13601535</v>
      </c>
      <c r="M500" s="31"/>
      <c r="N500" s="39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</row>
    <row r="501">
      <c r="A501" s="221" t="s">
        <v>25</v>
      </c>
      <c r="B501" s="384">
        <v>45870.0</v>
      </c>
      <c r="C501" s="225">
        <f>518730+590270</f>
        <v>1109000</v>
      </c>
      <c r="D501" s="226">
        <f>363140+358000</f>
        <v>721140</v>
      </c>
      <c r="E501" s="227"/>
      <c r="F501" s="228"/>
      <c r="G501" s="35">
        <v>313100.0</v>
      </c>
      <c r="H501" s="143"/>
      <c r="I501" s="143"/>
      <c r="J501" s="111"/>
      <c r="K501" s="112">
        <f>142000+171600</f>
        <v>313600</v>
      </c>
      <c r="L501" s="230">
        <f>197230+232270</f>
        <v>429500</v>
      </c>
      <c r="M501" s="49">
        <f>170000+120000+80000</f>
        <v>370000</v>
      </c>
      <c r="N501" s="39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</row>
    <row r="502">
      <c r="A502" s="221" t="s">
        <v>33</v>
      </c>
      <c r="B502" s="384">
        <v>45871.0</v>
      </c>
      <c r="C502" s="22">
        <v>1236080.0</v>
      </c>
      <c r="D502" s="23">
        <v>502300.0</v>
      </c>
      <c r="E502" s="227"/>
      <c r="F502" s="228"/>
      <c r="G502" s="35">
        <v>328500.0</v>
      </c>
      <c r="H502" s="143"/>
      <c r="I502" s="143"/>
      <c r="J502" s="111"/>
      <c r="K502" s="29">
        <v>219100.0</v>
      </c>
      <c r="L502" s="30">
        <v>688480.0</v>
      </c>
      <c r="M502" s="49">
        <v>680000.0</v>
      </c>
      <c r="N502" s="39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</row>
    <row r="503">
      <c r="A503" s="385" t="s">
        <v>27</v>
      </c>
      <c r="B503" s="386">
        <v>45872.0</v>
      </c>
      <c r="C503" s="49">
        <v>491080.0</v>
      </c>
      <c r="D503" s="49">
        <v>224500.0</v>
      </c>
      <c r="E503" s="31"/>
      <c r="F503" s="31"/>
      <c r="G503" s="49">
        <v>137200.0</v>
      </c>
      <c r="H503" s="31"/>
      <c r="I503" s="31"/>
      <c r="J503" s="31"/>
      <c r="K503" s="49">
        <v>87300.0</v>
      </c>
      <c r="L503" s="49">
        <v>266580.0</v>
      </c>
      <c r="M503" s="49">
        <v>270000.0</v>
      </c>
      <c r="N503" s="39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</row>
    <row r="504">
      <c r="A504" s="221" t="s">
        <v>21</v>
      </c>
      <c r="B504" s="384">
        <v>45873.0</v>
      </c>
      <c r="C504" s="225">
        <f>1099950+613770</f>
        <v>1713720</v>
      </c>
      <c r="D504" s="226">
        <f>741750+300400</f>
        <v>1042150</v>
      </c>
      <c r="E504" s="227"/>
      <c r="F504" s="228"/>
      <c r="G504" s="35">
        <f>490200+133400</f>
        <v>623600</v>
      </c>
      <c r="H504" s="143"/>
      <c r="I504" s="143"/>
      <c r="J504" s="111"/>
      <c r="K504" s="112">
        <f>185600+219100</f>
        <v>404700</v>
      </c>
      <c r="L504" s="230">
        <f>416150+299070</f>
        <v>715220</v>
      </c>
      <c r="M504" s="31">
        <f>200000+400000</f>
        <v>600000</v>
      </c>
      <c r="N504" s="39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</row>
    <row r="505">
      <c r="A505" s="221" t="s">
        <v>22</v>
      </c>
      <c r="B505" s="384">
        <v>45874.0</v>
      </c>
      <c r="C505" s="225">
        <f>705520+450850</f>
        <v>1156370</v>
      </c>
      <c r="D505" s="226">
        <f>562600+342090</f>
        <v>904690</v>
      </c>
      <c r="E505" s="227"/>
      <c r="F505" s="228"/>
      <c r="G505" s="33">
        <f>358000</f>
        <v>358000</v>
      </c>
      <c r="H505" s="143"/>
      <c r="I505" s="143"/>
      <c r="J505" s="111"/>
      <c r="K505" s="112">
        <f>299300+92300</f>
        <v>391600</v>
      </c>
      <c r="L505" s="230">
        <f>161820+142650</f>
        <v>304470</v>
      </c>
      <c r="M505" s="31">
        <f>170000+140000</f>
        <v>310000</v>
      </c>
      <c r="N505" s="39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</row>
    <row r="506">
      <c r="A506" s="221" t="s">
        <v>32</v>
      </c>
      <c r="B506" s="384">
        <v>45875.0</v>
      </c>
      <c r="C506" s="22">
        <v>1281445.0</v>
      </c>
      <c r="D506" s="23">
        <v>933970.0</v>
      </c>
      <c r="E506" s="227"/>
      <c r="F506" s="228"/>
      <c r="G506" s="35">
        <v>364200.0</v>
      </c>
      <c r="H506" s="143"/>
      <c r="I506" s="143"/>
      <c r="J506" s="111"/>
      <c r="K506" s="29">
        <v>418200.0</v>
      </c>
      <c r="L506" s="30">
        <v>438845.0</v>
      </c>
      <c r="M506" s="31">
        <f>260000+140000</f>
        <v>400000</v>
      </c>
      <c r="N506" s="39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</row>
    <row r="507">
      <c r="A507" s="221" t="s">
        <v>24</v>
      </c>
      <c r="B507" s="384">
        <v>45876.0</v>
      </c>
      <c r="C507" s="22">
        <v>1152760.0</v>
      </c>
      <c r="D507" s="23">
        <v>642550.0</v>
      </c>
      <c r="E507" s="227"/>
      <c r="F507" s="228"/>
      <c r="G507" s="35">
        <v>185400.0</v>
      </c>
      <c r="H507" s="143"/>
      <c r="I507" s="143"/>
      <c r="J507" s="111"/>
      <c r="K507" s="29">
        <v>328100.0</v>
      </c>
      <c r="L507" s="30">
        <v>569160.0</v>
      </c>
      <c r="M507" s="31">
        <f>250000+280000+30000</f>
        <v>560000</v>
      </c>
      <c r="N507" s="39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</row>
    <row r="508">
      <c r="A508" s="221" t="s">
        <v>25</v>
      </c>
      <c r="B508" s="384">
        <v>45877.0</v>
      </c>
      <c r="C508" s="225">
        <f>713970+752685</f>
        <v>1466655</v>
      </c>
      <c r="D508" s="226">
        <f>460800+534250</f>
        <v>995050</v>
      </c>
      <c r="E508" s="227"/>
      <c r="F508" s="228"/>
      <c r="G508" s="33">
        <f>288400+276600</f>
        <v>565000</v>
      </c>
      <c r="H508" s="27">
        <f>91800+11500</f>
        <v>103300</v>
      </c>
      <c r="I508" s="27"/>
      <c r="J508" s="111"/>
      <c r="K508" s="112">
        <f>33800+236700</f>
        <v>270500</v>
      </c>
      <c r="L508" s="230">
        <f>253170+227885</f>
        <v>481055</v>
      </c>
      <c r="M508" s="49">
        <v>460000.0</v>
      </c>
      <c r="N508" s="39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</row>
    <row r="509">
      <c r="A509" s="221" t="s">
        <v>33</v>
      </c>
      <c r="B509" s="384">
        <v>45878.0</v>
      </c>
      <c r="C509" s="22">
        <v>1150220.0</v>
      </c>
      <c r="D509" s="23">
        <v>472550.0</v>
      </c>
      <c r="E509" s="227"/>
      <c r="F509" s="228"/>
      <c r="G509" s="35">
        <v>250450.0</v>
      </c>
      <c r="H509" s="27">
        <v>50800.0</v>
      </c>
      <c r="I509" s="27"/>
      <c r="J509" s="111"/>
      <c r="K509" s="29">
        <v>192800.0</v>
      </c>
      <c r="L509" s="30">
        <v>616670.0</v>
      </c>
      <c r="M509" s="31">
        <f>230000+380000</f>
        <v>610000</v>
      </c>
      <c r="N509" s="39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</row>
    <row r="510">
      <c r="A510" s="385" t="s">
        <v>27</v>
      </c>
      <c r="B510" s="386">
        <v>45879.0</v>
      </c>
      <c r="C510" s="49">
        <v>1057790.0</v>
      </c>
      <c r="D510" s="49">
        <v>659230.0</v>
      </c>
      <c r="E510" s="31"/>
      <c r="F510" s="31"/>
      <c r="G510" s="49">
        <v>277545.0</v>
      </c>
      <c r="H510" s="49">
        <v>25400.0</v>
      </c>
      <c r="I510" s="49"/>
      <c r="J510" s="31"/>
      <c r="K510" s="49">
        <v>290000.0</v>
      </c>
      <c r="L510" s="49">
        <v>431445.0</v>
      </c>
      <c r="M510" s="49">
        <v>440000.0</v>
      </c>
      <c r="N510" s="39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</row>
    <row r="511">
      <c r="A511" s="221" t="s">
        <v>21</v>
      </c>
      <c r="B511" s="384">
        <v>45880.0</v>
      </c>
      <c r="C511" s="225">
        <f>986540+381240</f>
        <v>1367780</v>
      </c>
      <c r="D511" s="226">
        <f>827830+131490</f>
        <v>959320</v>
      </c>
      <c r="E511" s="227"/>
      <c r="F511" s="228"/>
      <c r="G511" s="35">
        <v>312545.0</v>
      </c>
      <c r="H511" s="143">
        <f>84800+18400</f>
        <v>103200</v>
      </c>
      <c r="I511" s="143"/>
      <c r="J511" s="111"/>
      <c r="K511" s="112">
        <f>236300+42600</f>
        <v>278900</v>
      </c>
      <c r="L511" s="230">
        <f>295740+268740</f>
        <v>564480</v>
      </c>
      <c r="M511" s="31">
        <f>270000+280000</f>
        <v>550000</v>
      </c>
      <c r="N511" s="39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</row>
    <row r="512">
      <c r="A512" s="221" t="s">
        <v>22</v>
      </c>
      <c r="B512" s="384">
        <v>45881.0</v>
      </c>
      <c r="C512" s="22">
        <v>1379080.0</v>
      </c>
      <c r="D512" s="23">
        <v>810270.0</v>
      </c>
      <c r="E512" s="227"/>
      <c r="F512" s="228"/>
      <c r="G512" s="35">
        <v>470500.0</v>
      </c>
      <c r="H512" s="27">
        <v>64500.0</v>
      </c>
      <c r="I512" s="27"/>
      <c r="J512" s="111"/>
      <c r="K512" s="29">
        <v>261000.0</v>
      </c>
      <c r="L512" s="30">
        <v>572880.0</v>
      </c>
      <c r="M512" s="49">
        <v>550000.0</v>
      </c>
      <c r="N512" s="39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</row>
    <row r="513">
      <c r="A513" s="221" t="s">
        <v>32</v>
      </c>
      <c r="B513" s="384">
        <v>45882.0</v>
      </c>
      <c r="C513" s="22">
        <v>1615270.0</v>
      </c>
      <c r="D513" s="23">
        <v>1179760.0</v>
      </c>
      <c r="E513" s="227"/>
      <c r="F513" s="228"/>
      <c r="G513" s="35">
        <v>416700.0</v>
      </c>
      <c r="H513" s="27">
        <v>63100.0</v>
      </c>
      <c r="I513" s="27"/>
      <c r="J513" s="111"/>
      <c r="K513" s="29">
        <v>535800.0</v>
      </c>
      <c r="L513" s="30">
        <v>556470.0</v>
      </c>
      <c r="M513" s="31">
        <f>370000+160000</f>
        <v>530000</v>
      </c>
      <c r="N513" s="39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</row>
    <row r="514">
      <c r="A514" s="221" t="s">
        <v>24</v>
      </c>
      <c r="B514" s="384">
        <v>45883.0</v>
      </c>
      <c r="C514" s="22">
        <v>1290980.0</v>
      </c>
      <c r="D514" s="23">
        <v>773310.0</v>
      </c>
      <c r="E514" s="227"/>
      <c r="F514" s="228"/>
      <c r="G514" s="35">
        <v>255000.0</v>
      </c>
      <c r="H514" s="27">
        <v>147200.0</v>
      </c>
      <c r="I514" s="27"/>
      <c r="J514" s="111"/>
      <c r="K514" s="29">
        <v>301340.0</v>
      </c>
      <c r="L514" s="30">
        <v>561540.0</v>
      </c>
      <c r="M514" s="31">
        <f>400000+160000</f>
        <v>560000</v>
      </c>
      <c r="N514" s="39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</row>
    <row r="515">
      <c r="A515" s="221" t="s">
        <v>25</v>
      </c>
      <c r="B515" s="384">
        <v>45884.0</v>
      </c>
      <c r="C515" s="22">
        <v>677040.0</v>
      </c>
      <c r="D515" s="23">
        <v>422600.0</v>
      </c>
      <c r="E515" s="227"/>
      <c r="F515" s="228"/>
      <c r="G515" s="35">
        <v>188500.0</v>
      </c>
      <c r="H515" s="143"/>
      <c r="I515" s="143"/>
      <c r="J515" s="111"/>
      <c r="K515" s="29">
        <v>172700.0</v>
      </c>
      <c r="L515" s="30">
        <v>271440.0</v>
      </c>
      <c r="M515" s="49">
        <v>300000.0</v>
      </c>
      <c r="N515" s="39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</row>
    <row r="516">
      <c r="A516" s="221" t="s">
        <v>33</v>
      </c>
      <c r="B516" s="384">
        <v>45885.0</v>
      </c>
      <c r="C516" s="22">
        <v>940390.0</v>
      </c>
      <c r="D516" s="23">
        <v>462600.0</v>
      </c>
      <c r="E516" s="227"/>
      <c r="F516" s="228"/>
      <c r="G516" s="35">
        <v>233500.0</v>
      </c>
      <c r="H516" s="143"/>
      <c r="I516" s="143"/>
      <c r="J516" s="111"/>
      <c r="K516" s="29">
        <v>222400.0</v>
      </c>
      <c r="L516" s="30">
        <v>448190.0</v>
      </c>
      <c r="M516" s="49">
        <v>430000.0</v>
      </c>
      <c r="N516" s="39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</row>
    <row r="517">
      <c r="A517" s="385" t="s">
        <v>27</v>
      </c>
      <c r="B517" s="386">
        <v>45886.0</v>
      </c>
      <c r="C517" s="49">
        <v>564760.0</v>
      </c>
      <c r="D517" s="49">
        <v>379900.0</v>
      </c>
      <c r="E517" s="31"/>
      <c r="F517" s="31"/>
      <c r="G517" s="49">
        <f>575460-242260</f>
        <v>333200</v>
      </c>
      <c r="H517" s="49">
        <v>29500.0</v>
      </c>
      <c r="I517" s="49"/>
      <c r="J517" s="31"/>
      <c r="K517" s="49">
        <v>194800.0</v>
      </c>
      <c r="L517" s="49">
        <v>184860.0</v>
      </c>
      <c r="M517" s="49">
        <v>170000.0</v>
      </c>
      <c r="N517" s="39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</row>
    <row r="518">
      <c r="A518" s="221" t="s">
        <v>21</v>
      </c>
      <c r="B518" s="384">
        <v>45887.0</v>
      </c>
      <c r="C518" s="22">
        <v>906870.0</v>
      </c>
      <c r="D518" s="23">
        <v>491460.0</v>
      </c>
      <c r="E518" s="227"/>
      <c r="F518" s="228"/>
      <c r="G518" s="35">
        <v>242260.0</v>
      </c>
      <c r="H518" s="27">
        <v>29400.0</v>
      </c>
      <c r="I518" s="27"/>
      <c r="J518" s="111"/>
      <c r="K518" s="29">
        <v>140200.0</v>
      </c>
      <c r="L518" s="30">
        <v>400510.0</v>
      </c>
      <c r="M518" s="49">
        <v>370000.0</v>
      </c>
      <c r="N518" s="39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</row>
    <row r="519">
      <c r="A519" s="221" t="s">
        <v>22</v>
      </c>
      <c r="B519" s="384">
        <v>45888.0</v>
      </c>
      <c r="C519" s="22">
        <v>617900.0</v>
      </c>
      <c r="D519" s="23">
        <v>410900.0</v>
      </c>
      <c r="E519" s="227"/>
      <c r="F519" s="228"/>
      <c r="G519" s="35">
        <v>277300.0</v>
      </c>
      <c r="H519" s="27">
        <v>28400.0</v>
      </c>
      <c r="I519" s="27"/>
      <c r="J519" s="111"/>
      <c r="K519" s="29">
        <v>83100.0</v>
      </c>
      <c r="L519" s="30">
        <v>207000.0</v>
      </c>
      <c r="M519" s="31">
        <f>143500+80000</f>
        <v>223500</v>
      </c>
      <c r="N519" s="39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</row>
    <row r="520">
      <c r="A520" s="221" t="s">
        <v>32</v>
      </c>
      <c r="B520" s="384">
        <v>45889.0</v>
      </c>
      <c r="C520" s="22">
        <v>1142050.0</v>
      </c>
      <c r="D520" s="23">
        <v>624610.0</v>
      </c>
      <c r="E520" s="227"/>
      <c r="F520" s="228"/>
      <c r="G520" s="35">
        <v>210000.0</v>
      </c>
      <c r="H520" s="27">
        <v>77900.0</v>
      </c>
      <c r="I520" s="27"/>
      <c r="J520" s="111"/>
      <c r="K520" s="29">
        <v>298000.0</v>
      </c>
      <c r="L520" s="30">
        <v>541150.0</v>
      </c>
      <c r="M520" s="31">
        <f>290000+200000</f>
        <v>490000</v>
      </c>
      <c r="N520" s="39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</row>
    <row r="521">
      <c r="A521" s="221" t="s">
        <v>24</v>
      </c>
      <c r="B521" s="384">
        <v>45890.0</v>
      </c>
      <c r="C521" s="22">
        <v>1142420.0</v>
      </c>
      <c r="D521" s="23">
        <v>706640.0</v>
      </c>
      <c r="E521" s="227"/>
      <c r="F521" s="228"/>
      <c r="G521" s="35">
        <v>243100.0</v>
      </c>
      <c r="H521" s="27">
        <v>84300.0</v>
      </c>
      <c r="I521" s="27"/>
      <c r="J521" s="111"/>
      <c r="K521" s="29">
        <v>297860.0</v>
      </c>
      <c r="L521" s="30">
        <v>411660.0</v>
      </c>
      <c r="M521" s="49">
        <v>400000.0</v>
      </c>
      <c r="N521" s="39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</row>
    <row r="522">
      <c r="A522" s="221" t="s">
        <v>25</v>
      </c>
      <c r="B522" s="384">
        <v>45891.0</v>
      </c>
      <c r="C522" s="22">
        <v>1062560.0</v>
      </c>
      <c r="D522" s="23">
        <v>719400.0</v>
      </c>
      <c r="E522" s="227"/>
      <c r="F522" s="228"/>
      <c r="G522" s="35">
        <v>284200.0</v>
      </c>
      <c r="H522" s="143"/>
      <c r="I522" s="143"/>
      <c r="J522" s="111"/>
      <c r="K522" s="29">
        <v>434860.0</v>
      </c>
      <c r="L522" s="30">
        <v>310500.0</v>
      </c>
      <c r="M522" s="49">
        <v>300000.0</v>
      </c>
      <c r="N522" s="39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</row>
    <row r="523">
      <c r="A523" s="221" t="s">
        <v>33</v>
      </c>
      <c r="B523" s="384">
        <v>45892.0</v>
      </c>
      <c r="C523" s="22">
        <v>1383870.0</v>
      </c>
      <c r="D523" s="23">
        <v>770000.0</v>
      </c>
      <c r="E523" s="227"/>
      <c r="F523" s="228"/>
      <c r="G523" s="35">
        <v>549600.0</v>
      </c>
      <c r="H523" s="27">
        <v>13500.0</v>
      </c>
      <c r="I523" s="27"/>
      <c r="J523" s="111"/>
      <c r="K523" s="29">
        <v>277030.0</v>
      </c>
      <c r="L523" s="30">
        <v>544140.0</v>
      </c>
      <c r="M523" s="49">
        <v>550000.0</v>
      </c>
      <c r="N523" s="39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</row>
    <row r="524">
      <c r="A524" s="385" t="s">
        <v>27</v>
      </c>
      <c r="B524" s="386">
        <v>45893.0</v>
      </c>
      <c r="C524" s="49">
        <v>828060.0</v>
      </c>
      <c r="D524" s="49">
        <v>485500.0</v>
      </c>
      <c r="E524" s="31"/>
      <c r="F524" s="31"/>
      <c r="G524" s="49">
        <v>288100.0</v>
      </c>
      <c r="H524" s="49">
        <v>6500.0</v>
      </c>
      <c r="I524" s="49"/>
      <c r="J524" s="31"/>
      <c r="K524" s="49">
        <v>175100.0</v>
      </c>
      <c r="L524" s="49">
        <v>342560.0</v>
      </c>
      <c r="M524" s="49">
        <v>310000.0</v>
      </c>
      <c r="N524" s="39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</row>
    <row r="525">
      <c r="A525" s="221" t="s">
        <v>21</v>
      </c>
      <c r="B525" s="384">
        <v>45894.0</v>
      </c>
      <c r="C525" s="22">
        <v>1190310.0</v>
      </c>
      <c r="D525" s="23">
        <v>711800.0</v>
      </c>
      <c r="E525" s="227"/>
      <c r="F525" s="228"/>
      <c r="G525" s="35">
        <v>274900.0</v>
      </c>
      <c r="H525" s="27">
        <v>107500.0</v>
      </c>
      <c r="I525" s="27"/>
      <c r="J525" s="111"/>
      <c r="K525" s="29">
        <v>289400.0</v>
      </c>
      <c r="L525" s="30">
        <v>453510.0</v>
      </c>
      <c r="M525" s="49">
        <v>400000.0</v>
      </c>
      <c r="N525" s="39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</row>
    <row r="526">
      <c r="A526" s="221" t="s">
        <v>22</v>
      </c>
      <c r="B526" s="384">
        <v>45895.0</v>
      </c>
      <c r="C526" s="22">
        <v>1062940.0</v>
      </c>
      <c r="D526" s="226"/>
      <c r="E526" s="227"/>
      <c r="F526" s="228"/>
      <c r="G526" s="35">
        <v>78400.0</v>
      </c>
      <c r="H526" s="27">
        <v>89900.0</v>
      </c>
      <c r="I526" s="27"/>
      <c r="J526" s="111"/>
      <c r="K526" s="29">
        <v>286300.0</v>
      </c>
      <c r="L526" s="30">
        <v>347040.0</v>
      </c>
      <c r="M526" s="49">
        <v>300000.0</v>
      </c>
      <c r="N526" s="39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</row>
    <row r="527">
      <c r="A527" s="221" t="s">
        <v>32</v>
      </c>
      <c r="B527" s="384">
        <v>45896.0</v>
      </c>
      <c r="C527" s="22">
        <v>1020260.0</v>
      </c>
      <c r="D527" s="23">
        <v>771500.0</v>
      </c>
      <c r="E527" s="227"/>
      <c r="F527" s="228"/>
      <c r="G527" s="35">
        <v>336800.0</v>
      </c>
      <c r="H527" s="27">
        <v>16800.0</v>
      </c>
      <c r="I527" s="27"/>
      <c r="J527" s="111"/>
      <c r="K527" s="29">
        <v>359100.0</v>
      </c>
      <c r="L527" s="30">
        <v>248760.0</v>
      </c>
      <c r="M527" s="31">
        <f>80000+180000</f>
        <v>260000</v>
      </c>
      <c r="N527" s="39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</row>
    <row r="528">
      <c r="A528" s="221" t="s">
        <v>24</v>
      </c>
      <c r="B528" s="384">
        <v>45897.0</v>
      </c>
      <c r="C528" s="22">
        <v>943090.0</v>
      </c>
      <c r="D528" s="23">
        <v>540250.0</v>
      </c>
      <c r="E528" s="227"/>
      <c r="F528" s="228"/>
      <c r="G528" s="35">
        <v>188700.0</v>
      </c>
      <c r="H528" s="27">
        <v>56700.0</v>
      </c>
      <c r="I528" s="27"/>
      <c r="J528" s="111"/>
      <c r="K528" s="29">
        <v>214700.0</v>
      </c>
      <c r="L528" s="30">
        <v>440190.0</v>
      </c>
      <c r="M528" s="49">
        <v>400000.0</v>
      </c>
      <c r="N528" s="39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</row>
    <row r="529">
      <c r="A529" s="221" t="s">
        <v>25</v>
      </c>
      <c r="B529" s="384">
        <v>45898.0</v>
      </c>
      <c r="C529" s="22">
        <v>1078630.0</v>
      </c>
      <c r="D529" s="23">
        <v>592540.0</v>
      </c>
      <c r="E529" s="227"/>
      <c r="F529" s="228"/>
      <c r="G529" s="33">
        <f>139300+211500</f>
        <v>350800</v>
      </c>
      <c r="H529" s="27">
        <v>6500.0</v>
      </c>
      <c r="I529" s="27"/>
      <c r="J529" s="111"/>
      <c r="K529" s="29">
        <v>172900.0</v>
      </c>
      <c r="L529" s="30">
        <v>497430.0</v>
      </c>
      <c r="M529" s="49">
        <v>500000.0</v>
      </c>
      <c r="N529" s="39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</row>
    <row r="530">
      <c r="A530" s="221" t="s">
        <v>33</v>
      </c>
      <c r="B530" s="384">
        <v>45899.0</v>
      </c>
      <c r="C530" s="22">
        <v>1241420.0</v>
      </c>
      <c r="D530" s="23">
        <v>703340.0</v>
      </c>
      <c r="E530" s="227"/>
      <c r="F530" s="228"/>
      <c r="G530" s="35">
        <v>292200.0</v>
      </c>
      <c r="H530" s="143"/>
      <c r="I530" s="143"/>
      <c r="J530" s="111"/>
      <c r="K530" s="29">
        <v>374220.0</v>
      </c>
      <c r="L530" s="30">
        <v>527100.0</v>
      </c>
      <c r="M530" s="49">
        <v>510000.0</v>
      </c>
      <c r="N530" s="39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</row>
    <row r="531">
      <c r="A531" s="385" t="s">
        <v>27</v>
      </c>
      <c r="B531" s="386">
        <v>45900.0</v>
      </c>
      <c r="C531" s="49">
        <v>733060.0</v>
      </c>
      <c r="D531" s="49">
        <v>578710.0</v>
      </c>
      <c r="E531" s="31"/>
      <c r="F531" s="31"/>
      <c r="G531" s="49">
        <v>205100.0</v>
      </c>
      <c r="H531" s="49">
        <v>39100.0</v>
      </c>
      <c r="I531" s="49"/>
      <c r="J531" s="31"/>
      <c r="K531" s="49">
        <v>321100.0</v>
      </c>
      <c r="L531" s="49">
        <v>167760.0</v>
      </c>
      <c r="M531" s="49">
        <v>160000.0</v>
      </c>
      <c r="N531" s="39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</row>
    <row r="532">
      <c r="A532" s="68" t="s">
        <v>28</v>
      </c>
      <c r="B532" s="129" t="s">
        <v>43</v>
      </c>
      <c r="C532" s="70">
        <f t="shared" ref="C532:H532" si="17">SUM(C501:C531)</f>
        <v>34003860</v>
      </c>
      <c r="D532" s="70">
        <f t="shared" si="17"/>
        <v>20192540</v>
      </c>
      <c r="E532" s="70">
        <f t="shared" si="17"/>
        <v>0</v>
      </c>
      <c r="F532" s="70">
        <f t="shared" si="17"/>
        <v>0</v>
      </c>
      <c r="G532" s="70">
        <f t="shared" si="17"/>
        <v>9434400</v>
      </c>
      <c r="H532" s="70">
        <f t="shared" si="17"/>
        <v>1143500</v>
      </c>
      <c r="I532" s="70"/>
      <c r="J532" s="70">
        <f t="shared" ref="J532:L532" si="18">SUM(J501:J531)</f>
        <v>0</v>
      </c>
      <c r="K532" s="70">
        <f t="shared" si="18"/>
        <v>8606710</v>
      </c>
      <c r="L532" s="70">
        <f t="shared" si="18"/>
        <v>13540595</v>
      </c>
      <c r="M532" s="31"/>
      <c r="N532" s="39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</row>
    <row r="533">
      <c r="A533" s="221" t="s">
        <v>21</v>
      </c>
      <c r="B533" s="384">
        <v>45901.0</v>
      </c>
      <c r="C533" s="22">
        <v>972070.0</v>
      </c>
      <c r="D533" s="23">
        <v>670030.0</v>
      </c>
      <c r="E533" s="227"/>
      <c r="F533" s="228"/>
      <c r="G533" s="35">
        <v>383300.0</v>
      </c>
      <c r="H533" s="27">
        <v>26400.0</v>
      </c>
      <c r="I533" s="27"/>
      <c r="J533" s="111"/>
      <c r="K533" s="29">
        <v>352650.0</v>
      </c>
      <c r="L533" s="30">
        <v>349920.0</v>
      </c>
      <c r="M533" s="49">
        <v>280000.0</v>
      </c>
      <c r="N533" s="39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</row>
    <row r="534">
      <c r="A534" s="221" t="s">
        <v>22</v>
      </c>
      <c r="B534" s="384">
        <v>45902.0</v>
      </c>
      <c r="C534" s="22">
        <v>1121710.0</v>
      </c>
      <c r="D534" s="23">
        <v>669590.0</v>
      </c>
      <c r="E534" s="227"/>
      <c r="F534" s="228"/>
      <c r="G534" s="35">
        <f>180500+125500</f>
        <v>306000</v>
      </c>
      <c r="H534" s="27"/>
      <c r="I534" s="27"/>
      <c r="J534" s="111"/>
      <c r="K534" s="29">
        <v>266720.0</v>
      </c>
      <c r="L534" s="30">
        <v>481590.0</v>
      </c>
      <c r="M534" s="49">
        <v>500000.0</v>
      </c>
      <c r="N534" s="39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</row>
    <row r="535">
      <c r="A535" s="221" t="s">
        <v>32</v>
      </c>
      <c r="B535" s="384">
        <v>45903.0</v>
      </c>
      <c r="C535" s="22">
        <v>1790990.0</v>
      </c>
      <c r="D535" s="23">
        <v>1254799.0</v>
      </c>
      <c r="E535" s="227"/>
      <c r="F535" s="228"/>
      <c r="G535" s="35">
        <v>606000.0</v>
      </c>
      <c r="H535" s="143"/>
      <c r="I535" s="143"/>
      <c r="J535" s="111"/>
      <c r="K535" s="29">
        <v>618900.0</v>
      </c>
      <c r="L535" s="30">
        <v>505590.0</v>
      </c>
      <c r="M535" s="49">
        <v>440000.0</v>
      </c>
      <c r="N535" s="39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</row>
    <row r="536">
      <c r="A536" s="221" t="s">
        <v>24</v>
      </c>
      <c r="B536" s="384">
        <v>45904.0</v>
      </c>
      <c r="C536" s="22">
        <v>1145780.0</v>
      </c>
      <c r="D536" s="23">
        <v>877830.0</v>
      </c>
      <c r="E536" s="227"/>
      <c r="F536" s="228"/>
      <c r="G536" s="33">
        <f>187260+185000</f>
        <v>372260</v>
      </c>
      <c r="H536" s="143"/>
      <c r="I536" s="143"/>
      <c r="J536" s="111"/>
      <c r="K536" s="29">
        <v>299600.0</v>
      </c>
      <c r="L536" s="30">
        <v>358020.0</v>
      </c>
      <c r="M536" s="49">
        <v>320000.0</v>
      </c>
      <c r="N536" s="39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</row>
    <row r="537">
      <c r="A537" s="221" t="s">
        <v>25</v>
      </c>
      <c r="B537" s="384">
        <v>45905.0</v>
      </c>
      <c r="C537" s="22">
        <v>1459320.0</v>
      </c>
      <c r="D537" s="23">
        <v>804970.0</v>
      </c>
      <c r="E537" s="227"/>
      <c r="F537" s="228"/>
      <c r="G537" s="35">
        <v>206500.0</v>
      </c>
      <c r="H537" s="143"/>
      <c r="I537" s="143"/>
      <c r="J537" s="111"/>
      <c r="K537" s="29">
        <v>528630.0</v>
      </c>
      <c r="L537" s="30">
        <v>611290.0</v>
      </c>
      <c r="M537" s="49">
        <v>600000.0</v>
      </c>
      <c r="N537" s="39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</row>
    <row r="538">
      <c r="A538" s="221" t="s">
        <v>33</v>
      </c>
      <c r="B538" s="384">
        <v>45906.0</v>
      </c>
      <c r="C538" s="22">
        <v>1075100.0</v>
      </c>
      <c r="D538" s="23">
        <v>489250.0</v>
      </c>
      <c r="E538" s="227"/>
      <c r="F538" s="228"/>
      <c r="G538" s="35">
        <v>197300.0</v>
      </c>
      <c r="H538" s="143"/>
      <c r="I538" s="143"/>
      <c r="J538" s="111"/>
      <c r="K538" s="29">
        <v>183040.0</v>
      </c>
      <c r="L538" s="30">
        <v>585260.0</v>
      </c>
      <c r="M538" s="49">
        <v>540000.0</v>
      </c>
      <c r="N538" s="39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</row>
    <row r="539">
      <c r="A539" s="385" t="s">
        <v>27</v>
      </c>
      <c r="B539" s="386">
        <v>45907.0</v>
      </c>
      <c r="C539" s="49">
        <v>803900.0</v>
      </c>
      <c r="D539" s="49">
        <v>563420.0</v>
      </c>
      <c r="E539" s="31"/>
      <c r="F539" s="31"/>
      <c r="G539" s="49">
        <v>232000.0</v>
      </c>
      <c r="H539" s="49">
        <v>129200.0</v>
      </c>
      <c r="I539" s="49"/>
      <c r="J539" s="31"/>
      <c r="K539" s="49">
        <v>202220.0</v>
      </c>
      <c r="L539" s="49">
        <v>240480.0</v>
      </c>
      <c r="M539" s="49">
        <v>240000.0</v>
      </c>
      <c r="N539" s="39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</row>
    <row r="540">
      <c r="A540" s="221" t="s">
        <v>21</v>
      </c>
      <c r="B540" s="384">
        <v>45908.0</v>
      </c>
      <c r="C540" s="22">
        <v>1447082.0</v>
      </c>
      <c r="D540" s="23">
        <v>802790.0</v>
      </c>
      <c r="E540" s="227"/>
      <c r="F540" s="228"/>
      <c r="G540" s="33">
        <f>245300+154500</f>
        <v>399800</v>
      </c>
      <c r="H540" s="27">
        <v>39200.0</v>
      </c>
      <c r="I540" s="27"/>
      <c r="J540" s="111"/>
      <c r="K540" s="29">
        <v>265300.0</v>
      </c>
      <c r="L540" s="30">
        <v>617302.0</v>
      </c>
      <c r="M540" s="49">
        <v>540000.0</v>
      </c>
      <c r="N540" s="39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</row>
    <row r="541">
      <c r="A541" s="221" t="s">
        <v>22</v>
      </c>
      <c r="B541" s="384">
        <v>45909.0</v>
      </c>
      <c r="C541" s="22">
        <v>1327413.0</v>
      </c>
      <c r="D541" s="23">
        <v>940003.0</v>
      </c>
      <c r="E541" s="227"/>
      <c r="F541" s="228"/>
      <c r="G541" s="35">
        <f>75700+188200</f>
        <v>263900</v>
      </c>
      <c r="H541" s="27">
        <v>14900.0</v>
      </c>
      <c r="I541" s="27"/>
      <c r="J541" s="111"/>
      <c r="K541" s="29">
        <v>615623.0</v>
      </c>
      <c r="L541" s="30">
        <v>390290.0</v>
      </c>
      <c r="M541" s="49">
        <v>300000.0</v>
      </c>
      <c r="N541" s="39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</row>
    <row r="542">
      <c r="A542" s="221" t="s">
        <v>32</v>
      </c>
      <c r="B542" s="384">
        <v>45910.0</v>
      </c>
      <c r="C542" s="22">
        <v>1107370.0</v>
      </c>
      <c r="D542" s="23">
        <v>698140.0</v>
      </c>
      <c r="E542" s="227"/>
      <c r="F542" s="228"/>
      <c r="G542" s="35">
        <v>276480.0</v>
      </c>
      <c r="H542" s="27">
        <v>27000.0</v>
      </c>
      <c r="I542" s="27"/>
      <c r="J542" s="111"/>
      <c r="K542" s="29">
        <v>372360.0</v>
      </c>
      <c r="L542" s="30">
        <v>323550.0</v>
      </c>
      <c r="M542" s="49">
        <v>300000.0</v>
      </c>
      <c r="N542" s="39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</row>
    <row r="543">
      <c r="A543" s="221" t="s">
        <v>24</v>
      </c>
      <c r="B543" s="384">
        <v>45911.0</v>
      </c>
      <c r="C543" s="22">
        <v>1081506.0</v>
      </c>
      <c r="D543" s="23">
        <v>587891.0</v>
      </c>
      <c r="E543" s="227"/>
      <c r="F543" s="228"/>
      <c r="G543" s="35">
        <v>200001.0</v>
      </c>
      <c r="H543" s="143"/>
      <c r="I543" s="143"/>
      <c r="J543" s="111"/>
      <c r="K543" s="29">
        <v>380390.0</v>
      </c>
      <c r="L543" s="30">
        <v>493615.0</v>
      </c>
      <c r="M543" s="31">
        <f>180000+270000</f>
        <v>450000</v>
      </c>
      <c r="N543" s="39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</row>
    <row r="544">
      <c r="A544" s="221" t="s">
        <v>25</v>
      </c>
      <c r="B544" s="384">
        <v>45912.0</v>
      </c>
      <c r="C544" s="22">
        <v>1173880.0</v>
      </c>
      <c r="D544" s="23">
        <v>638980.0</v>
      </c>
      <c r="E544" s="227"/>
      <c r="F544" s="228"/>
      <c r="G544" s="35">
        <v>445491.0</v>
      </c>
      <c r="H544" s="27">
        <v>149500.0</v>
      </c>
      <c r="I544" s="27"/>
      <c r="J544" s="111"/>
      <c r="K544" s="29">
        <v>245710.0</v>
      </c>
      <c r="L544" s="30">
        <f>526470</f>
        <v>526470</v>
      </c>
      <c r="M544" s="49">
        <v>460000.0</v>
      </c>
      <c r="N544" s="32">
        <v>65620.0</v>
      </c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</row>
    <row r="545">
      <c r="A545" s="221" t="s">
        <v>33</v>
      </c>
      <c r="B545" s="384">
        <v>45913.0</v>
      </c>
      <c r="C545" s="22">
        <v>1130965.0</v>
      </c>
      <c r="D545" s="23">
        <v>551440.0</v>
      </c>
      <c r="E545" s="227"/>
      <c r="F545" s="228"/>
      <c r="G545" s="33">
        <f>57800+93580</f>
        <v>151380</v>
      </c>
      <c r="H545" s="27">
        <v>31900.0</v>
      </c>
      <c r="I545" s="27"/>
      <c r="J545" s="111"/>
      <c r="K545" s="29">
        <v>278450.0</v>
      </c>
      <c r="L545" s="30">
        <v>546825.0</v>
      </c>
      <c r="M545" s="49">
        <v>560000.0</v>
      </c>
      <c r="N545" s="32">
        <v>45360.0</v>
      </c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</row>
    <row r="546">
      <c r="A546" s="385" t="s">
        <v>27</v>
      </c>
      <c r="B546" s="386">
        <v>45914.0</v>
      </c>
      <c r="C546" s="49">
        <v>556120.0</v>
      </c>
      <c r="D546" s="49">
        <v>324600.0</v>
      </c>
      <c r="E546" s="31"/>
      <c r="F546" s="31"/>
      <c r="G546" s="49">
        <f>136000+30100</f>
        <v>166100</v>
      </c>
      <c r="H546" s="49">
        <v>23900.0</v>
      </c>
      <c r="I546" s="49"/>
      <c r="J546" s="31"/>
      <c r="K546" s="49">
        <v>120610.0</v>
      </c>
      <c r="L546" s="49">
        <v>200110.0</v>
      </c>
      <c r="M546" s="49">
        <v>200000.0</v>
      </c>
      <c r="N546" s="39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</row>
    <row r="547">
      <c r="A547" s="221" t="s">
        <v>21</v>
      </c>
      <c r="B547" s="384">
        <v>45915.0</v>
      </c>
      <c r="C547" s="22">
        <v>1298110.0</v>
      </c>
      <c r="D547" s="23">
        <v>813300.0</v>
      </c>
      <c r="E547" s="227"/>
      <c r="F547" s="228"/>
      <c r="G547" s="33">
        <f>169200+355400</f>
        <v>524600</v>
      </c>
      <c r="H547" s="27">
        <v>76900.0</v>
      </c>
      <c r="I547" s="27"/>
      <c r="J547" s="111"/>
      <c r="K547" s="29">
        <v>277900.0</v>
      </c>
      <c r="L547" s="30">
        <v>434200.0</v>
      </c>
      <c r="M547" s="49">
        <v>420000.0</v>
      </c>
      <c r="N547" s="32">
        <v>8480.0</v>
      </c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</row>
    <row r="548">
      <c r="A548" s="221" t="s">
        <v>22</v>
      </c>
      <c r="B548" s="384">
        <v>45916.0</v>
      </c>
      <c r="C548" s="22">
        <v>1231580.0</v>
      </c>
      <c r="D548" s="23">
        <v>835860.0</v>
      </c>
      <c r="E548" s="227"/>
      <c r="F548" s="228"/>
      <c r="G548" s="35">
        <v>447570.0</v>
      </c>
      <c r="H548" s="27">
        <v>13500.0</v>
      </c>
      <c r="I548" s="27"/>
      <c r="J548" s="111"/>
      <c r="K548" s="29">
        <v>264470.0</v>
      </c>
      <c r="L548" s="30">
        <v>351050.0</v>
      </c>
      <c r="M548" s="49">
        <v>320000.0</v>
      </c>
      <c r="N548" s="32">
        <v>28070.0</v>
      </c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</row>
    <row r="549">
      <c r="A549" s="221" t="s">
        <v>32</v>
      </c>
      <c r="B549" s="384">
        <v>45917.0</v>
      </c>
      <c r="C549" s="22">
        <v>851830.0</v>
      </c>
      <c r="D549" s="23">
        <v>453130.0</v>
      </c>
      <c r="E549" s="227"/>
      <c r="F549" s="228"/>
      <c r="G549" s="35">
        <v>250190.0</v>
      </c>
      <c r="H549" s="143"/>
      <c r="I549" s="143"/>
      <c r="J549" s="111"/>
      <c r="K549" s="29">
        <v>164450.0</v>
      </c>
      <c r="L549" s="30">
        <v>357290.0</v>
      </c>
      <c r="M549" s="49">
        <v>330000.0</v>
      </c>
      <c r="N549" s="32">
        <v>26680.0</v>
      </c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</row>
    <row r="550">
      <c r="A550" s="221" t="s">
        <v>24</v>
      </c>
      <c r="B550" s="384">
        <v>45918.0</v>
      </c>
      <c r="C550" s="22">
        <v>1182891.0</v>
      </c>
      <c r="D550" s="23">
        <v>698070.0</v>
      </c>
      <c r="E550" s="227"/>
      <c r="F550" s="228"/>
      <c r="G550" s="35">
        <v>244630.0</v>
      </c>
      <c r="H550" s="27">
        <v>100300.0</v>
      </c>
      <c r="I550" s="27"/>
      <c r="J550" s="111"/>
      <c r="K550" s="29">
        <v>404590.0</v>
      </c>
      <c r="L550" s="30">
        <v>426771.0</v>
      </c>
      <c r="M550" s="49">
        <v>400000.0</v>
      </c>
      <c r="N550" s="32">
        <v>22740.0</v>
      </c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</row>
    <row r="551">
      <c r="A551" s="221" t="s">
        <v>25</v>
      </c>
      <c r="B551" s="384">
        <v>45919.0</v>
      </c>
      <c r="C551" s="225">
        <f>491570+569300</f>
        <v>1060870</v>
      </c>
      <c r="D551" s="226">
        <f>275200+340070</f>
        <v>615270</v>
      </c>
      <c r="E551" s="227"/>
      <c r="F551" s="228"/>
      <c r="G551" s="33">
        <f>89800+167680</f>
        <v>257480</v>
      </c>
      <c r="H551" s="27">
        <v>27700.0</v>
      </c>
      <c r="I551" s="27"/>
      <c r="J551" s="111"/>
      <c r="K551" s="112">
        <f>87500+117130</f>
        <v>204630</v>
      </c>
      <c r="L551" s="230">
        <f>197270+243090</f>
        <v>440360</v>
      </c>
      <c r="M551" s="31">
        <f>160000+90000+120000</f>
        <v>370000</v>
      </c>
      <c r="N551" s="39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</row>
    <row r="552">
      <c r="A552" s="221" t="s">
        <v>33</v>
      </c>
      <c r="B552" s="384">
        <v>45920.0</v>
      </c>
      <c r="C552" s="22">
        <v>1101600.0</v>
      </c>
      <c r="D552" s="23">
        <v>540800.0</v>
      </c>
      <c r="E552" s="227"/>
      <c r="F552" s="228"/>
      <c r="G552" s="35">
        <v>326900.0</v>
      </c>
      <c r="H552" s="27">
        <v>18100.0</v>
      </c>
      <c r="I552" s="27"/>
      <c r="J552" s="111"/>
      <c r="K552" s="29">
        <v>130200.0</v>
      </c>
      <c r="L552" s="30">
        <v>578700.0</v>
      </c>
      <c r="M552" s="49">
        <v>530000.0</v>
      </c>
      <c r="N552" s="39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</row>
    <row r="553">
      <c r="A553" s="385" t="s">
        <v>27</v>
      </c>
      <c r="B553" s="386">
        <v>45921.0</v>
      </c>
      <c r="C553" s="49">
        <v>757960.0</v>
      </c>
      <c r="D553" s="49">
        <v>539350.0</v>
      </c>
      <c r="E553" s="31"/>
      <c r="F553" s="31"/>
      <c r="G553" s="49">
        <v>212400.0</v>
      </c>
      <c r="H553" s="49">
        <v>65600.0</v>
      </c>
      <c r="I553" s="49"/>
      <c r="J553" s="31"/>
      <c r="K553" s="49">
        <v>221150.0</v>
      </c>
      <c r="L553" s="49">
        <v>218610.0</v>
      </c>
      <c r="M553" s="49">
        <v>230000.0</v>
      </c>
      <c r="N553" s="39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</row>
    <row r="554">
      <c r="A554" s="221" t="s">
        <v>21</v>
      </c>
      <c r="B554" s="384">
        <v>45922.0</v>
      </c>
      <c r="C554" s="22">
        <f>615500+334280</f>
        <v>949780</v>
      </c>
      <c r="D554" s="23">
        <f>419300+126200</f>
        <v>545500</v>
      </c>
      <c r="E554" s="227"/>
      <c r="F554" s="228"/>
      <c r="G554" s="35">
        <f>74800+31600</f>
        <v>106400</v>
      </c>
      <c r="H554" s="27">
        <f>27000+8900</f>
        <v>35900</v>
      </c>
      <c r="I554" s="27"/>
      <c r="J554" s="111"/>
      <c r="K554" s="29">
        <f>131300+58400</f>
        <v>189700</v>
      </c>
      <c r="L554" s="30">
        <f>196200+208080</f>
        <v>404280</v>
      </c>
      <c r="M554" s="49">
        <v>380000.0</v>
      </c>
      <c r="N554" s="32" t="s">
        <v>595</v>
      </c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</row>
    <row r="555">
      <c r="A555" s="221" t="s">
        <v>22</v>
      </c>
      <c r="B555" s="384">
        <v>45923.0</v>
      </c>
      <c r="C555" s="22">
        <v>1096500.0</v>
      </c>
      <c r="D555" s="23">
        <v>766320.0</v>
      </c>
      <c r="E555" s="227"/>
      <c r="F555" s="228"/>
      <c r="G555" s="35">
        <v>497100.0</v>
      </c>
      <c r="H555" s="27">
        <v>32500.0</v>
      </c>
      <c r="I555" s="27"/>
      <c r="J555" s="111"/>
      <c r="K555" s="29">
        <v>260760.0</v>
      </c>
      <c r="L555" s="30">
        <v>302740.0</v>
      </c>
      <c r="M555" s="49">
        <v>120000.0</v>
      </c>
      <c r="N555" s="32">
        <v>25140.0</v>
      </c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</row>
    <row r="556">
      <c r="A556" s="221" t="s">
        <v>32</v>
      </c>
      <c r="B556" s="384">
        <v>45924.0</v>
      </c>
      <c r="C556" s="22">
        <v>1220000.0</v>
      </c>
      <c r="D556" s="23">
        <v>673550.0</v>
      </c>
      <c r="E556" s="227"/>
      <c r="F556" s="228"/>
      <c r="G556" s="35">
        <v>314840.0</v>
      </c>
      <c r="H556" s="27">
        <v>13500.0</v>
      </c>
      <c r="I556" s="27"/>
      <c r="J556" s="111"/>
      <c r="K556" s="29">
        <v>345210.0</v>
      </c>
      <c r="L556" s="30">
        <v>548315.0</v>
      </c>
      <c r="M556" s="49">
        <v>510000.0</v>
      </c>
      <c r="N556" s="39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</row>
    <row r="557">
      <c r="A557" s="221" t="s">
        <v>24</v>
      </c>
      <c r="B557" s="384">
        <v>45925.0</v>
      </c>
      <c r="C557" s="22">
        <v>1094060.0</v>
      </c>
      <c r="D557" s="23">
        <v>522870.0</v>
      </c>
      <c r="E557" s="227"/>
      <c r="F557" s="228"/>
      <c r="G557" s="35">
        <v>321800.0</v>
      </c>
      <c r="H557" s="27">
        <v>48900.0</v>
      </c>
      <c r="I557" s="27"/>
      <c r="J557" s="111"/>
      <c r="K557" s="29">
        <v>141600.0</v>
      </c>
      <c r="L557" s="30">
        <v>528260.0</v>
      </c>
      <c r="M557" s="49">
        <v>520000.0</v>
      </c>
      <c r="N557" s="39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</row>
    <row r="558">
      <c r="A558" s="221" t="s">
        <v>25</v>
      </c>
      <c r="B558" s="384">
        <v>45926.0</v>
      </c>
      <c r="C558" s="22">
        <v>1440410.0</v>
      </c>
      <c r="D558" s="23">
        <v>914410.0</v>
      </c>
      <c r="E558" s="227"/>
      <c r="F558" s="228"/>
      <c r="G558" s="35">
        <v>521410.0</v>
      </c>
      <c r="H558" s="27">
        <v>50200.0</v>
      </c>
      <c r="I558" s="27"/>
      <c r="J558" s="111"/>
      <c r="K558" s="29">
        <v>303310.0</v>
      </c>
      <c r="L558" s="30">
        <v>539490.0</v>
      </c>
      <c r="M558" s="49">
        <v>500000.0</v>
      </c>
      <c r="N558" s="39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</row>
    <row r="559">
      <c r="A559" s="221" t="s">
        <v>33</v>
      </c>
      <c r="B559" s="384">
        <v>45927.0</v>
      </c>
      <c r="C559" s="22">
        <v>862720.0</v>
      </c>
      <c r="D559" s="23">
        <v>456100.0</v>
      </c>
      <c r="E559" s="227"/>
      <c r="F559" s="228"/>
      <c r="G559" s="35">
        <v>153700.0</v>
      </c>
      <c r="H559" s="27">
        <v>36600.0</v>
      </c>
      <c r="I559" s="27"/>
      <c r="J559" s="111"/>
      <c r="K559" s="29">
        <v>174500.0</v>
      </c>
      <c r="L559" s="30">
        <v>421020.0</v>
      </c>
      <c r="M559" s="49">
        <v>400000.0</v>
      </c>
      <c r="N559" s="39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</row>
    <row r="560">
      <c r="A560" s="385" t="s">
        <v>27</v>
      </c>
      <c r="B560" s="386">
        <v>45928.0</v>
      </c>
      <c r="C560" s="49">
        <v>732670.0</v>
      </c>
      <c r="D560" s="49">
        <v>579400.0</v>
      </c>
      <c r="E560" s="31"/>
      <c r="F560" s="31"/>
      <c r="G560" s="49">
        <v>315200.0</v>
      </c>
      <c r="H560" s="49">
        <v>45300.0</v>
      </c>
      <c r="I560" s="49"/>
      <c r="J560" s="31"/>
      <c r="K560" s="49">
        <v>102800.0</v>
      </c>
      <c r="L560" s="49">
        <v>153270.0</v>
      </c>
      <c r="M560" s="49">
        <v>140000.0</v>
      </c>
      <c r="N560" s="39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</row>
    <row r="561">
      <c r="A561" s="221" t="s">
        <v>21</v>
      </c>
      <c r="B561" s="384">
        <v>45929.0</v>
      </c>
      <c r="C561" s="22">
        <v>1123495.0</v>
      </c>
      <c r="D561" s="23">
        <v>661570.0</v>
      </c>
      <c r="E561" s="227"/>
      <c r="F561" s="228"/>
      <c r="G561" s="35">
        <v>206790.0</v>
      </c>
      <c r="H561" s="27">
        <v>79700.0</v>
      </c>
      <c r="I561" s="27"/>
      <c r="J561" s="111"/>
      <c r="K561" s="29">
        <v>269080.0</v>
      </c>
      <c r="L561" s="30">
        <v>461925.0</v>
      </c>
      <c r="M561" s="49">
        <v>470000.0</v>
      </c>
      <c r="N561" s="39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</row>
    <row r="562">
      <c r="A562" s="221" t="s">
        <v>22</v>
      </c>
      <c r="B562" s="384">
        <v>45930.0</v>
      </c>
      <c r="C562" s="22">
        <v>1062435.0</v>
      </c>
      <c r="D562" s="23">
        <v>789490.0</v>
      </c>
      <c r="E562" s="227"/>
      <c r="F562" s="228"/>
      <c r="G562" s="35">
        <v>228890.0</v>
      </c>
      <c r="H562" s="27">
        <v>104400.0</v>
      </c>
      <c r="I562" s="27"/>
      <c r="J562" s="111"/>
      <c r="K562" s="29">
        <v>225200.0</v>
      </c>
      <c r="L562" s="30">
        <v>326745.0</v>
      </c>
      <c r="M562" s="49">
        <v>320000.0</v>
      </c>
      <c r="N562" s="39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</row>
    <row r="563">
      <c r="A563" s="68" t="s">
        <v>28</v>
      </c>
      <c r="B563" s="129" t="s">
        <v>45</v>
      </c>
      <c r="C563" s="70">
        <f t="shared" ref="C563:D563" si="19">SUM(C533:C562)</f>
        <v>33260117</v>
      </c>
      <c r="D563" s="70">
        <f t="shared" si="19"/>
        <v>20278723</v>
      </c>
      <c r="E563" s="70">
        <f t="shared" ref="E563:F563" si="20">SUM(E532:E562)</f>
        <v>0</v>
      </c>
      <c r="F563" s="70">
        <f t="shared" si="20"/>
        <v>0</v>
      </c>
      <c r="G563" s="70">
        <f t="shared" ref="G563:H563" si="21">SUM(G533:G562)</f>
        <v>9136412</v>
      </c>
      <c r="H563" s="70">
        <f t="shared" si="21"/>
        <v>1191100</v>
      </c>
      <c r="I563" s="70"/>
      <c r="J563" s="70">
        <f>SUM(J532:J562)</f>
        <v>0</v>
      </c>
      <c r="K563" s="70">
        <f t="shared" ref="K563:L563" si="22">SUM(K533:K562)</f>
        <v>8409753</v>
      </c>
      <c r="L563" s="70">
        <f t="shared" si="22"/>
        <v>12723338</v>
      </c>
      <c r="M563" s="31"/>
      <c r="N563" s="39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</row>
    <row r="564">
      <c r="A564" s="221" t="s">
        <v>32</v>
      </c>
      <c r="B564" s="384">
        <v>45931.0</v>
      </c>
      <c r="C564" s="22">
        <v>1426737.0</v>
      </c>
      <c r="D564" s="23">
        <v>823880.0</v>
      </c>
      <c r="E564" s="227"/>
      <c r="F564" s="228"/>
      <c r="G564" s="35">
        <v>269200.0</v>
      </c>
      <c r="H564" s="27">
        <v>125500.0</v>
      </c>
      <c r="I564" s="27"/>
      <c r="J564" s="111"/>
      <c r="K564" s="29">
        <v>356780.0</v>
      </c>
      <c r="L564" s="30">
        <v>602857.0</v>
      </c>
      <c r="M564" s="49">
        <v>590000.0</v>
      </c>
      <c r="N564" s="39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</row>
    <row r="565">
      <c r="A565" s="221" t="s">
        <v>24</v>
      </c>
      <c r="B565" s="384">
        <v>45932.0</v>
      </c>
      <c r="C565" s="22">
        <v>1098660.0</v>
      </c>
      <c r="D565" s="23">
        <v>663870.0</v>
      </c>
      <c r="E565" s="227"/>
      <c r="F565" s="228"/>
      <c r="G565" s="35">
        <v>237203.0</v>
      </c>
      <c r="H565" s="27">
        <v>54800.0</v>
      </c>
      <c r="I565" s="27"/>
      <c r="J565" s="111"/>
      <c r="K565" s="29">
        <v>200990.0</v>
      </c>
      <c r="L565" s="30">
        <v>456767.0</v>
      </c>
      <c r="M565" s="49">
        <v>420000.0</v>
      </c>
      <c r="N565" s="39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</row>
    <row r="566">
      <c r="A566" s="221" t="s">
        <v>25</v>
      </c>
      <c r="B566" s="384">
        <v>45933.0</v>
      </c>
      <c r="C566" s="22">
        <v>1195240.0</v>
      </c>
      <c r="D566" s="23">
        <v>783790.0</v>
      </c>
      <c r="E566" s="227"/>
      <c r="F566" s="228"/>
      <c r="G566" s="35">
        <v>296990.0</v>
      </c>
      <c r="H566" s="27">
        <v>88700.0</v>
      </c>
      <c r="I566" s="27"/>
      <c r="J566" s="111"/>
      <c r="K566" s="29">
        <v>325000.0</v>
      </c>
      <c r="L566" s="30">
        <v>417050.0</v>
      </c>
      <c r="M566" s="31"/>
      <c r="N566" s="39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</row>
    <row r="567">
      <c r="A567" s="221" t="s">
        <v>33</v>
      </c>
      <c r="B567" s="384">
        <v>45934.0</v>
      </c>
      <c r="C567" s="22">
        <v>971950.0</v>
      </c>
      <c r="D567" s="23">
        <v>581080.0</v>
      </c>
      <c r="E567" s="227"/>
      <c r="F567" s="228"/>
      <c r="G567" s="35">
        <v>152400.0</v>
      </c>
      <c r="H567" s="27">
        <v>38300.0</v>
      </c>
      <c r="I567" s="27"/>
      <c r="J567" s="111"/>
      <c r="K567" s="29">
        <v>288680.0</v>
      </c>
      <c r="L567" s="30">
        <v>390870.0</v>
      </c>
      <c r="M567" s="31">
        <f>240000+130000</f>
        <v>370000</v>
      </c>
      <c r="N567" s="39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</row>
    <row r="568">
      <c r="A568" s="385" t="s">
        <v>27</v>
      </c>
      <c r="B568" s="386">
        <v>45935.0</v>
      </c>
      <c r="C568" s="49">
        <v>411460.0</v>
      </c>
      <c r="D568" s="49">
        <v>270610.0</v>
      </c>
      <c r="E568" s="31"/>
      <c r="F568" s="31"/>
      <c r="G568" s="49">
        <v>120600.0</v>
      </c>
      <c r="H568" s="31"/>
      <c r="I568" s="31"/>
      <c r="J568" s="31"/>
      <c r="K568" s="49">
        <v>150010.0</v>
      </c>
      <c r="L568" s="49">
        <v>140850.0</v>
      </c>
      <c r="M568" s="49">
        <v>100000.0</v>
      </c>
      <c r="N568" s="39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</row>
    <row r="569">
      <c r="A569" s="221" t="s">
        <v>21</v>
      </c>
      <c r="B569" s="384">
        <v>45936.0</v>
      </c>
      <c r="C569" s="22">
        <v>1365952.0</v>
      </c>
      <c r="D569" s="23">
        <v>870870.0</v>
      </c>
      <c r="E569" s="227"/>
      <c r="F569" s="228"/>
      <c r="G569" s="35">
        <v>359980.0</v>
      </c>
      <c r="H569" s="27">
        <v>170180.0</v>
      </c>
      <c r="I569" s="27"/>
      <c r="J569" s="111"/>
      <c r="K569" s="29">
        <v>232220.0</v>
      </c>
      <c r="L569" s="30">
        <v>493172.0</v>
      </c>
      <c r="M569" s="49">
        <v>540000.0</v>
      </c>
      <c r="N569" s="39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</row>
    <row r="570">
      <c r="A570" s="221" t="s">
        <v>22</v>
      </c>
      <c r="B570" s="384">
        <v>45937.0</v>
      </c>
      <c r="C570" s="22">
        <v>1375761.0</v>
      </c>
      <c r="D570" s="23">
        <v>1003890.0</v>
      </c>
      <c r="E570" s="227"/>
      <c r="F570" s="228"/>
      <c r="G570" s="35">
        <v>404190.0</v>
      </c>
      <c r="H570" s="27">
        <v>113500.0</v>
      </c>
      <c r="I570" s="27">
        <v>8800.0</v>
      </c>
      <c r="J570" s="111"/>
      <c r="K570" s="29">
        <v>375600.0</v>
      </c>
      <c r="L570" s="30">
        <v>403971.0</v>
      </c>
      <c r="M570" s="49">
        <f>370000+40000</f>
        <v>410000</v>
      </c>
      <c r="N570" s="39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</row>
    <row r="571">
      <c r="A571" s="221" t="s">
        <v>32</v>
      </c>
      <c r="B571" s="384">
        <v>45938.0</v>
      </c>
      <c r="C571" s="22">
        <v>1311500.0</v>
      </c>
      <c r="D571" s="23">
        <v>903900.0</v>
      </c>
      <c r="E571" s="227"/>
      <c r="F571" s="228"/>
      <c r="G571" s="35">
        <v>245600.0</v>
      </c>
      <c r="H571" s="27">
        <v>67600.0</v>
      </c>
      <c r="I571" s="27"/>
      <c r="J571" s="111"/>
      <c r="K571" s="29">
        <v>438500.0</v>
      </c>
      <c r="L571" s="30">
        <v>407600.0</v>
      </c>
      <c r="M571" s="49">
        <v>590000.0</v>
      </c>
      <c r="N571" s="39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</row>
    <row r="572">
      <c r="A572" s="221" t="s">
        <v>24</v>
      </c>
      <c r="B572" s="384">
        <v>45939.0</v>
      </c>
      <c r="C572" s="22">
        <v>1231151.0</v>
      </c>
      <c r="D572" s="23">
        <v>798710.0</v>
      </c>
      <c r="E572" s="227"/>
      <c r="F572" s="228"/>
      <c r="G572" s="35">
        <v>37300.0</v>
      </c>
      <c r="H572" s="27">
        <v>126300.0</v>
      </c>
      <c r="I572" s="143"/>
      <c r="J572" s="111"/>
      <c r="K572" s="29">
        <v>185220.0</v>
      </c>
      <c r="L572" s="30">
        <v>458641.0</v>
      </c>
      <c r="M572" s="49">
        <v>420000.0</v>
      </c>
      <c r="N572" s="39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</row>
    <row r="573">
      <c r="A573" s="221" t="s">
        <v>25</v>
      </c>
      <c r="B573" s="384">
        <v>45940.0</v>
      </c>
      <c r="C573" s="22">
        <f>1255301-523640</f>
        <v>731661</v>
      </c>
      <c r="D573" s="23">
        <f>826730-523640</f>
        <v>303090</v>
      </c>
      <c r="E573" s="227"/>
      <c r="F573" s="228"/>
      <c r="G573" s="35">
        <v>639330.0</v>
      </c>
      <c r="H573" s="27">
        <v>13500.0</v>
      </c>
      <c r="I573" s="143"/>
      <c r="J573" s="111"/>
      <c r="K573" s="29">
        <v>119300.0</v>
      </c>
      <c r="L573" s="30">
        <v>428571.0</v>
      </c>
      <c r="M573" s="49">
        <v>420000.0</v>
      </c>
      <c r="N573" s="39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</row>
    <row r="574">
      <c r="A574" s="221" t="s">
        <v>33</v>
      </c>
      <c r="B574" s="384">
        <v>45941.0</v>
      </c>
      <c r="C574" s="22">
        <v>1010123.0</v>
      </c>
      <c r="D574" s="23">
        <v>525713.0</v>
      </c>
      <c r="E574" s="227"/>
      <c r="F574" s="228"/>
      <c r="G574" s="35">
        <v>224343.0</v>
      </c>
      <c r="H574" s="27">
        <v>36200.0</v>
      </c>
      <c r="I574" s="143"/>
      <c r="J574" s="111"/>
      <c r="K574" s="29">
        <v>197670.0</v>
      </c>
      <c r="L574" s="30">
        <v>484410.0</v>
      </c>
      <c r="M574" s="49">
        <v>480000.0</v>
      </c>
      <c r="N574" s="39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</row>
    <row r="575">
      <c r="A575" s="385" t="s">
        <v>27</v>
      </c>
      <c r="B575" s="386">
        <v>45942.0</v>
      </c>
      <c r="C575" s="49">
        <v>662205.0</v>
      </c>
      <c r="D575" s="49">
        <v>275300.0</v>
      </c>
      <c r="E575" s="31"/>
      <c r="F575" s="31"/>
      <c r="G575" s="49">
        <f>119100+58000</f>
        <v>177100</v>
      </c>
      <c r="H575" s="31"/>
      <c r="I575" s="31"/>
      <c r="J575" s="31"/>
      <c r="K575" s="49">
        <v>98200.0</v>
      </c>
      <c r="L575" s="49">
        <v>386905.0</v>
      </c>
      <c r="M575" s="49">
        <v>370000.0</v>
      </c>
      <c r="N575" s="39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</row>
    <row r="576">
      <c r="A576" s="221" t="s">
        <v>21</v>
      </c>
      <c r="B576" s="384">
        <v>45943.0</v>
      </c>
      <c r="C576" s="22">
        <v>1126670.0</v>
      </c>
      <c r="D576" s="23">
        <v>771260.0</v>
      </c>
      <c r="E576" s="227"/>
      <c r="F576" s="228"/>
      <c r="G576" s="35">
        <v>442300.0</v>
      </c>
      <c r="H576" s="27">
        <v>13500.0</v>
      </c>
      <c r="I576" s="143"/>
      <c r="J576" s="111"/>
      <c r="K576" s="29">
        <v>207800.0</v>
      </c>
      <c r="L576" s="30">
        <v>398070.0</v>
      </c>
      <c r="M576" s="49">
        <v>400000.0</v>
      </c>
      <c r="N576" s="39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</row>
    <row r="577">
      <c r="A577" s="221" t="s">
        <v>22</v>
      </c>
      <c r="B577" s="384">
        <v>45944.0</v>
      </c>
      <c r="C577" s="22">
        <v>1322520.0</v>
      </c>
      <c r="D577" s="23">
        <v>855050.0</v>
      </c>
      <c r="E577" s="227"/>
      <c r="F577" s="228"/>
      <c r="G577" s="35">
        <v>324700.0</v>
      </c>
      <c r="H577" s="27">
        <v>91800.0</v>
      </c>
      <c r="I577" s="143"/>
      <c r="J577" s="111"/>
      <c r="K577" s="29">
        <v>272000.0</v>
      </c>
      <c r="L577" s="30">
        <v>450870.0</v>
      </c>
      <c r="M577" s="49">
        <v>410000.0</v>
      </c>
      <c r="N577" s="39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</row>
    <row r="578">
      <c r="A578" s="221" t="s">
        <v>32</v>
      </c>
      <c r="B578" s="384">
        <v>45945.0</v>
      </c>
      <c r="C578" s="22">
        <v>1074360.0</v>
      </c>
      <c r="D578" s="23">
        <v>744600.0</v>
      </c>
      <c r="E578" s="227"/>
      <c r="F578" s="228"/>
      <c r="G578" s="35">
        <v>304200.0</v>
      </c>
      <c r="H578" s="27">
        <v>111500.0</v>
      </c>
      <c r="I578" s="143"/>
      <c r="J578" s="111"/>
      <c r="K578" s="29">
        <v>273100.0</v>
      </c>
      <c r="L578" s="30">
        <v>340560.0</v>
      </c>
      <c r="M578" s="49">
        <v>350000.0</v>
      </c>
      <c r="N578" s="39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</row>
    <row r="579">
      <c r="A579" s="221" t="s">
        <v>24</v>
      </c>
      <c r="B579" s="384">
        <v>45946.0</v>
      </c>
      <c r="C579" s="22">
        <v>1325470.0</v>
      </c>
      <c r="D579" s="23">
        <v>1007040.0</v>
      </c>
      <c r="E579" s="227"/>
      <c r="F579" s="228"/>
      <c r="G579" s="35">
        <v>661260.0</v>
      </c>
      <c r="H579" s="27">
        <v>93100.0</v>
      </c>
      <c r="I579" s="143"/>
      <c r="J579" s="111"/>
      <c r="K579" s="29">
        <v>157300.0</v>
      </c>
      <c r="L579" s="30">
        <v>385210.0</v>
      </c>
      <c r="M579" s="49">
        <v>330000.0</v>
      </c>
      <c r="N579" s="39"/>
      <c r="O579" s="35" t="s">
        <v>757</v>
      </c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</row>
    <row r="580">
      <c r="A580" s="221" t="s">
        <v>25</v>
      </c>
      <c r="B580" s="384">
        <v>45947.0</v>
      </c>
      <c r="C580" s="22">
        <v>1082065.0</v>
      </c>
      <c r="D580" s="23">
        <v>681360.0</v>
      </c>
      <c r="E580" s="227"/>
      <c r="F580" s="228"/>
      <c r="G580" s="35">
        <v>202500.0</v>
      </c>
      <c r="H580" s="143"/>
      <c r="I580" s="143"/>
      <c r="J580" s="111"/>
      <c r="K580" s="29">
        <v>424500.0</v>
      </c>
      <c r="L580" s="30">
        <v>405865.0</v>
      </c>
      <c r="M580" s="31">
        <f>200000+230000</f>
        <v>430000</v>
      </c>
      <c r="N580" s="39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</row>
    <row r="581">
      <c r="A581" s="221" t="s">
        <v>33</v>
      </c>
      <c r="B581" s="384">
        <v>45948.0</v>
      </c>
      <c r="C581" s="22">
        <v>1338797.0</v>
      </c>
      <c r="D581" s="23">
        <v>833400.0</v>
      </c>
      <c r="E581" s="227"/>
      <c r="F581" s="228"/>
      <c r="G581" s="35">
        <v>277500.0</v>
      </c>
      <c r="H581" s="27">
        <v>193200.0</v>
      </c>
      <c r="I581" s="143"/>
      <c r="J581" s="111"/>
      <c r="K581" s="29">
        <v>257200.0</v>
      </c>
      <c r="L581" s="30">
        <v>505390.0</v>
      </c>
      <c r="M581" s="49">
        <v>490000.0</v>
      </c>
      <c r="N581" s="39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</row>
    <row r="582">
      <c r="A582" s="385" t="s">
        <v>27</v>
      </c>
      <c r="B582" s="386">
        <v>45949.0</v>
      </c>
      <c r="C582" s="49">
        <v>723870.0</v>
      </c>
      <c r="D582" s="49">
        <v>617400.0</v>
      </c>
      <c r="E582" s="31"/>
      <c r="F582" s="31"/>
      <c r="G582" s="49">
        <v>421200.0</v>
      </c>
      <c r="H582" s="49">
        <v>11900.0</v>
      </c>
      <c r="I582" s="31"/>
      <c r="J582" s="31"/>
      <c r="K582" s="49">
        <v>174300.0</v>
      </c>
      <c r="L582" s="49">
        <v>106470.0</v>
      </c>
      <c r="M582" s="49">
        <v>130000.0</v>
      </c>
      <c r="N582" s="39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</row>
    <row r="583">
      <c r="A583" s="221" t="s">
        <v>21</v>
      </c>
      <c r="B583" s="384">
        <v>45950.0</v>
      </c>
      <c r="C583" s="22">
        <v>1309700.0</v>
      </c>
      <c r="D583" s="23">
        <v>764390.0</v>
      </c>
      <c r="E583" s="227"/>
      <c r="F583" s="228"/>
      <c r="G583" s="35">
        <v>388400.0</v>
      </c>
      <c r="H583" s="27">
        <v>88100.0</v>
      </c>
      <c r="I583" s="143"/>
      <c r="J583" s="111"/>
      <c r="K583" s="29">
        <v>225690.0</v>
      </c>
      <c r="L583" s="30">
        <v>545310.0</v>
      </c>
      <c r="M583" s="49">
        <v>540000.0</v>
      </c>
      <c r="N583" s="39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</row>
    <row r="584">
      <c r="A584" s="221" t="s">
        <v>22</v>
      </c>
      <c r="B584" s="384">
        <v>45951.0</v>
      </c>
      <c r="C584" s="22">
        <v>1099680.0</v>
      </c>
      <c r="D584" s="23">
        <v>711500.0</v>
      </c>
      <c r="E584" s="227"/>
      <c r="F584" s="228"/>
      <c r="G584" s="35">
        <v>216000.0</v>
      </c>
      <c r="H584" s="27">
        <v>32300.0</v>
      </c>
      <c r="I584" s="143"/>
      <c r="J584" s="111"/>
      <c r="K584" s="29">
        <v>512900.0</v>
      </c>
      <c r="L584" s="30">
        <v>294480.0</v>
      </c>
      <c r="M584" s="49">
        <v>270000.0</v>
      </c>
      <c r="N584" s="39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</row>
    <row r="585">
      <c r="A585" s="221" t="s">
        <v>32</v>
      </c>
      <c r="B585" s="384">
        <v>45952.0</v>
      </c>
      <c r="C585" s="22">
        <v>1101730.0</v>
      </c>
      <c r="D585" s="23">
        <v>620960.0</v>
      </c>
      <c r="E585" s="227"/>
      <c r="F585" s="228"/>
      <c r="G585" s="35">
        <v>325360.0</v>
      </c>
      <c r="H585" s="27">
        <v>31500.0</v>
      </c>
      <c r="I585" s="143"/>
      <c r="J585" s="111"/>
      <c r="K585" s="29">
        <v>214400.0</v>
      </c>
      <c r="L585" s="30">
        <v>480770.0</v>
      </c>
      <c r="M585" s="49">
        <v>460000.0</v>
      </c>
      <c r="N585" s="39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</row>
    <row r="586">
      <c r="A586" s="221" t="s">
        <v>24</v>
      </c>
      <c r="B586" s="384">
        <v>45953.0</v>
      </c>
      <c r="C586" s="22">
        <v>1111980.0</v>
      </c>
      <c r="D586" s="23">
        <v>799190.0</v>
      </c>
      <c r="E586" s="227"/>
      <c r="F586" s="228"/>
      <c r="G586" s="35">
        <v>239200.0</v>
      </c>
      <c r="H586" s="27">
        <v>172600.0</v>
      </c>
      <c r="I586" s="143"/>
      <c r="J586" s="111"/>
      <c r="K586" s="29">
        <v>179900.0</v>
      </c>
      <c r="L586" s="30">
        <v>391380.0</v>
      </c>
      <c r="M586" s="49">
        <v>320000.0</v>
      </c>
      <c r="N586" s="39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</row>
    <row r="587">
      <c r="A587" s="221" t="s">
        <v>25</v>
      </c>
      <c r="B587" s="384">
        <v>45954.0</v>
      </c>
      <c r="C587" s="22">
        <v>839230.0</v>
      </c>
      <c r="D587" s="23">
        <v>506700.0</v>
      </c>
      <c r="E587" s="227"/>
      <c r="F587" s="228"/>
      <c r="G587" s="35">
        <v>131500.0</v>
      </c>
      <c r="H587" s="27">
        <v>160900.0</v>
      </c>
      <c r="I587" s="143"/>
      <c r="J587" s="111"/>
      <c r="K587" s="29">
        <v>128600.0</v>
      </c>
      <c r="L587" s="30">
        <v>332530.0</v>
      </c>
      <c r="M587" s="49">
        <v>280000.0</v>
      </c>
      <c r="N587" s="39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</row>
    <row r="588">
      <c r="A588" s="221" t="s">
        <v>33</v>
      </c>
      <c r="B588" s="384">
        <v>45955.0</v>
      </c>
      <c r="C588" s="22">
        <v>1083290.0</v>
      </c>
      <c r="D588" s="23">
        <v>525200.0</v>
      </c>
      <c r="E588" s="227"/>
      <c r="F588" s="228"/>
      <c r="G588" s="35">
        <v>311600.0</v>
      </c>
      <c r="H588" s="27">
        <v>17500.0</v>
      </c>
      <c r="I588" s="143"/>
      <c r="J588" s="111"/>
      <c r="K588" s="29">
        <v>114900.0</v>
      </c>
      <c r="L588" s="30">
        <v>558090.0</v>
      </c>
      <c r="M588" s="49">
        <v>580000.0</v>
      </c>
      <c r="N588" s="39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</row>
    <row r="589">
      <c r="A589" s="385" t="s">
        <v>27</v>
      </c>
      <c r="B589" s="386">
        <v>45956.0</v>
      </c>
      <c r="C589" s="49">
        <v>900290.0</v>
      </c>
      <c r="D589" s="49">
        <v>590200.0</v>
      </c>
      <c r="E589" s="31"/>
      <c r="F589" s="31"/>
      <c r="G589" s="49">
        <v>291200.0</v>
      </c>
      <c r="H589" s="31"/>
      <c r="I589" s="31"/>
      <c r="J589" s="31"/>
      <c r="K589" s="49">
        <v>135700.0</v>
      </c>
      <c r="L589" s="49">
        <v>310090.0</v>
      </c>
      <c r="M589" s="49">
        <v>300000.0</v>
      </c>
      <c r="N589" s="39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</row>
    <row r="590">
      <c r="A590" s="221" t="s">
        <v>21</v>
      </c>
      <c r="B590" s="384">
        <v>45957.0</v>
      </c>
      <c r="C590" s="22">
        <v>1234440.0</v>
      </c>
      <c r="D590" s="23">
        <v>638550.0</v>
      </c>
      <c r="E590" s="227"/>
      <c r="F590" s="228"/>
      <c r="G590" s="35">
        <v>301300.0</v>
      </c>
      <c r="H590" s="27">
        <v>81800.0</v>
      </c>
      <c r="I590" s="143"/>
      <c r="J590" s="111"/>
      <c r="K590" s="29">
        <v>191300.0</v>
      </c>
      <c r="L590" s="30">
        <v>638640.0</v>
      </c>
      <c r="M590" s="49">
        <v>610000.0</v>
      </c>
      <c r="N590" s="39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</row>
    <row r="591">
      <c r="A591" s="221" t="s">
        <v>22</v>
      </c>
      <c r="B591" s="384">
        <v>45958.0</v>
      </c>
      <c r="C591" s="22">
        <v>1005642.0</v>
      </c>
      <c r="D591" s="23">
        <v>574730.0</v>
      </c>
      <c r="E591" s="227"/>
      <c r="F591" s="228"/>
      <c r="G591" s="35">
        <v>233400.0</v>
      </c>
      <c r="H591" s="27">
        <v>40200.0</v>
      </c>
      <c r="I591" s="143"/>
      <c r="J591" s="111"/>
      <c r="K591" s="29">
        <v>161800.0</v>
      </c>
      <c r="L591" s="30">
        <v>456742.0</v>
      </c>
      <c r="M591" s="49">
        <v>440000.0</v>
      </c>
      <c r="N591" s="39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</row>
    <row r="592">
      <c r="A592" s="221" t="s">
        <v>32</v>
      </c>
      <c r="B592" s="384">
        <v>45959.0</v>
      </c>
      <c r="C592" s="22">
        <v>1472114.0</v>
      </c>
      <c r="D592" s="23">
        <v>886810.0</v>
      </c>
      <c r="E592" s="227"/>
      <c r="F592" s="228"/>
      <c r="G592" s="35">
        <v>277790.0</v>
      </c>
      <c r="H592" s="27">
        <v>259400.0</v>
      </c>
      <c r="I592" s="143"/>
      <c r="J592" s="111"/>
      <c r="K592" s="29">
        <v>295320.0</v>
      </c>
      <c r="L592" s="30">
        <v>581004.0</v>
      </c>
      <c r="M592" s="49">
        <v>570000.0</v>
      </c>
      <c r="N592" s="39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</row>
    <row r="593">
      <c r="A593" s="221" t="s">
        <v>24</v>
      </c>
      <c r="B593" s="384">
        <v>45960.0</v>
      </c>
      <c r="C593" s="22">
        <v>1327750.0</v>
      </c>
      <c r="D593" s="23">
        <v>943240.0</v>
      </c>
      <c r="E593" s="227"/>
      <c r="F593" s="228"/>
      <c r="G593" s="35">
        <v>582350.0</v>
      </c>
      <c r="H593" s="27">
        <v>87300.0</v>
      </c>
      <c r="I593" s="143"/>
      <c r="J593" s="111"/>
      <c r="K593" s="29">
        <v>264690.0</v>
      </c>
      <c r="L593" s="30">
        <v>384510.0</v>
      </c>
      <c r="M593" s="49">
        <v>390000.0</v>
      </c>
      <c r="N593" s="39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</row>
    <row r="594">
      <c r="A594" s="221" t="s">
        <v>25</v>
      </c>
      <c r="B594" s="384">
        <v>45961.0</v>
      </c>
      <c r="C594" s="22">
        <v>957171.0</v>
      </c>
      <c r="D594" s="23">
        <v>635400.0</v>
      </c>
      <c r="E594" s="227"/>
      <c r="F594" s="228"/>
      <c r="G594" s="35">
        <v>135200.0</v>
      </c>
      <c r="H594" s="27">
        <v>111100.0</v>
      </c>
      <c r="I594" s="143"/>
      <c r="J594" s="111"/>
      <c r="K594" s="29">
        <v>154600.0</v>
      </c>
      <c r="L594" s="30">
        <v>364671.0</v>
      </c>
      <c r="M594" s="49">
        <v>340000.0</v>
      </c>
      <c r="N594" s="39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</row>
    <row r="595">
      <c r="A595" s="68" t="s">
        <v>28</v>
      </c>
      <c r="B595" s="129" t="s">
        <v>49</v>
      </c>
      <c r="C595" s="70">
        <f t="shared" ref="C595:H595" si="23">SUM(C564:C594)</f>
        <v>34229169</v>
      </c>
      <c r="D595" s="70">
        <f t="shared" si="23"/>
        <v>21511683</v>
      </c>
      <c r="E595" s="70">
        <f t="shared" si="23"/>
        <v>0</v>
      </c>
      <c r="F595" s="70">
        <f t="shared" si="23"/>
        <v>0</v>
      </c>
      <c r="G595" s="70">
        <f t="shared" si="23"/>
        <v>9231196</v>
      </c>
      <c r="H595" s="70">
        <f t="shared" si="23"/>
        <v>2432280</v>
      </c>
      <c r="I595" s="70"/>
      <c r="J595" s="70">
        <f t="shared" ref="J595:L595" si="24">SUM(J564:J594)</f>
        <v>0</v>
      </c>
      <c r="K595" s="70">
        <f t="shared" si="24"/>
        <v>7314170</v>
      </c>
      <c r="L595" s="70">
        <f t="shared" si="24"/>
        <v>13002316</v>
      </c>
      <c r="M595" s="31"/>
      <c r="N595" s="39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</row>
    <row r="596">
      <c r="A596" s="221" t="s">
        <v>33</v>
      </c>
      <c r="B596" s="384">
        <v>45962.0</v>
      </c>
      <c r="C596" s="22">
        <v>959090.0</v>
      </c>
      <c r="D596" s="23">
        <v>836400.0</v>
      </c>
      <c r="E596" s="227"/>
      <c r="F596" s="228"/>
      <c r="G596" s="35">
        <v>266800.0</v>
      </c>
      <c r="H596" s="27">
        <v>111300.0</v>
      </c>
      <c r="I596" s="143"/>
      <c r="J596" s="111"/>
      <c r="K596" s="29">
        <v>244050.0</v>
      </c>
      <c r="L596" s="30">
        <v>223740.0</v>
      </c>
      <c r="M596" s="49">
        <v>230000.0</v>
      </c>
      <c r="N596" s="39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</row>
    <row r="597">
      <c r="A597" s="385" t="s">
        <v>27</v>
      </c>
      <c r="B597" s="386">
        <v>45963.0</v>
      </c>
      <c r="C597" s="49">
        <v>514320.0</v>
      </c>
      <c r="D597" s="49">
        <v>353400.0</v>
      </c>
      <c r="E597" s="31"/>
      <c r="F597" s="31"/>
      <c r="G597" s="49">
        <v>31400.0</v>
      </c>
      <c r="H597" s="49">
        <v>126800.0</v>
      </c>
      <c r="I597" s="31"/>
      <c r="J597" s="31"/>
      <c r="K597" s="49">
        <v>195200.0</v>
      </c>
      <c r="L597" s="49">
        <v>160920.0</v>
      </c>
      <c r="M597" s="49">
        <v>160000.0</v>
      </c>
      <c r="N597" s="39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</row>
    <row r="598">
      <c r="A598" s="221" t="s">
        <v>21</v>
      </c>
      <c r="B598" s="384">
        <v>45964.0</v>
      </c>
      <c r="C598" s="22">
        <v>1132115.0</v>
      </c>
      <c r="D598" s="23">
        <v>660620.0</v>
      </c>
      <c r="E598" s="227"/>
      <c r="F598" s="228"/>
      <c r="G598" s="35">
        <v>277080.0</v>
      </c>
      <c r="H598" s="27">
        <v>85500.0</v>
      </c>
      <c r="I598" s="143"/>
      <c r="J598" s="111"/>
      <c r="K598" s="29">
        <v>192890.0</v>
      </c>
      <c r="L598" s="30">
        <v>475455.0</v>
      </c>
      <c r="M598" s="49">
        <v>420000.0</v>
      </c>
      <c r="N598" s="39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</row>
    <row r="599">
      <c r="A599" s="221" t="s">
        <v>22</v>
      </c>
      <c r="B599" s="384">
        <v>45965.0</v>
      </c>
      <c r="C599" s="22">
        <v>1103036.0</v>
      </c>
      <c r="D599" s="23">
        <v>793380.0</v>
      </c>
      <c r="E599" s="227"/>
      <c r="F599" s="228"/>
      <c r="G599" s="35">
        <v>208700.0</v>
      </c>
      <c r="H599" s="27">
        <v>304300.0</v>
      </c>
      <c r="I599" s="143"/>
      <c r="J599" s="111"/>
      <c r="K599" s="29">
        <v>157190.0</v>
      </c>
      <c r="L599" s="30">
        <v>342456.0</v>
      </c>
      <c r="M599" s="49">
        <v>390000.0</v>
      </c>
      <c r="N599" s="39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</row>
    <row r="600">
      <c r="A600" s="221" t="s">
        <v>32</v>
      </c>
      <c r="B600" s="384">
        <v>45966.0</v>
      </c>
      <c r="C600" s="22">
        <v>1076861.0</v>
      </c>
      <c r="D600" s="23">
        <v>654690.0</v>
      </c>
      <c r="E600" s="227"/>
      <c r="F600" s="228"/>
      <c r="G600" s="35">
        <v>118190.0</v>
      </c>
      <c r="H600" s="27">
        <v>82600.0</v>
      </c>
      <c r="I600" s="143"/>
      <c r="J600" s="111"/>
      <c r="K600" s="29">
        <v>261970.0</v>
      </c>
      <c r="L600" s="30">
        <v>411381.0</v>
      </c>
      <c r="M600" s="49">
        <v>380000.0</v>
      </c>
      <c r="N600" s="39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</row>
    <row r="601">
      <c r="A601" s="221" t="s">
        <v>24</v>
      </c>
      <c r="B601" s="384">
        <v>45967.0</v>
      </c>
      <c r="C601" s="22">
        <v>1383531.0</v>
      </c>
      <c r="D601" s="23">
        <v>895500.0</v>
      </c>
      <c r="E601" s="227"/>
      <c r="F601" s="228"/>
      <c r="G601" s="35">
        <v>477790.0</v>
      </c>
      <c r="H601" s="27">
        <v>52800.0</v>
      </c>
      <c r="I601" s="143"/>
      <c r="J601" s="111"/>
      <c r="K601" s="29">
        <v>351200.0</v>
      </c>
      <c r="L601" s="30">
        <v>472941.0</v>
      </c>
      <c r="M601" s="49">
        <v>470000.0</v>
      </c>
      <c r="N601" s="39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</row>
    <row r="602">
      <c r="A602" s="221" t="s">
        <v>25</v>
      </c>
      <c r="B602" s="384">
        <v>45968.0</v>
      </c>
      <c r="C602" s="22">
        <v>1192831.0</v>
      </c>
      <c r="D602" s="23">
        <v>632680.0</v>
      </c>
      <c r="E602" s="227"/>
      <c r="F602" s="228"/>
      <c r="G602" s="35">
        <v>142190.0</v>
      </c>
      <c r="H602" s="27">
        <v>219100.0</v>
      </c>
      <c r="I602" s="143"/>
      <c r="J602" s="111"/>
      <c r="K602" s="29">
        <v>178300.0</v>
      </c>
      <c r="L602" s="30">
        <v>560161.0</v>
      </c>
      <c r="M602" s="49">
        <v>530000.0</v>
      </c>
      <c r="N602" s="39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</row>
    <row r="603">
      <c r="A603" s="221" t="s">
        <v>33</v>
      </c>
      <c r="B603" s="384">
        <v>45969.0</v>
      </c>
      <c r="C603" s="22">
        <v>1186980.0</v>
      </c>
      <c r="D603" s="23">
        <v>663900.0</v>
      </c>
      <c r="E603" s="227"/>
      <c r="F603" s="228"/>
      <c r="G603" s="35">
        <v>379800.0</v>
      </c>
      <c r="H603" s="27">
        <v>68500.0</v>
      </c>
      <c r="I603" s="143"/>
      <c r="J603" s="111"/>
      <c r="K603" s="29">
        <v>139300.0</v>
      </c>
      <c r="L603" s="30">
        <v>523080.0</v>
      </c>
      <c r="M603" s="49">
        <v>470000.0</v>
      </c>
      <c r="N603" s="39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</row>
    <row r="604">
      <c r="A604" s="385" t="s">
        <v>27</v>
      </c>
      <c r="B604" s="386">
        <v>45970.0</v>
      </c>
      <c r="C604" s="49">
        <v>631920.0</v>
      </c>
      <c r="D604" s="49">
        <v>286760.0</v>
      </c>
      <c r="E604" s="31"/>
      <c r="F604" s="31"/>
      <c r="G604" s="49">
        <v>175560.0</v>
      </c>
      <c r="H604" s="49">
        <v>108900.0</v>
      </c>
      <c r="I604" s="31"/>
      <c r="J604" s="31"/>
      <c r="K604" s="49">
        <v>147040.0</v>
      </c>
      <c r="L604" s="49">
        <v>239320.0</v>
      </c>
      <c r="M604" s="49">
        <v>210000.0</v>
      </c>
      <c r="N604" s="39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</row>
    <row r="605">
      <c r="A605" s="221" t="s">
        <v>21</v>
      </c>
      <c r="B605" s="384">
        <v>45971.0</v>
      </c>
      <c r="C605" s="22">
        <v>1481590.0</v>
      </c>
      <c r="D605" s="23">
        <v>972820.0</v>
      </c>
      <c r="E605" s="227"/>
      <c r="F605" s="228"/>
      <c r="G605" s="35">
        <v>244900.0</v>
      </c>
      <c r="H605" s="27">
        <v>122100.0</v>
      </c>
      <c r="I605" s="143"/>
      <c r="J605" s="111"/>
      <c r="K605" s="29">
        <v>461720.0</v>
      </c>
      <c r="L605" s="30">
        <v>528070.0</v>
      </c>
      <c r="M605" s="49">
        <v>500000.0</v>
      </c>
      <c r="N605" s="39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</row>
    <row r="606">
      <c r="A606" s="221" t="s">
        <v>22</v>
      </c>
      <c r="B606" s="384">
        <v>45972.0</v>
      </c>
      <c r="C606" s="22">
        <v>893420.0</v>
      </c>
      <c r="D606" s="23">
        <v>524600.0</v>
      </c>
      <c r="E606" s="227"/>
      <c r="F606" s="228"/>
      <c r="G606" s="35">
        <v>178000.0</v>
      </c>
      <c r="H606" s="27">
        <v>17160.0</v>
      </c>
      <c r="I606" s="143"/>
      <c r="J606" s="111"/>
      <c r="K606" s="29">
        <v>245400.0</v>
      </c>
      <c r="L606" s="30">
        <v>393720.0</v>
      </c>
      <c r="M606" s="49">
        <v>400000.0</v>
      </c>
      <c r="N606" s="39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</row>
    <row r="607">
      <c r="A607" s="221" t="s">
        <v>32</v>
      </c>
      <c r="B607" s="384">
        <v>45973.0</v>
      </c>
      <c r="C607" s="22">
        <v>1874620.0</v>
      </c>
      <c r="D607" s="23">
        <v>1273590.0</v>
      </c>
      <c r="E607" s="227"/>
      <c r="F607" s="228"/>
      <c r="G607" s="35">
        <v>612200.0</v>
      </c>
      <c r="H607" s="27">
        <v>236800.0</v>
      </c>
      <c r="I607" s="143"/>
      <c r="J607" s="111"/>
      <c r="K607" s="29">
        <v>402070.0</v>
      </c>
      <c r="L607" s="30">
        <v>549450.0</v>
      </c>
      <c r="M607" s="49">
        <v>500000.0</v>
      </c>
      <c r="N607" s="39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</row>
    <row r="608">
      <c r="A608" s="221" t="s">
        <v>24</v>
      </c>
      <c r="B608" s="384">
        <v>45974.0</v>
      </c>
      <c r="C608" s="22">
        <v>1320180.0</v>
      </c>
      <c r="D608" s="23">
        <v>682520.0</v>
      </c>
      <c r="E608" s="227"/>
      <c r="F608" s="228"/>
      <c r="G608" s="35">
        <v>318400.0</v>
      </c>
      <c r="H608" s="27">
        <v>51700.0</v>
      </c>
      <c r="I608" s="143"/>
      <c r="J608" s="111"/>
      <c r="K608" s="29">
        <v>170400.0</v>
      </c>
      <c r="L608" s="30">
        <v>619580.0</v>
      </c>
      <c r="M608" s="49">
        <v>640000.0</v>
      </c>
      <c r="N608" s="39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</row>
    <row r="609">
      <c r="A609" s="221" t="s">
        <v>25</v>
      </c>
      <c r="B609" s="384">
        <v>45975.0</v>
      </c>
      <c r="C609" s="22">
        <v>1034755.0</v>
      </c>
      <c r="D609" s="23">
        <v>686810.0</v>
      </c>
      <c r="E609" s="227"/>
      <c r="F609" s="228"/>
      <c r="G609" s="35">
        <v>227300.0</v>
      </c>
      <c r="H609" s="27">
        <v>172500.0</v>
      </c>
      <c r="I609" s="143"/>
      <c r="J609" s="111"/>
      <c r="K609" s="29">
        <v>180100.0</v>
      </c>
      <c r="L609" s="30">
        <v>290255.0</v>
      </c>
      <c r="M609" s="31">
        <f>170000+60000</f>
        <v>230000</v>
      </c>
      <c r="N609" s="39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</row>
    <row r="610">
      <c r="A610" s="221" t="s">
        <v>33</v>
      </c>
      <c r="B610" s="384">
        <v>45976.0</v>
      </c>
      <c r="C610" s="22">
        <v>824746.0</v>
      </c>
      <c r="D610" s="23">
        <v>557820.0</v>
      </c>
      <c r="E610" s="227"/>
      <c r="F610" s="228"/>
      <c r="G610" s="35">
        <v>164400.0</v>
      </c>
      <c r="H610" s="27">
        <v>143100.0</v>
      </c>
      <c r="I610" s="143"/>
      <c r="J610" s="111"/>
      <c r="K610" s="29">
        <v>151900.0</v>
      </c>
      <c r="L610" s="30">
        <v>266746.0</v>
      </c>
      <c r="M610" s="49">
        <v>230000.0</v>
      </c>
      <c r="N610" s="39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</row>
    <row r="611">
      <c r="A611" s="385" t="s">
        <v>27</v>
      </c>
      <c r="B611" s="386">
        <v>45977.0</v>
      </c>
      <c r="C611" s="49">
        <v>463260.0</v>
      </c>
      <c r="D611" s="49">
        <v>255000.0</v>
      </c>
      <c r="E611" s="31"/>
      <c r="F611" s="31"/>
      <c r="G611" s="49">
        <v>157500.0</v>
      </c>
      <c r="H611" s="49"/>
      <c r="I611" s="31"/>
      <c r="J611" s="31"/>
      <c r="K611" s="49">
        <v>97500.0</v>
      </c>
      <c r="L611" s="49">
        <v>208260.0</v>
      </c>
      <c r="M611" s="49">
        <v>210000.0</v>
      </c>
      <c r="N611" s="39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</row>
    <row r="612">
      <c r="A612" s="221" t="s">
        <v>21</v>
      </c>
      <c r="B612" s="384">
        <v>45978.0</v>
      </c>
      <c r="C612" s="22">
        <v>1427900.0</v>
      </c>
      <c r="D612" s="23">
        <v>776760.0</v>
      </c>
      <c r="E612" s="227"/>
      <c r="F612" s="228"/>
      <c r="G612" s="35">
        <v>359970.0</v>
      </c>
      <c r="H612" s="27">
        <v>111800.0</v>
      </c>
      <c r="I612" s="143"/>
      <c r="J612" s="111"/>
      <c r="K612" s="29">
        <v>260500.0</v>
      </c>
      <c r="L612" s="30">
        <v>492940.0</v>
      </c>
      <c r="M612" s="49">
        <v>440000.0</v>
      </c>
      <c r="N612" s="39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</row>
    <row r="613">
      <c r="A613" s="221" t="s">
        <v>22</v>
      </c>
      <c r="B613" s="384">
        <v>45979.0</v>
      </c>
      <c r="C613" s="22">
        <v>1157850.0</v>
      </c>
      <c r="D613" s="23">
        <v>820330.0</v>
      </c>
      <c r="E613" s="227"/>
      <c r="F613" s="228"/>
      <c r="G613" s="35">
        <v>312740.0</v>
      </c>
      <c r="H613" s="27">
        <v>203390.0</v>
      </c>
      <c r="I613" s="143"/>
      <c r="J613" s="111"/>
      <c r="K613" s="29">
        <v>268400.0</v>
      </c>
      <c r="L613" s="30">
        <v>327020.0</v>
      </c>
      <c r="M613" s="49">
        <v>340000.0</v>
      </c>
      <c r="N613" s="39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</row>
    <row r="614">
      <c r="A614" s="221" t="s">
        <v>32</v>
      </c>
      <c r="B614" s="384">
        <v>45980.0</v>
      </c>
      <c r="C614" s="22">
        <v>1506483.0</v>
      </c>
      <c r="D614" s="23">
        <v>920020.0</v>
      </c>
      <c r="E614" s="227"/>
      <c r="F614" s="228"/>
      <c r="G614" s="35">
        <v>217800.0</v>
      </c>
      <c r="H614" s="27">
        <v>69300.0</v>
      </c>
      <c r="I614" s="143"/>
      <c r="J614" s="111"/>
      <c r="K614" s="29">
        <v>618960.0</v>
      </c>
      <c r="L614" s="30">
        <v>408823.0</v>
      </c>
      <c r="M614" s="49">
        <v>350000.0</v>
      </c>
      <c r="N614" s="39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</row>
    <row r="615">
      <c r="A615" s="221" t="s">
        <v>24</v>
      </c>
      <c r="B615" s="384">
        <v>45981.0</v>
      </c>
      <c r="C615" s="22">
        <v>2005111.0</v>
      </c>
      <c r="D615" s="23">
        <v>1066660.0</v>
      </c>
      <c r="E615" s="227"/>
      <c r="F615" s="228"/>
      <c r="G615" s="35">
        <v>573990.0</v>
      </c>
      <c r="H615" s="27">
        <v>348790.0</v>
      </c>
      <c r="I615" s="143"/>
      <c r="J615" s="111"/>
      <c r="K615" s="29">
        <v>208850.0</v>
      </c>
      <c r="L615" s="30">
        <v>729981.0</v>
      </c>
      <c r="M615" s="49">
        <v>200000.0</v>
      </c>
      <c r="N615" s="32" t="s">
        <v>758</v>
      </c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</row>
    <row r="616">
      <c r="A616" s="221" t="s">
        <v>25</v>
      </c>
      <c r="B616" s="384">
        <v>45982.0</v>
      </c>
      <c r="C616" s="225"/>
      <c r="D616" s="226"/>
      <c r="E616" s="227"/>
      <c r="F616" s="228"/>
      <c r="G616" s="33"/>
      <c r="H616" s="143"/>
      <c r="I616" s="143"/>
      <c r="J616" s="111"/>
      <c r="K616" s="112"/>
      <c r="L616" s="230"/>
      <c r="M616" s="49">
        <v>360000.0</v>
      </c>
      <c r="N616" s="39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</row>
    <row r="617">
      <c r="A617" s="221" t="s">
        <v>33</v>
      </c>
      <c r="B617" s="384">
        <v>45983.0</v>
      </c>
      <c r="C617" s="22">
        <v>751461.0</v>
      </c>
      <c r="D617" s="23">
        <v>227580.0</v>
      </c>
      <c r="E617" s="227"/>
      <c r="F617" s="228"/>
      <c r="G617" s="35">
        <v>163380.0</v>
      </c>
      <c r="H617" s="27">
        <v>52500.0</v>
      </c>
      <c r="I617" s="143"/>
      <c r="J617" s="111"/>
      <c r="K617" s="29">
        <v>249210.0</v>
      </c>
      <c r="L617" s="30">
        <v>211571.0</v>
      </c>
      <c r="M617" s="49">
        <v>290000.0</v>
      </c>
      <c r="N617" s="39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</row>
    <row r="618">
      <c r="A618" s="385" t="s">
        <v>27</v>
      </c>
      <c r="B618" s="386">
        <v>45984.0</v>
      </c>
      <c r="C618" s="49">
        <v>432190.0</v>
      </c>
      <c r="D618" s="49">
        <v>191600.0</v>
      </c>
      <c r="E618" s="31"/>
      <c r="F618" s="31"/>
      <c r="G618" s="49">
        <v>106100.0</v>
      </c>
      <c r="H618" s="49">
        <v>39100.0</v>
      </c>
      <c r="I618" s="31"/>
      <c r="J618" s="31"/>
      <c r="K618" s="49">
        <v>80100.0</v>
      </c>
      <c r="L618" s="49">
        <v>183690.0</v>
      </c>
      <c r="M618" s="49">
        <v>170000.0</v>
      </c>
      <c r="N618" s="39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</row>
    <row r="619">
      <c r="A619" s="221" t="s">
        <v>21</v>
      </c>
      <c r="B619" s="384">
        <v>45985.0</v>
      </c>
      <c r="C619" s="22">
        <v>734610.0</v>
      </c>
      <c r="D619" s="23">
        <v>263900.0</v>
      </c>
      <c r="E619" s="227"/>
      <c r="F619" s="228"/>
      <c r="G619" s="35">
        <v>218200.0</v>
      </c>
      <c r="H619" s="27">
        <v>36800.0</v>
      </c>
      <c r="I619" s="143"/>
      <c r="J619" s="111"/>
      <c r="K619" s="29">
        <v>93200.0</v>
      </c>
      <c r="L619" s="30">
        <v>313710.0</v>
      </c>
      <c r="M619" s="49">
        <v>290000.0</v>
      </c>
      <c r="N619" s="39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</row>
    <row r="620">
      <c r="A620" s="221" t="s">
        <v>22</v>
      </c>
      <c r="B620" s="384">
        <v>45986.0</v>
      </c>
      <c r="C620" s="22">
        <v>1293535.0</v>
      </c>
      <c r="D620" s="23">
        <v>624700.0</v>
      </c>
      <c r="E620" s="227"/>
      <c r="F620" s="228"/>
      <c r="G620" s="35">
        <v>434200.0</v>
      </c>
      <c r="H620" s="27">
        <v>66900.0</v>
      </c>
      <c r="I620" s="143"/>
      <c r="J620" s="111"/>
      <c r="K620" s="29">
        <v>251200.0</v>
      </c>
      <c r="L620" s="30">
        <v>500335.0</v>
      </c>
      <c r="M620" s="49">
        <v>450000.0</v>
      </c>
      <c r="N620" s="39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</row>
    <row r="621">
      <c r="A621" s="221" t="s">
        <v>32</v>
      </c>
      <c r="B621" s="384">
        <v>45987.0</v>
      </c>
      <c r="C621" s="22">
        <v>1154240.0</v>
      </c>
      <c r="D621" s="23">
        <v>613300.0</v>
      </c>
      <c r="E621" s="227"/>
      <c r="F621" s="228"/>
      <c r="G621" s="35">
        <v>172700.0</v>
      </c>
      <c r="H621" s="27">
        <v>183400.0</v>
      </c>
      <c r="I621" s="143"/>
      <c r="J621" s="111"/>
      <c r="K621" s="29">
        <v>267610.0</v>
      </c>
      <c r="L621" s="30">
        <v>343530.0</v>
      </c>
      <c r="M621" s="49">
        <v>280000.0</v>
      </c>
      <c r="N621" s="39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</row>
    <row r="622">
      <c r="A622" s="221" t="s">
        <v>24</v>
      </c>
      <c r="B622" s="384">
        <v>45988.0</v>
      </c>
      <c r="C622" s="22">
        <v>941453.0</v>
      </c>
      <c r="D622" s="23">
        <v>391000.0</v>
      </c>
      <c r="E622" s="227"/>
      <c r="F622" s="228"/>
      <c r="G622" s="35">
        <v>172890.0</v>
      </c>
      <c r="H622" s="27">
        <v>90000.0</v>
      </c>
      <c r="I622" s="143"/>
      <c r="J622" s="111"/>
      <c r="K622" s="29">
        <v>273300.0</v>
      </c>
      <c r="L622" s="30">
        <v>311743.0</v>
      </c>
      <c r="M622" s="49">
        <v>300000.0</v>
      </c>
      <c r="N622" s="39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</row>
    <row r="623">
      <c r="A623" s="221" t="s">
        <v>25</v>
      </c>
      <c r="B623" s="384">
        <v>45989.0</v>
      </c>
      <c r="C623" s="22">
        <v>1585730.0</v>
      </c>
      <c r="D623" s="23">
        <v>508500.0</v>
      </c>
      <c r="E623" s="227"/>
      <c r="F623" s="228"/>
      <c r="G623" s="35">
        <v>275710.0</v>
      </c>
      <c r="H623" s="27">
        <v>195000.0</v>
      </c>
      <c r="I623" s="143"/>
      <c r="J623" s="111"/>
      <c r="K623" s="29">
        <v>386240.0</v>
      </c>
      <c r="L623" s="30">
        <v>470480.0</v>
      </c>
      <c r="M623" s="49">
        <v>380000.0</v>
      </c>
      <c r="N623" s="39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</row>
    <row r="624">
      <c r="A624" s="221" t="s">
        <v>33</v>
      </c>
      <c r="B624" s="384">
        <v>45990.0</v>
      </c>
      <c r="C624" s="22">
        <v>810160.0</v>
      </c>
      <c r="D624" s="23">
        <v>291890.0</v>
      </c>
      <c r="E624" s="227"/>
      <c r="F624" s="228"/>
      <c r="G624" s="35">
        <v>204990.0</v>
      </c>
      <c r="H624" s="27">
        <v>95000.0</v>
      </c>
      <c r="I624" s="143"/>
      <c r="J624" s="111"/>
      <c r="K624" s="29">
        <v>223700.0</v>
      </c>
      <c r="L624" s="30">
        <v>257670.0</v>
      </c>
      <c r="M624" s="31"/>
      <c r="N624" s="39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</row>
    <row r="625">
      <c r="A625" s="385" t="s">
        <v>27</v>
      </c>
      <c r="B625" s="386">
        <v>45991.0</v>
      </c>
      <c r="C625" s="49">
        <v>771969.0</v>
      </c>
      <c r="D625" s="49">
        <v>255190.0</v>
      </c>
      <c r="E625" s="31"/>
      <c r="F625" s="31"/>
      <c r="G625" s="49">
        <v>172301.0</v>
      </c>
      <c r="H625" s="49">
        <v>63600.0</v>
      </c>
      <c r="I625" s="31"/>
      <c r="J625" s="31"/>
      <c r="K625" s="49">
        <v>91800.0</v>
      </c>
      <c r="L625" s="49">
        <v>444268.0</v>
      </c>
      <c r="M625" s="49">
        <v>340000.0</v>
      </c>
      <c r="N625" s="39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</row>
    <row r="626">
      <c r="A626" s="68" t="s">
        <v>28</v>
      </c>
      <c r="B626" s="129" t="s">
        <v>50</v>
      </c>
      <c r="C626" s="70">
        <f t="shared" ref="C626:D626" si="25">SUM(C596:C625)</f>
        <v>31645947</v>
      </c>
      <c r="D626" s="70">
        <f t="shared" si="25"/>
        <v>17681920</v>
      </c>
      <c r="E626" s="70">
        <f t="shared" ref="E626:F626" si="26">SUM(E595:E625)</f>
        <v>0</v>
      </c>
      <c r="F626" s="70">
        <f t="shared" si="26"/>
        <v>0</v>
      </c>
      <c r="G626" s="70">
        <f t="shared" ref="G626:H626" si="27">SUM(G596:G625)</f>
        <v>7365181</v>
      </c>
      <c r="H626" s="70">
        <f t="shared" si="27"/>
        <v>3458740</v>
      </c>
      <c r="I626" s="70"/>
      <c r="J626" s="70">
        <f>SUM(J595:J625)</f>
        <v>0</v>
      </c>
      <c r="K626" s="70">
        <f t="shared" ref="K626:L626" si="28">SUM(K596:K625)</f>
        <v>6849300</v>
      </c>
      <c r="L626" s="70">
        <f t="shared" si="28"/>
        <v>11261296</v>
      </c>
      <c r="M626" s="49"/>
      <c r="N626" s="39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</row>
    <row r="627">
      <c r="A627" s="221" t="s">
        <v>21</v>
      </c>
      <c r="B627" s="384">
        <v>45992.0</v>
      </c>
      <c r="C627" s="22">
        <v>1754350.0</v>
      </c>
      <c r="D627" s="23">
        <v>617600.0</v>
      </c>
      <c r="E627" s="227"/>
      <c r="F627" s="228"/>
      <c r="G627" s="35">
        <v>352300.0</v>
      </c>
      <c r="H627" s="27">
        <v>202500.0</v>
      </c>
      <c r="I627" s="143"/>
      <c r="J627" s="111"/>
      <c r="K627" s="29">
        <v>465220.0</v>
      </c>
      <c r="L627" s="30">
        <v>719930.0</v>
      </c>
      <c r="M627" s="49">
        <v>630000.0</v>
      </c>
      <c r="N627" s="39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</row>
    <row r="628">
      <c r="A628" s="221" t="s">
        <v>22</v>
      </c>
      <c r="B628" s="384">
        <v>45993.0</v>
      </c>
      <c r="C628" s="22">
        <v>2218160.0</v>
      </c>
      <c r="D628" s="23">
        <v>897490.0</v>
      </c>
      <c r="E628" s="227"/>
      <c r="F628" s="228"/>
      <c r="G628" s="35">
        <v>629890.0</v>
      </c>
      <c r="H628" s="27">
        <v>160600.0</v>
      </c>
      <c r="I628" s="143"/>
      <c r="J628" s="111"/>
      <c r="K628" s="29">
        <v>687600.0</v>
      </c>
      <c r="L628" s="30">
        <v>698270.0</v>
      </c>
      <c r="M628" s="31"/>
      <c r="N628" s="39"/>
      <c r="O628" s="35" t="s">
        <v>759</v>
      </c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</row>
    <row r="629">
      <c r="A629" s="221" t="s">
        <v>32</v>
      </c>
      <c r="B629" s="384">
        <v>45994.0</v>
      </c>
      <c r="C629" s="22">
        <v>408010.0</v>
      </c>
      <c r="D629" s="23">
        <v>113800.0</v>
      </c>
      <c r="E629" s="227"/>
      <c r="F629" s="228"/>
      <c r="G629" s="35">
        <v>65800.0</v>
      </c>
      <c r="H629" s="27">
        <v>48000.0</v>
      </c>
      <c r="I629" s="143"/>
      <c r="J629" s="111"/>
      <c r="K629" s="29">
        <v>13000.0</v>
      </c>
      <c r="L629" s="30">
        <v>132510.0</v>
      </c>
      <c r="M629" s="49">
        <v>430000.0</v>
      </c>
      <c r="N629" s="39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</row>
    <row r="630">
      <c r="A630" s="221" t="s">
        <v>24</v>
      </c>
      <c r="B630" s="384">
        <v>45995.0</v>
      </c>
      <c r="C630" s="22">
        <v>1208520.0</v>
      </c>
      <c r="D630" s="23">
        <v>681420.0</v>
      </c>
      <c r="E630" s="227"/>
      <c r="F630" s="228"/>
      <c r="G630" s="35">
        <v>382100.0</v>
      </c>
      <c r="H630" s="27">
        <v>272500.0</v>
      </c>
      <c r="I630" s="143"/>
      <c r="J630" s="111"/>
      <c r="K630" s="29">
        <v>192030.0</v>
      </c>
      <c r="L630" s="30">
        <v>355390.0</v>
      </c>
      <c r="M630" s="49">
        <v>310000.0</v>
      </c>
      <c r="N630" s="39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</row>
    <row r="631">
      <c r="A631" s="221" t="s">
        <v>25</v>
      </c>
      <c r="B631" s="384">
        <v>45996.0</v>
      </c>
      <c r="C631" s="22">
        <v>1322771.0</v>
      </c>
      <c r="D631" s="23">
        <v>588890.0</v>
      </c>
      <c r="E631" s="227"/>
      <c r="F631" s="228"/>
      <c r="G631" s="35">
        <v>331290.0</v>
      </c>
      <c r="H631" s="27">
        <v>208600.0</v>
      </c>
      <c r="I631" s="143"/>
      <c r="J631" s="111"/>
      <c r="K631" s="29">
        <v>332901.0</v>
      </c>
      <c r="L631" s="30">
        <v>240890.0</v>
      </c>
      <c r="M631" s="49">
        <v>210000.0</v>
      </c>
      <c r="N631" s="39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</row>
    <row r="632">
      <c r="A632" s="221" t="s">
        <v>33</v>
      </c>
      <c r="B632" s="384">
        <v>45997.0</v>
      </c>
      <c r="C632" s="22">
        <v>1026920.0</v>
      </c>
      <c r="D632" s="23">
        <v>384300.0</v>
      </c>
      <c r="E632" s="227"/>
      <c r="F632" s="228"/>
      <c r="G632" s="35">
        <v>312700.0</v>
      </c>
      <c r="H632" s="27">
        <v>83100.0</v>
      </c>
      <c r="I632" s="143"/>
      <c r="J632" s="111"/>
      <c r="K632" s="29">
        <v>276850.0</v>
      </c>
      <c r="L632" s="30">
        <v>354270.0</v>
      </c>
      <c r="M632" s="49">
        <v>330000.0</v>
      </c>
      <c r="N632" s="39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</row>
    <row r="633">
      <c r="A633" s="385" t="s">
        <v>27</v>
      </c>
      <c r="B633" s="386">
        <v>45998.0</v>
      </c>
      <c r="C633" s="49">
        <v>1364410.0</v>
      </c>
      <c r="D633" s="49">
        <v>445390.0</v>
      </c>
      <c r="E633" s="31"/>
      <c r="F633" s="31"/>
      <c r="G633" s="49">
        <v>367800.0</v>
      </c>
      <c r="H633" s="49">
        <v>47390.0</v>
      </c>
      <c r="I633" s="31"/>
      <c r="J633" s="31"/>
      <c r="K633" s="49">
        <v>360420.0</v>
      </c>
      <c r="L633" s="49">
        <v>588800.0</v>
      </c>
      <c r="M633" s="49">
        <v>490000.0</v>
      </c>
      <c r="N633" s="39"/>
      <c r="O633" s="35" t="s">
        <v>760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</row>
    <row r="634">
      <c r="A634" s="221" t="s">
        <v>21</v>
      </c>
      <c r="B634" s="384">
        <v>45999.0</v>
      </c>
      <c r="C634" s="225"/>
      <c r="D634" s="226"/>
      <c r="E634" s="227"/>
      <c r="F634" s="228"/>
      <c r="G634" s="33"/>
      <c r="H634" s="143"/>
      <c r="I634" s="143"/>
      <c r="J634" s="111"/>
      <c r="K634" s="112"/>
      <c r="L634" s="230"/>
      <c r="M634" s="31"/>
      <c r="N634" s="39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</row>
    <row r="635">
      <c r="A635" s="221" t="s">
        <v>22</v>
      </c>
      <c r="B635" s="384">
        <v>46000.0</v>
      </c>
      <c r="C635" s="22">
        <v>1309858.0</v>
      </c>
      <c r="D635" s="23">
        <v>448870.0</v>
      </c>
      <c r="E635" s="227"/>
      <c r="F635" s="228"/>
      <c r="G635" s="35">
        <v>224600.0</v>
      </c>
      <c r="H635" s="27">
        <v>246950.0</v>
      </c>
      <c r="I635" s="143"/>
      <c r="J635" s="111"/>
      <c r="K635" s="29">
        <v>493390.0</v>
      </c>
      <c r="L635" s="30">
        <v>348598.0</v>
      </c>
      <c r="M635" s="49">
        <v>350000.0</v>
      </c>
      <c r="N635" s="39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</row>
    <row r="636">
      <c r="A636" s="221" t="s">
        <v>32</v>
      </c>
      <c r="B636" s="384">
        <v>46001.0</v>
      </c>
      <c r="C636" s="22">
        <v>1533700.0</v>
      </c>
      <c r="D636" s="23">
        <v>422870.0</v>
      </c>
      <c r="E636" s="227"/>
      <c r="F636" s="228"/>
      <c r="G636" s="35">
        <v>265050.0</v>
      </c>
      <c r="H636" s="27">
        <v>141960.0</v>
      </c>
      <c r="I636" s="143"/>
      <c r="J636" s="111"/>
      <c r="K636" s="29">
        <v>564320.0</v>
      </c>
      <c r="L636" s="30">
        <v>562370.0</v>
      </c>
      <c r="M636" s="49">
        <v>520000.0</v>
      </c>
      <c r="N636" s="39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</row>
    <row r="637">
      <c r="A637" s="221" t="s">
        <v>24</v>
      </c>
      <c r="B637" s="384">
        <v>46002.0</v>
      </c>
      <c r="C637" s="22">
        <v>1397198.0</v>
      </c>
      <c r="D637" s="23">
        <v>404340.0</v>
      </c>
      <c r="E637" s="227"/>
      <c r="F637" s="228"/>
      <c r="G637" s="35">
        <v>108200.0</v>
      </c>
      <c r="H637" s="27">
        <v>310500.0</v>
      </c>
      <c r="I637" s="143"/>
      <c r="J637" s="111"/>
      <c r="K637" s="29">
        <v>590120.0</v>
      </c>
      <c r="L637" s="30">
        <v>388378.0</v>
      </c>
      <c r="M637" s="49">
        <v>360000.0</v>
      </c>
      <c r="N637" s="39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</row>
    <row r="638">
      <c r="A638" s="221" t="s">
        <v>25</v>
      </c>
      <c r="B638" s="384">
        <v>46003.0</v>
      </c>
      <c r="C638" s="22">
        <v>1065860.0</v>
      </c>
      <c r="D638" s="23">
        <v>437510.0</v>
      </c>
      <c r="E638" s="227"/>
      <c r="F638" s="228"/>
      <c r="G638" s="35">
        <v>196700.0</v>
      </c>
      <c r="H638" s="27">
        <v>243910.0</v>
      </c>
      <c r="I638" s="143"/>
      <c r="J638" s="111"/>
      <c r="K638" s="29">
        <v>285410.0</v>
      </c>
      <c r="L638" s="30">
        <v>339840.0</v>
      </c>
      <c r="M638" s="31">
        <f>120000+190000</f>
        <v>310000</v>
      </c>
      <c r="N638" s="39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</row>
    <row r="639">
      <c r="A639" s="221" t="s">
        <v>33</v>
      </c>
      <c r="B639" s="384">
        <v>46004.0</v>
      </c>
      <c r="C639" s="22">
        <v>944060.0</v>
      </c>
      <c r="D639" s="23">
        <v>432100.0</v>
      </c>
      <c r="E639" s="227"/>
      <c r="F639" s="228"/>
      <c r="G639" s="35">
        <v>312900.0</v>
      </c>
      <c r="H639" s="27">
        <v>78400.0</v>
      </c>
      <c r="I639" s="143"/>
      <c r="J639" s="111"/>
      <c r="K639" s="29">
        <v>223770.0</v>
      </c>
      <c r="L639" s="30">
        <v>339990.0</v>
      </c>
      <c r="M639" s="49">
        <v>350000.0</v>
      </c>
      <c r="N639" s="39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</row>
    <row r="640">
      <c r="A640" s="385" t="s">
        <v>27</v>
      </c>
      <c r="B640" s="386">
        <v>46005.0</v>
      </c>
      <c r="C640" s="49">
        <v>460330.0</v>
      </c>
      <c r="D640" s="31"/>
      <c r="E640" s="31"/>
      <c r="F640" s="31"/>
      <c r="G640" s="31"/>
      <c r="H640" s="31"/>
      <c r="I640" s="31"/>
      <c r="J640" s="31"/>
      <c r="K640" s="49">
        <v>213100.0</v>
      </c>
      <c r="L640" s="49">
        <v>247230.0</v>
      </c>
      <c r="M640" s="49">
        <v>250000.0</v>
      </c>
      <c r="N640" s="39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</row>
    <row r="641">
      <c r="A641" s="221" t="s">
        <v>21</v>
      </c>
      <c r="B641" s="384">
        <v>46006.0</v>
      </c>
      <c r="C641" s="22">
        <v>1638025.0</v>
      </c>
      <c r="D641" s="23">
        <v>518130.0</v>
      </c>
      <c r="E641" s="227"/>
      <c r="F641" s="228"/>
      <c r="G641" s="35">
        <v>365420.0</v>
      </c>
      <c r="H641" s="27">
        <v>157930.0</v>
      </c>
      <c r="I641" s="143"/>
      <c r="J641" s="111"/>
      <c r="K641" s="29">
        <v>755845.0</v>
      </c>
      <c r="L641" s="30">
        <v>364050.0</v>
      </c>
      <c r="M641" s="49">
        <v>340000.0</v>
      </c>
      <c r="N641" s="39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</row>
    <row r="642">
      <c r="A642" s="221" t="s">
        <v>22</v>
      </c>
      <c r="B642" s="384">
        <v>46007.0</v>
      </c>
      <c r="C642" s="22">
        <v>1714475.0</v>
      </c>
      <c r="D642" s="23">
        <v>603100.0</v>
      </c>
      <c r="E642" s="227"/>
      <c r="F642" s="228"/>
      <c r="G642" s="35">
        <v>375300.0</v>
      </c>
      <c r="H642" s="27">
        <v>227800.0</v>
      </c>
      <c r="I642" s="143"/>
      <c r="J642" s="111"/>
      <c r="K642" s="29">
        <v>517310.0</v>
      </c>
      <c r="L642" s="30">
        <v>594065.0</v>
      </c>
      <c r="M642" s="49">
        <v>540000.0</v>
      </c>
      <c r="N642" s="39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</row>
    <row r="643">
      <c r="A643" s="221" t="s">
        <v>32</v>
      </c>
      <c r="B643" s="384">
        <v>46008.0</v>
      </c>
      <c r="C643" s="22">
        <v>1351545.0</v>
      </c>
      <c r="D643" s="23">
        <v>475405.0</v>
      </c>
      <c r="E643" s="227"/>
      <c r="F643" s="228"/>
      <c r="G643" s="35">
        <v>279105.0</v>
      </c>
      <c r="H643" s="27">
        <v>197420.0</v>
      </c>
      <c r="I643" s="143"/>
      <c r="J643" s="111"/>
      <c r="K643" s="29">
        <v>220000.0</v>
      </c>
      <c r="L643" s="30">
        <v>684540.0</v>
      </c>
      <c r="M643" s="49">
        <v>620000.0</v>
      </c>
      <c r="N643" s="39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</row>
    <row r="644">
      <c r="A644" s="221" t="s">
        <v>24</v>
      </c>
      <c r="B644" s="384">
        <v>46009.0</v>
      </c>
      <c r="C644" s="22">
        <v>1167255.0</v>
      </c>
      <c r="D644" s="23">
        <v>235700.0</v>
      </c>
      <c r="E644" s="227"/>
      <c r="F644" s="228"/>
      <c r="G644" s="35">
        <v>168400.0</v>
      </c>
      <c r="H644" s="27">
        <v>9200.0</v>
      </c>
      <c r="I644" s="143"/>
      <c r="J644" s="111"/>
      <c r="K644" s="29">
        <v>590740.0</v>
      </c>
      <c r="L644" s="30">
        <v>398915.0</v>
      </c>
      <c r="M644" s="49">
        <v>410000.0</v>
      </c>
      <c r="N644" s="39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</row>
    <row r="645">
      <c r="A645" s="221" t="s">
        <v>25</v>
      </c>
      <c r="B645" s="384">
        <v>46010.0</v>
      </c>
      <c r="C645" s="22">
        <v>1377250.0</v>
      </c>
      <c r="D645" s="23">
        <v>451440.0</v>
      </c>
      <c r="E645" s="227"/>
      <c r="F645" s="228"/>
      <c r="G645" s="35">
        <v>240300.0</v>
      </c>
      <c r="H645" s="27">
        <v>194000.0</v>
      </c>
      <c r="I645" s="143"/>
      <c r="J645" s="111"/>
      <c r="K645" s="29">
        <v>507220.0</v>
      </c>
      <c r="L645" s="30">
        <v>437730.0</v>
      </c>
      <c r="M645" s="49">
        <v>420000.0</v>
      </c>
      <c r="N645" s="39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</row>
    <row r="646">
      <c r="A646" s="221" t="s">
        <v>33</v>
      </c>
      <c r="B646" s="384">
        <v>46011.0</v>
      </c>
      <c r="C646" s="22">
        <v>811380.0</v>
      </c>
      <c r="D646" s="23">
        <v>247400.0</v>
      </c>
      <c r="E646" s="227"/>
      <c r="F646" s="228"/>
      <c r="G646" s="35">
        <v>247400.0</v>
      </c>
      <c r="H646" s="143"/>
      <c r="I646" s="143"/>
      <c r="J646" s="111"/>
      <c r="K646" s="29">
        <v>180970.0</v>
      </c>
      <c r="L646" s="30">
        <v>383010.0</v>
      </c>
      <c r="M646" s="49">
        <v>380000.0</v>
      </c>
      <c r="N646" s="39"/>
      <c r="O646" s="35" t="s">
        <v>761</v>
      </c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</row>
    <row r="647">
      <c r="A647" s="385" t="s">
        <v>27</v>
      </c>
      <c r="B647" s="386">
        <v>46012.0</v>
      </c>
      <c r="C647" s="49">
        <v>451250.0</v>
      </c>
      <c r="D647" s="49">
        <v>183700.0</v>
      </c>
      <c r="E647" s="31"/>
      <c r="F647" s="31"/>
      <c r="G647" s="49">
        <v>60400.0</v>
      </c>
      <c r="H647" s="49">
        <v>123300.0</v>
      </c>
      <c r="I647" s="31"/>
      <c r="J647" s="31"/>
      <c r="K647" s="49">
        <v>126700.0</v>
      </c>
      <c r="L647" s="49">
        <v>140850.0</v>
      </c>
      <c r="M647" s="49">
        <v>110000.0</v>
      </c>
      <c r="N647" s="39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</row>
    <row r="648">
      <c r="A648" s="221" t="s">
        <v>21</v>
      </c>
      <c r="B648" s="384">
        <v>46013.0</v>
      </c>
      <c r="C648" s="22">
        <v>1559381.0</v>
      </c>
      <c r="D648" s="23">
        <v>383780.0</v>
      </c>
      <c r="E648" s="227"/>
      <c r="F648" s="228"/>
      <c r="G648" s="35">
        <v>183090.0</v>
      </c>
      <c r="H648" s="27">
        <v>224690.0</v>
      </c>
      <c r="I648" s="143"/>
      <c r="J648" s="111"/>
      <c r="K648" s="29">
        <v>479612.0</v>
      </c>
      <c r="L648" s="30">
        <v>671987.0</v>
      </c>
      <c r="M648" s="49">
        <v>680000.0</v>
      </c>
      <c r="N648" s="39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</row>
    <row r="649">
      <c r="A649" s="221" t="s">
        <v>22</v>
      </c>
      <c r="B649" s="384">
        <v>46014.0</v>
      </c>
      <c r="C649" s="22">
        <v>1161000.0</v>
      </c>
      <c r="D649" s="23">
        <v>158180.0</v>
      </c>
      <c r="E649" s="227"/>
      <c r="F649" s="228"/>
      <c r="G649" s="35">
        <v>112880.0</v>
      </c>
      <c r="H649" s="27">
        <v>52400.0</v>
      </c>
      <c r="I649" s="143"/>
      <c r="J649" s="111"/>
      <c r="K649" s="29">
        <v>555620.0</v>
      </c>
      <c r="L649" s="30">
        <v>344260.0</v>
      </c>
      <c r="M649" s="49">
        <v>340000.0</v>
      </c>
      <c r="N649" s="39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</row>
    <row r="650">
      <c r="A650" s="221" t="s">
        <v>32</v>
      </c>
      <c r="B650" s="384">
        <v>46015.0</v>
      </c>
      <c r="C650" s="22">
        <v>721070.0</v>
      </c>
      <c r="D650" s="23">
        <v>298700.0</v>
      </c>
      <c r="E650" s="227"/>
      <c r="F650" s="228"/>
      <c r="G650" s="35">
        <v>298700.0</v>
      </c>
      <c r="H650" s="143"/>
      <c r="I650" s="143"/>
      <c r="J650" s="111"/>
      <c r="K650" s="29">
        <v>235800.0</v>
      </c>
      <c r="L650" s="30">
        <v>186570.0</v>
      </c>
      <c r="M650" s="49">
        <v>160000.0</v>
      </c>
      <c r="N650" s="39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</row>
    <row r="651">
      <c r="A651" s="221" t="s">
        <v>24</v>
      </c>
      <c r="B651" s="384">
        <v>46016.0</v>
      </c>
      <c r="C651" s="378"/>
      <c r="D651" s="378"/>
      <c r="E651" s="378"/>
      <c r="F651" s="378"/>
      <c r="G651" s="378"/>
      <c r="H651" s="378"/>
      <c r="I651" s="378"/>
      <c r="J651" s="378"/>
      <c r="K651" s="378"/>
      <c r="L651" s="378"/>
      <c r="M651" s="31"/>
      <c r="N651" s="39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</row>
    <row r="652">
      <c r="A652" s="221" t="s">
        <v>25</v>
      </c>
      <c r="B652" s="384">
        <v>46017.0</v>
      </c>
      <c r="C652" s="22">
        <v>620000.0</v>
      </c>
      <c r="D652" s="23">
        <v>120700.0</v>
      </c>
      <c r="E652" s="227"/>
      <c r="F652" s="228"/>
      <c r="G652" s="35">
        <v>108400.0</v>
      </c>
      <c r="H652" s="27">
        <v>12300.0</v>
      </c>
      <c r="I652" s="143"/>
      <c r="J652" s="111"/>
      <c r="K652" s="29">
        <v>217940.0</v>
      </c>
      <c r="L652" s="30">
        <v>281360.0</v>
      </c>
      <c r="M652" s="49">
        <v>200000.0</v>
      </c>
      <c r="N652" s="39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</row>
    <row r="653">
      <c r="A653" s="221" t="s">
        <v>33</v>
      </c>
      <c r="B653" s="384">
        <v>46018.0</v>
      </c>
      <c r="C653" s="22">
        <v>1027210.0</v>
      </c>
      <c r="D653" s="23">
        <v>268100.0</v>
      </c>
      <c r="E653" s="227"/>
      <c r="F653" s="228"/>
      <c r="G653" s="35">
        <v>203400.0</v>
      </c>
      <c r="H653" s="27">
        <v>52800.0</v>
      </c>
      <c r="I653" s="143"/>
      <c r="J653" s="111"/>
      <c r="K653" s="29">
        <v>223720.0</v>
      </c>
      <c r="L653" s="30">
        <v>517030.0</v>
      </c>
      <c r="M653" s="49">
        <v>540000.0</v>
      </c>
      <c r="N653" s="39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</row>
    <row r="654">
      <c r="A654" s="385" t="s">
        <v>27</v>
      </c>
      <c r="B654" s="386">
        <v>46019.0</v>
      </c>
      <c r="C654" s="49">
        <v>413930.0</v>
      </c>
      <c r="D654" s="49">
        <v>125300.0</v>
      </c>
      <c r="E654" s="31"/>
      <c r="F654" s="31"/>
      <c r="G654" s="49">
        <v>35800.0</v>
      </c>
      <c r="H654" s="49">
        <v>89500.0</v>
      </c>
      <c r="I654" s="31"/>
      <c r="J654" s="31"/>
      <c r="K654" s="49">
        <v>146500.0</v>
      </c>
      <c r="L654" s="49">
        <v>142130.0</v>
      </c>
      <c r="M654" s="49">
        <v>130000.0</v>
      </c>
      <c r="N654" s="39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</row>
    <row r="655">
      <c r="A655" s="221" t="s">
        <v>21</v>
      </c>
      <c r="B655" s="384">
        <v>46020.0</v>
      </c>
      <c r="C655" s="22">
        <v>761570.0</v>
      </c>
      <c r="D655" s="23">
        <v>232000.0</v>
      </c>
      <c r="E655" s="227"/>
      <c r="F655" s="228"/>
      <c r="G655" s="35">
        <v>143200.0</v>
      </c>
      <c r="H655" s="27">
        <v>88800.0</v>
      </c>
      <c r="I655" s="143"/>
      <c r="J655" s="111"/>
      <c r="K655" s="29">
        <v>205400.0</v>
      </c>
      <c r="L655" s="30">
        <v>290670.0</v>
      </c>
      <c r="M655" s="49">
        <v>240000.0</v>
      </c>
      <c r="N655" s="39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</row>
    <row r="656">
      <c r="A656" s="221" t="s">
        <v>22</v>
      </c>
      <c r="B656" s="384">
        <v>46021.0</v>
      </c>
      <c r="C656" s="22">
        <v>1018166.0</v>
      </c>
      <c r="D656" s="23">
        <v>214100.0</v>
      </c>
      <c r="E656" s="227"/>
      <c r="F656" s="228"/>
      <c r="G656" s="35">
        <v>74000.0</v>
      </c>
      <c r="H656" s="27">
        <v>140100.0</v>
      </c>
      <c r="I656" s="143"/>
      <c r="J656" s="111"/>
      <c r="K656" s="29">
        <v>404700.0</v>
      </c>
      <c r="L656" s="30">
        <v>356616.0</v>
      </c>
      <c r="M656" s="49">
        <v>320000.0</v>
      </c>
      <c r="N656" s="39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</row>
    <row r="657">
      <c r="A657" s="221" t="s">
        <v>32</v>
      </c>
      <c r="B657" s="384">
        <v>46022.0</v>
      </c>
      <c r="C657" s="22">
        <v>224360.0</v>
      </c>
      <c r="D657" s="23">
        <v>141260.0</v>
      </c>
      <c r="E657" s="227"/>
      <c r="F657" s="228"/>
      <c r="G657" s="35">
        <v>83100.0</v>
      </c>
      <c r="H657" s="143"/>
      <c r="I657" s="143"/>
      <c r="J657" s="111"/>
      <c r="K657" s="29">
        <v>56400.0</v>
      </c>
      <c r="L657" s="30">
        <v>84860.0</v>
      </c>
      <c r="M657" s="49">
        <v>100000.0</v>
      </c>
      <c r="N657" s="39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</row>
    <row r="658">
      <c r="A658" s="68" t="s">
        <v>28</v>
      </c>
      <c r="B658" s="129" t="s">
        <v>51</v>
      </c>
      <c r="C658" s="70">
        <f t="shared" ref="C658:H658" si="29">SUM(C627:C657)</f>
        <v>32032014</v>
      </c>
      <c r="D658" s="70">
        <f t="shared" si="29"/>
        <v>10531575</v>
      </c>
      <c r="E658" s="70">
        <f t="shared" si="29"/>
        <v>0</v>
      </c>
      <c r="F658" s="70">
        <f t="shared" si="29"/>
        <v>0</v>
      </c>
      <c r="G658" s="70">
        <f t="shared" si="29"/>
        <v>6528225</v>
      </c>
      <c r="H658" s="70">
        <f t="shared" si="29"/>
        <v>3614650</v>
      </c>
      <c r="I658" s="70"/>
      <c r="J658" s="70">
        <f t="shared" ref="J658:L658" si="30">SUM(J627:J657)</f>
        <v>0</v>
      </c>
      <c r="K658" s="70">
        <f t="shared" si="30"/>
        <v>10122608</v>
      </c>
      <c r="L658" s="70">
        <f t="shared" si="30"/>
        <v>11195109</v>
      </c>
      <c r="M658" s="31"/>
      <c r="N658" s="39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</row>
    <row r="659">
      <c r="A659" s="224"/>
      <c r="B659" s="229"/>
      <c r="C659" s="225"/>
      <c r="D659" s="226"/>
      <c r="E659" s="227"/>
      <c r="F659" s="228"/>
      <c r="G659" s="33"/>
      <c r="H659" s="143"/>
      <c r="I659" s="143"/>
      <c r="J659" s="111"/>
      <c r="K659" s="112"/>
      <c r="L659" s="230"/>
      <c r="M659" s="31"/>
      <c r="N659" s="39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</row>
    <row r="660">
      <c r="A660" s="224"/>
      <c r="B660" s="229"/>
      <c r="C660" s="225"/>
      <c r="D660" s="226"/>
      <c r="E660" s="227"/>
      <c r="F660" s="228"/>
      <c r="G660" s="33"/>
      <c r="H660" s="143"/>
      <c r="I660" s="143"/>
      <c r="J660" s="111"/>
      <c r="K660" s="112"/>
      <c r="L660" s="230"/>
      <c r="M660" s="31"/>
      <c r="N660" s="39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</row>
    <row r="661">
      <c r="A661" s="224"/>
      <c r="B661" s="229"/>
      <c r="C661" s="225"/>
      <c r="D661" s="226"/>
      <c r="E661" s="227"/>
      <c r="F661" s="228"/>
      <c r="G661" s="33"/>
      <c r="H661" s="143"/>
      <c r="I661" s="143"/>
      <c r="J661" s="111"/>
      <c r="K661" s="112"/>
      <c r="L661" s="230"/>
      <c r="M661" s="31"/>
      <c r="N661" s="39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</row>
    <row r="662">
      <c r="A662" s="224"/>
      <c r="B662" s="229"/>
      <c r="C662" s="225"/>
      <c r="D662" s="226"/>
      <c r="E662" s="227"/>
      <c r="F662" s="228"/>
      <c r="G662" s="33"/>
      <c r="H662" s="143"/>
      <c r="I662" s="143"/>
      <c r="J662" s="111"/>
      <c r="K662" s="112"/>
      <c r="L662" s="230"/>
      <c r="M662" s="31"/>
      <c r="N662" s="39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</row>
    <row r="663">
      <c r="A663" s="224"/>
      <c r="B663" s="229"/>
      <c r="C663" s="225"/>
      <c r="D663" s="226"/>
      <c r="E663" s="227"/>
      <c r="F663" s="228"/>
      <c r="G663" s="33"/>
      <c r="H663" s="143"/>
      <c r="I663" s="143"/>
      <c r="J663" s="111"/>
      <c r="K663" s="112"/>
      <c r="L663" s="230"/>
      <c r="M663" s="31"/>
      <c r="N663" s="39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</row>
    <row r="664">
      <c r="A664" s="224"/>
      <c r="B664" s="229"/>
      <c r="C664" s="225"/>
      <c r="D664" s="226"/>
      <c r="E664" s="227"/>
      <c r="F664" s="228"/>
      <c r="G664" s="33"/>
      <c r="H664" s="143"/>
      <c r="I664" s="143"/>
      <c r="J664" s="111"/>
      <c r="K664" s="112"/>
      <c r="L664" s="230"/>
      <c r="M664" s="31"/>
      <c r="N664" s="39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</row>
    <row r="665">
      <c r="A665" s="224"/>
      <c r="B665" s="229"/>
      <c r="C665" s="225"/>
      <c r="D665" s="226"/>
      <c r="E665" s="227"/>
      <c r="F665" s="228"/>
      <c r="G665" s="33"/>
      <c r="H665" s="143"/>
      <c r="I665" s="143"/>
      <c r="J665" s="111"/>
      <c r="K665" s="112"/>
      <c r="L665" s="230"/>
      <c r="M665" s="31"/>
      <c r="N665" s="39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</row>
    <row r="666">
      <c r="A666" s="224"/>
      <c r="B666" s="229"/>
      <c r="C666" s="225"/>
      <c r="D666" s="226"/>
      <c r="E666" s="227"/>
      <c r="F666" s="228"/>
      <c r="G666" s="33"/>
      <c r="H666" s="143"/>
      <c r="I666" s="143"/>
      <c r="J666" s="111"/>
      <c r="K666" s="112"/>
      <c r="L666" s="230"/>
      <c r="M666" s="31"/>
      <c r="N666" s="39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</row>
    <row r="667">
      <c r="A667" s="224"/>
      <c r="B667" s="229"/>
      <c r="C667" s="225"/>
      <c r="D667" s="226"/>
      <c r="E667" s="227"/>
      <c r="F667" s="228"/>
      <c r="G667" s="33"/>
      <c r="H667" s="143"/>
      <c r="I667" s="143"/>
      <c r="J667" s="111"/>
      <c r="K667" s="112"/>
      <c r="L667" s="230"/>
      <c r="M667" s="31"/>
      <c r="N667" s="39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</row>
    <row r="668">
      <c r="A668" s="224"/>
      <c r="B668" s="229"/>
      <c r="C668" s="225"/>
      <c r="D668" s="226"/>
      <c r="E668" s="227"/>
      <c r="F668" s="228"/>
      <c r="G668" s="33"/>
      <c r="H668" s="143"/>
      <c r="I668" s="143"/>
      <c r="J668" s="111"/>
      <c r="K668" s="112"/>
      <c r="L668" s="230"/>
      <c r="M668" s="31"/>
      <c r="N668" s="39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</row>
    <row r="669">
      <c r="A669" s="224"/>
      <c r="B669" s="229"/>
      <c r="C669" s="225"/>
      <c r="D669" s="226"/>
      <c r="E669" s="227"/>
      <c r="F669" s="228"/>
      <c r="G669" s="33"/>
      <c r="H669" s="143"/>
      <c r="I669" s="143"/>
      <c r="J669" s="111"/>
      <c r="K669" s="112"/>
      <c r="L669" s="230"/>
      <c r="M669" s="31"/>
      <c r="N669" s="39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</row>
    <row r="670">
      <c r="A670" s="224"/>
      <c r="B670" s="229"/>
      <c r="C670" s="225"/>
      <c r="D670" s="226"/>
      <c r="E670" s="227"/>
      <c r="F670" s="228"/>
      <c r="G670" s="33"/>
      <c r="H670" s="143"/>
      <c r="I670" s="143"/>
      <c r="J670" s="111"/>
      <c r="K670" s="112"/>
      <c r="L670" s="230"/>
      <c r="M670" s="31"/>
      <c r="N670" s="39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</row>
    <row r="671">
      <c r="A671" s="224"/>
      <c r="B671" s="229"/>
      <c r="C671" s="225"/>
      <c r="D671" s="226"/>
      <c r="E671" s="227"/>
      <c r="F671" s="228"/>
      <c r="G671" s="33"/>
      <c r="H671" s="143"/>
      <c r="I671" s="143"/>
      <c r="J671" s="111"/>
      <c r="K671" s="112"/>
      <c r="L671" s="230"/>
      <c r="M671" s="31"/>
      <c r="N671" s="39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</row>
    <row r="672">
      <c r="A672" s="224"/>
      <c r="B672" s="229"/>
      <c r="C672" s="225"/>
      <c r="D672" s="226"/>
      <c r="E672" s="227"/>
      <c r="F672" s="228"/>
      <c r="G672" s="33"/>
      <c r="H672" s="143"/>
      <c r="I672" s="143"/>
      <c r="J672" s="111"/>
      <c r="K672" s="112"/>
      <c r="L672" s="230"/>
      <c r="M672" s="31"/>
      <c r="N672" s="39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</row>
    <row r="673">
      <c r="A673" s="224"/>
      <c r="B673" s="229"/>
      <c r="C673" s="225"/>
      <c r="D673" s="226"/>
      <c r="E673" s="227"/>
      <c r="F673" s="228"/>
      <c r="G673" s="33"/>
      <c r="H673" s="143"/>
      <c r="I673" s="143"/>
      <c r="J673" s="111"/>
      <c r="K673" s="112"/>
      <c r="L673" s="230"/>
      <c r="M673" s="31"/>
      <c r="N673" s="39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</row>
    <row r="674">
      <c r="A674" s="224"/>
      <c r="B674" s="229"/>
      <c r="C674" s="225"/>
      <c r="D674" s="226"/>
      <c r="E674" s="227"/>
      <c r="F674" s="228"/>
      <c r="G674" s="33"/>
      <c r="H674" s="143"/>
      <c r="I674" s="143"/>
      <c r="J674" s="111"/>
      <c r="K674" s="112"/>
      <c r="L674" s="230"/>
      <c r="M674" s="31"/>
      <c r="N674" s="39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</row>
    <row r="675">
      <c r="A675" s="224"/>
      <c r="B675" s="229"/>
      <c r="C675" s="225"/>
      <c r="D675" s="226"/>
      <c r="E675" s="227"/>
      <c r="F675" s="228"/>
      <c r="G675" s="33"/>
      <c r="H675" s="143"/>
      <c r="I675" s="143"/>
      <c r="J675" s="111"/>
      <c r="K675" s="112"/>
      <c r="L675" s="230"/>
      <c r="M675" s="31"/>
      <c r="N675" s="39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</row>
    <row r="676">
      <c r="A676" s="224"/>
      <c r="B676" s="229"/>
      <c r="C676" s="225"/>
      <c r="D676" s="226"/>
      <c r="E676" s="227"/>
      <c r="F676" s="228"/>
      <c r="G676" s="33"/>
      <c r="H676" s="143"/>
      <c r="I676" s="143"/>
      <c r="J676" s="111"/>
      <c r="K676" s="112"/>
      <c r="L676" s="230"/>
      <c r="M676" s="31"/>
      <c r="N676" s="39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</row>
    <row r="677">
      <c r="A677" s="224"/>
      <c r="B677" s="229"/>
      <c r="C677" s="225"/>
      <c r="D677" s="226"/>
      <c r="E677" s="227"/>
      <c r="F677" s="228"/>
      <c r="G677" s="33"/>
      <c r="H677" s="143"/>
      <c r="I677" s="143"/>
      <c r="J677" s="111"/>
      <c r="K677" s="112"/>
      <c r="L677" s="230"/>
      <c r="M677" s="31"/>
      <c r="N677" s="39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</row>
    <row r="678">
      <c r="A678" s="224"/>
      <c r="B678" s="229"/>
      <c r="C678" s="225"/>
      <c r="D678" s="226"/>
      <c r="E678" s="227"/>
      <c r="F678" s="228"/>
      <c r="G678" s="33"/>
      <c r="H678" s="143"/>
      <c r="I678" s="143"/>
      <c r="J678" s="111"/>
      <c r="K678" s="112"/>
      <c r="L678" s="230"/>
      <c r="M678" s="31"/>
      <c r="N678" s="39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</row>
    <row r="679">
      <c r="A679" s="224"/>
      <c r="B679" s="229"/>
      <c r="C679" s="225"/>
      <c r="D679" s="226"/>
      <c r="E679" s="227"/>
      <c r="F679" s="228"/>
      <c r="G679" s="33"/>
      <c r="H679" s="143"/>
      <c r="I679" s="143"/>
      <c r="J679" s="111"/>
      <c r="K679" s="112"/>
      <c r="L679" s="230"/>
      <c r="M679" s="31"/>
      <c r="N679" s="39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</row>
    <row r="680">
      <c r="A680" s="224"/>
      <c r="B680" s="229"/>
      <c r="C680" s="225"/>
      <c r="D680" s="226"/>
      <c r="E680" s="227"/>
      <c r="F680" s="228"/>
      <c r="G680" s="33"/>
      <c r="H680" s="143"/>
      <c r="I680" s="143"/>
      <c r="J680" s="111"/>
      <c r="K680" s="112"/>
      <c r="L680" s="230"/>
      <c r="M680" s="31"/>
      <c r="N680" s="39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</row>
    <row r="681">
      <c r="A681" s="224"/>
      <c r="B681" s="229"/>
      <c r="C681" s="225"/>
      <c r="D681" s="226"/>
      <c r="E681" s="227"/>
      <c r="F681" s="228"/>
      <c r="G681" s="33"/>
      <c r="H681" s="143"/>
      <c r="I681" s="143"/>
      <c r="J681" s="111"/>
      <c r="K681" s="112"/>
      <c r="L681" s="230"/>
      <c r="M681" s="31"/>
      <c r="N681" s="39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</row>
    <row r="682">
      <c r="A682" s="224"/>
      <c r="B682" s="229"/>
      <c r="C682" s="225"/>
      <c r="D682" s="226"/>
      <c r="E682" s="227"/>
      <c r="F682" s="228"/>
      <c r="G682" s="33"/>
      <c r="H682" s="143"/>
      <c r="I682" s="143"/>
      <c r="J682" s="111"/>
      <c r="K682" s="112"/>
      <c r="L682" s="230"/>
      <c r="M682" s="31"/>
      <c r="N682" s="39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</row>
    <row r="683">
      <c r="A683" s="224"/>
      <c r="B683" s="229"/>
      <c r="C683" s="225"/>
      <c r="D683" s="226"/>
      <c r="E683" s="227"/>
      <c r="F683" s="228"/>
      <c r="G683" s="33"/>
      <c r="H683" s="143"/>
      <c r="I683" s="143"/>
      <c r="J683" s="111"/>
      <c r="K683" s="112"/>
      <c r="L683" s="230"/>
      <c r="M683" s="31"/>
      <c r="N683" s="39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</row>
    <row r="684">
      <c r="A684" s="224"/>
      <c r="B684" s="229"/>
      <c r="C684" s="225"/>
      <c r="D684" s="226"/>
      <c r="E684" s="227"/>
      <c r="F684" s="228"/>
      <c r="G684" s="33"/>
      <c r="H684" s="143"/>
      <c r="I684" s="143"/>
      <c r="J684" s="111"/>
      <c r="K684" s="112"/>
      <c r="L684" s="230"/>
      <c r="M684" s="31"/>
      <c r="N684" s="39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</row>
    <row r="685">
      <c r="A685" s="224"/>
      <c r="B685" s="229"/>
      <c r="C685" s="225"/>
      <c r="D685" s="226"/>
      <c r="E685" s="227"/>
      <c r="F685" s="228"/>
      <c r="G685" s="33"/>
      <c r="H685" s="143"/>
      <c r="I685" s="143"/>
      <c r="J685" s="111"/>
      <c r="K685" s="112"/>
      <c r="L685" s="230"/>
      <c r="M685" s="31"/>
      <c r="N685" s="39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</row>
    <row r="686">
      <c r="A686" s="224"/>
      <c r="B686" s="229"/>
      <c r="C686" s="225"/>
      <c r="D686" s="226"/>
      <c r="E686" s="227"/>
      <c r="F686" s="228"/>
      <c r="G686" s="33"/>
      <c r="H686" s="143"/>
      <c r="I686" s="143"/>
      <c r="J686" s="111"/>
      <c r="K686" s="112"/>
      <c r="L686" s="230"/>
      <c r="M686" s="31"/>
      <c r="N686" s="39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</row>
    <row r="687">
      <c r="A687" s="224"/>
      <c r="B687" s="229"/>
      <c r="C687" s="225"/>
      <c r="D687" s="226"/>
      <c r="E687" s="227"/>
      <c r="F687" s="228"/>
      <c r="G687" s="33"/>
      <c r="H687" s="143"/>
      <c r="I687" s="143"/>
      <c r="J687" s="111"/>
      <c r="K687" s="112"/>
      <c r="L687" s="230"/>
      <c r="M687" s="31"/>
      <c r="N687" s="39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</row>
    <row r="688">
      <c r="A688" s="224"/>
      <c r="B688" s="229"/>
      <c r="C688" s="225"/>
      <c r="D688" s="226"/>
      <c r="E688" s="227"/>
      <c r="F688" s="228"/>
      <c r="G688" s="33"/>
      <c r="H688" s="143"/>
      <c r="I688" s="143"/>
      <c r="J688" s="111"/>
      <c r="K688" s="112"/>
      <c r="L688" s="230"/>
      <c r="M688" s="31"/>
      <c r="N688" s="39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</row>
    <row r="689">
      <c r="A689" s="224"/>
      <c r="B689" s="229"/>
      <c r="C689" s="225"/>
      <c r="D689" s="226"/>
      <c r="E689" s="227"/>
      <c r="F689" s="228"/>
      <c r="G689" s="33"/>
      <c r="H689" s="143"/>
      <c r="I689" s="143"/>
      <c r="J689" s="111"/>
      <c r="K689" s="112"/>
      <c r="L689" s="230"/>
      <c r="M689" s="31"/>
      <c r="N689" s="39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</row>
    <row r="690">
      <c r="A690" s="224"/>
      <c r="B690" s="229"/>
      <c r="C690" s="225"/>
      <c r="D690" s="226"/>
      <c r="E690" s="227"/>
      <c r="F690" s="228"/>
      <c r="G690" s="33"/>
      <c r="H690" s="143"/>
      <c r="I690" s="143"/>
      <c r="J690" s="111"/>
      <c r="K690" s="112"/>
      <c r="L690" s="230"/>
      <c r="M690" s="31"/>
      <c r="N690" s="39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</row>
    <row r="691">
      <c r="A691" s="224"/>
      <c r="B691" s="229"/>
      <c r="C691" s="225"/>
      <c r="D691" s="226"/>
      <c r="E691" s="227"/>
      <c r="F691" s="228"/>
      <c r="G691" s="33"/>
      <c r="H691" s="143"/>
      <c r="I691" s="143"/>
      <c r="J691" s="111"/>
      <c r="K691" s="112"/>
      <c r="L691" s="230"/>
      <c r="M691" s="31"/>
      <c r="N691" s="39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</row>
    <row r="692">
      <c r="A692" s="224"/>
      <c r="B692" s="229"/>
      <c r="C692" s="225"/>
      <c r="D692" s="226"/>
      <c r="E692" s="227"/>
      <c r="F692" s="228"/>
      <c r="G692" s="33"/>
      <c r="H692" s="143"/>
      <c r="I692" s="143"/>
      <c r="J692" s="111"/>
      <c r="K692" s="112"/>
      <c r="L692" s="230"/>
      <c r="M692" s="31"/>
      <c r="N692" s="39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</row>
    <row r="693">
      <c r="A693" s="224"/>
      <c r="B693" s="229"/>
      <c r="C693" s="225"/>
      <c r="D693" s="226"/>
      <c r="E693" s="227"/>
      <c r="F693" s="228"/>
      <c r="G693" s="33"/>
      <c r="H693" s="143"/>
      <c r="I693" s="143"/>
      <c r="J693" s="111"/>
      <c r="K693" s="112"/>
      <c r="L693" s="230"/>
      <c r="M693" s="31"/>
      <c r="N693" s="39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</row>
    <row r="694">
      <c r="A694" s="224"/>
      <c r="B694" s="229"/>
      <c r="C694" s="225"/>
      <c r="D694" s="226"/>
      <c r="E694" s="227"/>
      <c r="F694" s="228"/>
      <c r="G694" s="33"/>
      <c r="H694" s="143"/>
      <c r="I694" s="143"/>
      <c r="J694" s="111"/>
      <c r="K694" s="112"/>
      <c r="L694" s="230"/>
      <c r="M694" s="31"/>
      <c r="N694" s="39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</row>
    <row r="695">
      <c r="A695" s="224"/>
      <c r="B695" s="229"/>
      <c r="C695" s="225"/>
      <c r="D695" s="226"/>
      <c r="E695" s="227"/>
      <c r="F695" s="228"/>
      <c r="G695" s="33"/>
      <c r="H695" s="143"/>
      <c r="I695" s="143"/>
      <c r="J695" s="111"/>
      <c r="K695" s="112"/>
      <c r="L695" s="230"/>
      <c r="M695" s="31"/>
      <c r="N695" s="39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</row>
    <row r="696">
      <c r="A696" s="224"/>
      <c r="B696" s="229"/>
      <c r="C696" s="225"/>
      <c r="D696" s="226"/>
      <c r="E696" s="227"/>
      <c r="F696" s="228"/>
      <c r="G696" s="33"/>
      <c r="H696" s="143"/>
      <c r="I696" s="143"/>
      <c r="J696" s="111"/>
      <c r="K696" s="112"/>
      <c r="L696" s="230"/>
      <c r="M696" s="31"/>
      <c r="N696" s="39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</row>
    <row r="697">
      <c r="A697" s="224"/>
      <c r="B697" s="229"/>
      <c r="C697" s="225"/>
      <c r="D697" s="226"/>
      <c r="E697" s="227"/>
      <c r="F697" s="228"/>
      <c r="G697" s="33"/>
      <c r="H697" s="143"/>
      <c r="I697" s="143"/>
      <c r="J697" s="111"/>
      <c r="K697" s="112"/>
      <c r="L697" s="230"/>
      <c r="M697" s="31"/>
      <c r="N697" s="39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</row>
    <row r="698">
      <c r="A698" s="224"/>
      <c r="B698" s="229"/>
      <c r="C698" s="225"/>
      <c r="D698" s="226"/>
      <c r="E698" s="227"/>
      <c r="F698" s="228"/>
      <c r="G698" s="33"/>
      <c r="H698" s="143"/>
      <c r="I698" s="143"/>
      <c r="J698" s="111"/>
      <c r="K698" s="112"/>
      <c r="L698" s="230"/>
      <c r="M698" s="31"/>
      <c r="N698" s="39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</row>
    <row r="699">
      <c r="A699" s="224"/>
      <c r="B699" s="229"/>
      <c r="C699" s="225"/>
      <c r="D699" s="226"/>
      <c r="E699" s="227"/>
      <c r="F699" s="228"/>
      <c r="G699" s="33"/>
      <c r="H699" s="143"/>
      <c r="I699" s="143"/>
      <c r="J699" s="111"/>
      <c r="K699" s="112"/>
      <c r="L699" s="230"/>
      <c r="M699" s="31"/>
      <c r="N699" s="39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</row>
    <row r="700">
      <c r="A700" s="224"/>
      <c r="B700" s="229"/>
      <c r="C700" s="225"/>
      <c r="D700" s="226"/>
      <c r="E700" s="227"/>
      <c r="F700" s="228"/>
      <c r="G700" s="33"/>
      <c r="H700" s="143"/>
      <c r="I700" s="143"/>
      <c r="J700" s="111"/>
      <c r="K700" s="112"/>
      <c r="L700" s="230"/>
      <c r="M700" s="31"/>
      <c r="N700" s="39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</row>
    <row r="701">
      <c r="A701" s="224"/>
      <c r="B701" s="229"/>
      <c r="C701" s="225"/>
      <c r="D701" s="226"/>
      <c r="E701" s="227"/>
      <c r="F701" s="228"/>
      <c r="G701" s="33"/>
      <c r="H701" s="143"/>
      <c r="I701" s="143"/>
      <c r="J701" s="111"/>
      <c r="K701" s="112"/>
      <c r="L701" s="230"/>
      <c r="M701" s="31"/>
      <c r="N701" s="39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</row>
    <row r="702">
      <c r="A702" s="224"/>
      <c r="B702" s="229"/>
      <c r="C702" s="225"/>
      <c r="D702" s="226"/>
      <c r="E702" s="227"/>
      <c r="F702" s="228"/>
      <c r="G702" s="33"/>
      <c r="H702" s="143"/>
      <c r="I702" s="143"/>
      <c r="J702" s="111"/>
      <c r="K702" s="112"/>
      <c r="L702" s="230"/>
      <c r="M702" s="31"/>
      <c r="N702" s="39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</row>
    <row r="703">
      <c r="A703" s="224"/>
      <c r="B703" s="229"/>
      <c r="C703" s="225"/>
      <c r="D703" s="226"/>
      <c r="E703" s="227"/>
      <c r="F703" s="228"/>
      <c r="G703" s="33"/>
      <c r="H703" s="143"/>
      <c r="I703" s="143"/>
      <c r="J703" s="111"/>
      <c r="K703" s="112"/>
      <c r="L703" s="230"/>
      <c r="M703" s="31"/>
      <c r="N703" s="39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</row>
    <row r="704">
      <c r="A704" s="224"/>
      <c r="B704" s="229"/>
      <c r="C704" s="225"/>
      <c r="D704" s="226"/>
      <c r="E704" s="227"/>
      <c r="F704" s="228"/>
      <c r="G704" s="33"/>
      <c r="H704" s="143"/>
      <c r="I704" s="143"/>
      <c r="J704" s="111"/>
      <c r="K704" s="112"/>
      <c r="L704" s="230"/>
      <c r="M704" s="31"/>
      <c r="N704" s="39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</row>
    <row r="705">
      <c r="A705" s="224"/>
      <c r="B705" s="229"/>
      <c r="C705" s="225"/>
      <c r="D705" s="226"/>
      <c r="E705" s="227"/>
      <c r="F705" s="228"/>
      <c r="G705" s="33"/>
      <c r="H705" s="143"/>
      <c r="I705" s="143"/>
      <c r="J705" s="111"/>
      <c r="K705" s="112"/>
      <c r="L705" s="230"/>
      <c r="M705" s="31"/>
      <c r="N705" s="39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</row>
    <row r="706">
      <c r="A706" s="224"/>
      <c r="B706" s="229"/>
      <c r="C706" s="225"/>
      <c r="D706" s="226"/>
      <c r="E706" s="227"/>
      <c r="F706" s="228"/>
      <c r="G706" s="33"/>
      <c r="H706" s="143"/>
      <c r="I706" s="143"/>
      <c r="J706" s="111"/>
      <c r="K706" s="112"/>
      <c r="L706" s="230"/>
      <c r="M706" s="31"/>
      <c r="N706" s="39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</row>
    <row r="707">
      <c r="A707" s="224"/>
      <c r="B707" s="229"/>
      <c r="C707" s="225"/>
      <c r="D707" s="226"/>
      <c r="E707" s="227"/>
      <c r="F707" s="228"/>
      <c r="G707" s="33"/>
      <c r="H707" s="143"/>
      <c r="I707" s="143"/>
      <c r="J707" s="111"/>
      <c r="K707" s="112"/>
      <c r="L707" s="230"/>
      <c r="M707" s="31"/>
      <c r="N707" s="39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</row>
    <row r="708">
      <c r="A708" s="224"/>
      <c r="B708" s="229"/>
      <c r="C708" s="225"/>
      <c r="D708" s="226"/>
      <c r="E708" s="227"/>
      <c r="F708" s="228"/>
      <c r="G708" s="33"/>
      <c r="H708" s="143"/>
      <c r="I708" s="143"/>
      <c r="J708" s="111"/>
      <c r="K708" s="112"/>
      <c r="L708" s="230"/>
      <c r="M708" s="31"/>
      <c r="N708" s="39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</row>
    <row r="709">
      <c r="A709" s="224"/>
      <c r="B709" s="229"/>
      <c r="C709" s="225"/>
      <c r="D709" s="226"/>
      <c r="E709" s="227"/>
      <c r="F709" s="228"/>
      <c r="G709" s="33"/>
      <c r="H709" s="143"/>
      <c r="I709" s="143"/>
      <c r="J709" s="111"/>
      <c r="K709" s="112"/>
      <c r="L709" s="230"/>
      <c r="M709" s="31"/>
      <c r="N709" s="39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</row>
    <row r="710">
      <c r="A710" s="224"/>
      <c r="B710" s="229"/>
      <c r="C710" s="225"/>
      <c r="D710" s="226"/>
      <c r="E710" s="227"/>
      <c r="F710" s="228"/>
      <c r="G710" s="33"/>
      <c r="H710" s="143"/>
      <c r="I710" s="143"/>
      <c r="J710" s="111"/>
      <c r="K710" s="112"/>
      <c r="L710" s="230"/>
      <c r="M710" s="31"/>
      <c r="N710" s="39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</row>
    <row r="711">
      <c r="A711" s="224"/>
      <c r="B711" s="229"/>
      <c r="C711" s="225"/>
      <c r="D711" s="226"/>
      <c r="E711" s="227"/>
      <c r="F711" s="228"/>
      <c r="G711" s="33"/>
      <c r="H711" s="143"/>
      <c r="I711" s="143"/>
      <c r="J711" s="111"/>
      <c r="K711" s="112"/>
      <c r="L711" s="230"/>
      <c r="M711" s="31"/>
      <c r="N711" s="39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</row>
    <row r="712">
      <c r="A712" s="224"/>
      <c r="B712" s="229"/>
      <c r="C712" s="225"/>
      <c r="D712" s="226"/>
      <c r="E712" s="227"/>
      <c r="F712" s="228"/>
      <c r="G712" s="33"/>
      <c r="H712" s="143"/>
      <c r="I712" s="143"/>
      <c r="J712" s="111"/>
      <c r="K712" s="112"/>
      <c r="L712" s="230"/>
      <c r="M712" s="31"/>
      <c r="N712" s="39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</row>
    <row r="713">
      <c r="A713" s="224"/>
      <c r="B713" s="229"/>
      <c r="C713" s="225"/>
      <c r="D713" s="226"/>
      <c r="E713" s="227"/>
      <c r="F713" s="228"/>
      <c r="G713" s="33"/>
      <c r="H713" s="143"/>
      <c r="I713" s="143"/>
      <c r="J713" s="111"/>
      <c r="K713" s="112"/>
      <c r="L713" s="230"/>
      <c r="M713" s="31"/>
      <c r="N713" s="39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</row>
    <row r="714">
      <c r="A714" s="224"/>
      <c r="B714" s="229"/>
      <c r="C714" s="225"/>
      <c r="D714" s="226"/>
      <c r="E714" s="227"/>
      <c r="F714" s="228"/>
      <c r="G714" s="33"/>
      <c r="H714" s="143"/>
      <c r="I714" s="143"/>
      <c r="J714" s="111"/>
      <c r="K714" s="112"/>
      <c r="L714" s="230"/>
      <c r="M714" s="31"/>
      <c r="N714" s="39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</row>
    <row r="715">
      <c r="A715" s="224"/>
      <c r="B715" s="229"/>
      <c r="C715" s="225"/>
      <c r="D715" s="226"/>
      <c r="E715" s="227"/>
      <c r="F715" s="228"/>
      <c r="G715" s="33"/>
      <c r="H715" s="143"/>
      <c r="I715" s="143"/>
      <c r="J715" s="111"/>
      <c r="K715" s="112"/>
      <c r="L715" s="230"/>
      <c r="M715" s="31"/>
      <c r="N715" s="39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</row>
    <row r="716">
      <c r="A716" s="224"/>
      <c r="B716" s="229"/>
      <c r="C716" s="225"/>
      <c r="D716" s="226"/>
      <c r="E716" s="227"/>
      <c r="F716" s="228"/>
      <c r="G716" s="33"/>
      <c r="H716" s="143"/>
      <c r="I716" s="143"/>
      <c r="J716" s="111"/>
      <c r="K716" s="112"/>
      <c r="L716" s="230"/>
      <c r="M716" s="31"/>
      <c r="N716" s="39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</row>
    <row r="717">
      <c r="A717" s="224"/>
      <c r="B717" s="229"/>
      <c r="C717" s="225"/>
      <c r="D717" s="226"/>
      <c r="E717" s="227"/>
      <c r="F717" s="228"/>
      <c r="G717" s="33"/>
      <c r="H717" s="143"/>
      <c r="I717" s="143"/>
      <c r="J717" s="111"/>
      <c r="K717" s="112"/>
      <c r="L717" s="230"/>
      <c r="M717" s="31"/>
      <c r="N717" s="39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</row>
    <row r="718">
      <c r="A718" s="224"/>
      <c r="B718" s="229"/>
      <c r="C718" s="225"/>
      <c r="D718" s="226"/>
      <c r="E718" s="227"/>
      <c r="F718" s="228"/>
      <c r="G718" s="33"/>
      <c r="H718" s="143"/>
      <c r="I718" s="143"/>
      <c r="J718" s="111"/>
      <c r="K718" s="112"/>
      <c r="L718" s="230"/>
      <c r="M718" s="31"/>
      <c r="N718" s="39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</row>
    <row r="719">
      <c r="A719" s="224"/>
      <c r="B719" s="229"/>
      <c r="C719" s="225"/>
      <c r="D719" s="226"/>
      <c r="E719" s="227"/>
      <c r="F719" s="228"/>
      <c r="G719" s="33"/>
      <c r="H719" s="143"/>
      <c r="I719" s="143"/>
      <c r="J719" s="111"/>
      <c r="K719" s="112"/>
      <c r="L719" s="230"/>
      <c r="M719" s="31"/>
      <c r="N719" s="39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</row>
    <row r="720">
      <c r="A720" s="224"/>
      <c r="B720" s="229"/>
      <c r="C720" s="225"/>
      <c r="D720" s="226"/>
      <c r="E720" s="227"/>
      <c r="F720" s="228"/>
      <c r="G720" s="33"/>
      <c r="H720" s="143"/>
      <c r="I720" s="143"/>
      <c r="J720" s="111"/>
      <c r="K720" s="112"/>
      <c r="L720" s="230"/>
      <c r="M720" s="31"/>
      <c r="N720" s="39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</row>
    <row r="721">
      <c r="A721" s="224"/>
      <c r="B721" s="229"/>
      <c r="C721" s="225"/>
      <c r="D721" s="226"/>
      <c r="E721" s="227"/>
      <c r="F721" s="228"/>
      <c r="G721" s="33"/>
      <c r="H721" s="143"/>
      <c r="I721" s="143"/>
      <c r="J721" s="111"/>
      <c r="K721" s="112"/>
      <c r="L721" s="230"/>
      <c r="M721" s="31"/>
      <c r="N721" s="39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</row>
    <row r="722">
      <c r="A722" s="224"/>
      <c r="B722" s="229"/>
      <c r="C722" s="225"/>
      <c r="D722" s="226"/>
      <c r="E722" s="227"/>
      <c r="F722" s="228"/>
      <c r="G722" s="33"/>
      <c r="H722" s="143"/>
      <c r="I722" s="143"/>
      <c r="J722" s="111"/>
      <c r="K722" s="112"/>
      <c r="L722" s="230"/>
      <c r="M722" s="31"/>
      <c r="N722" s="39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</row>
    <row r="723">
      <c r="A723" s="224"/>
      <c r="B723" s="229"/>
      <c r="C723" s="225"/>
      <c r="D723" s="226"/>
      <c r="E723" s="227"/>
      <c r="F723" s="228"/>
      <c r="G723" s="33"/>
      <c r="H723" s="143"/>
      <c r="I723" s="143"/>
      <c r="J723" s="111"/>
      <c r="K723" s="112"/>
      <c r="L723" s="230"/>
      <c r="M723" s="31"/>
      <c r="N723" s="39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</row>
    <row r="724">
      <c r="A724" s="224"/>
      <c r="B724" s="229"/>
      <c r="C724" s="225"/>
      <c r="D724" s="226"/>
      <c r="E724" s="227"/>
      <c r="F724" s="228"/>
      <c r="G724" s="33"/>
      <c r="H724" s="143"/>
      <c r="I724" s="143"/>
      <c r="J724" s="111"/>
      <c r="K724" s="112"/>
      <c r="L724" s="230"/>
      <c r="M724" s="31"/>
      <c r="N724" s="39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</row>
    <row r="725">
      <c r="A725" s="224"/>
      <c r="B725" s="229"/>
      <c r="C725" s="225"/>
      <c r="D725" s="226"/>
      <c r="E725" s="227"/>
      <c r="F725" s="228"/>
      <c r="G725" s="33"/>
      <c r="H725" s="143"/>
      <c r="I725" s="143"/>
      <c r="J725" s="111"/>
      <c r="K725" s="112"/>
      <c r="L725" s="230"/>
      <c r="M725" s="31"/>
      <c r="N725" s="39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</row>
    <row r="726">
      <c r="A726" s="224"/>
      <c r="B726" s="229"/>
      <c r="C726" s="225"/>
      <c r="D726" s="226"/>
      <c r="E726" s="227"/>
      <c r="F726" s="228"/>
      <c r="G726" s="33"/>
      <c r="H726" s="143"/>
      <c r="I726" s="143"/>
      <c r="J726" s="111"/>
      <c r="K726" s="112"/>
      <c r="L726" s="230"/>
      <c r="M726" s="31"/>
      <c r="N726" s="39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</row>
    <row r="727">
      <c r="A727" s="224"/>
      <c r="B727" s="229"/>
      <c r="C727" s="225"/>
      <c r="D727" s="226"/>
      <c r="E727" s="227"/>
      <c r="F727" s="228"/>
      <c r="G727" s="33"/>
      <c r="H727" s="143"/>
      <c r="I727" s="143"/>
      <c r="J727" s="111"/>
      <c r="K727" s="112"/>
      <c r="L727" s="230"/>
      <c r="M727" s="31"/>
      <c r="N727" s="39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</row>
    <row r="728">
      <c r="A728" s="224"/>
      <c r="B728" s="229"/>
      <c r="C728" s="225"/>
      <c r="D728" s="226"/>
      <c r="E728" s="227"/>
      <c r="F728" s="228"/>
      <c r="G728" s="33"/>
      <c r="H728" s="143"/>
      <c r="I728" s="143"/>
      <c r="J728" s="111"/>
      <c r="K728" s="112"/>
      <c r="L728" s="230"/>
      <c r="M728" s="31"/>
      <c r="N728" s="39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</row>
    <row r="729">
      <c r="A729" s="224"/>
      <c r="B729" s="229"/>
      <c r="C729" s="225"/>
      <c r="D729" s="226"/>
      <c r="E729" s="227"/>
      <c r="F729" s="228"/>
      <c r="G729" s="33"/>
      <c r="H729" s="143"/>
      <c r="I729" s="143"/>
      <c r="J729" s="111"/>
      <c r="K729" s="112"/>
      <c r="L729" s="230"/>
      <c r="M729" s="31"/>
      <c r="N729" s="39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</row>
    <row r="730">
      <c r="A730" s="224"/>
      <c r="B730" s="229"/>
      <c r="C730" s="225"/>
      <c r="D730" s="226"/>
      <c r="E730" s="227"/>
      <c r="F730" s="228"/>
      <c r="G730" s="33"/>
      <c r="H730" s="143"/>
      <c r="I730" s="143"/>
      <c r="J730" s="111"/>
      <c r="K730" s="112"/>
      <c r="L730" s="230"/>
      <c r="M730" s="31"/>
      <c r="N730" s="39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</row>
    <row r="731">
      <c r="A731" s="224"/>
      <c r="B731" s="229"/>
      <c r="C731" s="225"/>
      <c r="D731" s="226"/>
      <c r="E731" s="227"/>
      <c r="F731" s="228"/>
      <c r="G731" s="33"/>
      <c r="H731" s="143"/>
      <c r="I731" s="143"/>
      <c r="J731" s="111"/>
      <c r="K731" s="112"/>
      <c r="L731" s="230"/>
      <c r="M731" s="31"/>
      <c r="N731" s="39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</row>
    <row r="732">
      <c r="A732" s="224"/>
      <c r="B732" s="229"/>
      <c r="C732" s="225"/>
      <c r="D732" s="226"/>
      <c r="E732" s="227"/>
      <c r="F732" s="228"/>
      <c r="G732" s="33"/>
      <c r="H732" s="143"/>
      <c r="I732" s="143"/>
      <c r="J732" s="111"/>
      <c r="K732" s="112"/>
      <c r="L732" s="230"/>
      <c r="M732" s="31"/>
      <c r="N732" s="39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</row>
    <row r="733">
      <c r="A733" s="224"/>
      <c r="B733" s="229"/>
      <c r="C733" s="225"/>
      <c r="D733" s="226"/>
      <c r="E733" s="227"/>
      <c r="F733" s="228"/>
      <c r="G733" s="33"/>
      <c r="H733" s="143"/>
      <c r="I733" s="143"/>
      <c r="J733" s="111"/>
      <c r="K733" s="112"/>
      <c r="L733" s="230"/>
      <c r="M733" s="31"/>
      <c r="N733" s="39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</row>
    <row r="734">
      <c r="A734" s="224"/>
      <c r="B734" s="229"/>
      <c r="C734" s="225"/>
      <c r="D734" s="226"/>
      <c r="E734" s="227"/>
      <c r="F734" s="228"/>
      <c r="G734" s="33"/>
      <c r="H734" s="143"/>
      <c r="I734" s="143"/>
      <c r="J734" s="111"/>
      <c r="K734" s="112"/>
      <c r="L734" s="230"/>
      <c r="M734" s="31"/>
      <c r="N734" s="39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</row>
    <row r="735">
      <c r="A735" s="224"/>
      <c r="B735" s="229"/>
      <c r="C735" s="225"/>
      <c r="D735" s="226"/>
      <c r="E735" s="227"/>
      <c r="F735" s="228"/>
      <c r="G735" s="33"/>
      <c r="H735" s="143"/>
      <c r="I735" s="143"/>
      <c r="J735" s="111"/>
      <c r="K735" s="112"/>
      <c r="L735" s="230"/>
      <c r="M735" s="31"/>
      <c r="N735" s="39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</row>
    <row r="736">
      <c r="A736" s="224"/>
      <c r="B736" s="229"/>
      <c r="C736" s="225"/>
      <c r="D736" s="226"/>
      <c r="E736" s="227"/>
      <c r="F736" s="228"/>
      <c r="G736" s="33"/>
      <c r="H736" s="143"/>
      <c r="I736" s="143"/>
      <c r="J736" s="111"/>
      <c r="K736" s="112"/>
      <c r="L736" s="230"/>
      <c r="M736" s="31"/>
      <c r="N736" s="39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</row>
    <row r="737">
      <c r="A737" s="224"/>
      <c r="B737" s="229"/>
      <c r="C737" s="225"/>
      <c r="D737" s="226"/>
      <c r="E737" s="227"/>
      <c r="F737" s="228"/>
      <c r="G737" s="33"/>
      <c r="H737" s="143"/>
      <c r="I737" s="143"/>
      <c r="J737" s="111"/>
      <c r="K737" s="112"/>
      <c r="L737" s="230"/>
      <c r="M737" s="31"/>
      <c r="N737" s="39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</row>
    <row r="738">
      <c r="A738" s="224"/>
      <c r="B738" s="229"/>
      <c r="C738" s="225"/>
      <c r="D738" s="226"/>
      <c r="E738" s="227"/>
      <c r="F738" s="228"/>
      <c r="G738" s="33"/>
      <c r="H738" s="143"/>
      <c r="I738" s="143"/>
      <c r="J738" s="111"/>
      <c r="K738" s="112"/>
      <c r="L738" s="230"/>
      <c r="M738" s="31"/>
      <c r="N738" s="39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</row>
    <row r="739">
      <c r="A739" s="224"/>
      <c r="B739" s="229"/>
      <c r="C739" s="225"/>
      <c r="D739" s="226"/>
      <c r="E739" s="227"/>
      <c r="F739" s="228"/>
      <c r="G739" s="33"/>
      <c r="H739" s="143"/>
      <c r="I739" s="143"/>
      <c r="J739" s="111"/>
      <c r="K739" s="112"/>
      <c r="L739" s="230"/>
      <c r="M739" s="31"/>
      <c r="N739" s="39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</row>
    <row r="740">
      <c r="A740" s="224"/>
      <c r="B740" s="229"/>
      <c r="C740" s="225"/>
      <c r="D740" s="226"/>
      <c r="E740" s="227"/>
      <c r="F740" s="228"/>
      <c r="G740" s="33"/>
      <c r="H740" s="143"/>
      <c r="I740" s="143"/>
      <c r="J740" s="111"/>
      <c r="K740" s="112"/>
      <c r="L740" s="230"/>
      <c r="M740" s="31"/>
      <c r="N740" s="39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</row>
    <row r="741">
      <c r="A741" s="224"/>
      <c r="B741" s="229"/>
      <c r="C741" s="225"/>
      <c r="D741" s="226"/>
      <c r="E741" s="227"/>
      <c r="F741" s="228"/>
      <c r="G741" s="33"/>
      <c r="H741" s="143"/>
      <c r="I741" s="143"/>
      <c r="J741" s="111"/>
      <c r="K741" s="112"/>
      <c r="L741" s="230"/>
      <c r="M741" s="31"/>
      <c r="N741" s="39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</row>
    <row r="742">
      <c r="A742" s="224"/>
      <c r="B742" s="229"/>
      <c r="C742" s="225"/>
      <c r="D742" s="226"/>
      <c r="E742" s="227"/>
      <c r="F742" s="228"/>
      <c r="G742" s="33"/>
      <c r="H742" s="143"/>
      <c r="I742" s="143"/>
      <c r="J742" s="111"/>
      <c r="K742" s="112"/>
      <c r="L742" s="230"/>
      <c r="M742" s="31"/>
      <c r="N742" s="39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</row>
    <row r="743">
      <c r="A743" s="224"/>
      <c r="B743" s="229"/>
      <c r="C743" s="225"/>
      <c r="D743" s="226"/>
      <c r="E743" s="227"/>
      <c r="F743" s="228"/>
      <c r="G743" s="33"/>
      <c r="H743" s="143"/>
      <c r="I743" s="143"/>
      <c r="J743" s="111"/>
      <c r="K743" s="112"/>
      <c r="L743" s="230"/>
      <c r="M743" s="31"/>
      <c r="N743" s="39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</row>
    <row r="744">
      <c r="A744" s="224"/>
      <c r="B744" s="229"/>
      <c r="C744" s="225"/>
      <c r="D744" s="226"/>
      <c r="E744" s="227"/>
      <c r="F744" s="228"/>
      <c r="G744" s="33"/>
      <c r="H744" s="143"/>
      <c r="I744" s="143"/>
      <c r="J744" s="111"/>
      <c r="K744" s="112"/>
      <c r="L744" s="230"/>
      <c r="M744" s="31"/>
      <c r="N744" s="39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</row>
    <row r="745">
      <c r="A745" s="224"/>
      <c r="B745" s="229"/>
      <c r="C745" s="225"/>
      <c r="D745" s="226"/>
      <c r="E745" s="227"/>
      <c r="F745" s="228"/>
      <c r="G745" s="33"/>
      <c r="H745" s="143"/>
      <c r="I745" s="143"/>
      <c r="J745" s="111"/>
      <c r="K745" s="112"/>
      <c r="L745" s="230"/>
      <c r="M745" s="31"/>
      <c r="N745" s="39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</row>
    <row r="746">
      <c r="A746" s="224"/>
      <c r="B746" s="229"/>
      <c r="C746" s="225"/>
      <c r="D746" s="226"/>
      <c r="E746" s="227"/>
      <c r="F746" s="228"/>
      <c r="G746" s="33"/>
      <c r="H746" s="143"/>
      <c r="I746" s="143"/>
      <c r="J746" s="111"/>
      <c r="K746" s="112"/>
      <c r="L746" s="230"/>
      <c r="M746" s="31"/>
      <c r="N746" s="39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</row>
    <row r="747">
      <c r="A747" s="224"/>
      <c r="B747" s="229"/>
      <c r="C747" s="225"/>
      <c r="D747" s="226"/>
      <c r="E747" s="227"/>
      <c r="F747" s="228"/>
      <c r="G747" s="33"/>
      <c r="H747" s="143"/>
      <c r="I747" s="143"/>
      <c r="J747" s="111"/>
      <c r="K747" s="112"/>
      <c r="L747" s="230"/>
      <c r="M747" s="31"/>
      <c r="N747" s="39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</row>
    <row r="748">
      <c r="A748" s="224"/>
      <c r="B748" s="229"/>
      <c r="C748" s="225"/>
      <c r="D748" s="226"/>
      <c r="E748" s="227"/>
      <c r="F748" s="228"/>
      <c r="G748" s="33"/>
      <c r="H748" s="143"/>
      <c r="I748" s="143"/>
      <c r="J748" s="111"/>
      <c r="K748" s="112"/>
      <c r="L748" s="230"/>
      <c r="M748" s="31"/>
      <c r="N748" s="39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</row>
    <row r="749">
      <c r="A749" s="224"/>
      <c r="B749" s="229"/>
      <c r="C749" s="225"/>
      <c r="D749" s="226"/>
      <c r="E749" s="227"/>
      <c r="F749" s="228"/>
      <c r="G749" s="33"/>
      <c r="H749" s="143"/>
      <c r="I749" s="143"/>
      <c r="J749" s="111"/>
      <c r="K749" s="112"/>
      <c r="L749" s="230"/>
      <c r="M749" s="31"/>
      <c r="N749" s="39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</row>
    <row r="750">
      <c r="A750" s="224"/>
      <c r="B750" s="229"/>
      <c r="C750" s="225"/>
      <c r="D750" s="226"/>
      <c r="E750" s="227"/>
      <c r="F750" s="228"/>
      <c r="G750" s="33"/>
      <c r="H750" s="143"/>
      <c r="I750" s="143"/>
      <c r="J750" s="111"/>
      <c r="K750" s="112"/>
      <c r="L750" s="230"/>
      <c r="M750" s="31"/>
      <c r="N750" s="39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</row>
    <row r="751">
      <c r="A751" s="224"/>
      <c r="B751" s="229"/>
      <c r="C751" s="225"/>
      <c r="D751" s="226"/>
      <c r="E751" s="227"/>
      <c r="F751" s="228"/>
      <c r="G751" s="33"/>
      <c r="H751" s="143"/>
      <c r="I751" s="143"/>
      <c r="J751" s="111"/>
      <c r="K751" s="112"/>
      <c r="L751" s="230"/>
      <c r="M751" s="31"/>
      <c r="N751" s="39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</row>
    <row r="752">
      <c r="A752" s="224"/>
      <c r="B752" s="229"/>
      <c r="C752" s="225"/>
      <c r="D752" s="226"/>
      <c r="E752" s="227"/>
      <c r="F752" s="228"/>
      <c r="G752" s="33"/>
      <c r="H752" s="143"/>
      <c r="I752" s="143"/>
      <c r="J752" s="111"/>
      <c r="K752" s="112"/>
      <c r="L752" s="230"/>
      <c r="M752" s="31"/>
      <c r="N752" s="39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</row>
    <row r="753">
      <c r="A753" s="224"/>
      <c r="B753" s="229"/>
      <c r="C753" s="225"/>
      <c r="D753" s="226"/>
      <c r="E753" s="227"/>
      <c r="F753" s="228"/>
      <c r="G753" s="33"/>
      <c r="H753" s="143"/>
      <c r="I753" s="143"/>
      <c r="J753" s="111"/>
      <c r="K753" s="112"/>
      <c r="L753" s="230"/>
      <c r="M753" s="31"/>
      <c r="N753" s="39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</row>
    <row r="754">
      <c r="A754" s="224"/>
      <c r="B754" s="229"/>
      <c r="C754" s="225"/>
      <c r="D754" s="226"/>
      <c r="E754" s="227"/>
      <c r="F754" s="228"/>
      <c r="G754" s="33"/>
      <c r="H754" s="143"/>
      <c r="I754" s="143"/>
      <c r="J754" s="111"/>
      <c r="K754" s="112"/>
      <c r="L754" s="230"/>
      <c r="M754" s="31"/>
      <c r="N754" s="39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</row>
    <row r="755">
      <c r="A755" s="224"/>
      <c r="B755" s="229"/>
      <c r="C755" s="225"/>
      <c r="D755" s="226"/>
      <c r="E755" s="227"/>
      <c r="F755" s="228"/>
      <c r="G755" s="33"/>
      <c r="H755" s="143"/>
      <c r="I755" s="143"/>
      <c r="J755" s="111"/>
      <c r="K755" s="112"/>
      <c r="L755" s="230"/>
      <c r="M755" s="31"/>
      <c r="N755" s="39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</row>
    <row r="756">
      <c r="A756" s="224"/>
      <c r="B756" s="229"/>
      <c r="C756" s="225"/>
      <c r="D756" s="226"/>
      <c r="E756" s="227"/>
      <c r="F756" s="228"/>
      <c r="G756" s="33"/>
      <c r="H756" s="143"/>
      <c r="I756" s="143"/>
      <c r="J756" s="111"/>
      <c r="K756" s="112"/>
      <c r="L756" s="230"/>
      <c r="M756" s="31"/>
      <c r="N756" s="39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</row>
    <row r="757">
      <c r="A757" s="224"/>
      <c r="B757" s="229"/>
      <c r="C757" s="225"/>
      <c r="D757" s="226"/>
      <c r="E757" s="227"/>
      <c r="F757" s="228"/>
      <c r="G757" s="33"/>
      <c r="H757" s="143"/>
      <c r="I757" s="143"/>
      <c r="J757" s="111"/>
      <c r="K757" s="112"/>
      <c r="L757" s="230"/>
      <c r="M757" s="31"/>
      <c r="N757" s="39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</row>
    <row r="758">
      <c r="A758" s="224"/>
      <c r="B758" s="229"/>
      <c r="C758" s="225"/>
      <c r="D758" s="226"/>
      <c r="E758" s="227"/>
      <c r="F758" s="228"/>
      <c r="G758" s="33"/>
      <c r="H758" s="143"/>
      <c r="I758" s="143"/>
      <c r="J758" s="111"/>
      <c r="K758" s="112"/>
      <c r="L758" s="230"/>
      <c r="M758" s="31"/>
      <c r="N758" s="39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</row>
    <row r="759">
      <c r="A759" s="224"/>
      <c r="B759" s="229"/>
      <c r="C759" s="225"/>
      <c r="D759" s="226"/>
      <c r="E759" s="227"/>
      <c r="F759" s="228"/>
      <c r="G759" s="33"/>
      <c r="H759" s="143"/>
      <c r="I759" s="143"/>
      <c r="J759" s="111"/>
      <c r="K759" s="112"/>
      <c r="L759" s="230"/>
      <c r="M759" s="31"/>
      <c r="N759" s="39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</row>
    <row r="760">
      <c r="A760" s="224"/>
      <c r="B760" s="229"/>
      <c r="C760" s="225"/>
      <c r="D760" s="226"/>
      <c r="E760" s="227"/>
      <c r="F760" s="228"/>
      <c r="G760" s="33"/>
      <c r="H760" s="143"/>
      <c r="I760" s="143"/>
      <c r="J760" s="111"/>
      <c r="K760" s="112"/>
      <c r="L760" s="230"/>
      <c r="M760" s="31"/>
      <c r="N760" s="39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</row>
    <row r="761">
      <c r="A761" s="224"/>
      <c r="B761" s="229"/>
      <c r="C761" s="225"/>
      <c r="D761" s="226"/>
      <c r="E761" s="227"/>
      <c r="F761" s="228"/>
      <c r="G761" s="33"/>
      <c r="H761" s="143"/>
      <c r="I761" s="143"/>
      <c r="J761" s="111"/>
      <c r="K761" s="112"/>
      <c r="L761" s="230"/>
      <c r="M761" s="31"/>
      <c r="N761" s="39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</row>
    <row r="762">
      <c r="A762" s="224"/>
      <c r="B762" s="229"/>
      <c r="C762" s="225"/>
      <c r="D762" s="226"/>
      <c r="E762" s="227"/>
      <c r="F762" s="228"/>
      <c r="G762" s="33"/>
      <c r="H762" s="143"/>
      <c r="I762" s="143"/>
      <c r="J762" s="111"/>
      <c r="K762" s="112"/>
      <c r="L762" s="230"/>
      <c r="M762" s="31"/>
      <c r="N762" s="39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</row>
    <row r="763">
      <c r="A763" s="224"/>
      <c r="B763" s="229"/>
      <c r="C763" s="225"/>
      <c r="D763" s="226"/>
      <c r="E763" s="227"/>
      <c r="F763" s="228"/>
      <c r="G763" s="33"/>
      <c r="H763" s="143"/>
      <c r="I763" s="143"/>
      <c r="J763" s="111"/>
      <c r="K763" s="112"/>
      <c r="L763" s="230"/>
      <c r="M763" s="31"/>
      <c r="N763" s="39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</row>
    <row r="764">
      <c r="A764" s="224"/>
      <c r="B764" s="229"/>
      <c r="C764" s="225"/>
      <c r="D764" s="226"/>
      <c r="E764" s="227"/>
      <c r="F764" s="228"/>
      <c r="G764" s="33"/>
      <c r="H764" s="143"/>
      <c r="I764" s="143"/>
      <c r="J764" s="111"/>
      <c r="K764" s="112"/>
      <c r="L764" s="230"/>
      <c r="M764" s="31"/>
      <c r="N764" s="39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</row>
    <row r="765">
      <c r="A765" s="224"/>
      <c r="B765" s="229"/>
      <c r="C765" s="225"/>
      <c r="D765" s="226"/>
      <c r="E765" s="227"/>
      <c r="F765" s="228"/>
      <c r="G765" s="33"/>
      <c r="H765" s="143"/>
      <c r="I765" s="143"/>
      <c r="J765" s="111"/>
      <c r="K765" s="112"/>
      <c r="L765" s="230"/>
      <c r="M765" s="31"/>
      <c r="N765" s="39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</row>
    <row r="766">
      <c r="A766" s="224"/>
      <c r="B766" s="229"/>
      <c r="C766" s="225"/>
      <c r="D766" s="226"/>
      <c r="E766" s="227"/>
      <c r="F766" s="228"/>
      <c r="G766" s="33"/>
      <c r="H766" s="143"/>
      <c r="I766" s="143"/>
      <c r="J766" s="111"/>
      <c r="K766" s="112"/>
      <c r="L766" s="230"/>
      <c r="M766" s="31"/>
      <c r="N766" s="39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</row>
    <row r="767">
      <c r="A767" s="224"/>
      <c r="B767" s="229"/>
      <c r="C767" s="225"/>
      <c r="D767" s="226"/>
      <c r="E767" s="227"/>
      <c r="F767" s="228"/>
      <c r="G767" s="33"/>
      <c r="H767" s="143"/>
      <c r="I767" s="143"/>
      <c r="J767" s="111"/>
      <c r="K767" s="112"/>
      <c r="L767" s="230"/>
      <c r="M767" s="31"/>
      <c r="N767" s="39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</row>
    <row r="768">
      <c r="A768" s="224"/>
      <c r="B768" s="229"/>
      <c r="C768" s="225"/>
      <c r="D768" s="226"/>
      <c r="E768" s="227"/>
      <c r="F768" s="228"/>
      <c r="G768" s="33"/>
      <c r="H768" s="143"/>
      <c r="I768" s="143"/>
      <c r="J768" s="111"/>
      <c r="K768" s="112"/>
      <c r="L768" s="230"/>
      <c r="M768" s="31"/>
      <c r="N768" s="39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</row>
    <row r="769">
      <c r="A769" s="224"/>
      <c r="B769" s="229"/>
      <c r="C769" s="225"/>
      <c r="D769" s="226"/>
      <c r="E769" s="227"/>
      <c r="F769" s="228"/>
      <c r="G769" s="33"/>
      <c r="H769" s="143"/>
      <c r="I769" s="143"/>
      <c r="J769" s="111"/>
      <c r="K769" s="112"/>
      <c r="L769" s="230"/>
      <c r="M769" s="31"/>
      <c r="N769" s="39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</row>
    <row r="770">
      <c r="A770" s="224"/>
      <c r="B770" s="229"/>
      <c r="C770" s="225"/>
      <c r="D770" s="226"/>
      <c r="E770" s="227"/>
      <c r="F770" s="228"/>
      <c r="G770" s="33"/>
      <c r="H770" s="143"/>
      <c r="I770" s="143"/>
      <c r="J770" s="111"/>
      <c r="K770" s="112"/>
      <c r="L770" s="230"/>
      <c r="M770" s="31"/>
      <c r="N770" s="39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</row>
    <row r="771">
      <c r="A771" s="224"/>
      <c r="B771" s="229"/>
      <c r="C771" s="225"/>
      <c r="D771" s="226"/>
      <c r="E771" s="227"/>
      <c r="F771" s="228"/>
      <c r="G771" s="33"/>
      <c r="H771" s="143"/>
      <c r="I771" s="143"/>
      <c r="J771" s="111"/>
      <c r="K771" s="112"/>
      <c r="L771" s="230"/>
      <c r="M771" s="31"/>
      <c r="N771" s="39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</row>
    <row r="772">
      <c r="A772" s="224"/>
      <c r="B772" s="229"/>
      <c r="C772" s="225"/>
      <c r="D772" s="226"/>
      <c r="E772" s="227"/>
      <c r="F772" s="228"/>
      <c r="G772" s="33"/>
      <c r="H772" s="143"/>
      <c r="I772" s="143"/>
      <c r="J772" s="111"/>
      <c r="K772" s="112"/>
      <c r="L772" s="230"/>
      <c r="M772" s="31"/>
      <c r="N772" s="39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</row>
    <row r="773">
      <c r="A773" s="224"/>
      <c r="B773" s="229"/>
      <c r="C773" s="225"/>
      <c r="D773" s="226"/>
      <c r="E773" s="227"/>
      <c r="F773" s="228"/>
      <c r="G773" s="33"/>
      <c r="H773" s="143"/>
      <c r="I773" s="143"/>
      <c r="J773" s="111"/>
      <c r="K773" s="112"/>
      <c r="L773" s="230"/>
      <c r="M773" s="31"/>
      <c r="N773" s="39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</row>
    <row r="774">
      <c r="A774" s="224"/>
      <c r="B774" s="229"/>
      <c r="C774" s="225"/>
      <c r="D774" s="226"/>
      <c r="E774" s="227"/>
      <c r="F774" s="228"/>
      <c r="G774" s="33"/>
      <c r="H774" s="143"/>
      <c r="I774" s="143"/>
      <c r="J774" s="111"/>
      <c r="K774" s="112"/>
      <c r="L774" s="230"/>
      <c r="M774" s="31"/>
      <c r="N774" s="39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</row>
    <row r="775">
      <c r="A775" s="224"/>
      <c r="B775" s="229"/>
      <c r="C775" s="225"/>
      <c r="D775" s="226"/>
      <c r="E775" s="227"/>
      <c r="F775" s="228"/>
      <c r="G775" s="33"/>
      <c r="H775" s="143"/>
      <c r="I775" s="143"/>
      <c r="J775" s="111"/>
      <c r="K775" s="112"/>
      <c r="L775" s="230"/>
      <c r="M775" s="31"/>
      <c r="N775" s="39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</row>
    <row r="776">
      <c r="A776" s="224"/>
      <c r="B776" s="229"/>
      <c r="C776" s="225"/>
      <c r="D776" s="226"/>
      <c r="E776" s="227"/>
      <c r="F776" s="228"/>
      <c r="G776" s="33"/>
      <c r="H776" s="143"/>
      <c r="I776" s="143"/>
      <c r="J776" s="111"/>
      <c r="K776" s="112"/>
      <c r="L776" s="230"/>
      <c r="M776" s="31"/>
      <c r="N776" s="39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</row>
    <row r="777">
      <c r="A777" s="224"/>
      <c r="B777" s="229"/>
      <c r="C777" s="225"/>
      <c r="D777" s="226"/>
      <c r="E777" s="227"/>
      <c r="F777" s="228"/>
      <c r="G777" s="33"/>
      <c r="H777" s="143"/>
      <c r="I777" s="143"/>
      <c r="J777" s="111"/>
      <c r="K777" s="112"/>
      <c r="L777" s="230"/>
      <c r="M777" s="31"/>
      <c r="N777" s="39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</row>
    <row r="778">
      <c r="A778" s="224"/>
      <c r="B778" s="229"/>
      <c r="C778" s="225"/>
      <c r="D778" s="226"/>
      <c r="E778" s="227"/>
      <c r="F778" s="228"/>
      <c r="G778" s="33"/>
      <c r="H778" s="143"/>
      <c r="I778" s="143"/>
      <c r="J778" s="111"/>
      <c r="K778" s="112"/>
      <c r="L778" s="230"/>
      <c r="M778" s="31"/>
      <c r="N778" s="39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</row>
    <row r="779">
      <c r="A779" s="224"/>
      <c r="B779" s="229"/>
      <c r="C779" s="225"/>
      <c r="D779" s="226"/>
      <c r="E779" s="227"/>
      <c r="F779" s="228"/>
      <c r="G779" s="33"/>
      <c r="H779" s="143"/>
      <c r="I779" s="143"/>
      <c r="J779" s="111"/>
      <c r="K779" s="112"/>
      <c r="L779" s="230"/>
      <c r="M779" s="31"/>
      <c r="N779" s="39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</row>
    <row r="780">
      <c r="A780" s="224"/>
      <c r="B780" s="229"/>
      <c r="C780" s="225"/>
      <c r="D780" s="226"/>
      <c r="E780" s="227"/>
      <c r="F780" s="228"/>
      <c r="G780" s="33"/>
      <c r="H780" s="143"/>
      <c r="I780" s="143"/>
      <c r="J780" s="111"/>
      <c r="K780" s="112"/>
      <c r="L780" s="230"/>
      <c r="M780" s="31"/>
      <c r="N780" s="39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</row>
    <row r="781">
      <c r="A781" s="224"/>
      <c r="B781" s="229"/>
      <c r="C781" s="225"/>
      <c r="D781" s="226"/>
      <c r="E781" s="227"/>
      <c r="F781" s="228"/>
      <c r="G781" s="33"/>
      <c r="H781" s="143"/>
      <c r="I781" s="143"/>
      <c r="J781" s="111"/>
      <c r="K781" s="112"/>
      <c r="L781" s="230"/>
      <c r="M781" s="31"/>
      <c r="N781" s="39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</row>
    <row r="782">
      <c r="A782" s="224"/>
      <c r="B782" s="229"/>
      <c r="C782" s="225"/>
      <c r="D782" s="226"/>
      <c r="E782" s="227"/>
      <c r="F782" s="228"/>
      <c r="G782" s="33"/>
      <c r="H782" s="143"/>
      <c r="I782" s="143"/>
      <c r="J782" s="111"/>
      <c r="K782" s="112"/>
      <c r="L782" s="230"/>
      <c r="M782" s="31"/>
      <c r="N782" s="39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</row>
    <row r="783">
      <c r="A783" s="224"/>
      <c r="B783" s="229"/>
      <c r="C783" s="225"/>
      <c r="D783" s="226"/>
      <c r="E783" s="227"/>
      <c r="F783" s="228"/>
      <c r="G783" s="33"/>
      <c r="H783" s="143"/>
      <c r="I783" s="143"/>
      <c r="J783" s="111"/>
      <c r="K783" s="112"/>
      <c r="L783" s="230"/>
      <c r="M783" s="31"/>
      <c r="N783" s="39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</row>
    <row r="784">
      <c r="A784" s="224"/>
      <c r="B784" s="229"/>
      <c r="C784" s="225"/>
      <c r="D784" s="226"/>
      <c r="E784" s="227"/>
      <c r="F784" s="228"/>
      <c r="G784" s="33"/>
      <c r="H784" s="143"/>
      <c r="I784" s="143"/>
      <c r="J784" s="111"/>
      <c r="K784" s="112"/>
      <c r="L784" s="230"/>
      <c r="M784" s="31"/>
      <c r="N784" s="39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</row>
    <row r="785">
      <c r="A785" s="224"/>
      <c r="B785" s="229"/>
      <c r="C785" s="225"/>
      <c r="D785" s="226"/>
      <c r="E785" s="227"/>
      <c r="F785" s="228"/>
      <c r="G785" s="33"/>
      <c r="H785" s="143"/>
      <c r="I785" s="143"/>
      <c r="J785" s="111"/>
      <c r="K785" s="112"/>
      <c r="L785" s="230"/>
      <c r="M785" s="31"/>
      <c r="N785" s="39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</row>
    <row r="786">
      <c r="A786" s="224"/>
      <c r="B786" s="229"/>
      <c r="C786" s="225"/>
      <c r="D786" s="226"/>
      <c r="E786" s="227"/>
      <c r="F786" s="228"/>
      <c r="G786" s="33"/>
      <c r="H786" s="143"/>
      <c r="I786" s="143"/>
      <c r="J786" s="111"/>
      <c r="K786" s="112"/>
      <c r="L786" s="230"/>
      <c r="M786" s="31"/>
      <c r="N786" s="39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</row>
    <row r="787">
      <c r="A787" s="224"/>
      <c r="B787" s="229"/>
      <c r="C787" s="225"/>
      <c r="D787" s="226"/>
      <c r="E787" s="227"/>
      <c r="F787" s="228"/>
      <c r="G787" s="33"/>
      <c r="H787" s="143"/>
      <c r="I787" s="143"/>
      <c r="J787" s="111"/>
      <c r="K787" s="112"/>
      <c r="L787" s="230"/>
      <c r="M787" s="31"/>
      <c r="N787" s="39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</row>
    <row r="788">
      <c r="A788" s="224"/>
      <c r="B788" s="229"/>
      <c r="C788" s="225"/>
      <c r="D788" s="226"/>
      <c r="E788" s="227"/>
      <c r="F788" s="228"/>
      <c r="G788" s="33"/>
      <c r="H788" s="143"/>
      <c r="I788" s="143"/>
      <c r="J788" s="111"/>
      <c r="K788" s="112"/>
      <c r="L788" s="230"/>
      <c r="M788" s="31"/>
      <c r="N788" s="39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</row>
    <row r="789">
      <c r="A789" s="224"/>
      <c r="B789" s="229"/>
      <c r="C789" s="225"/>
      <c r="D789" s="226"/>
      <c r="E789" s="227"/>
      <c r="F789" s="228"/>
      <c r="G789" s="33"/>
      <c r="H789" s="143"/>
      <c r="I789" s="143"/>
      <c r="J789" s="111"/>
      <c r="K789" s="112"/>
      <c r="L789" s="230"/>
      <c r="M789" s="31"/>
      <c r="N789" s="39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</row>
    <row r="790">
      <c r="A790" s="224"/>
      <c r="B790" s="229"/>
      <c r="C790" s="225"/>
      <c r="D790" s="226"/>
      <c r="E790" s="227"/>
      <c r="F790" s="228"/>
      <c r="G790" s="33"/>
      <c r="H790" s="143"/>
      <c r="I790" s="143"/>
      <c r="J790" s="111"/>
      <c r="K790" s="112"/>
      <c r="L790" s="230"/>
      <c r="M790" s="31"/>
      <c r="N790" s="39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</row>
    <row r="791">
      <c r="A791" s="224"/>
      <c r="B791" s="229"/>
      <c r="C791" s="225"/>
      <c r="D791" s="226"/>
      <c r="E791" s="227"/>
      <c r="F791" s="228"/>
      <c r="G791" s="33"/>
      <c r="H791" s="143"/>
      <c r="I791" s="143"/>
      <c r="J791" s="111"/>
      <c r="K791" s="112"/>
      <c r="L791" s="230"/>
      <c r="M791" s="31"/>
      <c r="N791" s="39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</row>
    <row r="792">
      <c r="A792" s="224"/>
      <c r="B792" s="229"/>
      <c r="C792" s="225"/>
      <c r="D792" s="226"/>
      <c r="E792" s="227"/>
      <c r="F792" s="228"/>
      <c r="G792" s="33"/>
      <c r="H792" s="143"/>
      <c r="I792" s="143"/>
      <c r="J792" s="111"/>
      <c r="K792" s="112"/>
      <c r="L792" s="230"/>
      <c r="M792" s="31"/>
      <c r="N792" s="39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</row>
    <row r="793">
      <c r="A793" s="224"/>
      <c r="B793" s="229"/>
      <c r="C793" s="225"/>
      <c r="D793" s="226"/>
      <c r="E793" s="227"/>
      <c r="F793" s="228"/>
      <c r="G793" s="33"/>
      <c r="H793" s="143"/>
      <c r="I793" s="143"/>
      <c r="J793" s="111"/>
      <c r="K793" s="112"/>
      <c r="L793" s="230"/>
      <c r="M793" s="31"/>
      <c r="N793" s="39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</row>
    <row r="794">
      <c r="A794" s="224"/>
      <c r="B794" s="229"/>
      <c r="C794" s="225"/>
      <c r="D794" s="226"/>
      <c r="E794" s="227"/>
      <c r="F794" s="228"/>
      <c r="G794" s="33"/>
      <c r="H794" s="143"/>
      <c r="I794" s="143"/>
      <c r="J794" s="111"/>
      <c r="K794" s="112"/>
      <c r="L794" s="230"/>
      <c r="M794" s="31"/>
      <c r="N794" s="39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</row>
    <row r="795">
      <c r="A795" s="224"/>
      <c r="B795" s="229"/>
      <c r="C795" s="225"/>
      <c r="D795" s="226"/>
      <c r="E795" s="227"/>
      <c r="F795" s="228"/>
      <c r="G795" s="33"/>
      <c r="H795" s="143"/>
      <c r="I795" s="143"/>
      <c r="J795" s="111"/>
      <c r="K795" s="112"/>
      <c r="L795" s="230"/>
      <c r="M795" s="31"/>
      <c r="N795" s="39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</row>
    <row r="796">
      <c r="A796" s="224"/>
      <c r="B796" s="229"/>
      <c r="C796" s="225"/>
      <c r="D796" s="226"/>
      <c r="E796" s="227"/>
      <c r="F796" s="228"/>
      <c r="G796" s="33"/>
      <c r="H796" s="143"/>
      <c r="I796" s="143"/>
      <c r="J796" s="111"/>
      <c r="K796" s="112"/>
      <c r="L796" s="230"/>
      <c r="M796" s="31"/>
      <c r="N796" s="39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</row>
    <row r="797">
      <c r="A797" s="224"/>
      <c r="B797" s="229"/>
      <c r="C797" s="225"/>
      <c r="D797" s="226"/>
      <c r="E797" s="227"/>
      <c r="F797" s="228"/>
      <c r="G797" s="33"/>
      <c r="H797" s="143"/>
      <c r="I797" s="143"/>
      <c r="J797" s="111"/>
      <c r="K797" s="112"/>
      <c r="L797" s="230"/>
      <c r="M797" s="31"/>
      <c r="N797" s="39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</row>
    <row r="798">
      <c r="A798" s="224"/>
      <c r="B798" s="229"/>
      <c r="C798" s="225"/>
      <c r="D798" s="226"/>
      <c r="E798" s="227"/>
      <c r="F798" s="228"/>
      <c r="G798" s="33"/>
      <c r="H798" s="143"/>
      <c r="I798" s="143"/>
      <c r="J798" s="111"/>
      <c r="K798" s="112"/>
      <c r="L798" s="230"/>
      <c r="M798" s="31"/>
      <c r="N798" s="39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</row>
    <row r="799">
      <c r="A799" s="224"/>
      <c r="B799" s="229"/>
      <c r="C799" s="225"/>
      <c r="D799" s="226"/>
      <c r="E799" s="227"/>
      <c r="F799" s="228"/>
      <c r="G799" s="33"/>
      <c r="H799" s="143"/>
      <c r="I799" s="143"/>
      <c r="J799" s="111"/>
      <c r="K799" s="112"/>
      <c r="L799" s="230"/>
      <c r="M799" s="31"/>
      <c r="N799" s="39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</row>
    <row r="800">
      <c r="A800" s="224"/>
      <c r="B800" s="229"/>
      <c r="C800" s="225"/>
      <c r="D800" s="226"/>
      <c r="E800" s="227"/>
      <c r="F800" s="228"/>
      <c r="G800" s="33"/>
      <c r="H800" s="143"/>
      <c r="I800" s="143"/>
      <c r="J800" s="111"/>
      <c r="K800" s="112"/>
      <c r="L800" s="230"/>
      <c r="M800" s="31"/>
      <c r="N800" s="39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</row>
    <row r="801">
      <c r="A801" s="224"/>
      <c r="B801" s="229"/>
      <c r="C801" s="225"/>
      <c r="D801" s="226"/>
      <c r="E801" s="227"/>
      <c r="F801" s="228"/>
      <c r="G801" s="33"/>
      <c r="H801" s="143"/>
      <c r="I801" s="143"/>
      <c r="J801" s="111"/>
      <c r="K801" s="112"/>
      <c r="L801" s="230"/>
      <c r="M801" s="31"/>
      <c r="N801" s="39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</row>
    <row r="802">
      <c r="A802" s="224"/>
      <c r="B802" s="229"/>
      <c r="C802" s="225"/>
      <c r="D802" s="226"/>
      <c r="E802" s="227"/>
      <c r="F802" s="228"/>
      <c r="G802" s="33"/>
      <c r="H802" s="143"/>
      <c r="I802" s="143"/>
      <c r="J802" s="111"/>
      <c r="K802" s="112"/>
      <c r="L802" s="230"/>
      <c r="M802" s="31"/>
      <c r="N802" s="39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</row>
    <row r="803">
      <c r="A803" s="224"/>
      <c r="B803" s="229"/>
      <c r="C803" s="225"/>
      <c r="D803" s="226"/>
      <c r="E803" s="227"/>
      <c r="F803" s="228"/>
      <c r="G803" s="33"/>
      <c r="H803" s="143"/>
      <c r="I803" s="143"/>
      <c r="J803" s="111"/>
      <c r="K803" s="112"/>
      <c r="L803" s="230"/>
      <c r="M803" s="31"/>
      <c r="N803" s="39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</row>
    <row r="804">
      <c r="A804" s="224"/>
      <c r="B804" s="229"/>
      <c r="C804" s="225"/>
      <c r="D804" s="226"/>
      <c r="E804" s="227"/>
      <c r="F804" s="228"/>
      <c r="G804" s="33"/>
      <c r="H804" s="143"/>
      <c r="I804" s="143"/>
      <c r="J804" s="111"/>
      <c r="K804" s="112"/>
      <c r="L804" s="230"/>
      <c r="M804" s="31"/>
      <c r="N804" s="39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</row>
    <row r="805">
      <c r="A805" s="224"/>
      <c r="B805" s="229"/>
      <c r="C805" s="225"/>
      <c r="D805" s="226"/>
      <c r="E805" s="227"/>
      <c r="F805" s="228"/>
      <c r="G805" s="33"/>
      <c r="H805" s="143"/>
      <c r="I805" s="143"/>
      <c r="J805" s="111"/>
      <c r="K805" s="112"/>
      <c r="L805" s="230"/>
      <c r="M805" s="31"/>
      <c r="N805" s="39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</row>
    <row r="806">
      <c r="A806" s="224"/>
      <c r="B806" s="229"/>
      <c r="C806" s="225"/>
      <c r="D806" s="226"/>
      <c r="E806" s="227"/>
      <c r="F806" s="228"/>
      <c r="G806" s="33"/>
      <c r="H806" s="143"/>
      <c r="I806" s="143"/>
      <c r="J806" s="111"/>
      <c r="K806" s="112"/>
      <c r="L806" s="230"/>
      <c r="M806" s="31"/>
      <c r="N806" s="39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</row>
    <row r="807">
      <c r="A807" s="224"/>
      <c r="B807" s="229"/>
      <c r="C807" s="225"/>
      <c r="D807" s="226"/>
      <c r="E807" s="227"/>
      <c r="F807" s="228"/>
      <c r="G807" s="33"/>
      <c r="H807" s="143"/>
      <c r="I807" s="143"/>
      <c r="J807" s="111"/>
      <c r="K807" s="112"/>
      <c r="L807" s="230"/>
      <c r="M807" s="31"/>
      <c r="N807" s="39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</row>
    <row r="808">
      <c r="A808" s="224"/>
      <c r="B808" s="229"/>
      <c r="C808" s="225"/>
      <c r="D808" s="226"/>
      <c r="E808" s="227"/>
      <c r="F808" s="228"/>
      <c r="G808" s="33"/>
      <c r="H808" s="143"/>
      <c r="I808" s="143"/>
      <c r="J808" s="111"/>
      <c r="K808" s="112"/>
      <c r="L808" s="230"/>
      <c r="M808" s="31"/>
      <c r="N808" s="39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</row>
    <row r="809">
      <c r="A809" s="224"/>
      <c r="B809" s="229"/>
      <c r="C809" s="225"/>
      <c r="D809" s="226"/>
      <c r="E809" s="227"/>
      <c r="F809" s="228"/>
      <c r="G809" s="33"/>
      <c r="H809" s="143"/>
      <c r="I809" s="143"/>
      <c r="J809" s="111"/>
      <c r="K809" s="112"/>
      <c r="L809" s="230"/>
      <c r="M809" s="31"/>
      <c r="N809" s="39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</row>
    <row r="810">
      <c r="A810" s="224"/>
      <c r="B810" s="229"/>
      <c r="C810" s="225"/>
      <c r="D810" s="226"/>
      <c r="E810" s="227"/>
      <c r="F810" s="228"/>
      <c r="G810" s="33"/>
      <c r="H810" s="143"/>
      <c r="I810" s="143"/>
      <c r="J810" s="111"/>
      <c r="K810" s="112"/>
      <c r="L810" s="230"/>
      <c r="M810" s="31"/>
      <c r="N810" s="39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</row>
    <row r="811">
      <c r="A811" s="224"/>
      <c r="B811" s="229"/>
      <c r="C811" s="225"/>
      <c r="D811" s="226"/>
      <c r="E811" s="227"/>
      <c r="F811" s="228"/>
      <c r="G811" s="33"/>
      <c r="H811" s="143"/>
      <c r="I811" s="143"/>
      <c r="J811" s="111"/>
      <c r="K811" s="112"/>
      <c r="L811" s="230"/>
      <c r="M811" s="31"/>
      <c r="N811" s="39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</row>
    <row r="812">
      <c r="A812" s="224"/>
      <c r="B812" s="229"/>
      <c r="C812" s="225"/>
      <c r="D812" s="226"/>
      <c r="E812" s="227"/>
      <c r="F812" s="228"/>
      <c r="G812" s="33"/>
      <c r="H812" s="143"/>
      <c r="I812" s="143"/>
      <c r="J812" s="111"/>
      <c r="K812" s="112"/>
      <c r="L812" s="230"/>
      <c r="M812" s="31"/>
      <c r="N812" s="39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</row>
    <row r="813">
      <c r="A813" s="224"/>
      <c r="B813" s="229"/>
      <c r="C813" s="225"/>
      <c r="D813" s="226"/>
      <c r="E813" s="227"/>
      <c r="F813" s="228"/>
      <c r="G813" s="33"/>
      <c r="H813" s="143"/>
      <c r="I813" s="143"/>
      <c r="J813" s="111"/>
      <c r="K813" s="112"/>
      <c r="L813" s="230"/>
      <c r="M813" s="31"/>
      <c r="N813" s="39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</row>
    <row r="814">
      <c r="A814" s="224"/>
      <c r="B814" s="229"/>
      <c r="C814" s="225"/>
      <c r="D814" s="226"/>
      <c r="E814" s="227"/>
      <c r="F814" s="228"/>
      <c r="G814" s="33"/>
      <c r="H814" s="143"/>
      <c r="I814" s="143"/>
      <c r="J814" s="111"/>
      <c r="K814" s="112"/>
      <c r="L814" s="230"/>
      <c r="M814" s="31"/>
      <c r="N814" s="39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</row>
    <row r="815">
      <c r="A815" s="224"/>
      <c r="B815" s="229"/>
      <c r="C815" s="225"/>
      <c r="D815" s="226"/>
      <c r="E815" s="227"/>
      <c r="F815" s="228"/>
      <c r="G815" s="33"/>
      <c r="H815" s="143"/>
      <c r="I815" s="143"/>
      <c r="J815" s="111"/>
      <c r="K815" s="112"/>
      <c r="L815" s="230"/>
      <c r="M815" s="31"/>
      <c r="N815" s="39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</row>
    <row r="816">
      <c r="A816" s="224"/>
      <c r="B816" s="229"/>
      <c r="C816" s="225"/>
      <c r="D816" s="226"/>
      <c r="E816" s="227"/>
      <c r="F816" s="228"/>
      <c r="G816" s="33"/>
      <c r="H816" s="143"/>
      <c r="I816" s="143"/>
      <c r="J816" s="111"/>
      <c r="K816" s="112"/>
      <c r="L816" s="230"/>
      <c r="M816" s="31"/>
      <c r="N816" s="39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</row>
    <row r="817">
      <c r="A817" s="224"/>
      <c r="B817" s="229"/>
      <c r="C817" s="225"/>
      <c r="D817" s="226"/>
      <c r="E817" s="227"/>
      <c r="F817" s="228"/>
      <c r="G817" s="33"/>
      <c r="H817" s="143"/>
      <c r="I817" s="143"/>
      <c r="J817" s="111"/>
      <c r="K817" s="112"/>
      <c r="L817" s="230"/>
      <c r="M817" s="31"/>
      <c r="N817" s="39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</row>
    <row r="818">
      <c r="A818" s="224"/>
      <c r="B818" s="229"/>
      <c r="C818" s="225"/>
      <c r="D818" s="226"/>
      <c r="E818" s="227"/>
      <c r="F818" s="228"/>
      <c r="G818" s="33"/>
      <c r="H818" s="143"/>
      <c r="I818" s="143"/>
      <c r="J818" s="111"/>
      <c r="K818" s="112"/>
      <c r="L818" s="230"/>
      <c r="M818" s="31"/>
      <c r="N818" s="39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</row>
    <row r="819">
      <c r="A819" s="224"/>
      <c r="B819" s="229"/>
      <c r="C819" s="225"/>
      <c r="D819" s="226"/>
      <c r="E819" s="227"/>
      <c r="F819" s="228"/>
      <c r="G819" s="33"/>
      <c r="H819" s="143"/>
      <c r="I819" s="143"/>
      <c r="J819" s="111"/>
      <c r="K819" s="112"/>
      <c r="L819" s="230"/>
      <c r="M819" s="31"/>
      <c r="N819" s="39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</row>
    <row r="820">
      <c r="A820" s="224"/>
      <c r="B820" s="229"/>
      <c r="C820" s="225"/>
      <c r="D820" s="226"/>
      <c r="E820" s="227"/>
      <c r="F820" s="228"/>
      <c r="G820" s="33"/>
      <c r="H820" s="143"/>
      <c r="I820" s="143"/>
      <c r="J820" s="111"/>
      <c r="K820" s="112"/>
      <c r="L820" s="230"/>
      <c r="M820" s="31"/>
      <c r="N820" s="39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</row>
    <row r="821">
      <c r="A821" s="224"/>
      <c r="B821" s="229"/>
      <c r="C821" s="225"/>
      <c r="D821" s="226"/>
      <c r="E821" s="227"/>
      <c r="F821" s="228"/>
      <c r="G821" s="33"/>
      <c r="H821" s="143"/>
      <c r="I821" s="143"/>
      <c r="J821" s="111"/>
      <c r="K821" s="112"/>
      <c r="L821" s="230"/>
      <c r="M821" s="31"/>
      <c r="N821" s="39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</row>
    <row r="822">
      <c r="A822" s="224"/>
      <c r="B822" s="229"/>
      <c r="C822" s="225"/>
      <c r="D822" s="226"/>
      <c r="E822" s="227"/>
      <c r="F822" s="228"/>
      <c r="G822" s="33"/>
      <c r="H822" s="143"/>
      <c r="I822" s="143"/>
      <c r="J822" s="111"/>
      <c r="K822" s="112"/>
      <c r="L822" s="230"/>
      <c r="M822" s="31"/>
      <c r="N822" s="39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</row>
    <row r="823">
      <c r="A823" s="224"/>
      <c r="B823" s="229"/>
      <c r="C823" s="225"/>
      <c r="D823" s="226"/>
      <c r="E823" s="227"/>
      <c r="F823" s="228"/>
      <c r="G823" s="33"/>
      <c r="H823" s="143"/>
      <c r="I823" s="143"/>
      <c r="J823" s="111"/>
      <c r="K823" s="112"/>
      <c r="L823" s="230"/>
      <c r="M823" s="31"/>
      <c r="N823" s="39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</row>
    <row r="824">
      <c r="A824" s="224"/>
      <c r="B824" s="229"/>
      <c r="C824" s="225"/>
      <c r="D824" s="226"/>
      <c r="E824" s="227"/>
      <c r="F824" s="228"/>
      <c r="G824" s="33"/>
      <c r="H824" s="143"/>
      <c r="I824" s="143"/>
      <c r="J824" s="111"/>
      <c r="K824" s="112"/>
      <c r="L824" s="230"/>
      <c r="M824" s="31"/>
      <c r="N824" s="39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</row>
    <row r="825">
      <c r="A825" s="224"/>
      <c r="B825" s="229"/>
      <c r="C825" s="225"/>
      <c r="D825" s="226"/>
      <c r="E825" s="227"/>
      <c r="F825" s="228"/>
      <c r="G825" s="33"/>
      <c r="H825" s="143"/>
      <c r="I825" s="143"/>
      <c r="J825" s="111"/>
      <c r="K825" s="112"/>
      <c r="L825" s="230"/>
      <c r="M825" s="31"/>
      <c r="N825" s="39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</row>
    <row r="826">
      <c r="A826" s="224"/>
      <c r="B826" s="229"/>
      <c r="C826" s="225"/>
      <c r="D826" s="226"/>
      <c r="E826" s="227"/>
      <c r="F826" s="228"/>
      <c r="G826" s="33"/>
      <c r="H826" s="143"/>
      <c r="I826" s="143"/>
      <c r="J826" s="111"/>
      <c r="K826" s="112"/>
      <c r="L826" s="230"/>
      <c r="M826" s="31"/>
      <c r="N826" s="39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</row>
    <row r="827">
      <c r="A827" s="224"/>
      <c r="B827" s="229"/>
      <c r="C827" s="225"/>
      <c r="D827" s="226"/>
      <c r="E827" s="227"/>
      <c r="F827" s="228"/>
      <c r="G827" s="33"/>
      <c r="H827" s="143"/>
      <c r="I827" s="143"/>
      <c r="J827" s="111"/>
      <c r="K827" s="112"/>
      <c r="L827" s="230"/>
      <c r="M827" s="31"/>
      <c r="N827" s="39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</row>
    <row r="828">
      <c r="A828" s="224"/>
      <c r="B828" s="229"/>
      <c r="C828" s="225"/>
      <c r="D828" s="226"/>
      <c r="E828" s="227"/>
      <c r="F828" s="228"/>
      <c r="G828" s="33"/>
      <c r="H828" s="143"/>
      <c r="I828" s="143"/>
      <c r="J828" s="111"/>
      <c r="K828" s="112"/>
      <c r="L828" s="230"/>
      <c r="M828" s="31"/>
      <c r="N828" s="39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</row>
    <row r="829">
      <c r="A829" s="224"/>
      <c r="B829" s="229"/>
      <c r="C829" s="225"/>
      <c r="D829" s="226"/>
      <c r="E829" s="227"/>
      <c r="F829" s="228"/>
      <c r="G829" s="33"/>
      <c r="H829" s="143"/>
      <c r="I829" s="143"/>
      <c r="J829" s="111"/>
      <c r="K829" s="112"/>
      <c r="L829" s="230"/>
      <c r="M829" s="31"/>
      <c r="N829" s="39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</row>
    <row r="830">
      <c r="A830" s="224"/>
      <c r="B830" s="229"/>
      <c r="C830" s="225"/>
      <c r="D830" s="226"/>
      <c r="E830" s="227"/>
      <c r="F830" s="228"/>
      <c r="G830" s="33"/>
      <c r="H830" s="143"/>
      <c r="I830" s="143"/>
      <c r="J830" s="111"/>
      <c r="K830" s="112"/>
      <c r="L830" s="230"/>
      <c r="M830" s="31"/>
      <c r="N830" s="39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</row>
    <row r="831">
      <c r="A831" s="224"/>
      <c r="B831" s="229"/>
      <c r="C831" s="225"/>
      <c r="D831" s="226"/>
      <c r="E831" s="227"/>
      <c r="F831" s="228"/>
      <c r="G831" s="33"/>
      <c r="H831" s="143"/>
      <c r="I831" s="143"/>
      <c r="J831" s="111"/>
      <c r="K831" s="112"/>
      <c r="L831" s="230"/>
      <c r="M831" s="31"/>
      <c r="N831" s="39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</row>
    <row r="832">
      <c r="A832" s="224"/>
      <c r="B832" s="229"/>
      <c r="C832" s="225"/>
      <c r="D832" s="226"/>
      <c r="E832" s="227"/>
      <c r="F832" s="228"/>
      <c r="G832" s="33"/>
      <c r="H832" s="143"/>
      <c r="I832" s="143"/>
      <c r="J832" s="111"/>
      <c r="K832" s="112"/>
      <c r="L832" s="230"/>
      <c r="M832" s="31"/>
      <c r="N832" s="39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</row>
    <row r="833">
      <c r="A833" s="224"/>
      <c r="B833" s="229"/>
      <c r="C833" s="225"/>
      <c r="D833" s="226"/>
      <c r="E833" s="227"/>
      <c r="F833" s="228"/>
      <c r="G833" s="33"/>
      <c r="H833" s="143"/>
      <c r="I833" s="143"/>
      <c r="J833" s="111"/>
      <c r="K833" s="112"/>
      <c r="L833" s="230"/>
      <c r="M833" s="31"/>
      <c r="N833" s="39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</row>
    <row r="834">
      <c r="A834" s="224"/>
      <c r="B834" s="229"/>
      <c r="C834" s="225"/>
      <c r="D834" s="226"/>
      <c r="E834" s="227"/>
      <c r="F834" s="228"/>
      <c r="G834" s="33"/>
      <c r="H834" s="143"/>
      <c r="I834" s="143"/>
      <c r="J834" s="111"/>
      <c r="K834" s="112"/>
      <c r="L834" s="230"/>
      <c r="M834" s="31"/>
      <c r="N834" s="39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</row>
    <row r="835">
      <c r="A835" s="224"/>
      <c r="B835" s="229"/>
      <c r="C835" s="225"/>
      <c r="D835" s="226"/>
      <c r="E835" s="227"/>
      <c r="F835" s="228"/>
      <c r="G835" s="33"/>
      <c r="H835" s="143"/>
      <c r="I835" s="143"/>
      <c r="J835" s="111"/>
      <c r="K835" s="112"/>
      <c r="L835" s="230"/>
      <c r="M835" s="31"/>
      <c r="N835" s="39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</row>
    <row r="836">
      <c r="A836" s="224"/>
      <c r="B836" s="229"/>
      <c r="C836" s="225"/>
      <c r="D836" s="226"/>
      <c r="E836" s="227"/>
      <c r="F836" s="228"/>
      <c r="G836" s="33"/>
      <c r="H836" s="143"/>
      <c r="I836" s="143"/>
      <c r="J836" s="111"/>
      <c r="K836" s="112"/>
      <c r="L836" s="230"/>
      <c r="M836" s="31"/>
      <c r="N836" s="39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</row>
    <row r="837">
      <c r="A837" s="224"/>
      <c r="B837" s="229"/>
      <c r="C837" s="225"/>
      <c r="D837" s="226"/>
      <c r="E837" s="227"/>
      <c r="F837" s="228"/>
      <c r="G837" s="33"/>
      <c r="H837" s="143"/>
      <c r="I837" s="143"/>
      <c r="J837" s="111"/>
      <c r="K837" s="112"/>
      <c r="L837" s="230"/>
      <c r="M837" s="31"/>
      <c r="N837" s="39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</row>
    <row r="838">
      <c r="A838" s="224"/>
      <c r="B838" s="229"/>
      <c r="C838" s="225"/>
      <c r="D838" s="226"/>
      <c r="E838" s="227"/>
      <c r="F838" s="228"/>
      <c r="G838" s="33"/>
      <c r="H838" s="143"/>
      <c r="I838" s="143"/>
      <c r="J838" s="111"/>
      <c r="K838" s="112"/>
      <c r="L838" s="230"/>
      <c r="M838" s="31"/>
      <c r="N838" s="39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</row>
    <row r="839">
      <c r="A839" s="224"/>
      <c r="B839" s="229"/>
      <c r="C839" s="225"/>
      <c r="D839" s="226"/>
      <c r="E839" s="227"/>
      <c r="F839" s="228"/>
      <c r="G839" s="33"/>
      <c r="H839" s="143"/>
      <c r="I839" s="143"/>
      <c r="J839" s="111"/>
      <c r="K839" s="112"/>
      <c r="L839" s="230"/>
      <c r="M839" s="31"/>
      <c r="N839" s="39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</row>
    <row r="840">
      <c r="A840" s="224"/>
      <c r="B840" s="229"/>
      <c r="C840" s="225"/>
      <c r="D840" s="226"/>
      <c r="E840" s="227"/>
      <c r="F840" s="228"/>
      <c r="G840" s="33"/>
      <c r="H840" s="143"/>
      <c r="I840" s="143"/>
      <c r="J840" s="111"/>
      <c r="K840" s="112"/>
      <c r="L840" s="230"/>
      <c r="M840" s="31"/>
      <c r="N840" s="39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</row>
    <row r="841">
      <c r="A841" s="224"/>
      <c r="B841" s="229"/>
      <c r="C841" s="225"/>
      <c r="D841" s="226"/>
      <c r="E841" s="227"/>
      <c r="F841" s="228"/>
      <c r="G841" s="33"/>
      <c r="H841" s="143"/>
      <c r="I841" s="143"/>
      <c r="J841" s="111"/>
      <c r="K841" s="112"/>
      <c r="L841" s="230"/>
      <c r="M841" s="31"/>
      <c r="N841" s="39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</row>
    <row r="842">
      <c r="A842" s="224"/>
      <c r="B842" s="229"/>
      <c r="C842" s="225"/>
      <c r="D842" s="226"/>
      <c r="E842" s="227"/>
      <c r="F842" s="228"/>
      <c r="G842" s="33"/>
      <c r="H842" s="143"/>
      <c r="I842" s="143"/>
      <c r="J842" s="111"/>
      <c r="K842" s="112"/>
      <c r="L842" s="230"/>
      <c r="M842" s="31"/>
      <c r="N842" s="39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</row>
    <row r="843">
      <c r="A843" s="224"/>
      <c r="B843" s="229"/>
      <c r="C843" s="225"/>
      <c r="D843" s="226"/>
      <c r="E843" s="227"/>
      <c r="F843" s="228"/>
      <c r="G843" s="33"/>
      <c r="H843" s="143"/>
      <c r="I843" s="143"/>
      <c r="J843" s="111"/>
      <c r="K843" s="112"/>
      <c r="L843" s="230"/>
      <c r="M843" s="31"/>
      <c r="N843" s="39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</row>
    <row r="844">
      <c r="A844" s="224"/>
      <c r="B844" s="229"/>
      <c r="C844" s="225"/>
      <c r="D844" s="226"/>
      <c r="E844" s="227"/>
      <c r="F844" s="228"/>
      <c r="G844" s="33"/>
      <c r="H844" s="143"/>
      <c r="I844" s="143"/>
      <c r="J844" s="111"/>
      <c r="K844" s="112"/>
      <c r="L844" s="230"/>
      <c r="M844" s="31"/>
      <c r="N844" s="39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</row>
    <row r="845">
      <c r="A845" s="224"/>
      <c r="B845" s="229"/>
      <c r="C845" s="225"/>
      <c r="D845" s="226"/>
      <c r="E845" s="227"/>
      <c r="F845" s="228"/>
      <c r="G845" s="33"/>
      <c r="H845" s="143"/>
      <c r="I845" s="143"/>
      <c r="J845" s="111"/>
      <c r="K845" s="112"/>
      <c r="L845" s="230"/>
      <c r="M845" s="31"/>
      <c r="N845" s="39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</row>
    <row r="846">
      <c r="A846" s="224"/>
      <c r="B846" s="229"/>
      <c r="C846" s="225"/>
      <c r="D846" s="226"/>
      <c r="E846" s="227"/>
      <c r="F846" s="228"/>
      <c r="G846" s="33"/>
      <c r="H846" s="143"/>
      <c r="I846" s="143"/>
      <c r="J846" s="111"/>
      <c r="K846" s="112"/>
      <c r="L846" s="230"/>
      <c r="M846" s="31"/>
      <c r="N846" s="39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</row>
    <row r="847">
      <c r="A847" s="224"/>
      <c r="B847" s="229"/>
      <c r="C847" s="225"/>
      <c r="D847" s="226"/>
      <c r="E847" s="227"/>
      <c r="F847" s="228"/>
      <c r="G847" s="33"/>
      <c r="H847" s="143"/>
      <c r="I847" s="143"/>
      <c r="J847" s="111"/>
      <c r="K847" s="112"/>
      <c r="L847" s="230"/>
      <c r="M847" s="31"/>
      <c r="N847" s="39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</row>
    <row r="848">
      <c r="A848" s="224"/>
      <c r="B848" s="229"/>
      <c r="C848" s="225"/>
      <c r="D848" s="226"/>
      <c r="E848" s="227"/>
      <c r="F848" s="228"/>
      <c r="G848" s="33"/>
      <c r="H848" s="143"/>
      <c r="I848" s="143"/>
      <c r="J848" s="111"/>
      <c r="K848" s="112"/>
      <c r="L848" s="230"/>
      <c r="M848" s="31"/>
      <c r="N848" s="39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</row>
    <row r="849">
      <c r="B849" s="229"/>
      <c r="C849" s="225"/>
      <c r="D849" s="226"/>
      <c r="E849" s="227"/>
      <c r="F849" s="228"/>
      <c r="G849" s="33"/>
      <c r="H849" s="143"/>
      <c r="I849" s="143"/>
      <c r="J849" s="111"/>
      <c r="K849" s="112"/>
      <c r="L849" s="230"/>
      <c r="M849" s="31"/>
      <c r="N849" s="39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</row>
    <row r="850">
      <c r="C850" s="225"/>
      <c r="D850" s="226"/>
      <c r="E850" s="227"/>
      <c r="F850" s="228"/>
      <c r="G850" s="33"/>
      <c r="H850" s="143"/>
      <c r="I850" s="143"/>
      <c r="J850" s="111"/>
      <c r="K850" s="112"/>
      <c r="L850" s="230"/>
      <c r="M850" s="31"/>
      <c r="N850" s="39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</row>
    <row r="851">
      <c r="C851" s="225"/>
      <c r="D851" s="226"/>
      <c r="E851" s="227"/>
      <c r="F851" s="228"/>
      <c r="G851" s="33"/>
      <c r="H851" s="143"/>
      <c r="I851" s="143"/>
      <c r="J851" s="111"/>
      <c r="K851" s="112"/>
      <c r="L851" s="230"/>
      <c r="M851" s="31"/>
      <c r="N851" s="39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</row>
    <row r="852">
      <c r="J852" s="78"/>
      <c r="N852" s="39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</row>
    <row r="853">
      <c r="J853" s="78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</row>
    <row r="854"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</row>
  </sheetData>
  <mergeCells count="1">
    <mergeCell ref="P1:Q1"/>
  </mergeCells>
  <conditionalFormatting sqref="O2:O314 O316:O844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conditionalFormatting sqref="L417:L436 L438:L439">
    <cfRule type="notContainsBlanks" dxfId="0" priority="2">
      <formula>LEN(TRIM(L417))&gt;0</formula>
    </cfRule>
  </conditionalFormatting>
  <printOptions gridLines="1" horizontalCentered="1"/>
  <pageMargins bottom="0.18897637795275593" footer="0.0" header="0.0" left="0.16190187764990918" right="0.18897637795275593" top="0.7735311932162329"/>
  <pageSetup paperSize="9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41"/>
      <c r="B3" s="340" t="s">
        <v>762</v>
      </c>
      <c r="C3" s="340" t="s">
        <v>22</v>
      </c>
      <c r="D3" s="340" t="s">
        <v>23</v>
      </c>
      <c r="E3" s="340" t="s">
        <v>24</v>
      </c>
      <c r="F3" s="340" t="s">
        <v>25</v>
      </c>
      <c r="G3" s="340" t="s">
        <v>26</v>
      </c>
      <c r="H3" s="340" t="s">
        <v>27</v>
      </c>
    </row>
    <row r="4">
      <c r="A4" s="340" t="s">
        <v>763</v>
      </c>
      <c r="B4" s="341"/>
      <c r="C4" s="341"/>
      <c r="D4" s="341"/>
      <c r="E4" s="340" t="s">
        <v>764</v>
      </c>
      <c r="F4" s="340" t="s">
        <v>764</v>
      </c>
      <c r="G4" s="340" t="s">
        <v>764</v>
      </c>
      <c r="H4" s="341"/>
    </row>
    <row r="5">
      <c r="A5" s="340" t="s">
        <v>765</v>
      </c>
      <c r="B5" s="340" t="s">
        <v>766</v>
      </c>
      <c r="C5" s="340" t="s">
        <v>766</v>
      </c>
      <c r="D5" s="340" t="s">
        <v>766</v>
      </c>
      <c r="E5" s="341"/>
      <c r="F5" s="341"/>
      <c r="G5" s="340"/>
      <c r="H5" s="341"/>
    </row>
    <row r="6">
      <c r="A6" s="340" t="s">
        <v>767</v>
      </c>
      <c r="B6" s="341"/>
      <c r="C6" s="341"/>
      <c r="D6" s="341"/>
      <c r="E6" s="340" t="s">
        <v>768</v>
      </c>
      <c r="F6" s="340" t="s">
        <v>768</v>
      </c>
      <c r="G6" s="340" t="s">
        <v>768</v>
      </c>
      <c r="H6" s="341"/>
    </row>
    <row r="7">
      <c r="A7" s="390"/>
      <c r="B7" s="391"/>
      <c r="C7" s="390" t="s">
        <v>769</v>
      </c>
      <c r="D7" s="391"/>
      <c r="E7" s="391"/>
      <c r="F7" s="391"/>
      <c r="G7" s="391"/>
      <c r="H7" s="391"/>
    </row>
    <row r="8">
      <c r="A8" s="340" t="s">
        <v>763</v>
      </c>
      <c r="B8" s="340" t="s">
        <v>770</v>
      </c>
      <c r="C8" s="340" t="s">
        <v>770</v>
      </c>
      <c r="D8" s="340" t="s">
        <v>770</v>
      </c>
      <c r="E8" s="340" t="s">
        <v>770</v>
      </c>
      <c r="F8" s="340" t="s">
        <v>770</v>
      </c>
      <c r="G8" s="340" t="s">
        <v>770</v>
      </c>
      <c r="H8" s="340"/>
    </row>
    <row r="9">
      <c r="A9" s="340" t="s">
        <v>771</v>
      </c>
      <c r="B9" s="341"/>
      <c r="C9" s="341"/>
      <c r="D9" s="341"/>
      <c r="E9" s="341"/>
      <c r="F9" s="341"/>
      <c r="G9" s="341"/>
      <c r="H9" s="341"/>
    </row>
    <row r="10">
      <c r="A10" s="340" t="s">
        <v>772</v>
      </c>
      <c r="B10" s="340" t="s">
        <v>773</v>
      </c>
      <c r="C10" s="340" t="s">
        <v>768</v>
      </c>
      <c r="D10" s="340" t="s">
        <v>773</v>
      </c>
      <c r="E10" s="340" t="s">
        <v>773</v>
      </c>
      <c r="F10" s="340" t="s">
        <v>773</v>
      </c>
      <c r="G10" s="340" t="s">
        <v>773</v>
      </c>
      <c r="H10" s="341"/>
    </row>
    <row r="11">
      <c r="A11" s="2" t="s">
        <v>774</v>
      </c>
      <c r="B11" s="340" t="s">
        <v>773</v>
      </c>
      <c r="C11" s="340" t="s">
        <v>773</v>
      </c>
      <c r="D11" s="340" t="s">
        <v>773</v>
      </c>
      <c r="E11" s="340" t="s">
        <v>773</v>
      </c>
      <c r="F11" s="340" t="s">
        <v>773</v>
      </c>
      <c r="G11" s="340" t="s">
        <v>773</v>
      </c>
      <c r="H11" s="2" t="s">
        <v>770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529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f>3888+2268</f>
        <v>6156</v>
      </c>
      <c r="G2" s="334" t="s">
        <v>695</v>
      </c>
      <c r="H2" s="245">
        <v>120.0</v>
      </c>
      <c r="I2" s="2" t="s">
        <v>72</v>
      </c>
    </row>
    <row r="3">
      <c r="A3" s="246" t="s">
        <v>775</v>
      </c>
      <c r="B3" s="330"/>
      <c r="C3" s="313"/>
      <c r="D3" s="337"/>
      <c r="E3" s="336"/>
      <c r="F3" s="335">
        <v>5600.0</v>
      </c>
      <c r="G3" s="336" t="s">
        <v>605</v>
      </c>
      <c r="H3" s="267"/>
    </row>
    <row r="4">
      <c r="A4" s="246"/>
      <c r="B4" s="330">
        <v>18350.0</v>
      </c>
      <c r="C4" s="328"/>
      <c r="D4" s="337"/>
      <c r="E4" s="336"/>
      <c r="F4" s="335"/>
      <c r="G4" s="336" t="s">
        <v>75</v>
      </c>
      <c r="H4" s="251"/>
    </row>
    <row r="5">
      <c r="A5" s="246"/>
      <c r="B5" s="330">
        <v>18500.0</v>
      </c>
      <c r="C5" s="338"/>
      <c r="D5" s="325"/>
      <c r="E5" s="290"/>
      <c r="F5" s="291"/>
      <c r="G5" s="336" t="s">
        <v>776</v>
      </c>
      <c r="H5" s="251"/>
    </row>
    <row r="6">
      <c r="A6" s="246"/>
      <c r="B6" s="330"/>
      <c r="C6" s="313"/>
      <c r="D6" s="325"/>
      <c r="E6" s="290"/>
      <c r="F6" s="335">
        <v>1500.0</v>
      </c>
      <c r="G6" s="336" t="s">
        <v>777</v>
      </c>
      <c r="H6" s="251"/>
    </row>
    <row r="7">
      <c r="A7" s="246"/>
      <c r="B7" s="342"/>
      <c r="C7" s="313"/>
      <c r="D7" s="337">
        <v>76865.25</v>
      </c>
      <c r="E7" s="290"/>
      <c r="F7" s="335"/>
      <c r="G7" s="336" t="s">
        <v>92</v>
      </c>
      <c r="H7" s="251"/>
    </row>
    <row r="8">
      <c r="A8" s="246"/>
      <c r="B8" s="247">
        <v>200000.0</v>
      </c>
      <c r="C8" s="248"/>
      <c r="D8" s="249"/>
      <c r="F8" s="250"/>
      <c r="G8" s="254" t="s">
        <v>144</v>
      </c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778</v>
      </c>
      <c r="B15" s="239">
        <v>21075.7</v>
      </c>
      <c r="C15" s="263"/>
      <c r="D15" s="264"/>
      <c r="E15" s="242"/>
      <c r="F15" s="250"/>
      <c r="G15" s="2" t="s">
        <v>291</v>
      </c>
      <c r="H15" s="245">
        <v>85.0</v>
      </c>
      <c r="I15" s="2" t="s">
        <v>72</v>
      </c>
    </row>
    <row r="16">
      <c r="A16" s="265"/>
      <c r="B16" s="247">
        <v>19701.7</v>
      </c>
      <c r="C16" s="248"/>
      <c r="D16" s="249"/>
      <c r="F16" s="266"/>
      <c r="G16" s="2" t="s">
        <v>82</v>
      </c>
      <c r="H16" s="267"/>
      <c r="I16" s="2" t="s">
        <v>779</v>
      </c>
    </row>
    <row r="17">
      <c r="A17" s="265"/>
      <c r="B17" s="247">
        <v>45984.22</v>
      </c>
      <c r="C17" s="248"/>
      <c r="D17" s="249"/>
      <c r="F17" s="250"/>
      <c r="G17" s="2" t="s">
        <v>142</v>
      </c>
      <c r="H17" s="251"/>
      <c r="I17" s="2" t="s">
        <v>780</v>
      </c>
    </row>
    <row r="18">
      <c r="A18" s="265"/>
      <c r="B18" s="247"/>
      <c r="C18" s="252"/>
      <c r="D18" s="249"/>
      <c r="F18" s="250">
        <v>23500.0</v>
      </c>
      <c r="G18" s="2" t="s">
        <v>68</v>
      </c>
      <c r="H18" s="251"/>
    </row>
    <row r="19">
      <c r="A19" s="265"/>
      <c r="B19" s="247"/>
      <c r="C19" s="248"/>
      <c r="D19" s="249"/>
      <c r="F19" s="250"/>
      <c r="H19" s="251"/>
    </row>
    <row r="20">
      <c r="A20" s="265"/>
      <c r="B20" s="247"/>
      <c r="C20" s="248"/>
      <c r="D20" s="249"/>
      <c r="F20" s="250"/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781</v>
      </c>
      <c r="B28" s="239">
        <v>51917.47</v>
      </c>
      <c r="C28" s="240"/>
      <c r="D28" s="264"/>
      <c r="E28" s="244"/>
      <c r="F28" s="243"/>
      <c r="G28" s="276" t="s">
        <v>82</v>
      </c>
      <c r="H28" s="245">
        <v>90.0</v>
      </c>
      <c r="I28" s="2" t="s">
        <v>72</v>
      </c>
    </row>
    <row r="29">
      <c r="A29" s="265"/>
      <c r="B29" s="247">
        <v>45600.0</v>
      </c>
      <c r="C29" s="248"/>
      <c r="D29" s="249"/>
      <c r="F29" s="250"/>
      <c r="G29" s="2" t="s">
        <v>75</v>
      </c>
      <c r="H29" s="267"/>
    </row>
    <row r="30">
      <c r="A30" s="265"/>
      <c r="B30" s="247"/>
      <c r="C30" s="248"/>
      <c r="D30" s="249"/>
      <c r="F30" s="250">
        <v>2270.0</v>
      </c>
      <c r="G30" s="254" t="s">
        <v>227</v>
      </c>
      <c r="H30" s="251"/>
    </row>
    <row r="31">
      <c r="A31" s="265"/>
      <c r="B31" s="247"/>
      <c r="C31" s="248">
        <f>46212.86+69735.93</f>
        <v>115948.79</v>
      </c>
      <c r="D31" s="249"/>
      <c r="F31" s="250"/>
      <c r="G31" s="254" t="s">
        <v>71</v>
      </c>
      <c r="H31" s="251"/>
    </row>
    <row r="32">
      <c r="A32" s="265"/>
      <c r="B32" s="247"/>
      <c r="C32" s="252"/>
      <c r="D32" s="249">
        <v>55903.55</v>
      </c>
      <c r="F32" s="250"/>
      <c r="G32" s="254" t="s">
        <v>114</v>
      </c>
      <c r="H32" s="251"/>
    </row>
    <row r="33">
      <c r="A33" s="265"/>
      <c r="B33" s="247"/>
      <c r="C33" s="248"/>
      <c r="D33" s="249"/>
      <c r="F33" s="250">
        <v>5600.0</v>
      </c>
      <c r="G33" s="254" t="s">
        <v>605</v>
      </c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49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/>
      <c r="C42" s="248"/>
      <c r="D42" s="249">
        <v>66000.0</v>
      </c>
      <c r="F42" s="250"/>
      <c r="G42" s="254" t="s">
        <v>87</v>
      </c>
      <c r="H42" s="267">
        <v>133.0</v>
      </c>
      <c r="I42" s="2" t="s">
        <v>72</v>
      </c>
    </row>
    <row r="43">
      <c r="A43" s="280"/>
      <c r="B43" s="277"/>
      <c r="C43" s="248"/>
      <c r="D43" s="249">
        <v>50000.0</v>
      </c>
      <c r="F43" s="250"/>
      <c r="G43" s="254" t="s">
        <v>122</v>
      </c>
      <c r="H43" s="267"/>
    </row>
    <row r="44">
      <c r="A44" s="280" t="s">
        <v>782</v>
      </c>
      <c r="B44" s="247"/>
      <c r="C44" s="248"/>
      <c r="D44" s="300">
        <f>24257.9+18540.68</f>
        <v>42798.58</v>
      </c>
      <c r="F44" s="250"/>
      <c r="G44" s="254" t="s">
        <v>74</v>
      </c>
      <c r="H44" s="251"/>
    </row>
    <row r="45">
      <c r="A45" s="265"/>
      <c r="B45" s="247"/>
      <c r="C45" s="248"/>
      <c r="D45" s="249">
        <v>4116.53</v>
      </c>
      <c r="F45" s="250"/>
      <c r="G45" s="254" t="s">
        <v>73</v>
      </c>
      <c r="H45" s="251"/>
    </row>
    <row r="46">
      <c r="A46" s="265"/>
      <c r="B46" s="247"/>
      <c r="C46" s="248"/>
      <c r="D46" s="249">
        <v>22641.45</v>
      </c>
      <c r="F46" s="250"/>
      <c r="G46" s="254" t="s">
        <v>377</v>
      </c>
      <c r="H46" s="251"/>
    </row>
    <row r="47">
      <c r="A47" s="265"/>
      <c r="B47" s="247"/>
      <c r="C47" s="252"/>
      <c r="D47" s="249"/>
      <c r="F47" s="250">
        <v>10000.0</v>
      </c>
      <c r="G47" s="254" t="s">
        <v>783</v>
      </c>
      <c r="H47" s="251"/>
    </row>
    <row r="48">
      <c r="A48" s="265"/>
      <c r="B48" s="247"/>
      <c r="C48" s="248"/>
      <c r="D48" s="249"/>
      <c r="F48" s="250">
        <v>1600.0</v>
      </c>
      <c r="G48" s="254" t="s">
        <v>102</v>
      </c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784</v>
      </c>
      <c r="B54" s="239"/>
      <c r="C54" s="263"/>
      <c r="D54" s="264"/>
      <c r="E54" s="242"/>
      <c r="F54" s="243">
        <v>5600.0</v>
      </c>
      <c r="G54" s="276" t="s">
        <v>608</v>
      </c>
      <c r="H54" s="245">
        <v>123.0</v>
      </c>
      <c r="I54" s="2" t="s">
        <v>72</v>
      </c>
    </row>
    <row r="55">
      <c r="A55" s="265"/>
      <c r="B55" s="247"/>
      <c r="C55" s="248"/>
      <c r="D55" s="249"/>
      <c r="F55" s="250">
        <v>869.0</v>
      </c>
      <c r="G55" s="254" t="s">
        <v>150</v>
      </c>
      <c r="H55" s="267"/>
    </row>
    <row r="56">
      <c r="A56" s="265"/>
      <c r="B56" s="339">
        <v>20900.0</v>
      </c>
      <c r="C56" s="248"/>
      <c r="D56" s="249"/>
      <c r="F56" s="250"/>
      <c r="G56" s="254" t="s">
        <v>75</v>
      </c>
      <c r="H56" s="251"/>
    </row>
    <row r="57">
      <c r="A57" s="265"/>
      <c r="B57" s="339"/>
      <c r="C57" s="248">
        <v>41066.61</v>
      </c>
      <c r="D57" s="249"/>
      <c r="F57" s="250"/>
      <c r="G57" s="254" t="s">
        <v>84</v>
      </c>
      <c r="H57" s="267"/>
    </row>
    <row r="58">
      <c r="A58" s="265"/>
      <c r="B58" s="247"/>
      <c r="C58" s="248"/>
      <c r="D58" s="249">
        <v>108262.33</v>
      </c>
      <c r="F58" s="250"/>
      <c r="G58" s="254" t="s">
        <v>100</v>
      </c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49"/>
      <c r="F60" s="250"/>
      <c r="G60" s="254"/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47"/>
      <c r="C62" s="248"/>
      <c r="D62" s="253"/>
      <c r="F62" s="250"/>
      <c r="G62" s="254"/>
      <c r="H62" s="251"/>
    </row>
    <row r="63">
      <c r="A63" s="265"/>
      <c r="B63" s="247"/>
      <c r="C63" s="248"/>
      <c r="D63" s="249"/>
      <c r="F63" s="250"/>
      <c r="G63" s="254"/>
      <c r="H63" s="251"/>
    </row>
    <row r="64">
      <c r="A64" s="265"/>
      <c r="B64" s="247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54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785</v>
      </c>
      <c r="B68" s="239"/>
      <c r="C68" s="263"/>
      <c r="D68" s="264"/>
      <c r="E68" s="244"/>
      <c r="F68" s="243">
        <v>2000.0</v>
      </c>
      <c r="G68" s="276" t="s">
        <v>85</v>
      </c>
      <c r="H68" s="245">
        <v>180.0</v>
      </c>
      <c r="I68" s="2" t="s">
        <v>72</v>
      </c>
    </row>
    <row r="69">
      <c r="A69" s="265"/>
      <c r="B69" s="247">
        <v>32670.0</v>
      </c>
      <c r="C69" s="248"/>
      <c r="D69" s="249"/>
      <c r="F69" s="250"/>
      <c r="G69" s="254" t="s">
        <v>76</v>
      </c>
      <c r="H69" s="267"/>
    </row>
    <row r="70">
      <c r="A70" s="265"/>
      <c r="B70" s="247"/>
      <c r="C70" s="252"/>
      <c r="D70" s="249">
        <v>79217.8</v>
      </c>
      <c r="F70" s="250"/>
      <c r="G70" s="254" t="s">
        <v>91</v>
      </c>
      <c r="H70" s="310"/>
    </row>
    <row r="71">
      <c r="A71" s="265"/>
      <c r="B71" s="247"/>
      <c r="C71" s="248">
        <v>71385.2</v>
      </c>
      <c r="D71" s="249"/>
      <c r="F71" s="250"/>
      <c r="G71" s="254" t="s">
        <v>89</v>
      </c>
      <c r="H71" s="251"/>
    </row>
    <row r="72">
      <c r="A72" s="265"/>
      <c r="B72" s="247">
        <v>20449.0</v>
      </c>
      <c r="C72" s="248"/>
      <c r="D72" s="249"/>
      <c r="F72" s="250"/>
      <c r="G72" s="254" t="s">
        <v>79</v>
      </c>
      <c r="H72" s="251"/>
    </row>
    <row r="73">
      <c r="A73" s="265"/>
      <c r="B73" s="247">
        <v>40898.0</v>
      </c>
      <c r="C73" s="248"/>
      <c r="D73" s="253"/>
      <c r="F73" s="250"/>
      <c r="G73" s="254" t="s">
        <v>79</v>
      </c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49"/>
      <c r="F76" s="250"/>
      <c r="G76" s="254"/>
      <c r="H76" s="251"/>
    </row>
    <row r="77">
      <c r="A77" s="265"/>
      <c r="B77" s="277"/>
      <c r="C77" s="252"/>
      <c r="D77" s="253"/>
      <c r="F77" s="250"/>
      <c r="G77" s="254"/>
      <c r="H77" s="251"/>
    </row>
    <row r="78">
      <c r="A78" s="265"/>
      <c r="B78" s="277"/>
      <c r="C78" s="252"/>
      <c r="D78" s="253"/>
      <c r="F78" s="250"/>
      <c r="G78" s="254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786</v>
      </c>
      <c r="B80" s="239">
        <v>40850.0</v>
      </c>
      <c r="C80" s="263"/>
      <c r="D80" s="241"/>
      <c r="E80" s="242"/>
      <c r="F80" s="243"/>
      <c r="G80" s="276" t="s">
        <v>75</v>
      </c>
      <c r="H80" s="245"/>
    </row>
    <row r="81">
      <c r="A81" s="265"/>
      <c r="B81" s="247">
        <v>26268.94</v>
      </c>
      <c r="C81" s="248"/>
      <c r="D81" s="249"/>
      <c r="F81" s="250"/>
      <c r="G81" s="254" t="s">
        <v>82</v>
      </c>
      <c r="H81" s="267"/>
    </row>
    <row r="82">
      <c r="A82" s="265"/>
      <c r="B82" s="247"/>
      <c r="C82" s="248"/>
      <c r="D82" s="249"/>
      <c r="F82" s="250">
        <v>5600.0</v>
      </c>
      <c r="G82" s="254" t="s">
        <v>605</v>
      </c>
      <c r="H82" s="267"/>
    </row>
    <row r="83">
      <c r="A83" s="265"/>
      <c r="B83" s="247">
        <v>45591.93</v>
      </c>
      <c r="C83" s="248"/>
      <c r="D83" s="249"/>
      <c r="F83" s="250"/>
      <c r="G83" s="254" t="s">
        <v>787</v>
      </c>
      <c r="H83" s="251"/>
    </row>
    <row r="84">
      <c r="A84" s="265"/>
      <c r="B84" s="85"/>
      <c r="C84" s="248"/>
      <c r="D84" s="249">
        <v>192753.0</v>
      </c>
      <c r="F84" s="250"/>
      <c r="G84" s="254" t="s">
        <v>167</v>
      </c>
      <c r="H84" s="251"/>
    </row>
    <row r="85">
      <c r="A85" s="265"/>
      <c r="B85" s="281"/>
      <c r="C85" s="252"/>
      <c r="D85" s="249"/>
      <c r="F85" s="266"/>
      <c r="G85" s="254"/>
      <c r="H85" s="251"/>
    </row>
    <row r="86">
      <c r="A86" s="265"/>
      <c r="B86" s="281"/>
      <c r="C86" s="252"/>
      <c r="D86" s="249"/>
      <c r="F86" s="250"/>
      <c r="G86" s="254"/>
      <c r="H86" s="251"/>
    </row>
    <row r="87">
      <c r="A87" s="265"/>
      <c r="B87" s="247"/>
      <c r="C87" s="252"/>
      <c r="D87" s="249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788</v>
      </c>
      <c r="B96" s="239">
        <v>52984.37</v>
      </c>
      <c r="C96" s="263"/>
      <c r="D96" s="264"/>
      <c r="E96" s="242"/>
      <c r="F96" s="250"/>
      <c r="G96" s="276" t="s">
        <v>142</v>
      </c>
      <c r="H96" s="245">
        <v>76.0</v>
      </c>
      <c r="I96" s="2" t="s">
        <v>107</v>
      </c>
    </row>
    <row r="97">
      <c r="A97" s="265"/>
      <c r="B97" s="247"/>
      <c r="C97" s="248"/>
      <c r="D97" s="249"/>
      <c r="F97" s="250">
        <v>23500.0</v>
      </c>
      <c r="G97" s="2" t="s">
        <v>139</v>
      </c>
      <c r="H97" s="267"/>
    </row>
    <row r="98">
      <c r="A98" s="265"/>
      <c r="B98" s="247"/>
      <c r="C98" s="248"/>
      <c r="D98" s="249"/>
      <c r="F98" s="250"/>
      <c r="G98" s="254"/>
      <c r="H98" s="267"/>
    </row>
    <row r="99">
      <c r="A99" s="265"/>
      <c r="B99" s="247"/>
      <c r="C99" s="248"/>
      <c r="D99" s="249"/>
      <c r="F99" s="250"/>
      <c r="G99" s="254"/>
      <c r="H99" s="251"/>
      <c r="I99" s="340"/>
      <c r="J99" s="340"/>
      <c r="K99" s="340" t="s">
        <v>622</v>
      </c>
      <c r="L99" s="2" t="s">
        <v>623</v>
      </c>
    </row>
    <row r="100">
      <c r="A100" s="265"/>
      <c r="B100" s="330"/>
      <c r="C100" s="338"/>
      <c r="D100" s="314"/>
      <c r="E100" s="290"/>
      <c r="F100" s="335"/>
      <c r="G100" s="292"/>
      <c r="H100" s="251"/>
      <c r="I100" s="341"/>
      <c r="J100" s="340"/>
      <c r="K100" s="340" t="s">
        <v>624</v>
      </c>
    </row>
    <row r="101">
      <c r="A101" s="265"/>
      <c r="B101" s="247"/>
      <c r="C101" s="252"/>
      <c r="D101" s="249"/>
      <c r="F101" s="250"/>
      <c r="G101" s="254"/>
      <c r="H101" s="251"/>
      <c r="I101" s="340"/>
      <c r="J101" s="340"/>
      <c r="K101" s="341"/>
    </row>
    <row r="102">
      <c r="A102" s="265"/>
      <c r="B102" s="247"/>
      <c r="C102" s="252"/>
      <c r="D102" s="249"/>
      <c r="F102" s="250"/>
      <c r="G102" s="254"/>
      <c r="H102" s="251"/>
      <c r="I102" s="340"/>
      <c r="J102" s="341"/>
      <c r="K102" s="34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48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7"/>
      <c r="C108" s="252"/>
      <c r="D108" s="253"/>
      <c r="F108" s="282"/>
      <c r="G108" s="254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789</v>
      </c>
      <c r="B110" s="239"/>
      <c r="C110" s="263"/>
      <c r="D110" s="264">
        <v>58705.09</v>
      </c>
      <c r="E110" s="244"/>
      <c r="F110" s="243"/>
      <c r="G110" s="276" t="s">
        <v>114</v>
      </c>
      <c r="H110" s="245" t="s">
        <v>790</v>
      </c>
      <c r="I110" s="2" t="s">
        <v>72</v>
      </c>
    </row>
    <row r="111">
      <c r="A111" s="265"/>
      <c r="B111" s="247"/>
      <c r="C111" s="248"/>
      <c r="D111" s="249"/>
      <c r="F111" s="250">
        <v>5600.0</v>
      </c>
      <c r="G111" s="254" t="s">
        <v>605</v>
      </c>
      <c r="H111" s="267"/>
    </row>
    <row r="112">
      <c r="A112" s="265"/>
      <c r="B112" s="247"/>
      <c r="C112" s="248">
        <f>69393.5+44354.97</f>
        <v>113748.47</v>
      </c>
      <c r="D112" s="249"/>
      <c r="F112" s="250"/>
      <c r="G112" s="26" t="s">
        <v>71</v>
      </c>
      <c r="H112" s="251"/>
    </row>
    <row r="113">
      <c r="A113" s="265"/>
      <c r="B113" s="247">
        <v>26268.94</v>
      </c>
      <c r="C113" s="248"/>
      <c r="D113" s="249"/>
      <c r="F113" s="250"/>
      <c r="G113" s="254" t="s">
        <v>82</v>
      </c>
      <c r="H113" s="251"/>
    </row>
    <row r="114">
      <c r="A114" s="265"/>
      <c r="B114" s="247">
        <v>23300.0</v>
      </c>
      <c r="C114" s="248"/>
      <c r="D114" s="249"/>
      <c r="F114" s="250"/>
      <c r="G114" s="254" t="s">
        <v>75</v>
      </c>
      <c r="H114" s="251"/>
    </row>
    <row r="115">
      <c r="A115" s="265"/>
      <c r="B115" s="247"/>
      <c r="C115" s="248"/>
      <c r="D115" s="249"/>
      <c r="F115" s="250">
        <v>3700.0</v>
      </c>
      <c r="G115" s="254" t="s">
        <v>708</v>
      </c>
      <c r="H115" s="251"/>
    </row>
    <row r="116">
      <c r="A116" s="265"/>
      <c r="B116" s="247">
        <v>20900.0</v>
      </c>
      <c r="C116" s="252"/>
      <c r="D116" s="253"/>
      <c r="F116" s="250"/>
      <c r="G116" s="254" t="s">
        <v>791</v>
      </c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792</v>
      </c>
      <c r="B128" s="239">
        <v>25798.01</v>
      </c>
      <c r="C128" s="263"/>
      <c r="D128" s="264"/>
      <c r="E128" s="242"/>
      <c r="F128" s="243"/>
      <c r="G128" s="276" t="s">
        <v>74</v>
      </c>
      <c r="H128" s="245">
        <v>110.0</v>
      </c>
      <c r="I128" s="2" t="s">
        <v>72</v>
      </c>
    </row>
    <row r="129">
      <c r="A129" s="265"/>
      <c r="B129" s="247">
        <v>4116.53</v>
      </c>
      <c r="C129" s="252"/>
      <c r="D129" s="249"/>
      <c r="F129" s="250"/>
      <c r="G129" s="254" t="s">
        <v>73</v>
      </c>
      <c r="H129" s="267"/>
    </row>
    <row r="130">
      <c r="A130" s="265"/>
      <c r="B130" s="247"/>
      <c r="C130" s="248"/>
      <c r="D130" s="249">
        <v>38990.0</v>
      </c>
      <c r="F130" s="250"/>
      <c r="G130" s="254" t="s">
        <v>793</v>
      </c>
      <c r="H130" s="251"/>
    </row>
    <row r="131">
      <c r="A131" s="265"/>
      <c r="B131" s="247"/>
      <c r="C131" s="248"/>
      <c r="D131" s="249"/>
      <c r="F131" s="250">
        <v>498.0</v>
      </c>
      <c r="G131" s="254" t="s">
        <v>97</v>
      </c>
      <c r="H131" s="251"/>
    </row>
    <row r="132">
      <c r="A132" s="265"/>
      <c r="B132" s="247">
        <v>66000.0</v>
      </c>
      <c r="C132" s="248"/>
      <c r="D132" s="249"/>
      <c r="F132" s="250"/>
      <c r="G132" s="254" t="s">
        <v>87</v>
      </c>
      <c r="H132" s="251"/>
    </row>
    <row r="133">
      <c r="A133" s="265"/>
      <c r="B133" s="247">
        <v>50000.0</v>
      </c>
      <c r="C133" s="252"/>
      <c r="D133" s="249"/>
      <c r="F133" s="250"/>
      <c r="G133" s="254" t="s">
        <v>122</v>
      </c>
      <c r="H133" s="251"/>
    </row>
    <row r="134">
      <c r="A134" s="265"/>
      <c r="B134" s="247">
        <v>38742.0</v>
      </c>
      <c r="C134" s="252"/>
      <c r="D134" s="249"/>
      <c r="F134" s="250"/>
      <c r="G134" s="254" t="s">
        <v>794</v>
      </c>
      <c r="H134" s="251"/>
    </row>
    <row r="135">
      <c r="A135" s="265"/>
      <c r="B135" s="283"/>
      <c r="C135" s="248"/>
      <c r="D135" s="249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795</v>
      </c>
      <c r="B143" s="239"/>
      <c r="C143" s="263"/>
      <c r="D143" s="264"/>
      <c r="E143" s="242"/>
      <c r="F143" s="243">
        <v>5600.0</v>
      </c>
      <c r="G143" s="276" t="s">
        <v>608</v>
      </c>
      <c r="H143" s="245">
        <v>150.0</v>
      </c>
    </row>
    <row r="144">
      <c r="A144" s="265"/>
      <c r="B144" s="247">
        <v>12982.92</v>
      </c>
      <c r="C144" s="252"/>
      <c r="D144" s="249"/>
      <c r="F144" s="250"/>
      <c r="G144" s="254" t="s">
        <v>82</v>
      </c>
      <c r="H144" s="251"/>
    </row>
    <row r="145">
      <c r="A145" s="265"/>
      <c r="B145" s="247"/>
      <c r="C145" s="248">
        <v>88438.13</v>
      </c>
      <c r="D145" s="249"/>
      <c r="F145" s="284"/>
      <c r="G145" s="285" t="s">
        <v>84</v>
      </c>
      <c r="H145" s="251"/>
    </row>
    <row r="146">
      <c r="A146" s="265"/>
      <c r="B146" s="247">
        <v>44472.82</v>
      </c>
      <c r="C146" s="252"/>
      <c r="D146" s="249"/>
      <c r="F146" s="250"/>
      <c r="G146" s="254" t="s">
        <v>142</v>
      </c>
      <c r="H146" s="251"/>
    </row>
    <row r="147">
      <c r="A147" s="265"/>
      <c r="B147" s="247">
        <v>45750.0</v>
      </c>
      <c r="C147" s="252"/>
      <c r="D147" s="249"/>
      <c r="F147" s="250"/>
      <c r="G147" s="254" t="s">
        <v>75</v>
      </c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796</v>
      </c>
      <c r="B158" s="239"/>
      <c r="C158" s="263"/>
      <c r="D158" s="264">
        <v>20449.0</v>
      </c>
      <c r="E158" s="242"/>
      <c r="F158" s="243"/>
      <c r="G158" s="276" t="s">
        <v>797</v>
      </c>
      <c r="H158" s="245">
        <v>96.0</v>
      </c>
    </row>
    <row r="159">
      <c r="A159" s="265"/>
      <c r="B159" s="247"/>
      <c r="C159" s="252"/>
      <c r="D159" s="249">
        <v>26320.0</v>
      </c>
      <c r="F159" s="250"/>
      <c r="G159" s="254" t="s">
        <v>76</v>
      </c>
      <c r="H159" s="267"/>
    </row>
    <row r="160">
      <c r="A160" s="265"/>
      <c r="B160" s="247"/>
      <c r="C160" s="248">
        <v>75135.25</v>
      </c>
      <c r="D160" s="249"/>
      <c r="F160" s="250"/>
      <c r="G160" s="254" t="s">
        <v>89</v>
      </c>
      <c r="H160" s="251"/>
    </row>
    <row r="161">
      <c r="A161" s="265"/>
      <c r="B161" s="247">
        <v>19040.0</v>
      </c>
      <c r="C161" s="248"/>
      <c r="D161" s="249"/>
      <c r="F161" s="250"/>
      <c r="G161" s="254" t="s">
        <v>798</v>
      </c>
      <c r="H161" s="251"/>
    </row>
    <row r="162">
      <c r="A162" s="265"/>
      <c r="B162" s="247"/>
      <c r="C162" s="248"/>
      <c r="D162" s="253"/>
      <c r="F162" s="250">
        <v>1160.0</v>
      </c>
      <c r="G162" s="254" t="s">
        <v>103</v>
      </c>
      <c r="H162" s="251"/>
    </row>
    <row r="163">
      <c r="A163" s="265"/>
      <c r="B163" s="247">
        <v>70000.0</v>
      </c>
      <c r="C163" s="248"/>
      <c r="D163" s="249"/>
      <c r="F163" s="250"/>
      <c r="G163" s="254" t="s">
        <v>799</v>
      </c>
      <c r="H163" s="251"/>
    </row>
    <row r="164">
      <c r="A164" s="265"/>
      <c r="B164" s="247"/>
      <c r="C164" s="248"/>
      <c r="D164" s="249"/>
      <c r="F164" s="250">
        <v>23200.0</v>
      </c>
      <c r="G164" s="254" t="s">
        <v>396</v>
      </c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800</v>
      </c>
      <c r="B168" s="239"/>
      <c r="C168" s="263"/>
      <c r="D168" s="264"/>
      <c r="E168" s="244"/>
      <c r="F168" s="250">
        <v>5600.0</v>
      </c>
      <c r="G168" s="276" t="s">
        <v>605</v>
      </c>
      <c r="H168" s="245">
        <v>160.0</v>
      </c>
    </row>
    <row r="169">
      <c r="A169" s="265"/>
      <c r="B169" s="247">
        <v>19050.0</v>
      </c>
      <c r="C169" s="315"/>
      <c r="D169" s="249"/>
      <c r="F169" s="250"/>
      <c r="G169" s="254" t="s">
        <v>75</v>
      </c>
      <c r="H169" s="267"/>
    </row>
    <row r="170">
      <c r="A170" s="265"/>
      <c r="B170" s="247">
        <v>13791.28</v>
      </c>
      <c r="C170" s="248"/>
      <c r="D170" s="249"/>
      <c r="F170" s="250"/>
      <c r="G170" s="254" t="s">
        <v>82</v>
      </c>
      <c r="H170" s="267"/>
    </row>
    <row r="171">
      <c r="A171" s="265"/>
      <c r="B171" s="247">
        <v>30833.24</v>
      </c>
      <c r="C171" s="248"/>
      <c r="D171" s="249"/>
      <c r="F171" s="250"/>
      <c r="G171" s="254" t="s">
        <v>103</v>
      </c>
      <c r="H171" s="251"/>
    </row>
    <row r="172">
      <c r="A172" s="265"/>
      <c r="B172" s="247"/>
      <c r="C172" s="248"/>
      <c r="D172" s="249"/>
      <c r="E172" s="254"/>
      <c r="F172" s="250"/>
      <c r="G172" s="254"/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801</v>
      </c>
      <c r="B183" s="247"/>
      <c r="C183" s="248">
        <v>74611.02</v>
      </c>
      <c r="D183" s="249"/>
      <c r="F183" s="250"/>
      <c r="G183" s="254" t="s">
        <v>71</v>
      </c>
      <c r="H183" s="286"/>
      <c r="I183" s="2" t="s">
        <v>802</v>
      </c>
    </row>
    <row r="184">
      <c r="A184" s="265"/>
      <c r="B184" s="247">
        <v>20925.67</v>
      </c>
      <c r="C184" s="248"/>
      <c r="D184" s="249"/>
      <c r="F184" s="250"/>
      <c r="G184" s="254" t="s">
        <v>74</v>
      </c>
      <c r="H184" s="251"/>
      <c r="I184" s="2" t="s">
        <v>803</v>
      </c>
    </row>
    <row r="185">
      <c r="A185" s="265"/>
      <c r="B185" s="247">
        <v>19078.65</v>
      </c>
      <c r="C185" s="248"/>
      <c r="D185" s="249"/>
      <c r="F185" s="250"/>
      <c r="G185" s="254" t="s">
        <v>73</v>
      </c>
      <c r="H185" s="267"/>
      <c r="I185" s="2" t="s">
        <v>804</v>
      </c>
    </row>
    <row r="186">
      <c r="A186" s="265"/>
      <c r="B186" s="247"/>
      <c r="C186" s="248"/>
      <c r="D186" s="249"/>
      <c r="F186" s="250">
        <v>23500.0</v>
      </c>
      <c r="G186" s="254" t="s">
        <v>68</v>
      </c>
      <c r="H186" s="251"/>
      <c r="I186" s="2" t="s">
        <v>805</v>
      </c>
    </row>
    <row r="187">
      <c r="A187" s="265"/>
      <c r="B187" s="247"/>
      <c r="C187" s="248"/>
      <c r="D187" s="249">
        <v>88511.5</v>
      </c>
      <c r="F187" s="250"/>
      <c r="G187" s="254" t="s">
        <v>92</v>
      </c>
      <c r="H187" s="267">
        <v>87.7</v>
      </c>
    </row>
    <row r="188">
      <c r="A188" s="265"/>
      <c r="B188" s="247"/>
      <c r="C188" s="252"/>
      <c r="D188" s="249"/>
      <c r="F188" s="250"/>
      <c r="G188" s="254"/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49"/>
      <c r="F191" s="250"/>
      <c r="G191" s="254"/>
      <c r="H191" s="251"/>
    </row>
    <row r="192">
      <c r="A192" s="265"/>
      <c r="B192" s="247"/>
      <c r="C192" s="252"/>
      <c r="D192" s="249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806</v>
      </c>
      <c r="B199" s="239">
        <v>66000.0</v>
      </c>
      <c r="C199" s="263"/>
      <c r="D199" s="264"/>
      <c r="E199" s="244"/>
      <c r="F199" s="243"/>
      <c r="G199" s="276" t="s">
        <v>87</v>
      </c>
      <c r="H199" s="245">
        <f>72.5+90</f>
        <v>162.5</v>
      </c>
    </row>
    <row r="200">
      <c r="A200" s="265"/>
      <c r="B200" s="247"/>
      <c r="C200" s="248"/>
      <c r="D200" s="249">
        <v>37246.42</v>
      </c>
      <c r="F200" s="250"/>
      <c r="G200" s="254" t="s">
        <v>114</v>
      </c>
      <c r="H200" s="267"/>
    </row>
    <row r="201">
      <c r="A201" s="265"/>
      <c r="B201" s="247">
        <v>24600.0</v>
      </c>
      <c r="C201" s="252"/>
      <c r="D201" s="249"/>
      <c r="F201" s="250"/>
      <c r="G201" s="254" t="s">
        <v>75</v>
      </c>
      <c r="H201" s="251"/>
    </row>
    <row r="202">
      <c r="A202" s="265"/>
      <c r="B202" s="247">
        <v>29967.45</v>
      </c>
      <c r="C202" s="248"/>
      <c r="D202" s="249"/>
      <c r="F202" s="250"/>
      <c r="G202" s="254" t="s">
        <v>82</v>
      </c>
      <c r="H202" s="251"/>
    </row>
    <row r="203">
      <c r="A203" s="265"/>
      <c r="B203" s="247"/>
      <c r="C203" s="248"/>
      <c r="D203" s="249"/>
      <c r="F203" s="250">
        <v>5600.0</v>
      </c>
      <c r="G203" s="254" t="s">
        <v>605</v>
      </c>
      <c r="H203" s="251"/>
    </row>
    <row r="204">
      <c r="A204" s="265"/>
      <c r="B204" s="247">
        <v>20676.0</v>
      </c>
      <c r="C204" s="248"/>
      <c r="D204" s="249"/>
      <c r="F204" s="250"/>
      <c r="G204" s="254" t="s">
        <v>807</v>
      </c>
      <c r="H204" s="267"/>
    </row>
    <row r="205">
      <c r="A205" s="265"/>
      <c r="B205" s="247"/>
      <c r="C205" s="248"/>
      <c r="D205" s="249">
        <v>213928.0</v>
      </c>
      <c r="F205" s="250"/>
      <c r="G205" s="316" t="s">
        <v>167</v>
      </c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47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808</v>
      </c>
      <c r="B214" s="239"/>
      <c r="C214" s="263"/>
      <c r="D214" s="264">
        <v>50000.0</v>
      </c>
      <c r="E214" s="242"/>
      <c r="F214" s="243"/>
      <c r="G214" s="276" t="s">
        <v>122</v>
      </c>
      <c r="H214" s="245">
        <v>143.0</v>
      </c>
    </row>
    <row r="215">
      <c r="A215" s="265"/>
      <c r="B215" s="247"/>
      <c r="C215" s="248"/>
      <c r="D215" s="249"/>
      <c r="F215" s="250">
        <v>87300.0</v>
      </c>
      <c r="G215" s="254" t="s">
        <v>809</v>
      </c>
      <c r="H215" s="267"/>
    </row>
    <row r="216">
      <c r="A216" s="265"/>
      <c r="B216" s="247"/>
      <c r="C216" s="252"/>
      <c r="D216" s="249">
        <v>262400.0</v>
      </c>
      <c r="F216" s="250"/>
      <c r="G216" s="254" t="s">
        <v>144</v>
      </c>
      <c r="H216" s="251"/>
    </row>
    <row r="217">
      <c r="A217" s="265"/>
      <c r="B217" s="247">
        <v>22000.0</v>
      </c>
      <c r="C217" s="248"/>
      <c r="D217" s="249"/>
      <c r="F217" s="250"/>
      <c r="G217" s="254" t="s">
        <v>810</v>
      </c>
      <c r="H217" s="251"/>
    </row>
    <row r="218">
      <c r="A218" s="265"/>
      <c r="B218" s="247"/>
      <c r="C218" s="252"/>
      <c r="D218" s="253"/>
      <c r="F218" s="250"/>
      <c r="G218" s="254"/>
      <c r="H218" s="251"/>
    </row>
    <row r="219">
      <c r="A219" s="265"/>
      <c r="B219" s="247"/>
      <c r="C219" s="248"/>
      <c r="D219" s="253"/>
      <c r="F219" s="250"/>
      <c r="G219" s="254"/>
      <c r="H219" s="251"/>
    </row>
    <row r="220">
      <c r="A220" s="265"/>
      <c r="B220" s="247"/>
      <c r="C220" s="252"/>
      <c r="D220" s="249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7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7"/>
      <c r="C224" s="252"/>
      <c r="D224" s="253"/>
      <c r="E224" s="269"/>
      <c r="F224" s="282"/>
      <c r="G224" s="254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811</v>
      </c>
      <c r="B226" s="239">
        <v>43300.0</v>
      </c>
      <c r="C226" s="263"/>
      <c r="D226" s="264"/>
      <c r="E226" s="276"/>
      <c r="F226" s="243"/>
      <c r="G226" s="276" t="s">
        <v>75</v>
      </c>
      <c r="H226" s="245">
        <f>33.2+70</f>
        <v>103.2</v>
      </c>
      <c r="I226" s="254"/>
      <c r="J226" s="254"/>
      <c r="K226" s="254"/>
    </row>
    <row r="227">
      <c r="A227" s="265"/>
      <c r="B227" s="247"/>
      <c r="C227" s="252"/>
      <c r="D227" s="249"/>
      <c r="F227" s="250">
        <v>5600.0</v>
      </c>
      <c r="G227" s="254" t="s">
        <v>812</v>
      </c>
      <c r="H227" s="251"/>
      <c r="I227" s="269"/>
      <c r="J227" s="254"/>
      <c r="K227" s="254"/>
    </row>
    <row r="228">
      <c r="A228" s="265"/>
      <c r="B228" s="247"/>
      <c r="C228" s="248">
        <v>53034.57</v>
      </c>
      <c r="D228" s="249"/>
      <c r="F228" s="250"/>
      <c r="G228" s="254" t="s">
        <v>84</v>
      </c>
      <c r="H228" s="251"/>
      <c r="I228" s="269"/>
      <c r="J228" s="254"/>
      <c r="K228" s="254"/>
    </row>
    <row r="229">
      <c r="A229" s="265"/>
      <c r="B229" s="247">
        <v>20686.92</v>
      </c>
      <c r="C229" s="248"/>
      <c r="D229" s="249"/>
      <c r="E229" s="254"/>
      <c r="F229" s="250"/>
      <c r="G229" s="254" t="s">
        <v>82</v>
      </c>
      <c r="H229" s="251"/>
      <c r="I229" s="269"/>
      <c r="J229" s="269"/>
      <c r="K229" s="269"/>
    </row>
    <row r="230">
      <c r="A230" s="265"/>
      <c r="B230" s="247">
        <v>42897.3</v>
      </c>
      <c r="C230" s="248"/>
      <c r="D230" s="253"/>
      <c r="E230" s="269"/>
      <c r="F230" s="250"/>
      <c r="G230" s="254" t="s">
        <v>142</v>
      </c>
      <c r="H230" s="251"/>
      <c r="I230" s="269"/>
      <c r="J230" s="269"/>
      <c r="K230" s="269"/>
    </row>
    <row r="231">
      <c r="A231" s="265"/>
      <c r="B231" s="247">
        <v>7000.0</v>
      </c>
      <c r="C231" s="248"/>
      <c r="D231" s="249"/>
      <c r="E231" s="269"/>
      <c r="F231" s="250"/>
      <c r="G231" s="254" t="s">
        <v>813</v>
      </c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814</v>
      </c>
      <c r="B241" s="239">
        <v>4095.0</v>
      </c>
      <c r="C241" s="263"/>
      <c r="D241" s="264"/>
      <c r="E241" s="242"/>
      <c r="F241" s="243"/>
      <c r="G241" s="2" t="s">
        <v>267</v>
      </c>
      <c r="H241" s="245">
        <v>152.0</v>
      </c>
    </row>
    <row r="242">
      <c r="A242" s="265"/>
      <c r="B242" s="247"/>
      <c r="C242" s="248">
        <v>68362.13</v>
      </c>
      <c r="D242" s="249"/>
      <c r="F242" s="250"/>
      <c r="G242" s="254" t="s">
        <v>89</v>
      </c>
      <c r="H242" s="267"/>
    </row>
    <row r="243">
      <c r="A243" s="265"/>
      <c r="B243" s="247">
        <v>33590.0</v>
      </c>
      <c r="C243" s="248"/>
      <c r="D243" s="249"/>
      <c r="F243" s="250"/>
      <c r="G243" s="254" t="s">
        <v>76</v>
      </c>
      <c r="H243" s="251"/>
    </row>
    <row r="244">
      <c r="A244" s="265"/>
      <c r="B244" s="247"/>
      <c r="C244" s="248"/>
      <c r="D244" s="249"/>
      <c r="F244" s="250"/>
      <c r="G244" s="254"/>
      <c r="H244" s="251"/>
    </row>
    <row r="245">
      <c r="A245" s="265"/>
      <c r="B245" s="247"/>
      <c r="C245" s="252"/>
      <c r="D245" s="249"/>
      <c r="F245" s="250"/>
      <c r="G245" s="254"/>
      <c r="H245" s="267"/>
    </row>
    <row r="246">
      <c r="A246" s="265"/>
      <c r="B246" s="247"/>
      <c r="C246" s="248"/>
      <c r="D246" s="253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815</v>
      </c>
      <c r="B255" s="239"/>
      <c r="C255" s="263"/>
      <c r="D255" s="264"/>
      <c r="E255" s="244"/>
      <c r="F255" s="243">
        <v>5600.0</v>
      </c>
      <c r="G255" s="276" t="s">
        <v>605</v>
      </c>
      <c r="H255" s="245">
        <f>34.3+90</f>
        <v>124.3</v>
      </c>
    </row>
    <row r="256">
      <c r="A256" s="265"/>
      <c r="B256" s="247"/>
      <c r="C256" s="248"/>
      <c r="D256" s="249"/>
      <c r="F256" s="250">
        <v>2400.0</v>
      </c>
      <c r="G256" s="254" t="s">
        <v>288</v>
      </c>
      <c r="H256" s="251"/>
      <c r="I256" s="2" t="s">
        <v>816</v>
      </c>
    </row>
    <row r="257">
      <c r="A257" s="265"/>
      <c r="B257" s="247">
        <v>20686.92</v>
      </c>
      <c r="C257" s="252"/>
      <c r="D257" s="249"/>
      <c r="F257" s="250"/>
      <c r="G257" s="254" t="s">
        <v>82</v>
      </c>
      <c r="H257" s="251"/>
      <c r="I257" s="2" t="s">
        <v>817</v>
      </c>
    </row>
    <row r="258">
      <c r="A258" s="265"/>
      <c r="B258" s="247">
        <v>19850.0</v>
      </c>
      <c r="C258" s="248"/>
      <c r="D258" s="249"/>
      <c r="F258" s="250"/>
      <c r="G258" s="254" t="s">
        <v>75</v>
      </c>
      <c r="H258" s="267"/>
    </row>
    <row r="259">
      <c r="A259" s="265"/>
      <c r="B259" s="247">
        <v>72288.58</v>
      </c>
      <c r="C259" s="248"/>
      <c r="D259" s="249"/>
      <c r="F259" s="250"/>
      <c r="G259" s="254" t="s">
        <v>103</v>
      </c>
      <c r="H259" s="251"/>
    </row>
    <row r="260">
      <c r="A260" s="265"/>
      <c r="B260" s="247"/>
      <c r="C260" s="248"/>
      <c r="D260" s="249"/>
      <c r="F260" s="250"/>
      <c r="G260" s="254"/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48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818</v>
      </c>
      <c r="B270" s="239"/>
      <c r="C270" s="263">
        <v>110960.63</v>
      </c>
      <c r="D270" s="249"/>
      <c r="F270" s="250"/>
      <c r="G270" s="254" t="s">
        <v>71</v>
      </c>
      <c r="H270" s="245">
        <v>92.0</v>
      </c>
    </row>
    <row r="271">
      <c r="A271" s="265"/>
      <c r="B271" s="247">
        <v>5632.0</v>
      </c>
      <c r="C271" s="248"/>
      <c r="D271" s="249"/>
      <c r="F271" s="250"/>
      <c r="G271" s="254" t="s">
        <v>291</v>
      </c>
      <c r="H271" s="267"/>
    </row>
    <row r="272">
      <c r="A272" s="265"/>
      <c r="B272" s="247">
        <v>66000.0</v>
      </c>
      <c r="C272" s="248"/>
      <c r="D272" s="253"/>
      <c r="F272" s="250"/>
      <c r="G272" s="254" t="s">
        <v>87</v>
      </c>
      <c r="H272" s="251"/>
    </row>
    <row r="273">
      <c r="A273" s="265"/>
      <c r="B273" s="247"/>
      <c r="C273" s="248"/>
      <c r="D273" s="249"/>
      <c r="F273" s="250">
        <v>23500.0</v>
      </c>
      <c r="G273" s="254" t="s">
        <v>68</v>
      </c>
      <c r="H273" s="251"/>
    </row>
    <row r="274">
      <c r="A274" s="265"/>
      <c r="B274" s="247"/>
      <c r="C274" s="248"/>
      <c r="D274" s="249"/>
      <c r="F274" s="250"/>
      <c r="G274" s="254"/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819</v>
      </c>
      <c r="B283" s="239">
        <v>24600.0</v>
      </c>
      <c r="C283" s="263"/>
      <c r="D283" s="264"/>
      <c r="E283" s="244"/>
      <c r="F283" s="243"/>
      <c r="G283" s="276" t="s">
        <v>75</v>
      </c>
      <c r="H283" s="245">
        <v>150.0</v>
      </c>
    </row>
    <row r="284">
      <c r="A284" s="265"/>
      <c r="B284" s="247"/>
      <c r="C284" s="248"/>
      <c r="D284" s="249"/>
      <c r="F284" s="250">
        <v>5600.0</v>
      </c>
      <c r="G284" s="254" t="s">
        <v>820</v>
      </c>
      <c r="H284" s="267"/>
      <c r="I284" s="2" t="s">
        <v>821</v>
      </c>
    </row>
    <row r="285">
      <c r="A285" s="265"/>
      <c r="B285" s="247"/>
      <c r="C285" s="248"/>
      <c r="D285" s="249">
        <v>57477.147</v>
      </c>
      <c r="F285" s="250"/>
      <c r="G285" s="254" t="s">
        <v>114</v>
      </c>
      <c r="H285" s="251"/>
    </row>
    <row r="286">
      <c r="A286" s="265"/>
      <c r="B286" s="247"/>
      <c r="C286" s="248"/>
      <c r="D286" s="249"/>
      <c r="F286" s="250"/>
      <c r="G286" s="254"/>
      <c r="H286" s="251"/>
    </row>
    <row r="287">
      <c r="A287" s="265"/>
      <c r="B287" s="247"/>
      <c r="C287" s="252"/>
      <c r="D287" s="249"/>
      <c r="F287" s="250"/>
      <c r="G287" s="254"/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822</v>
      </c>
      <c r="B299" s="239"/>
      <c r="C299" s="263"/>
      <c r="D299" s="264">
        <v>19578.41</v>
      </c>
      <c r="E299" s="244"/>
      <c r="F299" s="243"/>
      <c r="G299" s="276" t="s">
        <v>91</v>
      </c>
      <c r="H299" s="245">
        <v>107.0</v>
      </c>
    </row>
    <row r="300">
      <c r="A300" s="265"/>
      <c r="B300" s="247"/>
      <c r="C300" s="248"/>
      <c r="D300" s="249">
        <f>23967.42+2145.92</f>
        <v>26113.34</v>
      </c>
      <c r="F300" s="250"/>
      <c r="G300" s="254" t="s">
        <v>74</v>
      </c>
      <c r="H300" s="267"/>
    </row>
    <row r="301">
      <c r="A301" s="265"/>
      <c r="B301" s="247"/>
      <c r="C301" s="248"/>
      <c r="D301" s="249">
        <v>2058.26</v>
      </c>
      <c r="F301" s="250"/>
      <c r="G301" s="254" t="s">
        <v>73</v>
      </c>
      <c r="H301" s="251"/>
      <c r="I301" s="2" t="s">
        <v>823</v>
      </c>
    </row>
    <row r="302">
      <c r="A302" s="265"/>
      <c r="B302" s="247"/>
      <c r="C302" s="248"/>
      <c r="D302" s="249">
        <v>20449.0</v>
      </c>
      <c r="F302" s="250"/>
      <c r="G302" s="254" t="s">
        <v>79</v>
      </c>
      <c r="H302" s="251"/>
    </row>
    <row r="303">
      <c r="A303" s="265"/>
      <c r="B303" s="247"/>
      <c r="C303" s="252"/>
      <c r="D303" s="249"/>
      <c r="F303" s="250">
        <v>2995.0</v>
      </c>
      <c r="G303" s="254" t="s">
        <v>344</v>
      </c>
      <c r="H303" s="251"/>
    </row>
    <row r="304">
      <c r="A304" s="265"/>
      <c r="B304" s="247"/>
      <c r="C304" s="248"/>
      <c r="D304" s="249"/>
      <c r="F304" s="250"/>
      <c r="G304" s="254"/>
      <c r="H304" s="267"/>
    </row>
    <row r="305">
      <c r="A305" s="265"/>
      <c r="B305" s="247"/>
      <c r="C305" s="248"/>
      <c r="D305" s="253"/>
      <c r="F305" s="250"/>
      <c r="G305" s="254"/>
      <c r="H305" s="267"/>
    </row>
    <row r="306">
      <c r="A306" s="265"/>
      <c r="B306" s="247"/>
      <c r="C306" s="248"/>
      <c r="D306" s="253"/>
      <c r="F306" s="250"/>
      <c r="G306" s="254"/>
      <c r="H306" s="267"/>
    </row>
    <row r="307">
      <c r="A307" s="265"/>
      <c r="B307" s="247"/>
      <c r="C307" s="252"/>
      <c r="D307" s="253"/>
      <c r="F307" s="250"/>
      <c r="G307" s="254"/>
      <c r="H307" s="251"/>
    </row>
    <row r="308">
      <c r="A308" s="265"/>
      <c r="B308" s="268"/>
      <c r="C308" s="252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824</v>
      </c>
      <c r="B314" s="239">
        <v>1500.0</v>
      </c>
      <c r="C314" s="263"/>
      <c r="D314" s="264"/>
      <c r="E314" s="242"/>
      <c r="F314" s="250"/>
      <c r="G314" s="254" t="s">
        <v>85</v>
      </c>
      <c r="H314" s="245"/>
    </row>
    <row r="315">
      <c r="A315" s="265"/>
      <c r="B315" s="247">
        <v>45900.0</v>
      </c>
      <c r="C315" s="252"/>
      <c r="D315" s="253"/>
      <c r="F315" s="250"/>
      <c r="G315" s="254" t="s">
        <v>75</v>
      </c>
      <c r="H315" s="267"/>
    </row>
    <row r="316">
      <c r="A316" s="265"/>
      <c r="B316" s="247"/>
      <c r="C316" s="248"/>
      <c r="D316" s="249">
        <v>62160.0</v>
      </c>
      <c r="F316" s="250"/>
      <c r="G316" s="254" t="s">
        <v>825</v>
      </c>
      <c r="H316" s="251"/>
    </row>
    <row r="317">
      <c r="A317" s="265"/>
      <c r="B317" s="247">
        <v>44336.0</v>
      </c>
      <c r="C317" s="248"/>
      <c r="D317" s="249"/>
      <c r="F317" s="250"/>
      <c r="G317" s="254" t="s">
        <v>82</v>
      </c>
      <c r="H317" s="251"/>
      <c r="I317" s="2" t="s">
        <v>826</v>
      </c>
    </row>
    <row r="318">
      <c r="A318" s="265"/>
      <c r="B318" s="247"/>
      <c r="C318" s="248">
        <v>85335.19</v>
      </c>
      <c r="D318" s="249"/>
      <c r="F318" s="250"/>
      <c r="G318" s="254" t="s">
        <v>84</v>
      </c>
      <c r="H318" s="267"/>
    </row>
    <row r="319">
      <c r="A319" s="265"/>
      <c r="B319" s="247">
        <v>32416.72</v>
      </c>
      <c r="C319" s="252"/>
      <c r="D319" s="249"/>
      <c r="F319" s="250"/>
      <c r="G319" s="254" t="s">
        <v>142</v>
      </c>
      <c r="H319" s="267"/>
    </row>
    <row r="320">
      <c r="A320" s="265"/>
      <c r="B320" s="247">
        <v>4700.0</v>
      </c>
      <c r="C320" s="252"/>
      <c r="D320" s="249"/>
      <c r="F320" s="250"/>
      <c r="G320" s="254" t="s">
        <v>549</v>
      </c>
      <c r="H320" s="251"/>
    </row>
    <row r="321">
      <c r="A321" s="265"/>
      <c r="B321" s="247"/>
      <c r="C321" s="252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827</v>
      </c>
      <c r="B329" s="239"/>
      <c r="C329" s="263"/>
      <c r="D329" s="264"/>
      <c r="E329" s="242"/>
      <c r="F329" s="243">
        <v>710.0</v>
      </c>
      <c r="G329" s="244" t="s">
        <v>828</v>
      </c>
      <c r="H329" s="245">
        <f>90+50</f>
        <v>140</v>
      </c>
    </row>
    <row r="330">
      <c r="A330" s="265"/>
      <c r="B330" s="247"/>
      <c r="C330" s="248">
        <v>68394.55</v>
      </c>
      <c r="D330" s="249"/>
      <c r="E330" s="2" t="s">
        <v>829</v>
      </c>
      <c r="F330" s="250"/>
      <c r="G330" s="2" t="s">
        <v>89</v>
      </c>
      <c r="H330" s="267"/>
    </row>
    <row r="331">
      <c r="A331" s="265"/>
      <c r="B331" s="247">
        <v>27080.0</v>
      </c>
      <c r="C331" s="248"/>
      <c r="D331" s="249"/>
      <c r="F331" s="250"/>
      <c r="G331" s="2" t="s">
        <v>76</v>
      </c>
      <c r="H331" s="251"/>
    </row>
    <row r="332">
      <c r="A332" s="265"/>
      <c r="B332" s="247"/>
      <c r="C332" s="248"/>
      <c r="D332" s="249"/>
      <c r="F332" s="250"/>
      <c r="H332" s="251"/>
    </row>
    <row r="333">
      <c r="A333" s="265"/>
      <c r="B333" s="247"/>
      <c r="C333" s="248"/>
      <c r="D333" s="249"/>
      <c r="F333" s="250"/>
      <c r="H333" s="251"/>
    </row>
    <row r="334">
      <c r="A334" s="265"/>
      <c r="B334" s="247"/>
      <c r="C334" s="248"/>
      <c r="D334" s="249"/>
      <c r="F334" s="250"/>
      <c r="H334" s="251"/>
    </row>
    <row r="335">
      <c r="A335" s="265"/>
      <c r="B335" s="247"/>
      <c r="C335" s="248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830</v>
      </c>
      <c r="B343" s="239">
        <v>24841.54</v>
      </c>
      <c r="C343" s="263"/>
      <c r="D343" s="264"/>
      <c r="E343" s="242"/>
      <c r="F343" s="243"/>
      <c r="G343" s="244" t="s">
        <v>82</v>
      </c>
      <c r="H343" s="245"/>
    </row>
    <row r="344">
      <c r="A344" s="265"/>
      <c r="B344" s="247">
        <v>21900.0</v>
      </c>
      <c r="C344" s="248"/>
      <c r="D344" s="249"/>
      <c r="F344" s="250"/>
      <c r="G344" s="2" t="s">
        <v>75</v>
      </c>
      <c r="H344" s="267"/>
    </row>
    <row r="345">
      <c r="A345" s="265"/>
      <c r="B345" s="247"/>
      <c r="C345" s="248"/>
      <c r="D345" s="249"/>
      <c r="F345" s="250">
        <v>5600.0</v>
      </c>
      <c r="G345" s="2" t="s">
        <v>605</v>
      </c>
      <c r="H345" s="267"/>
    </row>
    <row r="346">
      <c r="A346" s="265"/>
      <c r="B346" s="247"/>
      <c r="C346" s="248"/>
      <c r="D346" s="249">
        <v>82615.55</v>
      </c>
      <c r="F346" s="250"/>
      <c r="G346" s="2" t="s">
        <v>831</v>
      </c>
      <c r="H346" s="251"/>
    </row>
    <row r="347">
      <c r="A347" s="265"/>
      <c r="B347" s="247">
        <v>9300.0</v>
      </c>
      <c r="C347" s="248"/>
      <c r="D347" s="249"/>
      <c r="F347" s="250"/>
      <c r="G347" s="2" t="s">
        <v>832</v>
      </c>
      <c r="H347" s="251"/>
    </row>
    <row r="348">
      <c r="A348" s="265"/>
      <c r="B348" s="247">
        <v>22000.0</v>
      </c>
      <c r="C348" s="252"/>
      <c r="D348" s="249"/>
      <c r="F348" s="250"/>
      <c r="G348" s="2" t="s">
        <v>833</v>
      </c>
      <c r="H348" s="251"/>
    </row>
    <row r="349">
      <c r="A349" s="265"/>
      <c r="B349" s="247"/>
      <c r="C349" s="252"/>
      <c r="D349" s="249"/>
      <c r="F349" s="250">
        <v>15000.0</v>
      </c>
      <c r="G349" s="2" t="s">
        <v>834</v>
      </c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835</v>
      </c>
      <c r="B361" s="239">
        <v>5472.25</v>
      </c>
      <c r="C361" s="240"/>
      <c r="D361" s="264"/>
      <c r="E361" s="242"/>
      <c r="F361" s="243"/>
      <c r="G361" s="244" t="s">
        <v>291</v>
      </c>
      <c r="H361" s="245">
        <v>77.0</v>
      </c>
    </row>
    <row r="362">
      <c r="A362" s="265"/>
      <c r="B362" s="247"/>
      <c r="C362" s="248"/>
      <c r="D362" s="249"/>
      <c r="F362" s="250">
        <v>407.0</v>
      </c>
      <c r="G362" s="2" t="s">
        <v>836</v>
      </c>
      <c r="H362" s="267"/>
    </row>
    <row r="363">
      <c r="A363" s="265"/>
      <c r="B363" s="247">
        <v>91401.78</v>
      </c>
      <c r="C363" s="248"/>
      <c r="D363" s="253"/>
      <c r="F363" s="250"/>
      <c r="G363" s="2" t="s">
        <v>142</v>
      </c>
      <c r="H363" s="267"/>
    </row>
    <row r="364">
      <c r="A364" s="265"/>
      <c r="B364" s="247"/>
      <c r="C364" s="248">
        <v>126363.93</v>
      </c>
      <c r="D364" s="249"/>
      <c r="F364" s="250"/>
      <c r="G364" s="2" t="s">
        <v>71</v>
      </c>
      <c r="H364" s="251"/>
    </row>
    <row r="365">
      <c r="A365" s="265"/>
      <c r="B365" s="247">
        <v>66000.0</v>
      </c>
      <c r="C365" s="252"/>
      <c r="D365" s="249"/>
      <c r="F365" s="250"/>
      <c r="G365" s="2" t="s">
        <v>421</v>
      </c>
      <c r="H365" s="251"/>
    </row>
    <row r="366">
      <c r="A366" s="265"/>
      <c r="B366" s="247"/>
      <c r="C366" s="252"/>
      <c r="D366" s="253"/>
      <c r="F366" s="250">
        <v>2170.0</v>
      </c>
      <c r="G366" s="2" t="s">
        <v>837</v>
      </c>
      <c r="H366" s="251"/>
    </row>
    <row r="367">
      <c r="A367" s="265"/>
      <c r="B367" s="247"/>
      <c r="C367" s="252"/>
      <c r="D367" s="253"/>
      <c r="F367" s="250"/>
      <c r="H367" s="251"/>
    </row>
    <row r="368">
      <c r="A368" s="265"/>
      <c r="B368" s="268"/>
      <c r="C368" s="252"/>
      <c r="D368" s="249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40"/>
      <c r="D379" s="264"/>
      <c r="E379" s="242"/>
      <c r="F379" s="243"/>
      <c r="H379" s="245"/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/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31475.2</v>
      </c>
      <c r="F391" s="250"/>
      <c r="G391" s="2" t="s">
        <v>190</v>
      </c>
      <c r="H391" s="294">
        <v>45180.0</v>
      </c>
    </row>
    <row r="392">
      <c r="A392" s="265"/>
      <c r="B392" s="247"/>
      <c r="C392" s="248"/>
      <c r="D392" s="249">
        <v>11487.23</v>
      </c>
      <c r="F392" s="250"/>
      <c r="G392" s="2" t="s">
        <v>191</v>
      </c>
      <c r="H392" s="294">
        <v>45180.0</v>
      </c>
    </row>
    <row r="393">
      <c r="A393" s="265"/>
      <c r="B393" s="268"/>
      <c r="C393" s="252"/>
      <c r="D393" s="249"/>
      <c r="F393" s="250"/>
      <c r="H393" s="294"/>
    </row>
    <row r="394">
      <c r="A394" s="265"/>
      <c r="B394" s="268"/>
      <c r="C394" s="252"/>
      <c r="D394" s="249">
        <v>108900.0</v>
      </c>
      <c r="F394" s="250"/>
      <c r="G394" s="2" t="s">
        <v>192</v>
      </c>
      <c r="H394" s="294">
        <v>45183.0</v>
      </c>
    </row>
    <row r="395">
      <c r="A395" s="265"/>
      <c r="B395" s="268"/>
      <c r="C395" s="252"/>
      <c r="D395" s="253"/>
      <c r="F395" s="250">
        <v>160000.0</v>
      </c>
      <c r="G395" s="2" t="s">
        <v>193</v>
      </c>
      <c r="H395" s="294">
        <v>45194.0</v>
      </c>
    </row>
    <row r="396">
      <c r="A396" s="265"/>
      <c r="B396" s="247"/>
      <c r="C396" s="252"/>
      <c r="D396" s="249">
        <v>20355.0</v>
      </c>
      <c r="F396" s="250"/>
      <c r="G396" s="2" t="s">
        <v>194</v>
      </c>
      <c r="H396" s="294">
        <v>45180.0</v>
      </c>
      <c r="I396" s="2" t="s">
        <v>838</v>
      </c>
    </row>
    <row r="397">
      <c r="A397" s="265"/>
      <c r="B397" s="247"/>
      <c r="C397" s="252"/>
      <c r="D397" s="249">
        <v>66000.0</v>
      </c>
      <c r="F397" s="250"/>
      <c r="G397" s="2" t="s">
        <v>196</v>
      </c>
      <c r="H397" s="294">
        <v>45170.0</v>
      </c>
      <c r="I397" s="318"/>
    </row>
    <row r="398">
      <c r="A398" s="265"/>
      <c r="B398" s="247">
        <v>13326.37</v>
      </c>
      <c r="C398" s="252"/>
      <c r="D398" s="249"/>
      <c r="F398" s="250"/>
      <c r="G398" s="2" t="s">
        <v>197</v>
      </c>
      <c r="H398" s="294"/>
      <c r="I398" s="2" t="s">
        <v>198</v>
      </c>
    </row>
    <row r="399">
      <c r="A399" s="265"/>
      <c r="B399" s="268"/>
      <c r="C399" s="252"/>
      <c r="D399" s="249">
        <v>13814.35</v>
      </c>
      <c r="F399" s="250"/>
      <c r="G399" s="2" t="s">
        <v>199</v>
      </c>
      <c r="H399" s="294"/>
      <c r="I399" s="2" t="s">
        <v>189</v>
      </c>
    </row>
    <row r="400">
      <c r="A400" s="265"/>
      <c r="B400" s="247"/>
      <c r="C400" s="252"/>
      <c r="D400" s="249">
        <v>25537.79</v>
      </c>
      <c r="F400" s="250"/>
      <c r="G400" s="2" t="s">
        <v>200</v>
      </c>
      <c r="H400" s="294"/>
      <c r="I400" s="2" t="s">
        <v>189</v>
      </c>
    </row>
    <row r="401">
      <c r="A401" s="265"/>
      <c r="B401" s="278"/>
      <c r="C401" s="248"/>
      <c r="D401" s="296">
        <v>7260.43</v>
      </c>
      <c r="F401" s="282"/>
      <c r="G401" s="2" t="s">
        <v>201</v>
      </c>
      <c r="H401" s="294"/>
      <c r="I401" s="2" t="s">
        <v>189</v>
      </c>
    </row>
    <row r="402">
      <c r="A402" s="270"/>
      <c r="B402" s="277">
        <v>5445.0</v>
      </c>
      <c r="C402" s="248"/>
      <c r="D402" s="295"/>
      <c r="F402" s="282"/>
      <c r="G402" s="2" t="s">
        <v>525</v>
      </c>
      <c r="H402" s="294"/>
    </row>
    <row r="403">
      <c r="A403" s="299"/>
      <c r="B403" s="278"/>
      <c r="C403" s="248"/>
      <c r="D403" s="295"/>
      <c r="F403" s="282"/>
      <c r="H403" s="294"/>
    </row>
    <row r="404">
      <c r="A404" s="299"/>
      <c r="B404" s="278"/>
      <c r="C404" s="248"/>
      <c r="D404" s="300">
        <v>211075.0</v>
      </c>
      <c r="F404" s="282"/>
      <c r="G404" s="2" t="s">
        <v>202</v>
      </c>
      <c r="H404" s="301">
        <v>45180.0</v>
      </c>
      <c r="I404" s="2" t="s">
        <v>203</v>
      </c>
    </row>
    <row r="405">
      <c r="A405" s="299"/>
      <c r="B405" s="278"/>
      <c r="C405" s="248"/>
      <c r="D405" s="295"/>
      <c r="F405" s="250"/>
      <c r="G405" s="2" t="s">
        <v>204</v>
      </c>
      <c r="H405" s="301"/>
    </row>
    <row r="406">
      <c r="A406" s="303"/>
      <c r="B406" s="278"/>
      <c r="C406" s="252"/>
      <c r="D406" s="253"/>
      <c r="F406" s="250"/>
      <c r="G406" s="2" t="s">
        <v>205</v>
      </c>
      <c r="H406" s="302"/>
    </row>
    <row r="407">
      <c r="A407" s="303"/>
      <c r="B407" s="268"/>
      <c r="C407" s="252"/>
      <c r="D407" s="249">
        <v>559443.06</v>
      </c>
      <c r="F407" s="250"/>
      <c r="G407" s="2" t="s">
        <v>206</v>
      </c>
      <c r="H407" s="294">
        <v>45191.0</v>
      </c>
      <c r="I407" s="2" t="s">
        <v>203</v>
      </c>
    </row>
    <row r="408">
      <c r="A408" s="303"/>
      <c r="B408" s="247"/>
      <c r="C408" s="252"/>
      <c r="D408" s="249"/>
      <c r="F408" s="250"/>
      <c r="H408" s="294"/>
    </row>
    <row r="409">
      <c r="A409" s="303"/>
      <c r="B409" s="268"/>
      <c r="C409" s="252"/>
      <c r="D409" s="300">
        <v>142499.15</v>
      </c>
      <c r="F409" s="332"/>
      <c r="G409" s="2" t="s">
        <v>209</v>
      </c>
      <c r="H409" s="294"/>
      <c r="I409" s="2" t="s">
        <v>666</v>
      </c>
    </row>
    <row r="410">
      <c r="A410" s="303"/>
      <c r="B410" s="268"/>
      <c r="C410" s="252"/>
      <c r="D410" s="249"/>
      <c r="F410" s="250"/>
      <c r="H410" s="294"/>
    </row>
    <row r="411">
      <c r="A411" s="303"/>
      <c r="B411" s="247">
        <v>23200.0</v>
      </c>
      <c r="C411" s="252"/>
      <c r="D411" s="331"/>
      <c r="F411" s="266"/>
      <c r="G411" s="2" t="s">
        <v>667</v>
      </c>
      <c r="H411" s="251"/>
    </row>
    <row r="412">
      <c r="A412" s="304"/>
      <c r="B412" s="268"/>
      <c r="C412" s="252"/>
      <c r="D412" s="249">
        <v>74000.0</v>
      </c>
      <c r="F412" s="332"/>
      <c r="G412" s="2" t="s">
        <v>602</v>
      </c>
      <c r="H412" s="294">
        <v>45175.0</v>
      </c>
    </row>
    <row r="413">
      <c r="A413" s="305"/>
      <c r="B413" s="271"/>
      <c r="C413" s="272"/>
      <c r="D413" s="273"/>
      <c r="E413" s="18"/>
      <c r="F413" s="274"/>
      <c r="G413" s="18"/>
      <c r="H413" s="261"/>
    </row>
    <row r="414">
      <c r="A414" s="265"/>
      <c r="B414" s="306"/>
      <c r="C414" s="240"/>
      <c r="D414" s="241"/>
      <c r="E414" s="242"/>
      <c r="F414" s="243"/>
      <c r="G414" s="244"/>
      <c r="H414" s="307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70"/>
      <c r="B422" s="268"/>
      <c r="C422" s="252"/>
      <c r="D422" s="253"/>
      <c r="F422" s="250"/>
      <c r="H422" s="251"/>
    </row>
    <row r="423">
      <c r="A423" s="305"/>
      <c r="B423" s="271"/>
      <c r="C423" s="272"/>
      <c r="D423" s="273"/>
      <c r="E423" s="18"/>
      <c r="F423" s="274"/>
      <c r="G423" s="18"/>
      <c r="H423" s="261"/>
    </row>
    <row r="424">
      <c r="A424" s="265"/>
      <c r="B424" s="306"/>
      <c r="C424" s="240"/>
      <c r="D424" s="241"/>
      <c r="E424" s="242"/>
      <c r="F424" s="243"/>
      <c r="G424" s="244"/>
      <c r="H424" s="307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70"/>
      <c r="B432" s="268"/>
      <c r="C432" s="252"/>
      <c r="D432" s="253"/>
      <c r="F432" s="250"/>
      <c r="H432" s="251"/>
    </row>
    <row r="433">
      <c r="B433" s="271"/>
      <c r="C433" s="272"/>
      <c r="D433" s="273"/>
      <c r="E433" s="18"/>
      <c r="F433" s="274"/>
      <c r="G433" s="18"/>
      <c r="H433" s="261"/>
    </row>
    <row r="434">
      <c r="B434" s="306"/>
      <c r="C434" s="240"/>
      <c r="D434" s="241"/>
      <c r="E434" s="242"/>
      <c r="F434" s="243"/>
      <c r="G434" s="244"/>
      <c r="H434" s="307"/>
    </row>
    <row r="435">
      <c r="B435" s="268"/>
      <c r="C435" s="252"/>
      <c r="D435" s="253"/>
      <c r="F435" s="250"/>
      <c r="H435" s="251"/>
    </row>
    <row r="436">
      <c r="B436" s="268"/>
      <c r="C436" s="252"/>
      <c r="D436" s="253"/>
      <c r="F436" s="250"/>
      <c r="H436" s="251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3:A422"/>
    <mergeCell ref="A423:A432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  <col customWidth="1" min="7" max="7" width="15.13"/>
  </cols>
  <sheetData>
    <row r="1" ht="27.0" customHeight="1">
      <c r="A1" s="231" t="s">
        <v>211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529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v>23500.0</v>
      </c>
      <c r="G2" s="334" t="s">
        <v>68</v>
      </c>
      <c r="H2" s="245">
        <v>78.5</v>
      </c>
      <c r="I2" s="2" t="s">
        <v>72</v>
      </c>
    </row>
    <row r="3">
      <c r="A3" s="246" t="s">
        <v>60</v>
      </c>
      <c r="B3" s="330"/>
      <c r="C3" s="313"/>
      <c r="D3" s="337"/>
      <c r="E3" s="336"/>
      <c r="F3" s="335">
        <v>5600.0</v>
      </c>
      <c r="G3" s="336" t="s">
        <v>605</v>
      </c>
      <c r="H3" s="267"/>
    </row>
    <row r="4">
      <c r="A4" s="246"/>
      <c r="B4" s="330">
        <v>49500.0</v>
      </c>
      <c r="C4" s="328"/>
      <c r="D4" s="337"/>
      <c r="E4" s="336"/>
      <c r="F4" s="335"/>
      <c r="G4" s="336" t="s">
        <v>839</v>
      </c>
      <c r="H4" s="251"/>
    </row>
    <row r="5">
      <c r="A5" s="246"/>
      <c r="B5" s="330">
        <v>29967.45</v>
      </c>
      <c r="C5" s="338"/>
      <c r="D5" s="325"/>
      <c r="E5" s="290"/>
      <c r="F5" s="291"/>
      <c r="G5" s="336" t="s">
        <v>82</v>
      </c>
      <c r="H5" s="251"/>
    </row>
    <row r="6">
      <c r="A6" s="246"/>
      <c r="B6" s="330"/>
      <c r="C6" s="313"/>
      <c r="D6" s="337">
        <v>52871.92</v>
      </c>
      <c r="E6" s="290"/>
      <c r="F6" s="335"/>
      <c r="G6" s="336" t="s">
        <v>114</v>
      </c>
      <c r="H6" s="251"/>
    </row>
    <row r="7">
      <c r="A7" s="246"/>
      <c r="B7" s="342"/>
      <c r="C7" s="313"/>
      <c r="D7" s="337"/>
      <c r="E7" s="290"/>
      <c r="F7" s="335">
        <v>1160.0</v>
      </c>
      <c r="G7" s="336" t="s">
        <v>590</v>
      </c>
      <c r="H7" s="251"/>
    </row>
    <row r="8">
      <c r="A8" s="246"/>
      <c r="B8" s="247">
        <v>25306.93</v>
      </c>
      <c r="C8" s="248"/>
      <c r="D8" s="249"/>
      <c r="F8" s="250"/>
      <c r="G8" s="254" t="s">
        <v>74</v>
      </c>
      <c r="H8" s="251"/>
    </row>
    <row r="9">
      <c r="A9" s="246"/>
      <c r="B9" s="247">
        <v>199254.71</v>
      </c>
      <c r="C9" s="248"/>
      <c r="D9" s="249"/>
      <c r="F9" s="250"/>
      <c r="G9" s="254" t="s">
        <v>73</v>
      </c>
      <c r="H9" s="251"/>
      <c r="I9" s="2" t="s">
        <v>840</v>
      </c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70</v>
      </c>
      <c r="B15" s="239"/>
      <c r="C15" s="263"/>
      <c r="D15" s="264">
        <v>58000.0</v>
      </c>
      <c r="E15" s="242"/>
      <c r="F15" s="250"/>
      <c r="G15" s="2" t="s">
        <v>122</v>
      </c>
      <c r="H15" s="245">
        <v>131.5</v>
      </c>
      <c r="I15" s="2" t="s">
        <v>72</v>
      </c>
    </row>
    <row r="16">
      <c r="A16" s="265"/>
      <c r="B16" s="247">
        <v>20442.5</v>
      </c>
      <c r="C16" s="248"/>
      <c r="D16" s="249"/>
      <c r="F16" s="266"/>
      <c r="G16" s="2" t="s">
        <v>841</v>
      </c>
      <c r="H16" s="267"/>
    </row>
    <row r="17">
      <c r="A17" s="265"/>
      <c r="B17" s="247"/>
      <c r="C17" s="248"/>
      <c r="D17" s="249">
        <v>25306.93</v>
      </c>
      <c r="E17" s="2" t="s">
        <v>306</v>
      </c>
      <c r="F17" s="250"/>
      <c r="G17" s="2" t="s">
        <v>74</v>
      </c>
      <c r="H17" s="251"/>
    </row>
    <row r="18">
      <c r="A18" s="265"/>
      <c r="B18" s="247"/>
      <c r="C18" s="252"/>
      <c r="D18" s="249">
        <v>19254.71</v>
      </c>
      <c r="E18" s="2" t="s">
        <v>306</v>
      </c>
      <c r="F18" s="250"/>
      <c r="G18" s="2" t="s">
        <v>73</v>
      </c>
      <c r="H18" s="251"/>
    </row>
    <row r="19">
      <c r="A19" s="265"/>
      <c r="B19" s="247"/>
      <c r="C19" s="248"/>
      <c r="D19" s="249"/>
      <c r="F19" s="250"/>
      <c r="H19" s="251"/>
    </row>
    <row r="20">
      <c r="A20" s="265"/>
      <c r="B20" s="247"/>
      <c r="C20" s="248"/>
      <c r="D20" s="249"/>
      <c r="F20" s="250"/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80</v>
      </c>
      <c r="B28" s="239"/>
      <c r="C28" s="263">
        <v>79121.56</v>
      </c>
      <c r="D28" s="264"/>
      <c r="E28" s="244"/>
      <c r="F28" s="243"/>
      <c r="G28" s="276" t="s">
        <v>84</v>
      </c>
      <c r="H28" s="245">
        <v>130.0</v>
      </c>
    </row>
    <row r="29">
      <c r="A29" s="265"/>
      <c r="B29" s="247"/>
      <c r="C29" s="248"/>
      <c r="D29" s="249"/>
      <c r="F29" s="250">
        <v>5000.0</v>
      </c>
      <c r="G29" s="2" t="s">
        <v>842</v>
      </c>
      <c r="H29" s="267"/>
    </row>
    <row r="30">
      <c r="A30" s="265"/>
      <c r="B30" s="247">
        <v>27423.44</v>
      </c>
      <c r="C30" s="248"/>
      <c r="D30" s="249"/>
      <c r="F30" s="250"/>
      <c r="G30" s="254" t="s">
        <v>82</v>
      </c>
      <c r="H30" s="251"/>
    </row>
    <row r="31">
      <c r="A31" s="265"/>
      <c r="B31" s="247"/>
      <c r="C31" s="248"/>
      <c r="D31" s="249">
        <v>20449.0</v>
      </c>
      <c r="F31" s="250"/>
      <c r="G31" s="254" t="s">
        <v>79</v>
      </c>
      <c r="H31" s="251"/>
    </row>
    <row r="32">
      <c r="A32" s="265"/>
      <c r="B32" s="247"/>
      <c r="C32" s="252"/>
      <c r="D32" s="249"/>
      <c r="F32" s="250"/>
      <c r="G32" s="254" t="s">
        <v>843</v>
      </c>
      <c r="H32" s="251"/>
    </row>
    <row r="33">
      <c r="A33" s="265"/>
      <c r="B33" s="247">
        <v>45250.0</v>
      </c>
      <c r="C33" s="248"/>
      <c r="D33" s="249"/>
      <c r="F33" s="250"/>
      <c r="G33" s="254" t="s">
        <v>75</v>
      </c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49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23200.0</v>
      </c>
      <c r="C42" s="248"/>
      <c r="D42" s="249"/>
      <c r="F42" s="250"/>
      <c r="G42" s="254" t="s">
        <v>128</v>
      </c>
      <c r="H42" s="267">
        <f>85.5-55</f>
        <v>30.5</v>
      </c>
    </row>
    <row r="43">
      <c r="A43" s="280"/>
      <c r="B43" s="277">
        <v>66000.0</v>
      </c>
      <c r="C43" s="248"/>
      <c r="D43" s="249"/>
      <c r="F43" s="250"/>
      <c r="G43" s="254" t="s">
        <v>87</v>
      </c>
      <c r="H43" s="267"/>
    </row>
    <row r="44">
      <c r="A44" s="280" t="s">
        <v>90</v>
      </c>
      <c r="B44" s="247">
        <v>12716.0</v>
      </c>
      <c r="C44" s="248"/>
      <c r="D44" s="300"/>
      <c r="F44" s="250"/>
      <c r="G44" s="254" t="s">
        <v>66</v>
      </c>
      <c r="H44" s="251"/>
    </row>
    <row r="45">
      <c r="A45" s="265"/>
      <c r="B45" s="247"/>
      <c r="C45" s="248">
        <v>55417.75</v>
      </c>
      <c r="D45" s="249"/>
      <c r="F45" s="250"/>
      <c r="G45" s="254" t="s">
        <v>89</v>
      </c>
      <c r="H45" s="251"/>
    </row>
    <row r="46">
      <c r="A46" s="265"/>
      <c r="B46" s="247"/>
      <c r="C46" s="248"/>
      <c r="D46" s="249"/>
      <c r="F46" s="250"/>
      <c r="G46" s="254" t="s">
        <v>167</v>
      </c>
      <c r="H46" s="251"/>
    </row>
    <row r="47">
      <c r="A47" s="265"/>
      <c r="B47" s="247">
        <v>84267.69</v>
      </c>
      <c r="C47" s="252"/>
      <c r="D47" s="249"/>
      <c r="F47" s="250"/>
      <c r="G47" s="254" t="s">
        <v>450</v>
      </c>
      <c r="H47" s="251"/>
    </row>
    <row r="48">
      <c r="A48" s="265"/>
      <c r="B48" s="247">
        <v>46980.0</v>
      </c>
      <c r="C48" s="248"/>
      <c r="D48" s="249"/>
      <c r="F48" s="250"/>
      <c r="G48" s="254" t="s">
        <v>844</v>
      </c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96</v>
      </c>
      <c r="B54" s="239">
        <f>26700-1600</f>
        <v>25100</v>
      </c>
      <c r="C54" s="263"/>
      <c r="D54" s="264"/>
      <c r="E54" s="242"/>
      <c r="F54" s="243"/>
      <c r="G54" s="276" t="s">
        <v>75</v>
      </c>
      <c r="H54" s="245">
        <v>134.5</v>
      </c>
      <c r="I54" s="2" t="s">
        <v>72</v>
      </c>
    </row>
    <row r="55">
      <c r="A55" s="265"/>
      <c r="B55" s="247">
        <v>20686.92</v>
      </c>
      <c r="C55" s="248"/>
      <c r="D55" s="249"/>
      <c r="F55" s="250"/>
      <c r="G55" s="254" t="s">
        <v>82</v>
      </c>
      <c r="H55" s="267"/>
    </row>
    <row r="56">
      <c r="A56" s="265"/>
      <c r="B56" s="339"/>
      <c r="C56" s="248"/>
      <c r="D56" s="249"/>
      <c r="F56" s="250">
        <v>4900.0</v>
      </c>
      <c r="G56" s="254" t="s">
        <v>820</v>
      </c>
      <c r="H56" s="251"/>
    </row>
    <row r="57">
      <c r="A57" s="265"/>
      <c r="B57" s="339"/>
      <c r="C57" s="248"/>
      <c r="D57" s="249"/>
      <c r="F57" s="250"/>
      <c r="G57" s="254"/>
      <c r="H57" s="267"/>
    </row>
    <row r="58">
      <c r="A58" s="265"/>
      <c r="B58" s="247"/>
      <c r="C58" s="248"/>
      <c r="D58" s="249">
        <v>77591.25</v>
      </c>
      <c r="F58" s="250"/>
      <c r="G58" s="254" t="s">
        <v>92</v>
      </c>
      <c r="H58" s="251"/>
    </row>
    <row r="59">
      <c r="A59" s="265"/>
      <c r="B59" s="247"/>
      <c r="C59" s="252"/>
      <c r="D59" s="249"/>
      <c r="F59" s="250">
        <v>1930.0</v>
      </c>
      <c r="G59" s="254" t="s">
        <v>303</v>
      </c>
      <c r="H59" s="251"/>
    </row>
    <row r="60">
      <c r="A60" s="265"/>
      <c r="B60" s="247"/>
      <c r="C60" s="252"/>
      <c r="D60" s="249"/>
      <c r="F60" s="250">
        <v>3000.0</v>
      </c>
      <c r="G60" s="254" t="s">
        <v>85</v>
      </c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47"/>
      <c r="C62" s="248"/>
      <c r="D62" s="253"/>
      <c r="F62" s="250"/>
      <c r="G62" s="254"/>
      <c r="H62" s="251"/>
    </row>
    <row r="63">
      <c r="A63" s="265"/>
      <c r="B63" s="247"/>
      <c r="C63" s="248"/>
      <c r="D63" s="249"/>
      <c r="F63" s="250"/>
      <c r="G63" s="254"/>
      <c r="H63" s="251"/>
    </row>
    <row r="64">
      <c r="A64" s="265"/>
      <c r="B64" s="247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54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106</v>
      </c>
      <c r="B68" s="239"/>
      <c r="C68" s="263"/>
      <c r="D68" s="264"/>
      <c r="E68" s="244"/>
      <c r="F68" s="243">
        <v>23500.0</v>
      </c>
      <c r="G68" s="276" t="s">
        <v>68</v>
      </c>
      <c r="H68" s="245">
        <v>95.0</v>
      </c>
    </row>
    <row r="69">
      <c r="A69" s="265"/>
      <c r="B69" s="247"/>
      <c r="C69" s="248"/>
      <c r="D69" s="249"/>
      <c r="F69" s="250">
        <v>1055.0</v>
      </c>
      <c r="G69" s="254" t="s">
        <v>845</v>
      </c>
      <c r="H69" s="267"/>
    </row>
    <row r="70">
      <c r="A70" s="265"/>
      <c r="B70" s="247"/>
      <c r="C70" s="252">
        <f>83836.67+53160.68</f>
        <v>136997.35</v>
      </c>
      <c r="D70" s="249"/>
      <c r="F70" s="250"/>
      <c r="G70" s="254" t="s">
        <v>71</v>
      </c>
      <c r="H70" s="310"/>
    </row>
    <row r="71">
      <c r="A71" s="265"/>
      <c r="B71" s="247"/>
      <c r="C71" s="248"/>
      <c r="D71" s="249"/>
      <c r="F71" s="250"/>
      <c r="G71" s="254"/>
      <c r="H71" s="251"/>
    </row>
    <row r="72">
      <c r="A72" s="265"/>
      <c r="B72" s="247"/>
      <c r="C72" s="248"/>
      <c r="D72" s="249"/>
      <c r="F72" s="250"/>
      <c r="G72" s="254"/>
      <c r="H72" s="251"/>
    </row>
    <row r="73">
      <c r="A73" s="265"/>
      <c r="B73" s="247"/>
      <c r="C73" s="248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49"/>
      <c r="F76" s="250"/>
      <c r="G76" s="254"/>
      <c r="H76" s="251"/>
    </row>
    <row r="77">
      <c r="A77" s="265"/>
      <c r="B77" s="277"/>
      <c r="C77" s="252"/>
      <c r="D77" s="253"/>
      <c r="F77" s="250"/>
      <c r="G77" s="254"/>
      <c r="H77" s="251"/>
    </row>
    <row r="78">
      <c r="A78" s="265"/>
      <c r="B78" s="277"/>
      <c r="C78" s="252"/>
      <c r="D78" s="253"/>
      <c r="F78" s="250"/>
      <c r="G78" s="254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113</v>
      </c>
      <c r="B80" s="239">
        <f>60200-25000</f>
        <v>35200</v>
      </c>
      <c r="C80" s="263"/>
      <c r="D80" s="241"/>
      <c r="E80" s="242"/>
      <c r="F80" s="243"/>
      <c r="G80" s="276" t="s">
        <v>75</v>
      </c>
      <c r="H80" s="245">
        <v>80.0</v>
      </c>
    </row>
    <row r="81">
      <c r="A81" s="265"/>
      <c r="B81" s="247"/>
      <c r="C81" s="248"/>
      <c r="D81" s="249"/>
      <c r="F81" s="250">
        <v>1542.0</v>
      </c>
      <c r="G81" s="254" t="s">
        <v>708</v>
      </c>
      <c r="H81" s="267"/>
    </row>
    <row r="82">
      <c r="A82" s="265"/>
      <c r="B82" s="247">
        <v>33106.98</v>
      </c>
      <c r="C82" s="248"/>
      <c r="D82" s="249"/>
      <c r="F82" s="250"/>
      <c r="G82" s="254" t="s">
        <v>82</v>
      </c>
      <c r="H82" s="267"/>
    </row>
    <row r="83">
      <c r="A83" s="265"/>
      <c r="B83" s="247"/>
      <c r="C83" s="248"/>
      <c r="D83" s="249"/>
      <c r="F83" s="250">
        <v>5600.0</v>
      </c>
      <c r="G83" s="254" t="s">
        <v>820</v>
      </c>
      <c r="H83" s="251"/>
    </row>
    <row r="84">
      <c r="A84" s="265"/>
      <c r="B84" s="85"/>
      <c r="C84" s="248"/>
      <c r="D84" s="249">
        <v>49644.39</v>
      </c>
      <c r="F84" s="250"/>
      <c r="G84" s="254" t="s">
        <v>114</v>
      </c>
      <c r="H84" s="251"/>
    </row>
    <row r="85">
      <c r="A85" s="265"/>
      <c r="B85" s="281">
        <v>4893.0</v>
      </c>
      <c r="C85" s="252"/>
      <c r="D85" s="249"/>
      <c r="F85" s="266"/>
      <c r="G85" s="254" t="s">
        <v>708</v>
      </c>
      <c r="H85" s="251"/>
    </row>
    <row r="86">
      <c r="A86" s="265"/>
      <c r="B86" s="281">
        <v>1849.0</v>
      </c>
      <c r="C86" s="252"/>
      <c r="D86" s="249"/>
      <c r="F86" s="250"/>
      <c r="G86" s="254" t="s">
        <v>846</v>
      </c>
      <c r="H86" s="251"/>
    </row>
    <row r="87">
      <c r="A87" s="265"/>
      <c r="B87" s="247">
        <v>15500.0</v>
      </c>
      <c r="C87" s="252"/>
      <c r="D87" s="249"/>
      <c r="F87" s="250"/>
      <c r="G87" s="254" t="s">
        <v>847</v>
      </c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119</v>
      </c>
      <c r="B96" s="239"/>
      <c r="C96" s="263"/>
      <c r="D96" s="264">
        <v>66000.0</v>
      </c>
      <c r="E96" s="242"/>
      <c r="F96" s="250"/>
      <c r="G96" s="276" t="s">
        <v>87</v>
      </c>
      <c r="H96" s="245">
        <f>110+42</f>
        <v>152</v>
      </c>
    </row>
    <row r="97">
      <c r="A97" s="265"/>
      <c r="B97" s="247"/>
      <c r="C97" s="248"/>
      <c r="D97" s="249">
        <v>122517.34</v>
      </c>
      <c r="F97" s="250"/>
      <c r="G97" s="2" t="s">
        <v>100</v>
      </c>
      <c r="H97" s="267"/>
    </row>
    <row r="98">
      <c r="A98" s="265"/>
      <c r="B98" s="247"/>
      <c r="C98" s="248">
        <v>52834.11</v>
      </c>
      <c r="D98" s="249"/>
      <c r="F98" s="250"/>
      <c r="G98" s="254" t="s">
        <v>84</v>
      </c>
      <c r="H98" s="267"/>
    </row>
    <row r="99">
      <c r="A99" s="265"/>
      <c r="B99" s="247"/>
      <c r="C99" s="248"/>
      <c r="D99" s="249">
        <v>58000.0</v>
      </c>
      <c r="F99" s="250"/>
      <c r="G99" s="254" t="s">
        <v>122</v>
      </c>
      <c r="H99" s="251"/>
      <c r="I99" s="340"/>
      <c r="J99" s="340"/>
      <c r="K99" s="340" t="s">
        <v>622</v>
      </c>
      <c r="L99" s="2" t="s">
        <v>623</v>
      </c>
    </row>
    <row r="100">
      <c r="A100" s="265"/>
      <c r="B100" s="330">
        <v>7800.0</v>
      </c>
      <c r="C100" s="338"/>
      <c r="D100" s="314"/>
      <c r="E100" s="290"/>
      <c r="F100" s="335"/>
      <c r="G100" s="292" t="s">
        <v>848</v>
      </c>
      <c r="H100" s="251"/>
      <c r="I100" s="341"/>
      <c r="J100" s="340"/>
      <c r="K100" s="340" t="s">
        <v>624</v>
      </c>
    </row>
    <row r="101">
      <c r="A101" s="265"/>
      <c r="B101" s="247"/>
      <c r="C101" s="252"/>
      <c r="D101" s="249"/>
      <c r="F101" s="250">
        <v>6000.0</v>
      </c>
      <c r="G101" s="254" t="s">
        <v>849</v>
      </c>
      <c r="H101" s="251"/>
      <c r="I101" s="340"/>
      <c r="J101" s="340"/>
      <c r="K101" s="341"/>
    </row>
    <row r="102">
      <c r="A102" s="265"/>
      <c r="B102" s="247"/>
      <c r="C102" s="252"/>
      <c r="D102" s="249"/>
      <c r="F102" s="250">
        <v>198.0</v>
      </c>
      <c r="G102" s="254" t="s">
        <v>97</v>
      </c>
      <c r="H102" s="251"/>
      <c r="I102" s="340"/>
      <c r="J102" s="341"/>
      <c r="K102" s="34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48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7"/>
      <c r="C108" s="252"/>
      <c r="D108" s="253"/>
      <c r="F108" s="282"/>
      <c r="G108" s="254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123</v>
      </c>
      <c r="B110" s="239">
        <v>56300.0</v>
      </c>
      <c r="C110" s="263"/>
      <c r="D110" s="264"/>
      <c r="E110" s="244"/>
      <c r="F110" s="243"/>
      <c r="G110" s="276" t="s">
        <v>75</v>
      </c>
      <c r="H110" s="245">
        <v>150.0</v>
      </c>
      <c r="I110" s="2" t="s">
        <v>704</v>
      </c>
    </row>
    <row r="111">
      <c r="A111" s="265"/>
      <c r="B111" s="247">
        <v>20686.92</v>
      </c>
      <c r="C111" s="248"/>
      <c r="D111" s="249"/>
      <c r="F111" s="250"/>
      <c r="G111" s="254" t="s">
        <v>82</v>
      </c>
      <c r="H111" s="267"/>
    </row>
    <row r="112">
      <c r="A112" s="265"/>
      <c r="B112" s="247"/>
      <c r="C112" s="248"/>
      <c r="D112" s="249"/>
      <c r="F112" s="250">
        <v>4900.0</v>
      </c>
      <c r="G112" s="26" t="s">
        <v>608</v>
      </c>
      <c r="H112" s="251"/>
    </row>
    <row r="113">
      <c r="A113" s="265"/>
      <c r="B113" s="247">
        <v>33931.11</v>
      </c>
      <c r="C113" s="248"/>
      <c r="D113" s="249"/>
      <c r="F113" s="250"/>
      <c r="G113" s="254" t="s">
        <v>142</v>
      </c>
      <c r="H113" s="251"/>
    </row>
    <row r="114">
      <c r="A114" s="265"/>
      <c r="B114" s="247"/>
      <c r="C114" s="248"/>
      <c r="D114" s="249">
        <v>62920.0</v>
      </c>
      <c r="F114" s="250"/>
      <c r="G114" s="254" t="s">
        <v>850</v>
      </c>
      <c r="H114" s="251"/>
    </row>
    <row r="115">
      <c r="A115" s="265"/>
      <c r="B115" s="247"/>
      <c r="C115" s="248"/>
      <c r="D115" s="249"/>
      <c r="F115" s="250">
        <v>3770.0</v>
      </c>
      <c r="G115" s="254" t="s">
        <v>851</v>
      </c>
      <c r="H115" s="251"/>
    </row>
    <row r="116">
      <c r="A116" s="265"/>
      <c r="B116" s="247">
        <v>20449.0</v>
      </c>
      <c r="C116" s="252"/>
      <c r="D116" s="253"/>
      <c r="F116" s="250"/>
      <c r="G116" s="254" t="s">
        <v>79</v>
      </c>
      <c r="H116" s="251"/>
    </row>
    <row r="117">
      <c r="A117" s="265"/>
      <c r="B117" s="247"/>
      <c r="C117" s="252"/>
      <c r="D117" s="249"/>
      <c r="F117" s="250">
        <v>561.0</v>
      </c>
      <c r="G117" s="254" t="s">
        <v>852</v>
      </c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126</v>
      </c>
      <c r="B128" s="239">
        <v>58750.0</v>
      </c>
      <c r="C128" s="263"/>
      <c r="D128" s="264"/>
      <c r="E128" s="242"/>
      <c r="F128" s="243"/>
      <c r="G128" s="276" t="s">
        <v>68</v>
      </c>
      <c r="H128" s="245">
        <f>92.5+13</f>
        <v>105.5</v>
      </c>
    </row>
    <row r="129">
      <c r="A129" s="265"/>
      <c r="B129" s="247"/>
      <c r="C129" s="252"/>
      <c r="D129" s="249"/>
      <c r="F129" s="250">
        <v>191.76</v>
      </c>
      <c r="G129" s="254" t="s">
        <v>853</v>
      </c>
      <c r="H129" s="267"/>
    </row>
    <row r="130">
      <c r="A130" s="265"/>
      <c r="B130" s="247">
        <v>27080.0</v>
      </c>
      <c r="C130" s="248"/>
      <c r="D130" s="249"/>
      <c r="F130" s="250"/>
      <c r="G130" s="254" t="s">
        <v>76</v>
      </c>
      <c r="H130" s="251"/>
    </row>
    <row r="131">
      <c r="A131" s="265"/>
      <c r="B131" s="247">
        <v>39352.68</v>
      </c>
      <c r="C131" s="248"/>
      <c r="D131" s="249"/>
      <c r="F131" s="250"/>
      <c r="G131" s="254" t="s">
        <v>91</v>
      </c>
      <c r="H131" s="251"/>
    </row>
    <row r="132">
      <c r="A132" s="265"/>
      <c r="B132" s="247">
        <v>9885.45</v>
      </c>
      <c r="C132" s="248"/>
      <c r="D132" s="249"/>
      <c r="F132" s="250"/>
      <c r="G132" s="254" t="s">
        <v>73</v>
      </c>
      <c r="H132" s="251"/>
    </row>
    <row r="133">
      <c r="A133" s="265"/>
      <c r="B133" s="247">
        <v>17288.14</v>
      </c>
      <c r="C133" s="252"/>
      <c r="D133" s="249"/>
      <c r="F133" s="250"/>
      <c r="G133" s="254" t="s">
        <v>74</v>
      </c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49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129</v>
      </c>
      <c r="B143" s="239">
        <v>40241.22</v>
      </c>
      <c r="C143" s="263"/>
      <c r="D143" s="264"/>
      <c r="E143" s="242"/>
      <c r="F143" s="243"/>
      <c r="G143" s="276" t="s">
        <v>82</v>
      </c>
      <c r="H143" s="245">
        <v>110.0</v>
      </c>
    </row>
    <row r="144">
      <c r="A144" s="265"/>
      <c r="B144" s="247">
        <v>22800.0</v>
      </c>
      <c r="C144" s="252"/>
      <c r="D144" s="249"/>
      <c r="F144" s="250"/>
      <c r="G144" s="254" t="s">
        <v>275</v>
      </c>
      <c r="H144" s="251"/>
    </row>
    <row r="145">
      <c r="A145" s="265"/>
      <c r="B145" s="247"/>
      <c r="C145" s="248"/>
      <c r="D145" s="249"/>
      <c r="F145" s="284">
        <v>5836.9</v>
      </c>
      <c r="G145" s="285" t="s">
        <v>854</v>
      </c>
      <c r="H145" s="251"/>
    </row>
    <row r="146">
      <c r="A146" s="265"/>
      <c r="B146" s="247">
        <f>13600-2400-700</f>
        <v>10500</v>
      </c>
      <c r="C146" s="252"/>
      <c r="D146" s="249"/>
      <c r="F146" s="250"/>
      <c r="G146" s="254" t="s">
        <v>75</v>
      </c>
      <c r="H146" s="251"/>
    </row>
    <row r="147">
      <c r="A147" s="265"/>
      <c r="B147" s="247"/>
      <c r="C147" s="248">
        <v>55094.9</v>
      </c>
      <c r="D147" s="249"/>
      <c r="F147" s="250"/>
      <c r="G147" s="254" t="s">
        <v>89</v>
      </c>
      <c r="H147" s="251"/>
    </row>
    <row r="148">
      <c r="A148" s="265"/>
      <c r="B148" s="247">
        <v>37748.56</v>
      </c>
      <c r="C148" s="248"/>
      <c r="D148" s="249"/>
      <c r="F148" s="250"/>
      <c r="G148" s="254" t="s">
        <v>103</v>
      </c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132</v>
      </c>
      <c r="B158" s="239">
        <v>20000.0</v>
      </c>
      <c r="C158" s="263"/>
      <c r="D158" s="264"/>
      <c r="E158" s="242"/>
      <c r="F158" s="243"/>
      <c r="G158" s="276" t="s">
        <v>855</v>
      </c>
      <c r="H158" s="245">
        <v>97.0</v>
      </c>
      <c r="I158" s="2" t="s">
        <v>704</v>
      </c>
    </row>
    <row r="159">
      <c r="A159" s="265"/>
      <c r="B159" s="247">
        <v>75000.0</v>
      </c>
      <c r="C159" s="252"/>
      <c r="D159" s="249"/>
      <c r="F159" s="250"/>
      <c r="G159" s="254" t="s">
        <v>87</v>
      </c>
      <c r="H159" s="267"/>
    </row>
    <row r="160">
      <c r="A160" s="265"/>
      <c r="B160" s="247">
        <v>5268.2</v>
      </c>
      <c r="C160" s="248"/>
      <c r="D160" s="249"/>
      <c r="F160" s="250"/>
      <c r="G160" s="254" t="s">
        <v>291</v>
      </c>
      <c r="H160" s="251"/>
    </row>
    <row r="161">
      <c r="A161" s="265"/>
      <c r="B161" s="247"/>
      <c r="C161" s="248">
        <f>80197.6+29824.08</f>
        <v>110021.68</v>
      </c>
      <c r="D161" s="249"/>
      <c r="F161" s="250"/>
      <c r="G161" s="254" t="s">
        <v>71</v>
      </c>
      <c r="H161" s="251"/>
    </row>
    <row r="162">
      <c r="A162" s="265"/>
      <c r="B162" s="247">
        <v>109531.87</v>
      </c>
      <c r="C162" s="248"/>
      <c r="D162" s="253"/>
      <c r="F162" s="250"/>
      <c r="G162" s="254" t="s">
        <v>114</v>
      </c>
      <c r="H162" s="251"/>
    </row>
    <row r="163">
      <c r="A163" s="265"/>
      <c r="B163" s="247"/>
      <c r="C163" s="248"/>
      <c r="D163" s="249">
        <v>72418.5</v>
      </c>
      <c r="E163" s="2" t="s">
        <v>306</v>
      </c>
      <c r="F163" s="250"/>
      <c r="G163" s="254" t="s">
        <v>92</v>
      </c>
      <c r="H163" s="251"/>
    </row>
    <row r="164">
      <c r="A164" s="265"/>
      <c r="B164" s="247"/>
      <c r="C164" s="248"/>
      <c r="D164" s="249"/>
      <c r="F164" s="250"/>
      <c r="G164" s="254"/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134</v>
      </c>
      <c r="B168" s="239"/>
      <c r="C168" s="263"/>
      <c r="D168" s="264"/>
      <c r="E168" s="244"/>
      <c r="F168" s="250"/>
      <c r="G168" s="276"/>
      <c r="H168" s="245"/>
    </row>
    <row r="169">
      <c r="A169" s="265"/>
      <c r="B169" s="247"/>
      <c r="C169" s="315"/>
      <c r="D169" s="249"/>
      <c r="F169" s="250"/>
      <c r="G169" s="254"/>
      <c r="H169" s="267"/>
    </row>
    <row r="170">
      <c r="A170" s="265"/>
      <c r="B170" s="247"/>
      <c r="C170" s="248"/>
      <c r="D170" s="249"/>
      <c r="F170" s="250"/>
      <c r="G170" s="254"/>
      <c r="H170" s="267"/>
    </row>
    <row r="171">
      <c r="A171" s="265"/>
      <c r="B171" s="247"/>
      <c r="C171" s="248"/>
      <c r="D171" s="249"/>
      <c r="F171" s="250"/>
      <c r="G171" s="254"/>
      <c r="H171" s="251"/>
    </row>
    <row r="172">
      <c r="A172" s="265"/>
      <c r="B172" s="247"/>
      <c r="C172" s="248"/>
      <c r="D172" s="249"/>
      <c r="E172" s="254"/>
      <c r="F172" s="250"/>
      <c r="G172" s="254"/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140</v>
      </c>
      <c r="B183" s="247">
        <v>54500.0</v>
      </c>
      <c r="C183" s="248"/>
      <c r="D183" s="249"/>
      <c r="F183" s="250"/>
      <c r="G183" s="254" t="s">
        <v>75</v>
      </c>
      <c r="H183" s="286">
        <v>142.0</v>
      </c>
      <c r="I183" s="2" t="s">
        <v>72</v>
      </c>
    </row>
    <row r="184">
      <c r="A184" s="265"/>
      <c r="B184" s="247">
        <v>16606.39</v>
      </c>
      <c r="C184" s="248"/>
      <c r="D184" s="249"/>
      <c r="F184" s="250"/>
      <c r="G184" s="254" t="s">
        <v>548</v>
      </c>
      <c r="H184" s="251"/>
    </row>
    <row r="185">
      <c r="A185" s="265"/>
      <c r="B185" s="247"/>
      <c r="C185" s="248"/>
      <c r="D185" s="249"/>
      <c r="F185" s="250"/>
      <c r="G185" s="254"/>
      <c r="H185" s="267"/>
    </row>
    <row r="186">
      <c r="A186" s="265"/>
      <c r="B186" s="247"/>
      <c r="C186" s="248"/>
      <c r="D186" s="249"/>
      <c r="F186" s="250"/>
      <c r="G186" s="254"/>
      <c r="H186" s="251"/>
    </row>
    <row r="187">
      <c r="A187" s="265"/>
      <c r="B187" s="247"/>
      <c r="C187" s="248"/>
      <c r="D187" s="249"/>
      <c r="F187" s="250"/>
      <c r="G187" s="254"/>
      <c r="H187" s="267"/>
    </row>
    <row r="188">
      <c r="A188" s="265"/>
      <c r="B188" s="247"/>
      <c r="C188" s="252"/>
      <c r="D188" s="249"/>
      <c r="F188" s="250"/>
      <c r="G188" s="254"/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49"/>
      <c r="F191" s="250"/>
      <c r="G191" s="254"/>
      <c r="H191" s="251"/>
    </row>
    <row r="192">
      <c r="A192" s="265"/>
      <c r="B192" s="247"/>
      <c r="C192" s="252"/>
      <c r="D192" s="249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141</v>
      </c>
      <c r="B199" s="239"/>
      <c r="C199" s="263"/>
      <c r="D199" s="264"/>
      <c r="E199" s="244"/>
      <c r="F199" s="243"/>
      <c r="G199" s="276"/>
      <c r="H199" s="245">
        <v>12.0</v>
      </c>
      <c r="I199" s="2" t="s">
        <v>856</v>
      </c>
    </row>
    <row r="200">
      <c r="A200" s="265"/>
      <c r="B200" s="247"/>
      <c r="C200" s="248">
        <v>54788.56</v>
      </c>
      <c r="D200" s="249"/>
      <c r="F200" s="250"/>
      <c r="G200" s="254" t="s">
        <v>84</v>
      </c>
      <c r="H200" s="267"/>
    </row>
    <row r="201">
      <c r="A201" s="265"/>
      <c r="B201" s="247"/>
      <c r="C201" s="252"/>
      <c r="D201" s="249">
        <v>20171.3</v>
      </c>
      <c r="F201" s="250"/>
      <c r="G201" s="254" t="s">
        <v>73</v>
      </c>
      <c r="H201" s="251"/>
    </row>
    <row r="202">
      <c r="A202" s="265"/>
      <c r="B202" s="247"/>
      <c r="C202" s="248"/>
      <c r="D202" s="249">
        <v>88008.5</v>
      </c>
      <c r="F202" s="250"/>
      <c r="G202" s="254" t="s">
        <v>405</v>
      </c>
      <c r="H202" s="251"/>
    </row>
    <row r="203">
      <c r="A203" s="265"/>
      <c r="B203" s="247">
        <v>21721.21</v>
      </c>
      <c r="C203" s="248"/>
      <c r="D203" s="249"/>
      <c r="F203" s="250"/>
      <c r="G203" s="254" t="s">
        <v>82</v>
      </c>
      <c r="H203" s="251"/>
    </row>
    <row r="204">
      <c r="A204" s="265"/>
      <c r="B204" s="247"/>
      <c r="C204" s="248"/>
      <c r="D204" s="249"/>
      <c r="F204" s="250">
        <v>7400.0</v>
      </c>
      <c r="G204" s="254" t="s">
        <v>608</v>
      </c>
      <c r="H204" s="267"/>
    </row>
    <row r="205">
      <c r="A205" s="265"/>
      <c r="B205" s="247"/>
      <c r="C205" s="248"/>
      <c r="D205" s="249"/>
      <c r="F205" s="250">
        <v>544.0</v>
      </c>
      <c r="G205" s="316" t="s">
        <v>857</v>
      </c>
      <c r="H205" s="251"/>
    </row>
    <row r="206">
      <c r="A206" s="265"/>
      <c r="B206" s="247"/>
      <c r="C206" s="252"/>
      <c r="D206" s="249"/>
      <c r="F206" s="250">
        <v>1800.0</v>
      </c>
      <c r="G206" s="254" t="s">
        <v>288</v>
      </c>
      <c r="H206" s="251"/>
    </row>
    <row r="207">
      <c r="A207" s="265"/>
      <c r="B207" s="247"/>
      <c r="C207" s="248"/>
      <c r="D207" s="249">
        <v>246840.0</v>
      </c>
      <c r="F207" s="250"/>
      <c r="G207" s="254" t="s">
        <v>167</v>
      </c>
      <c r="H207" s="251"/>
    </row>
    <row r="208">
      <c r="A208" s="265"/>
      <c r="B208" s="247">
        <v>48279.0</v>
      </c>
      <c r="C208" s="248"/>
      <c r="D208" s="253"/>
      <c r="F208" s="250"/>
      <c r="G208" s="254" t="s">
        <v>79</v>
      </c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145</v>
      </c>
      <c r="B214" s="239"/>
      <c r="C214" s="263"/>
      <c r="D214" s="264"/>
      <c r="E214" s="242"/>
      <c r="F214" s="243">
        <v>1250.0</v>
      </c>
      <c r="G214" s="276" t="s">
        <v>858</v>
      </c>
      <c r="H214" s="245">
        <v>134.5</v>
      </c>
    </row>
    <row r="215">
      <c r="A215" s="265"/>
      <c r="B215" s="247"/>
      <c r="C215" s="248">
        <v>53115.95</v>
      </c>
      <c r="D215" s="249"/>
      <c r="F215" s="250"/>
      <c r="G215" s="254" t="s">
        <v>89</v>
      </c>
      <c r="H215" s="267"/>
    </row>
    <row r="216">
      <c r="A216" s="265"/>
      <c r="B216" s="247">
        <v>29693.37</v>
      </c>
      <c r="C216" s="252"/>
      <c r="D216" s="249"/>
      <c r="F216" s="250"/>
      <c r="G216" s="254" t="s">
        <v>142</v>
      </c>
      <c r="H216" s="251"/>
    </row>
    <row r="217">
      <c r="A217" s="265"/>
      <c r="B217" s="247">
        <v>29370.0</v>
      </c>
      <c r="C217" s="248"/>
      <c r="D217" s="249"/>
      <c r="F217" s="250"/>
      <c r="G217" s="254" t="s">
        <v>859</v>
      </c>
      <c r="H217" s="251"/>
    </row>
    <row r="218">
      <c r="A218" s="265"/>
      <c r="B218" s="247">
        <v>17110.0</v>
      </c>
      <c r="C218" s="252"/>
      <c r="D218" s="253"/>
      <c r="F218" s="250"/>
      <c r="G218" s="254" t="s">
        <v>860</v>
      </c>
      <c r="H218" s="251"/>
    </row>
    <row r="219">
      <c r="A219" s="265"/>
      <c r="B219" s="247"/>
      <c r="C219" s="248"/>
      <c r="D219" s="253"/>
      <c r="F219" s="250"/>
      <c r="G219" s="254"/>
      <c r="H219" s="251"/>
    </row>
    <row r="220">
      <c r="A220" s="265"/>
      <c r="B220" s="247"/>
      <c r="C220" s="252"/>
      <c r="D220" s="249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7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7"/>
      <c r="C224" s="252"/>
      <c r="D224" s="253"/>
      <c r="E224" s="269"/>
      <c r="F224" s="282"/>
      <c r="G224" s="254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148</v>
      </c>
      <c r="B226" s="239">
        <v>75000.0</v>
      </c>
      <c r="C226" s="263"/>
      <c r="D226" s="264"/>
      <c r="E226" s="276"/>
      <c r="F226" s="243"/>
      <c r="G226" s="276" t="s">
        <v>87</v>
      </c>
      <c r="H226" s="245">
        <v>95.0</v>
      </c>
      <c r="I226" s="254" t="s">
        <v>861</v>
      </c>
      <c r="J226" s="254"/>
      <c r="K226" s="254"/>
    </row>
    <row r="227">
      <c r="A227" s="265"/>
      <c r="B227" s="247">
        <v>14480.8</v>
      </c>
      <c r="C227" s="252"/>
      <c r="D227" s="249"/>
      <c r="F227" s="250"/>
      <c r="G227" s="254" t="s">
        <v>82</v>
      </c>
      <c r="H227" s="251"/>
      <c r="I227" s="269"/>
      <c r="J227" s="254"/>
      <c r="K227" s="254"/>
    </row>
    <row r="228">
      <c r="A228" s="265"/>
      <c r="B228" s="247"/>
      <c r="C228" s="248"/>
      <c r="D228" s="249"/>
      <c r="F228" s="250">
        <v>595.0</v>
      </c>
      <c r="G228" s="254" t="s">
        <v>862</v>
      </c>
      <c r="H228" s="251"/>
      <c r="I228" s="269"/>
      <c r="J228" s="254"/>
      <c r="K228" s="254"/>
    </row>
    <row r="229">
      <c r="A229" s="265"/>
      <c r="B229" s="247">
        <v>34100.0</v>
      </c>
      <c r="C229" s="248"/>
      <c r="D229" s="249"/>
      <c r="E229" s="254"/>
      <c r="F229" s="250"/>
      <c r="G229" s="254" t="s">
        <v>75</v>
      </c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>
        <v>7400.0</v>
      </c>
      <c r="G230" s="254" t="s">
        <v>605</v>
      </c>
      <c r="H230" s="251"/>
      <c r="I230" s="269"/>
      <c r="J230" s="269"/>
      <c r="K230" s="269"/>
    </row>
    <row r="231">
      <c r="A231" s="265"/>
      <c r="B231" s="247"/>
      <c r="C231" s="248"/>
      <c r="D231" s="249">
        <v>70948.76</v>
      </c>
      <c r="E231" s="269"/>
      <c r="F231" s="250"/>
      <c r="G231" s="254" t="s">
        <v>114</v>
      </c>
      <c r="H231" s="251"/>
      <c r="I231" s="269"/>
      <c r="J231" s="269"/>
      <c r="K231" s="269"/>
    </row>
    <row r="232">
      <c r="A232" s="265"/>
      <c r="B232" s="247">
        <v>24785.15</v>
      </c>
      <c r="C232" s="252"/>
      <c r="D232" s="249"/>
      <c r="E232" s="269"/>
      <c r="F232" s="250"/>
      <c r="G232" s="254" t="s">
        <v>377</v>
      </c>
      <c r="H232" s="251"/>
      <c r="I232" s="269"/>
      <c r="J232" s="269"/>
      <c r="K232" s="269"/>
    </row>
    <row r="233">
      <c r="A233" s="265"/>
      <c r="B233" s="247">
        <v>42000.0</v>
      </c>
      <c r="C233" s="252"/>
      <c r="D233" s="288"/>
      <c r="E233" s="269"/>
      <c r="F233" s="250"/>
      <c r="G233" s="254" t="s">
        <v>863</v>
      </c>
      <c r="H233" s="251"/>
      <c r="I233" s="254"/>
      <c r="J233" s="269"/>
      <c r="K233" s="269"/>
    </row>
    <row r="234">
      <c r="A234" s="265"/>
      <c r="B234" s="247">
        <v>19524.98</v>
      </c>
      <c r="C234" s="252"/>
      <c r="D234" s="253"/>
      <c r="F234" s="250"/>
      <c r="G234" s="254" t="s">
        <v>103</v>
      </c>
      <c r="H234" s="251"/>
      <c r="I234" s="269"/>
      <c r="J234" s="269"/>
      <c r="K234" s="269"/>
    </row>
    <row r="235">
      <c r="A235" s="265"/>
      <c r="B235" s="247">
        <v>58000.0</v>
      </c>
      <c r="C235" s="252"/>
      <c r="D235" s="253"/>
      <c r="F235" s="250"/>
      <c r="G235" s="254" t="s">
        <v>122</v>
      </c>
      <c r="H235" s="251"/>
    </row>
    <row r="236">
      <c r="A236" s="265"/>
      <c r="B236" s="247">
        <v>72418.5</v>
      </c>
      <c r="C236" s="252"/>
      <c r="D236" s="253"/>
      <c r="F236" s="250"/>
      <c r="G236" s="254" t="s">
        <v>92</v>
      </c>
      <c r="H236" s="251"/>
    </row>
    <row r="237">
      <c r="A237" s="265"/>
      <c r="B237" s="277"/>
      <c r="C237" s="252"/>
      <c r="D237" s="253"/>
      <c r="F237" s="250">
        <v>3750.0</v>
      </c>
      <c r="G237" s="254" t="s">
        <v>864</v>
      </c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155</v>
      </c>
      <c r="B241" s="239"/>
      <c r="C241" s="263"/>
      <c r="D241" s="264"/>
      <c r="E241" s="242"/>
      <c r="F241" s="243">
        <v>3800.0</v>
      </c>
      <c r="G241" s="2" t="s">
        <v>344</v>
      </c>
      <c r="H241" s="245">
        <v>104.0</v>
      </c>
      <c r="I241" s="2" t="s">
        <v>72</v>
      </c>
    </row>
    <row r="242">
      <c r="A242" s="265"/>
      <c r="B242" s="247"/>
      <c r="C242" s="248">
        <v>103981.35</v>
      </c>
      <c r="D242" s="249"/>
      <c r="F242" s="250"/>
      <c r="G242" s="254" t="s">
        <v>71</v>
      </c>
      <c r="H242" s="267"/>
    </row>
    <row r="243">
      <c r="A243" s="265"/>
      <c r="B243" s="247"/>
      <c r="C243" s="248"/>
      <c r="D243" s="249"/>
      <c r="F243" s="250">
        <v>800.0</v>
      </c>
      <c r="G243" s="254" t="s">
        <v>857</v>
      </c>
      <c r="H243" s="251"/>
    </row>
    <row r="244">
      <c r="A244" s="265"/>
      <c r="B244" s="247">
        <v>39398.98</v>
      </c>
      <c r="C244" s="248"/>
      <c r="D244" s="249"/>
      <c r="F244" s="250"/>
      <c r="G244" s="254" t="s">
        <v>142</v>
      </c>
      <c r="H244" s="251"/>
    </row>
    <row r="245">
      <c r="A245" s="265"/>
      <c r="B245" s="247"/>
      <c r="C245" s="252"/>
      <c r="D245" s="249"/>
      <c r="F245" s="250">
        <v>11250.0</v>
      </c>
      <c r="G245" s="254" t="s">
        <v>344</v>
      </c>
      <c r="H245" s="267"/>
      <c r="I245" s="2" t="s">
        <v>865</v>
      </c>
    </row>
    <row r="246">
      <c r="A246" s="265"/>
      <c r="B246" s="247"/>
      <c r="C246" s="248"/>
      <c r="D246" s="253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159</v>
      </c>
      <c r="B255" s="239"/>
      <c r="C255" s="263"/>
      <c r="D255" s="264">
        <v>180000.0</v>
      </c>
      <c r="E255" s="244"/>
      <c r="F255" s="243"/>
      <c r="G255" s="276" t="s">
        <v>684</v>
      </c>
      <c r="H255" s="245">
        <v>134.0</v>
      </c>
      <c r="I255" s="2" t="s">
        <v>72</v>
      </c>
    </row>
    <row r="256">
      <c r="A256" s="265"/>
      <c r="B256" s="247">
        <v>35000.0</v>
      </c>
      <c r="C256" s="248"/>
      <c r="D256" s="249"/>
      <c r="F256" s="250"/>
      <c r="G256" s="254" t="s">
        <v>855</v>
      </c>
      <c r="H256" s="251"/>
    </row>
    <row r="257">
      <c r="A257" s="265"/>
      <c r="B257" s="247">
        <v>30385.24</v>
      </c>
      <c r="C257" s="252"/>
      <c r="D257" s="249"/>
      <c r="F257" s="250"/>
      <c r="G257" s="254" t="s">
        <v>82</v>
      </c>
      <c r="H257" s="251"/>
    </row>
    <row r="258">
      <c r="A258" s="265"/>
      <c r="B258" s="247">
        <v>86100.0</v>
      </c>
      <c r="C258" s="248"/>
      <c r="D258" s="249"/>
      <c r="F258" s="250"/>
      <c r="G258" s="254" t="s">
        <v>75</v>
      </c>
      <c r="H258" s="267"/>
    </row>
    <row r="259">
      <c r="A259" s="265"/>
      <c r="B259" s="247">
        <v>24490.0</v>
      </c>
      <c r="C259" s="248"/>
      <c r="D259" s="249"/>
      <c r="F259" s="250"/>
      <c r="G259" s="254" t="s">
        <v>118</v>
      </c>
      <c r="H259" s="251"/>
    </row>
    <row r="260">
      <c r="A260" s="265"/>
      <c r="B260" s="247"/>
      <c r="C260" s="248"/>
      <c r="D260" s="249"/>
      <c r="F260" s="250">
        <v>7100.0</v>
      </c>
      <c r="G260" s="254" t="s">
        <v>605</v>
      </c>
      <c r="H260" s="251"/>
    </row>
    <row r="261">
      <c r="A261" s="265"/>
      <c r="B261" s="247"/>
      <c r="C261" s="252"/>
      <c r="D261" s="249"/>
      <c r="F261" s="250">
        <v>1800.0</v>
      </c>
      <c r="G261" s="254" t="s">
        <v>85</v>
      </c>
      <c r="H261" s="251"/>
    </row>
    <row r="262">
      <c r="A262" s="265"/>
      <c r="B262" s="247"/>
      <c r="C262" s="248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162</v>
      </c>
      <c r="B270" s="239"/>
      <c r="C270" s="263"/>
      <c r="D270" s="249">
        <v>103805.73</v>
      </c>
      <c r="F270" s="250"/>
      <c r="G270" s="254" t="s">
        <v>91</v>
      </c>
      <c r="H270" s="245">
        <v>125.0</v>
      </c>
    </row>
    <row r="271">
      <c r="A271" s="265"/>
      <c r="B271" s="247"/>
      <c r="C271" s="248"/>
      <c r="D271" s="249"/>
      <c r="F271" s="250"/>
      <c r="G271" s="254"/>
      <c r="H271" s="267"/>
    </row>
    <row r="272">
      <c r="A272" s="265"/>
      <c r="B272" s="247"/>
      <c r="C272" s="248"/>
      <c r="D272" s="253"/>
      <c r="F272" s="250"/>
      <c r="G272" s="254"/>
      <c r="H272" s="251"/>
    </row>
    <row r="273">
      <c r="A273" s="265"/>
      <c r="B273" s="247"/>
      <c r="C273" s="248"/>
      <c r="D273" s="249"/>
      <c r="F273" s="250"/>
      <c r="G273" s="254"/>
      <c r="H273" s="251"/>
    </row>
    <row r="274">
      <c r="A274" s="265"/>
      <c r="B274" s="247"/>
      <c r="C274" s="248"/>
      <c r="D274" s="249"/>
      <c r="F274" s="250"/>
      <c r="G274" s="254"/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166</v>
      </c>
      <c r="B283" s="239">
        <v>75000.0</v>
      </c>
      <c r="C283" s="263"/>
      <c r="D283" s="264"/>
      <c r="E283" s="244"/>
      <c r="F283" s="243"/>
      <c r="G283" s="276" t="s">
        <v>87</v>
      </c>
      <c r="H283" s="245">
        <v>147.0</v>
      </c>
      <c r="I283" s="2" t="s">
        <v>72</v>
      </c>
    </row>
    <row r="284">
      <c r="A284" s="265"/>
      <c r="B284" s="247"/>
      <c r="C284" s="248">
        <v>118253.52</v>
      </c>
      <c r="D284" s="249"/>
      <c r="F284" s="250"/>
      <c r="G284" s="254" t="s">
        <v>84</v>
      </c>
      <c r="H284" s="267"/>
    </row>
    <row r="285">
      <c r="A285" s="265"/>
      <c r="B285" s="247">
        <v>8600.0</v>
      </c>
      <c r="C285" s="248"/>
      <c r="D285" s="249"/>
      <c r="F285" s="250"/>
      <c r="G285" s="254" t="s">
        <v>75</v>
      </c>
      <c r="H285" s="251"/>
    </row>
    <row r="286">
      <c r="A286" s="265"/>
      <c r="B286" s="247">
        <v>16266.0</v>
      </c>
      <c r="C286" s="248"/>
      <c r="D286" s="249"/>
      <c r="F286" s="250"/>
      <c r="G286" s="254" t="s">
        <v>66</v>
      </c>
      <c r="H286" s="251"/>
    </row>
    <row r="287">
      <c r="A287" s="265"/>
      <c r="B287" s="247">
        <v>22807.2</v>
      </c>
      <c r="C287" s="252"/>
      <c r="D287" s="249"/>
      <c r="F287" s="250"/>
      <c r="G287" s="254" t="s">
        <v>82</v>
      </c>
      <c r="H287" s="251"/>
    </row>
    <row r="288">
      <c r="A288" s="265"/>
      <c r="B288" s="247">
        <v>1000.0</v>
      </c>
      <c r="C288" s="248"/>
      <c r="D288" s="249"/>
      <c r="F288" s="250"/>
      <c r="G288" s="254" t="s">
        <v>97</v>
      </c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173</v>
      </c>
      <c r="B299" s="239">
        <v>55200.0</v>
      </c>
      <c r="C299" s="263"/>
      <c r="D299" s="264"/>
      <c r="E299" s="244"/>
      <c r="F299" s="243"/>
      <c r="G299" s="276" t="s">
        <v>866</v>
      </c>
      <c r="H299" s="245">
        <f>95+6</f>
        <v>101</v>
      </c>
      <c r="I299" s="2" t="s">
        <v>72</v>
      </c>
    </row>
    <row r="300">
      <c r="A300" s="265"/>
      <c r="B300" s="247"/>
      <c r="C300" s="248"/>
      <c r="D300" s="249">
        <v>49600.0</v>
      </c>
      <c r="F300" s="250"/>
      <c r="G300" s="254" t="s">
        <v>859</v>
      </c>
      <c r="H300" s="267"/>
    </row>
    <row r="301">
      <c r="A301" s="265"/>
      <c r="B301" s="247"/>
      <c r="C301" s="248"/>
      <c r="D301" s="249"/>
      <c r="F301" s="250">
        <f>1005.55+449.82</f>
        <v>1455.37</v>
      </c>
      <c r="G301" s="254" t="s">
        <v>97</v>
      </c>
      <c r="H301" s="251"/>
    </row>
    <row r="302">
      <c r="A302" s="265"/>
      <c r="B302" s="247"/>
      <c r="C302" s="248"/>
      <c r="D302" s="249"/>
      <c r="F302" s="250"/>
      <c r="G302" s="254"/>
      <c r="H302" s="251"/>
    </row>
    <row r="303">
      <c r="A303" s="265"/>
      <c r="B303" s="247"/>
      <c r="C303" s="252"/>
      <c r="D303" s="249"/>
      <c r="F303" s="250"/>
      <c r="G303" s="254"/>
      <c r="H303" s="251"/>
    </row>
    <row r="304">
      <c r="A304" s="265"/>
      <c r="B304" s="247"/>
      <c r="C304" s="248"/>
      <c r="D304" s="249"/>
      <c r="F304" s="250"/>
      <c r="G304" s="254"/>
      <c r="H304" s="267"/>
    </row>
    <row r="305">
      <c r="A305" s="265"/>
      <c r="B305" s="247"/>
      <c r="C305" s="248"/>
      <c r="D305" s="253"/>
      <c r="F305" s="250"/>
      <c r="G305" s="254"/>
      <c r="H305" s="267"/>
    </row>
    <row r="306">
      <c r="A306" s="265"/>
      <c r="B306" s="247"/>
      <c r="C306" s="248"/>
      <c r="D306" s="253"/>
      <c r="F306" s="250"/>
      <c r="G306" s="254"/>
      <c r="H306" s="267"/>
    </row>
    <row r="307">
      <c r="A307" s="265"/>
      <c r="B307" s="247"/>
      <c r="C307" s="252"/>
      <c r="D307" s="253"/>
      <c r="F307" s="250"/>
      <c r="G307" s="254"/>
      <c r="H307" s="251"/>
    </row>
    <row r="308">
      <c r="A308" s="265"/>
      <c r="B308" s="268"/>
      <c r="C308" s="252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179</v>
      </c>
      <c r="B314" s="239"/>
      <c r="C314" s="263"/>
      <c r="D314" s="264"/>
      <c r="E314" s="242"/>
      <c r="F314" s="250">
        <v>7400.0</v>
      </c>
      <c r="G314" s="254" t="s">
        <v>605</v>
      </c>
      <c r="H314" s="245">
        <v>34.0</v>
      </c>
      <c r="I314" s="2" t="s">
        <v>867</v>
      </c>
    </row>
    <row r="315">
      <c r="A315" s="265"/>
      <c r="B315" s="247"/>
      <c r="C315" s="252"/>
      <c r="D315" s="253"/>
      <c r="F315" s="250">
        <v>2440.0</v>
      </c>
      <c r="G315" s="254" t="s">
        <v>291</v>
      </c>
      <c r="H315" s="267"/>
    </row>
    <row r="316">
      <c r="A316" s="265"/>
      <c r="B316" s="247"/>
      <c r="C316" s="248"/>
      <c r="D316" s="249"/>
      <c r="F316" s="250">
        <v>1436.0</v>
      </c>
      <c r="G316" s="254" t="s">
        <v>862</v>
      </c>
      <c r="H316" s="251"/>
    </row>
    <row r="317">
      <c r="A317" s="265"/>
      <c r="B317" s="247">
        <v>36209.25</v>
      </c>
      <c r="C317" s="248"/>
      <c r="D317" s="249"/>
      <c r="F317" s="250"/>
      <c r="G317" s="254" t="s">
        <v>79</v>
      </c>
      <c r="H317" s="251"/>
    </row>
    <row r="318">
      <c r="A318" s="265"/>
      <c r="B318" s="247">
        <f>14100-2600</f>
        <v>11500</v>
      </c>
      <c r="C318" s="248"/>
      <c r="D318" s="249"/>
      <c r="F318" s="250"/>
      <c r="G318" s="254" t="s">
        <v>75</v>
      </c>
      <c r="H318" s="267"/>
    </row>
    <row r="319">
      <c r="A319" s="265"/>
      <c r="B319" s="247">
        <v>22807.2</v>
      </c>
      <c r="C319" s="252"/>
      <c r="D319" s="249"/>
      <c r="F319" s="250"/>
      <c r="G319" s="254" t="s">
        <v>82</v>
      </c>
      <c r="H319" s="267"/>
    </row>
    <row r="320">
      <c r="A320" s="265"/>
      <c r="B320" s="247"/>
      <c r="C320" s="252"/>
      <c r="D320" s="249">
        <v>74100.0</v>
      </c>
      <c r="F320" s="250"/>
      <c r="G320" s="254" t="s">
        <v>825</v>
      </c>
      <c r="H320" s="251"/>
    </row>
    <row r="321">
      <c r="A321" s="265"/>
      <c r="B321" s="247"/>
      <c r="C321" s="248">
        <v>97598.0</v>
      </c>
      <c r="D321" s="253"/>
      <c r="F321" s="250"/>
      <c r="G321" s="254" t="s">
        <v>89</v>
      </c>
      <c r="H321" s="251"/>
    </row>
    <row r="322">
      <c r="A322" s="265"/>
      <c r="B322" s="268"/>
      <c r="C322" s="252"/>
      <c r="D322" s="253"/>
      <c r="F322" s="250">
        <v>6000.0</v>
      </c>
      <c r="G322" s="254" t="s">
        <v>868</v>
      </c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182</v>
      </c>
      <c r="B329" s="239">
        <v>43913.25</v>
      </c>
      <c r="C329" s="263"/>
      <c r="D329" s="264"/>
      <c r="E329" s="242"/>
      <c r="F329" s="243"/>
      <c r="G329" s="244" t="s">
        <v>142</v>
      </c>
      <c r="H329" s="245"/>
      <c r="I329" s="2" t="s">
        <v>869</v>
      </c>
    </row>
    <row r="330">
      <c r="A330" s="265"/>
      <c r="B330" s="247"/>
      <c r="C330" s="248"/>
      <c r="D330" s="249"/>
      <c r="F330" s="250">
        <v>300.0</v>
      </c>
      <c r="G330" s="2" t="s">
        <v>385</v>
      </c>
      <c r="H330" s="267">
        <v>134.0</v>
      </c>
    </row>
    <row r="331">
      <c r="A331" s="265"/>
      <c r="B331" s="247">
        <v>23500.0</v>
      </c>
      <c r="C331" s="248"/>
      <c r="D331" s="249"/>
      <c r="F331" s="250"/>
      <c r="G331" s="2" t="s">
        <v>68</v>
      </c>
      <c r="H331" s="251"/>
    </row>
    <row r="332">
      <c r="A332" s="265"/>
      <c r="B332" s="247">
        <v>15129.65</v>
      </c>
      <c r="C332" s="248"/>
      <c r="D332" s="249"/>
      <c r="F332" s="250" t="s">
        <v>46</v>
      </c>
      <c r="G332" s="2" t="s">
        <v>870</v>
      </c>
      <c r="H332" s="251"/>
    </row>
    <row r="333">
      <c r="A333" s="265"/>
      <c r="B333" s="247"/>
      <c r="C333" s="248"/>
      <c r="D333" s="249">
        <v>246840.0</v>
      </c>
      <c r="F333" s="250"/>
      <c r="G333" s="2" t="s">
        <v>167</v>
      </c>
      <c r="H333" s="251"/>
    </row>
    <row r="334">
      <c r="A334" s="265"/>
      <c r="B334" s="247"/>
      <c r="C334" s="248"/>
      <c r="D334" s="249"/>
      <c r="F334" s="250"/>
      <c r="H334" s="251"/>
    </row>
    <row r="335">
      <c r="A335" s="265"/>
      <c r="B335" s="247"/>
      <c r="C335" s="248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184</v>
      </c>
      <c r="B343" s="239"/>
      <c r="C343" s="263">
        <f>45189.87+75412.04</f>
        <v>120601.91</v>
      </c>
      <c r="D343" s="264"/>
      <c r="E343" s="242"/>
      <c r="F343" s="243"/>
      <c r="G343" s="244" t="s">
        <v>71</v>
      </c>
      <c r="H343" s="245">
        <v>160.0</v>
      </c>
      <c r="I343" s="2" t="s">
        <v>72</v>
      </c>
    </row>
    <row r="344">
      <c r="A344" s="265"/>
      <c r="B344" s="247"/>
      <c r="C344" s="248"/>
      <c r="D344" s="249"/>
      <c r="F344" s="250">
        <v>7400.0</v>
      </c>
      <c r="G344" s="2" t="s">
        <v>605</v>
      </c>
      <c r="H344" s="267"/>
    </row>
    <row r="345">
      <c r="A345" s="265"/>
      <c r="B345" s="247">
        <v>22807.2</v>
      </c>
      <c r="C345" s="248"/>
      <c r="D345" s="249"/>
      <c r="F345" s="250"/>
      <c r="G345" s="2" t="s">
        <v>82</v>
      </c>
      <c r="H345" s="267"/>
    </row>
    <row r="346">
      <c r="A346" s="265"/>
      <c r="B346" s="247">
        <f>80500-600</f>
        <v>79900</v>
      </c>
      <c r="C346" s="248"/>
      <c r="D346" s="249"/>
      <c r="F346" s="250"/>
      <c r="G346" s="2" t="s">
        <v>871</v>
      </c>
      <c r="H346" s="251"/>
    </row>
    <row r="347">
      <c r="A347" s="265"/>
      <c r="B347" s="247"/>
      <c r="C347" s="248"/>
      <c r="D347" s="249"/>
      <c r="F347" s="250">
        <v>7163.0</v>
      </c>
      <c r="G347" s="2" t="s">
        <v>854</v>
      </c>
      <c r="H347" s="251"/>
    </row>
    <row r="348">
      <c r="A348" s="265"/>
      <c r="B348" s="247"/>
      <c r="C348" s="252"/>
      <c r="D348" s="249">
        <v>63964.84</v>
      </c>
      <c r="F348" s="250"/>
      <c r="G348" s="2" t="s">
        <v>114</v>
      </c>
      <c r="H348" s="251"/>
    </row>
    <row r="349">
      <c r="A349" s="265"/>
      <c r="B349" s="247"/>
      <c r="C349" s="252"/>
      <c r="D349" s="249"/>
      <c r="F349" s="250"/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186</v>
      </c>
      <c r="B361" s="239"/>
      <c r="C361" s="240"/>
      <c r="D361" s="264"/>
      <c r="E361" s="242"/>
      <c r="F361" s="243">
        <v>600.0</v>
      </c>
      <c r="G361" s="244" t="s">
        <v>872</v>
      </c>
      <c r="H361" s="245">
        <v>175.5</v>
      </c>
      <c r="I361" s="2" t="s">
        <v>72</v>
      </c>
    </row>
    <row r="362">
      <c r="A362" s="265"/>
      <c r="B362" s="247"/>
      <c r="C362" s="248"/>
      <c r="D362" s="249"/>
      <c r="F362" s="250">
        <v>269.0</v>
      </c>
      <c r="G362" s="2" t="s">
        <v>97</v>
      </c>
      <c r="H362" s="267" t="s">
        <v>46</v>
      </c>
      <c r="I362" s="2" t="s">
        <v>873</v>
      </c>
    </row>
    <row r="363">
      <c r="A363" s="265"/>
      <c r="B363" s="247">
        <v>75000.0</v>
      </c>
      <c r="C363" s="248"/>
      <c r="D363" s="253"/>
      <c r="F363" s="250"/>
      <c r="G363" s="2" t="s">
        <v>87</v>
      </c>
      <c r="H363" s="267"/>
    </row>
    <row r="364">
      <c r="A364" s="265"/>
      <c r="B364" s="247"/>
      <c r="C364" s="248"/>
      <c r="D364" s="249">
        <v>58000.0</v>
      </c>
      <c r="F364" s="250"/>
      <c r="G364" s="2" t="s">
        <v>122</v>
      </c>
      <c r="H364" s="251"/>
    </row>
    <row r="365">
      <c r="A365" s="265"/>
      <c r="B365" s="247">
        <v>17447.66</v>
      </c>
      <c r="C365" s="252"/>
      <c r="D365" s="249"/>
      <c r="F365" s="250"/>
      <c r="G365" s="2" t="s">
        <v>73</v>
      </c>
      <c r="H365" s="251"/>
    </row>
    <row r="366">
      <c r="A366" s="265"/>
      <c r="B366" s="247">
        <v>82032.55</v>
      </c>
      <c r="C366" s="252"/>
      <c r="D366" s="253"/>
      <c r="F366" s="250"/>
      <c r="G366" s="2" t="s">
        <v>74</v>
      </c>
      <c r="H366" s="251"/>
    </row>
    <row r="367">
      <c r="A367" s="265"/>
      <c r="B367" s="247"/>
      <c r="C367" s="252"/>
      <c r="D367" s="249">
        <v>24532.0</v>
      </c>
      <c r="F367" s="250"/>
      <c r="G367" s="2" t="s">
        <v>874</v>
      </c>
      <c r="H367" s="251"/>
    </row>
    <row r="368">
      <c r="A368" s="265"/>
      <c r="B368" s="268"/>
      <c r="C368" s="252"/>
      <c r="D368" s="249">
        <v>74814.4</v>
      </c>
      <c r="F368" s="250"/>
      <c r="G368" s="2" t="s">
        <v>103</v>
      </c>
      <c r="H368" s="251"/>
    </row>
    <row r="369">
      <c r="A369" s="265"/>
      <c r="B369" s="247">
        <v>1200.0</v>
      </c>
      <c r="C369" s="252"/>
      <c r="D369" s="253"/>
      <c r="F369" s="250"/>
      <c r="G369" s="2" t="s">
        <v>588</v>
      </c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40"/>
      <c r="D379" s="264"/>
      <c r="E379" s="242"/>
      <c r="F379" s="243"/>
      <c r="H379" s="245"/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>
        <v>33647.34</v>
      </c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34645.4</v>
      </c>
      <c r="F391" s="250"/>
      <c r="G391" s="2" t="s">
        <v>190</v>
      </c>
      <c r="H391" s="294">
        <v>45199.0</v>
      </c>
    </row>
    <row r="392">
      <c r="A392" s="265"/>
      <c r="B392" s="247"/>
      <c r="C392" s="248"/>
      <c r="D392" s="249">
        <v>11583.74</v>
      </c>
      <c r="F392" s="250"/>
      <c r="G392" s="2" t="s">
        <v>191</v>
      </c>
      <c r="H392" s="294">
        <v>45223.0</v>
      </c>
    </row>
    <row r="393">
      <c r="A393" s="265"/>
      <c r="B393" s="268"/>
      <c r="C393" s="252"/>
      <c r="D393" s="249"/>
      <c r="F393" s="250"/>
      <c r="H393" s="294"/>
    </row>
    <row r="394">
      <c r="A394" s="265"/>
      <c r="B394" s="268"/>
      <c r="C394" s="252"/>
      <c r="D394" s="249">
        <v>108900.0</v>
      </c>
      <c r="F394" s="250"/>
      <c r="G394" s="2" t="s">
        <v>192</v>
      </c>
      <c r="H394" s="294">
        <v>45204.0</v>
      </c>
    </row>
    <row r="395">
      <c r="A395" s="265"/>
      <c r="B395" s="268"/>
      <c r="C395" s="252"/>
      <c r="D395" s="253"/>
      <c r="F395" s="250">
        <v>160000.0</v>
      </c>
      <c r="G395" s="2" t="s">
        <v>193</v>
      </c>
      <c r="H395" s="294">
        <v>45219.0</v>
      </c>
    </row>
    <row r="396">
      <c r="A396" s="265"/>
      <c r="B396" s="247"/>
      <c r="C396" s="252"/>
      <c r="D396" s="249">
        <v>26875.0</v>
      </c>
      <c r="F396" s="250"/>
      <c r="G396" s="2" t="s">
        <v>194</v>
      </c>
      <c r="H396" s="294">
        <v>45219.0</v>
      </c>
      <c r="I396" s="2" t="s">
        <v>838</v>
      </c>
    </row>
    <row r="397">
      <c r="A397" s="265"/>
      <c r="B397" s="247"/>
      <c r="C397" s="252"/>
      <c r="D397" s="249">
        <v>66000.0</v>
      </c>
      <c r="F397" s="250"/>
      <c r="G397" s="2" t="s">
        <v>196</v>
      </c>
      <c r="H397" s="294">
        <v>45204.0</v>
      </c>
      <c r="I397" s="318"/>
    </row>
    <row r="398">
      <c r="A398" s="265"/>
      <c r="B398" s="247">
        <v>16462.47</v>
      </c>
      <c r="C398" s="252"/>
      <c r="D398" s="249"/>
      <c r="F398" s="250"/>
      <c r="G398" s="2" t="s">
        <v>197</v>
      </c>
      <c r="H398" s="294"/>
      <c r="I398" s="2" t="s">
        <v>198</v>
      </c>
    </row>
    <row r="399">
      <c r="A399" s="265"/>
      <c r="B399" s="268"/>
      <c r="C399" s="252"/>
      <c r="D399" s="249">
        <v>13814.35</v>
      </c>
      <c r="F399" s="250"/>
      <c r="G399" s="2" t="s">
        <v>199</v>
      </c>
      <c r="H399" s="294"/>
      <c r="I399" s="2" t="s">
        <v>189</v>
      </c>
    </row>
    <row r="400">
      <c r="A400" s="265"/>
      <c r="B400" s="247"/>
      <c r="C400" s="252"/>
      <c r="D400" s="249">
        <v>31462.55</v>
      </c>
      <c r="F400" s="250"/>
      <c r="G400" s="2" t="s">
        <v>200</v>
      </c>
      <c r="H400" s="294"/>
      <c r="I400" s="2" t="s">
        <v>189</v>
      </c>
    </row>
    <row r="401">
      <c r="A401" s="265"/>
      <c r="B401" s="278"/>
      <c r="C401" s="248"/>
      <c r="D401" s="296">
        <v>7260.43</v>
      </c>
      <c r="F401" s="282"/>
      <c r="G401" s="2" t="s">
        <v>201</v>
      </c>
      <c r="H401" s="294"/>
      <c r="I401" s="2" t="s">
        <v>189</v>
      </c>
    </row>
    <row r="402">
      <c r="A402" s="270"/>
      <c r="B402" s="277">
        <v>5445.0</v>
      </c>
      <c r="C402" s="248"/>
      <c r="D402" s="295"/>
      <c r="F402" s="282"/>
      <c r="G402" s="2" t="s">
        <v>525</v>
      </c>
      <c r="H402" s="294"/>
    </row>
    <row r="403">
      <c r="A403" s="299"/>
      <c r="B403" s="278"/>
      <c r="C403" s="248"/>
      <c r="D403" s="295"/>
      <c r="F403" s="282"/>
      <c r="H403" s="294"/>
    </row>
    <row r="404">
      <c r="A404" s="299"/>
      <c r="B404" s="278"/>
      <c r="C404" s="248"/>
      <c r="D404" s="300">
        <v>211604.55</v>
      </c>
      <c r="F404" s="282"/>
      <c r="G404" s="2" t="s">
        <v>202</v>
      </c>
      <c r="H404" s="301">
        <v>45209.0</v>
      </c>
      <c r="I404" s="2" t="s">
        <v>203</v>
      </c>
    </row>
    <row r="405">
      <c r="A405" s="299"/>
      <c r="B405" s="278"/>
      <c r="C405" s="248"/>
      <c r="D405" s="295"/>
      <c r="F405" s="250"/>
      <c r="G405" s="2" t="s">
        <v>204</v>
      </c>
      <c r="H405" s="301"/>
    </row>
    <row r="406">
      <c r="A406" s="303"/>
      <c r="B406" s="278"/>
      <c r="C406" s="252"/>
      <c r="D406" s="253"/>
      <c r="F406" s="250"/>
      <c r="G406" s="2" t="s">
        <v>205</v>
      </c>
      <c r="H406" s="302"/>
    </row>
    <row r="407">
      <c r="A407" s="303"/>
      <c r="B407" s="268"/>
      <c r="C407" s="252"/>
      <c r="D407" s="249">
        <v>511784.16</v>
      </c>
      <c r="F407" s="250"/>
      <c r="G407" s="2" t="s">
        <v>206</v>
      </c>
      <c r="H407" s="294">
        <v>45219.0</v>
      </c>
      <c r="I407" s="2" t="s">
        <v>203</v>
      </c>
    </row>
    <row r="408">
      <c r="A408" s="303"/>
      <c r="B408" s="247"/>
      <c r="C408" s="252"/>
      <c r="D408" s="249"/>
      <c r="F408" s="250"/>
      <c r="H408" s="294"/>
    </row>
    <row r="409">
      <c r="A409" s="303"/>
      <c r="B409" s="268"/>
      <c r="C409" s="252"/>
      <c r="D409" s="300">
        <v>142499.15</v>
      </c>
      <c r="F409" s="332"/>
      <c r="G409" s="2" t="s">
        <v>209</v>
      </c>
      <c r="H409" s="294"/>
      <c r="I409" s="2" t="s">
        <v>666</v>
      </c>
    </row>
    <row r="410">
      <c r="A410" s="303"/>
      <c r="B410" s="268"/>
      <c r="C410" s="252"/>
      <c r="D410" s="249"/>
      <c r="F410" s="250"/>
      <c r="H410" s="294"/>
    </row>
    <row r="411">
      <c r="A411" s="303"/>
      <c r="B411" s="247">
        <v>23200.0</v>
      </c>
      <c r="C411" s="252"/>
      <c r="D411" s="331"/>
      <c r="F411" s="266"/>
      <c r="G411" s="2" t="s">
        <v>667</v>
      </c>
      <c r="H411" s="251"/>
    </row>
    <row r="412">
      <c r="A412" s="304"/>
      <c r="B412" s="268"/>
      <c r="C412" s="252"/>
      <c r="D412" s="249">
        <v>74000.0</v>
      </c>
      <c r="F412" s="332"/>
      <c r="G412" s="2" t="s">
        <v>602</v>
      </c>
      <c r="H412" s="294">
        <v>45206.0</v>
      </c>
    </row>
    <row r="413">
      <c r="A413" s="305"/>
      <c r="B413" s="271"/>
      <c r="C413" s="272"/>
      <c r="D413" s="273"/>
      <c r="E413" s="18"/>
      <c r="F413" s="274"/>
      <c r="G413" s="18"/>
      <c r="H413" s="261"/>
    </row>
    <row r="414">
      <c r="A414" s="265"/>
      <c r="B414" s="306"/>
      <c r="C414" s="240"/>
      <c r="D414" s="241"/>
      <c r="E414" s="242"/>
      <c r="F414" s="243"/>
      <c r="G414" s="244"/>
      <c r="H414" s="307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70"/>
      <c r="B422" s="268"/>
      <c r="C422" s="252"/>
      <c r="D422" s="253"/>
      <c r="F422" s="250"/>
      <c r="H422" s="251"/>
    </row>
    <row r="423">
      <c r="A423" s="305"/>
      <c r="B423" s="271"/>
      <c r="C423" s="272"/>
      <c r="D423" s="273"/>
      <c r="E423" s="18"/>
      <c r="F423" s="274"/>
      <c r="G423" s="18"/>
      <c r="H423" s="261"/>
    </row>
    <row r="424">
      <c r="A424" s="265"/>
      <c r="B424" s="306"/>
      <c r="C424" s="240"/>
      <c r="D424" s="241"/>
      <c r="E424" s="242"/>
      <c r="F424" s="243"/>
      <c r="G424" s="244"/>
      <c r="H424" s="307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70"/>
      <c r="B432" s="268"/>
      <c r="C432" s="252"/>
      <c r="D432" s="253"/>
      <c r="F432" s="250"/>
      <c r="H432" s="251"/>
    </row>
    <row r="433">
      <c r="B433" s="271"/>
      <c r="C433" s="272"/>
      <c r="D433" s="273"/>
      <c r="E433" s="18"/>
      <c r="F433" s="274"/>
      <c r="G433" s="18"/>
      <c r="H433" s="261"/>
    </row>
    <row r="434">
      <c r="B434" s="306"/>
      <c r="C434" s="240"/>
      <c r="D434" s="241"/>
      <c r="E434" s="242"/>
      <c r="F434" s="243"/>
      <c r="G434" s="244"/>
      <c r="H434" s="307"/>
    </row>
    <row r="435">
      <c r="B435" s="268"/>
      <c r="C435" s="252"/>
      <c r="D435" s="253"/>
      <c r="F435" s="250"/>
      <c r="H435" s="251"/>
    </row>
    <row r="436">
      <c r="B436" s="268"/>
      <c r="C436" s="252"/>
      <c r="D436" s="253"/>
      <c r="F436" s="250"/>
      <c r="H436" s="251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3:A422"/>
    <mergeCell ref="A423:A432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34.5"/>
    <col customWidth="1" min="8" max="8" width="10.13"/>
  </cols>
  <sheetData>
    <row r="1" ht="27.0" customHeight="1">
      <c r="A1" s="231">
        <v>7.0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529</v>
      </c>
      <c r="G1" s="235"/>
      <c r="H1" s="237" t="s">
        <v>57</v>
      </c>
    </row>
    <row r="2">
      <c r="A2" s="238"/>
      <c r="B2" s="319"/>
      <c r="C2" s="320"/>
      <c r="D2" s="321"/>
      <c r="E2" s="322"/>
      <c r="F2" s="333">
        <v>7400.0</v>
      </c>
      <c r="G2" s="334" t="s">
        <v>875</v>
      </c>
      <c r="H2" s="245">
        <v>164.0</v>
      </c>
      <c r="I2" s="2" t="s">
        <v>72</v>
      </c>
    </row>
    <row r="3">
      <c r="A3" s="246" t="s">
        <v>876</v>
      </c>
      <c r="B3" s="330">
        <v>32400.0</v>
      </c>
      <c r="C3" s="313"/>
      <c r="D3" s="337"/>
      <c r="E3" s="336"/>
      <c r="F3" s="335"/>
      <c r="G3" s="336" t="s">
        <v>75</v>
      </c>
      <c r="H3" s="267"/>
    </row>
    <row r="4">
      <c r="A4" s="246"/>
      <c r="B4" s="330">
        <v>20604.17</v>
      </c>
      <c r="C4" s="328"/>
      <c r="D4" s="337"/>
      <c r="E4" s="336"/>
      <c r="F4" s="335"/>
      <c r="G4" s="336" t="s">
        <v>82</v>
      </c>
      <c r="H4" s="251"/>
    </row>
    <row r="5">
      <c r="A5" s="246"/>
      <c r="B5" s="330"/>
      <c r="C5" s="338">
        <v>41283.46</v>
      </c>
      <c r="D5" s="325"/>
      <c r="E5" s="290"/>
      <c r="F5" s="291"/>
      <c r="G5" s="336" t="s">
        <v>84</v>
      </c>
      <c r="H5" s="251"/>
    </row>
    <row r="6">
      <c r="A6" s="246"/>
      <c r="B6" s="330"/>
      <c r="C6" s="313"/>
      <c r="D6" s="337">
        <v>54585.87</v>
      </c>
      <c r="E6" s="336"/>
      <c r="F6" s="335"/>
      <c r="G6" s="336" t="s">
        <v>77</v>
      </c>
      <c r="H6" s="251"/>
    </row>
    <row r="7">
      <c r="A7" s="246"/>
      <c r="B7" s="342">
        <v>160083.0</v>
      </c>
      <c r="C7" s="313"/>
      <c r="D7" s="337"/>
      <c r="E7" s="336"/>
      <c r="F7" s="335"/>
      <c r="G7" s="336" t="s">
        <v>877</v>
      </c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878</v>
      </c>
      <c r="B15" s="239"/>
      <c r="C15" s="263"/>
      <c r="D15" s="264"/>
      <c r="E15" s="242"/>
      <c r="F15" s="250">
        <f>970+890</f>
        <v>1860</v>
      </c>
      <c r="G15" s="2" t="s">
        <v>97</v>
      </c>
      <c r="H15" s="245">
        <f>90+34</f>
        <v>124</v>
      </c>
    </row>
    <row r="16">
      <c r="A16" s="265"/>
      <c r="B16" s="247">
        <v>39450.0</v>
      </c>
      <c r="C16" s="248"/>
      <c r="D16" s="249"/>
      <c r="F16" s="266"/>
      <c r="G16" s="2" t="s">
        <v>859</v>
      </c>
      <c r="H16" s="267"/>
    </row>
    <row r="17">
      <c r="A17" s="265"/>
      <c r="B17" s="247"/>
      <c r="C17" s="248"/>
      <c r="D17" s="249"/>
      <c r="F17" s="250"/>
      <c r="H17" s="251"/>
    </row>
    <row r="18">
      <c r="A18" s="265"/>
      <c r="B18" s="247"/>
      <c r="C18" s="252"/>
      <c r="D18" s="249"/>
      <c r="F18" s="250"/>
      <c r="H18" s="251"/>
    </row>
    <row r="19">
      <c r="A19" s="265"/>
      <c r="B19" s="247"/>
      <c r="C19" s="248"/>
      <c r="D19" s="249"/>
      <c r="F19" s="250"/>
      <c r="H19" s="251"/>
    </row>
    <row r="20">
      <c r="A20" s="265"/>
      <c r="B20" s="247"/>
      <c r="C20" s="248"/>
      <c r="D20" s="249"/>
      <c r="F20" s="250"/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879</v>
      </c>
      <c r="B28" s="239"/>
      <c r="C28" s="263"/>
      <c r="D28" s="264"/>
      <c r="E28" s="244"/>
      <c r="F28" s="243">
        <v>7400.0</v>
      </c>
      <c r="G28" s="276" t="s">
        <v>880</v>
      </c>
      <c r="H28" s="245">
        <v>120.0</v>
      </c>
    </row>
    <row r="29">
      <c r="A29" s="265"/>
      <c r="B29" s="247">
        <v>10200.0</v>
      </c>
      <c r="C29" s="248"/>
      <c r="D29" s="249"/>
      <c r="F29" s="250"/>
      <c r="G29" s="2" t="s">
        <v>75</v>
      </c>
      <c r="H29" s="267"/>
    </row>
    <row r="30">
      <c r="A30" s="265"/>
      <c r="B30" s="247">
        <v>15204.8</v>
      </c>
      <c r="C30" s="248"/>
      <c r="D30" s="249"/>
      <c r="F30" s="250"/>
      <c r="G30" s="254" t="s">
        <v>82</v>
      </c>
      <c r="H30" s="251"/>
    </row>
    <row r="31">
      <c r="A31" s="265"/>
      <c r="B31" s="247"/>
      <c r="C31" s="248">
        <v>99641.75</v>
      </c>
      <c r="D31" s="249"/>
      <c r="F31" s="250"/>
      <c r="G31" s="254" t="s">
        <v>89</v>
      </c>
      <c r="H31" s="251"/>
    </row>
    <row r="32">
      <c r="A32" s="265"/>
      <c r="B32" s="247"/>
      <c r="C32" s="252"/>
      <c r="D32" s="249">
        <v>107145.5</v>
      </c>
      <c r="F32" s="250"/>
      <c r="G32" s="254" t="s">
        <v>881</v>
      </c>
      <c r="H32" s="251"/>
    </row>
    <row r="33">
      <c r="A33" s="265"/>
      <c r="B33" s="247"/>
      <c r="C33" s="248"/>
      <c r="D33" s="249"/>
      <c r="F33" s="250"/>
      <c r="G33" s="254"/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49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6295.7</v>
      </c>
      <c r="C42" s="248"/>
      <c r="D42" s="249"/>
      <c r="F42" s="250"/>
      <c r="G42" s="254" t="s">
        <v>61</v>
      </c>
      <c r="H42" s="267">
        <v>120.0</v>
      </c>
    </row>
    <row r="43">
      <c r="A43" s="280"/>
      <c r="B43" s="277">
        <v>50667.98</v>
      </c>
      <c r="C43" s="248"/>
      <c r="D43" s="249"/>
      <c r="F43" s="250"/>
      <c r="G43" s="254" t="s">
        <v>142</v>
      </c>
      <c r="H43" s="267"/>
    </row>
    <row r="44">
      <c r="A44" s="280" t="s">
        <v>882</v>
      </c>
      <c r="B44" s="247"/>
      <c r="C44" s="248"/>
      <c r="D44" s="300">
        <v>65138.4</v>
      </c>
      <c r="F44" s="250"/>
      <c r="G44" s="254" t="s">
        <v>114</v>
      </c>
      <c r="H44" s="251"/>
    </row>
    <row r="45">
      <c r="A45" s="265"/>
      <c r="B45" s="247">
        <v>75000.0</v>
      </c>
      <c r="C45" s="248"/>
      <c r="D45" s="249"/>
      <c r="F45" s="250"/>
      <c r="G45" s="254" t="s">
        <v>87</v>
      </c>
      <c r="H45" s="251"/>
    </row>
    <row r="46">
      <c r="A46" s="265"/>
      <c r="B46" s="247">
        <v>23500.0</v>
      </c>
      <c r="C46" s="248"/>
      <c r="D46" s="249"/>
      <c r="F46" s="250"/>
      <c r="G46" s="254" t="s">
        <v>68</v>
      </c>
      <c r="H46" s="251"/>
    </row>
    <row r="47">
      <c r="A47" s="265"/>
      <c r="B47" s="247"/>
      <c r="C47" s="248">
        <f>102873.6+50933.74</f>
        <v>153807.34</v>
      </c>
      <c r="D47" s="249"/>
      <c r="F47" s="250"/>
      <c r="G47" s="254" t="s">
        <v>71</v>
      </c>
      <c r="H47" s="251"/>
    </row>
    <row r="48">
      <c r="A48" s="265"/>
      <c r="B48" s="247"/>
      <c r="C48" s="248"/>
      <c r="D48" s="249">
        <v>170000.0</v>
      </c>
      <c r="F48" s="250"/>
      <c r="G48" s="254" t="s">
        <v>144</v>
      </c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883</v>
      </c>
      <c r="B54" s="239"/>
      <c r="C54" s="263"/>
      <c r="D54" s="264"/>
      <c r="E54" s="242"/>
      <c r="F54" s="243">
        <v>7400.0</v>
      </c>
      <c r="G54" s="276" t="s">
        <v>605</v>
      </c>
      <c r="H54" s="245">
        <v>130.0</v>
      </c>
    </row>
    <row r="55">
      <c r="A55" s="265"/>
      <c r="B55" s="247">
        <v>15204.8</v>
      </c>
      <c r="C55" s="248"/>
      <c r="D55" s="249"/>
      <c r="F55" s="250"/>
      <c r="G55" s="254" t="s">
        <v>82</v>
      </c>
      <c r="H55" s="267"/>
    </row>
    <row r="56">
      <c r="A56" s="265"/>
      <c r="B56" s="339">
        <v>69500.0</v>
      </c>
      <c r="C56" s="248"/>
      <c r="D56" s="249"/>
      <c r="F56" s="250"/>
      <c r="G56" s="254" t="s">
        <v>75</v>
      </c>
      <c r="H56" s="251"/>
    </row>
    <row r="57">
      <c r="A57" s="265"/>
      <c r="B57" s="339">
        <v>25400.0</v>
      </c>
      <c r="C57" s="248"/>
      <c r="D57" s="249"/>
      <c r="F57" s="250"/>
      <c r="G57" s="254" t="s">
        <v>884</v>
      </c>
      <c r="H57" s="267"/>
    </row>
    <row r="58">
      <c r="A58" s="265"/>
      <c r="B58" s="247"/>
      <c r="C58" s="248"/>
      <c r="D58" s="249"/>
      <c r="F58" s="250"/>
      <c r="G58" s="254"/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49"/>
      <c r="F60" s="250"/>
      <c r="G60" s="254"/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47"/>
      <c r="C62" s="248"/>
      <c r="D62" s="253"/>
      <c r="F62" s="250"/>
      <c r="G62" s="254"/>
      <c r="H62" s="251"/>
    </row>
    <row r="63">
      <c r="A63" s="265"/>
      <c r="B63" s="247"/>
      <c r="C63" s="248"/>
      <c r="D63" s="249"/>
      <c r="F63" s="250"/>
      <c r="G63" s="254"/>
      <c r="H63" s="251"/>
    </row>
    <row r="64">
      <c r="A64" s="265"/>
      <c r="B64" s="247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54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885</v>
      </c>
      <c r="B68" s="239"/>
      <c r="C68" s="263"/>
      <c r="D68" s="264"/>
      <c r="E68" s="244"/>
      <c r="F68" s="243">
        <v>2839.0</v>
      </c>
      <c r="G68" s="276" t="s">
        <v>102</v>
      </c>
      <c r="H68" s="245">
        <v>127.0</v>
      </c>
      <c r="I68" s="2" t="s">
        <v>107</v>
      </c>
    </row>
    <row r="69">
      <c r="A69" s="265"/>
      <c r="B69" s="247">
        <v>23667.0</v>
      </c>
      <c r="C69" s="248"/>
      <c r="D69" s="249"/>
      <c r="F69" s="250"/>
      <c r="G69" s="254" t="s">
        <v>66</v>
      </c>
      <c r="H69" s="267"/>
    </row>
    <row r="70">
      <c r="A70" s="265"/>
      <c r="B70" s="247">
        <v>9943.0</v>
      </c>
      <c r="C70" s="252"/>
      <c r="D70" s="249"/>
      <c r="F70" s="250"/>
      <c r="G70" s="254" t="s">
        <v>886</v>
      </c>
      <c r="H70" s="310"/>
    </row>
    <row r="71">
      <c r="A71" s="265"/>
      <c r="B71" s="247"/>
      <c r="C71" s="248"/>
      <c r="D71" s="249"/>
      <c r="F71" s="250">
        <v>10800.0</v>
      </c>
      <c r="G71" s="254" t="s">
        <v>426</v>
      </c>
      <c r="H71" s="251"/>
    </row>
    <row r="72">
      <c r="A72" s="265"/>
      <c r="B72" s="247"/>
      <c r="C72" s="248"/>
      <c r="D72" s="249"/>
      <c r="F72" s="250"/>
      <c r="G72" s="254"/>
      <c r="H72" s="251"/>
    </row>
    <row r="73">
      <c r="A73" s="265"/>
      <c r="B73" s="247"/>
      <c r="C73" s="248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49"/>
      <c r="F76" s="250"/>
      <c r="G76" s="254"/>
      <c r="H76" s="251"/>
    </row>
    <row r="77">
      <c r="A77" s="265"/>
      <c r="B77" s="277"/>
      <c r="C77" s="252"/>
      <c r="D77" s="253"/>
      <c r="F77" s="250"/>
      <c r="G77" s="254"/>
      <c r="H77" s="251"/>
    </row>
    <row r="78">
      <c r="A78" s="265"/>
      <c r="B78" s="277"/>
      <c r="C78" s="252"/>
      <c r="D78" s="253"/>
      <c r="F78" s="250"/>
      <c r="G78" s="254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887</v>
      </c>
      <c r="B80" s="239">
        <v>58000.0</v>
      </c>
      <c r="C80" s="263"/>
      <c r="D80" s="241"/>
      <c r="E80" s="242"/>
      <c r="F80" s="243"/>
      <c r="G80" s="276" t="s">
        <v>122</v>
      </c>
      <c r="H80" s="245">
        <v>148.5</v>
      </c>
    </row>
    <row r="81">
      <c r="A81" s="265"/>
      <c r="B81" s="247">
        <v>27900.0</v>
      </c>
      <c r="C81" s="248"/>
      <c r="D81" s="249"/>
      <c r="F81" s="250"/>
      <c r="G81" s="254" t="s">
        <v>75</v>
      </c>
      <c r="H81" s="267"/>
    </row>
    <row r="82">
      <c r="A82" s="265"/>
      <c r="B82" s="247">
        <v>15204.8</v>
      </c>
      <c r="C82" s="248"/>
      <c r="D82" s="249"/>
      <c r="F82" s="250"/>
      <c r="G82" s="254" t="s">
        <v>82</v>
      </c>
      <c r="H82" s="267"/>
    </row>
    <row r="83">
      <c r="A83" s="265"/>
      <c r="B83" s="247"/>
      <c r="C83" s="248">
        <v>157235.49</v>
      </c>
      <c r="D83" s="249"/>
      <c r="F83" s="250"/>
      <c r="G83" s="254" t="s">
        <v>631</v>
      </c>
      <c r="H83" s="251"/>
    </row>
    <row r="84">
      <c r="A84" s="265"/>
      <c r="B84" s="85"/>
      <c r="C84" s="248"/>
      <c r="D84" s="249"/>
      <c r="F84" s="250">
        <v>916.0</v>
      </c>
      <c r="G84" s="254" t="s">
        <v>288</v>
      </c>
      <c r="H84" s="251"/>
    </row>
    <row r="85">
      <c r="A85" s="265"/>
      <c r="B85" s="281"/>
      <c r="C85" s="252"/>
      <c r="D85" s="249"/>
      <c r="F85" s="266">
        <v>3600.0</v>
      </c>
      <c r="G85" s="254" t="s">
        <v>85</v>
      </c>
      <c r="H85" s="251"/>
    </row>
    <row r="86">
      <c r="A86" s="265"/>
      <c r="B86" s="281"/>
      <c r="C86" s="252"/>
      <c r="D86" s="249"/>
      <c r="F86" s="250">
        <v>29925.0</v>
      </c>
      <c r="G86" s="254" t="s">
        <v>79</v>
      </c>
      <c r="H86" s="251"/>
    </row>
    <row r="87">
      <c r="A87" s="265"/>
      <c r="B87" s="247"/>
      <c r="C87" s="252"/>
      <c r="D87" s="249">
        <v>213444.0</v>
      </c>
      <c r="E87" s="2" t="s">
        <v>328</v>
      </c>
      <c r="F87" s="250"/>
      <c r="G87" s="254" t="s">
        <v>877</v>
      </c>
      <c r="H87" s="251"/>
    </row>
    <row r="88">
      <c r="A88" s="265"/>
      <c r="B88" s="247">
        <v>19320.0</v>
      </c>
      <c r="C88" s="252"/>
      <c r="D88" s="253"/>
      <c r="F88" s="250"/>
      <c r="G88" s="254" t="s">
        <v>548</v>
      </c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888</v>
      </c>
      <c r="B96" s="239"/>
      <c r="C96" s="263"/>
      <c r="D96" s="264"/>
      <c r="E96" s="242"/>
      <c r="F96" s="250">
        <v>813.0</v>
      </c>
      <c r="G96" s="276" t="s">
        <v>97</v>
      </c>
      <c r="H96" s="245">
        <v>106.0</v>
      </c>
    </row>
    <row r="97">
      <c r="A97" s="265"/>
      <c r="B97" s="247">
        <v>18000.0</v>
      </c>
      <c r="C97" s="248"/>
      <c r="D97" s="249"/>
      <c r="F97" s="250"/>
      <c r="G97" s="2" t="s">
        <v>76</v>
      </c>
      <c r="H97" s="267"/>
      <c r="I97" s="2" t="s">
        <v>889</v>
      </c>
    </row>
    <row r="98">
      <c r="A98" s="265"/>
      <c r="B98" s="247"/>
      <c r="C98" s="248"/>
      <c r="D98" s="249"/>
      <c r="F98" s="250"/>
      <c r="G98" s="254"/>
      <c r="H98" s="267"/>
    </row>
    <row r="99">
      <c r="A99" s="265"/>
      <c r="B99" s="247"/>
      <c r="C99" s="248"/>
      <c r="D99" s="249"/>
      <c r="F99" s="250"/>
      <c r="G99" s="254"/>
      <c r="H99" s="251"/>
      <c r="I99" s="340"/>
      <c r="J99" s="340"/>
      <c r="K99" s="340" t="s">
        <v>622</v>
      </c>
      <c r="L99" s="2" t="s">
        <v>623</v>
      </c>
    </row>
    <row r="100">
      <c r="A100" s="265"/>
      <c r="B100" s="330"/>
      <c r="C100" s="338"/>
      <c r="D100" s="314"/>
      <c r="E100" s="290"/>
      <c r="F100" s="335"/>
      <c r="G100" s="292"/>
      <c r="H100" s="251"/>
      <c r="I100" s="341"/>
      <c r="J100" s="340"/>
      <c r="K100" s="340" t="s">
        <v>624</v>
      </c>
    </row>
    <row r="101">
      <c r="A101" s="265"/>
      <c r="B101" s="247"/>
      <c r="C101" s="252"/>
      <c r="D101" s="249"/>
      <c r="F101" s="250"/>
      <c r="G101" s="254"/>
      <c r="H101" s="251"/>
      <c r="I101" s="340"/>
      <c r="J101" s="340"/>
      <c r="K101" s="341"/>
    </row>
    <row r="102">
      <c r="A102" s="265"/>
      <c r="B102" s="247"/>
      <c r="C102" s="252"/>
      <c r="D102" s="249"/>
      <c r="F102" s="250"/>
      <c r="G102" s="254"/>
      <c r="H102" s="251"/>
      <c r="I102" s="340"/>
      <c r="J102" s="341"/>
      <c r="K102" s="34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48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7"/>
      <c r="C108" s="252"/>
      <c r="D108" s="253"/>
      <c r="F108" s="282"/>
      <c r="G108" s="254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890</v>
      </c>
      <c r="B110" s="239">
        <v>27600.0</v>
      </c>
      <c r="C110" s="263"/>
      <c r="D110" s="264"/>
      <c r="E110" s="244" t="s">
        <v>328</v>
      </c>
      <c r="F110" s="243"/>
      <c r="G110" s="276" t="s">
        <v>891</v>
      </c>
      <c r="H110" s="245">
        <v>40.0</v>
      </c>
      <c r="I110" s="2" t="s">
        <v>892</v>
      </c>
    </row>
    <row r="111">
      <c r="A111" s="265"/>
      <c r="B111" s="247">
        <v>24000.0</v>
      </c>
      <c r="C111" s="248"/>
      <c r="D111" s="249"/>
      <c r="E111" s="2" t="s">
        <v>328</v>
      </c>
      <c r="F111" s="250"/>
      <c r="G111" s="254" t="s">
        <v>68</v>
      </c>
      <c r="H111" s="267"/>
    </row>
    <row r="112">
      <c r="A112" s="265"/>
      <c r="B112" s="247"/>
      <c r="C112" s="248"/>
      <c r="D112" s="249">
        <v>75000.0</v>
      </c>
      <c r="E112" s="2" t="s">
        <v>328</v>
      </c>
      <c r="F112" s="250"/>
      <c r="G112" s="26" t="s">
        <v>87</v>
      </c>
      <c r="H112" s="251"/>
    </row>
    <row r="113">
      <c r="A113" s="265"/>
      <c r="B113" s="247">
        <v>35349.18</v>
      </c>
      <c r="C113" s="248"/>
      <c r="D113" s="249"/>
      <c r="E113" s="2" t="s">
        <v>328</v>
      </c>
      <c r="F113" s="250"/>
      <c r="G113" s="254" t="s">
        <v>82</v>
      </c>
      <c r="H113" s="251"/>
    </row>
    <row r="114">
      <c r="A114" s="265"/>
      <c r="B114" s="247">
        <v>16900.0</v>
      </c>
      <c r="C114" s="248"/>
      <c r="D114" s="249"/>
      <c r="E114" s="2" t="s">
        <v>328</v>
      </c>
      <c r="F114" s="250"/>
      <c r="G114" s="254" t="s">
        <v>75</v>
      </c>
      <c r="H114" s="251"/>
    </row>
    <row r="115">
      <c r="A115" s="265"/>
      <c r="B115" s="247"/>
      <c r="C115" s="248"/>
      <c r="D115" s="249"/>
      <c r="F115" s="250">
        <v>7400.0</v>
      </c>
      <c r="G115" s="254" t="s">
        <v>605</v>
      </c>
      <c r="H115" s="251"/>
    </row>
    <row r="116">
      <c r="A116" s="265"/>
      <c r="B116" s="247"/>
      <c r="C116" s="252"/>
      <c r="D116" s="249">
        <v>78950.0</v>
      </c>
      <c r="E116" s="2" t="s">
        <v>328</v>
      </c>
      <c r="F116" s="250"/>
      <c r="G116" s="254" t="s">
        <v>893</v>
      </c>
      <c r="H116" s="251"/>
    </row>
    <row r="117">
      <c r="A117" s="265"/>
      <c r="B117" s="247"/>
      <c r="C117" s="248">
        <v>99601.5</v>
      </c>
      <c r="D117" s="249"/>
      <c r="F117" s="250"/>
      <c r="G117" s="254" t="s">
        <v>894</v>
      </c>
      <c r="H117" s="251"/>
    </row>
    <row r="118">
      <c r="A118" s="265"/>
      <c r="B118" s="247">
        <v>27324.86</v>
      </c>
      <c r="C118" s="252"/>
      <c r="D118" s="249"/>
      <c r="E118" s="2" t="s">
        <v>328</v>
      </c>
      <c r="F118" s="250"/>
      <c r="G118" s="254" t="s">
        <v>895</v>
      </c>
      <c r="H118" s="251"/>
    </row>
    <row r="119">
      <c r="A119" s="265"/>
      <c r="B119" s="247">
        <v>43603.3</v>
      </c>
      <c r="C119" s="248"/>
      <c r="D119" s="253"/>
      <c r="E119" s="2" t="s">
        <v>328</v>
      </c>
      <c r="F119" s="250"/>
      <c r="G119" s="254" t="s">
        <v>377</v>
      </c>
      <c r="H119" s="251"/>
    </row>
    <row r="120">
      <c r="A120" s="265"/>
      <c r="B120" s="268"/>
      <c r="C120" s="252"/>
      <c r="D120" s="253"/>
      <c r="F120" s="250">
        <v>1400.0</v>
      </c>
      <c r="G120" s="254" t="s">
        <v>367</v>
      </c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896</v>
      </c>
      <c r="B128" s="239"/>
      <c r="C128" s="263"/>
      <c r="D128" s="264">
        <v>50746.0</v>
      </c>
      <c r="E128" s="244"/>
      <c r="F128" s="243"/>
      <c r="G128" s="276" t="s">
        <v>897</v>
      </c>
      <c r="H128" s="245">
        <v>111.0</v>
      </c>
    </row>
    <row r="129">
      <c r="A129" s="265"/>
      <c r="B129" s="247">
        <v>50667.98</v>
      </c>
      <c r="C129" s="252"/>
      <c r="D129" s="249"/>
      <c r="F129" s="250"/>
      <c r="G129" s="254" t="s">
        <v>142</v>
      </c>
      <c r="H129" s="267"/>
      <c r="I129" s="2" t="s">
        <v>898</v>
      </c>
    </row>
    <row r="130">
      <c r="A130" s="265"/>
      <c r="B130" s="247"/>
      <c r="C130" s="248"/>
      <c r="D130" s="249"/>
      <c r="F130" s="250">
        <f>1670+4338.46</f>
        <v>6008.46</v>
      </c>
      <c r="G130" s="254" t="s">
        <v>97</v>
      </c>
      <c r="H130" s="251"/>
      <c r="I130" s="2" t="s">
        <v>899</v>
      </c>
    </row>
    <row r="131">
      <c r="A131" s="265"/>
      <c r="B131" s="247">
        <v>97411.28</v>
      </c>
      <c r="C131" s="248"/>
      <c r="D131" s="249"/>
      <c r="F131" s="250"/>
      <c r="G131" s="254" t="s">
        <v>103</v>
      </c>
      <c r="H131" s="251"/>
    </row>
    <row r="132">
      <c r="A132" s="265"/>
      <c r="B132" s="247"/>
      <c r="C132" s="248"/>
      <c r="D132" s="249"/>
      <c r="F132" s="250">
        <v>1000.0</v>
      </c>
      <c r="G132" s="254" t="s">
        <v>368</v>
      </c>
      <c r="H132" s="251"/>
    </row>
    <row r="133">
      <c r="A133" s="265"/>
      <c r="B133" s="247"/>
      <c r="C133" s="252"/>
      <c r="D133" s="249"/>
      <c r="F133" s="250">
        <f>877+3615.38</f>
        <v>4492.38</v>
      </c>
      <c r="G133" s="254" t="s">
        <v>97</v>
      </c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49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900</v>
      </c>
      <c r="B143" s="239">
        <v>23947.56</v>
      </c>
      <c r="C143" s="263"/>
      <c r="D143" s="264"/>
      <c r="E143" s="242"/>
      <c r="F143" s="243"/>
      <c r="G143" s="276" t="s">
        <v>82</v>
      </c>
      <c r="H143" s="245">
        <v>170.0</v>
      </c>
      <c r="I143" s="2" t="s">
        <v>72</v>
      </c>
    </row>
    <row r="144">
      <c r="A144" s="265"/>
      <c r="B144" s="247"/>
      <c r="C144" s="252">
        <f>7312.03+89215.96+36287.12</f>
        <v>132815.11</v>
      </c>
      <c r="D144" s="249"/>
      <c r="F144" s="250"/>
      <c r="G144" s="254" t="s">
        <v>71</v>
      </c>
      <c r="H144" s="251"/>
    </row>
    <row r="145">
      <c r="A145" s="265"/>
      <c r="B145" s="247"/>
      <c r="C145" s="248"/>
      <c r="D145" s="249"/>
      <c r="F145" s="284">
        <v>7400.0</v>
      </c>
      <c r="G145" s="285" t="s">
        <v>605</v>
      </c>
      <c r="H145" s="251"/>
    </row>
    <row r="146">
      <c r="A146" s="265"/>
      <c r="B146" s="247">
        <v>71900.0</v>
      </c>
      <c r="C146" s="252"/>
      <c r="D146" s="249"/>
      <c r="F146" s="250"/>
      <c r="G146" s="254" t="s">
        <v>75</v>
      </c>
      <c r="H146" s="251"/>
    </row>
    <row r="147">
      <c r="A147" s="265"/>
      <c r="B147" s="247"/>
      <c r="C147" s="248"/>
      <c r="D147" s="249"/>
      <c r="F147" s="250"/>
      <c r="G147" s="254"/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901</v>
      </c>
      <c r="B158" s="239"/>
      <c r="C158" s="263"/>
      <c r="D158" s="264">
        <v>50000.0</v>
      </c>
      <c r="E158" s="242"/>
      <c r="F158" s="243"/>
      <c r="G158" s="276" t="s">
        <v>87</v>
      </c>
      <c r="H158" s="245">
        <v>106.0</v>
      </c>
      <c r="I158" s="2" t="s">
        <v>72</v>
      </c>
    </row>
    <row r="159">
      <c r="A159" s="265"/>
      <c r="B159" s="247"/>
      <c r="C159" s="252"/>
      <c r="D159" s="249"/>
      <c r="F159" s="250">
        <v>6816.0</v>
      </c>
      <c r="G159" s="254" t="s">
        <v>87</v>
      </c>
      <c r="H159" s="267"/>
    </row>
    <row r="160">
      <c r="A160" s="265"/>
      <c r="B160" s="247"/>
      <c r="C160" s="248"/>
      <c r="D160" s="249">
        <f>69002.03+8459.39</f>
        <v>77461.42</v>
      </c>
      <c r="F160" s="250"/>
      <c r="G160" s="254" t="s">
        <v>91</v>
      </c>
      <c r="H160" s="251"/>
    </row>
    <row r="161">
      <c r="A161" s="265"/>
      <c r="B161" s="247"/>
      <c r="C161" s="248"/>
      <c r="D161" s="249"/>
      <c r="F161" s="250"/>
      <c r="G161" s="254" t="s">
        <v>91</v>
      </c>
      <c r="H161" s="251"/>
    </row>
    <row r="162">
      <c r="A162" s="265"/>
      <c r="B162" s="247"/>
      <c r="C162" s="248"/>
      <c r="D162" s="249">
        <v>50746.0</v>
      </c>
      <c r="F162" s="250"/>
      <c r="G162" s="254" t="s">
        <v>902</v>
      </c>
      <c r="H162" s="251"/>
    </row>
    <row r="163">
      <c r="A163" s="265"/>
      <c r="B163" s="247"/>
      <c r="C163" s="248"/>
      <c r="D163" s="249"/>
      <c r="F163" s="250"/>
      <c r="G163" s="254"/>
      <c r="H163" s="251"/>
    </row>
    <row r="164">
      <c r="A164" s="265"/>
      <c r="B164" s="247"/>
      <c r="C164" s="248"/>
      <c r="D164" s="249"/>
      <c r="F164" s="250"/>
      <c r="G164" s="254"/>
      <c r="H164" s="251">
        <f>46+50+50</f>
        <v>146</v>
      </c>
      <c r="I164" s="2" t="s">
        <v>903</v>
      </c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904</v>
      </c>
      <c r="B168" s="239">
        <v>29162.71</v>
      </c>
      <c r="C168" s="263"/>
      <c r="D168" s="264"/>
      <c r="E168" s="244"/>
      <c r="F168" s="250"/>
      <c r="G168" s="276" t="s">
        <v>82</v>
      </c>
      <c r="H168" s="245">
        <v>90.0</v>
      </c>
      <c r="I168" s="2" t="s">
        <v>72</v>
      </c>
    </row>
    <row r="169">
      <c r="A169" s="265"/>
      <c r="B169" s="247">
        <v>28800.0</v>
      </c>
      <c r="C169" s="315"/>
      <c r="D169" s="249"/>
      <c r="F169" s="250"/>
      <c r="G169" s="254" t="s">
        <v>75</v>
      </c>
      <c r="H169" s="267"/>
    </row>
    <row r="170">
      <c r="A170" s="265"/>
      <c r="B170" s="247"/>
      <c r="C170" s="248"/>
      <c r="D170" s="249">
        <v>90333.53</v>
      </c>
      <c r="F170" s="250"/>
      <c r="G170" s="254" t="s">
        <v>84</v>
      </c>
      <c r="H170" s="267"/>
    </row>
    <row r="171">
      <c r="A171" s="265"/>
      <c r="B171" s="247">
        <v>29599.99</v>
      </c>
      <c r="C171" s="248"/>
      <c r="D171" s="249"/>
      <c r="F171" s="250"/>
      <c r="G171" s="254" t="s">
        <v>776</v>
      </c>
      <c r="H171" s="251"/>
    </row>
    <row r="172">
      <c r="A172" s="265"/>
      <c r="B172" s="247"/>
      <c r="C172" s="248"/>
      <c r="D172" s="249"/>
      <c r="E172" s="254"/>
      <c r="F172" s="250"/>
      <c r="G172" s="254"/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905</v>
      </c>
      <c r="B183" s="247">
        <v>32966.06</v>
      </c>
      <c r="C183" s="248"/>
      <c r="D183" s="249"/>
      <c r="F183" s="250"/>
      <c r="G183" s="254" t="s">
        <v>74</v>
      </c>
      <c r="H183" s="286">
        <v>154.0</v>
      </c>
      <c r="I183" s="2" t="s">
        <v>107</v>
      </c>
    </row>
    <row r="184">
      <c r="A184" s="265"/>
      <c r="B184" s="247">
        <v>4707.99</v>
      </c>
      <c r="C184" s="248"/>
      <c r="D184" s="249"/>
      <c r="F184" s="250"/>
      <c r="G184" s="254" t="s">
        <v>73</v>
      </c>
      <c r="H184" s="251"/>
    </row>
    <row r="185">
      <c r="A185" s="265"/>
      <c r="B185" s="247">
        <v>37500.0</v>
      </c>
      <c r="C185" s="248"/>
      <c r="D185" s="249"/>
      <c r="F185" s="250"/>
      <c r="G185" s="254" t="s">
        <v>76</v>
      </c>
      <c r="H185" s="267"/>
    </row>
    <row r="186">
      <c r="A186" s="265"/>
      <c r="B186" s="247"/>
      <c r="C186" s="248"/>
      <c r="D186" s="249">
        <v>72368.21</v>
      </c>
      <c r="F186" s="250"/>
      <c r="G186" s="254" t="s">
        <v>114</v>
      </c>
      <c r="H186" s="251"/>
    </row>
    <row r="187">
      <c r="A187" s="265"/>
      <c r="B187" s="247">
        <v>24000.0</v>
      </c>
      <c r="C187" s="248"/>
      <c r="D187" s="249"/>
      <c r="F187" s="250"/>
      <c r="G187" s="254" t="s">
        <v>68</v>
      </c>
      <c r="H187" s="267"/>
    </row>
    <row r="188">
      <c r="A188" s="265"/>
      <c r="B188" s="247"/>
      <c r="C188" s="252"/>
      <c r="D188" s="249"/>
      <c r="F188" s="250">
        <v>3600.0</v>
      </c>
      <c r="G188" s="254" t="s">
        <v>85</v>
      </c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49"/>
      <c r="F191" s="250"/>
      <c r="G191" s="254"/>
      <c r="H191" s="251"/>
    </row>
    <row r="192">
      <c r="A192" s="265"/>
      <c r="B192" s="247"/>
      <c r="C192" s="252"/>
      <c r="D192" s="249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906</v>
      </c>
      <c r="B199" s="239"/>
      <c r="C199" s="263"/>
      <c r="D199" s="264">
        <v>58000.0</v>
      </c>
      <c r="E199" s="244"/>
      <c r="F199" s="243"/>
      <c r="G199" s="276" t="s">
        <v>122</v>
      </c>
      <c r="H199" s="245"/>
    </row>
    <row r="200">
      <c r="A200" s="265"/>
      <c r="B200" s="247"/>
      <c r="C200" s="248"/>
      <c r="D200" s="249">
        <v>70200.0</v>
      </c>
      <c r="F200" s="250"/>
      <c r="G200" s="254" t="s">
        <v>75</v>
      </c>
      <c r="H200" s="267"/>
    </row>
    <row r="201">
      <c r="A201" s="265"/>
      <c r="B201" s="247"/>
      <c r="C201" s="252"/>
      <c r="D201" s="249">
        <v>75000.0</v>
      </c>
      <c r="F201" s="250"/>
      <c r="G201" s="254" t="s">
        <v>87</v>
      </c>
      <c r="H201" s="251"/>
    </row>
    <row r="202">
      <c r="A202" s="265"/>
      <c r="B202" s="247">
        <v>53110.28</v>
      </c>
      <c r="C202" s="248"/>
      <c r="D202" s="249"/>
      <c r="F202" s="250"/>
      <c r="G202" s="254" t="s">
        <v>82</v>
      </c>
      <c r="H202" s="251"/>
    </row>
    <row r="203">
      <c r="A203" s="265"/>
      <c r="B203" s="247"/>
      <c r="C203" s="248"/>
      <c r="D203" s="249"/>
      <c r="F203" s="250">
        <v>7400.0</v>
      </c>
      <c r="G203" s="254" t="s">
        <v>605</v>
      </c>
      <c r="H203" s="251"/>
    </row>
    <row r="204">
      <c r="A204" s="265"/>
      <c r="B204" s="247"/>
      <c r="C204" s="248">
        <v>30008.0</v>
      </c>
      <c r="D204" s="249"/>
      <c r="F204" s="250"/>
      <c r="G204" s="254" t="s">
        <v>89</v>
      </c>
      <c r="H204" s="267"/>
    </row>
    <row r="205">
      <c r="A205" s="265"/>
      <c r="B205" s="247"/>
      <c r="C205" s="248"/>
      <c r="D205" s="249">
        <v>129394.32</v>
      </c>
      <c r="F205" s="250"/>
      <c r="G205" s="316" t="s">
        <v>907</v>
      </c>
      <c r="H205" s="251"/>
    </row>
    <row r="206">
      <c r="A206" s="265"/>
      <c r="B206" s="247"/>
      <c r="C206" s="252"/>
      <c r="D206" s="249"/>
      <c r="F206" s="250">
        <v>3440.0</v>
      </c>
      <c r="G206" s="254" t="s">
        <v>851</v>
      </c>
      <c r="H206" s="251"/>
    </row>
    <row r="207">
      <c r="A207" s="265"/>
      <c r="B207" s="247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908</v>
      </c>
      <c r="B214" s="239">
        <v>6215.5</v>
      </c>
      <c r="C214" s="263"/>
      <c r="D214" s="264"/>
      <c r="E214" s="242"/>
      <c r="F214" s="243"/>
      <c r="G214" s="276" t="s">
        <v>291</v>
      </c>
      <c r="H214" s="245">
        <v>142.0</v>
      </c>
    </row>
    <row r="215">
      <c r="A215" s="265"/>
      <c r="B215" s="247"/>
      <c r="C215" s="248">
        <v>66945.07</v>
      </c>
      <c r="D215" s="249"/>
      <c r="F215" s="250"/>
      <c r="G215" s="254" t="s">
        <v>71</v>
      </c>
      <c r="H215" s="267"/>
    </row>
    <row r="216">
      <c r="A216" s="265"/>
      <c r="B216" s="247">
        <v>111107.64</v>
      </c>
      <c r="C216" s="252"/>
      <c r="D216" s="249"/>
      <c r="F216" s="250"/>
      <c r="G216" s="254" t="s">
        <v>142</v>
      </c>
      <c r="H216" s="251"/>
    </row>
    <row r="217">
      <c r="A217" s="265"/>
      <c r="B217" s="247"/>
      <c r="C217" s="248"/>
      <c r="D217" s="249"/>
      <c r="F217" s="250"/>
      <c r="G217" s="254"/>
      <c r="H217" s="251"/>
    </row>
    <row r="218">
      <c r="A218" s="265"/>
      <c r="B218" s="247"/>
      <c r="C218" s="252"/>
      <c r="D218" s="253"/>
      <c r="F218" s="250"/>
      <c r="G218" s="254"/>
      <c r="H218" s="251"/>
    </row>
    <row r="219">
      <c r="A219" s="265"/>
      <c r="B219" s="247"/>
      <c r="C219" s="248"/>
      <c r="D219" s="253"/>
      <c r="F219" s="250"/>
      <c r="G219" s="254"/>
      <c r="H219" s="251"/>
    </row>
    <row r="220">
      <c r="A220" s="265"/>
      <c r="B220" s="247"/>
      <c r="C220" s="252"/>
      <c r="D220" s="249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7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7"/>
      <c r="C224" s="252"/>
      <c r="D224" s="253"/>
      <c r="E224" s="269"/>
      <c r="F224" s="282"/>
      <c r="G224" s="254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909</v>
      </c>
      <c r="B226" s="239">
        <v>14000.0</v>
      </c>
      <c r="C226" s="263"/>
      <c r="D226" s="264"/>
      <c r="E226" s="276"/>
      <c r="F226" s="243"/>
      <c r="G226" s="276" t="s">
        <v>910</v>
      </c>
      <c r="H226" s="245">
        <v>80.0</v>
      </c>
      <c r="I226" s="254"/>
      <c r="J226" s="254"/>
      <c r="K226" s="254"/>
    </row>
    <row r="227">
      <c r="A227" s="265"/>
      <c r="B227" s="247"/>
      <c r="C227" s="252"/>
      <c r="D227" s="249"/>
      <c r="F227" s="250"/>
      <c r="G227" s="254"/>
      <c r="H227" s="251"/>
      <c r="I227" s="269"/>
      <c r="J227" s="254"/>
      <c r="K227" s="254"/>
    </row>
    <row r="228">
      <c r="A228" s="265"/>
      <c r="B228" s="247"/>
      <c r="C228" s="248"/>
      <c r="D228" s="249"/>
      <c r="F228" s="250"/>
      <c r="G228" s="254"/>
      <c r="H228" s="251"/>
      <c r="I228" s="269"/>
      <c r="J228" s="254"/>
      <c r="K228" s="254"/>
    </row>
    <row r="229">
      <c r="A229" s="265"/>
      <c r="B229" s="247"/>
      <c r="C229" s="248"/>
      <c r="D229" s="249"/>
      <c r="E229" s="254"/>
      <c r="F229" s="250"/>
      <c r="G229" s="254"/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/>
      <c r="G230" s="254"/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/>
      <c r="G231" s="254"/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47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50"/>
      <c r="G237" s="254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911</v>
      </c>
      <c r="B241" s="239">
        <v>41624.0</v>
      </c>
      <c r="C241" s="263"/>
      <c r="D241" s="264"/>
      <c r="E241" s="244"/>
      <c r="F241" s="243"/>
      <c r="G241" s="2" t="s">
        <v>79</v>
      </c>
      <c r="H241" s="245">
        <f>45.5+20.5</f>
        <v>66</v>
      </c>
      <c r="I241" s="2" t="s">
        <v>72</v>
      </c>
    </row>
    <row r="242">
      <c r="A242" s="265"/>
      <c r="B242" s="247">
        <v>1018.0</v>
      </c>
      <c r="C242" s="248"/>
      <c r="D242" s="249"/>
      <c r="F242" s="250">
        <f>2111.67+1048</f>
        <v>3159.67</v>
      </c>
      <c r="G242" s="254" t="s">
        <v>97</v>
      </c>
      <c r="H242" s="267"/>
      <c r="I242" s="2" t="s">
        <v>912</v>
      </c>
    </row>
    <row r="243">
      <c r="A243" s="265"/>
      <c r="B243" s="247"/>
      <c r="C243" s="248"/>
      <c r="D243" s="249">
        <v>75000.0</v>
      </c>
      <c r="E243" s="2" t="s">
        <v>913</v>
      </c>
      <c r="F243" s="250"/>
      <c r="G243" s="254" t="s">
        <v>87</v>
      </c>
      <c r="H243" s="251"/>
    </row>
    <row r="244">
      <c r="A244" s="265"/>
      <c r="B244" s="247">
        <v>27700.0</v>
      </c>
      <c r="C244" s="248"/>
      <c r="D244" s="249"/>
      <c r="F244" s="250"/>
      <c r="G244" s="254" t="s">
        <v>914</v>
      </c>
      <c r="H244" s="251"/>
    </row>
    <row r="245">
      <c r="A245" s="265"/>
      <c r="B245" s="247">
        <v>61235.11</v>
      </c>
      <c r="C245" s="252"/>
      <c r="D245" s="249"/>
      <c r="F245" s="250"/>
      <c r="G245" s="254" t="s">
        <v>450</v>
      </c>
      <c r="H245" s="267"/>
    </row>
    <row r="246">
      <c r="A246" s="265"/>
      <c r="B246" s="247"/>
      <c r="C246" s="248"/>
      <c r="D246" s="249">
        <v>104362.5</v>
      </c>
      <c r="F246" s="250"/>
      <c r="G246" s="254" t="s">
        <v>92</v>
      </c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>
        <v>9119.4</v>
      </c>
      <c r="C248" s="252"/>
      <c r="D248" s="253"/>
      <c r="F248" s="250"/>
      <c r="G248" s="254" t="s">
        <v>915</v>
      </c>
      <c r="H248" s="251"/>
    </row>
    <row r="249">
      <c r="A249" s="265"/>
      <c r="B249" s="247">
        <v>5070.0</v>
      </c>
      <c r="C249" s="252"/>
      <c r="D249" s="253"/>
      <c r="F249" s="250"/>
      <c r="G249" s="254" t="s">
        <v>916</v>
      </c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917</v>
      </c>
      <c r="B255" s="239"/>
      <c r="C255" s="263">
        <v>146268.13</v>
      </c>
      <c r="D255" s="264"/>
      <c r="E255" s="244"/>
      <c r="F255" s="243"/>
      <c r="G255" s="276" t="s">
        <v>84</v>
      </c>
      <c r="H255" s="245">
        <v>35.0</v>
      </c>
      <c r="I255" s="2" t="s">
        <v>918</v>
      </c>
    </row>
    <row r="256">
      <c r="A256" s="265"/>
      <c r="B256" s="247">
        <v>85900.0</v>
      </c>
      <c r="C256" s="248"/>
      <c r="D256" s="249"/>
      <c r="E256" s="2" t="s">
        <v>328</v>
      </c>
      <c r="F256" s="250"/>
      <c r="G256" s="254" t="s">
        <v>75</v>
      </c>
      <c r="H256" s="251"/>
    </row>
    <row r="257">
      <c r="A257" s="265"/>
      <c r="B257" s="247">
        <v>24000.0</v>
      </c>
      <c r="C257" s="252"/>
      <c r="D257" s="249"/>
      <c r="E257" s="2" t="s">
        <v>328</v>
      </c>
      <c r="F257" s="250"/>
      <c r="G257" s="254" t="s">
        <v>68</v>
      </c>
      <c r="H257" s="251"/>
    </row>
    <row r="258">
      <c r="A258" s="265"/>
      <c r="B258" s="247"/>
      <c r="C258" s="248"/>
      <c r="D258" s="249">
        <v>213444.0</v>
      </c>
      <c r="E258" s="2" t="s">
        <v>328</v>
      </c>
      <c r="F258" s="250"/>
      <c r="G258" s="254" t="s">
        <v>877</v>
      </c>
      <c r="H258" s="267"/>
    </row>
    <row r="259">
      <c r="A259" s="265"/>
      <c r="B259" s="247"/>
      <c r="C259" s="248"/>
      <c r="D259" s="249"/>
      <c r="F259" s="250">
        <v>6500.0</v>
      </c>
      <c r="G259" s="254" t="s">
        <v>608</v>
      </c>
      <c r="H259" s="251"/>
    </row>
    <row r="260">
      <c r="A260" s="265"/>
      <c r="B260" s="247">
        <v>10800.0</v>
      </c>
      <c r="C260" s="248"/>
      <c r="D260" s="249"/>
      <c r="F260" s="250"/>
      <c r="G260" s="254" t="s">
        <v>919</v>
      </c>
      <c r="H260" s="251"/>
    </row>
    <row r="261">
      <c r="A261" s="265"/>
      <c r="B261" s="247">
        <v>894.0</v>
      </c>
      <c r="C261" s="252"/>
      <c r="D261" s="249"/>
      <c r="F261" s="250"/>
      <c r="G261" s="254" t="s">
        <v>920</v>
      </c>
      <c r="H261" s="251"/>
    </row>
    <row r="262">
      <c r="A262" s="265"/>
      <c r="B262" s="247"/>
      <c r="C262" s="248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921</v>
      </c>
      <c r="B270" s="239"/>
      <c r="C270" s="263"/>
      <c r="D270" s="249"/>
      <c r="F270" s="250">
        <v>12795.0</v>
      </c>
      <c r="G270" s="254" t="s">
        <v>97</v>
      </c>
      <c r="H270" s="245">
        <v>77.5</v>
      </c>
    </row>
    <row r="271">
      <c r="A271" s="265"/>
      <c r="B271" s="247">
        <v>21100.0</v>
      </c>
      <c r="C271" s="248"/>
      <c r="D271" s="249"/>
      <c r="F271" s="250"/>
      <c r="G271" s="254" t="s">
        <v>76</v>
      </c>
      <c r="H271" s="267"/>
    </row>
    <row r="272">
      <c r="A272" s="265"/>
      <c r="B272" s="247"/>
      <c r="C272" s="248"/>
      <c r="D272" s="249">
        <v>60940.0</v>
      </c>
      <c r="F272" s="250"/>
      <c r="G272" s="254" t="s">
        <v>825</v>
      </c>
      <c r="H272" s="251"/>
    </row>
    <row r="273">
      <c r="A273" s="265"/>
      <c r="B273" s="247"/>
      <c r="C273" s="248"/>
      <c r="D273" s="249">
        <v>141265.08</v>
      </c>
      <c r="F273" s="250"/>
      <c r="G273" s="254" t="s">
        <v>100</v>
      </c>
      <c r="H273" s="251"/>
    </row>
    <row r="274">
      <c r="A274" s="265"/>
      <c r="B274" s="247">
        <v>58296.45</v>
      </c>
      <c r="C274" s="248"/>
      <c r="D274" s="249"/>
      <c r="F274" s="250"/>
      <c r="G274" s="254" t="s">
        <v>405</v>
      </c>
      <c r="H274" s="251"/>
    </row>
    <row r="275">
      <c r="A275" s="265"/>
      <c r="B275" s="247">
        <v>40949.17</v>
      </c>
      <c r="C275" s="248"/>
      <c r="D275" s="249"/>
      <c r="F275" s="250"/>
      <c r="G275" s="254" t="s">
        <v>73</v>
      </c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922</v>
      </c>
      <c r="B283" s="239"/>
      <c r="C283" s="263"/>
      <c r="D283" s="249">
        <v>202984.0</v>
      </c>
      <c r="F283" s="250"/>
      <c r="G283" s="254" t="s">
        <v>923</v>
      </c>
      <c r="H283" s="245">
        <v>86.0</v>
      </c>
    </row>
    <row r="284">
      <c r="A284" s="265"/>
      <c r="B284" s="247"/>
      <c r="C284" s="248"/>
      <c r="D284" s="249"/>
      <c r="F284" s="250">
        <v>7400.0</v>
      </c>
      <c r="G284" s="254" t="s">
        <v>605</v>
      </c>
      <c r="H284" s="267"/>
    </row>
    <row r="285">
      <c r="A285" s="265"/>
      <c r="B285" s="247"/>
      <c r="C285" s="248"/>
      <c r="D285" s="249"/>
      <c r="F285" s="250">
        <v>1100.0</v>
      </c>
      <c r="G285" s="254" t="s">
        <v>97</v>
      </c>
      <c r="H285" s="251"/>
    </row>
    <row r="286">
      <c r="A286" s="265"/>
      <c r="B286" s="247"/>
      <c r="C286" s="248">
        <v>72789.5</v>
      </c>
      <c r="D286" s="249"/>
      <c r="F286" s="250"/>
      <c r="G286" s="254" t="s">
        <v>89</v>
      </c>
      <c r="H286" s="251"/>
    </row>
    <row r="287">
      <c r="A287" s="265"/>
      <c r="B287" s="247">
        <v>72418.5</v>
      </c>
      <c r="C287" s="252"/>
      <c r="D287" s="249"/>
      <c r="F287" s="250"/>
      <c r="G287" s="254" t="s">
        <v>79</v>
      </c>
      <c r="H287" s="251"/>
    </row>
    <row r="288">
      <c r="A288" s="265"/>
      <c r="B288" s="247"/>
      <c r="C288" s="248"/>
      <c r="D288" s="249">
        <v>45514.95</v>
      </c>
      <c r="F288" s="250"/>
      <c r="G288" s="254" t="s">
        <v>924</v>
      </c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925</v>
      </c>
      <c r="B299" s="239">
        <v>27600.0</v>
      </c>
      <c r="C299" s="263"/>
      <c r="D299" s="264"/>
      <c r="E299" s="244" t="s">
        <v>328</v>
      </c>
      <c r="F299" s="243"/>
      <c r="G299" s="276" t="s">
        <v>926</v>
      </c>
      <c r="H299" s="245">
        <v>108.0</v>
      </c>
      <c r="I299" s="2" t="s">
        <v>107</v>
      </c>
    </row>
    <row r="300">
      <c r="A300" s="265"/>
      <c r="B300" s="247">
        <v>6495.0</v>
      </c>
      <c r="C300" s="248"/>
      <c r="D300" s="249"/>
      <c r="E300" s="2" t="s">
        <v>328</v>
      </c>
      <c r="F300" s="250"/>
      <c r="G300" s="254" t="s">
        <v>291</v>
      </c>
      <c r="H300" s="267"/>
    </row>
    <row r="301">
      <c r="A301" s="265"/>
      <c r="B301" s="247"/>
      <c r="C301" s="248"/>
      <c r="D301" s="249"/>
      <c r="F301" s="250">
        <v>1177.0</v>
      </c>
      <c r="G301" s="254" t="s">
        <v>97</v>
      </c>
      <c r="H301" s="251"/>
    </row>
    <row r="302">
      <c r="A302" s="265"/>
      <c r="B302" s="247">
        <v>31930.0</v>
      </c>
      <c r="C302" s="248"/>
      <c r="D302" s="249"/>
      <c r="F302" s="250"/>
      <c r="G302" s="254" t="s">
        <v>82</v>
      </c>
      <c r="H302" s="251"/>
    </row>
    <row r="303">
      <c r="A303" s="265"/>
      <c r="B303" s="247"/>
      <c r="C303" s="252"/>
      <c r="D303" s="249">
        <v>78000.0</v>
      </c>
      <c r="E303" s="2" t="s">
        <v>328</v>
      </c>
      <c r="F303" s="250"/>
      <c r="G303" s="254" t="s">
        <v>87</v>
      </c>
      <c r="H303" s="251"/>
    </row>
    <row r="304">
      <c r="A304" s="265"/>
      <c r="B304" s="247">
        <v>43442.52</v>
      </c>
      <c r="C304" s="248"/>
      <c r="D304" s="249"/>
      <c r="F304" s="250"/>
      <c r="G304" s="254" t="s">
        <v>927</v>
      </c>
      <c r="H304" s="267"/>
    </row>
    <row r="305">
      <c r="A305" s="265"/>
      <c r="B305" s="247"/>
      <c r="C305" s="248"/>
      <c r="D305" s="249">
        <v>65682.31</v>
      </c>
      <c r="E305" s="2" t="s">
        <v>328</v>
      </c>
      <c r="F305" s="250"/>
      <c r="G305" s="254" t="s">
        <v>114</v>
      </c>
      <c r="H305" s="267"/>
    </row>
    <row r="306">
      <c r="A306" s="265"/>
      <c r="B306" s="247"/>
      <c r="C306" s="248"/>
      <c r="D306" s="253"/>
      <c r="F306" s="250"/>
      <c r="G306" s="254"/>
      <c r="H306" s="267"/>
    </row>
    <row r="307">
      <c r="A307" s="265"/>
      <c r="B307" s="247"/>
      <c r="C307" s="252"/>
      <c r="D307" s="253"/>
      <c r="F307" s="250"/>
      <c r="G307" s="254"/>
      <c r="H307" s="251"/>
    </row>
    <row r="308">
      <c r="A308" s="265"/>
      <c r="B308" s="268"/>
      <c r="C308" s="252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928</v>
      </c>
      <c r="B314" s="239"/>
      <c r="C314" s="263"/>
      <c r="D314" s="264"/>
      <c r="E314" s="242"/>
      <c r="F314" s="250">
        <v>2250.0</v>
      </c>
      <c r="G314" s="254" t="s">
        <v>696</v>
      </c>
      <c r="H314" s="245">
        <v>63.0</v>
      </c>
      <c r="I314" s="2" t="s">
        <v>929</v>
      </c>
    </row>
    <row r="315">
      <c r="A315" s="265"/>
      <c r="B315" s="247">
        <v>49300.0</v>
      </c>
      <c r="C315" s="252"/>
      <c r="D315" s="253"/>
      <c r="F315" s="250"/>
      <c r="G315" s="254" t="s">
        <v>75</v>
      </c>
      <c r="H315" s="267"/>
    </row>
    <row r="316">
      <c r="A316" s="265"/>
      <c r="B316" s="247"/>
      <c r="C316" s="248"/>
      <c r="D316" s="249">
        <v>63800.0</v>
      </c>
      <c r="F316" s="250"/>
      <c r="G316" s="254" t="s">
        <v>122</v>
      </c>
      <c r="H316" s="251"/>
    </row>
    <row r="317">
      <c r="A317" s="265"/>
      <c r="B317" s="247"/>
      <c r="C317" s="248">
        <v>119247.92</v>
      </c>
      <c r="D317" s="249"/>
      <c r="F317" s="250"/>
      <c r="G317" s="254" t="s">
        <v>71</v>
      </c>
      <c r="H317" s="251"/>
    </row>
    <row r="318">
      <c r="A318" s="265"/>
      <c r="B318" s="247"/>
      <c r="C318" s="248"/>
      <c r="D318" s="249"/>
      <c r="F318" s="250">
        <v>7400.0</v>
      </c>
      <c r="G318" s="254" t="s">
        <v>820</v>
      </c>
      <c r="H318" s="267"/>
    </row>
    <row r="319">
      <c r="A319" s="265"/>
      <c r="B319" s="247">
        <v>30242.57</v>
      </c>
      <c r="C319" s="252"/>
      <c r="D319" s="249"/>
      <c r="F319" s="250"/>
      <c r="G319" s="254" t="s">
        <v>82</v>
      </c>
      <c r="H319" s="267"/>
    </row>
    <row r="320">
      <c r="A320" s="265"/>
      <c r="B320" s="247">
        <v>13230.0</v>
      </c>
      <c r="C320" s="252"/>
      <c r="D320" s="249"/>
      <c r="F320" s="250"/>
      <c r="G320" s="254" t="s">
        <v>807</v>
      </c>
      <c r="H320" s="251"/>
    </row>
    <row r="321">
      <c r="A321" s="265"/>
      <c r="B321" s="247"/>
      <c r="C321" s="248"/>
      <c r="D321" s="253"/>
      <c r="F321" s="250"/>
      <c r="G321" s="254"/>
      <c r="H321" s="251"/>
    </row>
    <row r="322">
      <c r="A322" s="265"/>
      <c r="B322" s="268"/>
      <c r="C322" s="252"/>
      <c r="D322" s="253"/>
      <c r="F322" s="250"/>
      <c r="G322" s="254"/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930</v>
      </c>
      <c r="B329" s="239">
        <v>24000.0</v>
      </c>
      <c r="C329" s="263"/>
      <c r="D329" s="264"/>
      <c r="E329" s="242"/>
      <c r="F329" s="243"/>
      <c r="G329" s="244" t="s">
        <v>68</v>
      </c>
      <c r="H329" s="245">
        <v>146.0</v>
      </c>
    </row>
    <row r="330">
      <c r="A330" s="265"/>
      <c r="B330" s="247"/>
      <c r="C330" s="248"/>
      <c r="D330" s="249">
        <v>41624.0</v>
      </c>
      <c r="E330" s="2" t="s">
        <v>328</v>
      </c>
      <c r="F330" s="250"/>
      <c r="G330" s="2" t="s">
        <v>931</v>
      </c>
      <c r="H330" s="267"/>
    </row>
    <row r="331">
      <c r="A331" s="265"/>
      <c r="B331" s="247"/>
      <c r="C331" s="248"/>
      <c r="D331" s="249"/>
      <c r="F331" s="250">
        <v>2000.0</v>
      </c>
      <c r="G331" s="2" t="s">
        <v>85</v>
      </c>
      <c r="H331" s="251"/>
    </row>
    <row r="332">
      <c r="A332" s="265"/>
      <c r="B332" s="247">
        <v>36435.0</v>
      </c>
      <c r="C332" s="248"/>
      <c r="D332" s="249"/>
      <c r="F332" s="250"/>
      <c r="G332" s="2" t="s">
        <v>549</v>
      </c>
      <c r="H332" s="251"/>
    </row>
    <row r="333">
      <c r="A333" s="265"/>
      <c r="B333" s="247"/>
      <c r="C333" s="248"/>
      <c r="D333" s="249"/>
      <c r="F333" s="250"/>
      <c r="H333" s="251"/>
    </row>
    <row r="334">
      <c r="A334" s="265"/>
      <c r="B334" s="247"/>
      <c r="C334" s="248"/>
      <c r="D334" s="249"/>
      <c r="F334" s="250"/>
      <c r="H334" s="251"/>
    </row>
    <row r="335">
      <c r="A335" s="265"/>
      <c r="B335" s="247"/>
      <c r="C335" s="248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932</v>
      </c>
      <c r="B343" s="239"/>
      <c r="C343" s="263"/>
      <c r="D343" s="264"/>
      <c r="E343" s="242"/>
      <c r="F343" s="243">
        <v>6500.0</v>
      </c>
      <c r="G343" s="244" t="s">
        <v>608</v>
      </c>
      <c r="H343" s="245">
        <v>157.0</v>
      </c>
    </row>
    <row r="344">
      <c r="A344" s="265"/>
      <c r="B344" s="247"/>
      <c r="C344" s="248"/>
      <c r="D344" s="249">
        <v>177870.0</v>
      </c>
      <c r="E344" s="2" t="s">
        <v>328</v>
      </c>
      <c r="F344" s="250"/>
      <c r="G344" s="2" t="s">
        <v>877</v>
      </c>
      <c r="H344" s="267"/>
    </row>
    <row r="345">
      <c r="A345" s="265"/>
      <c r="B345" s="247"/>
      <c r="C345" s="248">
        <v>84129.56</v>
      </c>
      <c r="D345" s="249"/>
      <c r="F345" s="250"/>
      <c r="G345" s="2" t="s">
        <v>84</v>
      </c>
      <c r="H345" s="267"/>
    </row>
    <row r="346">
      <c r="A346" s="265"/>
      <c r="B346" s="247">
        <v>69801.3</v>
      </c>
      <c r="C346" s="248"/>
      <c r="D346" s="249"/>
      <c r="F346" s="250"/>
      <c r="G346" s="2" t="s">
        <v>142</v>
      </c>
      <c r="H346" s="251"/>
    </row>
    <row r="347">
      <c r="A347" s="265"/>
      <c r="B347" s="247"/>
      <c r="C347" s="248"/>
      <c r="D347" s="249"/>
      <c r="F347" s="250">
        <v>727.0</v>
      </c>
      <c r="G347" s="2" t="s">
        <v>97</v>
      </c>
      <c r="H347" s="251"/>
    </row>
    <row r="348">
      <c r="A348" s="265"/>
      <c r="B348" s="247">
        <v>24885.8</v>
      </c>
      <c r="C348" s="252"/>
      <c r="D348" s="249"/>
      <c r="F348" s="250"/>
      <c r="G348" s="2" t="s">
        <v>82</v>
      </c>
      <c r="H348" s="251"/>
    </row>
    <row r="349">
      <c r="A349" s="265"/>
      <c r="B349" s="247">
        <v>75300.0</v>
      </c>
      <c r="C349" s="252"/>
      <c r="D349" s="249"/>
      <c r="E349" s="2" t="s">
        <v>328</v>
      </c>
      <c r="F349" s="250"/>
      <c r="G349" s="2" t="s">
        <v>75</v>
      </c>
      <c r="H349" s="251"/>
    </row>
    <row r="350">
      <c r="A350" s="265"/>
      <c r="B350" s="247"/>
      <c r="C350" s="252"/>
      <c r="D350" s="249">
        <f>67682.03+7473.95+24139.17</f>
        <v>99295.15</v>
      </c>
      <c r="E350" s="2" t="s">
        <v>328</v>
      </c>
      <c r="F350" s="250"/>
      <c r="G350" s="2" t="s">
        <v>74</v>
      </c>
      <c r="H350" s="251"/>
    </row>
    <row r="351">
      <c r="A351" s="265"/>
      <c r="B351" s="247"/>
      <c r="C351" s="252"/>
      <c r="D351" s="249">
        <v>2827.18</v>
      </c>
      <c r="E351" s="2" t="s">
        <v>328</v>
      </c>
      <c r="F351" s="250"/>
      <c r="G351" s="2" t="s">
        <v>73</v>
      </c>
      <c r="H351" s="251"/>
    </row>
    <row r="352">
      <c r="A352" s="265"/>
      <c r="B352" s="247">
        <v>17655.0</v>
      </c>
      <c r="C352" s="252"/>
      <c r="D352" s="253"/>
      <c r="F352" s="250"/>
      <c r="G352" s="2" t="s">
        <v>933</v>
      </c>
      <c r="H352" s="251"/>
    </row>
    <row r="353">
      <c r="A353" s="265"/>
      <c r="B353" s="247">
        <v>43176.6</v>
      </c>
      <c r="C353" s="252"/>
      <c r="D353" s="253"/>
      <c r="F353" s="250"/>
      <c r="G353" s="2" t="s">
        <v>103</v>
      </c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934</v>
      </c>
      <c r="B361" s="239"/>
      <c r="C361" s="240"/>
      <c r="D361" s="264"/>
      <c r="E361" s="242"/>
      <c r="F361" s="243">
        <v>2374.0</v>
      </c>
      <c r="G361" s="244" t="s">
        <v>97</v>
      </c>
      <c r="H361" s="245">
        <v>137.0</v>
      </c>
      <c r="I361" s="2">
        <v>-10.0</v>
      </c>
    </row>
    <row r="362">
      <c r="A362" s="265"/>
      <c r="B362" s="247"/>
      <c r="C362" s="248"/>
      <c r="D362" s="249">
        <v>78000.0</v>
      </c>
      <c r="E362" s="2" t="s">
        <v>328</v>
      </c>
      <c r="F362" s="250"/>
      <c r="G362" s="2" t="s">
        <v>87</v>
      </c>
      <c r="H362" s="267"/>
    </row>
    <row r="363">
      <c r="A363" s="265"/>
      <c r="B363" s="247"/>
      <c r="C363" s="248"/>
      <c r="D363" s="249">
        <v>45500.0</v>
      </c>
      <c r="E363" s="2" t="s">
        <v>328</v>
      </c>
      <c r="F363" s="250"/>
      <c r="G363" s="2" t="s">
        <v>76</v>
      </c>
      <c r="H363" s="267"/>
    </row>
    <row r="364">
      <c r="A364" s="265"/>
      <c r="B364" s="247"/>
      <c r="C364" s="248"/>
      <c r="D364" s="249">
        <v>168958.96</v>
      </c>
      <c r="E364" s="2" t="s">
        <v>935</v>
      </c>
      <c r="F364" s="250"/>
      <c r="G364" s="2" t="s">
        <v>91</v>
      </c>
      <c r="H364" s="251"/>
    </row>
    <row r="365">
      <c r="A365" s="265"/>
      <c r="B365" s="247"/>
      <c r="C365" s="252"/>
      <c r="D365" s="249"/>
      <c r="F365" s="250"/>
      <c r="H365" s="251"/>
    </row>
    <row r="366">
      <c r="A366" s="265"/>
      <c r="B366" s="247"/>
      <c r="C366" s="252"/>
      <c r="D366" s="253"/>
      <c r="F366" s="250"/>
      <c r="H366" s="251"/>
    </row>
    <row r="367">
      <c r="A367" s="265"/>
      <c r="B367" s="247"/>
      <c r="C367" s="252"/>
      <c r="D367" s="249"/>
      <c r="F367" s="250"/>
      <c r="H367" s="251"/>
    </row>
    <row r="368">
      <c r="A368" s="265"/>
      <c r="B368" s="268"/>
      <c r="C368" s="252"/>
      <c r="D368" s="249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63"/>
      <c r="D379" s="264"/>
      <c r="E379" s="242"/>
      <c r="F379" s="243"/>
      <c r="H379" s="245"/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/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24024.14</v>
      </c>
      <c r="F391" s="250"/>
      <c r="G391" s="2" t="s">
        <v>190</v>
      </c>
      <c r="H391" s="294">
        <v>45238.0</v>
      </c>
    </row>
    <row r="392">
      <c r="A392" s="265"/>
      <c r="B392" s="247"/>
      <c r="C392" s="248"/>
      <c r="D392" s="249"/>
      <c r="F392" s="250"/>
      <c r="G392" s="2" t="s">
        <v>191</v>
      </c>
      <c r="H392" s="294"/>
    </row>
    <row r="393">
      <c r="A393" s="265"/>
      <c r="B393" s="268"/>
      <c r="C393" s="252"/>
      <c r="D393" s="249"/>
      <c r="F393" s="250"/>
      <c r="H393" s="294"/>
    </row>
    <row r="394">
      <c r="A394" s="265"/>
      <c r="B394" s="268"/>
      <c r="C394" s="252"/>
      <c r="D394" s="249">
        <v>108900.0</v>
      </c>
      <c r="F394" s="250"/>
      <c r="G394" s="2" t="s">
        <v>192</v>
      </c>
      <c r="H394" s="294">
        <v>45244.0</v>
      </c>
    </row>
    <row r="395">
      <c r="A395" s="265"/>
      <c r="B395" s="268"/>
      <c r="C395" s="252"/>
      <c r="D395" s="253"/>
      <c r="F395" s="250">
        <v>160000.0</v>
      </c>
      <c r="G395" s="2" t="s">
        <v>193</v>
      </c>
      <c r="H395" s="294">
        <v>45252.0</v>
      </c>
    </row>
    <row r="396">
      <c r="A396" s="265"/>
      <c r="B396" s="247"/>
      <c r="C396" s="252"/>
      <c r="D396" s="249"/>
      <c r="F396" s="250"/>
      <c r="G396" s="2" t="s">
        <v>194</v>
      </c>
      <c r="H396" s="294"/>
      <c r="I396" s="2" t="s">
        <v>838</v>
      </c>
    </row>
    <row r="397">
      <c r="A397" s="265"/>
      <c r="B397" s="247"/>
      <c r="C397" s="252"/>
      <c r="D397" s="249">
        <v>66000.0</v>
      </c>
      <c r="F397" s="250"/>
      <c r="G397" s="2" t="s">
        <v>196</v>
      </c>
      <c r="H397" s="294">
        <v>45233.0</v>
      </c>
      <c r="I397" s="318"/>
    </row>
    <row r="398">
      <c r="A398" s="265"/>
      <c r="B398" s="247">
        <v>16462.47</v>
      </c>
      <c r="C398" s="252"/>
      <c r="D398" s="249"/>
      <c r="F398" s="250"/>
      <c r="G398" s="2" t="s">
        <v>197</v>
      </c>
      <c r="H398" s="294"/>
      <c r="I398" s="2" t="s">
        <v>198</v>
      </c>
    </row>
    <row r="399">
      <c r="A399" s="265"/>
      <c r="B399" s="268"/>
      <c r="C399" s="252"/>
      <c r="D399" s="249">
        <v>13814.35</v>
      </c>
      <c r="F399" s="250"/>
      <c r="G399" s="2" t="s">
        <v>199</v>
      </c>
      <c r="H399" s="294"/>
      <c r="I399" s="2" t="s">
        <v>189</v>
      </c>
    </row>
    <row r="400">
      <c r="A400" s="265"/>
      <c r="B400" s="247"/>
      <c r="C400" s="252"/>
      <c r="D400" s="249">
        <v>37755.06</v>
      </c>
      <c r="F400" s="250"/>
      <c r="G400" s="2" t="s">
        <v>200</v>
      </c>
      <c r="H400" s="294"/>
      <c r="I400" s="2" t="s">
        <v>189</v>
      </c>
    </row>
    <row r="401">
      <c r="A401" s="265"/>
      <c r="B401" s="278"/>
      <c r="C401" s="248"/>
      <c r="D401" s="296">
        <v>7260.43</v>
      </c>
      <c r="F401" s="282"/>
      <c r="G401" s="2" t="s">
        <v>201</v>
      </c>
      <c r="H401" s="294"/>
      <c r="I401" s="2" t="s">
        <v>189</v>
      </c>
    </row>
    <row r="402">
      <c r="A402" s="270"/>
      <c r="B402" s="277"/>
      <c r="C402" s="248"/>
      <c r="D402" s="295">
        <v>135000.0</v>
      </c>
      <c r="F402" s="250">
        <v>135000.0</v>
      </c>
      <c r="G402" s="2" t="s">
        <v>936</v>
      </c>
      <c r="H402" s="294">
        <v>45247.0</v>
      </c>
    </row>
    <row r="403">
      <c r="A403" s="299"/>
      <c r="B403" s="278"/>
      <c r="C403" s="248"/>
      <c r="D403" s="295"/>
      <c r="F403" s="282"/>
      <c r="H403" s="294"/>
    </row>
    <row r="404">
      <c r="A404" s="299"/>
      <c r="B404" s="278"/>
      <c r="C404" s="248"/>
      <c r="D404" s="300">
        <v>264615.18</v>
      </c>
      <c r="F404" s="282"/>
      <c r="G404" s="2" t="s">
        <v>202</v>
      </c>
      <c r="H404" s="301">
        <v>45238.0</v>
      </c>
      <c r="I404" s="2" t="s">
        <v>203</v>
      </c>
    </row>
    <row r="405">
      <c r="A405" s="299"/>
      <c r="B405" s="278"/>
      <c r="C405" s="248"/>
      <c r="D405" s="295"/>
      <c r="F405" s="250"/>
      <c r="G405" s="2" t="s">
        <v>204</v>
      </c>
      <c r="H405" s="301"/>
    </row>
    <row r="406">
      <c r="A406" s="303"/>
      <c r="B406" s="278"/>
      <c r="C406" s="252"/>
      <c r="D406" s="253"/>
      <c r="F406" s="250"/>
      <c r="G406" s="2" t="s">
        <v>205</v>
      </c>
      <c r="H406" s="302"/>
    </row>
    <row r="407">
      <c r="A407" s="303"/>
      <c r="B407" s="268"/>
      <c r="C407" s="252"/>
      <c r="D407" s="249"/>
      <c r="F407" s="250"/>
      <c r="G407" s="2" t="s">
        <v>735</v>
      </c>
      <c r="H407" s="294"/>
    </row>
    <row r="408">
      <c r="A408" s="303"/>
      <c r="B408" s="247"/>
      <c r="C408" s="252"/>
      <c r="D408" s="249"/>
      <c r="F408" s="250"/>
      <c r="G408" s="2" t="s">
        <v>206</v>
      </c>
      <c r="H408" s="294"/>
      <c r="I408" s="2" t="s">
        <v>203</v>
      </c>
    </row>
    <row r="409">
      <c r="A409" s="303"/>
      <c r="B409" s="268"/>
      <c r="C409" s="252"/>
      <c r="D409" s="300">
        <v>142499.15</v>
      </c>
      <c r="F409" s="332"/>
      <c r="G409" s="2" t="s">
        <v>209</v>
      </c>
      <c r="H409" s="294">
        <v>45240.0</v>
      </c>
      <c r="I409" s="2" t="s">
        <v>666</v>
      </c>
    </row>
    <row r="410">
      <c r="A410" s="303"/>
      <c r="B410" s="268"/>
      <c r="C410" s="252"/>
      <c r="D410" s="249">
        <v>52898.48</v>
      </c>
      <c r="F410" s="250"/>
      <c r="G410" s="2" t="s">
        <v>937</v>
      </c>
      <c r="H410" s="294">
        <v>45246.0</v>
      </c>
      <c r="I410" s="2" t="s">
        <v>203</v>
      </c>
    </row>
    <row r="411">
      <c r="A411" s="303"/>
      <c r="B411" s="268"/>
      <c r="C411" s="252"/>
      <c r="D411" s="249">
        <v>70312.9</v>
      </c>
      <c r="F411" s="250"/>
      <c r="G411" s="2" t="s">
        <v>938</v>
      </c>
      <c r="H411" s="294">
        <v>45246.0</v>
      </c>
      <c r="I411" s="2" t="s">
        <v>203</v>
      </c>
    </row>
    <row r="412">
      <c r="A412" s="303"/>
      <c r="B412" s="268"/>
      <c r="C412" s="252"/>
      <c r="D412" s="249">
        <v>408318.54</v>
      </c>
      <c r="F412" s="250"/>
      <c r="G412" s="2" t="s">
        <v>939</v>
      </c>
      <c r="H412" s="294">
        <v>45258.0</v>
      </c>
      <c r="I412" s="2" t="s">
        <v>203</v>
      </c>
    </row>
    <row r="413">
      <c r="A413" s="303"/>
      <c r="B413" s="247">
        <v>23200.0</v>
      </c>
      <c r="C413" s="252"/>
      <c r="D413" s="331"/>
      <c r="F413" s="266"/>
      <c r="G413" s="2" t="s">
        <v>667</v>
      </c>
      <c r="H413" s="251"/>
    </row>
    <row r="414">
      <c r="A414" s="304"/>
      <c r="B414" s="268"/>
      <c r="C414" s="252"/>
      <c r="D414" s="249">
        <v>74000.0</v>
      </c>
      <c r="F414" s="332"/>
      <c r="G414" s="2" t="s">
        <v>602</v>
      </c>
      <c r="H414" s="294">
        <v>45254.0</v>
      </c>
    </row>
    <row r="415">
      <c r="A415" s="305"/>
      <c r="B415" s="271">
        <f>SUM(B390:B414)</f>
        <v>39662.47</v>
      </c>
      <c r="C415" s="272"/>
      <c r="D415" s="392">
        <f>SUM(D390:D414)</f>
        <v>1405398.23</v>
      </c>
      <c r="E415" s="18"/>
      <c r="F415" s="393">
        <f>SUM(F390:F414)</f>
        <v>295000</v>
      </c>
      <c r="G415" s="18"/>
      <c r="H415" s="394">
        <f>SUM(B415:G415)</f>
        <v>1740060.7</v>
      </c>
    </row>
    <row r="416">
      <c r="A416" s="265"/>
      <c r="B416" s="306"/>
      <c r="C416" s="240"/>
      <c r="D416" s="241"/>
      <c r="E416" s="242"/>
      <c r="F416" s="243"/>
      <c r="G416" s="244"/>
      <c r="H416" s="307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70"/>
      <c r="B424" s="268"/>
      <c r="C424" s="252"/>
      <c r="D424" s="253"/>
      <c r="F424" s="250"/>
      <c r="H424" s="251"/>
    </row>
    <row r="425">
      <c r="A425" s="305"/>
      <c r="B425" s="271"/>
      <c r="C425" s="272"/>
      <c r="D425" s="273"/>
      <c r="E425" s="18"/>
      <c r="F425" s="274"/>
      <c r="G425" s="18"/>
      <c r="H425" s="261"/>
    </row>
    <row r="426">
      <c r="A426" s="265"/>
      <c r="B426" s="306"/>
      <c r="C426" s="240"/>
      <c r="D426" s="241"/>
      <c r="E426" s="242"/>
      <c r="F426" s="243"/>
      <c r="G426" s="244"/>
      <c r="H426" s="307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65"/>
      <c r="B432" s="268"/>
      <c r="C432" s="252"/>
      <c r="D432" s="253"/>
      <c r="F432" s="250"/>
      <c r="H432" s="251"/>
    </row>
    <row r="433">
      <c r="A433" s="265"/>
      <c r="B433" s="268"/>
      <c r="C433" s="252"/>
      <c r="D433" s="253"/>
      <c r="F433" s="250"/>
      <c r="H433" s="251"/>
    </row>
    <row r="434">
      <c r="A434" s="270"/>
      <c r="B434" s="268"/>
      <c r="C434" s="252"/>
      <c r="D434" s="253"/>
      <c r="F434" s="250"/>
      <c r="H434" s="251"/>
    </row>
    <row r="435">
      <c r="B435" s="271"/>
      <c r="C435" s="272"/>
      <c r="D435" s="273"/>
      <c r="E435" s="18"/>
      <c r="F435" s="274"/>
      <c r="G435" s="18"/>
      <c r="H435" s="261"/>
    </row>
    <row r="436">
      <c r="B436" s="306"/>
      <c r="C436" s="240"/>
      <c r="D436" s="241"/>
      <c r="E436" s="242"/>
      <c r="F436" s="243"/>
      <c r="G436" s="244"/>
      <c r="H436" s="307"/>
    </row>
    <row r="437">
      <c r="B437" s="268"/>
      <c r="C437" s="252"/>
      <c r="D437" s="253"/>
      <c r="F437" s="250"/>
      <c r="H437" s="251"/>
    </row>
    <row r="438">
      <c r="B438" s="268"/>
      <c r="C438" s="252"/>
      <c r="D438" s="253"/>
      <c r="F438" s="250"/>
      <c r="H438" s="251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  <row r="743">
      <c r="B743" s="308"/>
      <c r="C743" s="252"/>
      <c r="D743" s="253"/>
      <c r="F743" s="309"/>
      <c r="H743" s="302"/>
    </row>
    <row r="744">
      <c r="B744" s="308"/>
      <c r="C744" s="252"/>
      <c r="D744" s="253"/>
      <c r="F744" s="309"/>
      <c r="H744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5:A424"/>
    <mergeCell ref="A425:A434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34.5"/>
    <col customWidth="1" min="8" max="8" width="10.13"/>
  </cols>
  <sheetData>
    <row r="1" ht="27.0" customHeight="1">
      <c r="A1" s="231" t="s">
        <v>940</v>
      </c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529</v>
      </c>
      <c r="G1" s="235"/>
      <c r="H1" s="237" t="s">
        <v>57</v>
      </c>
    </row>
    <row r="2">
      <c r="A2" s="238"/>
      <c r="B2" s="319"/>
      <c r="C2" s="320">
        <v>69428.0</v>
      </c>
      <c r="D2" s="321"/>
      <c r="E2" s="322"/>
      <c r="F2" s="323"/>
      <c r="G2" s="324" t="s">
        <v>89</v>
      </c>
      <c r="H2" s="245">
        <f>70-60+40+16.5</f>
        <v>66.5</v>
      </c>
      <c r="I2" s="2" t="s">
        <v>941</v>
      </c>
    </row>
    <row r="3">
      <c r="A3" s="246" t="s">
        <v>942</v>
      </c>
      <c r="B3" s="312">
        <v>17880.67</v>
      </c>
      <c r="C3" s="313"/>
      <c r="D3" s="395"/>
      <c r="E3" s="326"/>
      <c r="F3" s="291"/>
      <c r="G3" s="326" t="s">
        <v>82</v>
      </c>
      <c r="H3" s="267"/>
    </row>
    <row r="4">
      <c r="A4" s="246"/>
      <c r="B4" s="329"/>
      <c r="C4" s="328"/>
      <c r="D4" s="325"/>
      <c r="E4" s="326"/>
      <c r="F4" s="396">
        <v>7400.0</v>
      </c>
      <c r="G4" s="326" t="s">
        <v>820</v>
      </c>
      <c r="H4" s="251"/>
    </row>
    <row r="5">
      <c r="A5" s="246"/>
      <c r="B5" s="330"/>
      <c r="C5" s="338"/>
      <c r="D5" s="325"/>
      <c r="E5" s="290"/>
      <c r="F5" s="291"/>
      <c r="G5" s="336"/>
      <c r="H5" s="251"/>
    </row>
    <row r="6">
      <c r="A6" s="246"/>
      <c r="B6" s="330"/>
      <c r="C6" s="313"/>
      <c r="D6" s="337"/>
      <c r="E6" s="336"/>
      <c r="F6" s="335"/>
      <c r="G6" s="336"/>
      <c r="H6" s="251"/>
    </row>
    <row r="7">
      <c r="A7" s="246"/>
      <c r="B7" s="342"/>
      <c r="C7" s="313"/>
      <c r="D7" s="337"/>
      <c r="E7" s="336"/>
      <c r="F7" s="335"/>
      <c r="G7" s="336"/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943</v>
      </c>
      <c r="B15" s="239"/>
      <c r="C15" s="263"/>
      <c r="D15" s="264"/>
      <c r="E15" s="242"/>
      <c r="F15" s="250">
        <v>3596.0</v>
      </c>
      <c r="G15" s="2" t="s">
        <v>944</v>
      </c>
      <c r="H15" s="245">
        <v>78.5</v>
      </c>
    </row>
    <row r="16">
      <c r="A16" s="265"/>
      <c r="B16" s="247">
        <v>37947.92</v>
      </c>
      <c r="C16" s="248"/>
      <c r="D16" s="249"/>
      <c r="F16" s="266"/>
      <c r="G16" s="2" t="s">
        <v>142</v>
      </c>
      <c r="H16" s="267"/>
    </row>
    <row r="17">
      <c r="A17" s="265"/>
      <c r="B17" s="247"/>
      <c r="C17" s="248"/>
      <c r="D17" s="249"/>
      <c r="F17" s="250"/>
      <c r="G17" s="2" t="s">
        <v>945</v>
      </c>
      <c r="H17" s="251"/>
    </row>
    <row r="18">
      <c r="A18" s="265"/>
      <c r="B18" s="247"/>
      <c r="C18" s="252"/>
      <c r="D18" s="249"/>
      <c r="F18" s="250"/>
      <c r="G18" s="2" t="s">
        <v>946</v>
      </c>
      <c r="H18" s="251"/>
    </row>
    <row r="19">
      <c r="A19" s="265"/>
      <c r="B19" s="247"/>
      <c r="C19" s="248"/>
      <c r="D19" s="249"/>
      <c r="F19" s="250"/>
      <c r="H19" s="251"/>
    </row>
    <row r="20">
      <c r="A20" s="265"/>
      <c r="B20" s="247"/>
      <c r="C20" s="248"/>
      <c r="D20" s="249"/>
      <c r="F20" s="250"/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947</v>
      </c>
      <c r="B28" s="239"/>
      <c r="C28" s="263"/>
      <c r="D28" s="264">
        <v>78000.0</v>
      </c>
      <c r="E28" s="244" t="s">
        <v>328</v>
      </c>
      <c r="F28" s="243"/>
      <c r="G28" s="276" t="s">
        <v>87</v>
      </c>
      <c r="H28" s="245">
        <v>162.0</v>
      </c>
    </row>
    <row r="29">
      <c r="A29" s="265"/>
      <c r="B29" s="247">
        <v>35555.02</v>
      </c>
      <c r="C29" s="248"/>
      <c r="D29" s="249"/>
      <c r="F29" s="250"/>
      <c r="G29" s="2" t="s">
        <v>82</v>
      </c>
      <c r="H29" s="267"/>
    </row>
    <row r="30">
      <c r="A30" s="265"/>
      <c r="B30" s="247">
        <v>24000.0</v>
      </c>
      <c r="C30" s="248"/>
      <c r="D30" s="249"/>
      <c r="E30" s="2" t="s">
        <v>328</v>
      </c>
      <c r="F30" s="250"/>
      <c r="G30" s="254" t="s">
        <v>948</v>
      </c>
      <c r="H30" s="251"/>
    </row>
    <row r="31">
      <c r="A31" s="265"/>
      <c r="B31" s="247">
        <v>88200.0</v>
      </c>
      <c r="C31" s="248"/>
      <c r="D31" s="249"/>
      <c r="E31" s="2" t="s">
        <v>328</v>
      </c>
      <c r="F31" s="250"/>
      <c r="G31" s="254" t="s">
        <v>75</v>
      </c>
      <c r="H31" s="251"/>
    </row>
    <row r="32">
      <c r="A32" s="265"/>
      <c r="B32" s="247"/>
      <c r="C32" s="252">
        <f>94409.04+99620.51</f>
        <v>194029.55</v>
      </c>
      <c r="D32" s="249"/>
      <c r="F32" s="250"/>
      <c r="G32" s="254" t="s">
        <v>71</v>
      </c>
      <c r="H32" s="251"/>
    </row>
    <row r="33">
      <c r="A33" s="265"/>
      <c r="B33" s="247"/>
      <c r="C33" s="248"/>
      <c r="D33" s="249"/>
      <c r="F33" s="250">
        <v>7400.0</v>
      </c>
      <c r="G33" s="254" t="s">
        <v>605</v>
      </c>
      <c r="H33" s="267"/>
    </row>
    <row r="34">
      <c r="A34" s="265"/>
      <c r="B34" s="247"/>
      <c r="C34" s="248"/>
      <c r="D34" s="249">
        <v>100000.0</v>
      </c>
      <c r="F34" s="250"/>
      <c r="G34" s="254" t="s">
        <v>144</v>
      </c>
      <c r="H34" s="251"/>
    </row>
    <row r="35">
      <c r="A35" s="265"/>
      <c r="B35" s="247">
        <v>28645.0</v>
      </c>
      <c r="C35" s="252"/>
      <c r="D35" s="249"/>
      <c r="F35" s="250"/>
      <c r="G35" s="254" t="s">
        <v>949</v>
      </c>
      <c r="H35" s="251"/>
    </row>
    <row r="36">
      <c r="A36" s="265"/>
      <c r="B36" s="247"/>
      <c r="C36" s="248"/>
      <c r="D36" s="253"/>
      <c r="F36" s="250"/>
      <c r="G36" s="254" t="s">
        <v>950</v>
      </c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7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/>
      <c r="C42" s="248">
        <v>74152.05</v>
      </c>
      <c r="D42" s="249"/>
      <c r="F42" s="250"/>
      <c r="G42" s="254" t="s">
        <v>951</v>
      </c>
      <c r="H42" s="267">
        <v>190.0</v>
      </c>
    </row>
    <row r="43">
      <c r="A43" s="280"/>
      <c r="B43" s="277"/>
      <c r="C43" s="248"/>
      <c r="D43" s="249"/>
      <c r="F43" s="250">
        <v>654.0</v>
      </c>
      <c r="G43" s="254" t="s">
        <v>227</v>
      </c>
      <c r="H43" s="267"/>
    </row>
    <row r="44">
      <c r="A44" s="280" t="s">
        <v>952</v>
      </c>
      <c r="B44" s="247"/>
      <c r="C44" s="248"/>
      <c r="D44" s="300">
        <v>41624.0</v>
      </c>
      <c r="F44" s="250"/>
      <c r="G44" s="254" t="s">
        <v>79</v>
      </c>
      <c r="H44" s="251"/>
    </row>
    <row r="45">
      <c r="A45" s="265"/>
      <c r="B45" s="247"/>
      <c r="C45" s="248"/>
      <c r="D45" s="249"/>
      <c r="F45" s="250"/>
      <c r="G45" s="254"/>
      <c r="H45" s="251"/>
    </row>
    <row r="46">
      <c r="A46" s="265"/>
      <c r="B46" s="247"/>
      <c r="C46" s="248"/>
      <c r="D46" s="249"/>
      <c r="F46" s="250"/>
      <c r="G46" s="254"/>
      <c r="H46" s="251"/>
    </row>
    <row r="47">
      <c r="A47" s="265"/>
      <c r="B47" s="247"/>
      <c r="C47" s="248"/>
      <c r="D47" s="249"/>
      <c r="F47" s="250"/>
      <c r="G47" s="254"/>
      <c r="H47" s="251"/>
    </row>
    <row r="48">
      <c r="A48" s="265"/>
      <c r="B48" s="247"/>
      <c r="C48" s="248"/>
      <c r="D48" s="249"/>
      <c r="F48" s="250"/>
      <c r="G48" s="254"/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48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953</v>
      </c>
      <c r="B54" s="239"/>
      <c r="C54" s="263"/>
      <c r="D54" s="264"/>
      <c r="E54" s="242"/>
      <c r="F54" s="243">
        <v>5550.0</v>
      </c>
      <c r="G54" s="276" t="s">
        <v>954</v>
      </c>
      <c r="H54" s="245">
        <v>110.0</v>
      </c>
    </row>
    <row r="55">
      <c r="A55" s="265"/>
      <c r="B55" s="247">
        <v>65731.37</v>
      </c>
      <c r="C55" s="248"/>
      <c r="D55" s="249"/>
      <c r="F55" s="250"/>
      <c r="G55" s="254" t="s">
        <v>142</v>
      </c>
      <c r="H55" s="267"/>
    </row>
    <row r="56">
      <c r="A56" s="265"/>
      <c r="B56" s="339"/>
      <c r="C56" s="248"/>
      <c r="D56" s="249"/>
      <c r="F56" s="250">
        <v>1210.0</v>
      </c>
      <c r="G56" s="254" t="s">
        <v>228</v>
      </c>
      <c r="H56" s="251"/>
    </row>
    <row r="57">
      <c r="A57" s="265"/>
      <c r="B57" s="339">
        <v>77018.7</v>
      </c>
      <c r="C57" s="248"/>
      <c r="D57" s="249"/>
      <c r="F57" s="250"/>
      <c r="G57" s="254" t="s">
        <v>955</v>
      </c>
      <c r="H57" s="267"/>
    </row>
    <row r="58">
      <c r="A58" s="265"/>
      <c r="B58" s="247">
        <v>64316.57</v>
      </c>
      <c r="C58" s="248"/>
      <c r="D58" s="249"/>
      <c r="F58" s="250"/>
      <c r="G58" s="254" t="s">
        <v>103</v>
      </c>
      <c r="H58" s="251"/>
    </row>
    <row r="59">
      <c r="A59" s="265"/>
      <c r="B59" s="247"/>
      <c r="C59" s="252"/>
      <c r="D59" s="249">
        <v>94622.0</v>
      </c>
      <c r="F59" s="250"/>
      <c r="G59" s="254" t="s">
        <v>92</v>
      </c>
      <c r="H59" s="251"/>
    </row>
    <row r="60">
      <c r="A60" s="265"/>
      <c r="B60" s="247"/>
      <c r="C60" s="252"/>
      <c r="D60" s="249"/>
      <c r="F60" s="250">
        <v>800.0</v>
      </c>
      <c r="G60" s="254" t="s">
        <v>956</v>
      </c>
      <c r="H60" s="251"/>
    </row>
    <row r="61">
      <c r="A61" s="265"/>
      <c r="B61" s="247"/>
      <c r="C61" s="252"/>
      <c r="D61" s="253"/>
      <c r="F61" s="250">
        <v>600.0</v>
      </c>
      <c r="G61" s="254" t="s">
        <v>957</v>
      </c>
      <c r="H61" s="251"/>
    </row>
    <row r="62">
      <c r="A62" s="265"/>
      <c r="B62" s="247"/>
      <c r="C62" s="248"/>
      <c r="D62" s="253"/>
      <c r="F62" s="250">
        <v>631.0</v>
      </c>
      <c r="G62" s="254" t="s">
        <v>958</v>
      </c>
      <c r="H62" s="251"/>
    </row>
    <row r="63">
      <c r="A63" s="265"/>
      <c r="B63" s="247"/>
      <c r="C63" s="248"/>
      <c r="D63" s="249">
        <v>172338.82</v>
      </c>
      <c r="E63" s="2" t="s">
        <v>328</v>
      </c>
      <c r="F63" s="250"/>
      <c r="G63" s="2" t="s">
        <v>877</v>
      </c>
      <c r="H63" s="251"/>
    </row>
    <row r="64">
      <c r="A64" s="265"/>
      <c r="B64" s="247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54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959</v>
      </c>
      <c r="B68" s="239"/>
      <c r="C68" s="263"/>
      <c r="D68" s="264">
        <v>36300.0</v>
      </c>
      <c r="E68" s="244" t="s">
        <v>527</v>
      </c>
      <c r="F68" s="243"/>
      <c r="G68" s="276" t="s">
        <v>859</v>
      </c>
      <c r="H68" s="245">
        <v>130.0</v>
      </c>
    </row>
    <row r="69">
      <c r="A69" s="265"/>
      <c r="B69" s="247">
        <v>17880.67</v>
      </c>
      <c r="C69" s="248"/>
      <c r="D69" s="249"/>
      <c r="F69" s="250"/>
      <c r="G69" s="254" t="s">
        <v>82</v>
      </c>
      <c r="H69" s="267"/>
    </row>
    <row r="70">
      <c r="A70" s="265"/>
      <c r="B70" s="397">
        <v>91900.0</v>
      </c>
      <c r="C70" s="252"/>
      <c r="D70" s="249"/>
      <c r="E70" s="2" t="s">
        <v>960</v>
      </c>
      <c r="F70" s="250"/>
      <c r="G70" s="2" t="s">
        <v>75</v>
      </c>
      <c r="H70" s="310"/>
      <c r="I70" s="2" t="s">
        <v>961</v>
      </c>
    </row>
    <row r="71">
      <c r="A71" s="265"/>
      <c r="B71" s="247"/>
      <c r="C71" s="248"/>
      <c r="D71" s="249">
        <v>79570.0</v>
      </c>
      <c r="E71" s="2" t="s">
        <v>328</v>
      </c>
      <c r="F71" s="250"/>
      <c r="G71" s="254" t="s">
        <v>825</v>
      </c>
      <c r="H71" s="251"/>
    </row>
    <row r="72">
      <c r="A72" s="265"/>
      <c r="B72" s="247"/>
      <c r="C72" s="248">
        <v>126102.4</v>
      </c>
      <c r="D72" s="249"/>
      <c r="E72" s="2" t="s">
        <v>328</v>
      </c>
      <c r="F72" s="250"/>
      <c r="G72" s="254" t="s">
        <v>89</v>
      </c>
      <c r="H72" s="251"/>
    </row>
    <row r="73">
      <c r="A73" s="265"/>
      <c r="B73" s="247"/>
      <c r="C73" s="248"/>
      <c r="D73" s="249">
        <v>37285.39</v>
      </c>
      <c r="E73" s="2" t="s">
        <v>328</v>
      </c>
      <c r="F73" s="250"/>
      <c r="G73" s="254" t="s">
        <v>74</v>
      </c>
      <c r="H73" s="251"/>
    </row>
    <row r="74">
      <c r="A74" s="265"/>
      <c r="B74" s="247"/>
      <c r="C74" s="252"/>
      <c r="D74" s="249">
        <v>25443.61</v>
      </c>
      <c r="E74" s="2" t="s">
        <v>328</v>
      </c>
      <c r="F74" s="250"/>
      <c r="G74" s="254" t="s">
        <v>73</v>
      </c>
      <c r="H74" s="251"/>
    </row>
    <row r="75">
      <c r="A75" s="265"/>
      <c r="B75" s="247"/>
      <c r="C75" s="252"/>
      <c r="D75" s="253"/>
      <c r="F75" s="250">
        <v>8300.0</v>
      </c>
      <c r="G75" s="254" t="s">
        <v>962</v>
      </c>
      <c r="H75" s="251"/>
    </row>
    <row r="76">
      <c r="A76" s="265"/>
      <c r="B76" s="247"/>
      <c r="C76" s="252"/>
      <c r="D76" s="249"/>
      <c r="F76" s="250"/>
      <c r="G76" s="254"/>
      <c r="H76" s="251"/>
    </row>
    <row r="77">
      <c r="A77" s="265"/>
      <c r="B77" s="277"/>
      <c r="C77" s="252"/>
      <c r="D77" s="253"/>
      <c r="F77" s="250"/>
      <c r="G77" s="254"/>
      <c r="H77" s="251"/>
    </row>
    <row r="78">
      <c r="A78" s="265"/>
      <c r="B78" s="277"/>
      <c r="C78" s="252"/>
      <c r="D78" s="253"/>
      <c r="F78" s="250"/>
      <c r="G78" s="254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963</v>
      </c>
      <c r="B80" s="239"/>
      <c r="C80" s="263"/>
      <c r="D80" s="241"/>
      <c r="E80" s="242"/>
      <c r="F80" s="243"/>
      <c r="G80" s="276"/>
      <c r="H80" s="245"/>
    </row>
    <row r="81">
      <c r="A81" s="265"/>
      <c r="B81" s="247"/>
      <c r="C81" s="248"/>
      <c r="D81" s="249"/>
      <c r="F81" s="250"/>
      <c r="G81" s="254"/>
      <c r="H81" s="267"/>
    </row>
    <row r="82">
      <c r="A82" s="265"/>
      <c r="B82" s="247"/>
      <c r="C82" s="248"/>
      <c r="D82" s="249"/>
      <c r="F82" s="250"/>
      <c r="G82" s="254"/>
      <c r="H82" s="267"/>
    </row>
    <row r="83">
      <c r="A83" s="265"/>
      <c r="B83" s="247"/>
      <c r="C83" s="248"/>
      <c r="D83" s="249"/>
      <c r="F83" s="250"/>
      <c r="G83" s="254"/>
      <c r="H83" s="251"/>
    </row>
    <row r="84">
      <c r="A84" s="265"/>
      <c r="B84" s="85"/>
      <c r="C84" s="248"/>
      <c r="D84" s="249"/>
      <c r="F84" s="250"/>
      <c r="G84" s="254"/>
      <c r="H84" s="251"/>
    </row>
    <row r="85">
      <c r="A85" s="265"/>
      <c r="B85" s="281"/>
      <c r="C85" s="252"/>
      <c r="D85" s="249"/>
      <c r="F85" s="266"/>
      <c r="G85" s="254"/>
      <c r="H85" s="251"/>
    </row>
    <row r="86">
      <c r="A86" s="265"/>
      <c r="B86" s="281"/>
      <c r="C86" s="252"/>
      <c r="D86" s="249"/>
      <c r="F86" s="250"/>
      <c r="G86" s="254"/>
      <c r="H86" s="251"/>
    </row>
    <row r="87">
      <c r="A87" s="265"/>
      <c r="B87" s="247"/>
      <c r="C87" s="252"/>
      <c r="D87" s="249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964</v>
      </c>
      <c r="B96" s="239"/>
      <c r="C96" s="263"/>
      <c r="D96" s="264"/>
      <c r="E96" s="242"/>
      <c r="F96" s="250">
        <f>773+2385</f>
        <v>3158</v>
      </c>
      <c r="G96" s="276" t="s">
        <v>122</v>
      </c>
      <c r="H96" s="245">
        <v>80.0</v>
      </c>
    </row>
    <row r="97">
      <c r="A97" s="265"/>
      <c r="B97" s="247">
        <v>78000.0</v>
      </c>
      <c r="C97" s="248"/>
      <c r="D97" s="249"/>
      <c r="E97" s="2" t="s">
        <v>328</v>
      </c>
      <c r="F97" s="250"/>
      <c r="G97" s="2" t="s">
        <v>87</v>
      </c>
      <c r="H97" s="267"/>
    </row>
    <row r="98">
      <c r="A98" s="265"/>
      <c r="B98" s="247">
        <v>6408.4</v>
      </c>
      <c r="C98" s="248"/>
      <c r="D98" s="249"/>
      <c r="F98" s="250"/>
      <c r="G98" s="254" t="s">
        <v>291</v>
      </c>
      <c r="H98" s="267"/>
    </row>
    <row r="99">
      <c r="A99" s="265"/>
      <c r="B99" s="247"/>
      <c r="C99" s="248"/>
      <c r="D99" s="249"/>
      <c r="F99" s="250"/>
      <c r="G99" s="254"/>
      <c r="H99" s="251"/>
      <c r="I99" s="340"/>
      <c r="J99" s="340"/>
      <c r="K99" s="340" t="s">
        <v>622</v>
      </c>
      <c r="L99" s="2" t="s">
        <v>623</v>
      </c>
    </row>
    <row r="100">
      <c r="A100" s="265"/>
      <c r="B100" s="330"/>
      <c r="C100" s="338"/>
      <c r="D100" s="314"/>
      <c r="E100" s="290"/>
      <c r="F100" s="335"/>
      <c r="G100" s="292"/>
      <c r="H100" s="251"/>
      <c r="I100" s="341"/>
      <c r="J100" s="340"/>
      <c r="K100" s="340" t="s">
        <v>624</v>
      </c>
    </row>
    <row r="101">
      <c r="A101" s="265"/>
      <c r="B101" s="247"/>
      <c r="C101" s="252"/>
      <c r="D101" s="249"/>
      <c r="F101" s="250"/>
      <c r="G101" s="254"/>
      <c r="H101" s="251"/>
      <c r="I101" s="340"/>
      <c r="J101" s="340"/>
      <c r="K101" s="341"/>
    </row>
    <row r="102">
      <c r="A102" s="265"/>
      <c r="B102" s="247"/>
      <c r="C102" s="252"/>
      <c r="D102" s="249"/>
      <c r="F102" s="250"/>
      <c r="G102" s="254"/>
      <c r="H102" s="251"/>
      <c r="I102" s="340"/>
      <c r="J102" s="341"/>
      <c r="K102" s="34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48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7"/>
      <c r="C108" s="252"/>
      <c r="D108" s="253"/>
      <c r="F108" s="282"/>
      <c r="G108" s="254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965</v>
      </c>
      <c r="B110" s="239"/>
      <c r="C110" s="263"/>
      <c r="D110" s="264"/>
      <c r="E110" s="244"/>
      <c r="F110" s="243">
        <v>8300.0</v>
      </c>
      <c r="G110" s="276" t="s">
        <v>605</v>
      </c>
      <c r="H110" s="245">
        <v>100.0</v>
      </c>
    </row>
    <row r="111">
      <c r="A111" s="265"/>
      <c r="B111" s="247">
        <v>50000.0</v>
      </c>
      <c r="C111" s="248"/>
      <c r="D111" s="249"/>
      <c r="E111" s="2" t="s">
        <v>527</v>
      </c>
      <c r="F111" s="250"/>
      <c r="G111" s="254" t="s">
        <v>75</v>
      </c>
      <c r="H111" s="267"/>
    </row>
    <row r="112">
      <c r="A112" s="265"/>
      <c r="B112" s="247">
        <v>24000.0</v>
      </c>
      <c r="C112" s="248"/>
      <c r="D112" s="249"/>
      <c r="E112" s="2" t="s">
        <v>328</v>
      </c>
      <c r="F112" s="250"/>
      <c r="G112" s="26" t="s">
        <v>68</v>
      </c>
      <c r="H112" s="251"/>
    </row>
    <row r="113">
      <c r="A113" s="265"/>
      <c r="B113" s="247">
        <v>22761.68</v>
      </c>
      <c r="C113" s="248"/>
      <c r="D113" s="249"/>
      <c r="F113" s="250"/>
      <c r="G113" s="254" t="s">
        <v>82</v>
      </c>
      <c r="H113" s="251"/>
    </row>
    <row r="114">
      <c r="A114" s="265"/>
      <c r="B114" s="247"/>
      <c r="C114" s="248">
        <v>106972.32</v>
      </c>
      <c r="D114" s="249"/>
      <c r="E114" s="2" t="s">
        <v>328</v>
      </c>
      <c r="F114" s="250"/>
      <c r="G114" s="254" t="s">
        <v>71</v>
      </c>
      <c r="H114" s="251"/>
    </row>
    <row r="115">
      <c r="A115" s="265"/>
      <c r="B115" s="247"/>
      <c r="C115" s="248"/>
      <c r="D115" s="249"/>
      <c r="F115" s="250">
        <v>4400.0</v>
      </c>
      <c r="G115" s="254" t="s">
        <v>85</v>
      </c>
      <c r="H115" s="251"/>
    </row>
    <row r="116">
      <c r="A116" s="265"/>
      <c r="B116" s="247"/>
      <c r="C116" s="252"/>
      <c r="D116" s="249">
        <v>73000.0</v>
      </c>
      <c r="E116" s="2" t="s">
        <v>328</v>
      </c>
      <c r="F116" s="250"/>
      <c r="G116" s="254" t="s">
        <v>122</v>
      </c>
      <c r="H116" s="251"/>
    </row>
    <row r="117">
      <c r="A117" s="265"/>
      <c r="B117" s="247"/>
      <c r="C117" s="248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966</v>
      </c>
      <c r="B128" s="239"/>
      <c r="C128" s="263"/>
      <c r="D128" s="264">
        <v>75891.08</v>
      </c>
      <c r="E128" s="244" t="s">
        <v>328</v>
      </c>
      <c r="F128" s="243"/>
      <c r="G128" s="276" t="s">
        <v>114</v>
      </c>
      <c r="H128" s="245">
        <v>140.0</v>
      </c>
    </row>
    <row r="129">
      <c r="A129" s="265"/>
      <c r="B129" s="247"/>
      <c r="C129" s="252"/>
      <c r="D129" s="249">
        <v>100000.0</v>
      </c>
      <c r="F129" s="250"/>
      <c r="G129" s="254" t="s">
        <v>144</v>
      </c>
      <c r="H129" s="267"/>
      <c r="I129" s="2" t="s">
        <v>967</v>
      </c>
    </row>
    <row r="130">
      <c r="A130" s="265"/>
      <c r="B130" s="247">
        <v>22600.0</v>
      </c>
      <c r="C130" s="248"/>
      <c r="D130" s="249"/>
      <c r="F130" s="250"/>
      <c r="G130" s="254" t="s">
        <v>66</v>
      </c>
      <c r="H130" s="251"/>
    </row>
    <row r="131">
      <c r="A131" s="265"/>
      <c r="B131" s="247">
        <v>13420.48</v>
      </c>
      <c r="C131" s="248"/>
      <c r="D131" s="249"/>
      <c r="F131" s="250"/>
      <c r="G131" s="254" t="s">
        <v>968</v>
      </c>
      <c r="H131" s="251"/>
    </row>
    <row r="132">
      <c r="A132" s="265"/>
      <c r="B132" s="247"/>
      <c r="C132" s="248"/>
      <c r="D132" s="249"/>
      <c r="F132" s="250"/>
      <c r="G132" s="254"/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49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969</v>
      </c>
      <c r="B143" s="239">
        <v>46000.0</v>
      </c>
      <c r="C143" s="263"/>
      <c r="D143" s="264"/>
      <c r="E143" s="244" t="s">
        <v>328</v>
      </c>
      <c r="F143" s="243"/>
      <c r="G143" s="276" t="s">
        <v>128</v>
      </c>
      <c r="H143" s="245">
        <v>110.0</v>
      </c>
    </row>
    <row r="144">
      <c r="A144" s="265"/>
      <c r="B144" s="247">
        <v>91308.49</v>
      </c>
      <c r="C144" s="252"/>
      <c r="D144" s="249"/>
      <c r="E144" s="2" t="s">
        <v>328</v>
      </c>
      <c r="F144" s="250"/>
      <c r="G144" s="254" t="s">
        <v>74</v>
      </c>
      <c r="H144" s="251"/>
    </row>
    <row r="145">
      <c r="A145" s="265"/>
      <c r="B145" s="247">
        <v>18390.26</v>
      </c>
      <c r="C145" s="248"/>
      <c r="D145" s="249"/>
      <c r="E145" s="2" t="s">
        <v>328</v>
      </c>
      <c r="F145" s="284"/>
      <c r="G145" s="285" t="s">
        <v>73</v>
      </c>
      <c r="H145" s="251"/>
    </row>
    <row r="146">
      <c r="A146" s="265"/>
      <c r="B146" s="247">
        <v>54486.51</v>
      </c>
      <c r="C146" s="252"/>
      <c r="D146" s="249"/>
      <c r="F146" s="250"/>
      <c r="G146" s="254" t="s">
        <v>103</v>
      </c>
      <c r="H146" s="251"/>
    </row>
    <row r="147">
      <c r="A147" s="265"/>
      <c r="B147" s="247">
        <v>28550.0</v>
      </c>
      <c r="C147" s="248"/>
      <c r="D147" s="249"/>
      <c r="E147" s="2" t="s">
        <v>328</v>
      </c>
      <c r="F147" s="250"/>
      <c r="G147" s="254" t="s">
        <v>75</v>
      </c>
      <c r="H147" s="251"/>
    </row>
    <row r="148">
      <c r="A148" s="265"/>
      <c r="B148" s="247">
        <v>22761.68</v>
      </c>
      <c r="C148" s="248"/>
      <c r="D148" s="249"/>
      <c r="F148" s="250"/>
      <c r="G148" s="254" t="s">
        <v>82</v>
      </c>
      <c r="H148" s="251"/>
    </row>
    <row r="149">
      <c r="A149" s="265"/>
      <c r="B149" s="247"/>
      <c r="C149" s="248"/>
      <c r="D149" s="249"/>
      <c r="F149" s="250">
        <v>7400.0</v>
      </c>
      <c r="G149" s="254" t="s">
        <v>608</v>
      </c>
      <c r="H149" s="251"/>
    </row>
    <row r="150">
      <c r="A150" s="265"/>
      <c r="B150" s="247"/>
      <c r="C150" s="252"/>
      <c r="D150" s="249"/>
      <c r="F150" s="250">
        <v>1000.0</v>
      </c>
      <c r="G150" s="254" t="s">
        <v>229</v>
      </c>
      <c r="H150" s="251"/>
    </row>
    <row r="151">
      <c r="A151" s="265"/>
      <c r="B151" s="268"/>
      <c r="C151" s="248">
        <v>137011.6</v>
      </c>
      <c r="D151" s="249"/>
      <c r="E151" s="2" t="s">
        <v>328</v>
      </c>
      <c r="F151" s="250"/>
      <c r="G151" s="254" t="s">
        <v>84</v>
      </c>
      <c r="H151" s="251"/>
    </row>
    <row r="152">
      <c r="A152" s="265"/>
      <c r="B152" s="247"/>
      <c r="C152" s="252"/>
      <c r="D152" s="249">
        <v>177870.0</v>
      </c>
      <c r="E152" s="2" t="s">
        <v>328</v>
      </c>
      <c r="F152" s="250"/>
      <c r="G152" s="2" t="s">
        <v>877</v>
      </c>
      <c r="H152" s="251"/>
    </row>
    <row r="153">
      <c r="A153" s="265"/>
      <c r="B153" s="247"/>
      <c r="C153" s="252"/>
      <c r="D153" s="249">
        <v>87000.0</v>
      </c>
      <c r="E153" s="2" t="s">
        <v>328</v>
      </c>
      <c r="F153" s="250"/>
      <c r="G153" s="254" t="s">
        <v>87</v>
      </c>
      <c r="H153" s="251"/>
    </row>
    <row r="154">
      <c r="A154" s="265"/>
      <c r="B154" s="277"/>
      <c r="C154" s="252"/>
      <c r="D154" s="253"/>
      <c r="F154" s="250">
        <v>5550.0</v>
      </c>
      <c r="G154" s="254" t="s">
        <v>608</v>
      </c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970</v>
      </c>
      <c r="B158" s="239">
        <v>53600.0</v>
      </c>
      <c r="C158" s="263"/>
      <c r="D158" s="264"/>
      <c r="E158" s="242"/>
      <c r="F158" s="243"/>
      <c r="G158" s="276" t="s">
        <v>859</v>
      </c>
      <c r="H158" s="245">
        <v>150.0</v>
      </c>
    </row>
    <row r="159">
      <c r="A159" s="265"/>
      <c r="B159" s="247">
        <v>83248.0</v>
      </c>
      <c r="C159" s="252"/>
      <c r="D159" s="249"/>
      <c r="F159" s="250"/>
      <c r="G159" s="254" t="s">
        <v>79</v>
      </c>
      <c r="H159" s="267"/>
    </row>
    <row r="160">
      <c r="A160" s="265"/>
      <c r="B160" s="247"/>
      <c r="C160" s="248"/>
      <c r="D160" s="249"/>
      <c r="F160" s="250"/>
      <c r="G160" s="254"/>
      <c r="H160" s="251"/>
    </row>
    <row r="161">
      <c r="A161" s="265"/>
      <c r="B161" s="247"/>
      <c r="C161" s="248"/>
      <c r="D161" s="249"/>
      <c r="F161" s="250"/>
      <c r="G161" s="254"/>
      <c r="H161" s="251"/>
    </row>
    <row r="162">
      <c r="A162" s="265"/>
      <c r="B162" s="247"/>
      <c r="C162" s="248"/>
      <c r="D162" s="249"/>
      <c r="F162" s="250"/>
      <c r="G162" s="254"/>
      <c r="H162" s="251"/>
    </row>
    <row r="163">
      <c r="A163" s="265"/>
      <c r="B163" s="247"/>
      <c r="C163" s="248"/>
      <c r="D163" s="249"/>
      <c r="F163" s="250"/>
      <c r="G163" s="254"/>
      <c r="H163" s="251"/>
    </row>
    <row r="164">
      <c r="A164" s="265"/>
      <c r="B164" s="247"/>
      <c r="C164" s="248"/>
      <c r="D164" s="249"/>
      <c r="F164" s="250"/>
      <c r="G164" s="254"/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971</v>
      </c>
      <c r="B168" s="239"/>
      <c r="C168" s="263"/>
      <c r="D168" s="264">
        <v>24000.0</v>
      </c>
      <c r="E168" s="244"/>
      <c r="F168" s="250"/>
      <c r="G168" s="276" t="s">
        <v>75</v>
      </c>
      <c r="H168" s="245">
        <v>150.0</v>
      </c>
    </row>
    <row r="169">
      <c r="A169" s="265"/>
      <c r="B169" s="247">
        <v>19997.0</v>
      </c>
      <c r="C169" s="315"/>
      <c r="D169" s="249"/>
      <c r="F169" s="250"/>
      <c r="G169" s="254" t="s">
        <v>972</v>
      </c>
      <c r="H169" s="267"/>
    </row>
    <row r="170">
      <c r="A170" s="265"/>
      <c r="B170" s="247"/>
      <c r="C170" s="248"/>
      <c r="D170" s="249"/>
      <c r="F170" s="250">
        <v>7400.0</v>
      </c>
      <c r="G170" s="254" t="s">
        <v>605</v>
      </c>
      <c r="H170" s="267"/>
    </row>
    <row r="171">
      <c r="A171" s="265"/>
      <c r="B171" s="247">
        <v>17880.67</v>
      </c>
      <c r="C171" s="248"/>
      <c r="D171" s="249"/>
      <c r="F171" s="250"/>
      <c r="G171" s="254" t="s">
        <v>82</v>
      </c>
      <c r="H171" s="251"/>
    </row>
    <row r="172">
      <c r="A172" s="265"/>
      <c r="B172" s="247"/>
      <c r="C172" s="248"/>
      <c r="D172" s="249"/>
      <c r="E172" s="254"/>
      <c r="F172" s="250">
        <v>654.0</v>
      </c>
      <c r="G172" s="254" t="s">
        <v>69</v>
      </c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973</v>
      </c>
      <c r="B183" s="247"/>
      <c r="C183" s="248"/>
      <c r="D183" s="249">
        <v>107629.54</v>
      </c>
      <c r="F183" s="250"/>
      <c r="G183" s="254" t="s">
        <v>142</v>
      </c>
      <c r="H183" s="286">
        <v>90.0</v>
      </c>
    </row>
    <row r="184">
      <c r="A184" s="265"/>
      <c r="B184" s="247"/>
      <c r="C184" s="248"/>
      <c r="D184" s="249"/>
      <c r="F184" s="250"/>
      <c r="G184" s="254"/>
      <c r="H184" s="251"/>
      <c r="I184" s="2" t="s">
        <v>974</v>
      </c>
    </row>
    <row r="185">
      <c r="A185" s="265"/>
      <c r="B185" s="247"/>
      <c r="C185" s="248"/>
      <c r="D185" s="249"/>
      <c r="F185" s="250"/>
      <c r="G185" s="254"/>
      <c r="H185" s="267"/>
    </row>
    <row r="186">
      <c r="A186" s="265"/>
      <c r="B186" s="247"/>
      <c r="C186" s="248"/>
      <c r="D186" s="249"/>
      <c r="F186" s="250"/>
      <c r="G186" s="254"/>
      <c r="H186" s="251"/>
    </row>
    <row r="187">
      <c r="A187" s="265"/>
      <c r="B187" s="247"/>
      <c r="C187" s="248"/>
      <c r="D187" s="249"/>
      <c r="F187" s="250"/>
      <c r="G187" s="254"/>
      <c r="H187" s="267"/>
    </row>
    <row r="188">
      <c r="A188" s="265"/>
      <c r="B188" s="247"/>
      <c r="C188" s="252"/>
      <c r="D188" s="249"/>
      <c r="F188" s="250"/>
      <c r="G188" s="254"/>
      <c r="H188" s="251"/>
    </row>
    <row r="189">
      <c r="A189" s="265"/>
      <c r="B189" s="247"/>
      <c r="C189" s="252"/>
      <c r="D189" s="253"/>
      <c r="F189" s="250"/>
      <c r="G189" s="254"/>
      <c r="H189" s="251"/>
    </row>
    <row r="190">
      <c r="A190" s="265"/>
      <c r="B190" s="247"/>
      <c r="C190" s="252"/>
      <c r="D190" s="249"/>
      <c r="F190" s="250"/>
      <c r="G190" s="254"/>
      <c r="H190" s="251"/>
    </row>
    <row r="191">
      <c r="A191" s="265"/>
      <c r="B191" s="247"/>
      <c r="C191" s="248"/>
      <c r="D191" s="249"/>
      <c r="F191" s="250"/>
      <c r="G191" s="254"/>
      <c r="H191" s="251"/>
    </row>
    <row r="192">
      <c r="A192" s="265"/>
      <c r="B192" s="247"/>
      <c r="C192" s="252"/>
      <c r="D192" s="249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975</v>
      </c>
      <c r="B199" s="239"/>
      <c r="C199" s="263"/>
      <c r="D199" s="264"/>
      <c r="E199" s="244"/>
      <c r="F199" s="243">
        <v>7400.0</v>
      </c>
      <c r="G199" s="276" t="s">
        <v>605</v>
      </c>
      <c r="H199" s="245">
        <v>137.0</v>
      </c>
    </row>
    <row r="200">
      <c r="A200" s="265"/>
      <c r="B200" s="247"/>
      <c r="C200" s="248">
        <v>149287.39</v>
      </c>
      <c r="D200" s="249"/>
      <c r="F200" s="250"/>
      <c r="G200" s="254" t="s">
        <v>71</v>
      </c>
      <c r="H200" s="267"/>
      <c r="I200" s="2" t="s">
        <v>976</v>
      </c>
    </row>
    <row r="201">
      <c r="A201" s="265"/>
      <c r="B201" s="247">
        <f>114750-63000</f>
        <v>51750</v>
      </c>
      <c r="C201" s="252"/>
      <c r="D201" s="249"/>
      <c r="F201" s="250"/>
      <c r="G201" s="254" t="s">
        <v>75</v>
      </c>
      <c r="H201" s="251"/>
    </row>
    <row r="202">
      <c r="A202" s="265"/>
      <c r="B202" s="247"/>
      <c r="C202" s="248"/>
      <c r="D202" s="249"/>
      <c r="F202" s="250">
        <v>2890.0</v>
      </c>
      <c r="G202" s="254" t="s">
        <v>164</v>
      </c>
      <c r="H202" s="251"/>
    </row>
    <row r="203">
      <c r="A203" s="265"/>
      <c r="B203" s="247"/>
      <c r="C203" s="248"/>
      <c r="D203" s="249">
        <v>102000.0</v>
      </c>
      <c r="F203" s="250"/>
      <c r="G203" s="254" t="s">
        <v>87</v>
      </c>
      <c r="H203" s="251"/>
    </row>
    <row r="204">
      <c r="A204" s="265"/>
      <c r="B204" s="247">
        <v>30606.82</v>
      </c>
      <c r="C204" s="248"/>
      <c r="D204" s="249"/>
      <c r="F204" s="250"/>
      <c r="G204" s="254" t="s">
        <v>82</v>
      </c>
      <c r="H204" s="267"/>
    </row>
    <row r="205">
      <c r="A205" s="265"/>
      <c r="B205" s="247"/>
      <c r="C205" s="248">
        <v>153089.1</v>
      </c>
      <c r="D205" s="249"/>
      <c r="F205" s="250"/>
      <c r="G205" s="316" t="s">
        <v>89</v>
      </c>
      <c r="H205" s="251"/>
    </row>
    <row r="206">
      <c r="A206" s="265"/>
      <c r="B206" s="247">
        <v>31000.0</v>
      </c>
      <c r="C206" s="252"/>
      <c r="D206" s="249"/>
      <c r="F206" s="250"/>
      <c r="G206" s="254" t="s">
        <v>68</v>
      </c>
      <c r="H206" s="251"/>
    </row>
    <row r="207">
      <c r="A207" s="265"/>
      <c r="B207" s="247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977</v>
      </c>
      <c r="B214" s="239">
        <v>40592.57</v>
      </c>
      <c r="C214" s="263"/>
      <c r="D214" s="264"/>
      <c r="E214" s="242"/>
      <c r="F214" s="243"/>
      <c r="G214" s="276" t="s">
        <v>74</v>
      </c>
      <c r="H214" s="245">
        <v>220.0</v>
      </c>
    </row>
    <row r="215">
      <c r="A215" s="265"/>
      <c r="B215" s="247">
        <v>22817.29</v>
      </c>
      <c r="C215" s="248"/>
      <c r="D215" s="249"/>
      <c r="F215" s="250"/>
      <c r="G215" s="254" t="s">
        <v>73</v>
      </c>
      <c r="H215" s="267"/>
    </row>
    <row r="216">
      <c r="A216" s="265"/>
      <c r="B216" s="247"/>
      <c r="C216" s="252"/>
      <c r="D216" s="249">
        <v>37900.61</v>
      </c>
      <c r="F216" s="250"/>
      <c r="G216" s="254" t="s">
        <v>77</v>
      </c>
      <c r="H216" s="251"/>
    </row>
    <row r="217">
      <c r="A217" s="265"/>
      <c r="B217" s="247"/>
      <c r="C217" s="248"/>
      <c r="D217" s="249">
        <v>99495.9</v>
      </c>
      <c r="E217" s="398" t="s">
        <v>328</v>
      </c>
      <c r="F217" s="284"/>
      <c r="G217" s="285" t="s">
        <v>91</v>
      </c>
      <c r="H217" s="251"/>
    </row>
    <row r="218">
      <c r="A218" s="265"/>
      <c r="B218" s="247"/>
      <c r="C218" s="252"/>
      <c r="D218" s="253"/>
      <c r="F218" s="250">
        <v>3200.0</v>
      </c>
      <c r="G218" s="254" t="s">
        <v>85</v>
      </c>
      <c r="H218" s="251"/>
    </row>
    <row r="219">
      <c r="A219" s="265"/>
      <c r="B219" s="247"/>
      <c r="C219" s="248"/>
      <c r="D219" s="399">
        <v>73000.0</v>
      </c>
      <c r="E219" s="398" t="s">
        <v>328</v>
      </c>
      <c r="F219" s="284"/>
      <c r="G219" s="285" t="s">
        <v>122</v>
      </c>
      <c r="H219" s="251"/>
    </row>
    <row r="220">
      <c r="A220" s="265"/>
      <c r="B220" s="247"/>
      <c r="C220" s="252"/>
      <c r="D220" s="249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48"/>
      <c r="D222" s="249"/>
      <c r="E222" s="269"/>
      <c r="F222" s="250"/>
      <c r="G222" s="254"/>
      <c r="H222" s="251"/>
      <c r="I222" s="269"/>
      <c r="J222" s="269"/>
      <c r="K222" s="269"/>
    </row>
    <row r="223">
      <c r="A223" s="265"/>
      <c r="B223" s="277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7"/>
      <c r="C224" s="252"/>
      <c r="D224" s="253"/>
      <c r="E224" s="269"/>
      <c r="F224" s="282"/>
      <c r="G224" s="254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978</v>
      </c>
      <c r="B226" s="239">
        <v>29150.0</v>
      </c>
      <c r="C226" s="263"/>
      <c r="D226" s="264"/>
      <c r="E226" s="276" t="s">
        <v>328</v>
      </c>
      <c r="F226" s="243"/>
      <c r="G226" s="276" t="s">
        <v>75</v>
      </c>
      <c r="H226" s="245">
        <v>158.0</v>
      </c>
      <c r="I226" s="254"/>
      <c r="J226" s="254"/>
      <c r="K226" s="254"/>
    </row>
    <row r="227">
      <c r="A227" s="265"/>
      <c r="B227" s="247"/>
      <c r="C227" s="248">
        <v>254120.23</v>
      </c>
      <c r="D227" s="249"/>
      <c r="F227" s="250"/>
      <c r="G227" s="254" t="s">
        <v>84</v>
      </c>
      <c r="H227" s="251"/>
      <c r="I227" s="269"/>
      <c r="J227" s="254"/>
      <c r="K227" s="254"/>
    </row>
    <row r="228">
      <c r="A228" s="265"/>
      <c r="B228" s="247"/>
      <c r="C228" s="248"/>
      <c r="D228" s="399">
        <v>160083.0</v>
      </c>
      <c r="E228" s="398" t="s">
        <v>328</v>
      </c>
      <c r="F228" s="284"/>
      <c r="G228" s="285" t="s">
        <v>877</v>
      </c>
      <c r="H228" s="251"/>
      <c r="I228" s="269"/>
      <c r="J228" s="254"/>
      <c r="K228" s="254"/>
    </row>
    <row r="229">
      <c r="A229" s="265"/>
      <c r="B229" s="247"/>
      <c r="C229" s="248"/>
      <c r="D229" s="249"/>
      <c r="E229" s="254"/>
      <c r="F229" s="250">
        <v>7400.0</v>
      </c>
      <c r="G229" s="254" t="s">
        <v>954</v>
      </c>
      <c r="H229" s="251"/>
      <c r="I229" s="269"/>
      <c r="J229" s="269"/>
      <c r="K229" s="269"/>
    </row>
    <row r="230">
      <c r="A230" s="265"/>
      <c r="B230" s="247"/>
      <c r="C230" s="248"/>
      <c r="D230" s="400">
        <f>98930+43420</f>
        <v>142350</v>
      </c>
      <c r="E230" s="285" t="s">
        <v>328</v>
      </c>
      <c r="F230" s="284"/>
      <c r="G230" s="285" t="s">
        <v>732</v>
      </c>
      <c r="H230" s="251"/>
      <c r="I230" s="269"/>
      <c r="J230" s="269"/>
      <c r="K230" s="269"/>
    </row>
    <row r="231">
      <c r="A231" s="265"/>
      <c r="B231" s="247">
        <v>45439.24</v>
      </c>
      <c r="C231" s="248"/>
      <c r="D231" s="249"/>
      <c r="E231" s="269"/>
      <c r="F231" s="250"/>
      <c r="G231" s="254" t="s">
        <v>142</v>
      </c>
      <c r="H231" s="251"/>
      <c r="I231" s="269"/>
      <c r="J231" s="269"/>
      <c r="K231" s="269"/>
    </row>
    <row r="232">
      <c r="A232" s="265"/>
      <c r="B232" s="247"/>
      <c r="C232" s="252"/>
      <c r="D232" s="249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47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50"/>
      <c r="G237" s="254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979</v>
      </c>
      <c r="B241" s="239"/>
      <c r="C241" s="263"/>
      <c r="D241" s="401">
        <v>82156.08</v>
      </c>
      <c r="E241" s="402"/>
      <c r="F241" s="403"/>
      <c r="G241" s="398" t="s">
        <v>65</v>
      </c>
      <c r="H241" s="245">
        <f>55+80</f>
        <v>135</v>
      </c>
    </row>
    <row r="242">
      <c r="A242" s="265"/>
      <c r="B242" s="247"/>
      <c r="C242" s="248"/>
      <c r="D242" s="249">
        <v>108000.0</v>
      </c>
      <c r="E242" s="2" t="s">
        <v>328</v>
      </c>
      <c r="F242" s="250"/>
      <c r="G242" s="254" t="s">
        <v>64</v>
      </c>
      <c r="H242" s="267"/>
    </row>
    <row r="243">
      <c r="A243" s="265"/>
      <c r="B243" s="247"/>
      <c r="C243" s="248"/>
      <c r="D243" s="249"/>
      <c r="F243" s="250"/>
      <c r="G243" s="254"/>
      <c r="H243" s="251"/>
    </row>
    <row r="244">
      <c r="A244" s="265"/>
      <c r="B244" s="247"/>
      <c r="C244" s="248"/>
      <c r="D244" s="249"/>
      <c r="F244" s="250"/>
      <c r="G244" s="254"/>
      <c r="H244" s="251"/>
    </row>
    <row r="245">
      <c r="A245" s="265"/>
      <c r="B245" s="247"/>
      <c r="C245" s="252"/>
      <c r="D245" s="249"/>
      <c r="F245" s="250"/>
      <c r="G245" s="254"/>
      <c r="H245" s="267"/>
    </row>
    <row r="246">
      <c r="A246" s="265"/>
      <c r="B246" s="247"/>
      <c r="C246" s="248"/>
      <c r="D246" s="249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980</v>
      </c>
      <c r="B255" s="239">
        <v>34600.0</v>
      </c>
      <c r="C255" s="263"/>
      <c r="D255" s="264"/>
      <c r="E255" s="244"/>
      <c r="F255" s="243"/>
      <c r="G255" s="276" t="s">
        <v>75</v>
      </c>
      <c r="H255" s="245">
        <f>60</f>
        <v>60</v>
      </c>
    </row>
    <row r="256">
      <c r="A256" s="265"/>
      <c r="B256" s="247"/>
      <c r="C256" s="248"/>
      <c r="D256" s="249"/>
      <c r="F256" s="250">
        <v>7400.0</v>
      </c>
      <c r="G256" s="254" t="s">
        <v>820</v>
      </c>
      <c r="H256" s="251"/>
    </row>
    <row r="257">
      <c r="A257" s="265"/>
      <c r="B257" s="247"/>
      <c r="C257" s="248">
        <v>44114.2</v>
      </c>
      <c r="D257" s="249"/>
      <c r="F257" s="250"/>
      <c r="G257" s="254" t="s">
        <v>89</v>
      </c>
      <c r="H257" s="251"/>
    </row>
    <row r="258">
      <c r="A258" s="265"/>
      <c r="B258" s="247">
        <v>112227.5</v>
      </c>
      <c r="C258" s="248"/>
      <c r="D258" s="249"/>
      <c r="F258" s="250"/>
      <c r="G258" s="254" t="s">
        <v>92</v>
      </c>
      <c r="H258" s="267"/>
    </row>
    <row r="259">
      <c r="A259" s="265"/>
      <c r="B259" s="247"/>
      <c r="C259" s="248"/>
      <c r="D259" s="249">
        <v>103810.61</v>
      </c>
      <c r="F259" s="250"/>
      <c r="G259" s="254" t="s">
        <v>103</v>
      </c>
      <c r="H259" s="251"/>
    </row>
    <row r="260">
      <c r="A260" s="265"/>
      <c r="B260" s="247">
        <v>8700.0</v>
      </c>
      <c r="C260" s="248"/>
      <c r="D260" s="249"/>
      <c r="F260" s="250"/>
      <c r="G260" s="254" t="s">
        <v>981</v>
      </c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48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67"/>
    </row>
    <row r="266">
      <c r="A266" s="265"/>
      <c r="B266" s="268"/>
      <c r="C266" s="252"/>
      <c r="D266" s="249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982</v>
      </c>
      <c r="B270" s="239">
        <v>28163.5</v>
      </c>
      <c r="C270" s="263"/>
      <c r="D270" s="249"/>
      <c r="F270" s="250"/>
      <c r="G270" s="254" t="s">
        <v>983</v>
      </c>
      <c r="H270" s="245">
        <v>110.0</v>
      </c>
    </row>
    <row r="271">
      <c r="A271" s="265"/>
      <c r="B271" s="247">
        <v>31000.0</v>
      </c>
      <c r="C271" s="248"/>
      <c r="D271" s="249"/>
      <c r="F271" s="250"/>
      <c r="G271" s="254" t="s">
        <v>68</v>
      </c>
      <c r="H271" s="267"/>
    </row>
    <row r="272">
      <c r="A272" s="265"/>
      <c r="B272" s="247"/>
      <c r="C272" s="248"/>
      <c r="D272" s="249"/>
      <c r="F272" s="250"/>
      <c r="G272" s="254"/>
      <c r="H272" s="251"/>
    </row>
    <row r="273">
      <c r="A273" s="265"/>
      <c r="B273" s="247"/>
      <c r="C273" s="248"/>
      <c r="D273" s="249"/>
      <c r="F273" s="250"/>
      <c r="G273" s="254"/>
      <c r="H273" s="251"/>
    </row>
    <row r="274">
      <c r="A274" s="265"/>
      <c r="B274" s="247"/>
      <c r="C274" s="248"/>
      <c r="D274" s="249"/>
      <c r="F274" s="250"/>
      <c r="G274" s="254"/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89"/>
      <c r="E279" s="290"/>
      <c r="F279" s="291"/>
      <c r="G279" s="292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69"/>
      <c r="H281" s="251"/>
    </row>
    <row r="282">
      <c r="A282" s="270"/>
      <c r="B282" s="271"/>
      <c r="C282" s="272"/>
      <c r="D282" s="273"/>
      <c r="E282" s="18"/>
      <c r="F282" s="259"/>
      <c r="G282" s="260"/>
      <c r="H282" s="261"/>
    </row>
    <row r="283">
      <c r="A283" s="262" t="s">
        <v>984</v>
      </c>
      <c r="B283" s="239"/>
      <c r="C283" s="263"/>
      <c r="D283" s="249"/>
      <c r="F283" s="250"/>
      <c r="G283" s="254"/>
      <c r="H283" s="245"/>
    </row>
    <row r="284">
      <c r="A284" s="265"/>
      <c r="B284" s="247"/>
      <c r="C284" s="248"/>
      <c r="D284" s="249"/>
      <c r="F284" s="250"/>
      <c r="G284" s="254"/>
      <c r="H284" s="267"/>
    </row>
    <row r="285">
      <c r="A285" s="265"/>
      <c r="B285" s="247"/>
      <c r="C285" s="248"/>
      <c r="D285" s="249"/>
      <c r="F285" s="250"/>
      <c r="G285" s="254"/>
      <c r="H285" s="251"/>
    </row>
    <row r="286">
      <c r="A286" s="265"/>
      <c r="B286" s="247"/>
      <c r="C286" s="248"/>
      <c r="D286" s="249"/>
      <c r="F286" s="250"/>
      <c r="G286" s="254"/>
      <c r="H286" s="251"/>
    </row>
    <row r="287">
      <c r="A287" s="265"/>
      <c r="B287" s="247"/>
      <c r="C287" s="252"/>
      <c r="D287" s="249"/>
      <c r="F287" s="250"/>
      <c r="G287" s="254"/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48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52"/>
      <c r="D293" s="253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78"/>
      <c r="C296" s="252"/>
      <c r="D296" s="253"/>
      <c r="F296" s="250"/>
      <c r="G296" s="254"/>
      <c r="H296" s="251"/>
    </row>
    <row r="297">
      <c r="A297" s="265"/>
      <c r="B297" s="278"/>
      <c r="C297" s="252"/>
      <c r="D297" s="253"/>
      <c r="F297" s="282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985</v>
      </c>
      <c r="B299" s="239">
        <v>20562.72</v>
      </c>
      <c r="C299" s="263"/>
      <c r="D299" s="264"/>
      <c r="E299" s="244"/>
      <c r="F299" s="243"/>
      <c r="G299" s="276" t="s">
        <v>82</v>
      </c>
      <c r="H299" s="245">
        <v>100.0</v>
      </c>
    </row>
    <row r="300">
      <c r="A300" s="265"/>
      <c r="B300" s="247"/>
      <c r="C300" s="248"/>
      <c r="D300" s="249"/>
      <c r="F300" s="250">
        <v>863.27</v>
      </c>
      <c r="G300" s="254" t="s">
        <v>986</v>
      </c>
      <c r="H300" s="267"/>
    </row>
    <row r="301">
      <c r="A301" s="265"/>
      <c r="B301" s="247"/>
      <c r="C301" s="248"/>
      <c r="D301" s="249">
        <v>51600.0</v>
      </c>
      <c r="F301" s="250"/>
      <c r="G301" s="254" t="s">
        <v>76</v>
      </c>
      <c r="H301" s="251"/>
    </row>
    <row r="302">
      <c r="A302" s="265"/>
      <c r="B302" s="247"/>
      <c r="C302" s="248">
        <v>190076.33</v>
      </c>
      <c r="D302" s="249"/>
      <c r="F302" s="250"/>
      <c r="G302" s="254" t="s">
        <v>71</v>
      </c>
      <c r="H302" s="251"/>
    </row>
    <row r="303">
      <c r="A303" s="265"/>
      <c r="B303" s="247">
        <v>12410.0</v>
      </c>
      <c r="C303" s="252"/>
      <c r="D303" s="249"/>
      <c r="F303" s="250"/>
      <c r="G303" s="254" t="s">
        <v>807</v>
      </c>
      <c r="H303" s="251"/>
    </row>
    <row r="304">
      <c r="A304" s="265"/>
      <c r="B304" s="247">
        <v>33950.0</v>
      </c>
      <c r="C304" s="248"/>
      <c r="D304" s="249"/>
      <c r="F304" s="250"/>
      <c r="G304" s="254" t="s">
        <v>833</v>
      </c>
      <c r="H304" s="267"/>
    </row>
    <row r="305">
      <c r="A305" s="265"/>
      <c r="B305" s="247"/>
      <c r="C305" s="248"/>
      <c r="D305" s="249"/>
      <c r="E305" s="2">
        <v>14000.0</v>
      </c>
      <c r="F305" s="250"/>
      <c r="G305" s="254" t="s">
        <v>987</v>
      </c>
      <c r="H305" s="267"/>
    </row>
    <row r="306">
      <c r="A306" s="265"/>
      <c r="B306" s="247">
        <v>15100.0</v>
      </c>
      <c r="C306" s="248"/>
      <c r="D306" s="253"/>
      <c r="F306" s="250"/>
      <c r="G306" s="254" t="s">
        <v>75</v>
      </c>
      <c r="H306" s="267"/>
    </row>
    <row r="307">
      <c r="A307" s="265"/>
      <c r="B307" s="247"/>
      <c r="C307" s="252"/>
      <c r="D307" s="253"/>
      <c r="F307" s="250"/>
      <c r="G307" s="254"/>
      <c r="H307" s="251"/>
    </row>
    <row r="308">
      <c r="A308" s="265"/>
      <c r="B308" s="268"/>
      <c r="C308" s="252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275"/>
      <c r="H313" s="261"/>
    </row>
    <row r="314">
      <c r="A314" s="262" t="s">
        <v>988</v>
      </c>
      <c r="B314" s="239"/>
      <c r="C314" s="263"/>
      <c r="D314" s="264"/>
      <c r="E314" s="242"/>
      <c r="F314" s="250">
        <v>5550.0</v>
      </c>
      <c r="G314" s="254" t="s">
        <v>812</v>
      </c>
      <c r="H314" s="245">
        <v>110.0</v>
      </c>
    </row>
    <row r="315">
      <c r="A315" s="265"/>
      <c r="B315" s="247">
        <v>78549.0</v>
      </c>
      <c r="C315" s="252"/>
      <c r="D315" s="253"/>
      <c r="F315" s="250"/>
      <c r="G315" s="254" t="s">
        <v>142</v>
      </c>
      <c r="H315" s="267"/>
    </row>
    <row r="316">
      <c r="A316" s="265"/>
      <c r="B316" s="247"/>
      <c r="C316" s="248"/>
      <c r="D316" s="249">
        <v>108000.0</v>
      </c>
      <c r="F316" s="250"/>
      <c r="G316" s="254" t="s">
        <v>87</v>
      </c>
      <c r="H316" s="251"/>
    </row>
    <row r="317">
      <c r="A317" s="265"/>
      <c r="B317" s="247">
        <v>53000.0</v>
      </c>
      <c r="C317" s="248"/>
      <c r="D317" s="249"/>
      <c r="F317" s="250"/>
      <c r="G317" s="254" t="s">
        <v>989</v>
      </c>
      <c r="H317" s="251"/>
    </row>
    <row r="318">
      <c r="A318" s="265"/>
      <c r="B318" s="247">
        <v>66185.45</v>
      </c>
      <c r="C318" s="248"/>
      <c r="D318" s="249"/>
      <c r="F318" s="250"/>
      <c r="G318" s="254" t="s">
        <v>82</v>
      </c>
      <c r="H318" s="267"/>
    </row>
    <row r="319">
      <c r="A319" s="265"/>
      <c r="B319" s="247"/>
      <c r="C319" s="248">
        <v>141095.64</v>
      </c>
      <c r="D319" s="249"/>
      <c r="F319" s="250"/>
      <c r="G319" s="254" t="s">
        <v>84</v>
      </c>
      <c r="H319" s="267"/>
    </row>
    <row r="320">
      <c r="A320" s="265"/>
      <c r="B320" s="247"/>
      <c r="C320" s="252"/>
      <c r="D320" s="249">
        <v>40956.7</v>
      </c>
      <c r="F320" s="250"/>
      <c r="G320" s="254" t="s">
        <v>73</v>
      </c>
      <c r="H320" s="251"/>
    </row>
    <row r="321">
      <c r="A321" s="265"/>
      <c r="B321" s="247"/>
      <c r="C321" s="248"/>
      <c r="D321" s="249">
        <v>91824.22</v>
      </c>
      <c r="F321" s="250"/>
      <c r="G321" s="254" t="s">
        <v>74</v>
      </c>
      <c r="H321" s="251"/>
    </row>
    <row r="322">
      <c r="A322" s="265"/>
      <c r="B322" s="268"/>
      <c r="C322" s="252"/>
      <c r="D322" s="253"/>
      <c r="F322" s="250">
        <v>6400.0</v>
      </c>
      <c r="G322" s="254" t="s">
        <v>85</v>
      </c>
      <c r="H322" s="251"/>
    </row>
    <row r="323">
      <c r="A323" s="265"/>
      <c r="B323" s="268"/>
      <c r="C323" s="252"/>
      <c r="D323" s="253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47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69"/>
      <c r="H327" s="251"/>
    </row>
    <row r="328">
      <c r="A328" s="270"/>
      <c r="B328" s="271"/>
      <c r="C328" s="272"/>
      <c r="D328" s="273"/>
      <c r="E328" s="18"/>
      <c r="F328" s="274"/>
      <c r="G328" s="18"/>
      <c r="H328" s="261"/>
    </row>
    <row r="329">
      <c r="A329" s="262" t="s">
        <v>990</v>
      </c>
      <c r="B329" s="239"/>
      <c r="C329" s="263"/>
      <c r="D329" s="264"/>
      <c r="E329" s="242"/>
      <c r="F329" s="243"/>
      <c r="G329" s="244"/>
      <c r="H329" s="245">
        <v>160.0</v>
      </c>
      <c r="I329" s="2" t="s">
        <v>991</v>
      </c>
    </row>
    <row r="330">
      <c r="A330" s="265"/>
      <c r="B330" s="247"/>
      <c r="C330" s="248"/>
      <c r="D330" s="249"/>
      <c r="F330" s="250"/>
      <c r="H330" s="267"/>
    </row>
    <row r="331">
      <c r="A331" s="265"/>
      <c r="B331" s="247"/>
      <c r="C331" s="248"/>
      <c r="D331" s="249"/>
      <c r="F331" s="250"/>
      <c r="H331" s="251"/>
    </row>
    <row r="332">
      <c r="A332" s="265"/>
      <c r="B332" s="247"/>
      <c r="C332" s="248"/>
      <c r="D332" s="249"/>
      <c r="F332" s="250"/>
      <c r="H332" s="251"/>
    </row>
    <row r="333">
      <c r="A333" s="265"/>
      <c r="B333" s="247"/>
      <c r="C333" s="248"/>
      <c r="D333" s="249"/>
      <c r="F333" s="250"/>
      <c r="H333" s="251"/>
    </row>
    <row r="334">
      <c r="A334" s="265"/>
      <c r="B334" s="247"/>
      <c r="C334" s="248"/>
      <c r="D334" s="249"/>
      <c r="F334" s="250"/>
      <c r="H334" s="251"/>
    </row>
    <row r="335">
      <c r="A335" s="265"/>
      <c r="B335" s="247"/>
      <c r="C335" s="248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49"/>
      <c r="F341" s="250"/>
      <c r="H341" s="251"/>
    </row>
    <row r="342">
      <c r="A342" s="270"/>
      <c r="B342" s="271"/>
      <c r="C342" s="272"/>
      <c r="D342" s="273"/>
      <c r="E342" s="18"/>
      <c r="F342" s="259"/>
      <c r="G342" s="293"/>
      <c r="H342" s="261"/>
    </row>
    <row r="343">
      <c r="A343" s="262" t="s">
        <v>992</v>
      </c>
      <c r="B343" s="239">
        <v>73000.0</v>
      </c>
      <c r="C343" s="263"/>
      <c r="D343" s="264"/>
      <c r="E343" s="244" t="s">
        <v>328</v>
      </c>
      <c r="F343" s="243"/>
      <c r="G343" s="244" t="s">
        <v>122</v>
      </c>
      <c r="H343" s="245">
        <v>47.0</v>
      </c>
    </row>
    <row r="344">
      <c r="A344" s="265"/>
      <c r="B344" s="247">
        <v>40500.0</v>
      </c>
      <c r="C344" s="248"/>
      <c r="D344" s="249"/>
      <c r="E344" s="2" t="s">
        <v>328</v>
      </c>
      <c r="F344" s="250"/>
      <c r="G344" s="2" t="s">
        <v>75</v>
      </c>
      <c r="H344" s="267"/>
    </row>
    <row r="345">
      <c r="A345" s="265"/>
      <c r="B345" s="247">
        <v>66399.45</v>
      </c>
      <c r="C345" s="248"/>
      <c r="D345" s="249"/>
      <c r="E345" s="2" t="s">
        <v>328</v>
      </c>
      <c r="F345" s="250"/>
      <c r="G345" s="2" t="s">
        <v>377</v>
      </c>
      <c r="H345" s="267"/>
    </row>
    <row r="346">
      <c r="A346" s="265"/>
      <c r="B346" s="404">
        <v>42000.0</v>
      </c>
      <c r="C346" s="405"/>
      <c r="D346" s="399"/>
      <c r="E346" s="398" t="s">
        <v>328</v>
      </c>
      <c r="F346" s="284"/>
      <c r="G346" s="398" t="s">
        <v>128</v>
      </c>
      <c r="H346" s="251"/>
    </row>
    <row r="347">
      <c r="A347" s="265"/>
      <c r="B347" s="247"/>
      <c r="C347" s="248"/>
      <c r="D347" s="249"/>
      <c r="F347" s="250">
        <v>7400.0</v>
      </c>
      <c r="G347" s="2" t="s">
        <v>605</v>
      </c>
      <c r="H347" s="251"/>
    </row>
    <row r="348">
      <c r="A348" s="265"/>
      <c r="B348" s="247">
        <v>30844.0</v>
      </c>
      <c r="C348" s="252"/>
      <c r="D348" s="249"/>
      <c r="F348" s="250"/>
      <c r="G348" s="2" t="s">
        <v>82</v>
      </c>
      <c r="H348" s="251"/>
    </row>
    <row r="349">
      <c r="A349" s="265"/>
      <c r="B349" s="247"/>
      <c r="C349" s="252"/>
      <c r="D349" s="249"/>
      <c r="F349" s="250">
        <v>2430.0</v>
      </c>
      <c r="G349" s="2" t="s">
        <v>374</v>
      </c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49"/>
      <c r="F351" s="250"/>
      <c r="H351" s="251"/>
    </row>
    <row r="352">
      <c r="A352" s="265"/>
      <c r="B352" s="247"/>
      <c r="C352" s="252"/>
      <c r="D352" s="253"/>
      <c r="F352" s="250"/>
      <c r="H352" s="251"/>
    </row>
    <row r="353">
      <c r="A353" s="265"/>
      <c r="B353" s="247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70"/>
      <c r="B360" s="271"/>
      <c r="C360" s="272"/>
      <c r="D360" s="273"/>
      <c r="E360" s="18"/>
      <c r="F360" s="274"/>
      <c r="G360" s="18"/>
      <c r="H360" s="261"/>
    </row>
    <row r="361">
      <c r="A361" s="262" t="s">
        <v>993</v>
      </c>
      <c r="B361" s="239"/>
      <c r="C361" s="240"/>
      <c r="D361" s="401">
        <v>94758.0</v>
      </c>
      <c r="E361" s="402" t="s">
        <v>994</v>
      </c>
      <c r="F361" s="403"/>
      <c r="G361" s="402" t="s">
        <v>114</v>
      </c>
      <c r="H361" s="245">
        <v>115.0</v>
      </c>
    </row>
    <row r="362">
      <c r="A362" s="265"/>
      <c r="B362" s="247"/>
      <c r="C362" s="248"/>
      <c r="D362" s="249"/>
      <c r="F362" s="250"/>
      <c r="H362" s="267"/>
    </row>
    <row r="363">
      <c r="A363" s="265"/>
      <c r="B363" s="247"/>
      <c r="C363" s="248"/>
      <c r="D363" s="253"/>
      <c r="F363" s="250"/>
      <c r="H363" s="267"/>
    </row>
    <row r="364">
      <c r="A364" s="265"/>
      <c r="B364" s="247"/>
      <c r="C364" s="248"/>
      <c r="D364" s="249"/>
      <c r="F364" s="250"/>
      <c r="H364" s="251"/>
    </row>
    <row r="365">
      <c r="A365" s="265"/>
      <c r="B365" s="247"/>
      <c r="C365" s="252"/>
      <c r="D365" s="249"/>
      <c r="F365" s="250"/>
      <c r="H365" s="251"/>
    </row>
    <row r="366">
      <c r="A366" s="265"/>
      <c r="B366" s="247"/>
      <c r="C366" s="252"/>
      <c r="D366" s="253"/>
      <c r="F366" s="250"/>
      <c r="H366" s="251"/>
    </row>
    <row r="367">
      <c r="A367" s="265"/>
      <c r="B367" s="247"/>
      <c r="C367" s="252"/>
      <c r="D367" s="249"/>
      <c r="F367" s="250"/>
      <c r="H367" s="251"/>
    </row>
    <row r="368">
      <c r="A368" s="265"/>
      <c r="B368" s="268"/>
      <c r="C368" s="252"/>
      <c r="D368" s="249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47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68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70"/>
      <c r="B378" s="271"/>
      <c r="C378" s="272"/>
      <c r="D378" s="273"/>
      <c r="E378" s="18"/>
      <c r="F378" s="274"/>
      <c r="G378" s="18"/>
      <c r="H378" s="261"/>
    </row>
    <row r="379">
      <c r="A379" s="262"/>
      <c r="B379" s="239"/>
      <c r="C379" s="240"/>
      <c r="D379" s="264"/>
      <c r="E379" s="242"/>
      <c r="F379" s="243"/>
      <c r="H379" s="245"/>
    </row>
    <row r="380">
      <c r="A380" s="265"/>
      <c r="B380" s="247"/>
      <c r="C380" s="248"/>
      <c r="D380" s="288"/>
      <c r="F380" s="250"/>
      <c r="H380" s="267"/>
    </row>
    <row r="381">
      <c r="A381" s="265"/>
      <c r="B381" s="247"/>
      <c r="C381" s="248"/>
      <c r="D381" s="249"/>
      <c r="F381" s="250"/>
      <c r="H381" s="267"/>
    </row>
    <row r="382">
      <c r="A382" s="265"/>
      <c r="B382" s="247"/>
      <c r="C382" s="252"/>
      <c r="D382" s="249"/>
      <c r="F382" s="250"/>
      <c r="H382" s="251"/>
    </row>
    <row r="383">
      <c r="A383" s="265"/>
      <c r="B383" s="268"/>
      <c r="C383" s="252"/>
      <c r="D383" s="249"/>
      <c r="F383" s="250"/>
      <c r="H383" s="294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47"/>
      <c r="C385" s="252"/>
      <c r="D385" s="249"/>
      <c r="F385" s="250"/>
      <c r="H385" s="251"/>
    </row>
    <row r="386">
      <c r="A386" s="265"/>
      <c r="B386" s="268"/>
      <c r="C386" s="252"/>
      <c r="D386" s="249"/>
      <c r="F386" s="250"/>
      <c r="H386" s="267"/>
    </row>
    <row r="387">
      <c r="A387" s="265"/>
      <c r="B387" s="268"/>
      <c r="C387" s="252"/>
      <c r="D387" s="249"/>
      <c r="F387" s="250"/>
      <c r="H387" s="251"/>
    </row>
    <row r="388">
      <c r="A388" s="265"/>
      <c r="B388" s="247"/>
      <c r="C388" s="252"/>
      <c r="D388" s="249"/>
      <c r="F388" s="250"/>
      <c r="H388" s="267"/>
    </row>
    <row r="389">
      <c r="A389" s="270"/>
      <c r="B389" s="271"/>
      <c r="C389" s="272"/>
      <c r="D389" s="295"/>
      <c r="E389" s="18"/>
      <c r="F389" s="274"/>
      <c r="G389" s="293"/>
      <c r="H389" s="261"/>
    </row>
    <row r="390">
      <c r="A390" s="262" t="s">
        <v>187</v>
      </c>
      <c r="B390" s="239"/>
      <c r="C390" s="240"/>
      <c r="D390" s="317">
        <v>29933.52</v>
      </c>
      <c r="E390" s="242"/>
      <c r="F390" s="243"/>
      <c r="G390" s="2" t="s">
        <v>188</v>
      </c>
      <c r="H390" s="297"/>
      <c r="I390" s="2" t="s">
        <v>189</v>
      </c>
    </row>
    <row r="391">
      <c r="A391" s="265"/>
      <c r="B391" s="247"/>
      <c r="C391" s="248"/>
      <c r="D391" s="298">
        <v>21538.47</v>
      </c>
      <c r="F391" s="250"/>
      <c r="G391" s="2" t="s">
        <v>190</v>
      </c>
      <c r="H391" s="294">
        <v>45265.0</v>
      </c>
    </row>
    <row r="392">
      <c r="A392" s="265"/>
      <c r="B392" s="247"/>
      <c r="C392" s="248"/>
      <c r="D392" s="249">
        <v>14923.09</v>
      </c>
      <c r="F392" s="250"/>
      <c r="G392" s="2" t="s">
        <v>191</v>
      </c>
      <c r="H392" s="294">
        <v>45265.0</v>
      </c>
    </row>
    <row r="393">
      <c r="A393" s="265"/>
      <c r="B393" s="268"/>
      <c r="C393" s="252"/>
      <c r="D393" s="249"/>
      <c r="F393" s="250"/>
      <c r="H393" s="294"/>
    </row>
    <row r="394">
      <c r="A394" s="265"/>
      <c r="B394" s="268"/>
      <c r="C394" s="252"/>
      <c r="D394" s="249">
        <v>108900.0</v>
      </c>
      <c r="F394" s="250"/>
      <c r="G394" s="2" t="s">
        <v>192</v>
      </c>
      <c r="H394" s="294">
        <v>45280.0</v>
      </c>
    </row>
    <row r="395">
      <c r="A395" s="265"/>
      <c r="B395" s="268"/>
      <c r="C395" s="252"/>
      <c r="D395" s="253"/>
      <c r="F395" s="250">
        <v>160000.0</v>
      </c>
      <c r="G395" s="2" t="s">
        <v>193</v>
      </c>
      <c r="H395" s="294">
        <v>45275.0</v>
      </c>
    </row>
    <row r="396">
      <c r="A396" s="265"/>
      <c r="B396" s="247"/>
      <c r="C396" s="252"/>
      <c r="D396" s="249"/>
      <c r="F396" s="250"/>
      <c r="G396" s="2" t="s">
        <v>194</v>
      </c>
      <c r="H396" s="294"/>
      <c r="I396" s="2" t="s">
        <v>838</v>
      </c>
    </row>
    <row r="397">
      <c r="A397" s="265"/>
      <c r="B397" s="247"/>
      <c r="C397" s="252"/>
      <c r="D397" s="249">
        <v>75000.0</v>
      </c>
      <c r="F397" s="250"/>
      <c r="G397" s="2" t="s">
        <v>196</v>
      </c>
      <c r="H397" s="294">
        <v>45265.0</v>
      </c>
      <c r="I397" s="318"/>
    </row>
    <row r="398">
      <c r="A398" s="265"/>
      <c r="B398" s="247">
        <v>24172.52</v>
      </c>
      <c r="C398" s="252"/>
      <c r="D398" s="249"/>
      <c r="F398" s="250"/>
      <c r="G398" s="2" t="s">
        <v>197</v>
      </c>
      <c r="H398" s="294"/>
      <c r="I398" s="2" t="s">
        <v>198</v>
      </c>
    </row>
    <row r="399">
      <c r="A399" s="265"/>
      <c r="B399" s="268"/>
      <c r="C399" s="252"/>
      <c r="D399" s="249">
        <v>13814.35</v>
      </c>
      <c r="F399" s="250"/>
      <c r="G399" s="2" t="s">
        <v>199</v>
      </c>
      <c r="H399" s="294"/>
      <c r="I399" s="2" t="s">
        <v>189</v>
      </c>
    </row>
    <row r="400">
      <c r="A400" s="265"/>
      <c r="B400" s="247"/>
      <c r="C400" s="252"/>
      <c r="D400" s="249">
        <v>45306.08</v>
      </c>
      <c r="F400" s="250"/>
      <c r="G400" s="2" t="s">
        <v>200</v>
      </c>
      <c r="H400" s="294"/>
      <c r="I400" s="2" t="s">
        <v>189</v>
      </c>
    </row>
    <row r="401">
      <c r="A401" s="265"/>
      <c r="B401" s="278"/>
      <c r="C401" s="248"/>
      <c r="D401" s="296">
        <v>7260.43</v>
      </c>
      <c r="F401" s="282"/>
      <c r="G401" s="2" t="s">
        <v>201</v>
      </c>
      <c r="H401" s="294"/>
      <c r="I401" s="2" t="s">
        <v>189</v>
      </c>
    </row>
    <row r="402">
      <c r="A402" s="270"/>
      <c r="B402" s="277"/>
      <c r="C402" s="248"/>
      <c r="D402" s="295"/>
      <c r="F402" s="250"/>
      <c r="H402" s="294"/>
    </row>
    <row r="403">
      <c r="A403" s="299"/>
      <c r="B403" s="278"/>
      <c r="C403" s="248"/>
      <c r="D403" s="295">
        <v>36114.96</v>
      </c>
      <c r="F403" s="282"/>
      <c r="G403" s="2" t="s">
        <v>995</v>
      </c>
      <c r="H403" s="294"/>
    </row>
    <row r="404">
      <c r="A404" s="299"/>
      <c r="B404" s="278"/>
      <c r="C404" s="248"/>
      <c r="D404" s="300">
        <v>244916.56</v>
      </c>
      <c r="F404" s="282"/>
      <c r="G404" s="2" t="s">
        <v>202</v>
      </c>
      <c r="H404" s="301">
        <v>45276.0</v>
      </c>
      <c r="I404" s="2" t="s">
        <v>203</v>
      </c>
    </row>
    <row r="405">
      <c r="A405" s="299"/>
      <c r="B405" s="278"/>
      <c r="C405" s="248"/>
      <c r="D405" s="295">
        <v>10551.72</v>
      </c>
      <c r="F405" s="250"/>
      <c r="G405" s="2" t="s">
        <v>204</v>
      </c>
      <c r="H405" s="301">
        <v>45278.0</v>
      </c>
    </row>
    <row r="406">
      <c r="A406" s="303"/>
      <c r="B406" s="278"/>
      <c r="C406" s="252"/>
      <c r="D406" s="249">
        <v>10551.72</v>
      </c>
      <c r="F406" s="250"/>
      <c r="G406" s="2" t="s">
        <v>205</v>
      </c>
      <c r="H406" s="301">
        <v>45278.0</v>
      </c>
    </row>
    <row r="407">
      <c r="A407" s="303"/>
      <c r="B407" s="268"/>
      <c r="C407" s="252"/>
      <c r="D407" s="249">
        <v>13189.65</v>
      </c>
      <c r="F407" s="250"/>
      <c r="G407" s="2" t="s">
        <v>735</v>
      </c>
      <c r="H407" s="301">
        <v>45278.0</v>
      </c>
    </row>
    <row r="408">
      <c r="A408" s="303"/>
      <c r="B408" s="247"/>
      <c r="C408" s="252"/>
      <c r="D408" s="249"/>
      <c r="F408" s="250"/>
      <c r="G408" s="2" t="s">
        <v>206</v>
      </c>
      <c r="H408" s="294"/>
      <c r="I408" s="2" t="s">
        <v>203</v>
      </c>
    </row>
    <row r="409">
      <c r="A409" s="303"/>
      <c r="B409" s="268"/>
      <c r="C409" s="252"/>
      <c r="D409" s="300">
        <v>142499.15</v>
      </c>
      <c r="F409" s="332"/>
      <c r="G409" s="2" t="s">
        <v>209</v>
      </c>
      <c r="H409" s="294">
        <v>45240.0</v>
      </c>
      <c r="I409" s="2" t="s">
        <v>666</v>
      </c>
    </row>
    <row r="410">
      <c r="A410" s="303"/>
      <c r="B410" s="268"/>
      <c r="C410" s="252"/>
      <c r="D410" s="249">
        <v>450000.0</v>
      </c>
      <c r="F410" s="250"/>
      <c r="G410" s="2" t="s">
        <v>996</v>
      </c>
      <c r="H410" s="294"/>
    </row>
    <row r="411">
      <c r="A411" s="303"/>
      <c r="B411" s="268"/>
      <c r="C411" s="252"/>
      <c r="D411" s="249"/>
      <c r="F411" s="250"/>
      <c r="H411" s="294"/>
    </row>
    <row r="412">
      <c r="A412" s="303"/>
      <c r="B412" s="268"/>
      <c r="C412" s="252"/>
      <c r="D412" s="249"/>
      <c r="F412" s="250"/>
      <c r="H412" s="294"/>
    </row>
    <row r="413">
      <c r="A413" s="303"/>
      <c r="B413" s="247">
        <v>23200.0</v>
      </c>
      <c r="C413" s="252"/>
      <c r="D413" s="331"/>
      <c r="F413" s="266"/>
      <c r="G413" s="2" t="s">
        <v>667</v>
      </c>
      <c r="H413" s="251"/>
    </row>
    <row r="414">
      <c r="A414" s="304"/>
      <c r="B414" s="268"/>
      <c r="C414" s="252"/>
      <c r="D414" s="249">
        <v>74000.0</v>
      </c>
      <c r="F414" s="332"/>
      <c r="G414" s="2" t="s">
        <v>602</v>
      </c>
      <c r="H414" s="294"/>
    </row>
    <row r="415">
      <c r="A415" s="305"/>
      <c r="B415" s="406">
        <f>SUM(B390:B414)</f>
        <v>47372.52</v>
      </c>
      <c r="C415" s="272"/>
      <c r="D415" s="392">
        <f>SUM(D390:D414)</f>
        <v>1298499.7</v>
      </c>
      <c r="E415" s="18"/>
      <c r="F415" s="393">
        <f>SUM(F390:F414)</f>
        <v>160000</v>
      </c>
      <c r="G415" s="18"/>
      <c r="H415" s="261"/>
    </row>
    <row r="416">
      <c r="A416" s="265"/>
      <c r="B416" s="306"/>
      <c r="C416" s="240"/>
      <c r="D416" s="241"/>
      <c r="E416" s="242"/>
      <c r="F416" s="243"/>
      <c r="G416" s="244"/>
      <c r="H416" s="307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70"/>
      <c r="B424" s="268"/>
      <c r="C424" s="252"/>
      <c r="D424" s="253"/>
      <c r="F424" s="250"/>
      <c r="H424" s="251"/>
    </row>
    <row r="425">
      <c r="A425" s="305"/>
      <c r="B425" s="271"/>
      <c r="C425" s="272"/>
      <c r="D425" s="273"/>
      <c r="E425" s="18"/>
      <c r="F425" s="274"/>
      <c r="G425" s="18"/>
      <c r="H425" s="261"/>
    </row>
    <row r="426">
      <c r="A426" s="265"/>
      <c r="B426" s="306"/>
      <c r="C426" s="240"/>
      <c r="D426" s="241"/>
      <c r="E426" s="242"/>
      <c r="F426" s="243"/>
      <c r="G426" s="244"/>
      <c r="H426" s="307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65"/>
      <c r="B432" s="268"/>
      <c r="C432" s="252"/>
      <c r="D432" s="253"/>
      <c r="F432" s="250"/>
      <c r="H432" s="251"/>
    </row>
    <row r="433">
      <c r="A433" s="265"/>
      <c r="B433" s="268"/>
      <c r="C433" s="252"/>
      <c r="D433" s="253"/>
      <c r="F433" s="250"/>
      <c r="H433" s="251"/>
    </row>
    <row r="434">
      <c r="A434" s="270"/>
      <c r="B434" s="268"/>
      <c r="C434" s="252"/>
      <c r="D434" s="253"/>
      <c r="F434" s="250"/>
      <c r="H434" s="251"/>
    </row>
    <row r="435">
      <c r="B435" s="271"/>
      <c r="C435" s="272"/>
      <c r="D435" s="273"/>
      <c r="E435" s="18"/>
      <c r="F435" s="274"/>
      <c r="G435" s="18"/>
      <c r="H435" s="261"/>
    </row>
    <row r="436">
      <c r="B436" s="306"/>
      <c r="C436" s="240"/>
      <c r="D436" s="241"/>
      <c r="E436" s="242"/>
      <c r="F436" s="243"/>
      <c r="G436" s="244"/>
      <c r="H436" s="307"/>
    </row>
    <row r="437">
      <c r="B437" s="268"/>
      <c r="C437" s="252"/>
      <c r="D437" s="253"/>
      <c r="F437" s="250"/>
      <c r="H437" s="251"/>
    </row>
    <row r="438">
      <c r="B438" s="268"/>
      <c r="C438" s="252"/>
      <c r="D438" s="253"/>
      <c r="F438" s="250"/>
      <c r="H438" s="251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  <row r="743">
      <c r="B743" s="308"/>
      <c r="C743" s="252"/>
      <c r="D743" s="253"/>
      <c r="F743" s="309"/>
      <c r="H743" s="302"/>
    </row>
    <row r="744">
      <c r="B744" s="308"/>
      <c r="C744" s="252"/>
      <c r="D744" s="253"/>
      <c r="F744" s="309"/>
      <c r="H744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4:A328"/>
    <mergeCell ref="A329:A342"/>
    <mergeCell ref="A343:A360"/>
    <mergeCell ref="A361:A378"/>
    <mergeCell ref="A379:A389"/>
    <mergeCell ref="A390:A402"/>
    <mergeCell ref="A415:A424"/>
    <mergeCell ref="A425:A434"/>
    <mergeCell ref="A214:A225"/>
    <mergeCell ref="A226:A240"/>
    <mergeCell ref="A241:A254"/>
    <mergeCell ref="A255:A269"/>
    <mergeCell ref="A270:A282"/>
    <mergeCell ref="A283:A298"/>
    <mergeCell ref="A299:A3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34.5"/>
    <col customWidth="1" min="8" max="8" width="10.13"/>
  </cols>
  <sheetData>
    <row r="1" ht="27.0" customHeight="1">
      <c r="A1" s="407" t="s">
        <v>940</v>
      </c>
      <c r="B1" s="408" t="s">
        <v>52</v>
      </c>
      <c r="C1" s="409" t="s">
        <v>53</v>
      </c>
      <c r="D1" s="410" t="s">
        <v>54</v>
      </c>
      <c r="E1" s="411"/>
      <c r="F1" s="412" t="s">
        <v>529</v>
      </c>
      <c r="G1" s="411"/>
      <c r="H1" s="413" t="s">
        <v>57</v>
      </c>
    </row>
    <row r="2">
      <c r="A2" s="262" t="s">
        <v>997</v>
      </c>
      <c r="B2" s="239"/>
      <c r="C2" s="263">
        <v>86737.2</v>
      </c>
      <c r="D2" s="264"/>
      <c r="E2" s="244"/>
      <c r="F2" s="250"/>
      <c r="G2" s="2" t="s">
        <v>631</v>
      </c>
      <c r="H2" s="245">
        <v>150.0</v>
      </c>
    </row>
    <row r="3">
      <c r="A3" s="265"/>
      <c r="B3" s="247">
        <v>31000.0</v>
      </c>
      <c r="C3" s="248"/>
      <c r="D3" s="249"/>
      <c r="E3" s="2" t="s">
        <v>328</v>
      </c>
      <c r="F3" s="266"/>
      <c r="G3" s="2" t="s">
        <v>68</v>
      </c>
      <c r="H3" s="267"/>
    </row>
    <row r="4">
      <c r="A4" s="265"/>
      <c r="B4" s="247"/>
      <c r="C4" s="248"/>
      <c r="D4" s="249"/>
      <c r="F4" s="250">
        <v>1360.0</v>
      </c>
      <c r="G4" s="2" t="s">
        <v>97</v>
      </c>
      <c r="H4" s="251"/>
    </row>
    <row r="5">
      <c r="A5" s="265"/>
      <c r="B5" s="247"/>
      <c r="C5" s="252">
        <f>113926.51+34823.8</f>
        <v>148750.31</v>
      </c>
      <c r="D5" s="249"/>
      <c r="F5" s="250"/>
      <c r="G5" s="2" t="s">
        <v>71</v>
      </c>
      <c r="H5" s="251"/>
    </row>
    <row r="6">
      <c r="A6" s="265"/>
      <c r="B6" s="247">
        <v>40700.0</v>
      </c>
      <c r="C6" s="248"/>
      <c r="D6" s="249"/>
      <c r="E6" s="2" t="s">
        <v>328</v>
      </c>
      <c r="F6" s="250"/>
      <c r="G6" s="2" t="s">
        <v>859</v>
      </c>
      <c r="H6" s="251"/>
    </row>
    <row r="7">
      <c r="A7" s="265"/>
      <c r="B7" s="247"/>
      <c r="C7" s="248"/>
      <c r="D7" s="249">
        <v>87771.37</v>
      </c>
      <c r="E7" s="2" t="s">
        <v>328</v>
      </c>
      <c r="F7" s="250"/>
      <c r="G7" s="2" t="s">
        <v>74</v>
      </c>
      <c r="H7" s="251"/>
    </row>
    <row r="8">
      <c r="A8" s="265"/>
      <c r="B8" s="247"/>
      <c r="C8" s="252"/>
      <c r="D8" s="249">
        <v>118510.13</v>
      </c>
      <c r="E8" s="2" t="s">
        <v>328</v>
      </c>
      <c r="F8" s="250"/>
      <c r="G8" s="254" t="s">
        <v>73</v>
      </c>
      <c r="H8" s="251"/>
    </row>
    <row r="9">
      <c r="A9" s="265"/>
      <c r="B9" s="247"/>
      <c r="C9" s="252"/>
      <c r="D9" s="249"/>
      <c r="F9" s="250"/>
      <c r="G9" s="254"/>
      <c r="H9" s="267"/>
    </row>
    <row r="10">
      <c r="A10" s="265"/>
      <c r="B10" s="247"/>
      <c r="C10" s="252"/>
      <c r="D10" s="253"/>
      <c r="F10" s="250"/>
      <c r="G10" s="254"/>
      <c r="H10" s="267"/>
    </row>
    <row r="11">
      <c r="A11" s="265"/>
      <c r="B11" s="247"/>
      <c r="C11" s="252"/>
      <c r="D11" s="253"/>
      <c r="F11" s="250"/>
      <c r="G11" s="254"/>
      <c r="H11" s="251"/>
    </row>
    <row r="12">
      <c r="A12" s="265"/>
      <c r="B12" s="247"/>
      <c r="C12" s="252"/>
      <c r="D12" s="253"/>
      <c r="F12" s="250"/>
      <c r="G12" s="254"/>
      <c r="H12" s="251"/>
    </row>
    <row r="13">
      <c r="A13" s="265"/>
      <c r="B13" s="268"/>
      <c r="C13" s="252"/>
      <c r="D13" s="253"/>
      <c r="F13" s="250"/>
      <c r="G13" s="269"/>
      <c r="H13" s="251"/>
    </row>
    <row r="14">
      <c r="A14" s="270"/>
      <c r="B14" s="271"/>
      <c r="C14" s="272"/>
      <c r="D14" s="273"/>
      <c r="E14" s="18"/>
      <c r="F14" s="274"/>
      <c r="G14" s="275"/>
      <c r="H14" s="261"/>
    </row>
    <row r="15">
      <c r="A15" s="262" t="s">
        <v>998</v>
      </c>
      <c r="B15" s="239"/>
      <c r="C15" s="263"/>
      <c r="D15" s="264"/>
      <c r="E15" s="244"/>
      <c r="F15" s="243">
        <v>13000.0</v>
      </c>
      <c r="G15" s="276" t="s">
        <v>999</v>
      </c>
      <c r="H15" s="245">
        <v>100.0</v>
      </c>
    </row>
    <row r="16">
      <c r="A16" s="265"/>
      <c r="B16" s="281">
        <v>20000.0</v>
      </c>
      <c r="C16" s="248"/>
      <c r="D16" s="249"/>
      <c r="F16" s="250"/>
      <c r="G16" s="2" t="s">
        <v>1000</v>
      </c>
      <c r="H16" s="267"/>
    </row>
    <row r="17">
      <c r="A17" s="265"/>
      <c r="B17" s="247"/>
      <c r="C17" s="248"/>
      <c r="D17" s="249"/>
      <c r="F17" s="250">
        <v>2255.0</v>
      </c>
      <c r="G17" s="254" t="s">
        <v>708</v>
      </c>
      <c r="H17" s="251"/>
      <c r="I17" s="2" t="s">
        <v>1001</v>
      </c>
    </row>
    <row r="18">
      <c r="A18" s="265"/>
      <c r="B18" s="247">
        <v>48000.0</v>
      </c>
      <c r="C18" s="248"/>
      <c r="D18" s="249"/>
      <c r="E18" s="2" t="s">
        <v>328</v>
      </c>
      <c r="F18" s="250"/>
      <c r="G18" s="254" t="s">
        <v>75</v>
      </c>
      <c r="H18" s="251"/>
    </row>
    <row r="19">
      <c r="A19" s="265"/>
      <c r="B19" s="247"/>
      <c r="C19" s="252"/>
      <c r="D19" s="249">
        <v>114000.0</v>
      </c>
      <c r="E19" s="2" t="s">
        <v>328</v>
      </c>
      <c r="F19" s="250"/>
      <c r="G19" s="254" t="s">
        <v>87</v>
      </c>
      <c r="H19" s="251"/>
    </row>
    <row r="20">
      <c r="A20" s="265"/>
      <c r="B20" s="247">
        <v>33555.11</v>
      </c>
      <c r="C20" s="248"/>
      <c r="D20" s="249"/>
      <c r="F20" s="250"/>
      <c r="G20" s="254" t="s">
        <v>82</v>
      </c>
      <c r="H20" s="267"/>
    </row>
    <row r="21">
      <c r="A21" s="265"/>
      <c r="B21" s="247">
        <v>75478.92</v>
      </c>
      <c r="C21" s="248"/>
      <c r="D21" s="249"/>
      <c r="F21" s="250"/>
      <c r="G21" s="254" t="s">
        <v>142</v>
      </c>
      <c r="H21" s="251"/>
    </row>
    <row r="22">
      <c r="A22" s="265"/>
      <c r="B22" s="247"/>
      <c r="C22" s="252"/>
      <c r="D22" s="249"/>
      <c r="F22" s="250"/>
      <c r="G22" s="254"/>
      <c r="H22" s="251"/>
    </row>
    <row r="23">
      <c r="A23" s="265"/>
      <c r="B23" s="247"/>
      <c r="C23" s="248"/>
      <c r="D23" s="253"/>
      <c r="F23" s="250"/>
      <c r="G23" s="254"/>
      <c r="H23" s="251"/>
    </row>
    <row r="24">
      <c r="A24" s="265"/>
      <c r="B24" s="277"/>
      <c r="C24" s="252"/>
      <c r="D24" s="253"/>
      <c r="F24" s="250"/>
      <c r="G24" s="254"/>
      <c r="H24" s="251"/>
    </row>
    <row r="25">
      <c r="A25" s="265"/>
      <c r="B25" s="277"/>
      <c r="C25" s="252"/>
      <c r="D25" s="253"/>
      <c r="F25" s="250"/>
      <c r="G25" s="254"/>
      <c r="H25" s="251"/>
    </row>
    <row r="26">
      <c r="A26" s="265"/>
      <c r="B26" s="277"/>
      <c r="C26" s="252"/>
      <c r="D26" s="253"/>
      <c r="F26" s="250"/>
      <c r="G26" s="254"/>
      <c r="H26" s="251"/>
    </row>
    <row r="27">
      <c r="A27" s="265"/>
      <c r="B27" s="277"/>
      <c r="C27" s="252"/>
      <c r="D27" s="253"/>
      <c r="F27" s="250"/>
      <c r="G27" s="254"/>
      <c r="H27" s="251"/>
    </row>
    <row r="28">
      <c r="A28" s="270"/>
      <c r="B28" s="279"/>
      <c r="C28" s="272"/>
      <c r="D28" s="273"/>
      <c r="E28" s="18"/>
      <c r="F28" s="259"/>
      <c r="G28" s="260"/>
      <c r="H28" s="261"/>
    </row>
    <row r="29">
      <c r="A29" s="262"/>
      <c r="B29" s="277"/>
      <c r="C29" s="248"/>
      <c r="D29" s="249"/>
      <c r="F29" s="250">
        <v>1990.0</v>
      </c>
      <c r="G29" s="254" t="s">
        <v>97</v>
      </c>
      <c r="H29" s="267">
        <v>180.0</v>
      </c>
    </row>
    <row r="30">
      <c r="A30" s="280"/>
      <c r="B30" s="277"/>
      <c r="C30" s="248"/>
      <c r="D30" s="249">
        <v>18580.0</v>
      </c>
      <c r="F30" s="250"/>
      <c r="G30" s="254" t="s">
        <v>825</v>
      </c>
      <c r="H30" s="267"/>
    </row>
    <row r="31">
      <c r="A31" s="280" t="s">
        <v>1002</v>
      </c>
      <c r="B31" s="247"/>
      <c r="C31" s="248"/>
      <c r="D31" s="300">
        <v>152400.0</v>
      </c>
      <c r="F31" s="250"/>
      <c r="G31" s="254" t="s">
        <v>168</v>
      </c>
      <c r="H31" s="251"/>
    </row>
    <row r="32">
      <c r="A32" s="265"/>
      <c r="B32" s="247">
        <v>34420.0</v>
      </c>
      <c r="C32" s="248"/>
      <c r="D32" s="249"/>
      <c r="F32" s="250"/>
      <c r="G32" s="254" t="s">
        <v>914</v>
      </c>
      <c r="H32" s="251"/>
    </row>
    <row r="33">
      <c r="A33" s="265"/>
      <c r="B33" s="247"/>
      <c r="C33" s="248"/>
      <c r="D33" s="249"/>
      <c r="F33" s="250"/>
      <c r="G33" s="254" t="s">
        <v>1003</v>
      </c>
      <c r="H33" s="251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48"/>
      <c r="D35" s="249"/>
      <c r="F35" s="250"/>
      <c r="G35" s="254"/>
      <c r="H35" s="267"/>
    </row>
    <row r="36">
      <c r="A36" s="265"/>
      <c r="B36" s="247"/>
      <c r="C36" s="252"/>
      <c r="D36" s="253"/>
      <c r="F36" s="250"/>
      <c r="G36" s="254"/>
      <c r="H36" s="251"/>
    </row>
    <row r="37">
      <c r="A37" s="265"/>
      <c r="B37" s="247"/>
      <c r="C37" s="248"/>
      <c r="D37" s="253"/>
      <c r="F37" s="250"/>
      <c r="G37" s="254"/>
      <c r="H37" s="251"/>
    </row>
    <row r="38">
      <c r="A38" s="265"/>
      <c r="B38" s="268"/>
      <c r="C38" s="248"/>
      <c r="D38" s="253"/>
      <c r="F38" s="250"/>
      <c r="G38" s="254"/>
      <c r="H38" s="251"/>
    </row>
    <row r="39">
      <c r="A39" s="265"/>
      <c r="B39" s="268"/>
      <c r="C39" s="252"/>
      <c r="D39" s="253"/>
      <c r="F39" s="250"/>
      <c r="G39" s="254"/>
      <c r="H39" s="251"/>
    </row>
    <row r="40">
      <c r="A40" s="270"/>
      <c r="B40" s="271"/>
      <c r="C40" s="272"/>
      <c r="D40" s="273"/>
      <c r="E40" s="18"/>
      <c r="F40" s="274"/>
      <c r="G40" s="260"/>
      <c r="H40" s="261"/>
    </row>
    <row r="41">
      <c r="A41" s="262" t="s">
        <v>1004</v>
      </c>
      <c r="B41" s="239">
        <v>27150.0</v>
      </c>
      <c r="C41" s="263"/>
      <c r="D41" s="264"/>
      <c r="E41" s="242"/>
      <c r="F41" s="243"/>
      <c r="G41" s="276" t="s">
        <v>75</v>
      </c>
      <c r="H41" s="245"/>
    </row>
    <row r="42">
      <c r="A42" s="265"/>
      <c r="B42" s="247">
        <v>33289.37</v>
      </c>
      <c r="C42" s="248"/>
      <c r="D42" s="249"/>
      <c r="F42" s="250"/>
      <c r="G42" s="254" t="s">
        <v>82</v>
      </c>
      <c r="H42" s="267"/>
    </row>
    <row r="43">
      <c r="A43" s="265"/>
      <c r="B43" s="339"/>
      <c r="C43" s="248"/>
      <c r="D43" s="249"/>
      <c r="F43" s="250">
        <v>9600.0</v>
      </c>
      <c r="G43" s="254" t="s">
        <v>605</v>
      </c>
      <c r="H43" s="251"/>
    </row>
    <row r="44">
      <c r="A44" s="265"/>
      <c r="B44" s="339">
        <v>121190.81</v>
      </c>
      <c r="C44" s="248"/>
      <c r="D44" s="249"/>
      <c r="F44" s="250"/>
      <c r="G44" s="254" t="s">
        <v>103</v>
      </c>
      <c r="H44" s="267"/>
    </row>
    <row r="45">
      <c r="A45" s="265"/>
      <c r="B45" s="247">
        <v>8270.0</v>
      </c>
      <c r="C45" s="248"/>
      <c r="D45" s="249"/>
      <c r="F45" s="250"/>
      <c r="G45" s="254" t="s">
        <v>66</v>
      </c>
      <c r="H45" s="251"/>
    </row>
    <row r="46">
      <c r="A46" s="265"/>
      <c r="B46" s="247"/>
      <c r="C46" s="252"/>
      <c r="D46" s="249"/>
      <c r="F46" s="250">
        <v>6400.0</v>
      </c>
      <c r="G46" s="254" t="s">
        <v>85</v>
      </c>
      <c r="H46" s="251"/>
    </row>
    <row r="47">
      <c r="A47" s="265"/>
      <c r="B47" s="247"/>
      <c r="C47" s="252"/>
      <c r="D47" s="249"/>
      <c r="F47" s="250"/>
      <c r="G47" s="254"/>
      <c r="H47" s="251"/>
    </row>
    <row r="48">
      <c r="A48" s="265"/>
      <c r="B48" s="247"/>
      <c r="C48" s="252"/>
      <c r="D48" s="253"/>
      <c r="F48" s="250"/>
      <c r="G48" s="254"/>
      <c r="H48" s="251"/>
    </row>
    <row r="49">
      <c r="A49" s="265"/>
      <c r="B49" s="247"/>
      <c r="C49" s="248"/>
      <c r="D49" s="253"/>
      <c r="F49" s="250"/>
      <c r="G49" s="254"/>
      <c r="H49" s="251"/>
    </row>
    <row r="50">
      <c r="A50" s="265"/>
      <c r="B50" s="247"/>
      <c r="C50" s="248"/>
      <c r="D50" s="249"/>
      <c r="F50" s="250"/>
      <c r="H50" s="251"/>
    </row>
    <row r="51">
      <c r="A51" s="265"/>
      <c r="B51" s="247"/>
      <c r="C51" s="248"/>
      <c r="D51" s="249"/>
      <c r="F51" s="250"/>
      <c r="G51" s="254"/>
      <c r="H51" s="251"/>
    </row>
    <row r="52">
      <c r="A52" s="265"/>
      <c r="B52" s="268"/>
      <c r="C52" s="248"/>
      <c r="D52" s="249"/>
      <c r="F52" s="250"/>
      <c r="G52" s="254"/>
      <c r="H52" s="251"/>
    </row>
    <row r="53">
      <c r="A53" s="265"/>
      <c r="B53" s="278"/>
      <c r="C53" s="252"/>
      <c r="D53" s="253"/>
      <c r="F53" s="250"/>
      <c r="G53" s="269"/>
      <c r="H53" s="251"/>
    </row>
    <row r="54">
      <c r="A54" s="270"/>
      <c r="B54" s="271"/>
      <c r="C54" s="272"/>
      <c r="D54" s="273"/>
      <c r="E54" s="18"/>
      <c r="F54" s="274"/>
      <c r="G54" s="275"/>
      <c r="H54" s="261"/>
    </row>
    <row r="55">
      <c r="A55" s="262" t="s">
        <v>1005</v>
      </c>
      <c r="B55" s="239">
        <v>11236.2</v>
      </c>
      <c r="C55" s="263"/>
      <c r="D55" s="264"/>
      <c r="E55" s="244"/>
      <c r="F55" s="243"/>
      <c r="G55" s="276" t="s">
        <v>291</v>
      </c>
      <c r="H55" s="245">
        <f>60</f>
        <v>60</v>
      </c>
      <c r="I55" s="2" t="s">
        <v>1006</v>
      </c>
    </row>
    <row r="56">
      <c r="A56" s="265"/>
      <c r="B56" s="247">
        <v>31000.0</v>
      </c>
      <c r="C56" s="248"/>
      <c r="D56" s="249"/>
      <c r="F56" s="250"/>
      <c r="G56" s="254" t="s">
        <v>68</v>
      </c>
      <c r="H56" s="267"/>
    </row>
    <row r="57">
      <c r="A57" s="265"/>
      <c r="B57" s="397"/>
      <c r="C57" s="252"/>
      <c r="D57" s="249"/>
      <c r="F57" s="250"/>
      <c r="H57" s="310"/>
    </row>
    <row r="58">
      <c r="A58" s="265"/>
      <c r="B58" s="247"/>
      <c r="C58" s="248"/>
      <c r="D58" s="249"/>
      <c r="F58" s="250"/>
      <c r="G58" s="254"/>
      <c r="H58" s="251"/>
    </row>
    <row r="59">
      <c r="A59" s="265"/>
      <c r="B59" s="247"/>
      <c r="C59" s="248"/>
      <c r="D59" s="249"/>
      <c r="F59" s="250"/>
      <c r="G59" s="254"/>
      <c r="H59" s="251"/>
    </row>
    <row r="60">
      <c r="A60" s="265"/>
      <c r="B60" s="247"/>
      <c r="C60" s="248"/>
      <c r="D60" s="249"/>
      <c r="F60" s="250"/>
      <c r="G60" s="254"/>
      <c r="H60" s="251"/>
    </row>
    <row r="61">
      <c r="A61" s="265"/>
      <c r="B61" s="247"/>
      <c r="C61" s="252"/>
      <c r="D61" s="249"/>
      <c r="F61" s="250"/>
      <c r="G61" s="254"/>
      <c r="H61" s="251"/>
    </row>
    <row r="62">
      <c r="A62" s="265"/>
      <c r="B62" s="247"/>
      <c r="C62" s="252"/>
      <c r="D62" s="253"/>
      <c r="F62" s="250"/>
      <c r="G62" s="254"/>
      <c r="H62" s="251"/>
    </row>
    <row r="63">
      <c r="A63" s="265"/>
      <c r="B63" s="247"/>
      <c r="C63" s="252"/>
      <c r="D63" s="249"/>
      <c r="F63" s="250"/>
      <c r="G63" s="254"/>
      <c r="H63" s="251"/>
    </row>
    <row r="64">
      <c r="A64" s="265"/>
      <c r="B64" s="277"/>
      <c r="C64" s="252"/>
      <c r="D64" s="253"/>
      <c r="F64" s="250"/>
      <c r="G64" s="254"/>
      <c r="H64" s="251"/>
    </row>
    <row r="65">
      <c r="A65" s="265"/>
      <c r="B65" s="277"/>
      <c r="C65" s="252"/>
      <c r="D65" s="253"/>
      <c r="F65" s="250"/>
      <c r="G65" s="254"/>
      <c r="H65" s="251"/>
    </row>
    <row r="66">
      <c r="A66" s="270"/>
      <c r="B66" s="271"/>
      <c r="C66" s="272"/>
      <c r="D66" s="273"/>
      <c r="E66" s="18"/>
      <c r="F66" s="259"/>
      <c r="G66" s="275"/>
      <c r="H66" s="261"/>
    </row>
    <row r="67">
      <c r="A67" s="262" t="s">
        <v>1007</v>
      </c>
      <c r="B67" s="239"/>
      <c r="C67" s="263"/>
      <c r="D67" s="241"/>
      <c r="E67" s="242"/>
      <c r="F67" s="243">
        <v>720.0</v>
      </c>
      <c r="G67" s="276" t="s">
        <v>1008</v>
      </c>
      <c r="H67" s="245">
        <v>126.0</v>
      </c>
    </row>
    <row r="68">
      <c r="A68" s="265"/>
      <c r="B68" s="247"/>
      <c r="C68" s="248"/>
      <c r="D68" s="249"/>
      <c r="F68" s="250">
        <v>9400.0</v>
      </c>
      <c r="G68" s="254" t="s">
        <v>1009</v>
      </c>
      <c r="H68" s="267"/>
    </row>
    <row r="69">
      <c r="A69" s="265"/>
      <c r="B69" s="247"/>
      <c r="C69" s="248">
        <v>105439.14</v>
      </c>
      <c r="D69" s="249"/>
      <c r="E69" s="2" t="s">
        <v>328</v>
      </c>
      <c r="F69" s="250"/>
      <c r="G69" s="254" t="s">
        <v>71</v>
      </c>
      <c r="H69" s="267"/>
    </row>
    <row r="70">
      <c r="A70" s="265"/>
      <c r="B70" s="247">
        <v>38100.0</v>
      </c>
      <c r="C70" s="248"/>
      <c r="D70" s="249"/>
      <c r="E70" s="2" t="s">
        <v>328</v>
      </c>
      <c r="F70" s="250"/>
      <c r="G70" s="254" t="s">
        <v>75</v>
      </c>
      <c r="H70" s="251"/>
    </row>
    <row r="71">
      <c r="A71" s="265"/>
      <c r="B71" s="85">
        <v>114000.0</v>
      </c>
      <c r="C71" s="248"/>
      <c r="D71" s="249"/>
      <c r="E71" s="2" t="s">
        <v>328</v>
      </c>
      <c r="F71" s="250"/>
      <c r="G71" s="254" t="s">
        <v>87</v>
      </c>
      <c r="H71" s="251"/>
    </row>
    <row r="72">
      <c r="A72" s="265"/>
      <c r="B72" s="281">
        <v>23030.41</v>
      </c>
      <c r="C72" s="252"/>
      <c r="D72" s="249"/>
      <c r="F72" s="266"/>
      <c r="G72" s="254" t="s">
        <v>82</v>
      </c>
      <c r="H72" s="251"/>
    </row>
    <row r="73">
      <c r="A73" s="265"/>
      <c r="B73" s="281"/>
      <c r="C73" s="252"/>
      <c r="D73" s="249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49"/>
      <c r="F76" s="250"/>
      <c r="G76" s="254"/>
      <c r="H76" s="251"/>
    </row>
    <row r="77">
      <c r="A77" s="265"/>
      <c r="B77" s="268"/>
      <c r="C77" s="252"/>
      <c r="D77" s="253"/>
      <c r="F77" s="250"/>
      <c r="G77" s="269"/>
      <c r="H77" s="251"/>
    </row>
    <row r="78">
      <c r="A78" s="265"/>
      <c r="B78" s="247"/>
      <c r="C78" s="252"/>
      <c r="D78" s="253"/>
      <c r="F78" s="250"/>
      <c r="G78" s="269"/>
      <c r="H78" s="251"/>
    </row>
    <row r="79">
      <c r="A79" s="265"/>
      <c r="B79" s="277"/>
      <c r="C79" s="252"/>
      <c r="D79" s="253"/>
      <c r="F79" s="282"/>
      <c r="G79" s="269"/>
      <c r="H79" s="251"/>
    </row>
    <row r="80">
      <c r="A80" s="265"/>
      <c r="B80" s="278"/>
      <c r="C80" s="248"/>
      <c r="D80" s="253"/>
      <c r="F80" s="282"/>
      <c r="G80" s="269"/>
      <c r="H80" s="251"/>
    </row>
    <row r="81">
      <c r="A81" s="265"/>
      <c r="B81" s="278"/>
      <c r="C81" s="252"/>
      <c r="D81" s="253"/>
      <c r="F81" s="250"/>
      <c r="G81" s="269"/>
      <c r="H81" s="251"/>
    </row>
    <row r="82">
      <c r="A82" s="270"/>
      <c r="B82" s="271"/>
      <c r="C82" s="272"/>
      <c r="D82" s="273"/>
      <c r="E82" s="18"/>
      <c r="F82" s="259"/>
      <c r="G82" s="260"/>
      <c r="H82" s="261"/>
    </row>
    <row r="83">
      <c r="A83" s="262" t="s">
        <v>1010</v>
      </c>
      <c r="B83" s="239"/>
      <c r="C83" s="263"/>
      <c r="D83" s="264"/>
      <c r="E83" s="242"/>
      <c r="F83" s="250">
        <v>1900.0</v>
      </c>
      <c r="G83" s="276" t="s">
        <v>588</v>
      </c>
      <c r="H83" s="245">
        <f>50+107</f>
        <v>157</v>
      </c>
    </row>
    <row r="84">
      <c r="A84" s="265"/>
      <c r="B84" s="247"/>
      <c r="C84" s="248"/>
      <c r="D84" s="249"/>
      <c r="F84" s="250">
        <v>1200.0</v>
      </c>
      <c r="G84" s="2" t="s">
        <v>1011</v>
      </c>
      <c r="H84" s="267"/>
    </row>
    <row r="85">
      <c r="A85" s="265"/>
      <c r="B85" s="247"/>
      <c r="C85" s="248">
        <v>82953.4</v>
      </c>
      <c r="D85" s="249"/>
      <c r="E85" s="2" t="s">
        <v>328</v>
      </c>
      <c r="F85" s="250"/>
      <c r="G85" s="254" t="s">
        <v>89</v>
      </c>
      <c r="H85" s="267"/>
    </row>
    <row r="86">
      <c r="A86" s="265"/>
      <c r="B86" s="247"/>
      <c r="C86" s="248"/>
      <c r="D86" s="249">
        <v>62975.5</v>
      </c>
      <c r="F86" s="250"/>
      <c r="G86" s="254" t="s">
        <v>77</v>
      </c>
      <c r="H86" s="251"/>
      <c r="I86" s="340"/>
      <c r="J86" s="340"/>
      <c r="K86" s="340" t="s">
        <v>622</v>
      </c>
      <c r="L86" s="2" t="s">
        <v>623</v>
      </c>
    </row>
    <row r="87">
      <c r="A87" s="265"/>
      <c r="B87" s="330"/>
      <c r="C87" s="338"/>
      <c r="D87" s="337">
        <v>101004.75</v>
      </c>
      <c r="E87" s="336" t="s">
        <v>328</v>
      </c>
      <c r="F87" s="335"/>
      <c r="G87" s="292" t="s">
        <v>92</v>
      </c>
      <c r="H87" s="251"/>
      <c r="I87" s="341"/>
      <c r="J87" s="340"/>
      <c r="K87" s="340" t="s">
        <v>624</v>
      </c>
    </row>
    <row r="88">
      <c r="A88" s="265"/>
      <c r="B88" s="247"/>
      <c r="C88" s="252"/>
      <c r="D88" s="249">
        <v>12520.0</v>
      </c>
      <c r="F88" s="250"/>
      <c r="G88" s="254" t="s">
        <v>171</v>
      </c>
      <c r="H88" s="251"/>
      <c r="I88" s="340"/>
      <c r="J88" s="340"/>
      <c r="K88" s="341"/>
    </row>
    <row r="89">
      <c r="A89" s="265"/>
      <c r="B89" s="247">
        <v>6800.0</v>
      </c>
      <c r="C89" s="252"/>
      <c r="D89" s="249"/>
      <c r="F89" s="250"/>
      <c r="G89" s="254" t="s">
        <v>1012</v>
      </c>
      <c r="H89" s="251"/>
      <c r="I89" s="340"/>
      <c r="J89" s="341"/>
      <c r="K89" s="341"/>
    </row>
    <row r="90">
      <c r="A90" s="265"/>
      <c r="B90" s="247"/>
      <c r="C90" s="252"/>
      <c r="D90" s="253"/>
      <c r="F90" s="250">
        <v>6500.0</v>
      </c>
      <c r="G90" s="254" t="s">
        <v>1013</v>
      </c>
      <c r="H90" s="251"/>
    </row>
    <row r="91">
      <c r="A91" s="265"/>
      <c r="B91" s="247"/>
      <c r="C91" s="248"/>
      <c r="D91" s="253"/>
      <c r="F91" s="250"/>
      <c r="G91" s="254"/>
      <c r="H91" s="251"/>
    </row>
    <row r="92">
      <c r="A92" s="265"/>
      <c r="B92" s="247"/>
      <c r="C92" s="248"/>
      <c r="D92" s="253"/>
      <c r="F92" s="250"/>
      <c r="G92" s="254"/>
      <c r="H92" s="251"/>
    </row>
    <row r="93">
      <c r="A93" s="265"/>
      <c r="B93" s="277"/>
      <c r="C93" s="248"/>
      <c r="D93" s="253"/>
      <c r="F93" s="282"/>
      <c r="G93" s="254"/>
      <c r="H93" s="251"/>
    </row>
    <row r="94">
      <c r="A94" s="265"/>
      <c r="B94" s="277"/>
      <c r="C94" s="252"/>
      <c r="D94" s="253"/>
      <c r="F94" s="250"/>
      <c r="G94" s="254"/>
      <c r="H94" s="251"/>
    </row>
    <row r="95">
      <c r="A95" s="265"/>
      <c r="B95" s="277"/>
      <c r="C95" s="252"/>
      <c r="D95" s="253"/>
      <c r="F95" s="282"/>
      <c r="G95" s="254"/>
      <c r="H95" s="251"/>
    </row>
    <row r="96">
      <c r="A96" s="270"/>
      <c r="B96" s="271"/>
      <c r="C96" s="272"/>
      <c r="D96" s="273"/>
      <c r="E96" s="18"/>
      <c r="F96" s="274"/>
      <c r="G96" s="275"/>
      <c r="H96" s="261"/>
    </row>
    <row r="97">
      <c r="A97" s="262" t="s">
        <v>1014</v>
      </c>
      <c r="B97" s="239">
        <f>32450-3500</f>
        <v>28950</v>
      </c>
      <c r="C97" s="263"/>
      <c r="D97" s="264"/>
      <c r="E97" s="244"/>
      <c r="F97" s="243"/>
      <c r="G97" s="276" t="s">
        <v>75</v>
      </c>
      <c r="H97" s="245">
        <f>110+23</f>
        <v>133</v>
      </c>
    </row>
    <row r="98">
      <c r="A98" s="265"/>
      <c r="B98" s="247"/>
      <c r="C98" s="248"/>
      <c r="D98" s="249"/>
      <c r="F98" s="250">
        <v>1500.0</v>
      </c>
      <c r="G98" s="254" t="s">
        <v>1015</v>
      </c>
      <c r="H98" s="267"/>
    </row>
    <row r="99">
      <c r="A99" s="265"/>
      <c r="B99" s="247"/>
      <c r="C99" s="248"/>
      <c r="D99" s="249"/>
      <c r="F99" s="250">
        <v>2400.0</v>
      </c>
      <c r="G99" s="26" t="s">
        <v>1016</v>
      </c>
      <c r="H99" s="251"/>
    </row>
    <row r="100">
      <c r="A100" s="265"/>
      <c r="B100" s="247">
        <v>15498.0</v>
      </c>
      <c r="C100" s="248"/>
      <c r="D100" s="249"/>
      <c r="F100" s="250"/>
      <c r="G100" s="254" t="s">
        <v>82</v>
      </c>
      <c r="H100" s="251"/>
    </row>
    <row r="101">
      <c r="A101" s="265"/>
      <c r="B101" s="247"/>
      <c r="C101" s="248">
        <v>485103.5</v>
      </c>
      <c r="D101" s="249"/>
      <c r="F101" s="250"/>
      <c r="G101" s="254" t="s">
        <v>84</v>
      </c>
      <c r="H101" s="251"/>
    </row>
    <row r="102">
      <c r="A102" s="265"/>
      <c r="B102" s="247">
        <v>86502.66</v>
      </c>
      <c r="C102" s="248"/>
      <c r="D102" s="249"/>
      <c r="F102" s="250"/>
      <c r="G102" s="254" t="s">
        <v>142</v>
      </c>
      <c r="H102" s="251"/>
    </row>
    <row r="103">
      <c r="A103" s="265"/>
      <c r="B103" s="247">
        <v>47173.91</v>
      </c>
      <c r="C103" s="252"/>
      <c r="D103" s="414"/>
      <c r="E103" s="398" t="s">
        <v>328</v>
      </c>
      <c r="F103" s="284"/>
      <c r="G103" s="285" t="s">
        <v>114</v>
      </c>
      <c r="H103" s="251"/>
    </row>
    <row r="104">
      <c r="A104" s="265"/>
      <c r="B104" s="247"/>
      <c r="C104" s="248"/>
      <c r="D104" s="249"/>
      <c r="F104" s="250">
        <v>9600.0</v>
      </c>
      <c r="G104" s="254" t="s">
        <v>1017</v>
      </c>
      <c r="H104" s="251"/>
    </row>
    <row r="105">
      <c r="A105" s="265"/>
      <c r="B105" s="247"/>
      <c r="C105" s="252"/>
      <c r="D105" s="249"/>
      <c r="F105" s="250"/>
      <c r="G105" s="254"/>
      <c r="H105" s="251"/>
    </row>
    <row r="106">
      <c r="A106" s="265"/>
      <c r="B106" s="247"/>
      <c r="C106" s="248"/>
      <c r="D106" s="253"/>
      <c r="F106" s="250"/>
      <c r="G106" s="254"/>
      <c r="H106" s="251"/>
    </row>
    <row r="107">
      <c r="A107" s="265"/>
      <c r="B107" s="268"/>
      <c r="C107" s="252"/>
      <c r="D107" s="253"/>
      <c r="F107" s="250"/>
      <c r="G107" s="254"/>
      <c r="H107" s="251"/>
    </row>
    <row r="108">
      <c r="A108" s="265"/>
      <c r="B108" s="268"/>
      <c r="C108" s="252"/>
      <c r="D108" s="253"/>
      <c r="F108" s="250"/>
      <c r="G108" s="254"/>
      <c r="H108" s="251"/>
    </row>
    <row r="109">
      <c r="A109" s="265"/>
      <c r="B109" s="268"/>
      <c r="C109" s="252"/>
      <c r="D109" s="253"/>
      <c r="F109" s="250"/>
      <c r="G109" s="269"/>
      <c r="H109" s="251"/>
    </row>
    <row r="110">
      <c r="A110" s="265"/>
      <c r="B110" s="268"/>
      <c r="C110" s="252"/>
      <c r="D110" s="253"/>
      <c r="F110" s="250"/>
      <c r="G110" s="269"/>
      <c r="H110" s="251"/>
    </row>
    <row r="111">
      <c r="A111" s="265"/>
      <c r="B111" s="268"/>
      <c r="C111" s="252"/>
      <c r="D111" s="253"/>
      <c r="F111" s="250"/>
      <c r="G111" s="269"/>
      <c r="H111" s="251"/>
    </row>
    <row r="112">
      <c r="A112" s="265"/>
      <c r="B112" s="268"/>
      <c r="C112" s="252"/>
      <c r="D112" s="253"/>
      <c r="F112" s="250"/>
      <c r="G112" s="269"/>
      <c r="H112" s="251"/>
    </row>
    <row r="113">
      <c r="A113" s="265"/>
      <c r="B113" s="268"/>
      <c r="C113" s="252"/>
      <c r="D113" s="253"/>
      <c r="F113" s="250"/>
      <c r="G113" s="269"/>
      <c r="H113" s="251"/>
    </row>
    <row r="114">
      <c r="A114" s="270"/>
      <c r="B114" s="271"/>
      <c r="C114" s="272"/>
      <c r="D114" s="273"/>
      <c r="E114" s="18"/>
      <c r="F114" s="274"/>
      <c r="G114" s="275"/>
      <c r="H114" s="261"/>
    </row>
    <row r="115">
      <c r="A115" s="262" t="s">
        <v>1018</v>
      </c>
      <c r="B115" s="239">
        <v>54111.2</v>
      </c>
      <c r="C115" s="263"/>
      <c r="D115" s="264"/>
      <c r="E115" s="244" t="s">
        <v>628</v>
      </c>
      <c r="F115" s="243"/>
      <c r="G115" s="276" t="s">
        <v>797</v>
      </c>
      <c r="H115" s="245">
        <v>90.0</v>
      </c>
      <c r="I115" s="2" t="s">
        <v>1019</v>
      </c>
    </row>
    <row r="116">
      <c r="A116" s="265"/>
      <c r="B116" s="247"/>
      <c r="C116" s="252"/>
      <c r="D116" s="249">
        <v>108780.0</v>
      </c>
      <c r="E116" s="2" t="s">
        <v>328</v>
      </c>
      <c r="F116" s="250"/>
      <c r="G116" s="254" t="s">
        <v>825</v>
      </c>
      <c r="H116" s="267"/>
    </row>
    <row r="117">
      <c r="A117" s="265"/>
      <c r="B117" s="247"/>
      <c r="C117" s="248"/>
      <c r="D117" s="249">
        <v>74619.49</v>
      </c>
      <c r="E117" s="2" t="s">
        <v>628</v>
      </c>
      <c r="F117" s="250"/>
      <c r="G117" s="254" t="s">
        <v>91</v>
      </c>
      <c r="H117" s="251"/>
    </row>
    <row r="118">
      <c r="A118" s="265"/>
      <c r="B118" s="247"/>
      <c r="C118" s="248"/>
      <c r="D118" s="249">
        <v>73000.0</v>
      </c>
      <c r="E118" s="2" t="s">
        <v>628</v>
      </c>
      <c r="F118" s="250"/>
      <c r="G118" s="254" t="s">
        <v>122</v>
      </c>
      <c r="H118" s="251"/>
    </row>
    <row r="119">
      <c r="A119" s="265"/>
      <c r="B119" s="247"/>
      <c r="C119" s="248"/>
      <c r="D119" s="249"/>
      <c r="F119" s="250"/>
      <c r="G119" s="254"/>
      <c r="H119" s="251"/>
    </row>
    <row r="120">
      <c r="A120" s="265"/>
      <c r="B120" s="247"/>
      <c r="C120" s="252"/>
      <c r="D120" s="249"/>
      <c r="F120" s="250"/>
      <c r="G120" s="254"/>
      <c r="H120" s="251"/>
    </row>
    <row r="121">
      <c r="A121" s="265"/>
      <c r="B121" s="247"/>
      <c r="C121" s="252"/>
      <c r="D121" s="249"/>
      <c r="F121" s="250"/>
      <c r="G121" s="254"/>
      <c r="H121" s="251"/>
    </row>
    <row r="122">
      <c r="A122" s="265"/>
      <c r="B122" s="283"/>
      <c r="C122" s="248"/>
      <c r="D122" s="249"/>
      <c r="F122" s="250"/>
      <c r="G122" s="254"/>
      <c r="H122" s="251"/>
    </row>
    <row r="123">
      <c r="A123" s="265"/>
      <c r="B123" s="247"/>
      <c r="C123" s="248"/>
      <c r="D123" s="253"/>
      <c r="F123" s="250"/>
      <c r="G123" s="254"/>
      <c r="H123" s="251"/>
    </row>
    <row r="124">
      <c r="A124" s="265"/>
      <c r="B124" s="247"/>
      <c r="C124" s="252"/>
      <c r="D124" s="253"/>
      <c r="F124" s="250"/>
      <c r="G124" s="254"/>
      <c r="H124" s="251"/>
    </row>
    <row r="125">
      <c r="A125" s="265"/>
      <c r="B125" s="247"/>
      <c r="C125" s="252"/>
      <c r="D125" s="249"/>
      <c r="F125" s="250"/>
      <c r="G125" s="254"/>
      <c r="H125" s="251"/>
    </row>
    <row r="126">
      <c r="A126" s="265"/>
      <c r="B126" s="277"/>
      <c r="C126" s="252"/>
      <c r="D126" s="253"/>
      <c r="F126" s="250"/>
      <c r="G126" s="254"/>
      <c r="H126" s="251"/>
    </row>
    <row r="127">
      <c r="A127" s="265"/>
      <c r="B127" s="277"/>
      <c r="C127" s="252"/>
      <c r="D127" s="253"/>
      <c r="F127" s="250"/>
      <c r="G127" s="269"/>
      <c r="H127" s="251"/>
    </row>
    <row r="128">
      <c r="A128" s="265"/>
      <c r="B128" s="278"/>
      <c r="C128" s="252"/>
      <c r="D128" s="253"/>
      <c r="F128" s="250"/>
      <c r="G128" s="269"/>
      <c r="H128" s="251"/>
    </row>
    <row r="129">
      <c r="A129" s="270"/>
      <c r="B129" s="271"/>
      <c r="C129" s="272"/>
      <c r="D129" s="273"/>
      <c r="E129" s="18"/>
      <c r="F129" s="274"/>
      <c r="G129" s="275"/>
      <c r="H129" s="261"/>
    </row>
    <row r="130">
      <c r="A130" s="262" t="s">
        <v>1020</v>
      </c>
      <c r="B130" s="239">
        <v>34200.0</v>
      </c>
      <c r="C130" s="263"/>
      <c r="D130" s="264"/>
      <c r="E130" s="244"/>
      <c r="F130" s="243"/>
      <c r="G130" s="276" t="s">
        <v>75</v>
      </c>
      <c r="H130" s="245">
        <v>100.0</v>
      </c>
      <c r="I130" s="2" t="s">
        <v>1021</v>
      </c>
    </row>
    <row r="131">
      <c r="A131" s="265"/>
      <c r="B131" s="247">
        <v>23030.41</v>
      </c>
      <c r="C131" s="252"/>
      <c r="D131" s="249"/>
      <c r="F131" s="250"/>
      <c r="G131" s="254" t="s">
        <v>82</v>
      </c>
      <c r="H131" s="251"/>
    </row>
    <row r="132">
      <c r="A132" s="265"/>
      <c r="B132" s="247"/>
      <c r="C132" s="248"/>
      <c r="D132" s="249"/>
      <c r="F132" s="284"/>
      <c r="G132" s="285"/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48"/>
      <c r="D134" s="249"/>
      <c r="F134" s="250"/>
      <c r="G134" s="254"/>
      <c r="H134" s="251"/>
    </row>
    <row r="135">
      <c r="A135" s="265"/>
      <c r="B135" s="247"/>
      <c r="C135" s="248"/>
      <c r="D135" s="249"/>
      <c r="F135" s="250"/>
      <c r="G135" s="254"/>
      <c r="H135" s="251"/>
    </row>
    <row r="136">
      <c r="A136" s="265"/>
      <c r="B136" s="247"/>
      <c r="C136" s="248"/>
      <c r="D136" s="249"/>
      <c r="F136" s="250"/>
      <c r="G136" s="254"/>
      <c r="H136" s="251"/>
    </row>
    <row r="137">
      <c r="A137" s="265"/>
      <c r="B137" s="247"/>
      <c r="C137" s="252"/>
      <c r="D137" s="249"/>
      <c r="F137" s="250"/>
      <c r="G137" s="254"/>
      <c r="H137" s="251"/>
    </row>
    <row r="138">
      <c r="A138" s="265"/>
      <c r="B138" s="268"/>
      <c r="C138" s="248"/>
      <c r="D138" s="249"/>
      <c r="F138" s="250"/>
      <c r="G138" s="254"/>
      <c r="H138" s="251"/>
    </row>
    <row r="139">
      <c r="A139" s="265"/>
      <c r="B139" s="247"/>
      <c r="C139" s="252"/>
      <c r="D139" s="415"/>
      <c r="E139" s="416"/>
      <c r="F139" s="377"/>
      <c r="G139" s="416"/>
      <c r="H139" s="251"/>
    </row>
    <row r="140">
      <c r="A140" s="265"/>
      <c r="B140" s="247"/>
      <c r="C140" s="252"/>
      <c r="D140" s="249"/>
      <c r="F140" s="250"/>
      <c r="G140" s="254"/>
      <c r="H140" s="251"/>
    </row>
    <row r="141">
      <c r="A141" s="265"/>
      <c r="B141" s="277"/>
      <c r="C141" s="252"/>
      <c r="D141" s="253"/>
      <c r="F141" s="250"/>
      <c r="G141" s="254"/>
      <c r="H141" s="251"/>
    </row>
    <row r="142">
      <c r="A142" s="265"/>
      <c r="B142" s="277"/>
      <c r="C142" s="252"/>
      <c r="D142" s="253"/>
      <c r="F142" s="282"/>
      <c r="G142" s="269"/>
      <c r="H142" s="251"/>
    </row>
    <row r="143">
      <c r="A143" s="265"/>
      <c r="B143" s="278"/>
      <c r="C143" s="252"/>
      <c r="D143" s="253"/>
      <c r="F143" s="250"/>
      <c r="G143" s="269"/>
      <c r="H143" s="251"/>
    </row>
    <row r="144">
      <c r="A144" s="270"/>
      <c r="B144" s="271"/>
      <c r="C144" s="272"/>
      <c r="D144" s="273"/>
      <c r="E144" s="18"/>
      <c r="F144" s="259"/>
      <c r="G144" s="260"/>
      <c r="H144" s="261"/>
    </row>
    <row r="145">
      <c r="A145" s="262" t="s">
        <v>1022</v>
      </c>
      <c r="B145" s="239">
        <v>31000.0</v>
      </c>
      <c r="C145" s="263"/>
      <c r="D145" s="264"/>
      <c r="E145" s="242"/>
      <c r="F145" s="243"/>
      <c r="G145" s="276" t="s">
        <v>68</v>
      </c>
      <c r="H145" s="245">
        <v>90.0</v>
      </c>
    </row>
    <row r="146">
      <c r="A146" s="265"/>
      <c r="B146" s="247"/>
      <c r="C146" s="252"/>
      <c r="D146" s="249"/>
      <c r="F146" s="250"/>
      <c r="G146" s="254"/>
      <c r="H146" s="267"/>
    </row>
    <row r="147">
      <c r="A147" s="265"/>
      <c r="B147" s="247"/>
      <c r="C147" s="248"/>
      <c r="D147" s="249"/>
      <c r="F147" s="250"/>
      <c r="G147" s="254"/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48"/>
      <c r="D150" s="249"/>
      <c r="F150" s="250"/>
      <c r="G150" s="254"/>
      <c r="H150" s="251"/>
    </row>
    <row r="151">
      <c r="A151" s="265"/>
      <c r="B151" s="247"/>
      <c r="C151" s="248"/>
      <c r="D151" s="249"/>
      <c r="F151" s="250"/>
      <c r="G151" s="254"/>
      <c r="H151" s="251"/>
    </row>
    <row r="152">
      <c r="A152" s="265"/>
      <c r="B152" s="247"/>
      <c r="C152" s="252"/>
      <c r="D152" s="249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70"/>
      <c r="B154" s="279"/>
      <c r="C154" s="272"/>
      <c r="D154" s="273"/>
      <c r="E154" s="18"/>
      <c r="F154" s="274"/>
      <c r="G154" s="260"/>
      <c r="H154" s="261"/>
    </row>
    <row r="155">
      <c r="A155" s="262" t="s">
        <v>1023</v>
      </c>
      <c r="B155" s="239"/>
      <c r="C155" s="263">
        <f>153365.73+85110.8</f>
        <v>238476.53</v>
      </c>
      <c r="D155" s="264"/>
      <c r="E155" s="244" t="s">
        <v>328</v>
      </c>
      <c r="F155" s="250"/>
      <c r="G155" s="276" t="s">
        <v>71</v>
      </c>
      <c r="H155" s="245">
        <v>124.0</v>
      </c>
    </row>
    <row r="156">
      <c r="A156" s="265"/>
      <c r="B156" s="247">
        <v>111000.0</v>
      </c>
      <c r="C156" s="315"/>
      <c r="D156" s="249"/>
      <c r="E156" s="2" t="s">
        <v>328</v>
      </c>
      <c r="F156" s="250"/>
      <c r="G156" s="254" t="s">
        <v>87</v>
      </c>
      <c r="H156" s="267"/>
    </row>
    <row r="157">
      <c r="A157" s="265"/>
      <c r="B157" s="247">
        <f>50700-1600</f>
        <v>49100</v>
      </c>
      <c r="C157" s="248"/>
      <c r="D157" s="249"/>
      <c r="E157" s="2" t="s">
        <v>328</v>
      </c>
      <c r="F157" s="250"/>
      <c r="G157" s="254" t="s">
        <v>1024</v>
      </c>
      <c r="H157" s="267"/>
    </row>
    <row r="158">
      <c r="A158" s="265"/>
      <c r="B158" s="247">
        <v>44804.58</v>
      </c>
      <c r="C158" s="248"/>
      <c r="D158" s="249"/>
      <c r="F158" s="250"/>
      <c r="G158" s="254" t="s">
        <v>82</v>
      </c>
      <c r="H158" s="251"/>
    </row>
    <row r="159">
      <c r="A159" s="265"/>
      <c r="B159" s="247"/>
      <c r="C159" s="248">
        <v>93357.9</v>
      </c>
      <c r="D159" s="249"/>
      <c r="E159" s="254" t="s">
        <v>328</v>
      </c>
      <c r="F159" s="250"/>
      <c r="G159" s="254" t="s">
        <v>89</v>
      </c>
      <c r="H159" s="251"/>
      <c r="I159" s="269"/>
    </row>
    <row r="160">
      <c r="A160" s="265"/>
      <c r="B160" s="247"/>
      <c r="C160" s="252"/>
      <c r="D160" s="249"/>
      <c r="F160" s="250">
        <v>9400.0</v>
      </c>
      <c r="G160" s="254" t="s">
        <v>605</v>
      </c>
      <c r="H160" s="251"/>
    </row>
    <row r="161">
      <c r="A161" s="265"/>
      <c r="B161" s="247"/>
      <c r="C161" s="252"/>
      <c r="D161" s="249"/>
      <c r="F161" s="250">
        <v>6400.0</v>
      </c>
      <c r="G161" s="254" t="s">
        <v>85</v>
      </c>
      <c r="H161" s="251"/>
    </row>
    <row r="162">
      <c r="A162" s="265"/>
      <c r="B162" s="247"/>
      <c r="C162" s="252"/>
      <c r="D162" s="253"/>
      <c r="F162" s="250"/>
      <c r="G162" s="254"/>
      <c r="H162" s="251"/>
    </row>
    <row r="163">
      <c r="A163" s="265"/>
      <c r="B163" s="247"/>
      <c r="C163" s="252"/>
      <c r="D163" s="249"/>
      <c r="F163" s="250"/>
      <c r="G163" s="254"/>
      <c r="H163" s="251"/>
    </row>
    <row r="164">
      <c r="A164" s="265"/>
      <c r="B164" s="247"/>
      <c r="C164" s="252"/>
      <c r="D164" s="253"/>
      <c r="F164" s="250"/>
      <c r="G164" s="254"/>
      <c r="H164" s="251"/>
    </row>
    <row r="165">
      <c r="A165" s="265"/>
      <c r="B165" s="247"/>
      <c r="C165" s="252"/>
      <c r="D165" s="253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65"/>
      <c r="B167" s="268"/>
      <c r="C167" s="252"/>
      <c r="D167" s="253"/>
      <c r="F167" s="250"/>
      <c r="G167" s="269"/>
      <c r="H167" s="251"/>
    </row>
    <row r="168">
      <c r="A168" s="265"/>
      <c r="B168" s="268"/>
      <c r="C168" s="252"/>
      <c r="D168" s="253"/>
      <c r="F168" s="250"/>
      <c r="G168" s="269"/>
      <c r="H168" s="251"/>
    </row>
    <row r="169">
      <c r="A169" s="270"/>
      <c r="B169" s="271"/>
      <c r="C169" s="272"/>
      <c r="D169" s="273"/>
      <c r="E169" s="18"/>
      <c r="F169" s="259"/>
      <c r="G169" s="260"/>
      <c r="H169" s="261"/>
    </row>
    <row r="170">
      <c r="A170" s="262" t="s">
        <v>1025</v>
      </c>
      <c r="B170" s="247"/>
      <c r="C170" s="248"/>
      <c r="D170" s="399">
        <v>298870.0</v>
      </c>
      <c r="E170" s="398" t="s">
        <v>328</v>
      </c>
      <c r="F170" s="284"/>
      <c r="G170" s="285" t="s">
        <v>877</v>
      </c>
      <c r="H170" s="286">
        <v>116.5</v>
      </c>
    </row>
    <row r="171">
      <c r="A171" s="265"/>
      <c r="B171" s="247"/>
      <c r="C171" s="248"/>
      <c r="D171" s="249">
        <v>23917.2</v>
      </c>
      <c r="E171" s="2" t="s">
        <v>328</v>
      </c>
      <c r="F171" s="250"/>
      <c r="G171" s="254" t="s">
        <v>73</v>
      </c>
      <c r="H171" s="251"/>
    </row>
    <row r="172">
      <c r="A172" s="265"/>
      <c r="B172" s="247"/>
      <c r="C172" s="248"/>
      <c r="D172" s="249">
        <v>83085.22</v>
      </c>
      <c r="E172" s="2" t="s">
        <v>328</v>
      </c>
      <c r="F172" s="250"/>
      <c r="G172" s="254" t="s">
        <v>74</v>
      </c>
      <c r="H172" s="267"/>
    </row>
    <row r="173">
      <c r="A173" s="265"/>
      <c r="B173" s="247">
        <v>51600.0</v>
      </c>
      <c r="C173" s="248"/>
      <c r="D173" s="249"/>
      <c r="E173" s="2" t="s">
        <v>328</v>
      </c>
      <c r="F173" s="250"/>
      <c r="G173" s="254" t="s">
        <v>76</v>
      </c>
      <c r="H173" s="251"/>
    </row>
    <row r="174">
      <c r="A174" s="265"/>
      <c r="B174" s="247"/>
      <c r="C174" s="248"/>
      <c r="D174" s="249"/>
      <c r="F174" s="250"/>
      <c r="G174" s="254"/>
      <c r="H174" s="267"/>
    </row>
    <row r="175">
      <c r="A175" s="265"/>
      <c r="B175" s="247"/>
      <c r="C175" s="252"/>
      <c r="D175" s="249"/>
      <c r="F175" s="250"/>
      <c r="G175" s="254"/>
      <c r="H175" s="251"/>
    </row>
    <row r="176">
      <c r="A176" s="265"/>
      <c r="B176" s="247"/>
      <c r="C176" s="252"/>
      <c r="D176" s="253"/>
      <c r="F176" s="250"/>
      <c r="G176" s="254"/>
      <c r="H176" s="251"/>
    </row>
    <row r="177">
      <c r="A177" s="265"/>
      <c r="B177" s="247"/>
      <c r="C177" s="252"/>
      <c r="D177" s="249"/>
      <c r="F177" s="250"/>
      <c r="G177" s="254"/>
      <c r="H177" s="251"/>
    </row>
    <row r="178">
      <c r="A178" s="265"/>
      <c r="B178" s="247"/>
      <c r="C178" s="248"/>
      <c r="D178" s="249"/>
      <c r="F178" s="250"/>
      <c r="G178" s="254"/>
      <c r="H178" s="251"/>
    </row>
    <row r="179">
      <c r="A179" s="265"/>
      <c r="B179" s="247"/>
      <c r="C179" s="252"/>
      <c r="D179" s="249"/>
      <c r="F179" s="250"/>
      <c r="G179" s="254"/>
      <c r="H179" s="251"/>
    </row>
    <row r="180">
      <c r="A180" s="265"/>
      <c r="B180" s="247"/>
      <c r="C180" s="252"/>
      <c r="D180" s="249"/>
      <c r="F180" s="250"/>
      <c r="G180" s="254"/>
      <c r="H180" s="251"/>
    </row>
    <row r="181">
      <c r="A181" s="265"/>
      <c r="B181" s="247"/>
      <c r="C181" s="248"/>
      <c r="D181" s="249"/>
      <c r="F181" s="250"/>
      <c r="G181" s="254"/>
      <c r="H181" s="251"/>
    </row>
    <row r="182">
      <c r="A182" s="265"/>
      <c r="B182" s="247"/>
      <c r="C182" s="248"/>
      <c r="D182" s="249"/>
      <c r="F182" s="250"/>
      <c r="G182" s="254"/>
      <c r="H182" s="251"/>
    </row>
    <row r="183">
      <c r="A183" s="265"/>
      <c r="B183" s="247"/>
      <c r="C183" s="252"/>
      <c r="D183" s="249"/>
      <c r="F183" s="250"/>
      <c r="G183" s="254"/>
      <c r="H183" s="251"/>
    </row>
    <row r="184">
      <c r="A184" s="265"/>
      <c r="B184" s="247"/>
      <c r="C184" s="252"/>
      <c r="D184" s="253"/>
      <c r="F184" s="250"/>
      <c r="G184" s="254"/>
      <c r="H184" s="251"/>
    </row>
    <row r="185">
      <c r="A185" s="270"/>
      <c r="B185" s="247"/>
      <c r="C185" s="252"/>
      <c r="D185" s="249"/>
      <c r="F185" s="250"/>
      <c r="G185" s="254"/>
      <c r="H185" s="261"/>
    </row>
    <row r="186">
      <c r="A186" s="262" t="s">
        <v>1026</v>
      </c>
      <c r="B186" s="239">
        <v>25650.0</v>
      </c>
      <c r="C186" s="263"/>
      <c r="D186" s="264"/>
      <c r="E186" s="244" t="s">
        <v>328</v>
      </c>
      <c r="F186" s="243"/>
      <c r="G186" s="276" t="s">
        <v>75</v>
      </c>
      <c r="H186" s="245">
        <f>90+57.5</f>
        <v>147.5</v>
      </c>
    </row>
    <row r="187">
      <c r="A187" s="265"/>
      <c r="B187" s="247">
        <v>129336.66</v>
      </c>
      <c r="C187" s="248"/>
      <c r="D187" s="249"/>
      <c r="F187" s="250"/>
      <c r="G187" s="254" t="s">
        <v>142</v>
      </c>
      <c r="H187" s="267"/>
    </row>
    <row r="188">
      <c r="A188" s="265"/>
      <c r="B188" s="247"/>
      <c r="C188" s="252"/>
      <c r="D188" s="249"/>
      <c r="F188" s="250">
        <v>9600.0</v>
      </c>
      <c r="G188" s="254" t="s">
        <v>608</v>
      </c>
      <c r="H188" s="251"/>
    </row>
    <row r="189">
      <c r="A189" s="265"/>
      <c r="B189" s="247"/>
      <c r="C189" s="248"/>
      <c r="D189" s="249"/>
      <c r="F189" s="250"/>
      <c r="G189" s="254"/>
      <c r="H189" s="251"/>
    </row>
    <row r="190">
      <c r="A190" s="265"/>
      <c r="B190" s="247"/>
      <c r="C190" s="248"/>
      <c r="D190" s="249"/>
      <c r="F190" s="250"/>
      <c r="G190" s="254"/>
      <c r="H190" s="251"/>
    </row>
    <row r="191">
      <c r="A191" s="265"/>
      <c r="B191" s="247"/>
      <c r="C191" s="248"/>
      <c r="D191" s="249"/>
      <c r="F191" s="250"/>
      <c r="G191" s="254"/>
      <c r="H191" s="267"/>
    </row>
    <row r="192">
      <c r="A192" s="265"/>
      <c r="B192" s="247"/>
      <c r="C192" s="248"/>
      <c r="D192" s="249"/>
      <c r="F192" s="250"/>
      <c r="G192" s="316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53"/>
      <c r="F195" s="250"/>
      <c r="G195" s="254"/>
      <c r="H195" s="251"/>
    </row>
    <row r="196">
      <c r="A196" s="265"/>
      <c r="B196" s="268"/>
      <c r="C196" s="248"/>
      <c r="D196" s="253"/>
      <c r="F196" s="250"/>
      <c r="G196" s="269"/>
      <c r="H196" s="251"/>
    </row>
    <row r="197">
      <c r="A197" s="265"/>
      <c r="B197" s="247"/>
      <c r="C197" s="248"/>
      <c r="D197" s="253"/>
      <c r="F197" s="250"/>
      <c r="G197" s="269"/>
      <c r="H197" s="251"/>
    </row>
    <row r="198">
      <c r="A198" s="265"/>
      <c r="B198" s="278"/>
      <c r="C198" s="252"/>
      <c r="D198" s="253"/>
      <c r="F198" s="250"/>
      <c r="G198" s="269"/>
      <c r="H198" s="251"/>
    </row>
    <row r="199">
      <c r="A199" s="265"/>
      <c r="B199" s="278"/>
      <c r="C199" s="252"/>
      <c r="D199" s="253"/>
      <c r="F199" s="282"/>
      <c r="G199" s="269"/>
      <c r="H199" s="251"/>
    </row>
    <row r="200">
      <c r="A200" s="270"/>
      <c r="B200" s="271"/>
      <c r="C200" s="272"/>
      <c r="D200" s="273"/>
      <c r="E200" s="18"/>
      <c r="F200" s="274"/>
      <c r="G200" s="275"/>
      <c r="H200" s="261"/>
    </row>
    <row r="201">
      <c r="A201" s="262" t="s">
        <v>1027</v>
      </c>
      <c r="B201" s="239">
        <v>50681.4</v>
      </c>
      <c r="C201" s="263"/>
      <c r="D201" s="264"/>
      <c r="E201" s="242"/>
      <c r="F201" s="243"/>
      <c r="G201" s="276" t="s">
        <v>114</v>
      </c>
      <c r="H201" s="245">
        <v>122.0</v>
      </c>
    </row>
    <row r="202">
      <c r="A202" s="265"/>
      <c r="B202" s="247"/>
      <c r="C202" s="248"/>
      <c r="D202" s="249"/>
      <c r="F202" s="250"/>
      <c r="G202" s="254"/>
      <c r="H202" s="267"/>
    </row>
    <row r="203">
      <c r="A203" s="265"/>
      <c r="B203" s="247"/>
      <c r="C203" s="252"/>
      <c r="D203" s="249"/>
      <c r="F203" s="250"/>
      <c r="G203" s="254"/>
      <c r="H203" s="251"/>
    </row>
    <row r="204">
      <c r="A204" s="265"/>
      <c r="B204" s="247"/>
      <c r="C204" s="248"/>
      <c r="D204" s="249"/>
      <c r="E204" s="398"/>
      <c r="F204" s="284"/>
      <c r="G204" s="285"/>
      <c r="H204" s="251"/>
    </row>
    <row r="205">
      <c r="A205" s="265"/>
      <c r="B205" s="247"/>
      <c r="C205" s="252"/>
      <c r="D205" s="253"/>
      <c r="F205" s="250"/>
      <c r="G205" s="254"/>
      <c r="H205" s="251"/>
    </row>
    <row r="206">
      <c r="A206" s="265"/>
      <c r="B206" s="247"/>
      <c r="C206" s="248"/>
      <c r="D206" s="399"/>
      <c r="E206" s="398"/>
      <c r="F206" s="284"/>
      <c r="G206" s="285"/>
      <c r="H206" s="251"/>
    </row>
    <row r="207">
      <c r="A207" s="265"/>
      <c r="B207" s="247"/>
      <c r="C207" s="252"/>
      <c r="D207" s="249"/>
      <c r="F207" s="250"/>
      <c r="G207" s="254"/>
      <c r="H207" s="251"/>
    </row>
    <row r="208">
      <c r="A208" s="265"/>
      <c r="B208" s="247"/>
      <c r="C208" s="252"/>
      <c r="D208" s="253"/>
      <c r="F208" s="250"/>
      <c r="G208" s="254"/>
      <c r="H208" s="251"/>
      <c r="I208" s="269"/>
      <c r="J208" s="269"/>
      <c r="K208" s="269"/>
    </row>
    <row r="209">
      <c r="A209" s="265"/>
      <c r="B209" s="247"/>
      <c r="C209" s="248"/>
      <c r="D209" s="249"/>
      <c r="E209" s="269"/>
      <c r="F209" s="250"/>
      <c r="G209" s="254"/>
      <c r="H209" s="251"/>
      <c r="I209" s="269"/>
      <c r="J209" s="269"/>
      <c r="K209" s="269"/>
    </row>
    <row r="210">
      <c r="A210" s="265"/>
      <c r="B210" s="277"/>
      <c r="C210" s="252"/>
      <c r="D210" s="249"/>
      <c r="E210" s="254"/>
      <c r="F210" s="250"/>
      <c r="G210" s="254"/>
      <c r="H210" s="251"/>
      <c r="I210" s="254"/>
      <c r="J210" s="269"/>
      <c r="K210" s="269"/>
    </row>
    <row r="211">
      <c r="A211" s="265"/>
      <c r="B211" s="277"/>
      <c r="C211" s="252"/>
      <c r="D211" s="253"/>
      <c r="E211" s="269"/>
      <c r="F211" s="282"/>
      <c r="G211" s="254"/>
      <c r="H211" s="251"/>
      <c r="I211" s="269"/>
      <c r="J211" s="269"/>
      <c r="K211" s="269"/>
    </row>
    <row r="212">
      <c r="A212" s="270"/>
      <c r="B212" s="271"/>
      <c r="C212" s="272"/>
      <c r="D212" s="273"/>
      <c r="E212" s="275"/>
      <c r="F212" s="274"/>
      <c r="G212" s="275"/>
      <c r="H212" s="261"/>
      <c r="I212" s="269"/>
      <c r="J212" s="269"/>
      <c r="K212" s="269"/>
    </row>
    <row r="213">
      <c r="A213" s="262" t="s">
        <v>1028</v>
      </c>
      <c r="B213" s="239"/>
      <c r="C213" s="263"/>
      <c r="D213" s="264"/>
      <c r="E213" s="276"/>
      <c r="F213" s="243">
        <v>2450.0</v>
      </c>
      <c r="G213" s="276" t="s">
        <v>291</v>
      </c>
      <c r="H213" s="245">
        <v>114.0</v>
      </c>
      <c r="I213" s="254"/>
      <c r="J213" s="254"/>
      <c r="K213" s="254"/>
    </row>
    <row r="214">
      <c r="A214" s="265"/>
      <c r="B214" s="247"/>
      <c r="C214" s="248"/>
      <c r="D214" s="249"/>
      <c r="F214" s="250">
        <v>450.0</v>
      </c>
      <c r="G214" s="254" t="s">
        <v>137</v>
      </c>
      <c r="H214" s="251"/>
      <c r="I214" s="269"/>
      <c r="J214" s="254"/>
      <c r="K214" s="254"/>
    </row>
    <row r="215">
      <c r="A215" s="265"/>
      <c r="B215" s="247">
        <v>31000.0</v>
      </c>
      <c r="C215" s="248"/>
      <c r="D215" s="414"/>
      <c r="E215" s="417"/>
      <c r="F215" s="418"/>
      <c r="G215" s="285" t="s">
        <v>68</v>
      </c>
      <c r="H215" s="251"/>
      <c r="I215" s="269"/>
      <c r="J215" s="254"/>
      <c r="K215" s="254"/>
    </row>
    <row r="216">
      <c r="A216" s="265"/>
      <c r="B216" s="247">
        <v>42000.0</v>
      </c>
      <c r="C216" s="248"/>
      <c r="D216" s="249"/>
      <c r="E216" s="254" t="s">
        <v>328</v>
      </c>
      <c r="F216" s="250"/>
      <c r="G216" s="254" t="s">
        <v>128</v>
      </c>
      <c r="H216" s="251"/>
      <c r="I216" s="269"/>
      <c r="J216" s="269"/>
      <c r="K216" s="269"/>
    </row>
    <row r="217">
      <c r="A217" s="265"/>
      <c r="B217" s="247"/>
      <c r="C217" s="248"/>
      <c r="D217" s="400"/>
      <c r="E217" s="285"/>
      <c r="F217" s="284">
        <v>3910.0</v>
      </c>
      <c r="G217" s="285" t="s">
        <v>303</v>
      </c>
      <c r="H217" s="251"/>
      <c r="I217" s="269"/>
      <c r="J217" s="269"/>
      <c r="K217" s="269"/>
    </row>
    <row r="218">
      <c r="A218" s="265"/>
      <c r="B218" s="247"/>
      <c r="C218" s="248"/>
      <c r="D218" s="249"/>
      <c r="E218" s="269"/>
      <c r="F218" s="250"/>
      <c r="G218" s="254"/>
      <c r="H218" s="251"/>
      <c r="I218" s="269"/>
      <c r="J218" s="269"/>
      <c r="K218" s="269"/>
    </row>
    <row r="219">
      <c r="A219" s="265"/>
      <c r="B219" s="247"/>
      <c r="C219" s="252"/>
      <c r="D219" s="249"/>
      <c r="E219" s="269"/>
      <c r="F219" s="250"/>
      <c r="G219" s="254"/>
      <c r="H219" s="251"/>
      <c r="I219" s="269"/>
      <c r="J219" s="269"/>
      <c r="K219" s="269"/>
    </row>
    <row r="220">
      <c r="A220" s="265"/>
      <c r="B220" s="247"/>
      <c r="C220" s="252"/>
      <c r="D220" s="288"/>
      <c r="E220" s="269"/>
      <c r="F220" s="250"/>
      <c r="G220" s="254"/>
      <c r="H220" s="251"/>
      <c r="I220" s="254"/>
      <c r="J220" s="269"/>
      <c r="K220" s="269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52"/>
      <c r="D222" s="253"/>
      <c r="F222" s="250"/>
      <c r="G222" s="254"/>
      <c r="H222" s="251"/>
    </row>
    <row r="223">
      <c r="A223" s="265"/>
      <c r="B223" s="247"/>
      <c r="C223" s="252"/>
      <c r="D223" s="253"/>
      <c r="F223" s="250"/>
      <c r="G223" s="254"/>
      <c r="H223" s="251"/>
    </row>
    <row r="224">
      <c r="A224" s="265"/>
      <c r="B224" s="277"/>
      <c r="C224" s="252"/>
      <c r="D224" s="253"/>
      <c r="F224" s="250"/>
      <c r="G224" s="254"/>
      <c r="H224" s="251"/>
    </row>
    <row r="225">
      <c r="A225" s="265"/>
      <c r="B225" s="278"/>
      <c r="C225" s="252"/>
      <c r="D225" s="253"/>
      <c r="F225" s="282"/>
      <c r="G225" s="269"/>
      <c r="H225" s="251"/>
    </row>
    <row r="226">
      <c r="A226" s="265"/>
      <c r="B226" s="278"/>
      <c r="C226" s="252"/>
      <c r="D226" s="253"/>
      <c r="F226" s="282"/>
      <c r="G226" s="269"/>
      <c r="H226" s="251"/>
    </row>
    <row r="227">
      <c r="A227" s="270"/>
      <c r="B227" s="271"/>
      <c r="C227" s="272"/>
      <c r="D227" s="273"/>
      <c r="E227" s="18"/>
      <c r="F227" s="274"/>
      <c r="G227" s="275"/>
      <c r="H227" s="261"/>
    </row>
    <row r="228">
      <c r="A228" s="262" t="s">
        <v>1029</v>
      </c>
      <c r="B228" s="239"/>
      <c r="C228" s="263"/>
      <c r="D228" s="401">
        <v>110000.0</v>
      </c>
      <c r="E228" s="402"/>
      <c r="F228" s="403"/>
      <c r="G228" s="398" t="s">
        <v>87</v>
      </c>
      <c r="H228" s="245">
        <v>141.0</v>
      </c>
    </row>
    <row r="229">
      <c r="A229" s="265"/>
      <c r="B229" s="247"/>
      <c r="C229" s="248"/>
      <c r="D229" s="249"/>
      <c r="F229" s="250">
        <v>3200.0</v>
      </c>
      <c r="G229" s="254" t="s">
        <v>85</v>
      </c>
      <c r="H229" s="267"/>
    </row>
    <row r="230">
      <c r="A230" s="265"/>
      <c r="B230" s="247">
        <v>34007.8</v>
      </c>
      <c r="C230" s="248"/>
      <c r="D230" s="249"/>
      <c r="F230" s="250"/>
      <c r="G230" s="254" t="s">
        <v>291</v>
      </c>
      <c r="H230" s="251"/>
    </row>
    <row r="231">
      <c r="A231" s="265"/>
      <c r="B231" s="247"/>
      <c r="C231" s="248"/>
      <c r="D231" s="249"/>
      <c r="F231" s="250">
        <v>5000.0</v>
      </c>
      <c r="G231" s="254" t="s">
        <v>1030</v>
      </c>
      <c r="H231" s="251"/>
    </row>
    <row r="232">
      <c r="A232" s="265"/>
      <c r="B232" s="247"/>
      <c r="C232" s="252"/>
      <c r="D232" s="249"/>
      <c r="F232" s="250"/>
      <c r="G232" s="254"/>
      <c r="H232" s="267"/>
    </row>
    <row r="233">
      <c r="A233" s="265"/>
      <c r="B233" s="247"/>
      <c r="C233" s="248"/>
      <c r="D233" s="249"/>
      <c r="F233" s="250"/>
      <c r="G233" s="254"/>
      <c r="H233" s="267"/>
    </row>
    <row r="234">
      <c r="A234" s="265"/>
      <c r="B234" s="247"/>
      <c r="C234" s="248"/>
      <c r="D234" s="249"/>
      <c r="F234" s="250"/>
      <c r="G234" s="254"/>
      <c r="H234" s="251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47"/>
      <c r="C236" s="252"/>
      <c r="D236" s="253"/>
      <c r="F236" s="250"/>
      <c r="G236" s="254"/>
      <c r="H236" s="251"/>
    </row>
    <row r="237">
      <c r="A237" s="265"/>
      <c r="B237" s="247"/>
      <c r="C237" s="252"/>
      <c r="D237" s="253"/>
      <c r="F237" s="250"/>
      <c r="G237" s="254"/>
      <c r="H237" s="251"/>
    </row>
    <row r="238">
      <c r="A238" s="265"/>
      <c r="B238" s="278"/>
      <c r="C238" s="252"/>
      <c r="D238" s="253"/>
      <c r="F238" s="250"/>
      <c r="G238" s="254"/>
      <c r="H238" s="251"/>
    </row>
    <row r="239">
      <c r="A239" s="265"/>
      <c r="B239" s="278"/>
      <c r="C239" s="252"/>
      <c r="D239" s="253"/>
      <c r="F239" s="250"/>
      <c r="G239" s="269"/>
      <c r="H239" s="251"/>
    </row>
    <row r="240">
      <c r="A240" s="265"/>
      <c r="B240" s="278"/>
      <c r="C240" s="252"/>
      <c r="D240" s="253"/>
      <c r="F240" s="250"/>
      <c r="G240" s="269"/>
      <c r="H240" s="251"/>
    </row>
    <row r="241">
      <c r="A241" s="270"/>
      <c r="B241" s="271"/>
      <c r="C241" s="272"/>
      <c r="D241" s="273"/>
      <c r="E241" s="18"/>
      <c r="F241" s="274"/>
      <c r="G241" s="275"/>
      <c r="H241" s="261"/>
    </row>
    <row r="242">
      <c r="A242" s="262" t="s">
        <v>1031</v>
      </c>
      <c r="B242" s="239"/>
      <c r="C242" s="263"/>
      <c r="D242" s="264">
        <v>48840.0</v>
      </c>
      <c r="E242" s="244"/>
      <c r="F242" s="243"/>
      <c r="G242" s="276" t="s">
        <v>776</v>
      </c>
      <c r="H242" s="245">
        <v>108.0</v>
      </c>
    </row>
    <row r="243">
      <c r="A243" s="265"/>
      <c r="B243" s="247">
        <f>26485.08+46438.48</f>
        <v>72923.56</v>
      </c>
      <c r="C243" s="248"/>
      <c r="D243" s="249"/>
      <c r="F243" s="250">
        <v>985.0</v>
      </c>
      <c r="G243" s="254" t="s">
        <v>82</v>
      </c>
      <c r="H243" s="251"/>
    </row>
    <row r="244">
      <c r="A244" s="265"/>
      <c r="B244" s="247"/>
      <c r="C244" s="248"/>
      <c r="D244" s="249"/>
      <c r="F244" s="250">
        <v>891.45</v>
      </c>
      <c r="G244" s="254" t="s">
        <v>986</v>
      </c>
      <c r="H244" s="251"/>
    </row>
    <row r="245">
      <c r="A245" s="265"/>
      <c r="B245" s="247"/>
      <c r="C245" s="248">
        <f>99103.54+27192.37</f>
        <v>126295.91</v>
      </c>
      <c r="D245" s="249"/>
      <c r="F245" s="250"/>
      <c r="G245" s="254" t="s">
        <v>71</v>
      </c>
      <c r="H245" s="267"/>
    </row>
    <row r="246">
      <c r="A246" s="265"/>
      <c r="B246" s="247">
        <f>117500-45000-1000</f>
        <v>71500</v>
      </c>
      <c r="C246" s="248"/>
      <c r="D246" s="249"/>
      <c r="F246" s="250"/>
      <c r="G246" s="254" t="s">
        <v>75</v>
      </c>
      <c r="H246" s="251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49"/>
      <c r="F248" s="250"/>
      <c r="G248" s="254"/>
      <c r="H248" s="251"/>
    </row>
    <row r="249">
      <c r="A249" s="265"/>
      <c r="B249" s="247"/>
      <c r="C249" s="248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47"/>
      <c r="C251" s="252"/>
      <c r="D251" s="249"/>
      <c r="F251" s="250"/>
      <c r="G251" s="254"/>
      <c r="H251" s="251"/>
    </row>
    <row r="252">
      <c r="A252" s="265"/>
      <c r="B252" s="247"/>
      <c r="C252" s="252"/>
      <c r="D252" s="249"/>
      <c r="F252" s="250"/>
      <c r="G252" s="254"/>
      <c r="H252" s="267"/>
    </row>
    <row r="253">
      <c r="A253" s="265"/>
      <c r="B253" s="268"/>
      <c r="C253" s="252"/>
      <c r="D253" s="249"/>
      <c r="F253" s="250"/>
      <c r="G253" s="254"/>
      <c r="H253" s="251"/>
    </row>
    <row r="254">
      <c r="A254" s="265"/>
      <c r="B254" s="268"/>
      <c r="C254" s="252"/>
      <c r="D254" s="253"/>
      <c r="F254" s="250"/>
      <c r="G254" s="254"/>
      <c r="H254" s="251"/>
    </row>
    <row r="255">
      <c r="A255" s="265"/>
      <c r="B255" s="268"/>
      <c r="C255" s="252"/>
      <c r="D255" s="253"/>
      <c r="F255" s="250"/>
      <c r="G255" s="254"/>
      <c r="H255" s="251"/>
    </row>
    <row r="256">
      <c r="A256" s="270"/>
      <c r="B256" s="271"/>
      <c r="C256" s="272"/>
      <c r="D256" s="273"/>
      <c r="E256" s="18"/>
      <c r="F256" s="259"/>
      <c r="G256" s="260"/>
      <c r="H256" s="261"/>
    </row>
    <row r="257">
      <c r="A257" s="262" t="s">
        <v>1032</v>
      </c>
      <c r="B257" s="239"/>
      <c r="C257" s="263"/>
      <c r="D257" s="249">
        <v>112530.0</v>
      </c>
      <c r="E257" s="2" t="s">
        <v>328</v>
      </c>
      <c r="F257" s="250"/>
      <c r="G257" s="254" t="s">
        <v>92</v>
      </c>
      <c r="H257" s="245">
        <v>166.0</v>
      </c>
    </row>
    <row r="258">
      <c r="A258" s="265"/>
      <c r="B258" s="404">
        <v>102200.0</v>
      </c>
      <c r="C258" s="405"/>
      <c r="D258" s="399"/>
      <c r="E258" s="398" t="s">
        <v>328</v>
      </c>
      <c r="F258" s="284"/>
      <c r="G258" s="285" t="s">
        <v>122</v>
      </c>
      <c r="H258" s="267"/>
    </row>
    <row r="259">
      <c r="A259" s="265"/>
      <c r="B259" s="419"/>
      <c r="C259" s="405">
        <v>94766.1</v>
      </c>
      <c r="D259" s="399"/>
      <c r="E259" s="398"/>
      <c r="F259" s="284"/>
      <c r="G259" s="285" t="s">
        <v>89</v>
      </c>
      <c r="H259" s="251"/>
    </row>
    <row r="260">
      <c r="A260" s="265"/>
      <c r="B260" s="247">
        <v>70111.6</v>
      </c>
      <c r="C260" s="248"/>
      <c r="D260" s="249"/>
      <c r="E260" s="2" t="s">
        <v>328</v>
      </c>
      <c r="F260" s="250"/>
      <c r="G260" s="254" t="s">
        <v>74</v>
      </c>
      <c r="H260" s="251"/>
    </row>
    <row r="261">
      <c r="A261" s="265"/>
      <c r="B261" s="247">
        <v>18616.85</v>
      </c>
      <c r="C261" s="248"/>
      <c r="D261" s="249"/>
      <c r="E261" s="2" t="s">
        <v>1033</v>
      </c>
      <c r="F261" s="250"/>
      <c r="G261" s="254" t="s">
        <v>73</v>
      </c>
      <c r="H261" s="251"/>
    </row>
    <row r="262">
      <c r="A262" s="265"/>
      <c r="B262" s="247">
        <v>66500.0</v>
      </c>
      <c r="C262" s="248"/>
      <c r="D262" s="249"/>
      <c r="E262" s="2" t="s">
        <v>328</v>
      </c>
      <c r="F262" s="250"/>
      <c r="G262" s="254" t="s">
        <v>76</v>
      </c>
      <c r="H262" s="251"/>
    </row>
    <row r="263">
      <c r="A263" s="265"/>
      <c r="B263" s="247" t="s">
        <v>46</v>
      </c>
      <c r="C263" s="248"/>
      <c r="D263" s="249">
        <v>151979.21</v>
      </c>
      <c r="F263" s="250"/>
      <c r="G263" s="254" t="s">
        <v>787</v>
      </c>
      <c r="H263" s="251"/>
    </row>
    <row r="264">
      <c r="A264" s="265"/>
      <c r="B264" s="247">
        <v>12924.0</v>
      </c>
      <c r="C264" s="248"/>
      <c r="D264" s="249"/>
      <c r="F264" s="250"/>
      <c r="G264" s="254" t="s">
        <v>1034</v>
      </c>
      <c r="H264" s="251"/>
    </row>
    <row r="265">
      <c r="A265" s="265"/>
      <c r="B265" s="247"/>
      <c r="C265" s="252"/>
      <c r="D265" s="249"/>
      <c r="F265" s="250">
        <v>4563.0</v>
      </c>
      <c r="G265" s="254" t="s">
        <v>97</v>
      </c>
      <c r="H265" s="251"/>
    </row>
    <row r="266">
      <c r="A266" s="265"/>
      <c r="B266" s="247"/>
      <c r="C266" s="252"/>
      <c r="D266" s="289"/>
      <c r="E266" s="290"/>
      <c r="F266" s="335">
        <v>1550.0</v>
      </c>
      <c r="G266" s="292" t="s">
        <v>108</v>
      </c>
      <c r="H266" s="251"/>
    </row>
    <row r="267">
      <c r="A267" s="265"/>
      <c r="B267" s="247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69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1035</v>
      </c>
      <c r="B270" s="239"/>
      <c r="C270" s="263"/>
      <c r="D270" s="249"/>
      <c r="F270" s="250">
        <v>1325.0</v>
      </c>
      <c r="G270" s="254" t="s">
        <v>147</v>
      </c>
      <c r="H270" s="245">
        <v>104.0</v>
      </c>
    </row>
    <row r="271">
      <c r="A271" s="265"/>
      <c r="B271" s="247"/>
      <c r="C271" s="248"/>
      <c r="D271" s="249"/>
      <c r="F271" s="250">
        <v>9600.0</v>
      </c>
      <c r="G271" s="254" t="s">
        <v>608</v>
      </c>
      <c r="H271" s="267"/>
    </row>
    <row r="272">
      <c r="A272" s="265"/>
      <c r="B272" s="247">
        <v>26485.08</v>
      </c>
      <c r="C272" s="248"/>
      <c r="D272" s="249"/>
      <c r="F272" s="250"/>
      <c r="G272" s="254" t="s">
        <v>82</v>
      </c>
      <c r="H272" s="251"/>
    </row>
    <row r="273">
      <c r="A273" s="265"/>
      <c r="B273" s="247">
        <v>79900.0</v>
      </c>
      <c r="C273" s="248"/>
      <c r="D273" s="249"/>
      <c r="F273" s="250"/>
      <c r="G273" s="254" t="s">
        <v>75</v>
      </c>
      <c r="H273" s="251"/>
    </row>
    <row r="274">
      <c r="A274" s="265"/>
      <c r="B274" s="247"/>
      <c r="C274" s="252"/>
      <c r="D274" s="414">
        <v>289492.5</v>
      </c>
      <c r="E274" s="417" t="s">
        <v>306</v>
      </c>
      <c r="F274" s="418"/>
      <c r="G274" s="420" t="s">
        <v>877</v>
      </c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49"/>
      <c r="F279" s="250"/>
      <c r="G279" s="254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54"/>
      <c r="H281" s="251"/>
    </row>
    <row r="282">
      <c r="A282" s="265"/>
      <c r="B282" s="268"/>
      <c r="C282" s="252"/>
      <c r="D282" s="253"/>
      <c r="F282" s="250"/>
      <c r="G282" s="254"/>
      <c r="H282" s="251"/>
    </row>
    <row r="283">
      <c r="A283" s="265"/>
      <c r="B283" s="278"/>
      <c r="C283" s="252"/>
      <c r="D283" s="253"/>
      <c r="F283" s="250"/>
      <c r="G283" s="254"/>
      <c r="H283" s="251"/>
    </row>
    <row r="284">
      <c r="A284" s="265"/>
      <c r="B284" s="278"/>
      <c r="C284" s="252"/>
      <c r="D284" s="253"/>
      <c r="F284" s="282"/>
      <c r="G284" s="269"/>
      <c r="H284" s="251"/>
    </row>
    <row r="285">
      <c r="A285" s="270"/>
      <c r="B285" s="271"/>
      <c r="C285" s="272"/>
      <c r="D285" s="273"/>
      <c r="E285" s="18"/>
      <c r="F285" s="274"/>
      <c r="G285" s="275"/>
      <c r="H285" s="261"/>
    </row>
    <row r="286">
      <c r="A286" s="262" t="s">
        <v>1036</v>
      </c>
      <c r="B286" s="239"/>
      <c r="C286" s="263"/>
      <c r="D286" s="264"/>
      <c r="E286" s="244"/>
      <c r="F286" s="243">
        <v>3180.0</v>
      </c>
      <c r="G286" s="276" t="s">
        <v>1037</v>
      </c>
      <c r="H286" s="245">
        <v>120.0</v>
      </c>
    </row>
    <row r="287">
      <c r="A287" s="265"/>
      <c r="B287" s="247">
        <v>40000.0</v>
      </c>
      <c r="C287" s="248"/>
      <c r="D287" s="249"/>
      <c r="F287" s="250">
        <v>20000.0</v>
      </c>
      <c r="G287" s="254" t="s">
        <v>1038</v>
      </c>
      <c r="H287" s="267"/>
    </row>
    <row r="288">
      <c r="A288" s="265"/>
      <c r="B288" s="247"/>
      <c r="C288" s="248"/>
      <c r="D288" s="249">
        <f>98560+21170</f>
        <v>119730</v>
      </c>
      <c r="E288" s="2" t="s">
        <v>328</v>
      </c>
      <c r="F288" s="250"/>
      <c r="G288" s="254" t="s">
        <v>825</v>
      </c>
      <c r="H288" s="251"/>
    </row>
    <row r="289">
      <c r="A289" s="265"/>
      <c r="B289" s="247">
        <v>31000.0</v>
      </c>
      <c r="C289" s="248"/>
      <c r="D289" s="249"/>
      <c r="F289" s="250"/>
      <c r="G289" s="254" t="s">
        <v>68</v>
      </c>
      <c r="H289" s="251"/>
    </row>
    <row r="290">
      <c r="A290" s="265"/>
      <c r="B290" s="247"/>
      <c r="C290" s="252"/>
      <c r="D290" s="249"/>
      <c r="F290" s="250"/>
      <c r="G290" s="254"/>
      <c r="H290" s="251"/>
    </row>
    <row r="291">
      <c r="A291" s="265"/>
      <c r="B291" s="247"/>
      <c r="C291" s="248"/>
      <c r="D291" s="249"/>
      <c r="F291" s="250"/>
      <c r="G291" s="254"/>
      <c r="H291" s="267"/>
    </row>
    <row r="292">
      <c r="A292" s="265"/>
      <c r="B292" s="247"/>
      <c r="C292" s="248"/>
      <c r="D292" s="249"/>
      <c r="F292" s="250"/>
      <c r="G292" s="254"/>
      <c r="H292" s="267"/>
    </row>
    <row r="293">
      <c r="A293" s="265"/>
      <c r="B293" s="247"/>
      <c r="C293" s="248"/>
      <c r="D293" s="253"/>
      <c r="F293" s="250"/>
      <c r="G293" s="254"/>
      <c r="H293" s="267"/>
    </row>
    <row r="294">
      <c r="A294" s="265"/>
      <c r="B294" s="247"/>
      <c r="C294" s="252"/>
      <c r="D294" s="253"/>
      <c r="F294" s="250"/>
      <c r="G294" s="254"/>
      <c r="H294" s="251"/>
    </row>
    <row r="295">
      <c r="A295" s="265"/>
      <c r="B295" s="268"/>
      <c r="C295" s="252"/>
      <c r="D295" s="249"/>
      <c r="F295" s="250"/>
      <c r="G295" s="254"/>
      <c r="H295" s="251"/>
    </row>
    <row r="296">
      <c r="A296" s="265"/>
      <c r="B296" s="268"/>
      <c r="C296" s="252"/>
      <c r="D296" s="253"/>
      <c r="F296" s="250"/>
      <c r="G296" s="254"/>
      <c r="H296" s="251"/>
    </row>
    <row r="297">
      <c r="A297" s="265"/>
      <c r="B297" s="268"/>
      <c r="C297" s="252"/>
      <c r="D297" s="253"/>
      <c r="F297" s="250"/>
      <c r="G297" s="254"/>
      <c r="H297" s="251"/>
    </row>
    <row r="298">
      <c r="A298" s="265"/>
      <c r="B298" s="268"/>
      <c r="C298" s="252"/>
      <c r="D298" s="253"/>
      <c r="F298" s="250"/>
      <c r="G298" s="254"/>
      <c r="H298" s="251"/>
    </row>
    <row r="299">
      <c r="A299" s="265"/>
      <c r="B299" s="268"/>
      <c r="C299" s="252"/>
      <c r="D299" s="253"/>
      <c r="F299" s="250"/>
      <c r="G299" s="269"/>
      <c r="H299" s="251"/>
    </row>
    <row r="300">
      <c r="A300" s="270"/>
      <c r="B300" s="271"/>
      <c r="C300" s="272"/>
      <c r="D300" s="273"/>
      <c r="E300" s="18"/>
      <c r="F300" s="274"/>
      <c r="G300" s="275"/>
      <c r="H300" s="261"/>
    </row>
    <row r="301">
      <c r="A301" s="262" t="s">
        <v>1039</v>
      </c>
      <c r="B301" s="239">
        <f>69700-43000</f>
        <v>26700</v>
      </c>
      <c r="C301" s="263"/>
      <c r="D301" s="264"/>
      <c r="E301" s="244"/>
      <c r="F301" s="250"/>
      <c r="G301" s="254" t="s">
        <v>75</v>
      </c>
      <c r="H301" s="245">
        <v>125.0</v>
      </c>
    </row>
    <row r="302">
      <c r="A302" s="265"/>
      <c r="B302" s="247">
        <v>31441.83</v>
      </c>
      <c r="C302" s="252"/>
      <c r="D302" s="253"/>
      <c r="F302" s="250"/>
      <c r="G302" s="254" t="s">
        <v>82</v>
      </c>
      <c r="H302" s="267"/>
    </row>
    <row r="303">
      <c r="A303" s="265"/>
      <c r="B303" s="247">
        <v>40000.0</v>
      </c>
      <c r="C303" s="248"/>
      <c r="D303" s="249"/>
      <c r="F303" s="250"/>
      <c r="G303" s="254" t="s">
        <v>1040</v>
      </c>
      <c r="H303" s="251"/>
    </row>
    <row r="304">
      <c r="A304" s="265"/>
      <c r="B304" s="247">
        <v>56355.0</v>
      </c>
      <c r="C304" s="248"/>
      <c r="D304" s="249"/>
      <c r="F304" s="250"/>
      <c r="G304" s="254" t="s">
        <v>377</v>
      </c>
      <c r="H304" s="251"/>
    </row>
    <row r="305">
      <c r="A305" s="265"/>
      <c r="B305" s="247">
        <v>39700.0</v>
      </c>
      <c r="C305" s="248"/>
      <c r="D305" s="249"/>
      <c r="F305" s="250"/>
      <c r="G305" s="254" t="s">
        <v>549</v>
      </c>
      <c r="H305" s="267"/>
    </row>
    <row r="306">
      <c r="A306" s="265"/>
      <c r="B306" s="247">
        <v>17800.0</v>
      </c>
      <c r="C306" s="248"/>
      <c r="D306" s="249"/>
      <c r="F306" s="250"/>
      <c r="G306" s="254" t="s">
        <v>426</v>
      </c>
      <c r="H306" s="267"/>
    </row>
    <row r="307">
      <c r="A307" s="265"/>
      <c r="B307" s="247"/>
      <c r="C307" s="252"/>
      <c r="D307" s="249"/>
      <c r="F307" s="250"/>
      <c r="G307" s="254"/>
      <c r="H307" s="251"/>
    </row>
    <row r="308">
      <c r="A308" s="265"/>
      <c r="B308" s="247"/>
      <c r="C308" s="248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47"/>
      <c r="C311" s="252"/>
      <c r="D311" s="253"/>
      <c r="F311" s="250"/>
      <c r="G311" s="254"/>
      <c r="H311" s="251"/>
    </row>
    <row r="312">
      <c r="A312" s="265"/>
      <c r="B312" s="247"/>
      <c r="C312" s="252"/>
      <c r="D312" s="253"/>
      <c r="F312" s="250"/>
      <c r="G312" s="254"/>
      <c r="H312" s="251"/>
    </row>
    <row r="313">
      <c r="A313" s="265"/>
      <c r="B313" s="268"/>
      <c r="C313" s="252"/>
      <c r="D313" s="253"/>
      <c r="F313" s="250"/>
      <c r="G313" s="254"/>
      <c r="H313" s="251"/>
    </row>
    <row r="314">
      <c r="A314" s="265"/>
      <c r="B314" s="268"/>
      <c r="C314" s="252"/>
      <c r="D314" s="253"/>
      <c r="F314" s="250"/>
      <c r="G314" s="269"/>
      <c r="H314" s="251"/>
    </row>
    <row r="315">
      <c r="A315" s="270"/>
      <c r="B315" s="271"/>
      <c r="C315" s="272"/>
      <c r="D315" s="273"/>
      <c r="E315" s="18"/>
      <c r="F315" s="274"/>
      <c r="G315" s="18"/>
      <c r="H315" s="261"/>
    </row>
    <row r="316">
      <c r="A316" s="262" t="s">
        <v>1041</v>
      </c>
      <c r="B316" s="239"/>
      <c r="C316" s="263"/>
      <c r="D316" s="264"/>
      <c r="E316" s="242"/>
      <c r="F316" s="243">
        <v>3200.0</v>
      </c>
      <c r="G316" s="244" t="s">
        <v>85</v>
      </c>
      <c r="H316" s="245">
        <v>128.0</v>
      </c>
    </row>
    <row r="317">
      <c r="A317" s="265"/>
      <c r="B317" s="247">
        <v>111000.0</v>
      </c>
      <c r="C317" s="248"/>
      <c r="D317" s="249"/>
      <c r="E317" s="2" t="s">
        <v>328</v>
      </c>
      <c r="F317" s="250"/>
      <c r="G317" s="2" t="s">
        <v>87</v>
      </c>
      <c r="H317" s="267"/>
    </row>
    <row r="318">
      <c r="A318" s="265"/>
      <c r="B318" s="247"/>
      <c r="C318" s="248"/>
      <c r="D318" s="399">
        <v>72968.42</v>
      </c>
      <c r="E318" s="398" t="s">
        <v>328</v>
      </c>
      <c r="F318" s="284"/>
      <c r="G318" s="398" t="s">
        <v>114</v>
      </c>
      <c r="H318" s="251"/>
    </row>
    <row r="319">
      <c r="A319" s="265"/>
      <c r="B319" s="247">
        <v>55497.29</v>
      </c>
      <c r="C319" s="248"/>
      <c r="D319" s="249"/>
      <c r="F319" s="250"/>
      <c r="G319" s="2" t="s">
        <v>142</v>
      </c>
      <c r="H319" s="251"/>
    </row>
    <row r="320">
      <c r="A320" s="265"/>
      <c r="B320" s="247"/>
      <c r="C320" s="248"/>
      <c r="D320" s="249"/>
      <c r="F320" s="250"/>
      <c r="H320" s="251"/>
    </row>
    <row r="321">
      <c r="A321" s="265"/>
      <c r="B321" s="247"/>
      <c r="C321" s="248"/>
      <c r="D321" s="249"/>
      <c r="F321" s="250"/>
      <c r="H321" s="251"/>
    </row>
    <row r="322">
      <c r="A322" s="265"/>
      <c r="B322" s="247"/>
      <c r="C322" s="248"/>
      <c r="D322" s="249"/>
      <c r="F322" s="250"/>
      <c r="H322" s="251"/>
    </row>
    <row r="323">
      <c r="A323" s="265"/>
      <c r="B323" s="247"/>
      <c r="C323" s="252"/>
      <c r="D323" s="249"/>
      <c r="F323" s="250"/>
      <c r="H323" s="251"/>
    </row>
    <row r="324">
      <c r="A324" s="265"/>
      <c r="B324" s="247"/>
      <c r="C324" s="252"/>
      <c r="D324" s="253"/>
      <c r="F324" s="250"/>
      <c r="H324" s="251"/>
    </row>
    <row r="325">
      <c r="A325" s="265"/>
      <c r="B325" s="247"/>
      <c r="C325" s="252"/>
      <c r="D325" s="249"/>
      <c r="F325" s="250"/>
      <c r="H325" s="251"/>
    </row>
    <row r="326">
      <c r="A326" s="265"/>
      <c r="B326" s="247"/>
      <c r="C326" s="252"/>
      <c r="D326" s="253"/>
      <c r="F326" s="250"/>
      <c r="H326" s="251"/>
    </row>
    <row r="327">
      <c r="A327" s="265"/>
      <c r="B327" s="247"/>
      <c r="C327" s="252"/>
      <c r="D327" s="253"/>
      <c r="F327" s="250"/>
      <c r="H327" s="251"/>
    </row>
    <row r="328">
      <c r="A328" s="265"/>
      <c r="B328" s="247"/>
      <c r="C328" s="252"/>
      <c r="D328" s="249"/>
      <c r="F328" s="250"/>
      <c r="H328" s="251"/>
    </row>
    <row r="329">
      <c r="A329" s="270"/>
      <c r="B329" s="271"/>
      <c r="C329" s="272"/>
      <c r="D329" s="273"/>
      <c r="E329" s="18"/>
      <c r="F329" s="259"/>
      <c r="G329" s="293"/>
      <c r="H329" s="261"/>
    </row>
    <row r="330">
      <c r="A330" s="262" t="s">
        <v>1042</v>
      </c>
      <c r="B330" s="239"/>
      <c r="C330" s="263">
        <v>144444.7</v>
      </c>
      <c r="D330" s="264"/>
      <c r="E330" s="244"/>
      <c r="F330" s="243"/>
      <c r="G330" s="244" t="s">
        <v>71</v>
      </c>
      <c r="H330" s="245">
        <v>163.0</v>
      </c>
    </row>
    <row r="331">
      <c r="A331" s="265"/>
      <c r="B331" s="247">
        <v>26485.08</v>
      </c>
      <c r="C331" s="248"/>
      <c r="D331" s="249"/>
      <c r="F331" s="250"/>
      <c r="G331" s="2" t="s">
        <v>82</v>
      </c>
      <c r="H331" s="267"/>
    </row>
    <row r="332">
      <c r="A332" s="265"/>
      <c r="B332" s="404">
        <v>44700.0</v>
      </c>
      <c r="C332" s="405"/>
      <c r="D332" s="399"/>
      <c r="E332" s="398" t="s">
        <v>328</v>
      </c>
      <c r="F332" s="284"/>
      <c r="G332" s="398" t="s">
        <v>75</v>
      </c>
      <c r="H332" s="267"/>
    </row>
    <row r="333">
      <c r="A333" s="265"/>
      <c r="B333" s="404"/>
      <c r="C333" s="405"/>
      <c r="D333" s="399"/>
      <c r="E333" s="398"/>
      <c r="F333" s="284">
        <v>1340.0</v>
      </c>
      <c r="G333" s="398" t="s">
        <v>313</v>
      </c>
      <c r="H333" s="251"/>
    </row>
    <row r="334">
      <c r="A334" s="265"/>
      <c r="B334" s="247"/>
      <c r="C334" s="248"/>
      <c r="D334" s="249"/>
      <c r="F334" s="250"/>
      <c r="H334" s="251"/>
    </row>
    <row r="335">
      <c r="A335" s="265"/>
      <c r="B335" s="247"/>
      <c r="C335" s="252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49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53"/>
      <c r="F341" s="250"/>
      <c r="H341" s="251"/>
    </row>
    <row r="342">
      <c r="A342" s="265"/>
      <c r="B342" s="268"/>
      <c r="C342" s="252"/>
      <c r="D342" s="253"/>
      <c r="F342" s="250"/>
      <c r="H342" s="251"/>
    </row>
    <row r="343">
      <c r="A343" s="265"/>
      <c r="B343" s="268"/>
      <c r="C343" s="252"/>
      <c r="D343" s="253"/>
      <c r="F343" s="250"/>
      <c r="H343" s="251"/>
    </row>
    <row r="344">
      <c r="A344" s="265"/>
      <c r="B344" s="268"/>
      <c r="C344" s="252"/>
      <c r="D344" s="253"/>
      <c r="F344" s="250"/>
      <c r="H344" s="251"/>
    </row>
    <row r="345">
      <c r="A345" s="265"/>
      <c r="B345" s="268"/>
      <c r="C345" s="252"/>
      <c r="D345" s="253"/>
      <c r="F345" s="250"/>
      <c r="H345" s="251"/>
    </row>
    <row r="346">
      <c r="A346" s="265"/>
      <c r="B346" s="268"/>
      <c r="C346" s="252"/>
      <c r="D346" s="253"/>
      <c r="F346" s="250"/>
      <c r="H346" s="251"/>
    </row>
    <row r="347">
      <c r="A347" s="270"/>
      <c r="B347" s="271"/>
      <c r="C347" s="272"/>
      <c r="D347" s="273"/>
      <c r="E347" s="18"/>
      <c r="F347" s="274"/>
      <c r="G347" s="18"/>
      <c r="H347" s="261"/>
    </row>
    <row r="348">
      <c r="A348" s="262" t="s">
        <v>1043</v>
      </c>
      <c r="B348" s="239"/>
      <c r="C348" s="263">
        <v>103405.45</v>
      </c>
      <c r="D348" s="421"/>
      <c r="E348" s="422"/>
      <c r="F348" s="423"/>
      <c r="G348" s="402" t="s">
        <v>89</v>
      </c>
      <c r="H348" s="245">
        <v>85.0</v>
      </c>
    </row>
    <row r="349">
      <c r="A349" s="265"/>
      <c r="B349" s="247"/>
      <c r="C349" s="248"/>
      <c r="D349" s="249">
        <v>21551.19</v>
      </c>
      <c r="E349" s="2" t="s">
        <v>328</v>
      </c>
      <c r="F349" s="250"/>
      <c r="G349" s="2" t="s">
        <v>73</v>
      </c>
      <c r="H349" s="267"/>
    </row>
    <row r="350">
      <c r="A350" s="265"/>
      <c r="B350" s="247"/>
      <c r="C350" s="248"/>
      <c r="D350" s="249">
        <v>49360.0</v>
      </c>
      <c r="E350" s="2" t="s">
        <v>328</v>
      </c>
      <c r="F350" s="250"/>
      <c r="G350" s="2" t="s">
        <v>74</v>
      </c>
      <c r="H350" s="267"/>
    </row>
    <row r="351">
      <c r="A351" s="265"/>
      <c r="B351" s="247"/>
      <c r="C351" s="248"/>
      <c r="D351" s="249">
        <v>173000.0</v>
      </c>
      <c r="F351" s="250"/>
      <c r="G351" s="2" t="s">
        <v>1044</v>
      </c>
      <c r="H351" s="251"/>
    </row>
    <row r="352">
      <c r="A352" s="265"/>
      <c r="B352" s="247"/>
      <c r="C352" s="252"/>
      <c r="D352" s="249"/>
      <c r="F352" s="250"/>
      <c r="H352" s="251"/>
    </row>
    <row r="353">
      <c r="A353" s="265"/>
      <c r="B353" s="247"/>
      <c r="C353" s="252"/>
      <c r="D353" s="253"/>
      <c r="F353" s="250"/>
      <c r="H353" s="251"/>
    </row>
    <row r="354">
      <c r="A354" s="265"/>
      <c r="B354" s="247"/>
      <c r="C354" s="252"/>
      <c r="D354" s="249"/>
      <c r="F354" s="250"/>
      <c r="H354" s="251"/>
    </row>
    <row r="355">
      <c r="A355" s="265"/>
      <c r="B355" s="268"/>
      <c r="C355" s="252"/>
      <c r="D355" s="249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47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47"/>
      <c r="C359" s="252"/>
      <c r="D359" s="253"/>
      <c r="F359" s="250"/>
      <c r="H359" s="251"/>
    </row>
    <row r="360">
      <c r="A360" s="265"/>
      <c r="B360" s="268"/>
      <c r="C360" s="252"/>
      <c r="D360" s="253"/>
      <c r="F360" s="250"/>
      <c r="H360" s="251"/>
    </row>
    <row r="361">
      <c r="A361" s="265"/>
      <c r="B361" s="268"/>
      <c r="C361" s="252"/>
      <c r="D361" s="253"/>
      <c r="F361" s="250"/>
      <c r="H361" s="251"/>
    </row>
    <row r="362">
      <c r="A362" s="265"/>
      <c r="B362" s="268"/>
      <c r="C362" s="252"/>
      <c r="D362" s="253"/>
      <c r="F362" s="250"/>
      <c r="H362" s="251"/>
    </row>
    <row r="363">
      <c r="A363" s="265"/>
      <c r="B363" s="268"/>
      <c r="C363" s="252"/>
      <c r="D363" s="253"/>
      <c r="F363" s="250"/>
      <c r="H363" s="251"/>
    </row>
    <row r="364">
      <c r="A364" s="265"/>
      <c r="B364" s="268"/>
      <c r="C364" s="252"/>
      <c r="D364" s="253"/>
      <c r="F364" s="250"/>
      <c r="H364" s="251"/>
    </row>
    <row r="365">
      <c r="A365" s="270"/>
      <c r="B365" s="271"/>
      <c r="C365" s="272"/>
      <c r="D365" s="273"/>
      <c r="E365" s="18"/>
      <c r="F365" s="274"/>
      <c r="G365" s="18"/>
      <c r="H365" s="261"/>
    </row>
    <row r="366">
      <c r="A366" s="262" t="s">
        <v>1045</v>
      </c>
      <c r="B366" s="239"/>
      <c r="C366" s="263">
        <v>139513.47</v>
      </c>
      <c r="D366" s="264"/>
      <c r="E366" s="242"/>
      <c r="F366" s="243"/>
      <c r="G366" s="2" t="s">
        <v>1046</v>
      </c>
      <c r="H366" s="245">
        <v>70.0</v>
      </c>
    </row>
    <row r="367">
      <c r="A367" s="265"/>
      <c r="B367" s="247">
        <v>29300.0</v>
      </c>
      <c r="C367" s="248"/>
      <c r="D367" s="288"/>
      <c r="F367" s="250"/>
      <c r="G367" s="2" t="s">
        <v>75</v>
      </c>
      <c r="H367" s="267"/>
      <c r="I367" s="2" t="s">
        <v>1047</v>
      </c>
    </row>
    <row r="368">
      <c r="A368" s="265"/>
      <c r="B368" s="247">
        <v>43000.0</v>
      </c>
      <c r="C368" s="248"/>
      <c r="D368" s="249"/>
      <c r="F368" s="250"/>
      <c r="G368" s="2" t="s">
        <v>1048</v>
      </c>
      <c r="H368" s="267"/>
    </row>
    <row r="369">
      <c r="A369" s="265"/>
      <c r="B369" s="247">
        <v>26485.08</v>
      </c>
      <c r="C369" s="252"/>
      <c r="D369" s="249"/>
      <c r="F369" s="250"/>
      <c r="G369" s="2" t="s">
        <v>82</v>
      </c>
      <c r="H369" s="251"/>
    </row>
    <row r="370">
      <c r="A370" s="265"/>
      <c r="B370" s="268"/>
      <c r="C370" s="252"/>
      <c r="D370" s="249"/>
      <c r="F370" s="250"/>
      <c r="H370" s="294"/>
    </row>
    <row r="371">
      <c r="A371" s="265"/>
      <c r="B371" s="247"/>
      <c r="C371" s="252"/>
      <c r="D371" s="249"/>
      <c r="F371" s="250"/>
      <c r="H371" s="251"/>
    </row>
    <row r="372">
      <c r="A372" s="265"/>
      <c r="B372" s="247"/>
      <c r="C372" s="252"/>
      <c r="D372" s="249"/>
      <c r="F372" s="250"/>
      <c r="H372" s="251"/>
    </row>
    <row r="373">
      <c r="A373" s="265"/>
      <c r="B373" s="268"/>
      <c r="C373" s="252"/>
      <c r="D373" s="249"/>
      <c r="F373" s="250"/>
      <c r="H373" s="267"/>
    </row>
    <row r="374">
      <c r="A374" s="265"/>
      <c r="B374" s="268"/>
      <c r="C374" s="252"/>
      <c r="D374" s="249"/>
      <c r="F374" s="250"/>
      <c r="H374" s="251"/>
    </row>
    <row r="375">
      <c r="A375" s="265"/>
      <c r="B375" s="247"/>
      <c r="C375" s="252"/>
      <c r="D375" s="249"/>
      <c r="F375" s="250"/>
      <c r="H375" s="267"/>
    </row>
    <row r="376">
      <c r="A376" s="270"/>
      <c r="B376" s="271"/>
      <c r="C376" s="272"/>
      <c r="D376" s="295"/>
      <c r="E376" s="18"/>
      <c r="F376" s="274"/>
      <c r="G376" s="293"/>
      <c r="H376" s="261"/>
    </row>
    <row r="377">
      <c r="A377" s="262" t="s">
        <v>187</v>
      </c>
      <c r="B377" s="239"/>
      <c r="C377" s="240"/>
      <c r="D377" s="317">
        <v>59697.33</v>
      </c>
      <c r="E377" s="242"/>
      <c r="F377" s="243"/>
      <c r="G377" s="2" t="s">
        <v>188</v>
      </c>
      <c r="H377" s="297"/>
      <c r="I377" s="2" t="s">
        <v>189</v>
      </c>
    </row>
    <row r="378">
      <c r="A378" s="265"/>
      <c r="B378" s="247"/>
      <c r="C378" s="248"/>
      <c r="D378" s="298">
        <v>16179.35</v>
      </c>
      <c r="F378" s="250"/>
      <c r="G378" s="2" t="s">
        <v>190</v>
      </c>
      <c r="H378" s="294">
        <v>45303.0</v>
      </c>
    </row>
    <row r="379">
      <c r="A379" s="265"/>
      <c r="B379" s="247"/>
      <c r="C379" s="248"/>
      <c r="D379" s="249"/>
      <c r="F379" s="250"/>
      <c r="G379" s="2" t="s">
        <v>191</v>
      </c>
      <c r="H379" s="294"/>
    </row>
    <row r="380">
      <c r="A380" s="265"/>
      <c r="B380" s="268"/>
      <c r="C380" s="252"/>
      <c r="D380" s="249"/>
      <c r="F380" s="250"/>
      <c r="H380" s="294"/>
    </row>
    <row r="381">
      <c r="A381" s="265"/>
      <c r="B381" s="268"/>
      <c r="C381" s="252"/>
      <c r="D381" s="249">
        <v>108900.0</v>
      </c>
      <c r="F381" s="250"/>
      <c r="G381" s="2" t="s">
        <v>192</v>
      </c>
      <c r="H381" s="294">
        <v>45303.0</v>
      </c>
    </row>
    <row r="382">
      <c r="A382" s="265"/>
      <c r="B382" s="268"/>
      <c r="C382" s="252"/>
      <c r="D382" s="253"/>
      <c r="F382" s="250">
        <v>160000.0</v>
      </c>
      <c r="G382" s="2" t="s">
        <v>193</v>
      </c>
      <c r="H382" s="267" t="s">
        <v>1049</v>
      </c>
    </row>
    <row r="383">
      <c r="A383" s="265"/>
      <c r="B383" s="247"/>
      <c r="C383" s="252"/>
      <c r="D383" s="249">
        <v>149228.0</v>
      </c>
      <c r="F383" s="250"/>
      <c r="G383" s="2" t="s">
        <v>1050</v>
      </c>
      <c r="H383" s="294">
        <v>45321.0</v>
      </c>
    </row>
    <row r="384">
      <c r="A384" s="265"/>
      <c r="B384" s="247"/>
      <c r="C384" s="252"/>
      <c r="D384" s="249">
        <v>75000.0</v>
      </c>
      <c r="F384" s="250"/>
      <c r="G384" s="2" t="s">
        <v>196</v>
      </c>
      <c r="H384" s="294">
        <v>45302.0</v>
      </c>
      <c r="I384" s="318"/>
    </row>
    <row r="385">
      <c r="A385" s="265"/>
      <c r="B385" s="247">
        <v>24172.52</v>
      </c>
      <c r="C385" s="252"/>
      <c r="D385" s="249"/>
      <c r="F385" s="250"/>
      <c r="G385" s="2" t="s">
        <v>197</v>
      </c>
      <c r="H385" s="294"/>
      <c r="I385" s="2" t="s">
        <v>198</v>
      </c>
    </row>
    <row r="386">
      <c r="A386" s="265"/>
      <c r="B386" s="268"/>
      <c r="C386" s="252"/>
      <c r="D386" s="249">
        <v>20663.87</v>
      </c>
      <c r="F386" s="250"/>
      <c r="G386" s="2" t="s">
        <v>199</v>
      </c>
      <c r="H386" s="294"/>
      <c r="I386" s="2" t="s">
        <v>189</v>
      </c>
    </row>
    <row r="387">
      <c r="A387" s="265"/>
      <c r="B387" s="247"/>
      <c r="C387" s="252"/>
      <c r="D387" s="249">
        <v>54367.3</v>
      </c>
      <c r="F387" s="250"/>
      <c r="G387" s="2" t="s">
        <v>200</v>
      </c>
      <c r="H387" s="294"/>
      <c r="I387" s="2" t="s">
        <v>189</v>
      </c>
    </row>
    <row r="388">
      <c r="A388" s="265"/>
      <c r="B388" s="278"/>
      <c r="C388" s="248"/>
      <c r="D388" s="296">
        <v>7260.43</v>
      </c>
      <c r="F388" s="282"/>
      <c r="G388" s="2" t="s">
        <v>201</v>
      </c>
      <c r="H388" s="294"/>
      <c r="I388" s="2" t="s">
        <v>189</v>
      </c>
    </row>
    <row r="389">
      <c r="A389" s="270"/>
      <c r="B389" s="277"/>
      <c r="C389" s="248"/>
      <c r="D389" s="295"/>
      <c r="F389" s="250"/>
      <c r="H389" s="294"/>
    </row>
    <row r="390">
      <c r="A390" s="299"/>
      <c r="B390" s="278"/>
      <c r="C390" s="248"/>
      <c r="D390" s="295"/>
      <c r="F390" s="282"/>
      <c r="H390" s="294"/>
    </row>
    <row r="391">
      <c r="A391" s="299"/>
      <c r="B391" s="278"/>
      <c r="C391" s="248"/>
      <c r="D391" s="300">
        <v>356097.27</v>
      </c>
      <c r="F391" s="282"/>
      <c r="G391" s="2" t="s">
        <v>202</v>
      </c>
      <c r="H391" s="301">
        <v>45301.0</v>
      </c>
      <c r="I391" s="2" t="s">
        <v>203</v>
      </c>
    </row>
    <row r="392">
      <c r="A392" s="299"/>
      <c r="B392" s="278"/>
      <c r="C392" s="248"/>
      <c r="D392" s="295"/>
      <c r="F392" s="250"/>
      <c r="G392" s="2" t="s">
        <v>204</v>
      </c>
      <c r="H392" s="301"/>
    </row>
    <row r="393">
      <c r="A393" s="303"/>
      <c r="B393" s="278"/>
      <c r="C393" s="252"/>
      <c r="D393" s="249"/>
      <c r="F393" s="250"/>
      <c r="G393" s="2" t="s">
        <v>205</v>
      </c>
      <c r="H393" s="301"/>
    </row>
    <row r="394">
      <c r="A394" s="303"/>
      <c r="B394" s="268"/>
      <c r="C394" s="252"/>
      <c r="D394" s="249"/>
      <c r="F394" s="250"/>
      <c r="G394" s="2" t="s">
        <v>735</v>
      </c>
      <c r="H394" s="301"/>
    </row>
    <row r="395">
      <c r="A395" s="303"/>
      <c r="B395" s="247"/>
      <c r="C395" s="252"/>
      <c r="D395" s="249" t="s">
        <v>1051</v>
      </c>
      <c r="F395" s="250"/>
      <c r="G395" s="2" t="s">
        <v>206</v>
      </c>
      <c r="H395" s="294"/>
      <c r="I395" s="2" t="s">
        <v>203</v>
      </c>
    </row>
    <row r="396">
      <c r="A396" s="303"/>
      <c r="B396" s="268"/>
      <c r="C396" s="252"/>
      <c r="D396" s="300">
        <v>142499.15</v>
      </c>
      <c r="F396" s="332"/>
      <c r="G396" s="2" t="s">
        <v>209</v>
      </c>
      <c r="H396" s="294">
        <v>45301.0</v>
      </c>
      <c r="I396" s="2" t="s">
        <v>666</v>
      </c>
    </row>
    <row r="397">
      <c r="A397" s="303"/>
      <c r="B397" s="247">
        <v>450000.0</v>
      </c>
      <c r="C397" s="252"/>
      <c r="D397" s="249"/>
      <c r="F397" s="250"/>
      <c r="G397" s="2" t="s">
        <v>1052</v>
      </c>
      <c r="H397" s="294"/>
    </row>
    <row r="398">
      <c r="A398" s="303"/>
      <c r="B398" s="268"/>
      <c r="C398" s="252"/>
      <c r="D398" s="249"/>
      <c r="F398" s="250"/>
      <c r="H398" s="294"/>
    </row>
    <row r="399">
      <c r="A399" s="303"/>
      <c r="B399" s="268"/>
      <c r="C399" s="252"/>
      <c r="D399" s="249"/>
      <c r="F399" s="250"/>
      <c r="H399" s="294"/>
    </row>
    <row r="400">
      <c r="A400" s="303"/>
      <c r="B400" s="247">
        <v>23200.0</v>
      </c>
      <c r="C400" s="252"/>
      <c r="D400" s="331"/>
      <c r="F400" s="266"/>
      <c r="G400" s="2" t="s">
        <v>667</v>
      </c>
      <c r="H400" s="251"/>
    </row>
    <row r="401">
      <c r="A401" s="304"/>
      <c r="B401" s="268"/>
      <c r="C401" s="252"/>
      <c r="D401" s="249">
        <v>74000.0</v>
      </c>
      <c r="F401" s="332"/>
      <c r="G401" s="2" t="s">
        <v>602</v>
      </c>
      <c r="H401" s="294">
        <v>45313.0</v>
      </c>
    </row>
    <row r="402">
      <c r="A402" s="305"/>
      <c r="B402" s="406">
        <f>SUM(B377:B401)</f>
        <v>497372.52</v>
      </c>
      <c r="C402" s="272"/>
      <c r="D402" s="392">
        <f>SUM(D377:D401)</f>
        <v>1063892.7</v>
      </c>
      <c r="E402" s="18"/>
      <c r="F402" s="393">
        <f>SUM(F377:F401)</f>
        <v>160000</v>
      </c>
      <c r="G402" s="18"/>
      <c r="H402" s="261"/>
    </row>
    <row r="403">
      <c r="A403" s="265"/>
      <c r="B403" s="306"/>
      <c r="C403" s="240"/>
      <c r="D403" s="241"/>
      <c r="E403" s="242"/>
      <c r="F403" s="243"/>
      <c r="G403" s="244"/>
      <c r="H403" s="307"/>
    </row>
    <row r="404">
      <c r="A404" s="265"/>
      <c r="B404" s="268"/>
      <c r="C404" s="252"/>
      <c r="D404" s="253"/>
      <c r="F404" s="250"/>
      <c r="H404" s="251"/>
    </row>
    <row r="405">
      <c r="A405" s="265"/>
      <c r="B405" s="268"/>
      <c r="C405" s="252"/>
      <c r="D405" s="253"/>
      <c r="F405" s="250"/>
      <c r="H405" s="251"/>
    </row>
    <row r="406">
      <c r="A406" s="265"/>
      <c r="B406" s="268"/>
      <c r="C406" s="252"/>
      <c r="D406" s="253"/>
      <c r="F406" s="250"/>
      <c r="H406" s="251"/>
    </row>
    <row r="407">
      <c r="A407" s="265"/>
      <c r="B407" s="268"/>
      <c r="C407" s="252"/>
      <c r="D407" s="253"/>
      <c r="F407" s="250"/>
      <c r="H407" s="251"/>
    </row>
    <row r="408">
      <c r="A408" s="265"/>
      <c r="B408" s="268"/>
      <c r="C408" s="252"/>
      <c r="D408" s="253"/>
      <c r="F408" s="250"/>
      <c r="H408" s="251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70"/>
      <c r="B411" s="268"/>
      <c r="C411" s="252"/>
      <c r="D411" s="253"/>
      <c r="F411" s="250"/>
      <c r="H411" s="251"/>
    </row>
    <row r="412">
      <c r="A412" s="305"/>
      <c r="B412" s="271"/>
      <c r="C412" s="272"/>
      <c r="D412" s="273"/>
      <c r="E412" s="18"/>
      <c r="F412" s="274"/>
      <c r="G412" s="18"/>
      <c r="H412" s="261"/>
    </row>
    <row r="413">
      <c r="A413" s="265"/>
      <c r="B413" s="306"/>
      <c r="C413" s="240"/>
      <c r="D413" s="241"/>
      <c r="E413" s="242"/>
      <c r="F413" s="243"/>
      <c r="G413" s="244"/>
      <c r="H413" s="307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70"/>
      <c r="B421" s="268"/>
      <c r="C421" s="252"/>
      <c r="D421" s="253"/>
      <c r="F421" s="250"/>
      <c r="H421" s="251"/>
    </row>
    <row r="422">
      <c r="B422" s="271"/>
      <c r="C422" s="272"/>
      <c r="D422" s="273"/>
      <c r="E422" s="18"/>
      <c r="F422" s="274"/>
      <c r="G422" s="18"/>
      <c r="H422" s="261"/>
    </row>
    <row r="423">
      <c r="B423" s="306"/>
      <c r="C423" s="240"/>
      <c r="D423" s="241"/>
      <c r="E423" s="242"/>
      <c r="F423" s="243"/>
      <c r="G423" s="244"/>
      <c r="H423" s="307"/>
    </row>
    <row r="424">
      <c r="B424" s="268"/>
      <c r="C424" s="252"/>
      <c r="D424" s="253"/>
      <c r="F424" s="250"/>
      <c r="H424" s="251"/>
    </row>
    <row r="425">
      <c r="B425" s="268"/>
      <c r="C425" s="252"/>
      <c r="D425" s="253"/>
      <c r="F425" s="250"/>
      <c r="H425" s="251"/>
    </row>
    <row r="426">
      <c r="B426" s="308"/>
      <c r="C426" s="252"/>
      <c r="D426" s="253"/>
      <c r="F426" s="309"/>
      <c r="H426" s="302"/>
    </row>
    <row r="427">
      <c r="B427" s="308"/>
      <c r="C427" s="252"/>
      <c r="D427" s="253"/>
      <c r="F427" s="309"/>
      <c r="H427" s="302"/>
    </row>
    <row r="428">
      <c r="B428" s="308"/>
      <c r="C428" s="252"/>
      <c r="D428" s="253"/>
      <c r="F428" s="309"/>
      <c r="H428" s="302"/>
    </row>
    <row r="429">
      <c r="B429" s="308"/>
      <c r="C429" s="252"/>
      <c r="D429" s="253"/>
      <c r="F429" s="309"/>
      <c r="H429" s="302"/>
    </row>
    <row r="430">
      <c r="B430" s="308"/>
      <c r="C430" s="252"/>
      <c r="D430" s="253"/>
      <c r="F430" s="309"/>
      <c r="H430" s="302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</sheetData>
  <mergeCells count="29">
    <mergeCell ref="A2:A14"/>
    <mergeCell ref="A15:A28"/>
    <mergeCell ref="A31:A40"/>
    <mergeCell ref="A41:A54"/>
    <mergeCell ref="A55:A66"/>
    <mergeCell ref="A67:A82"/>
    <mergeCell ref="A83:A96"/>
    <mergeCell ref="A97:A114"/>
    <mergeCell ref="A115:A129"/>
    <mergeCell ref="A130:A144"/>
    <mergeCell ref="A145:A154"/>
    <mergeCell ref="A155:A169"/>
    <mergeCell ref="A170:A185"/>
    <mergeCell ref="A186:A200"/>
    <mergeCell ref="A301:A315"/>
    <mergeCell ref="A316:A329"/>
    <mergeCell ref="A330:A347"/>
    <mergeCell ref="A348:A365"/>
    <mergeCell ref="A366:A376"/>
    <mergeCell ref="A377:A389"/>
    <mergeCell ref="A402:A411"/>
    <mergeCell ref="A412:A421"/>
    <mergeCell ref="A201:A212"/>
    <mergeCell ref="A213:A227"/>
    <mergeCell ref="A228:A241"/>
    <mergeCell ref="A242:A256"/>
    <mergeCell ref="A257:A269"/>
    <mergeCell ref="A270:A285"/>
    <mergeCell ref="A286:A30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34.5"/>
    <col customWidth="1" min="8" max="8" width="10.13"/>
  </cols>
  <sheetData>
    <row r="1" ht="27.0" customHeight="1">
      <c r="A1" s="407" t="s">
        <v>46</v>
      </c>
      <c r="B1" s="408" t="s">
        <v>52</v>
      </c>
      <c r="C1" s="409" t="s">
        <v>53</v>
      </c>
      <c r="D1" s="410" t="s">
        <v>54</v>
      </c>
      <c r="E1" s="411"/>
      <c r="F1" s="412" t="s">
        <v>529</v>
      </c>
      <c r="G1" s="411"/>
      <c r="H1" s="413" t="s">
        <v>57</v>
      </c>
    </row>
    <row r="2">
      <c r="A2" s="262" t="s">
        <v>531</v>
      </c>
      <c r="B2" s="239">
        <v>24689.0</v>
      </c>
      <c r="C2" s="263"/>
      <c r="D2" s="264"/>
      <c r="E2" s="244"/>
      <c r="F2" s="250"/>
      <c r="G2" s="2" t="s">
        <v>1053</v>
      </c>
      <c r="H2" s="245">
        <v>80.0</v>
      </c>
    </row>
    <row r="3">
      <c r="A3" s="265"/>
      <c r="B3" s="247">
        <v>31000.0</v>
      </c>
      <c r="C3" s="248"/>
      <c r="D3" s="249"/>
      <c r="F3" s="266"/>
      <c r="G3" s="2" t="s">
        <v>68</v>
      </c>
      <c r="H3" s="267"/>
    </row>
    <row r="4">
      <c r="A4" s="265"/>
      <c r="B4" s="247">
        <v>51200.0</v>
      </c>
      <c r="C4" s="248"/>
      <c r="D4" s="249"/>
      <c r="F4" s="250"/>
      <c r="G4" s="2" t="s">
        <v>76</v>
      </c>
      <c r="H4" s="251"/>
    </row>
    <row r="5">
      <c r="A5" s="265"/>
      <c r="B5" s="247"/>
      <c r="C5" s="252"/>
      <c r="D5" s="399">
        <v>102000.0</v>
      </c>
      <c r="E5" s="398" t="s">
        <v>328</v>
      </c>
      <c r="F5" s="284"/>
      <c r="G5" s="398" t="s">
        <v>122</v>
      </c>
      <c r="H5" s="251"/>
    </row>
    <row r="6">
      <c r="A6" s="265"/>
      <c r="B6" s="247">
        <v>21667.2</v>
      </c>
      <c r="C6" s="248"/>
      <c r="D6" s="249"/>
      <c r="F6" s="250"/>
      <c r="G6" s="2" t="s">
        <v>291</v>
      </c>
      <c r="H6" s="251"/>
    </row>
    <row r="7">
      <c r="A7" s="265"/>
      <c r="B7" s="247"/>
      <c r="C7" s="248"/>
      <c r="D7" s="249"/>
      <c r="F7" s="250"/>
      <c r="H7" s="251"/>
    </row>
    <row r="8">
      <c r="A8" s="265"/>
      <c r="B8" s="247"/>
      <c r="C8" s="252"/>
      <c r="D8" s="249"/>
      <c r="F8" s="250"/>
      <c r="G8" s="254"/>
      <c r="H8" s="251"/>
    </row>
    <row r="9">
      <c r="A9" s="265"/>
      <c r="B9" s="247"/>
      <c r="C9" s="252"/>
      <c r="D9" s="249"/>
      <c r="F9" s="250"/>
      <c r="G9" s="254"/>
      <c r="H9" s="267"/>
    </row>
    <row r="10">
      <c r="A10" s="265"/>
      <c r="B10" s="247"/>
      <c r="C10" s="252"/>
      <c r="D10" s="253"/>
      <c r="F10" s="250"/>
      <c r="G10" s="254"/>
      <c r="H10" s="267"/>
    </row>
    <row r="11">
      <c r="A11" s="265"/>
      <c r="B11" s="247"/>
      <c r="C11" s="252"/>
      <c r="D11" s="253"/>
      <c r="F11" s="250"/>
      <c r="G11" s="254"/>
      <c r="H11" s="251"/>
    </row>
    <row r="12">
      <c r="A12" s="265"/>
      <c r="B12" s="247"/>
      <c r="C12" s="252"/>
      <c r="D12" s="253"/>
      <c r="F12" s="250"/>
      <c r="G12" s="254"/>
      <c r="H12" s="251"/>
    </row>
    <row r="13">
      <c r="A13" s="265"/>
      <c r="B13" s="268"/>
      <c r="C13" s="252"/>
      <c r="D13" s="253"/>
      <c r="F13" s="250"/>
      <c r="G13" s="269"/>
      <c r="H13" s="251"/>
    </row>
    <row r="14">
      <c r="A14" s="270"/>
      <c r="B14" s="271"/>
      <c r="C14" s="272"/>
      <c r="D14" s="273"/>
      <c r="E14" s="18"/>
      <c r="F14" s="274"/>
      <c r="G14" s="275"/>
      <c r="H14" s="261"/>
    </row>
    <row r="15">
      <c r="A15" s="262" t="s">
        <v>1054</v>
      </c>
      <c r="B15" s="239">
        <v>20700.0</v>
      </c>
      <c r="C15" s="263"/>
      <c r="D15" s="264"/>
      <c r="E15" s="244"/>
      <c r="F15" s="243"/>
      <c r="G15" s="276" t="s">
        <v>75</v>
      </c>
      <c r="H15" s="245"/>
    </row>
    <row r="16">
      <c r="A16" s="265"/>
      <c r="B16" s="281"/>
      <c r="C16" s="248"/>
      <c r="D16" s="249"/>
      <c r="F16" s="250">
        <v>3200.0</v>
      </c>
      <c r="G16" s="2" t="s">
        <v>85</v>
      </c>
      <c r="H16" s="267"/>
    </row>
    <row r="17">
      <c r="A17" s="265"/>
      <c r="B17" s="247">
        <v>13242.54</v>
      </c>
      <c r="C17" s="248"/>
      <c r="D17" s="249"/>
      <c r="F17" s="250"/>
      <c r="G17" s="254" t="s">
        <v>82</v>
      </c>
      <c r="H17" s="251"/>
    </row>
    <row r="18">
      <c r="A18" s="265"/>
      <c r="B18" s="247"/>
      <c r="C18" s="248"/>
      <c r="D18" s="249"/>
      <c r="F18" s="250"/>
      <c r="G18" s="254"/>
      <c r="H18" s="251"/>
    </row>
    <row r="19">
      <c r="A19" s="265"/>
      <c r="B19" s="247"/>
      <c r="C19" s="252"/>
      <c r="D19" s="249"/>
      <c r="F19" s="250"/>
      <c r="G19" s="254"/>
      <c r="H19" s="251"/>
    </row>
    <row r="20">
      <c r="A20" s="265"/>
      <c r="B20" s="247"/>
      <c r="C20" s="248"/>
      <c r="D20" s="249"/>
      <c r="F20" s="250"/>
      <c r="G20" s="254"/>
      <c r="H20" s="267"/>
    </row>
    <row r="21">
      <c r="A21" s="265"/>
      <c r="B21" s="247"/>
      <c r="C21" s="248"/>
      <c r="D21" s="249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51"/>
    </row>
    <row r="23">
      <c r="A23" s="265"/>
      <c r="B23" s="247"/>
      <c r="C23" s="248"/>
      <c r="D23" s="253"/>
      <c r="F23" s="250"/>
      <c r="G23" s="254"/>
      <c r="H23" s="251"/>
    </row>
    <row r="24">
      <c r="A24" s="265"/>
      <c r="B24" s="277"/>
      <c r="C24" s="252"/>
      <c r="D24" s="253"/>
      <c r="F24" s="250"/>
      <c r="G24" s="254"/>
      <c r="H24" s="251"/>
    </row>
    <row r="25">
      <c r="A25" s="265"/>
      <c r="B25" s="277"/>
      <c r="C25" s="252"/>
      <c r="D25" s="253"/>
      <c r="F25" s="250"/>
      <c r="G25" s="254"/>
      <c r="H25" s="251"/>
    </row>
    <row r="26">
      <c r="A26" s="265"/>
      <c r="B26" s="277"/>
      <c r="C26" s="252"/>
      <c r="D26" s="253"/>
      <c r="F26" s="250"/>
      <c r="G26" s="254"/>
      <c r="H26" s="251"/>
    </row>
    <row r="27">
      <c r="A27" s="265"/>
      <c r="B27" s="277"/>
      <c r="C27" s="252"/>
      <c r="D27" s="253"/>
      <c r="F27" s="250"/>
      <c r="G27" s="254"/>
      <c r="H27" s="251"/>
    </row>
    <row r="28">
      <c r="A28" s="270"/>
      <c r="B28" s="279"/>
      <c r="C28" s="272"/>
      <c r="D28" s="273"/>
      <c r="E28" s="18"/>
      <c r="F28" s="259"/>
      <c r="G28" s="260"/>
      <c r="H28" s="261"/>
    </row>
    <row r="29">
      <c r="A29" s="262"/>
      <c r="B29" s="277">
        <v>91448.74</v>
      </c>
      <c r="C29" s="248"/>
      <c r="D29" s="249"/>
      <c r="F29" s="250"/>
      <c r="G29" s="254" t="s">
        <v>142</v>
      </c>
      <c r="H29" s="267">
        <v>84.0</v>
      </c>
    </row>
    <row r="30">
      <c r="A30" s="280"/>
      <c r="B30" s="277">
        <v>40000.0</v>
      </c>
      <c r="C30" s="248"/>
      <c r="D30" s="249"/>
      <c r="F30" s="250"/>
      <c r="G30" s="2" t="s">
        <v>1055</v>
      </c>
      <c r="H30" s="267"/>
    </row>
    <row r="31">
      <c r="A31" s="280" t="s">
        <v>1056</v>
      </c>
      <c r="B31" s="247"/>
      <c r="C31" s="248"/>
      <c r="D31" s="300"/>
      <c r="F31" s="250">
        <v>5000.0</v>
      </c>
      <c r="G31" s="254" t="s">
        <v>1057</v>
      </c>
      <c r="H31" s="251"/>
    </row>
    <row r="32">
      <c r="A32" s="265"/>
      <c r="B32" s="247"/>
      <c r="C32" s="248"/>
      <c r="D32" s="249"/>
      <c r="F32" s="250"/>
      <c r="G32" s="254"/>
      <c r="H32" s="251"/>
    </row>
    <row r="33">
      <c r="A33" s="265"/>
      <c r="B33" s="247"/>
      <c r="C33" s="248"/>
      <c r="D33" s="249"/>
      <c r="F33" s="250"/>
      <c r="G33" s="254"/>
      <c r="H33" s="251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48"/>
      <c r="D35" s="249"/>
      <c r="F35" s="250"/>
      <c r="G35" s="254"/>
      <c r="H35" s="267"/>
    </row>
    <row r="36">
      <c r="A36" s="265"/>
      <c r="B36" s="247"/>
      <c r="C36" s="252"/>
      <c r="D36" s="253"/>
      <c r="F36" s="250"/>
      <c r="G36" s="254"/>
      <c r="H36" s="251"/>
    </row>
    <row r="37">
      <c r="A37" s="265"/>
      <c r="B37" s="247"/>
      <c r="C37" s="248"/>
      <c r="D37" s="253"/>
      <c r="F37" s="250"/>
      <c r="G37" s="254"/>
      <c r="H37" s="251"/>
    </row>
    <row r="38">
      <c r="A38" s="265"/>
      <c r="B38" s="268"/>
      <c r="C38" s="248"/>
      <c r="D38" s="253"/>
      <c r="F38" s="250"/>
      <c r="G38" s="254"/>
      <c r="H38" s="251"/>
    </row>
    <row r="39">
      <c r="A39" s="265"/>
      <c r="B39" s="268"/>
      <c r="C39" s="252"/>
      <c r="D39" s="253"/>
      <c r="F39" s="250"/>
      <c r="G39" s="254"/>
      <c r="H39" s="251"/>
    </row>
    <row r="40">
      <c r="A40" s="270"/>
      <c r="B40" s="271"/>
      <c r="C40" s="272"/>
      <c r="D40" s="273"/>
      <c r="E40" s="18"/>
      <c r="F40" s="274"/>
      <c r="G40" s="260"/>
      <c r="H40" s="261"/>
    </row>
    <row r="41">
      <c r="A41" s="262" t="s">
        <v>1058</v>
      </c>
      <c r="B41" s="239">
        <v>111000.0</v>
      </c>
      <c r="C41" s="263"/>
      <c r="D41" s="264"/>
      <c r="E41" s="242"/>
      <c r="F41" s="243"/>
      <c r="G41" s="276" t="s">
        <v>87</v>
      </c>
      <c r="H41" s="245">
        <v>150.0</v>
      </c>
    </row>
    <row r="42">
      <c r="A42" s="265"/>
      <c r="B42" s="247">
        <v>44250.0</v>
      </c>
      <c r="C42" s="248"/>
      <c r="D42" s="249"/>
      <c r="F42" s="250"/>
      <c r="G42" s="254" t="s">
        <v>75</v>
      </c>
      <c r="H42" s="267"/>
    </row>
    <row r="43">
      <c r="A43" s="265"/>
      <c r="B43" s="339"/>
      <c r="C43" s="248"/>
      <c r="D43" s="249"/>
      <c r="F43" s="250">
        <v>1500.0</v>
      </c>
      <c r="G43" s="254" t="s">
        <v>552</v>
      </c>
      <c r="H43" s="251"/>
    </row>
    <row r="44">
      <c r="A44" s="265"/>
      <c r="B44" s="339"/>
      <c r="C44" s="248"/>
      <c r="D44" s="249"/>
      <c r="F44" s="250">
        <v>1400.0</v>
      </c>
      <c r="G44" s="254" t="s">
        <v>1059</v>
      </c>
      <c r="H44" s="267"/>
    </row>
    <row r="45">
      <c r="A45" s="265"/>
      <c r="B45" s="247"/>
      <c r="C45" s="248">
        <v>101657.85</v>
      </c>
      <c r="D45" s="249"/>
      <c r="F45" s="250"/>
      <c r="G45" s="254" t="s">
        <v>71</v>
      </c>
      <c r="H45" s="251"/>
    </row>
    <row r="46">
      <c r="A46" s="265"/>
      <c r="B46" s="247"/>
      <c r="C46" s="252"/>
      <c r="D46" s="249"/>
      <c r="F46" s="250"/>
      <c r="G46" s="254"/>
      <c r="H46" s="251"/>
    </row>
    <row r="47">
      <c r="A47" s="265"/>
      <c r="B47" s="247"/>
      <c r="C47" s="252"/>
      <c r="D47" s="249"/>
      <c r="F47" s="250"/>
      <c r="G47" s="254"/>
      <c r="H47" s="251"/>
    </row>
    <row r="48">
      <c r="A48" s="265"/>
      <c r="B48" s="247"/>
      <c r="C48" s="252"/>
      <c r="D48" s="253"/>
      <c r="F48" s="250"/>
      <c r="G48" s="254"/>
      <c r="H48" s="251"/>
    </row>
    <row r="49">
      <c r="A49" s="265"/>
      <c r="B49" s="247"/>
      <c r="C49" s="248"/>
      <c r="D49" s="253"/>
      <c r="F49" s="250"/>
      <c r="G49" s="254"/>
      <c r="H49" s="251"/>
    </row>
    <row r="50">
      <c r="A50" s="265"/>
      <c r="B50" s="247"/>
      <c r="C50" s="248"/>
      <c r="D50" s="249"/>
      <c r="F50" s="250"/>
      <c r="H50" s="251"/>
    </row>
    <row r="51">
      <c r="A51" s="265"/>
      <c r="B51" s="247"/>
      <c r="C51" s="248"/>
      <c r="D51" s="249"/>
      <c r="F51" s="250"/>
      <c r="G51" s="254"/>
      <c r="H51" s="251"/>
    </row>
    <row r="52">
      <c r="A52" s="265"/>
      <c r="B52" s="268"/>
      <c r="C52" s="248"/>
      <c r="D52" s="249"/>
      <c r="F52" s="250"/>
      <c r="G52" s="254"/>
      <c r="H52" s="251"/>
    </row>
    <row r="53">
      <c r="A53" s="265"/>
      <c r="B53" s="278"/>
      <c r="C53" s="252"/>
      <c r="D53" s="253"/>
      <c r="F53" s="250"/>
      <c r="G53" s="269"/>
      <c r="H53" s="251"/>
    </row>
    <row r="54">
      <c r="A54" s="270"/>
      <c r="B54" s="271"/>
      <c r="C54" s="272"/>
      <c r="D54" s="273"/>
      <c r="E54" s="18"/>
      <c r="F54" s="274"/>
      <c r="G54" s="275"/>
      <c r="H54" s="261"/>
    </row>
    <row r="55">
      <c r="A55" s="262" t="s">
        <v>1060</v>
      </c>
      <c r="B55" s="239"/>
      <c r="C55" s="263">
        <v>104285.4</v>
      </c>
      <c r="D55" s="264"/>
      <c r="E55" s="244"/>
      <c r="F55" s="243"/>
      <c r="G55" s="276" t="s">
        <v>89</v>
      </c>
      <c r="H55" s="245">
        <v>156.0</v>
      </c>
    </row>
    <row r="56">
      <c r="A56" s="265"/>
      <c r="B56" s="247">
        <v>34784.58</v>
      </c>
      <c r="C56" s="248"/>
      <c r="D56" s="249"/>
      <c r="F56" s="250"/>
      <c r="G56" s="254" t="s">
        <v>73</v>
      </c>
      <c r="H56" s="267"/>
    </row>
    <row r="57">
      <c r="A57" s="265"/>
      <c r="B57" s="397">
        <v>38548.14</v>
      </c>
      <c r="C57" s="252"/>
      <c r="D57" s="249"/>
      <c r="F57" s="250"/>
      <c r="G57" s="2" t="s">
        <v>74</v>
      </c>
      <c r="H57" s="310"/>
    </row>
    <row r="58">
      <c r="A58" s="265"/>
      <c r="B58" s="247"/>
      <c r="C58" s="248"/>
      <c r="D58" s="249">
        <v>157129.56</v>
      </c>
      <c r="F58" s="250"/>
      <c r="G58" s="254" t="s">
        <v>103</v>
      </c>
      <c r="H58" s="251"/>
    </row>
    <row r="59">
      <c r="A59" s="265"/>
      <c r="B59" s="247">
        <v>12360.51</v>
      </c>
      <c r="C59" s="248"/>
      <c r="D59" s="249"/>
      <c r="F59" s="250"/>
      <c r="G59" s="254" t="s">
        <v>1061</v>
      </c>
      <c r="H59" s="251"/>
    </row>
    <row r="60">
      <c r="A60" s="265"/>
      <c r="B60" s="247"/>
      <c r="C60" s="248"/>
      <c r="D60" s="249"/>
      <c r="F60" s="250"/>
      <c r="G60" s="254"/>
      <c r="H60" s="251"/>
    </row>
    <row r="61">
      <c r="A61" s="265"/>
      <c r="B61" s="247"/>
      <c r="C61" s="252"/>
      <c r="D61" s="249"/>
      <c r="F61" s="250"/>
      <c r="G61" s="254"/>
      <c r="H61" s="251"/>
    </row>
    <row r="62">
      <c r="A62" s="265"/>
      <c r="B62" s="247"/>
      <c r="C62" s="252"/>
      <c r="D62" s="253"/>
      <c r="F62" s="250"/>
      <c r="G62" s="254"/>
      <c r="H62" s="251"/>
    </row>
    <row r="63">
      <c r="A63" s="265"/>
      <c r="B63" s="247"/>
      <c r="C63" s="252"/>
      <c r="D63" s="249"/>
      <c r="F63" s="250"/>
      <c r="G63" s="254"/>
      <c r="H63" s="251"/>
    </row>
    <row r="64">
      <c r="A64" s="265"/>
      <c r="B64" s="277"/>
      <c r="C64" s="252"/>
      <c r="D64" s="253"/>
      <c r="F64" s="250"/>
      <c r="G64" s="254"/>
      <c r="H64" s="251"/>
    </row>
    <row r="65">
      <c r="A65" s="265"/>
      <c r="B65" s="277"/>
      <c r="C65" s="252"/>
      <c r="D65" s="253"/>
      <c r="F65" s="250"/>
      <c r="G65" s="254"/>
      <c r="H65" s="251"/>
    </row>
    <row r="66">
      <c r="A66" s="270"/>
      <c r="B66" s="271"/>
      <c r="C66" s="272"/>
      <c r="D66" s="273"/>
      <c r="E66" s="18"/>
      <c r="F66" s="259"/>
      <c r="G66" s="275"/>
      <c r="H66" s="261"/>
    </row>
    <row r="67">
      <c r="A67" s="262" t="s">
        <v>1062</v>
      </c>
      <c r="B67" s="239"/>
      <c r="C67" s="263"/>
      <c r="D67" s="241"/>
      <c r="E67" s="242"/>
      <c r="F67" s="243">
        <v>3200.0</v>
      </c>
      <c r="G67" s="276" t="s">
        <v>1063</v>
      </c>
      <c r="H67" s="245">
        <v>180.0</v>
      </c>
    </row>
    <row r="68">
      <c r="A68" s="265"/>
      <c r="B68" s="247"/>
      <c r="C68" s="248"/>
      <c r="D68" s="249"/>
      <c r="F68" s="250">
        <v>10600.0</v>
      </c>
      <c r="G68" s="254" t="s">
        <v>608</v>
      </c>
      <c r="H68" s="267"/>
    </row>
    <row r="69">
      <c r="A69" s="265"/>
      <c r="B69" s="247">
        <v>68800.0</v>
      </c>
      <c r="C69" s="248"/>
      <c r="D69" s="249"/>
      <c r="E69" s="2" t="s">
        <v>328</v>
      </c>
      <c r="F69" s="250"/>
      <c r="G69" s="254" t="s">
        <v>75</v>
      </c>
      <c r="H69" s="267"/>
    </row>
    <row r="70">
      <c r="A70" s="265"/>
      <c r="B70" s="247"/>
      <c r="C70" s="248"/>
      <c r="D70" s="249"/>
      <c r="F70" s="250">
        <v>5560.0</v>
      </c>
      <c r="G70" s="254" t="s">
        <v>150</v>
      </c>
      <c r="H70" s="251"/>
    </row>
    <row r="71">
      <c r="A71" s="265"/>
      <c r="B71" s="85"/>
      <c r="C71" s="248"/>
      <c r="D71" s="249"/>
      <c r="F71" s="250">
        <v>1200.0</v>
      </c>
      <c r="G71" s="254" t="s">
        <v>588</v>
      </c>
      <c r="H71" s="251"/>
    </row>
    <row r="72">
      <c r="A72" s="265"/>
      <c r="B72" s="281"/>
      <c r="C72" s="252"/>
      <c r="D72" s="249"/>
      <c r="F72" s="266">
        <v>3430.0</v>
      </c>
      <c r="G72" s="254" t="s">
        <v>303</v>
      </c>
      <c r="H72" s="251"/>
    </row>
    <row r="73">
      <c r="A73" s="265"/>
      <c r="B73" s="281"/>
      <c r="C73" s="248">
        <v>192528.38</v>
      </c>
      <c r="D73" s="249"/>
      <c r="F73" s="250"/>
      <c r="G73" s="254" t="s">
        <v>84</v>
      </c>
      <c r="H73" s="251"/>
    </row>
    <row r="74">
      <c r="A74" s="265"/>
      <c r="B74" s="404">
        <v>339707.5</v>
      </c>
      <c r="C74" s="424"/>
      <c r="D74" s="399"/>
      <c r="E74" s="398" t="s">
        <v>328</v>
      </c>
      <c r="F74" s="284"/>
      <c r="G74" s="285" t="s">
        <v>877</v>
      </c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49"/>
      <c r="F76" s="250"/>
      <c r="G76" s="254"/>
      <c r="H76" s="251"/>
    </row>
    <row r="77">
      <c r="A77" s="265"/>
      <c r="B77" s="268"/>
      <c r="C77" s="252"/>
      <c r="D77" s="253"/>
      <c r="F77" s="250"/>
      <c r="G77" s="269"/>
      <c r="H77" s="251"/>
    </row>
    <row r="78">
      <c r="A78" s="265"/>
      <c r="B78" s="247"/>
      <c r="C78" s="252"/>
      <c r="D78" s="253"/>
      <c r="F78" s="250"/>
      <c r="G78" s="269"/>
      <c r="H78" s="251"/>
    </row>
    <row r="79">
      <c r="A79" s="265"/>
      <c r="B79" s="277"/>
      <c r="C79" s="252"/>
      <c r="D79" s="253"/>
      <c r="F79" s="282"/>
      <c r="G79" s="269"/>
      <c r="H79" s="251"/>
    </row>
    <row r="80">
      <c r="A80" s="265"/>
      <c r="B80" s="278"/>
      <c r="C80" s="248"/>
      <c r="D80" s="253"/>
      <c r="F80" s="282"/>
      <c r="G80" s="269"/>
      <c r="H80" s="251"/>
    </row>
    <row r="81">
      <c r="A81" s="265"/>
      <c r="B81" s="278"/>
      <c r="C81" s="252"/>
      <c r="D81" s="253"/>
      <c r="F81" s="250"/>
      <c r="G81" s="269"/>
      <c r="H81" s="251"/>
    </row>
    <row r="82">
      <c r="A82" s="270"/>
      <c r="B82" s="271"/>
      <c r="C82" s="272"/>
      <c r="D82" s="273"/>
      <c r="E82" s="18"/>
      <c r="F82" s="259"/>
      <c r="G82" s="260"/>
      <c r="H82" s="261"/>
    </row>
    <row r="83">
      <c r="A83" s="262" t="s">
        <v>1064</v>
      </c>
      <c r="B83" s="239"/>
      <c r="C83" s="263"/>
      <c r="D83" s="264">
        <v>156674.4</v>
      </c>
      <c r="E83" s="244" t="s">
        <v>328</v>
      </c>
      <c r="F83" s="250"/>
      <c r="G83" s="276" t="s">
        <v>100</v>
      </c>
      <c r="H83" s="245">
        <v>180.0</v>
      </c>
    </row>
    <row r="84">
      <c r="A84" s="265"/>
      <c r="B84" s="247">
        <v>135036.0</v>
      </c>
      <c r="C84" s="248"/>
      <c r="D84" s="249"/>
      <c r="E84" s="2" t="s">
        <v>328</v>
      </c>
      <c r="F84" s="250"/>
      <c r="G84" s="2" t="s">
        <v>92</v>
      </c>
      <c r="H84" s="267"/>
    </row>
    <row r="85">
      <c r="A85" s="265"/>
      <c r="B85" s="247">
        <v>73121.55</v>
      </c>
      <c r="C85" s="248"/>
      <c r="D85" s="249"/>
      <c r="E85" s="2" t="s">
        <v>328</v>
      </c>
      <c r="F85" s="250"/>
      <c r="G85" s="254" t="s">
        <v>114</v>
      </c>
      <c r="H85" s="267"/>
    </row>
    <row r="86">
      <c r="A86" s="265"/>
      <c r="B86" s="247">
        <v>51500.0</v>
      </c>
      <c r="C86" s="248"/>
      <c r="D86" s="249"/>
      <c r="E86" s="2" t="s">
        <v>328</v>
      </c>
      <c r="F86" s="250"/>
      <c r="G86" s="254" t="s">
        <v>76</v>
      </c>
      <c r="H86" s="251"/>
      <c r="I86" s="340"/>
      <c r="J86" s="340"/>
      <c r="K86" s="340" t="s">
        <v>622</v>
      </c>
      <c r="L86" s="2" t="s">
        <v>623</v>
      </c>
    </row>
    <row r="87">
      <c r="A87" s="265"/>
      <c r="B87" s="330">
        <v>32000.0</v>
      </c>
      <c r="C87" s="338"/>
      <c r="D87" s="337"/>
      <c r="E87" s="336" t="s">
        <v>328</v>
      </c>
      <c r="F87" s="335"/>
      <c r="G87" s="292" t="s">
        <v>68</v>
      </c>
      <c r="H87" s="251"/>
      <c r="I87" s="341"/>
      <c r="J87" s="340"/>
      <c r="K87" s="340" t="s">
        <v>624</v>
      </c>
    </row>
    <row r="88">
      <c r="A88" s="265"/>
      <c r="B88" s="247"/>
      <c r="C88" s="252"/>
      <c r="D88" s="249"/>
      <c r="F88" s="250"/>
      <c r="G88" s="254"/>
      <c r="H88" s="251"/>
      <c r="I88" s="340"/>
      <c r="J88" s="340"/>
      <c r="K88" s="341"/>
    </row>
    <row r="89">
      <c r="A89" s="265"/>
      <c r="B89" s="247"/>
      <c r="C89" s="252"/>
      <c r="D89" s="249"/>
      <c r="F89" s="250"/>
      <c r="G89" s="254"/>
      <c r="H89" s="251"/>
      <c r="I89" s="340"/>
      <c r="J89" s="341"/>
      <c r="K89" s="341"/>
    </row>
    <row r="90">
      <c r="A90" s="265"/>
      <c r="B90" s="247"/>
      <c r="C90" s="252"/>
      <c r="D90" s="253"/>
      <c r="F90" s="250"/>
      <c r="G90" s="254"/>
      <c r="H90" s="251"/>
    </row>
    <row r="91">
      <c r="A91" s="265"/>
      <c r="B91" s="247"/>
      <c r="C91" s="248"/>
      <c r="D91" s="253"/>
      <c r="F91" s="250"/>
      <c r="G91" s="254"/>
      <c r="H91" s="251"/>
    </row>
    <row r="92">
      <c r="A92" s="265"/>
      <c r="B92" s="247"/>
      <c r="C92" s="248"/>
      <c r="D92" s="253"/>
      <c r="F92" s="250"/>
      <c r="G92" s="254"/>
      <c r="H92" s="251"/>
    </row>
    <row r="93">
      <c r="A93" s="265"/>
      <c r="B93" s="277"/>
      <c r="C93" s="248"/>
      <c r="D93" s="253"/>
      <c r="F93" s="282"/>
      <c r="G93" s="254"/>
      <c r="H93" s="251"/>
    </row>
    <row r="94">
      <c r="A94" s="265"/>
      <c r="B94" s="277"/>
      <c r="C94" s="252"/>
      <c r="D94" s="253"/>
      <c r="F94" s="250"/>
      <c r="G94" s="254"/>
      <c r="H94" s="251"/>
    </row>
    <row r="95">
      <c r="A95" s="265"/>
      <c r="B95" s="277"/>
      <c r="C95" s="252"/>
      <c r="D95" s="253"/>
      <c r="F95" s="282"/>
      <c r="G95" s="254"/>
      <c r="H95" s="251"/>
    </row>
    <row r="96">
      <c r="A96" s="270"/>
      <c r="B96" s="271"/>
      <c r="C96" s="272"/>
      <c r="D96" s="273"/>
      <c r="E96" s="18"/>
      <c r="F96" s="274"/>
      <c r="G96" s="275"/>
      <c r="H96" s="261"/>
    </row>
    <row r="97">
      <c r="A97" s="262" t="s">
        <v>1065</v>
      </c>
      <c r="B97" s="239">
        <v>39422.02</v>
      </c>
      <c r="C97" s="263"/>
      <c r="D97" s="264"/>
      <c r="E97" s="244"/>
      <c r="F97" s="243"/>
      <c r="G97" s="276" t="s">
        <v>82</v>
      </c>
      <c r="H97" s="245">
        <v>139.0</v>
      </c>
    </row>
    <row r="98">
      <c r="A98" s="265"/>
      <c r="B98" s="404">
        <v>47900.0</v>
      </c>
      <c r="C98" s="405"/>
      <c r="D98" s="399"/>
      <c r="E98" s="398" t="s">
        <v>328</v>
      </c>
      <c r="F98" s="284"/>
      <c r="G98" s="285" t="s">
        <v>662</v>
      </c>
      <c r="H98" s="267"/>
    </row>
    <row r="99">
      <c r="A99" s="265"/>
      <c r="B99" s="247"/>
      <c r="C99" s="248"/>
      <c r="D99" s="249"/>
      <c r="F99" s="250"/>
      <c r="G99" s="26"/>
      <c r="H99" s="251"/>
    </row>
    <row r="100">
      <c r="A100" s="265"/>
      <c r="B100" s="247"/>
      <c r="C100" s="248"/>
      <c r="D100" s="249"/>
      <c r="F100" s="250"/>
      <c r="G100" s="254"/>
      <c r="H100" s="251"/>
    </row>
    <row r="101">
      <c r="A101" s="265"/>
      <c r="B101" s="247"/>
      <c r="C101" s="248"/>
      <c r="D101" s="249"/>
      <c r="F101" s="250"/>
      <c r="G101" s="254"/>
      <c r="H101" s="251"/>
    </row>
    <row r="102">
      <c r="A102" s="265"/>
      <c r="B102" s="247"/>
      <c r="C102" s="248"/>
      <c r="D102" s="249"/>
      <c r="F102" s="250"/>
      <c r="G102" s="254"/>
      <c r="H102" s="251"/>
    </row>
    <row r="103">
      <c r="A103" s="265"/>
      <c r="B103" s="247"/>
      <c r="C103" s="252"/>
      <c r="D103" s="414"/>
      <c r="E103" s="398"/>
      <c r="F103" s="284"/>
      <c r="G103" s="285"/>
      <c r="H103" s="251"/>
    </row>
    <row r="104">
      <c r="A104" s="265"/>
      <c r="B104" s="247"/>
      <c r="C104" s="248"/>
      <c r="D104" s="249"/>
      <c r="F104" s="250"/>
      <c r="G104" s="254"/>
      <c r="H104" s="251"/>
    </row>
    <row r="105">
      <c r="A105" s="265"/>
      <c r="B105" s="247"/>
      <c r="C105" s="252"/>
      <c r="D105" s="249"/>
      <c r="F105" s="250"/>
      <c r="G105" s="254"/>
      <c r="H105" s="251"/>
    </row>
    <row r="106">
      <c r="A106" s="265"/>
      <c r="B106" s="247"/>
      <c r="C106" s="248"/>
      <c r="D106" s="253"/>
      <c r="F106" s="250"/>
      <c r="G106" s="254"/>
      <c r="H106" s="251"/>
    </row>
    <row r="107">
      <c r="A107" s="265"/>
      <c r="B107" s="268"/>
      <c r="C107" s="252"/>
      <c r="D107" s="253"/>
      <c r="F107" s="250"/>
      <c r="G107" s="254"/>
      <c r="H107" s="251"/>
    </row>
    <row r="108">
      <c r="A108" s="265"/>
      <c r="B108" s="268"/>
      <c r="C108" s="252"/>
      <c r="D108" s="253"/>
      <c r="F108" s="250"/>
      <c r="G108" s="254"/>
      <c r="H108" s="251"/>
    </row>
    <row r="109">
      <c r="A109" s="265"/>
      <c r="B109" s="268"/>
      <c r="C109" s="252"/>
      <c r="D109" s="253"/>
      <c r="F109" s="250"/>
      <c r="G109" s="269"/>
      <c r="H109" s="251"/>
    </row>
    <row r="110">
      <c r="A110" s="265"/>
      <c r="B110" s="268"/>
      <c r="C110" s="252"/>
      <c r="D110" s="253"/>
      <c r="F110" s="250"/>
      <c r="G110" s="269"/>
      <c r="H110" s="251"/>
    </row>
    <row r="111">
      <c r="A111" s="265"/>
      <c r="B111" s="268"/>
      <c r="C111" s="252"/>
      <c r="D111" s="253"/>
      <c r="F111" s="250"/>
      <c r="G111" s="269"/>
      <c r="H111" s="251"/>
    </row>
    <row r="112">
      <c r="A112" s="265"/>
      <c r="B112" s="268"/>
      <c r="C112" s="252"/>
      <c r="D112" s="253"/>
      <c r="F112" s="250"/>
      <c r="G112" s="269"/>
      <c r="H112" s="251"/>
    </row>
    <row r="113">
      <c r="A113" s="265"/>
      <c r="B113" s="268"/>
      <c r="C113" s="252"/>
      <c r="D113" s="253"/>
      <c r="F113" s="250"/>
      <c r="G113" s="269"/>
      <c r="H113" s="251"/>
    </row>
    <row r="114">
      <c r="A114" s="270"/>
      <c r="B114" s="271"/>
      <c r="C114" s="272"/>
      <c r="D114" s="273"/>
      <c r="E114" s="18"/>
      <c r="F114" s="274"/>
      <c r="G114" s="275"/>
      <c r="H114" s="261"/>
    </row>
    <row r="115">
      <c r="A115" s="262" t="s">
        <v>1066</v>
      </c>
      <c r="B115" s="239">
        <v>111000.0</v>
      </c>
      <c r="C115" s="263"/>
      <c r="D115" s="264"/>
      <c r="E115" s="244"/>
      <c r="F115" s="243"/>
      <c r="G115" s="276" t="s">
        <v>87</v>
      </c>
      <c r="H115" s="245">
        <f>120+11</f>
        <v>131</v>
      </c>
      <c r="I115" s="2" t="s">
        <v>1067</v>
      </c>
    </row>
    <row r="116">
      <c r="A116" s="265"/>
      <c r="B116" s="247"/>
      <c r="C116" s="248">
        <v>122706.1</v>
      </c>
      <c r="D116" s="249"/>
      <c r="F116" s="250"/>
      <c r="G116" s="254" t="s">
        <v>71</v>
      </c>
      <c r="H116" s="267"/>
    </row>
    <row r="117">
      <c r="A117" s="265"/>
      <c r="B117" s="247"/>
      <c r="C117" s="248"/>
      <c r="D117" s="249"/>
      <c r="F117" s="250">
        <v>1800.0</v>
      </c>
      <c r="G117" s="254" t="s">
        <v>85</v>
      </c>
      <c r="H117" s="251"/>
    </row>
    <row r="118">
      <c r="A118" s="265"/>
      <c r="B118" s="247"/>
      <c r="C118" s="248"/>
      <c r="D118" s="249"/>
      <c r="F118" s="250">
        <v>5000.0</v>
      </c>
      <c r="G118" s="254" t="s">
        <v>1068</v>
      </c>
      <c r="H118" s="251"/>
      <c r="I118" s="2" t="s">
        <v>1069</v>
      </c>
    </row>
    <row r="119">
      <c r="A119" s="265"/>
      <c r="B119" s="247">
        <v>50000.0</v>
      </c>
      <c r="C119" s="248"/>
      <c r="D119" s="249"/>
      <c r="F119" s="250"/>
      <c r="G119" s="254" t="s">
        <v>1070</v>
      </c>
      <c r="H119" s="251"/>
      <c r="I119" s="2" t="s">
        <v>1071</v>
      </c>
    </row>
    <row r="120">
      <c r="A120" s="265"/>
      <c r="B120" s="247"/>
      <c r="C120" s="252"/>
      <c r="D120" s="249"/>
      <c r="F120" s="250"/>
      <c r="G120" s="254"/>
      <c r="H120" s="251"/>
    </row>
    <row r="121">
      <c r="A121" s="265"/>
      <c r="B121" s="247"/>
      <c r="C121" s="252"/>
      <c r="D121" s="249"/>
      <c r="F121" s="250"/>
      <c r="G121" s="254"/>
      <c r="H121" s="251"/>
      <c r="I121" s="417" t="s">
        <v>1072</v>
      </c>
    </row>
    <row r="122">
      <c r="A122" s="265"/>
      <c r="B122" s="283"/>
      <c r="C122" s="248"/>
      <c r="D122" s="249"/>
      <c r="F122" s="250"/>
      <c r="G122" s="254"/>
      <c r="H122" s="251"/>
    </row>
    <row r="123">
      <c r="A123" s="265"/>
      <c r="B123" s="247"/>
      <c r="C123" s="248"/>
      <c r="D123" s="253"/>
      <c r="F123" s="250"/>
      <c r="G123" s="254"/>
      <c r="H123" s="251"/>
    </row>
    <row r="124">
      <c r="A124" s="265"/>
      <c r="B124" s="247"/>
      <c r="C124" s="252"/>
      <c r="D124" s="253"/>
      <c r="F124" s="250"/>
      <c r="G124" s="254"/>
      <c r="H124" s="251"/>
    </row>
    <row r="125">
      <c r="A125" s="265"/>
      <c r="B125" s="247"/>
      <c r="C125" s="252"/>
      <c r="D125" s="249"/>
      <c r="F125" s="250"/>
      <c r="G125" s="254"/>
      <c r="H125" s="251"/>
    </row>
    <row r="126">
      <c r="A126" s="265"/>
      <c r="B126" s="277"/>
      <c r="C126" s="252"/>
      <c r="D126" s="253"/>
      <c r="F126" s="250"/>
      <c r="G126" s="254"/>
      <c r="H126" s="251"/>
    </row>
    <row r="127">
      <c r="A127" s="265"/>
      <c r="B127" s="277"/>
      <c r="C127" s="252"/>
      <c r="D127" s="253"/>
      <c r="F127" s="250"/>
      <c r="G127" s="269"/>
      <c r="H127" s="251"/>
    </row>
    <row r="128">
      <c r="A128" s="265"/>
      <c r="B128" s="278"/>
      <c r="C128" s="252"/>
      <c r="D128" s="253"/>
      <c r="F128" s="250"/>
      <c r="G128" s="269"/>
      <c r="H128" s="251"/>
    </row>
    <row r="129">
      <c r="A129" s="270"/>
      <c r="B129" s="271"/>
      <c r="C129" s="272"/>
      <c r="D129" s="273"/>
      <c r="E129" s="18"/>
      <c r="F129" s="274"/>
      <c r="G129" s="275"/>
      <c r="H129" s="261"/>
    </row>
    <row r="130">
      <c r="A130" s="262" t="s">
        <v>1073</v>
      </c>
      <c r="B130" s="239"/>
      <c r="C130" s="263"/>
      <c r="D130" s="264"/>
      <c r="E130" s="244"/>
      <c r="F130" s="243">
        <v>4115.0</v>
      </c>
      <c r="G130" s="276" t="s">
        <v>303</v>
      </c>
      <c r="H130" s="245">
        <v>80.0</v>
      </c>
    </row>
    <row r="131">
      <c r="A131" s="265"/>
      <c r="B131" s="247"/>
      <c r="C131" s="252"/>
      <c r="D131" s="249"/>
      <c r="F131" s="250"/>
      <c r="G131" s="254"/>
      <c r="H131" s="251"/>
    </row>
    <row r="132">
      <c r="A132" s="265"/>
      <c r="B132" s="247"/>
      <c r="C132" s="248"/>
      <c r="D132" s="249"/>
      <c r="F132" s="284"/>
      <c r="G132" s="285"/>
      <c r="H132" s="251"/>
    </row>
    <row r="133">
      <c r="A133" s="265"/>
      <c r="B133" s="247"/>
      <c r="C133" s="252"/>
      <c r="D133" s="249"/>
      <c r="F133" s="250"/>
      <c r="G133" s="254"/>
      <c r="H133" s="251"/>
    </row>
    <row r="134">
      <c r="A134" s="265"/>
      <c r="B134" s="247"/>
      <c r="C134" s="248"/>
      <c r="D134" s="249"/>
      <c r="F134" s="250"/>
      <c r="G134" s="254"/>
      <c r="H134" s="251"/>
    </row>
    <row r="135">
      <c r="A135" s="265"/>
      <c r="B135" s="247"/>
      <c r="C135" s="248"/>
      <c r="D135" s="249"/>
      <c r="F135" s="250"/>
      <c r="G135" s="254"/>
      <c r="H135" s="251"/>
    </row>
    <row r="136">
      <c r="A136" s="265"/>
      <c r="B136" s="247"/>
      <c r="C136" s="248"/>
      <c r="D136" s="249"/>
      <c r="F136" s="250"/>
      <c r="G136" s="254"/>
      <c r="H136" s="251"/>
    </row>
    <row r="137">
      <c r="A137" s="265"/>
      <c r="B137" s="247"/>
      <c r="C137" s="252"/>
      <c r="D137" s="249"/>
      <c r="F137" s="250"/>
      <c r="G137" s="254"/>
      <c r="H137" s="251"/>
    </row>
    <row r="138">
      <c r="A138" s="265"/>
      <c r="B138" s="268"/>
      <c r="C138" s="248"/>
      <c r="D138" s="249"/>
      <c r="F138" s="250"/>
      <c r="G138" s="254"/>
      <c r="H138" s="251"/>
    </row>
    <row r="139">
      <c r="A139" s="265"/>
      <c r="B139" s="247"/>
      <c r="C139" s="252"/>
      <c r="D139" s="415"/>
      <c r="E139" s="416"/>
      <c r="F139" s="377"/>
      <c r="G139" s="416"/>
      <c r="H139" s="251"/>
    </row>
    <row r="140">
      <c r="A140" s="265"/>
      <c r="B140" s="247"/>
      <c r="C140" s="252"/>
      <c r="D140" s="249"/>
      <c r="F140" s="250"/>
      <c r="G140" s="254"/>
      <c r="H140" s="251"/>
    </row>
    <row r="141">
      <c r="A141" s="265"/>
      <c r="B141" s="277"/>
      <c r="C141" s="252"/>
      <c r="D141" s="253"/>
      <c r="F141" s="250"/>
      <c r="G141" s="254"/>
      <c r="H141" s="251"/>
    </row>
    <row r="142">
      <c r="A142" s="265"/>
      <c r="B142" s="277"/>
      <c r="C142" s="252"/>
      <c r="D142" s="253"/>
      <c r="F142" s="282"/>
      <c r="G142" s="269"/>
      <c r="H142" s="251"/>
    </row>
    <row r="143">
      <c r="A143" s="265"/>
      <c r="B143" s="278"/>
      <c r="C143" s="252"/>
      <c r="D143" s="253"/>
      <c r="F143" s="250"/>
      <c r="G143" s="269"/>
      <c r="H143" s="251"/>
    </row>
    <row r="144">
      <c r="A144" s="270"/>
      <c r="B144" s="271"/>
      <c r="C144" s="272"/>
      <c r="D144" s="273"/>
      <c r="E144" s="18"/>
      <c r="F144" s="259"/>
      <c r="G144" s="260"/>
      <c r="H144" s="261"/>
    </row>
    <row r="145">
      <c r="A145" s="262" t="s">
        <v>1074</v>
      </c>
      <c r="B145" s="239"/>
      <c r="C145" s="263"/>
      <c r="D145" s="264"/>
      <c r="E145" s="242"/>
      <c r="F145" s="243">
        <v>2865.0</v>
      </c>
      <c r="G145" s="276" t="s">
        <v>303</v>
      </c>
      <c r="H145" s="245">
        <v>100.0</v>
      </c>
    </row>
    <row r="146">
      <c r="A146" s="265"/>
      <c r="B146" s="247"/>
      <c r="C146" s="252"/>
      <c r="D146" s="249"/>
      <c r="F146" s="250"/>
      <c r="G146" s="254"/>
      <c r="H146" s="267"/>
    </row>
    <row r="147">
      <c r="A147" s="265"/>
      <c r="B147" s="247"/>
      <c r="C147" s="248"/>
      <c r="D147" s="249"/>
      <c r="F147" s="250"/>
      <c r="G147" s="254"/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48"/>
      <c r="D150" s="249"/>
      <c r="F150" s="250"/>
      <c r="G150" s="254"/>
      <c r="H150" s="251"/>
    </row>
    <row r="151">
      <c r="A151" s="265"/>
      <c r="B151" s="247"/>
      <c r="C151" s="248"/>
      <c r="D151" s="249"/>
      <c r="F151" s="250"/>
      <c r="G151" s="254"/>
      <c r="H151" s="251"/>
    </row>
    <row r="152">
      <c r="A152" s="265"/>
      <c r="B152" s="247"/>
      <c r="C152" s="252"/>
      <c r="D152" s="249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70"/>
      <c r="B154" s="279"/>
      <c r="C154" s="272"/>
      <c r="D154" s="273"/>
      <c r="E154" s="18"/>
      <c r="F154" s="274"/>
      <c r="G154" s="260"/>
      <c r="H154" s="261"/>
    </row>
    <row r="155">
      <c r="A155" s="262" t="s">
        <v>1075</v>
      </c>
      <c r="B155" s="239">
        <v>84800.0</v>
      </c>
      <c r="C155" s="263"/>
      <c r="D155" s="264"/>
      <c r="E155" s="244"/>
      <c r="F155" s="250"/>
      <c r="G155" s="276" t="s">
        <v>75</v>
      </c>
      <c r="H155" s="245">
        <f>182+40</f>
        <v>222</v>
      </c>
    </row>
    <row r="156">
      <c r="A156" s="265"/>
      <c r="B156" s="247">
        <v>68743.15</v>
      </c>
      <c r="C156" s="315"/>
      <c r="D156" s="249"/>
      <c r="F156" s="250"/>
      <c r="G156" s="254" t="s">
        <v>103</v>
      </c>
      <c r="H156" s="267"/>
    </row>
    <row r="157">
      <c r="A157" s="265"/>
      <c r="B157" s="247">
        <v>24688.0</v>
      </c>
      <c r="C157" s="248"/>
      <c r="D157" s="249"/>
      <c r="F157" s="250"/>
      <c r="G157" s="254" t="s">
        <v>1076</v>
      </c>
      <c r="H157" s="267"/>
    </row>
    <row r="158">
      <c r="A158" s="265"/>
      <c r="B158" s="247">
        <v>12364.0</v>
      </c>
      <c r="C158" s="248"/>
      <c r="D158" s="249"/>
      <c r="F158" s="250"/>
      <c r="G158" s="254" t="s">
        <v>1061</v>
      </c>
      <c r="H158" s="251"/>
    </row>
    <row r="159">
      <c r="A159" s="265"/>
      <c r="B159" s="247"/>
      <c r="C159" s="248"/>
      <c r="D159" s="249"/>
      <c r="E159" s="254"/>
      <c r="F159" s="250">
        <v>7000.0</v>
      </c>
      <c r="G159" s="254" t="s">
        <v>85</v>
      </c>
      <c r="H159" s="251"/>
      <c r="I159" s="269"/>
    </row>
    <row r="160">
      <c r="A160" s="265"/>
      <c r="B160" s="247"/>
      <c r="C160" s="252"/>
      <c r="D160" s="249"/>
      <c r="F160" s="250"/>
      <c r="G160" s="254"/>
      <c r="H160" s="251"/>
    </row>
    <row r="161">
      <c r="A161" s="265"/>
      <c r="B161" s="247"/>
      <c r="C161" s="252"/>
      <c r="D161" s="249"/>
      <c r="F161" s="250"/>
      <c r="G161" s="254"/>
      <c r="H161" s="251"/>
    </row>
    <row r="162">
      <c r="A162" s="265"/>
      <c r="B162" s="247"/>
      <c r="C162" s="252"/>
      <c r="D162" s="253"/>
      <c r="F162" s="250"/>
      <c r="G162" s="254"/>
      <c r="H162" s="251"/>
    </row>
    <row r="163">
      <c r="A163" s="265"/>
      <c r="B163" s="247"/>
      <c r="C163" s="252"/>
      <c r="D163" s="249"/>
      <c r="F163" s="250"/>
      <c r="G163" s="254"/>
      <c r="H163" s="251"/>
    </row>
    <row r="164">
      <c r="A164" s="265"/>
      <c r="B164" s="247"/>
      <c r="C164" s="252"/>
      <c r="D164" s="253"/>
      <c r="F164" s="250"/>
      <c r="G164" s="254"/>
      <c r="H164" s="251"/>
    </row>
    <row r="165">
      <c r="A165" s="265"/>
      <c r="B165" s="247"/>
      <c r="C165" s="252"/>
      <c r="D165" s="253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65"/>
      <c r="B167" s="268"/>
      <c r="C167" s="252"/>
      <c r="D167" s="253"/>
      <c r="F167" s="250"/>
      <c r="G167" s="269"/>
      <c r="H167" s="251"/>
    </row>
    <row r="168">
      <c r="A168" s="265"/>
      <c r="B168" s="268"/>
      <c r="C168" s="252"/>
      <c r="D168" s="253"/>
      <c r="F168" s="250"/>
      <c r="G168" s="269"/>
      <c r="H168" s="251"/>
    </row>
    <row r="169">
      <c r="A169" s="270"/>
      <c r="B169" s="271"/>
      <c r="C169" s="272"/>
      <c r="D169" s="273"/>
      <c r="E169" s="18"/>
      <c r="F169" s="259"/>
      <c r="G169" s="260"/>
      <c r="H169" s="261"/>
    </row>
    <row r="170">
      <c r="A170" s="262" t="s">
        <v>568</v>
      </c>
      <c r="B170" s="247">
        <v>51000.0</v>
      </c>
      <c r="C170" s="248"/>
      <c r="D170" s="414"/>
      <c r="E170" s="417"/>
      <c r="F170" s="418"/>
      <c r="G170" s="285" t="s">
        <v>68</v>
      </c>
      <c r="H170" s="286">
        <v>106.0</v>
      </c>
    </row>
    <row r="171">
      <c r="A171" s="265"/>
      <c r="B171" s="247"/>
      <c r="C171" s="248"/>
      <c r="D171" s="249"/>
      <c r="F171" s="250">
        <v>10188.0</v>
      </c>
      <c r="G171" s="254" t="s">
        <v>329</v>
      </c>
      <c r="H171" s="251"/>
    </row>
    <row r="172">
      <c r="A172" s="265"/>
      <c r="B172" s="247"/>
      <c r="C172" s="248"/>
      <c r="D172" s="249">
        <v>43206.67</v>
      </c>
      <c r="F172" s="250"/>
      <c r="G172" s="254" t="s">
        <v>77</v>
      </c>
      <c r="H172" s="267"/>
    </row>
    <row r="173">
      <c r="A173" s="265"/>
      <c r="B173" s="247"/>
      <c r="C173" s="248">
        <v>116374.9</v>
      </c>
      <c r="D173" s="249"/>
      <c r="F173" s="250"/>
      <c r="G173" s="254" t="s">
        <v>84</v>
      </c>
      <c r="H173" s="251"/>
    </row>
    <row r="174">
      <c r="A174" s="265"/>
      <c r="B174" s="247">
        <v>102200.0</v>
      </c>
      <c r="C174" s="248"/>
      <c r="D174" s="249"/>
      <c r="F174" s="250"/>
      <c r="G174" s="254" t="s">
        <v>122</v>
      </c>
      <c r="H174" s="267"/>
    </row>
    <row r="175">
      <c r="A175" s="265"/>
      <c r="B175" s="247"/>
      <c r="C175" s="252"/>
      <c r="D175" s="249"/>
      <c r="F175" s="250"/>
      <c r="G175" s="254"/>
      <c r="H175" s="251"/>
    </row>
    <row r="176">
      <c r="A176" s="265"/>
      <c r="B176" s="247"/>
      <c r="C176" s="252"/>
      <c r="D176" s="253"/>
      <c r="F176" s="250"/>
      <c r="G176" s="254"/>
      <c r="H176" s="251"/>
    </row>
    <row r="177">
      <c r="A177" s="265"/>
      <c r="B177" s="247"/>
      <c r="C177" s="252"/>
      <c r="D177" s="249"/>
      <c r="F177" s="250"/>
      <c r="G177" s="254"/>
      <c r="H177" s="251"/>
    </row>
    <row r="178">
      <c r="A178" s="265"/>
      <c r="B178" s="247"/>
      <c r="C178" s="248"/>
      <c r="D178" s="249"/>
      <c r="F178" s="250"/>
      <c r="G178" s="254"/>
      <c r="H178" s="251"/>
    </row>
    <row r="179">
      <c r="A179" s="265"/>
      <c r="B179" s="247"/>
      <c r="C179" s="252"/>
      <c r="D179" s="249"/>
      <c r="F179" s="250"/>
      <c r="G179" s="254"/>
      <c r="H179" s="251"/>
    </row>
    <row r="180">
      <c r="A180" s="265"/>
      <c r="B180" s="247"/>
      <c r="C180" s="252"/>
      <c r="D180" s="249"/>
      <c r="F180" s="250"/>
      <c r="G180" s="254"/>
      <c r="H180" s="251"/>
    </row>
    <row r="181">
      <c r="A181" s="265"/>
      <c r="B181" s="247"/>
      <c r="C181" s="248"/>
      <c r="D181" s="249"/>
      <c r="F181" s="250"/>
      <c r="G181" s="254"/>
      <c r="H181" s="251"/>
    </row>
    <row r="182">
      <c r="A182" s="265"/>
      <c r="B182" s="247"/>
      <c r="C182" s="248"/>
      <c r="D182" s="249"/>
      <c r="F182" s="250"/>
      <c r="G182" s="254"/>
      <c r="H182" s="251"/>
    </row>
    <row r="183">
      <c r="A183" s="265"/>
      <c r="B183" s="247"/>
      <c r="C183" s="252"/>
      <c r="D183" s="249"/>
      <c r="F183" s="250"/>
      <c r="G183" s="254"/>
      <c r="H183" s="251"/>
    </row>
    <row r="184">
      <c r="A184" s="265"/>
      <c r="B184" s="247"/>
      <c r="C184" s="252"/>
      <c r="D184" s="253"/>
      <c r="F184" s="250"/>
      <c r="G184" s="254"/>
      <c r="H184" s="251"/>
    </row>
    <row r="185">
      <c r="A185" s="270"/>
      <c r="B185" s="247"/>
      <c r="C185" s="252"/>
      <c r="D185" s="249"/>
      <c r="F185" s="250"/>
      <c r="G185" s="254"/>
      <c r="H185" s="261"/>
    </row>
    <row r="186">
      <c r="A186" s="262" t="s">
        <v>571</v>
      </c>
      <c r="B186" s="239">
        <v>105222.0</v>
      </c>
      <c r="C186" s="263"/>
      <c r="D186" s="264"/>
      <c r="E186" s="244"/>
      <c r="F186" s="243"/>
      <c r="G186" s="276" t="s">
        <v>82</v>
      </c>
      <c r="H186" s="245">
        <v>91.0</v>
      </c>
    </row>
    <row r="187">
      <c r="A187" s="265"/>
      <c r="B187" s="247"/>
      <c r="C187" s="248"/>
      <c r="D187" s="249"/>
      <c r="F187" s="250">
        <v>3400.0</v>
      </c>
      <c r="G187" s="254" t="s">
        <v>1077</v>
      </c>
      <c r="H187" s="267"/>
    </row>
    <row r="188">
      <c r="A188" s="265"/>
      <c r="B188" s="247"/>
      <c r="C188" s="252"/>
      <c r="D188" s="249"/>
      <c r="F188" s="250">
        <v>9600.0</v>
      </c>
      <c r="G188" s="254" t="s">
        <v>608</v>
      </c>
      <c r="H188" s="251"/>
    </row>
    <row r="189">
      <c r="A189" s="265"/>
      <c r="B189" s="247">
        <v>14300.0</v>
      </c>
      <c r="C189" s="248"/>
      <c r="D189" s="249"/>
      <c r="E189" s="2" t="s">
        <v>328</v>
      </c>
      <c r="F189" s="250"/>
      <c r="G189" s="254" t="s">
        <v>75</v>
      </c>
      <c r="H189" s="251"/>
    </row>
    <row r="190">
      <c r="A190" s="265"/>
      <c r="B190" s="247"/>
      <c r="C190" s="248">
        <f>111260.41+120398.97</f>
        <v>231659.38</v>
      </c>
      <c r="D190" s="249"/>
      <c r="F190" s="250"/>
      <c r="G190" s="254" t="s">
        <v>71</v>
      </c>
      <c r="H190" s="251"/>
    </row>
    <row r="191">
      <c r="A191" s="265"/>
      <c r="B191" s="247"/>
      <c r="C191" s="248"/>
      <c r="D191" s="249">
        <v>99690.0</v>
      </c>
      <c r="E191" s="2" t="s">
        <v>328</v>
      </c>
      <c r="F191" s="250"/>
      <c r="G191" s="254" t="s">
        <v>1078</v>
      </c>
      <c r="H191" s="267"/>
    </row>
    <row r="192">
      <c r="A192" s="265"/>
      <c r="B192" s="247"/>
      <c r="C192" s="248">
        <v>130324.39</v>
      </c>
      <c r="D192" s="249"/>
      <c r="F192" s="250"/>
      <c r="G192" s="316" t="s">
        <v>1079</v>
      </c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53"/>
      <c r="F195" s="250"/>
      <c r="G195" s="254"/>
      <c r="H195" s="251"/>
    </row>
    <row r="196">
      <c r="A196" s="265"/>
      <c r="B196" s="268"/>
      <c r="C196" s="248"/>
      <c r="D196" s="253"/>
      <c r="F196" s="250"/>
      <c r="G196" s="269"/>
      <c r="H196" s="251"/>
    </row>
    <row r="197">
      <c r="A197" s="265"/>
      <c r="B197" s="247"/>
      <c r="C197" s="248"/>
      <c r="D197" s="253"/>
      <c r="F197" s="250"/>
      <c r="G197" s="269"/>
      <c r="H197" s="251"/>
    </row>
    <row r="198">
      <c r="A198" s="265"/>
      <c r="B198" s="278"/>
      <c r="C198" s="252"/>
      <c r="D198" s="253"/>
      <c r="F198" s="250"/>
      <c r="G198" s="269"/>
      <c r="H198" s="251"/>
    </row>
    <row r="199">
      <c r="A199" s="265"/>
      <c r="B199" s="278"/>
      <c r="C199" s="252"/>
      <c r="D199" s="253"/>
      <c r="F199" s="282"/>
      <c r="G199" s="269"/>
      <c r="H199" s="251"/>
    </row>
    <row r="200">
      <c r="A200" s="270"/>
      <c r="B200" s="271"/>
      <c r="C200" s="272"/>
      <c r="D200" s="273"/>
      <c r="E200" s="18"/>
      <c r="F200" s="274"/>
      <c r="G200" s="275"/>
      <c r="H200" s="261"/>
    </row>
    <row r="201">
      <c r="A201" s="262" t="s">
        <v>574</v>
      </c>
      <c r="B201" s="239"/>
      <c r="C201" s="263"/>
      <c r="D201" s="264"/>
      <c r="E201" s="242"/>
      <c r="F201" s="243">
        <v>6870.0</v>
      </c>
      <c r="G201" s="276" t="s">
        <v>97</v>
      </c>
      <c r="H201" s="245">
        <v>155.5</v>
      </c>
      <c r="I201" s="2" t="s">
        <v>1080</v>
      </c>
    </row>
    <row r="202">
      <c r="A202" s="265"/>
      <c r="B202" s="247">
        <v>132755.63</v>
      </c>
      <c r="C202" s="248"/>
      <c r="D202" s="249"/>
      <c r="F202" s="250"/>
      <c r="G202" s="254" t="s">
        <v>142</v>
      </c>
      <c r="H202" s="267"/>
      <c r="I202" s="2" t="s">
        <v>1081</v>
      </c>
    </row>
    <row r="203">
      <c r="A203" s="265"/>
      <c r="B203" s="404">
        <v>42796.93</v>
      </c>
      <c r="C203" s="424"/>
      <c r="D203" s="399"/>
      <c r="E203" s="398" t="s">
        <v>328</v>
      </c>
      <c r="F203" s="284"/>
      <c r="G203" s="285" t="s">
        <v>73</v>
      </c>
      <c r="H203" s="251"/>
      <c r="I203" s="2" t="s">
        <v>1082</v>
      </c>
    </row>
    <row r="204">
      <c r="A204" s="265"/>
      <c r="B204" s="404">
        <v>50547.63</v>
      </c>
      <c r="C204" s="405"/>
      <c r="D204" s="399"/>
      <c r="E204" s="398" t="s">
        <v>328</v>
      </c>
      <c r="F204" s="284"/>
      <c r="G204" s="285" t="s">
        <v>74</v>
      </c>
      <c r="H204" s="251"/>
    </row>
    <row r="205">
      <c r="A205" s="265"/>
      <c r="B205" s="247">
        <v>70000.0</v>
      </c>
      <c r="C205" s="252"/>
      <c r="D205" s="253"/>
      <c r="F205" s="250"/>
      <c r="G205" s="254" t="s">
        <v>95</v>
      </c>
      <c r="H205" s="251"/>
    </row>
    <row r="206">
      <c r="A206" s="265"/>
      <c r="B206" s="247"/>
      <c r="C206" s="248"/>
      <c r="D206" s="399"/>
      <c r="E206" s="398"/>
      <c r="F206" s="284"/>
      <c r="G206" s="285"/>
      <c r="H206" s="251"/>
    </row>
    <row r="207">
      <c r="A207" s="265"/>
      <c r="B207" s="247"/>
      <c r="C207" s="252"/>
      <c r="D207" s="249"/>
      <c r="F207" s="250"/>
      <c r="G207" s="254"/>
      <c r="H207" s="251"/>
    </row>
    <row r="208">
      <c r="A208" s="265"/>
      <c r="B208" s="247"/>
      <c r="C208" s="252"/>
      <c r="D208" s="253"/>
      <c r="F208" s="250"/>
      <c r="G208" s="254"/>
      <c r="H208" s="251"/>
      <c r="I208" s="269"/>
      <c r="J208" s="269"/>
      <c r="K208" s="269"/>
    </row>
    <row r="209">
      <c r="A209" s="265"/>
      <c r="B209" s="247"/>
      <c r="C209" s="248"/>
      <c r="D209" s="249"/>
      <c r="E209" s="269"/>
      <c r="F209" s="250"/>
      <c r="G209" s="254"/>
      <c r="H209" s="251"/>
      <c r="I209" s="269"/>
      <c r="J209" s="269"/>
      <c r="K209" s="269"/>
    </row>
    <row r="210">
      <c r="A210" s="265"/>
      <c r="B210" s="277"/>
      <c r="C210" s="252"/>
      <c r="D210" s="249"/>
      <c r="E210" s="254"/>
      <c r="F210" s="250"/>
      <c r="G210" s="254"/>
      <c r="H210" s="251"/>
      <c r="I210" s="254"/>
      <c r="J210" s="269"/>
      <c r="K210" s="269"/>
    </row>
    <row r="211">
      <c r="A211" s="265"/>
      <c r="B211" s="277"/>
      <c r="C211" s="252"/>
      <c r="D211" s="253"/>
      <c r="E211" s="269"/>
      <c r="F211" s="282"/>
      <c r="G211" s="254"/>
      <c r="H211" s="251"/>
      <c r="I211" s="269"/>
      <c r="J211" s="269"/>
      <c r="K211" s="269"/>
    </row>
    <row r="212">
      <c r="A212" s="270"/>
      <c r="B212" s="271"/>
      <c r="C212" s="272"/>
      <c r="D212" s="273"/>
      <c r="E212" s="275"/>
      <c r="F212" s="274"/>
      <c r="G212" s="275"/>
      <c r="H212" s="261"/>
      <c r="I212" s="269"/>
      <c r="J212" s="269"/>
      <c r="K212" s="269"/>
    </row>
    <row r="213">
      <c r="A213" s="262" t="s">
        <v>575</v>
      </c>
      <c r="B213" s="239">
        <v>42000.0</v>
      </c>
      <c r="C213" s="263"/>
      <c r="D213" s="264"/>
      <c r="E213" s="276" t="s">
        <v>328</v>
      </c>
      <c r="F213" s="243"/>
      <c r="G213" s="276" t="s">
        <v>863</v>
      </c>
      <c r="H213" s="245">
        <v>90.0</v>
      </c>
      <c r="I213" s="254"/>
      <c r="J213" s="254"/>
      <c r="K213" s="254"/>
    </row>
    <row r="214">
      <c r="A214" s="265"/>
      <c r="B214" s="247"/>
      <c r="C214" s="248"/>
      <c r="D214" s="249"/>
      <c r="F214" s="250">
        <v>3978.0</v>
      </c>
      <c r="G214" s="254" t="s">
        <v>97</v>
      </c>
      <c r="H214" s="251"/>
      <c r="I214" s="269"/>
      <c r="J214" s="254"/>
      <c r="K214" s="254"/>
    </row>
    <row r="215">
      <c r="A215" s="265"/>
      <c r="B215" s="247">
        <f>125600-7000-2400-2400</f>
        <v>113800</v>
      </c>
      <c r="C215" s="248"/>
      <c r="D215" s="414"/>
      <c r="E215" s="398" t="s">
        <v>328</v>
      </c>
      <c r="F215" s="418"/>
      <c r="G215" s="285" t="s">
        <v>75</v>
      </c>
      <c r="H215" s="251"/>
      <c r="I215" s="269"/>
      <c r="J215" s="254"/>
      <c r="K215" s="254"/>
    </row>
    <row r="216">
      <c r="A216" s="265"/>
      <c r="B216" s="247"/>
      <c r="C216" s="248"/>
      <c r="D216" s="249"/>
      <c r="E216" s="254"/>
      <c r="F216" s="250">
        <v>12000.0</v>
      </c>
      <c r="G216" s="254" t="s">
        <v>954</v>
      </c>
      <c r="H216" s="251"/>
      <c r="I216" s="269"/>
      <c r="J216" s="269"/>
      <c r="K216" s="269"/>
    </row>
    <row r="217">
      <c r="A217" s="265"/>
      <c r="B217" s="247"/>
      <c r="C217" s="248"/>
      <c r="D217" s="400"/>
      <c r="E217" s="285"/>
      <c r="F217" s="284">
        <v>6356.0</v>
      </c>
      <c r="G217" s="285" t="s">
        <v>97</v>
      </c>
      <c r="H217" s="251"/>
      <c r="I217" s="269"/>
      <c r="J217" s="269"/>
      <c r="K217" s="269"/>
    </row>
    <row r="218">
      <c r="A218" s="265"/>
      <c r="B218" s="247">
        <v>15228.87</v>
      </c>
      <c r="C218" s="248"/>
      <c r="D218" s="249"/>
      <c r="E218" s="269"/>
      <c r="F218" s="250"/>
      <c r="G218" s="254" t="s">
        <v>82</v>
      </c>
      <c r="H218" s="251"/>
      <c r="I218" s="269"/>
      <c r="J218" s="269"/>
      <c r="K218" s="269"/>
    </row>
    <row r="219">
      <c r="A219" s="265"/>
      <c r="B219" s="247"/>
      <c r="C219" s="252"/>
      <c r="D219" s="249">
        <v>92877.91</v>
      </c>
      <c r="E219" s="254" t="s">
        <v>328</v>
      </c>
      <c r="F219" s="250"/>
      <c r="G219" s="254" t="s">
        <v>114</v>
      </c>
      <c r="H219" s="251"/>
      <c r="I219" s="269"/>
      <c r="J219" s="269"/>
      <c r="K219" s="269"/>
    </row>
    <row r="220">
      <c r="A220" s="265"/>
      <c r="B220" s="247"/>
      <c r="C220" s="252"/>
      <c r="D220" s="288"/>
      <c r="E220" s="269"/>
      <c r="F220" s="250"/>
      <c r="G220" s="254"/>
      <c r="H220" s="251"/>
      <c r="I220" s="254"/>
      <c r="J220" s="269"/>
      <c r="K220" s="269"/>
    </row>
    <row r="221">
      <c r="A221" s="265"/>
      <c r="B221" s="247"/>
      <c r="C221" s="252"/>
      <c r="D221" s="253"/>
      <c r="F221" s="250"/>
      <c r="G221" s="254"/>
      <c r="H221" s="251"/>
      <c r="I221" s="269"/>
      <c r="J221" s="269"/>
      <c r="K221" s="269"/>
    </row>
    <row r="222">
      <c r="A222" s="265"/>
      <c r="B222" s="247"/>
      <c r="C222" s="252"/>
      <c r="D222" s="253"/>
      <c r="F222" s="250"/>
      <c r="G222" s="254"/>
      <c r="H222" s="251"/>
    </row>
    <row r="223">
      <c r="A223" s="265"/>
      <c r="B223" s="247"/>
      <c r="C223" s="252"/>
      <c r="D223" s="253"/>
      <c r="F223" s="250"/>
      <c r="G223" s="254"/>
      <c r="H223" s="251"/>
    </row>
    <row r="224">
      <c r="A224" s="265"/>
      <c r="B224" s="277"/>
      <c r="C224" s="252"/>
      <c r="D224" s="253"/>
      <c r="F224" s="250"/>
      <c r="G224" s="254"/>
      <c r="H224" s="251"/>
    </row>
    <row r="225">
      <c r="A225" s="265"/>
      <c r="B225" s="278"/>
      <c r="C225" s="252"/>
      <c r="D225" s="253"/>
      <c r="F225" s="282"/>
      <c r="G225" s="269"/>
      <c r="H225" s="251"/>
    </row>
    <row r="226">
      <c r="A226" s="265"/>
      <c r="B226" s="278"/>
      <c r="C226" s="252"/>
      <c r="D226" s="253"/>
      <c r="F226" s="282"/>
      <c r="G226" s="269"/>
      <c r="H226" s="251"/>
    </row>
    <row r="227">
      <c r="A227" s="270"/>
      <c r="B227" s="271"/>
      <c r="C227" s="272"/>
      <c r="D227" s="273"/>
      <c r="E227" s="18"/>
      <c r="F227" s="274"/>
      <c r="G227" s="275"/>
      <c r="H227" s="261"/>
    </row>
    <row r="228">
      <c r="A228" s="262" t="s">
        <v>576</v>
      </c>
      <c r="B228" s="239"/>
      <c r="C228" s="263"/>
      <c r="D228" s="401">
        <v>111000.0</v>
      </c>
      <c r="E228" s="402" t="s">
        <v>328</v>
      </c>
      <c r="F228" s="403"/>
      <c r="G228" s="398" t="s">
        <v>87</v>
      </c>
      <c r="H228" s="245">
        <v>175.0</v>
      </c>
    </row>
    <row r="229">
      <c r="A229" s="265"/>
      <c r="B229" s="247"/>
      <c r="C229" s="248"/>
      <c r="D229" s="249">
        <v>120879.0</v>
      </c>
      <c r="E229" s="2" t="s">
        <v>328</v>
      </c>
      <c r="F229" s="250"/>
      <c r="G229" s="254" t="s">
        <v>92</v>
      </c>
      <c r="H229" s="267"/>
    </row>
    <row r="230">
      <c r="A230" s="265"/>
      <c r="B230" s="247"/>
      <c r="C230" s="248"/>
      <c r="D230" s="249"/>
      <c r="F230" s="250"/>
      <c r="G230" s="254"/>
      <c r="H230" s="251"/>
    </row>
    <row r="231">
      <c r="A231" s="265"/>
      <c r="B231" s="247"/>
      <c r="C231" s="248"/>
      <c r="D231" s="249"/>
      <c r="F231" s="250"/>
      <c r="G231" s="254"/>
      <c r="H231" s="251"/>
    </row>
    <row r="232">
      <c r="A232" s="265"/>
      <c r="B232" s="247"/>
      <c r="C232" s="252"/>
      <c r="D232" s="249"/>
      <c r="F232" s="250"/>
      <c r="G232" s="254"/>
      <c r="H232" s="267"/>
    </row>
    <row r="233">
      <c r="A233" s="265"/>
      <c r="B233" s="247"/>
      <c r="C233" s="248"/>
      <c r="D233" s="249"/>
      <c r="F233" s="250"/>
      <c r="G233" s="254"/>
      <c r="H233" s="267"/>
    </row>
    <row r="234">
      <c r="A234" s="265"/>
      <c r="B234" s="247"/>
      <c r="C234" s="248"/>
      <c r="D234" s="249"/>
      <c r="F234" s="250"/>
      <c r="G234" s="254"/>
      <c r="H234" s="251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47"/>
      <c r="C236" s="252"/>
      <c r="D236" s="253"/>
      <c r="F236" s="250"/>
      <c r="G236" s="254"/>
      <c r="H236" s="251"/>
    </row>
    <row r="237">
      <c r="A237" s="265"/>
      <c r="B237" s="247"/>
      <c r="C237" s="252"/>
      <c r="D237" s="253"/>
      <c r="F237" s="250"/>
      <c r="G237" s="254"/>
      <c r="H237" s="251"/>
    </row>
    <row r="238">
      <c r="A238" s="265"/>
      <c r="B238" s="278"/>
      <c r="C238" s="252"/>
      <c r="D238" s="253"/>
      <c r="F238" s="250"/>
      <c r="G238" s="254"/>
      <c r="H238" s="251"/>
    </row>
    <row r="239">
      <c r="A239" s="265"/>
      <c r="B239" s="278"/>
      <c r="C239" s="252"/>
      <c r="D239" s="253"/>
      <c r="F239" s="250"/>
      <c r="G239" s="269"/>
      <c r="H239" s="251"/>
    </row>
    <row r="240">
      <c r="A240" s="265"/>
      <c r="B240" s="278"/>
      <c r="C240" s="252"/>
      <c r="D240" s="253"/>
      <c r="F240" s="250"/>
      <c r="G240" s="269"/>
      <c r="H240" s="251"/>
    </row>
    <row r="241">
      <c r="A241" s="270"/>
      <c r="B241" s="271"/>
      <c r="C241" s="272"/>
      <c r="D241" s="273"/>
      <c r="E241" s="18"/>
      <c r="F241" s="274"/>
      <c r="G241" s="275"/>
      <c r="H241" s="261"/>
    </row>
    <row r="242">
      <c r="A242" s="262" t="s">
        <v>577</v>
      </c>
      <c r="B242" s="239"/>
      <c r="C242" s="263">
        <v>51457.11</v>
      </c>
      <c r="D242" s="264"/>
      <c r="E242" s="244"/>
      <c r="F242" s="243"/>
      <c r="G242" s="276" t="s">
        <v>84</v>
      </c>
      <c r="H242" s="245">
        <v>173.0</v>
      </c>
    </row>
    <row r="243">
      <c r="A243" s="265"/>
      <c r="B243" s="247">
        <v>15900.0</v>
      </c>
      <c r="C243" s="248"/>
      <c r="D243" s="249"/>
      <c r="F243" s="250"/>
      <c r="G243" s="254" t="s">
        <v>75</v>
      </c>
      <c r="H243" s="251"/>
    </row>
    <row r="244">
      <c r="A244" s="265"/>
      <c r="B244" s="247">
        <v>37679.35</v>
      </c>
      <c r="C244" s="248"/>
      <c r="D244" s="249"/>
      <c r="F244" s="250"/>
      <c r="G244" s="254" t="s">
        <v>82</v>
      </c>
      <c r="H244" s="251"/>
    </row>
    <row r="245">
      <c r="A245" s="265"/>
      <c r="B245" s="247"/>
      <c r="C245" s="248"/>
      <c r="D245" s="249"/>
      <c r="F245" s="250">
        <v>5070.0</v>
      </c>
      <c r="G245" s="254" t="s">
        <v>97</v>
      </c>
      <c r="H245" s="267"/>
    </row>
    <row r="246">
      <c r="A246" s="265"/>
      <c r="B246" s="247"/>
      <c r="C246" s="248"/>
      <c r="D246" s="249">
        <v>78716.68</v>
      </c>
      <c r="F246" s="250"/>
      <c r="G246" s="254" t="s">
        <v>103</v>
      </c>
      <c r="H246" s="251"/>
    </row>
    <row r="247">
      <c r="A247" s="265"/>
      <c r="B247" s="247">
        <v>13380.0</v>
      </c>
      <c r="C247" s="248"/>
      <c r="D247" s="249"/>
      <c r="F247" s="250"/>
      <c r="G247" s="254" t="s">
        <v>1034</v>
      </c>
      <c r="H247" s="251"/>
    </row>
    <row r="248">
      <c r="A248" s="265"/>
      <c r="B248" s="247">
        <v>11620.0</v>
      </c>
      <c r="C248" s="252"/>
      <c r="D248" s="249"/>
      <c r="F248" s="250"/>
      <c r="G248" s="254" t="s">
        <v>549</v>
      </c>
      <c r="H248" s="251"/>
    </row>
    <row r="249">
      <c r="A249" s="265"/>
      <c r="B249" s="247"/>
      <c r="C249" s="248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>
        <v>2085.0</v>
      </c>
      <c r="G250" s="254" t="s">
        <v>116</v>
      </c>
      <c r="H250" s="251"/>
    </row>
    <row r="251">
      <c r="A251" s="265"/>
      <c r="B251" s="247"/>
      <c r="C251" s="252"/>
      <c r="D251" s="399">
        <v>339707.5</v>
      </c>
      <c r="E251" s="398" t="s">
        <v>328</v>
      </c>
      <c r="F251" s="284"/>
      <c r="G251" s="285" t="s">
        <v>877</v>
      </c>
      <c r="H251" s="251"/>
    </row>
    <row r="252">
      <c r="A252" s="265"/>
      <c r="B252" s="247"/>
      <c r="C252" s="252"/>
      <c r="D252" s="249"/>
      <c r="F252" s="250"/>
      <c r="G252" s="254"/>
      <c r="H252" s="267"/>
    </row>
    <row r="253">
      <c r="A253" s="265"/>
      <c r="B253" s="268"/>
      <c r="C253" s="252"/>
      <c r="D253" s="249"/>
      <c r="F253" s="250"/>
      <c r="G253" s="254"/>
      <c r="H253" s="251"/>
    </row>
    <row r="254">
      <c r="A254" s="265"/>
      <c r="B254" s="268"/>
      <c r="C254" s="252"/>
      <c r="D254" s="253"/>
      <c r="F254" s="250"/>
      <c r="G254" s="254"/>
      <c r="H254" s="251"/>
    </row>
    <row r="255">
      <c r="A255" s="265"/>
      <c r="B255" s="268"/>
      <c r="C255" s="252"/>
      <c r="D255" s="253"/>
      <c r="F255" s="250"/>
      <c r="G255" s="254"/>
      <c r="H255" s="251"/>
    </row>
    <row r="256">
      <c r="A256" s="270"/>
      <c r="B256" s="271"/>
      <c r="C256" s="272"/>
      <c r="D256" s="273"/>
      <c r="E256" s="18"/>
      <c r="F256" s="259"/>
      <c r="G256" s="260"/>
      <c r="H256" s="261"/>
    </row>
    <row r="257">
      <c r="A257" s="262" t="s">
        <v>579</v>
      </c>
      <c r="B257" s="239"/>
      <c r="C257" s="263"/>
      <c r="D257" s="249"/>
      <c r="F257" s="250">
        <v>2095.0</v>
      </c>
      <c r="G257" s="254" t="s">
        <v>116</v>
      </c>
      <c r="H257" s="245">
        <v>100.0</v>
      </c>
    </row>
    <row r="258">
      <c r="A258" s="265"/>
      <c r="B258" s="404"/>
      <c r="C258" s="405"/>
      <c r="D258" s="399">
        <v>54111.2</v>
      </c>
      <c r="E258" s="398"/>
      <c r="F258" s="284"/>
      <c r="G258" s="285" t="s">
        <v>79</v>
      </c>
      <c r="H258" s="267"/>
    </row>
    <row r="259">
      <c r="A259" s="265"/>
      <c r="B259" s="419"/>
      <c r="C259" s="405"/>
      <c r="D259" s="399">
        <v>27800.0</v>
      </c>
      <c r="E259" s="398"/>
      <c r="F259" s="284"/>
      <c r="G259" s="285" t="s">
        <v>76</v>
      </c>
      <c r="H259" s="251"/>
    </row>
    <row r="260">
      <c r="A260" s="265"/>
      <c r="B260" s="247"/>
      <c r="C260" s="248"/>
      <c r="D260" s="249"/>
      <c r="F260" s="250">
        <v>2000.0</v>
      </c>
      <c r="G260" s="254" t="s">
        <v>1083</v>
      </c>
      <c r="H260" s="251"/>
    </row>
    <row r="261">
      <c r="A261" s="265"/>
      <c r="B261" s="247">
        <v>168964.18</v>
      </c>
      <c r="C261" s="248"/>
      <c r="D261" s="414"/>
      <c r="E261" s="398" t="s">
        <v>328</v>
      </c>
      <c r="F261" s="418"/>
      <c r="G261" s="285" t="s">
        <v>91</v>
      </c>
      <c r="H261" s="251"/>
    </row>
    <row r="262">
      <c r="A262" s="265"/>
      <c r="B262" s="247"/>
      <c r="C262" s="248"/>
      <c r="D262" s="249"/>
      <c r="F262" s="250"/>
      <c r="G262" s="254"/>
      <c r="H262" s="251"/>
    </row>
    <row r="263">
      <c r="A263" s="265"/>
      <c r="B263" s="247"/>
      <c r="C263" s="248"/>
      <c r="D263" s="249"/>
      <c r="F263" s="250"/>
      <c r="G263" s="254"/>
      <c r="H263" s="251"/>
    </row>
    <row r="264">
      <c r="A264" s="265"/>
      <c r="B264" s="247"/>
      <c r="C264" s="248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51"/>
    </row>
    <row r="266">
      <c r="A266" s="265"/>
      <c r="B266" s="247"/>
      <c r="C266" s="252"/>
      <c r="D266" s="289"/>
      <c r="E266" s="290"/>
      <c r="F266" s="335"/>
      <c r="G266" s="292"/>
      <c r="H266" s="251"/>
    </row>
    <row r="267">
      <c r="A267" s="265"/>
      <c r="B267" s="247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69"/>
      <c r="H268" s="251"/>
    </row>
    <row r="269">
      <c r="A269" s="270"/>
      <c r="B269" s="271"/>
      <c r="C269" s="272"/>
      <c r="D269" s="273"/>
      <c r="E269" s="18"/>
      <c r="F269" s="259"/>
      <c r="G269" s="260"/>
      <c r="H269" s="261"/>
    </row>
    <row r="270">
      <c r="A270" s="262" t="s">
        <v>581</v>
      </c>
      <c r="B270" s="425">
        <v>68100.0</v>
      </c>
      <c r="C270" s="426"/>
      <c r="D270" s="399"/>
      <c r="E270" s="398" t="s">
        <v>328</v>
      </c>
      <c r="F270" s="284"/>
      <c r="G270" s="285" t="s">
        <v>75</v>
      </c>
      <c r="H270" s="245">
        <v>100.0</v>
      </c>
    </row>
    <row r="271">
      <c r="A271" s="265"/>
      <c r="B271" s="247">
        <v>30382.24</v>
      </c>
      <c r="C271" s="248"/>
      <c r="D271" s="249"/>
      <c r="F271" s="250"/>
      <c r="G271" s="254" t="s">
        <v>82</v>
      </c>
      <c r="H271" s="267"/>
    </row>
    <row r="272">
      <c r="A272" s="265"/>
      <c r="B272" s="247"/>
      <c r="C272" s="248"/>
      <c r="D272" s="249"/>
      <c r="F272" s="250">
        <v>6760.0</v>
      </c>
      <c r="G272" s="254" t="s">
        <v>1084</v>
      </c>
      <c r="H272" s="251"/>
    </row>
    <row r="273">
      <c r="A273" s="265"/>
      <c r="B273" s="247">
        <v>77018.5</v>
      </c>
      <c r="C273" s="248"/>
      <c r="D273" s="249"/>
      <c r="F273" s="250"/>
      <c r="G273" s="254" t="s">
        <v>1085</v>
      </c>
      <c r="H273" s="251"/>
    </row>
    <row r="274">
      <c r="A274" s="265"/>
      <c r="B274" s="247"/>
      <c r="C274" s="252"/>
      <c r="D274" s="414"/>
      <c r="E274" s="417"/>
      <c r="F274" s="418"/>
      <c r="G274" s="420"/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48"/>
      <c r="D277" s="249"/>
      <c r="F277" s="250"/>
      <c r="G277" s="254"/>
      <c r="H277" s="251"/>
    </row>
    <row r="278">
      <c r="A278" s="265"/>
      <c r="B278" s="247"/>
      <c r="C278" s="252"/>
      <c r="D278" s="249"/>
      <c r="F278" s="250"/>
      <c r="G278" s="254"/>
      <c r="H278" s="251"/>
    </row>
    <row r="279">
      <c r="A279" s="265"/>
      <c r="B279" s="247"/>
      <c r="C279" s="252"/>
      <c r="D279" s="249"/>
      <c r="F279" s="250"/>
      <c r="G279" s="254"/>
      <c r="H279" s="251"/>
    </row>
    <row r="280">
      <c r="A280" s="265"/>
      <c r="B280" s="247"/>
      <c r="C280" s="252"/>
      <c r="D280" s="253"/>
      <c r="F280" s="250"/>
      <c r="G280" s="254"/>
      <c r="H280" s="251"/>
    </row>
    <row r="281">
      <c r="A281" s="265"/>
      <c r="B281" s="268"/>
      <c r="C281" s="252"/>
      <c r="D281" s="253"/>
      <c r="F281" s="250"/>
      <c r="G281" s="254"/>
      <c r="H281" s="251"/>
    </row>
    <row r="282">
      <c r="A282" s="265"/>
      <c r="B282" s="268"/>
      <c r="C282" s="252"/>
      <c r="D282" s="253"/>
      <c r="F282" s="250"/>
      <c r="G282" s="254"/>
      <c r="H282" s="251"/>
    </row>
    <row r="283">
      <c r="A283" s="265"/>
      <c r="B283" s="278"/>
      <c r="C283" s="252"/>
      <c r="D283" s="253"/>
      <c r="F283" s="250"/>
      <c r="G283" s="254"/>
      <c r="H283" s="251"/>
    </row>
    <row r="284">
      <c r="A284" s="265"/>
      <c r="B284" s="278"/>
      <c r="C284" s="252"/>
      <c r="D284" s="253"/>
      <c r="F284" s="282"/>
      <c r="G284" s="269"/>
      <c r="H284" s="251"/>
    </row>
    <row r="285">
      <c r="A285" s="270"/>
      <c r="B285" s="271"/>
      <c r="C285" s="272"/>
      <c r="D285" s="273"/>
      <c r="E285" s="18"/>
      <c r="F285" s="274"/>
      <c r="G285" s="275"/>
      <c r="H285" s="261"/>
    </row>
    <row r="286">
      <c r="A286" s="262" t="s">
        <v>583</v>
      </c>
      <c r="B286" s="239"/>
      <c r="C286" s="263"/>
      <c r="D286" s="264"/>
      <c r="E286" s="244"/>
      <c r="F286" s="243">
        <f>5070+4378</f>
        <v>9448</v>
      </c>
      <c r="G286" s="276" t="s">
        <v>97</v>
      </c>
      <c r="H286" s="245">
        <v>190.0</v>
      </c>
    </row>
    <row r="287">
      <c r="A287" s="265"/>
      <c r="B287" s="247"/>
      <c r="C287" s="248">
        <v>131028.12</v>
      </c>
      <c r="D287" s="249"/>
      <c r="F287" s="250"/>
      <c r="G287" s="254" t="s">
        <v>89</v>
      </c>
      <c r="H287" s="267"/>
    </row>
    <row r="288">
      <c r="A288" s="265"/>
      <c r="B288" s="247">
        <v>99093.64</v>
      </c>
      <c r="C288" s="248"/>
      <c r="D288" s="249"/>
      <c r="F288" s="250"/>
      <c r="G288" s="254" t="s">
        <v>142</v>
      </c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52"/>
      <c r="D290" s="249"/>
      <c r="F290" s="250"/>
      <c r="G290" s="254"/>
      <c r="H290" s="251"/>
    </row>
    <row r="291">
      <c r="A291" s="265"/>
      <c r="B291" s="247"/>
      <c r="C291" s="248"/>
      <c r="D291" s="249"/>
      <c r="F291" s="250"/>
      <c r="G291" s="254"/>
      <c r="H291" s="267"/>
    </row>
    <row r="292">
      <c r="A292" s="265"/>
      <c r="B292" s="247"/>
      <c r="C292" s="248"/>
      <c r="D292" s="249"/>
      <c r="F292" s="250"/>
      <c r="G292" s="254"/>
      <c r="H292" s="267"/>
    </row>
    <row r="293">
      <c r="A293" s="265"/>
      <c r="B293" s="247"/>
      <c r="C293" s="248"/>
      <c r="D293" s="253"/>
      <c r="F293" s="250"/>
      <c r="G293" s="254"/>
      <c r="H293" s="267"/>
    </row>
    <row r="294">
      <c r="A294" s="265"/>
      <c r="B294" s="247"/>
      <c r="C294" s="252"/>
      <c r="D294" s="253"/>
      <c r="F294" s="250"/>
      <c r="G294" s="254"/>
      <c r="H294" s="251"/>
    </row>
    <row r="295">
      <c r="A295" s="265"/>
      <c r="B295" s="268"/>
      <c r="C295" s="252"/>
      <c r="D295" s="249"/>
      <c r="F295" s="250"/>
      <c r="G295" s="254"/>
      <c r="H295" s="251"/>
    </row>
    <row r="296">
      <c r="A296" s="265"/>
      <c r="B296" s="268"/>
      <c r="C296" s="252"/>
      <c r="D296" s="253"/>
      <c r="F296" s="250"/>
      <c r="G296" s="254"/>
      <c r="H296" s="251"/>
    </row>
    <row r="297">
      <c r="A297" s="265"/>
      <c r="B297" s="268"/>
      <c r="C297" s="252"/>
      <c r="D297" s="253"/>
      <c r="F297" s="250"/>
      <c r="G297" s="254"/>
      <c r="H297" s="251"/>
    </row>
    <row r="298">
      <c r="A298" s="265"/>
      <c r="B298" s="268"/>
      <c r="C298" s="252"/>
      <c r="D298" s="253"/>
      <c r="F298" s="250"/>
      <c r="G298" s="254"/>
      <c r="H298" s="251"/>
    </row>
    <row r="299">
      <c r="A299" s="265"/>
      <c r="B299" s="268"/>
      <c r="C299" s="252"/>
      <c r="D299" s="253"/>
      <c r="F299" s="250"/>
      <c r="G299" s="269"/>
      <c r="H299" s="251"/>
    </row>
    <row r="300">
      <c r="A300" s="270"/>
      <c r="B300" s="271"/>
      <c r="C300" s="272"/>
      <c r="D300" s="273"/>
      <c r="E300" s="18"/>
      <c r="F300" s="274"/>
      <c r="G300" s="275"/>
      <c r="H300" s="261"/>
    </row>
    <row r="301">
      <c r="A301" s="262" t="s">
        <v>585</v>
      </c>
      <c r="B301" s="239">
        <f>62000-10000-1500-1800</f>
        <v>48700</v>
      </c>
      <c r="C301" s="263"/>
      <c r="D301" s="264"/>
      <c r="E301" s="244" t="s">
        <v>328</v>
      </c>
      <c r="F301" s="250"/>
      <c r="G301" s="254" t="s">
        <v>75</v>
      </c>
      <c r="H301" s="245">
        <f>73+21</f>
        <v>94</v>
      </c>
    </row>
    <row r="302">
      <c r="A302" s="265"/>
      <c r="B302" s="247"/>
      <c r="C302" s="252"/>
      <c r="D302" s="253"/>
      <c r="F302" s="250">
        <f>2394+8940+4380</f>
        <v>15714</v>
      </c>
      <c r="G302" s="254" t="s">
        <v>97</v>
      </c>
      <c r="H302" s="267"/>
    </row>
    <row r="303">
      <c r="A303" s="265"/>
      <c r="B303" s="247">
        <v>40000.0</v>
      </c>
      <c r="C303" s="248"/>
      <c r="D303" s="249"/>
      <c r="E303" s="2" t="s">
        <v>328</v>
      </c>
      <c r="F303" s="250"/>
      <c r="G303" s="254" t="s">
        <v>68</v>
      </c>
      <c r="H303" s="251"/>
    </row>
    <row r="304">
      <c r="A304" s="265"/>
      <c r="B304" s="247">
        <v>51849.62</v>
      </c>
      <c r="C304" s="248"/>
      <c r="D304" s="249"/>
      <c r="F304" s="250"/>
      <c r="G304" s="254" t="s">
        <v>82</v>
      </c>
      <c r="H304" s="251"/>
    </row>
    <row r="305">
      <c r="A305" s="265"/>
      <c r="B305" s="247"/>
      <c r="C305" s="248">
        <f>122637.64+100869.05</f>
        <v>223506.69</v>
      </c>
      <c r="D305" s="249"/>
      <c r="F305" s="250"/>
      <c r="G305" s="254" t="s">
        <v>71</v>
      </c>
      <c r="H305" s="267"/>
    </row>
    <row r="306">
      <c r="A306" s="265"/>
      <c r="B306" s="247"/>
      <c r="C306" s="248"/>
      <c r="D306" s="249">
        <v>74000.0</v>
      </c>
      <c r="E306" s="2" t="s">
        <v>328</v>
      </c>
      <c r="F306" s="250"/>
      <c r="G306" s="254" t="s">
        <v>87</v>
      </c>
      <c r="H306" s="267"/>
    </row>
    <row r="307">
      <c r="A307" s="265"/>
      <c r="B307" s="247"/>
      <c r="C307" s="252"/>
      <c r="D307" s="249"/>
      <c r="F307" s="250"/>
      <c r="G307" s="254"/>
      <c r="H307" s="251"/>
    </row>
    <row r="308">
      <c r="A308" s="265"/>
      <c r="B308" s="247"/>
      <c r="C308" s="248"/>
      <c r="D308" s="249"/>
      <c r="F308" s="250"/>
      <c r="G308" s="254"/>
      <c r="H308" s="251"/>
    </row>
    <row r="309">
      <c r="A309" s="265"/>
      <c r="B309" s="268"/>
      <c r="C309" s="252"/>
      <c r="D309" s="253"/>
      <c r="F309" s="250"/>
      <c r="G309" s="254"/>
      <c r="H309" s="251"/>
    </row>
    <row r="310">
      <c r="A310" s="265"/>
      <c r="B310" s="268"/>
      <c r="C310" s="252"/>
      <c r="D310" s="253"/>
      <c r="F310" s="250"/>
      <c r="G310" s="254"/>
      <c r="H310" s="251"/>
    </row>
    <row r="311">
      <c r="A311" s="265"/>
      <c r="B311" s="247"/>
      <c r="C311" s="252"/>
      <c r="D311" s="253"/>
      <c r="F311" s="250"/>
      <c r="G311" s="254"/>
      <c r="H311" s="251"/>
    </row>
    <row r="312">
      <c r="A312" s="265"/>
      <c r="B312" s="247"/>
      <c r="C312" s="252"/>
      <c r="D312" s="253"/>
      <c r="F312" s="250"/>
      <c r="G312" s="254"/>
      <c r="H312" s="251"/>
    </row>
    <row r="313">
      <c r="A313" s="265"/>
      <c r="B313" s="268"/>
      <c r="C313" s="252"/>
      <c r="D313" s="253"/>
      <c r="F313" s="250"/>
      <c r="G313" s="254"/>
      <c r="H313" s="251"/>
    </row>
    <row r="314">
      <c r="A314" s="265"/>
      <c r="B314" s="268"/>
      <c r="C314" s="252"/>
      <c r="D314" s="253"/>
      <c r="F314" s="250"/>
      <c r="G314" s="269"/>
      <c r="H314" s="251"/>
    </row>
    <row r="315">
      <c r="A315" s="270"/>
      <c r="B315" s="271"/>
      <c r="C315" s="272"/>
      <c r="D315" s="273"/>
      <c r="E315" s="18"/>
      <c r="F315" s="274"/>
      <c r="G315" s="18"/>
      <c r="H315" s="261"/>
    </row>
    <row r="316">
      <c r="A316" s="262" t="s">
        <v>591</v>
      </c>
      <c r="B316" s="425">
        <v>54111.2</v>
      </c>
      <c r="C316" s="426"/>
      <c r="D316" s="401"/>
      <c r="E316" s="402" t="s">
        <v>328</v>
      </c>
      <c r="F316" s="403"/>
      <c r="G316" s="402" t="s">
        <v>1086</v>
      </c>
      <c r="H316" s="245">
        <v>118.0</v>
      </c>
    </row>
    <row r="317">
      <c r="A317" s="265"/>
      <c r="B317" s="247"/>
      <c r="C317" s="248"/>
      <c r="D317" s="249"/>
      <c r="F317" s="250">
        <v>7560.0</v>
      </c>
      <c r="G317" s="2" t="s">
        <v>97</v>
      </c>
      <c r="H317" s="267"/>
    </row>
    <row r="318">
      <c r="A318" s="265"/>
      <c r="B318" s="419"/>
      <c r="C318" s="427"/>
      <c r="D318" s="399">
        <v>102200.0</v>
      </c>
      <c r="E318" s="398" t="s">
        <v>328</v>
      </c>
      <c r="F318" s="284"/>
      <c r="G318" s="398" t="s">
        <v>1087</v>
      </c>
      <c r="H318" s="251"/>
    </row>
    <row r="319">
      <c r="A319" s="265"/>
      <c r="B319" s="404"/>
      <c r="C319" s="405"/>
      <c r="D319" s="399">
        <v>195049.73</v>
      </c>
      <c r="E319" s="398" t="s">
        <v>328</v>
      </c>
      <c r="F319" s="284"/>
      <c r="G319" s="398" t="s">
        <v>74</v>
      </c>
      <c r="H319" s="251"/>
    </row>
    <row r="320">
      <c r="A320" s="265"/>
      <c r="B320" s="404">
        <v>5250.54</v>
      </c>
      <c r="C320" s="405"/>
      <c r="D320" s="399"/>
      <c r="E320" s="398" t="s">
        <v>328</v>
      </c>
      <c r="F320" s="284"/>
      <c r="G320" s="398" t="s">
        <v>73</v>
      </c>
      <c r="H320" s="251"/>
    </row>
    <row r="321">
      <c r="A321" s="265"/>
      <c r="B321" s="247">
        <v>61400.0</v>
      </c>
      <c r="C321" s="248"/>
      <c r="D321" s="249"/>
      <c r="E321" s="2" t="s">
        <v>328</v>
      </c>
      <c r="F321" s="250"/>
      <c r="G321" s="2" t="s">
        <v>76</v>
      </c>
      <c r="H321" s="251"/>
    </row>
    <row r="322">
      <c r="A322" s="265"/>
      <c r="B322" s="247"/>
      <c r="C322" s="248"/>
      <c r="D322" s="249">
        <v>89948.68</v>
      </c>
      <c r="E322" s="2" t="s">
        <v>328</v>
      </c>
      <c r="F322" s="250"/>
      <c r="G322" s="2" t="s">
        <v>114</v>
      </c>
      <c r="H322" s="251"/>
    </row>
    <row r="323">
      <c r="A323" s="265"/>
      <c r="B323" s="247"/>
      <c r="C323" s="252"/>
      <c r="D323" s="249">
        <v>131799.6</v>
      </c>
      <c r="F323" s="250"/>
      <c r="G323" s="2" t="s">
        <v>103</v>
      </c>
      <c r="H323" s="251"/>
    </row>
    <row r="324">
      <c r="A324" s="265"/>
      <c r="B324" s="247">
        <v>24420.0</v>
      </c>
      <c r="C324" s="252"/>
      <c r="D324" s="253"/>
      <c r="F324" s="250"/>
      <c r="G324" s="2" t="s">
        <v>776</v>
      </c>
      <c r="H324" s="251"/>
    </row>
    <row r="325">
      <c r="A325" s="265"/>
      <c r="B325" s="247"/>
      <c r="C325" s="252"/>
      <c r="D325" s="249"/>
      <c r="F325" s="250">
        <v>7000.0</v>
      </c>
      <c r="G325" s="2" t="s">
        <v>85</v>
      </c>
      <c r="H325" s="251"/>
    </row>
    <row r="326">
      <c r="A326" s="265"/>
      <c r="B326" s="247">
        <v>21500.0</v>
      </c>
      <c r="C326" s="252"/>
      <c r="D326" s="253"/>
      <c r="F326" s="250"/>
      <c r="G326" s="2" t="s">
        <v>426</v>
      </c>
      <c r="H326" s="251"/>
    </row>
    <row r="327">
      <c r="A327" s="265"/>
      <c r="B327" s="247"/>
      <c r="C327" s="252"/>
      <c r="D327" s="253"/>
      <c r="F327" s="250"/>
      <c r="H327" s="251"/>
    </row>
    <row r="328">
      <c r="A328" s="265"/>
      <c r="B328" s="247"/>
      <c r="C328" s="252"/>
      <c r="D328" s="249"/>
      <c r="F328" s="250"/>
      <c r="H328" s="251"/>
    </row>
    <row r="329">
      <c r="A329" s="270"/>
      <c r="B329" s="271"/>
      <c r="C329" s="272"/>
      <c r="D329" s="273"/>
      <c r="E329" s="18"/>
      <c r="F329" s="259"/>
      <c r="G329" s="293"/>
      <c r="H329" s="261"/>
    </row>
    <row r="330">
      <c r="A330" s="262" t="s">
        <v>593</v>
      </c>
      <c r="B330" s="239">
        <v>69500.0</v>
      </c>
      <c r="C330" s="263"/>
      <c r="D330" s="264"/>
      <c r="E330" s="244"/>
      <c r="F330" s="243"/>
      <c r="G330" s="244" t="s">
        <v>75</v>
      </c>
      <c r="H330" s="245">
        <v>180.0</v>
      </c>
      <c r="I330" s="2" t="s">
        <v>1088</v>
      </c>
    </row>
    <row r="331">
      <c r="A331" s="265"/>
      <c r="B331" s="247">
        <v>46506.91</v>
      </c>
      <c r="C331" s="248"/>
      <c r="D331" s="249"/>
      <c r="F331" s="250"/>
      <c r="G331" s="2" t="s">
        <v>82</v>
      </c>
      <c r="H331" s="267"/>
      <c r="I331" s="2" t="s">
        <v>1089</v>
      </c>
    </row>
    <row r="332">
      <c r="A332" s="265"/>
      <c r="B332" s="404"/>
      <c r="C332" s="405"/>
      <c r="D332" s="399"/>
      <c r="E332" s="398"/>
      <c r="F332" s="284">
        <v>3500.0</v>
      </c>
      <c r="G332" s="398" t="s">
        <v>1090</v>
      </c>
      <c r="H332" s="267"/>
    </row>
    <row r="333">
      <c r="A333" s="265"/>
      <c r="B333" s="404"/>
      <c r="C333" s="405">
        <v>100717.8</v>
      </c>
      <c r="D333" s="399"/>
      <c r="E333" s="398"/>
      <c r="F333" s="284"/>
      <c r="G333" s="398" t="s">
        <v>89</v>
      </c>
      <c r="H333" s="251"/>
    </row>
    <row r="334">
      <c r="A334" s="265"/>
      <c r="B334" s="247"/>
      <c r="C334" s="248">
        <v>93720.24</v>
      </c>
      <c r="D334" s="249"/>
      <c r="F334" s="250"/>
      <c r="G334" s="2" t="s">
        <v>84</v>
      </c>
      <c r="H334" s="251"/>
    </row>
    <row r="335">
      <c r="A335" s="265"/>
      <c r="B335" s="247"/>
      <c r="C335" s="252"/>
      <c r="D335" s="399">
        <v>229900.0</v>
      </c>
      <c r="E335" s="398" t="s">
        <v>328</v>
      </c>
      <c r="F335" s="284"/>
      <c r="G335" s="398" t="s">
        <v>877</v>
      </c>
      <c r="H335" s="251"/>
    </row>
    <row r="336">
      <c r="A336" s="265"/>
      <c r="B336" s="247">
        <v>42000.0</v>
      </c>
      <c r="C336" s="252"/>
      <c r="D336" s="249"/>
      <c r="F336" s="250"/>
      <c r="G336" s="2" t="s">
        <v>711</v>
      </c>
      <c r="H336" s="251"/>
    </row>
    <row r="337">
      <c r="A337" s="265"/>
      <c r="B337" s="247"/>
      <c r="C337" s="252"/>
      <c r="D337" s="249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53"/>
      <c r="F340" s="250"/>
      <c r="H340" s="251"/>
    </row>
    <row r="341">
      <c r="A341" s="265"/>
      <c r="B341" s="247"/>
      <c r="C341" s="252"/>
      <c r="D341" s="253"/>
      <c r="F341" s="250"/>
      <c r="H341" s="251"/>
    </row>
    <row r="342">
      <c r="A342" s="265"/>
      <c r="B342" s="268"/>
      <c r="C342" s="252"/>
      <c r="D342" s="253"/>
      <c r="F342" s="250"/>
      <c r="H342" s="251"/>
    </row>
    <row r="343">
      <c r="A343" s="265"/>
      <c r="B343" s="268"/>
      <c r="C343" s="252"/>
      <c r="D343" s="253"/>
      <c r="F343" s="250"/>
      <c r="H343" s="251"/>
    </row>
    <row r="344">
      <c r="A344" s="265"/>
      <c r="B344" s="268"/>
      <c r="C344" s="252"/>
      <c r="D344" s="253"/>
      <c r="F344" s="250"/>
      <c r="H344" s="251"/>
    </row>
    <row r="345">
      <c r="A345" s="265"/>
      <c r="B345" s="268"/>
      <c r="C345" s="252"/>
      <c r="D345" s="253"/>
      <c r="F345" s="250"/>
      <c r="H345" s="251"/>
    </row>
    <row r="346">
      <c r="A346" s="265"/>
      <c r="B346" s="268"/>
      <c r="C346" s="252"/>
      <c r="D346" s="253"/>
      <c r="F346" s="250"/>
      <c r="H346" s="251"/>
    </row>
    <row r="347">
      <c r="A347" s="270"/>
      <c r="B347" s="271"/>
      <c r="C347" s="272"/>
      <c r="D347" s="273"/>
      <c r="E347" s="18"/>
      <c r="F347" s="274"/>
      <c r="G347" s="18"/>
      <c r="H347" s="261"/>
    </row>
    <row r="348">
      <c r="A348" s="262" t="s">
        <v>596</v>
      </c>
      <c r="B348" s="239">
        <v>13529.0</v>
      </c>
      <c r="C348" s="263"/>
      <c r="D348" s="421"/>
      <c r="E348" s="422"/>
      <c r="F348" s="423"/>
      <c r="G348" s="2" t="s">
        <v>291</v>
      </c>
      <c r="H348" s="245">
        <v>140.0</v>
      </c>
      <c r="I348" s="2" t="s">
        <v>1091</v>
      </c>
    </row>
    <row r="349">
      <c r="A349" s="265"/>
      <c r="B349" s="247"/>
      <c r="C349" s="248"/>
      <c r="D349" s="249"/>
      <c r="F349" s="250">
        <v>7200.0</v>
      </c>
      <c r="G349" s="2" t="s">
        <v>608</v>
      </c>
      <c r="H349" s="267"/>
      <c r="I349" s="2" t="s">
        <v>1092</v>
      </c>
    </row>
    <row r="350">
      <c r="A350" s="265"/>
      <c r="B350" s="247"/>
      <c r="C350" s="248"/>
      <c r="D350" s="249"/>
      <c r="F350" s="250"/>
      <c r="H350" s="267"/>
    </row>
    <row r="351">
      <c r="A351" s="265"/>
      <c r="B351" s="247"/>
      <c r="C351" s="248"/>
      <c r="D351" s="249"/>
      <c r="F351" s="250"/>
      <c r="H351" s="251"/>
    </row>
    <row r="352">
      <c r="A352" s="265"/>
      <c r="B352" s="247"/>
      <c r="C352" s="252"/>
      <c r="D352" s="249"/>
      <c r="F352" s="250"/>
      <c r="H352" s="251"/>
    </row>
    <row r="353">
      <c r="A353" s="265"/>
      <c r="B353" s="247"/>
      <c r="C353" s="252"/>
      <c r="D353" s="253"/>
      <c r="F353" s="250"/>
      <c r="H353" s="251"/>
    </row>
    <row r="354">
      <c r="A354" s="265"/>
      <c r="B354" s="247"/>
      <c r="C354" s="252"/>
      <c r="D354" s="249"/>
      <c r="F354" s="250"/>
      <c r="H354" s="251"/>
    </row>
    <row r="355">
      <c r="A355" s="265"/>
      <c r="B355" s="268"/>
      <c r="C355" s="252"/>
      <c r="D355" s="249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65"/>
      <c r="B357" s="247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47"/>
      <c r="C359" s="252"/>
      <c r="D359" s="253"/>
      <c r="F359" s="250"/>
      <c r="H359" s="251"/>
    </row>
    <row r="360">
      <c r="A360" s="265"/>
      <c r="B360" s="268"/>
      <c r="C360" s="252"/>
      <c r="D360" s="253"/>
      <c r="F360" s="250"/>
      <c r="H360" s="251"/>
    </row>
    <row r="361">
      <c r="A361" s="265"/>
      <c r="B361" s="268"/>
      <c r="C361" s="252"/>
      <c r="D361" s="253"/>
      <c r="F361" s="250"/>
      <c r="H361" s="251"/>
    </row>
    <row r="362">
      <c r="A362" s="265"/>
      <c r="B362" s="268"/>
      <c r="C362" s="252"/>
      <c r="D362" s="253"/>
      <c r="F362" s="250"/>
      <c r="H362" s="251"/>
    </row>
    <row r="363">
      <c r="A363" s="265"/>
      <c r="B363" s="268"/>
      <c r="C363" s="252"/>
      <c r="D363" s="253"/>
      <c r="F363" s="250"/>
      <c r="H363" s="251"/>
    </row>
    <row r="364">
      <c r="A364" s="265"/>
      <c r="B364" s="268"/>
      <c r="C364" s="252"/>
      <c r="D364" s="253"/>
      <c r="F364" s="250"/>
      <c r="H364" s="251"/>
    </row>
    <row r="365">
      <c r="A365" s="270"/>
      <c r="B365" s="271"/>
      <c r="C365" s="272"/>
      <c r="D365" s="273"/>
      <c r="E365" s="18"/>
      <c r="F365" s="274"/>
      <c r="G365" s="18"/>
      <c r="H365" s="261"/>
    </row>
    <row r="366">
      <c r="A366" s="262" t="s">
        <v>942</v>
      </c>
      <c r="B366" s="239">
        <v>114000.0</v>
      </c>
      <c r="C366" s="263"/>
      <c r="D366" s="264"/>
      <c r="E366" s="244" t="s">
        <v>328</v>
      </c>
      <c r="F366" s="243"/>
      <c r="G366" s="402" t="s">
        <v>87</v>
      </c>
      <c r="H366" s="245">
        <v>118.0</v>
      </c>
    </row>
    <row r="367">
      <c r="A367" s="265"/>
      <c r="B367" s="247">
        <v>60000.0</v>
      </c>
      <c r="C367" s="248"/>
      <c r="D367" s="288"/>
      <c r="E367" s="2" t="s">
        <v>328</v>
      </c>
      <c r="F367" s="250"/>
      <c r="G367" s="2" t="s">
        <v>68</v>
      </c>
      <c r="H367" s="267"/>
    </row>
    <row r="368">
      <c r="A368" s="265"/>
      <c r="B368" s="404">
        <v>109100.0</v>
      </c>
      <c r="C368" s="405"/>
      <c r="D368" s="399"/>
      <c r="E368" s="398" t="s">
        <v>328</v>
      </c>
      <c r="F368" s="284"/>
      <c r="G368" s="398" t="s">
        <v>75</v>
      </c>
      <c r="H368" s="267"/>
    </row>
    <row r="369">
      <c r="A369" s="265"/>
      <c r="B369" s="247">
        <v>27942.7</v>
      </c>
      <c r="C369" s="252"/>
      <c r="D369" s="249"/>
      <c r="F369" s="250"/>
      <c r="G369" s="2" t="s">
        <v>82</v>
      </c>
      <c r="H369" s="251"/>
    </row>
    <row r="370">
      <c r="A370" s="265"/>
      <c r="B370" s="268"/>
      <c r="C370" s="252"/>
      <c r="D370" s="399">
        <f>98360+62190</f>
        <v>160550</v>
      </c>
      <c r="E370" s="398" t="s">
        <v>328</v>
      </c>
      <c r="F370" s="284"/>
      <c r="G370" s="398" t="s">
        <v>825</v>
      </c>
      <c r="H370" s="294"/>
    </row>
    <row r="371">
      <c r="A371" s="265"/>
      <c r="B371" s="247"/>
      <c r="C371" s="252"/>
      <c r="D371" s="249"/>
      <c r="F371" s="250">
        <v>20000.0</v>
      </c>
      <c r="G371" s="2" t="s">
        <v>453</v>
      </c>
      <c r="H371" s="251"/>
    </row>
    <row r="372">
      <c r="A372" s="265"/>
      <c r="B372" s="247"/>
      <c r="C372" s="252"/>
      <c r="D372" s="249"/>
      <c r="F372" s="250"/>
      <c r="H372" s="251"/>
    </row>
    <row r="373">
      <c r="A373" s="265"/>
      <c r="B373" s="268"/>
      <c r="C373" s="252"/>
      <c r="D373" s="249"/>
      <c r="F373" s="250"/>
      <c r="H373" s="267"/>
    </row>
    <row r="374">
      <c r="A374" s="265"/>
      <c r="B374" s="268"/>
      <c r="C374" s="252"/>
      <c r="D374" s="249"/>
      <c r="F374" s="250"/>
      <c r="H374" s="251"/>
    </row>
    <row r="375">
      <c r="A375" s="265"/>
      <c r="B375" s="247"/>
      <c r="C375" s="252"/>
      <c r="D375" s="249"/>
      <c r="F375" s="250"/>
      <c r="H375" s="267"/>
    </row>
    <row r="376">
      <c r="A376" s="270"/>
      <c r="B376" s="271"/>
      <c r="C376" s="272"/>
      <c r="D376" s="295"/>
      <c r="E376" s="18"/>
      <c r="F376" s="274"/>
      <c r="G376" s="293"/>
      <c r="H376" s="261"/>
    </row>
    <row r="377">
      <c r="A377" s="262" t="s">
        <v>187</v>
      </c>
      <c r="B377" s="239"/>
      <c r="C377" s="240"/>
      <c r="D377" s="317">
        <v>59697.33</v>
      </c>
      <c r="E377" s="242"/>
      <c r="F377" s="243"/>
      <c r="G377" s="2" t="s">
        <v>188</v>
      </c>
      <c r="H377" s="297"/>
      <c r="I377" s="2" t="s">
        <v>189</v>
      </c>
    </row>
    <row r="378">
      <c r="A378" s="265"/>
      <c r="B378" s="247"/>
      <c r="C378" s="248"/>
      <c r="D378" s="428">
        <v>16179.35</v>
      </c>
      <c r="E378" s="429"/>
      <c r="F378" s="250"/>
      <c r="G378" s="2" t="s">
        <v>190</v>
      </c>
      <c r="H378" s="294">
        <v>45344.0</v>
      </c>
    </row>
    <row r="379">
      <c r="A379" s="265"/>
      <c r="B379" s="247"/>
      <c r="C379" s="248"/>
      <c r="D379" s="430"/>
      <c r="F379" s="250"/>
      <c r="G379" s="2" t="s">
        <v>191</v>
      </c>
      <c r="H379" s="294"/>
    </row>
    <row r="380">
      <c r="A380" s="265"/>
      <c r="B380" s="268"/>
      <c r="C380" s="252"/>
      <c r="D380" s="249"/>
      <c r="F380" s="250"/>
      <c r="H380" s="294"/>
    </row>
    <row r="381">
      <c r="A381" s="265"/>
      <c r="B381" s="268"/>
      <c r="C381" s="252"/>
      <c r="D381" s="249">
        <v>108900.0</v>
      </c>
      <c r="F381" s="250"/>
      <c r="G381" s="2" t="s">
        <v>192</v>
      </c>
      <c r="H381" s="294">
        <v>45336.0</v>
      </c>
    </row>
    <row r="382">
      <c r="A382" s="265"/>
      <c r="B382" s="268"/>
      <c r="C382" s="252"/>
      <c r="D382" s="253"/>
      <c r="F382" s="250">
        <v>160000.0</v>
      </c>
      <c r="G382" s="2" t="s">
        <v>193</v>
      </c>
      <c r="H382" s="267" t="s">
        <v>1049</v>
      </c>
    </row>
    <row r="383">
      <c r="A383" s="265"/>
      <c r="B383" s="247"/>
      <c r="C383" s="252"/>
      <c r="D383" s="249"/>
      <c r="F383" s="250"/>
      <c r="G383" s="2" t="s">
        <v>1093</v>
      </c>
      <c r="H383" s="294"/>
    </row>
    <row r="384">
      <c r="A384" s="265"/>
      <c r="B384" s="247"/>
      <c r="C384" s="252"/>
      <c r="D384" s="249">
        <v>75000.0</v>
      </c>
      <c r="F384" s="250"/>
      <c r="G384" s="2" t="s">
        <v>196</v>
      </c>
      <c r="H384" s="294">
        <v>45339.0</v>
      </c>
      <c r="I384" s="318"/>
    </row>
    <row r="385">
      <c r="A385" s="265"/>
      <c r="B385" s="247">
        <v>31425.0</v>
      </c>
      <c r="C385" s="252"/>
      <c r="D385" s="249">
        <v>31424.29</v>
      </c>
      <c r="F385" s="250"/>
      <c r="G385" s="2" t="s">
        <v>197</v>
      </c>
      <c r="H385" s="294"/>
      <c r="I385" s="2" t="s">
        <v>198</v>
      </c>
    </row>
    <row r="386">
      <c r="A386" s="265"/>
      <c r="B386" s="268"/>
      <c r="C386" s="252"/>
      <c r="D386" s="249">
        <v>26460.0</v>
      </c>
      <c r="F386" s="250"/>
      <c r="G386" s="2" t="s">
        <v>199</v>
      </c>
      <c r="H386" s="294"/>
      <c r="I386" s="2" t="s">
        <v>189</v>
      </c>
    </row>
    <row r="387">
      <c r="A387" s="265"/>
      <c r="B387" s="247"/>
      <c r="C387" s="252"/>
      <c r="D387" s="249">
        <v>59804.03</v>
      </c>
      <c r="F387" s="250"/>
      <c r="G387" s="2" t="s">
        <v>200</v>
      </c>
      <c r="H387" s="294"/>
      <c r="I387" s="2" t="s">
        <v>189</v>
      </c>
    </row>
    <row r="388">
      <c r="A388" s="265"/>
      <c r="B388" s="278"/>
      <c r="C388" s="248"/>
      <c r="D388" s="296"/>
      <c r="F388" s="282"/>
      <c r="G388" s="2" t="s">
        <v>201</v>
      </c>
      <c r="H388" s="294"/>
      <c r="I388" s="2" t="s">
        <v>189</v>
      </c>
    </row>
    <row r="389">
      <c r="A389" s="270"/>
      <c r="B389" s="277"/>
      <c r="C389" s="248"/>
      <c r="D389" s="295"/>
      <c r="F389" s="250"/>
      <c r="H389" s="294"/>
    </row>
    <row r="390">
      <c r="A390" s="299"/>
      <c r="B390" s="278"/>
      <c r="C390" s="248"/>
      <c r="D390" s="295"/>
      <c r="F390" s="282"/>
      <c r="H390" s="294"/>
    </row>
    <row r="391">
      <c r="A391" s="299"/>
      <c r="B391" s="278"/>
      <c r="C391" s="248"/>
      <c r="D391" s="431">
        <v>764822.58</v>
      </c>
      <c r="E391" s="417" t="s">
        <v>1094</v>
      </c>
      <c r="F391" s="432"/>
      <c r="G391" s="417" t="s">
        <v>202</v>
      </c>
      <c r="H391" s="301"/>
      <c r="I391" s="2" t="s">
        <v>203</v>
      </c>
    </row>
    <row r="392">
      <c r="A392" s="299"/>
      <c r="B392" s="278"/>
      <c r="C392" s="248"/>
      <c r="D392" s="295"/>
      <c r="F392" s="250"/>
      <c r="G392" s="2" t="s">
        <v>204</v>
      </c>
      <c r="H392" s="301"/>
    </row>
    <row r="393">
      <c r="A393" s="303"/>
      <c r="B393" s="278"/>
      <c r="C393" s="252"/>
      <c r="D393" s="249"/>
      <c r="F393" s="250"/>
      <c r="G393" s="2" t="s">
        <v>205</v>
      </c>
      <c r="H393" s="301"/>
    </row>
    <row r="394">
      <c r="A394" s="303"/>
      <c r="B394" s="268"/>
      <c r="C394" s="252"/>
      <c r="D394" s="249"/>
      <c r="F394" s="250"/>
      <c r="G394" s="2" t="s">
        <v>735</v>
      </c>
      <c r="H394" s="301"/>
    </row>
    <row r="395">
      <c r="A395" s="303"/>
      <c r="B395" s="247"/>
      <c r="C395" s="252"/>
      <c r="D395" s="249"/>
      <c r="F395" s="250"/>
      <c r="G395" s="2" t="s">
        <v>206</v>
      </c>
      <c r="H395" s="294"/>
      <c r="I395" s="2" t="s">
        <v>203</v>
      </c>
    </row>
    <row r="396">
      <c r="A396" s="303"/>
      <c r="B396" s="268"/>
      <c r="C396" s="252"/>
      <c r="D396" s="300">
        <v>142499.15</v>
      </c>
      <c r="F396" s="332"/>
      <c r="G396" s="2" t="s">
        <v>209</v>
      </c>
      <c r="H396" s="294"/>
      <c r="I396" s="2" t="s">
        <v>666</v>
      </c>
    </row>
    <row r="397">
      <c r="A397" s="303"/>
      <c r="B397" s="247"/>
      <c r="C397" s="252"/>
      <c r="D397" s="249"/>
      <c r="F397" s="250"/>
      <c r="H397" s="294"/>
    </row>
    <row r="398">
      <c r="A398" s="303"/>
      <c r="B398" s="268"/>
      <c r="C398" s="252"/>
      <c r="D398" s="249"/>
      <c r="F398" s="250"/>
      <c r="H398" s="294"/>
    </row>
    <row r="399">
      <c r="A399" s="303"/>
      <c r="B399" s="268"/>
      <c r="C399" s="252"/>
      <c r="D399" s="249"/>
      <c r="F399" s="250"/>
      <c r="H399" s="294"/>
    </row>
    <row r="400">
      <c r="A400" s="303"/>
      <c r="B400" s="247">
        <v>23200.0</v>
      </c>
      <c r="C400" s="252"/>
      <c r="D400" s="331"/>
      <c r="F400" s="266"/>
      <c r="G400" s="2" t="s">
        <v>667</v>
      </c>
      <c r="H400" s="251"/>
    </row>
    <row r="401">
      <c r="A401" s="304"/>
      <c r="B401" s="268"/>
      <c r="C401" s="252"/>
      <c r="D401" s="249">
        <v>74000.0</v>
      </c>
      <c r="F401" s="332"/>
      <c r="G401" s="2" t="s">
        <v>1095</v>
      </c>
      <c r="H401" s="294"/>
    </row>
    <row r="402">
      <c r="A402" s="305"/>
      <c r="B402" s="406">
        <f>SUM(B377:B401)</f>
        <v>54625</v>
      </c>
      <c r="C402" s="272"/>
      <c r="D402" s="392">
        <f>SUM(D377:D401)</f>
        <v>1358786.73</v>
      </c>
      <c r="E402" s="18"/>
      <c r="F402" s="393">
        <f>SUM(F377:F401)</f>
        <v>160000</v>
      </c>
      <c r="G402" s="18"/>
      <c r="H402" s="261"/>
    </row>
    <row r="403">
      <c r="A403" s="265"/>
      <c r="B403" s="306"/>
      <c r="C403" s="240"/>
      <c r="D403" s="241"/>
      <c r="E403" s="242"/>
      <c r="F403" s="243"/>
      <c r="G403" s="244"/>
      <c r="H403" s="307"/>
    </row>
    <row r="404">
      <c r="A404" s="265"/>
      <c r="B404" s="268"/>
      <c r="C404" s="252"/>
      <c r="D404" s="253"/>
      <c r="F404" s="250"/>
      <c r="H404" s="251"/>
    </row>
    <row r="405">
      <c r="A405" s="265"/>
      <c r="B405" s="268"/>
      <c r="C405" s="252"/>
      <c r="D405" s="253"/>
      <c r="F405" s="250"/>
      <c r="H405" s="251"/>
    </row>
    <row r="406">
      <c r="A406" s="265"/>
      <c r="B406" s="268"/>
      <c r="C406" s="252"/>
      <c r="D406" s="253"/>
      <c r="F406" s="250"/>
      <c r="H406" s="251"/>
    </row>
    <row r="407">
      <c r="A407" s="265"/>
      <c r="B407" s="268"/>
      <c r="C407" s="252"/>
      <c r="D407" s="253"/>
      <c r="F407" s="250"/>
      <c r="H407" s="251"/>
    </row>
    <row r="408">
      <c r="A408" s="265"/>
      <c r="B408" s="268"/>
      <c r="C408" s="252"/>
      <c r="D408" s="253"/>
      <c r="F408" s="250"/>
      <c r="H408" s="251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70"/>
      <c r="B411" s="268"/>
      <c r="C411" s="252"/>
      <c r="D411" s="253"/>
      <c r="F411" s="250"/>
      <c r="H411" s="251"/>
    </row>
    <row r="412">
      <c r="A412" s="305"/>
      <c r="B412" s="271"/>
      <c r="C412" s="272"/>
      <c r="D412" s="273"/>
      <c r="E412" s="18"/>
      <c r="F412" s="274"/>
      <c r="G412" s="18"/>
      <c r="H412" s="261"/>
    </row>
    <row r="413">
      <c r="A413" s="265"/>
      <c r="B413" s="306"/>
      <c r="C413" s="240"/>
      <c r="D413" s="241"/>
      <c r="E413" s="242"/>
      <c r="F413" s="243"/>
      <c r="G413" s="244"/>
      <c r="H413" s="307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70"/>
      <c r="B421" s="268"/>
      <c r="C421" s="252"/>
      <c r="D421" s="253"/>
      <c r="F421" s="250"/>
      <c r="H421" s="251"/>
    </row>
    <row r="422">
      <c r="B422" s="271"/>
      <c r="C422" s="272"/>
      <c r="D422" s="273"/>
      <c r="E422" s="18"/>
      <c r="F422" s="274"/>
      <c r="G422" s="18"/>
      <c r="H422" s="261"/>
    </row>
    <row r="423">
      <c r="B423" s="306"/>
      <c r="C423" s="240"/>
      <c r="D423" s="241"/>
      <c r="E423" s="242"/>
      <c r="F423" s="243"/>
      <c r="G423" s="244"/>
      <c r="H423" s="307"/>
    </row>
    <row r="424">
      <c r="B424" s="268"/>
      <c r="C424" s="252"/>
      <c r="D424" s="253"/>
      <c r="F424" s="250"/>
      <c r="H424" s="251"/>
    </row>
    <row r="425">
      <c r="B425" s="268"/>
      <c r="C425" s="252"/>
      <c r="D425" s="253"/>
      <c r="F425" s="250"/>
      <c r="H425" s="251"/>
    </row>
    <row r="426">
      <c r="B426" s="308"/>
      <c r="C426" s="252"/>
      <c r="D426" s="253"/>
      <c r="F426" s="309"/>
      <c r="H426" s="302"/>
    </row>
    <row r="427">
      <c r="B427" s="308"/>
      <c r="C427" s="252"/>
      <c r="D427" s="253"/>
      <c r="F427" s="309"/>
      <c r="H427" s="302"/>
    </row>
    <row r="428">
      <c r="B428" s="308"/>
      <c r="C428" s="252"/>
      <c r="D428" s="253"/>
      <c r="F428" s="309"/>
      <c r="H428" s="302"/>
    </row>
    <row r="429">
      <c r="B429" s="308"/>
      <c r="C429" s="252"/>
      <c r="D429" s="253"/>
      <c r="F429" s="309"/>
      <c r="H429" s="302"/>
    </row>
    <row r="430">
      <c r="B430" s="308"/>
      <c r="C430" s="252"/>
      <c r="D430" s="253"/>
      <c r="F430" s="309"/>
      <c r="H430" s="302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</sheetData>
  <mergeCells count="29">
    <mergeCell ref="A2:A14"/>
    <mergeCell ref="A15:A28"/>
    <mergeCell ref="A31:A40"/>
    <mergeCell ref="A41:A54"/>
    <mergeCell ref="A55:A66"/>
    <mergeCell ref="A67:A82"/>
    <mergeCell ref="A83:A96"/>
    <mergeCell ref="A97:A114"/>
    <mergeCell ref="A115:A129"/>
    <mergeCell ref="A130:A144"/>
    <mergeCell ref="A145:A154"/>
    <mergeCell ref="A155:A169"/>
    <mergeCell ref="A170:A185"/>
    <mergeCell ref="A186:A200"/>
    <mergeCell ref="A301:A315"/>
    <mergeCell ref="A316:A329"/>
    <mergeCell ref="A330:A347"/>
    <mergeCell ref="A348:A365"/>
    <mergeCell ref="A366:A376"/>
    <mergeCell ref="A377:A389"/>
    <mergeCell ref="A402:A411"/>
    <mergeCell ref="A412:A421"/>
    <mergeCell ref="A201:A212"/>
    <mergeCell ref="A213:A227"/>
    <mergeCell ref="A228:A241"/>
    <mergeCell ref="A242:A256"/>
    <mergeCell ref="A257:A269"/>
    <mergeCell ref="A270:A285"/>
    <mergeCell ref="A286:A30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34.5"/>
    <col customWidth="1" min="8" max="8" width="10.13"/>
  </cols>
  <sheetData>
    <row r="1" ht="27.0" customHeight="1">
      <c r="A1" s="407" t="s">
        <v>46</v>
      </c>
      <c r="B1" s="408" t="s">
        <v>52</v>
      </c>
      <c r="C1" s="409" t="s">
        <v>53</v>
      </c>
      <c r="D1" s="410" t="s">
        <v>54</v>
      </c>
      <c r="E1" s="411"/>
      <c r="F1" s="412" t="s">
        <v>529</v>
      </c>
      <c r="G1" s="411"/>
      <c r="H1" s="413" t="s">
        <v>57</v>
      </c>
    </row>
    <row r="2">
      <c r="A2" s="262" t="s">
        <v>942</v>
      </c>
      <c r="B2" s="239">
        <v>114000.0</v>
      </c>
      <c r="C2" s="263"/>
      <c r="D2" s="264"/>
      <c r="E2" s="244" t="s">
        <v>328</v>
      </c>
      <c r="F2" s="243"/>
      <c r="G2" s="402" t="s">
        <v>87</v>
      </c>
      <c r="H2" s="245"/>
    </row>
    <row r="3">
      <c r="A3" s="265"/>
      <c r="B3" s="247">
        <v>60000.0</v>
      </c>
      <c r="C3" s="248"/>
      <c r="D3" s="288"/>
      <c r="E3" s="2" t="s">
        <v>328</v>
      </c>
      <c r="F3" s="250"/>
      <c r="G3" s="2" t="s">
        <v>68</v>
      </c>
      <c r="H3" s="267"/>
    </row>
    <row r="4">
      <c r="A4" s="265"/>
      <c r="B4" s="404">
        <v>109100.0</v>
      </c>
      <c r="C4" s="405"/>
      <c r="D4" s="399"/>
      <c r="E4" s="398" t="s">
        <v>328</v>
      </c>
      <c r="F4" s="284"/>
      <c r="G4" s="398" t="s">
        <v>75</v>
      </c>
      <c r="H4" s="267"/>
    </row>
    <row r="5">
      <c r="A5" s="265"/>
      <c r="B5" s="247">
        <v>27942.7</v>
      </c>
      <c r="C5" s="252"/>
      <c r="D5" s="249"/>
      <c r="F5" s="250"/>
      <c r="G5" s="2" t="s">
        <v>82</v>
      </c>
      <c r="H5" s="251"/>
    </row>
    <row r="6">
      <c r="A6" s="265"/>
      <c r="B6" s="268"/>
      <c r="C6" s="252"/>
      <c r="D6" s="399">
        <f>98360+62190</f>
        <v>160550</v>
      </c>
      <c r="E6" s="398" t="s">
        <v>328</v>
      </c>
      <c r="F6" s="284"/>
      <c r="G6" s="398" t="s">
        <v>825</v>
      </c>
      <c r="H6" s="294"/>
    </row>
    <row r="7">
      <c r="A7" s="265"/>
      <c r="B7" s="247"/>
      <c r="C7" s="252"/>
      <c r="D7" s="249"/>
      <c r="F7" s="250"/>
      <c r="H7" s="251"/>
    </row>
    <row r="8">
      <c r="A8" s="265"/>
      <c r="B8" s="247"/>
      <c r="C8" s="252"/>
      <c r="D8" s="249"/>
      <c r="F8" s="250"/>
      <c r="H8" s="251"/>
    </row>
    <row r="9">
      <c r="A9" s="265"/>
      <c r="B9" s="268"/>
      <c r="C9" s="252"/>
      <c r="D9" s="249"/>
      <c r="F9" s="250"/>
      <c r="H9" s="267"/>
    </row>
    <row r="10">
      <c r="A10" s="265"/>
      <c r="B10" s="268"/>
      <c r="C10" s="252"/>
      <c r="D10" s="249"/>
      <c r="F10" s="250"/>
      <c r="H10" s="251"/>
    </row>
    <row r="11">
      <c r="A11" s="265"/>
      <c r="B11" s="247"/>
      <c r="C11" s="252"/>
      <c r="D11" s="249"/>
      <c r="F11" s="250"/>
      <c r="H11" s="267"/>
    </row>
    <row r="12">
      <c r="A12" s="270"/>
      <c r="B12" s="271"/>
      <c r="C12" s="272"/>
      <c r="D12" s="295"/>
      <c r="E12" s="18"/>
      <c r="F12" s="274"/>
      <c r="G12" s="293"/>
      <c r="H12" s="261"/>
    </row>
    <row r="13">
      <c r="A13" s="262" t="s">
        <v>943</v>
      </c>
      <c r="B13" s="239">
        <v>81373.86</v>
      </c>
      <c r="C13" s="263"/>
      <c r="D13" s="264"/>
      <c r="E13" s="244"/>
      <c r="F13" s="243"/>
      <c r="G13" s="276" t="s">
        <v>125</v>
      </c>
      <c r="H13" s="245">
        <v>90.0</v>
      </c>
    </row>
    <row r="14">
      <c r="A14" s="265"/>
      <c r="B14" s="281"/>
      <c r="C14" s="248"/>
      <c r="D14" s="249"/>
      <c r="F14" s="250"/>
      <c r="H14" s="267"/>
    </row>
    <row r="15">
      <c r="A15" s="265"/>
      <c r="B15" s="247"/>
      <c r="C15" s="248"/>
      <c r="D15" s="249"/>
      <c r="F15" s="250">
        <v>18000.0</v>
      </c>
      <c r="G15" s="254" t="s">
        <v>1096</v>
      </c>
      <c r="H15" s="251"/>
    </row>
    <row r="16">
      <c r="A16" s="265"/>
      <c r="B16" s="247"/>
      <c r="C16" s="248"/>
      <c r="D16" s="249"/>
      <c r="F16" s="250"/>
      <c r="G16" s="254"/>
      <c r="H16" s="251"/>
    </row>
    <row r="17">
      <c r="A17" s="265"/>
      <c r="B17" s="247"/>
      <c r="C17" s="252"/>
      <c r="D17" s="249"/>
      <c r="F17" s="250"/>
      <c r="G17" s="254"/>
      <c r="H17" s="251"/>
    </row>
    <row r="18">
      <c r="A18" s="265"/>
      <c r="B18" s="247"/>
      <c r="C18" s="248"/>
      <c r="D18" s="249"/>
      <c r="F18" s="250"/>
      <c r="G18" s="254"/>
      <c r="H18" s="267"/>
    </row>
    <row r="19">
      <c r="A19" s="265"/>
      <c r="B19" s="247"/>
      <c r="C19" s="248"/>
      <c r="D19" s="249"/>
      <c r="F19" s="250"/>
      <c r="G19" s="254"/>
      <c r="H19" s="251"/>
    </row>
    <row r="20">
      <c r="A20" s="265"/>
      <c r="B20" s="247"/>
      <c r="C20" s="252"/>
      <c r="D20" s="249"/>
      <c r="F20" s="250"/>
      <c r="G20" s="254"/>
      <c r="H20" s="251"/>
    </row>
    <row r="21">
      <c r="A21" s="265"/>
      <c r="B21" s="247"/>
      <c r="C21" s="248"/>
      <c r="D21" s="253"/>
      <c r="F21" s="250"/>
      <c r="G21" s="254"/>
      <c r="H21" s="251"/>
    </row>
    <row r="22">
      <c r="A22" s="265"/>
      <c r="B22" s="277"/>
      <c r="C22" s="252"/>
      <c r="D22" s="253"/>
      <c r="F22" s="250"/>
      <c r="G22" s="254"/>
      <c r="H22" s="251"/>
    </row>
    <row r="23">
      <c r="A23" s="265"/>
      <c r="B23" s="277"/>
      <c r="C23" s="252"/>
      <c r="D23" s="253"/>
      <c r="F23" s="250"/>
      <c r="G23" s="254"/>
      <c r="H23" s="251"/>
    </row>
    <row r="24">
      <c r="A24" s="265"/>
      <c r="B24" s="277"/>
      <c r="C24" s="252"/>
      <c r="D24" s="253"/>
      <c r="F24" s="250"/>
      <c r="G24" s="254"/>
      <c r="H24" s="251"/>
    </row>
    <row r="25">
      <c r="A25" s="265"/>
      <c r="B25" s="277"/>
      <c r="C25" s="252"/>
      <c r="D25" s="253"/>
      <c r="F25" s="250"/>
      <c r="G25" s="254"/>
      <c r="H25" s="251"/>
    </row>
    <row r="26">
      <c r="A26" s="270"/>
      <c r="B26" s="279"/>
      <c r="C26" s="272"/>
      <c r="D26" s="273"/>
      <c r="E26" s="18"/>
      <c r="F26" s="259"/>
      <c r="G26" s="260"/>
      <c r="H26" s="261"/>
    </row>
    <row r="27">
      <c r="A27" s="262"/>
      <c r="B27" s="277"/>
      <c r="C27" s="248"/>
      <c r="D27" s="249"/>
      <c r="F27" s="250">
        <v>9600.0</v>
      </c>
      <c r="G27" s="254" t="s">
        <v>605</v>
      </c>
      <c r="H27" s="267">
        <v>64.0</v>
      </c>
    </row>
    <row r="28">
      <c r="A28" s="280"/>
      <c r="B28" s="277"/>
      <c r="C28" s="248"/>
      <c r="D28" s="249"/>
      <c r="F28" s="250">
        <v>4700.0</v>
      </c>
      <c r="G28" s="2" t="s">
        <v>1097</v>
      </c>
      <c r="H28" s="267"/>
    </row>
    <row r="29">
      <c r="A29" s="280" t="s">
        <v>947</v>
      </c>
      <c r="B29" s="247"/>
      <c r="C29" s="248">
        <v>78143.0</v>
      </c>
      <c r="D29" s="300"/>
      <c r="F29" s="250"/>
      <c r="G29" s="254" t="s">
        <v>71</v>
      </c>
      <c r="H29" s="251"/>
    </row>
    <row r="30">
      <c r="A30" s="265"/>
      <c r="B30" s="247">
        <v>34622.22</v>
      </c>
      <c r="C30" s="248"/>
      <c r="D30" s="249"/>
      <c r="F30" s="250"/>
      <c r="G30" s="254" t="s">
        <v>82</v>
      </c>
      <c r="H30" s="251"/>
    </row>
    <row r="31">
      <c r="A31" s="265"/>
      <c r="B31" s="247"/>
      <c r="C31" s="248">
        <v>168109.8</v>
      </c>
      <c r="D31" s="249"/>
      <c r="F31" s="250"/>
      <c r="G31" s="254" t="s">
        <v>89</v>
      </c>
      <c r="H31" s="251"/>
    </row>
    <row r="32">
      <c r="A32" s="265"/>
      <c r="B32" s="404">
        <v>80300.0</v>
      </c>
      <c r="C32" s="405"/>
      <c r="D32" s="399"/>
      <c r="E32" s="398" t="s">
        <v>328</v>
      </c>
      <c r="F32" s="284"/>
      <c r="G32" s="285" t="s">
        <v>75</v>
      </c>
      <c r="H32" s="251"/>
    </row>
    <row r="33">
      <c r="A33" s="265"/>
      <c r="B33" s="247">
        <v>8200.0</v>
      </c>
      <c r="C33" s="248"/>
      <c r="D33" s="249"/>
      <c r="F33" s="250"/>
      <c r="G33" s="254" t="s">
        <v>1098</v>
      </c>
      <c r="H33" s="267"/>
    </row>
    <row r="34">
      <c r="A34" s="265"/>
      <c r="B34" s="247"/>
      <c r="C34" s="252"/>
      <c r="D34" s="253"/>
      <c r="F34" s="250"/>
      <c r="G34" s="254"/>
      <c r="H34" s="251"/>
    </row>
    <row r="35">
      <c r="A35" s="265"/>
      <c r="B35" s="247"/>
      <c r="C35" s="248"/>
      <c r="D35" s="253"/>
      <c r="F35" s="250"/>
      <c r="G35" s="254"/>
      <c r="H35" s="251"/>
    </row>
    <row r="36">
      <c r="A36" s="265"/>
      <c r="B36" s="268"/>
      <c r="C36" s="248"/>
      <c r="D36" s="253"/>
      <c r="F36" s="250"/>
      <c r="G36" s="254"/>
      <c r="H36" s="251"/>
    </row>
    <row r="37">
      <c r="A37" s="265"/>
      <c r="B37" s="268"/>
      <c r="C37" s="252"/>
      <c r="D37" s="253"/>
      <c r="F37" s="250"/>
      <c r="G37" s="254"/>
      <c r="H37" s="251"/>
    </row>
    <row r="38">
      <c r="A38" s="270"/>
      <c r="B38" s="271"/>
      <c r="C38" s="272"/>
      <c r="D38" s="273"/>
      <c r="E38" s="18"/>
      <c r="F38" s="274"/>
      <c r="G38" s="260"/>
      <c r="H38" s="261"/>
    </row>
    <row r="39">
      <c r="A39" s="262" t="s">
        <v>952</v>
      </c>
      <c r="B39" s="239">
        <v>36300.0</v>
      </c>
      <c r="C39" s="263"/>
      <c r="D39" s="264"/>
      <c r="E39" s="242"/>
      <c r="F39" s="243"/>
      <c r="G39" s="276" t="s">
        <v>76</v>
      </c>
      <c r="H39" s="245">
        <v>146.0</v>
      </c>
    </row>
    <row r="40">
      <c r="A40" s="265"/>
      <c r="B40" s="247"/>
      <c r="C40" s="248"/>
      <c r="D40" s="249"/>
      <c r="F40" s="250">
        <v>1700.0</v>
      </c>
      <c r="G40" s="254" t="s">
        <v>1099</v>
      </c>
      <c r="H40" s="267"/>
    </row>
    <row r="41">
      <c r="A41" s="265"/>
      <c r="B41" s="339">
        <v>3166.0</v>
      </c>
      <c r="C41" s="248"/>
      <c r="D41" s="249"/>
      <c r="F41" s="250"/>
      <c r="G41" s="254" t="s">
        <v>1100</v>
      </c>
      <c r="H41" s="251"/>
    </row>
    <row r="42">
      <c r="A42" s="265"/>
      <c r="B42" s="339">
        <v>15000.0</v>
      </c>
      <c r="C42" s="248"/>
      <c r="D42" s="249"/>
      <c r="F42" s="250"/>
      <c r="G42" s="254" t="s">
        <v>1101</v>
      </c>
      <c r="H42" s="267"/>
    </row>
    <row r="43">
      <c r="A43" s="265"/>
      <c r="B43" s="247">
        <v>102200.0</v>
      </c>
      <c r="C43" s="248"/>
      <c r="D43" s="249"/>
      <c r="E43" s="2" t="s">
        <v>328</v>
      </c>
      <c r="F43" s="250"/>
      <c r="G43" s="254" t="s">
        <v>122</v>
      </c>
      <c r="H43" s="251"/>
    </row>
    <row r="44">
      <c r="A44" s="265"/>
      <c r="B44" s="247"/>
      <c r="C44" s="252"/>
      <c r="D44" s="249"/>
      <c r="F44" s="250"/>
      <c r="G44" s="254"/>
      <c r="H44" s="251"/>
    </row>
    <row r="45">
      <c r="A45" s="265"/>
      <c r="B45" s="247"/>
      <c r="C45" s="252"/>
      <c r="D45" s="249"/>
      <c r="F45" s="250"/>
      <c r="G45" s="254"/>
      <c r="H45" s="251"/>
    </row>
    <row r="46">
      <c r="A46" s="265"/>
      <c r="B46" s="247"/>
      <c r="C46" s="252"/>
      <c r="D46" s="253"/>
      <c r="F46" s="250"/>
      <c r="G46" s="254"/>
      <c r="H46" s="251"/>
    </row>
    <row r="47">
      <c r="A47" s="265"/>
      <c r="B47" s="247"/>
      <c r="C47" s="248"/>
      <c r="D47" s="253"/>
      <c r="F47" s="250"/>
      <c r="G47" s="254"/>
      <c r="H47" s="251"/>
    </row>
    <row r="48">
      <c r="A48" s="265"/>
      <c r="B48" s="247"/>
      <c r="C48" s="248"/>
      <c r="D48" s="249"/>
      <c r="F48" s="250"/>
      <c r="H48" s="251"/>
    </row>
    <row r="49">
      <c r="A49" s="265"/>
      <c r="B49" s="247"/>
      <c r="C49" s="248"/>
      <c r="D49" s="249"/>
      <c r="F49" s="250"/>
      <c r="G49" s="254"/>
      <c r="H49" s="251"/>
    </row>
    <row r="50">
      <c r="A50" s="265"/>
      <c r="B50" s="268"/>
      <c r="C50" s="248"/>
      <c r="D50" s="249"/>
      <c r="F50" s="250"/>
      <c r="G50" s="254"/>
      <c r="H50" s="251"/>
    </row>
    <row r="51">
      <c r="A51" s="265"/>
      <c r="B51" s="278"/>
      <c r="C51" s="252"/>
      <c r="D51" s="253"/>
      <c r="F51" s="250"/>
      <c r="G51" s="269"/>
      <c r="H51" s="251"/>
    </row>
    <row r="52">
      <c r="A52" s="270"/>
      <c r="B52" s="271"/>
      <c r="C52" s="272"/>
      <c r="D52" s="273"/>
      <c r="E52" s="18"/>
      <c r="F52" s="274"/>
      <c r="G52" s="275"/>
      <c r="H52" s="261"/>
    </row>
    <row r="53">
      <c r="A53" s="262" t="s">
        <v>953</v>
      </c>
      <c r="B53" s="239"/>
      <c r="C53" s="263"/>
      <c r="D53" s="264"/>
      <c r="E53" s="244"/>
      <c r="F53" s="243">
        <v>8400.0</v>
      </c>
      <c r="G53" s="276" t="s">
        <v>608</v>
      </c>
      <c r="H53" s="245">
        <v>120.0</v>
      </c>
    </row>
    <row r="54">
      <c r="A54" s="265"/>
      <c r="B54" s="404">
        <v>63020.0</v>
      </c>
      <c r="C54" s="405"/>
      <c r="D54" s="399"/>
      <c r="E54" s="398" t="s">
        <v>328</v>
      </c>
      <c r="F54" s="284"/>
      <c r="G54" s="285" t="s">
        <v>1102</v>
      </c>
      <c r="H54" s="267"/>
    </row>
    <row r="55">
      <c r="A55" s="265"/>
      <c r="B55" s="433">
        <v>92736.95</v>
      </c>
      <c r="C55" s="424"/>
      <c r="D55" s="399"/>
      <c r="E55" s="398" t="s">
        <v>328</v>
      </c>
      <c r="F55" s="284"/>
      <c r="G55" s="398" t="s">
        <v>114</v>
      </c>
      <c r="H55" s="310"/>
    </row>
    <row r="56">
      <c r="A56" s="265"/>
      <c r="B56" s="247">
        <v>43830.42</v>
      </c>
      <c r="C56" s="248"/>
      <c r="D56" s="249"/>
      <c r="F56" s="250"/>
      <c r="G56" s="254" t="s">
        <v>82</v>
      </c>
      <c r="H56" s="251"/>
    </row>
    <row r="57">
      <c r="A57" s="265"/>
      <c r="B57" s="247"/>
      <c r="C57" s="248">
        <v>240979.29</v>
      </c>
      <c r="D57" s="249"/>
      <c r="F57" s="250"/>
      <c r="G57" s="254" t="s">
        <v>84</v>
      </c>
      <c r="H57" s="251"/>
    </row>
    <row r="58">
      <c r="A58" s="265"/>
      <c r="B58" s="247">
        <v>19666.93</v>
      </c>
      <c r="C58" s="248"/>
      <c r="D58" s="249"/>
      <c r="F58" s="250"/>
      <c r="G58" s="254" t="s">
        <v>73</v>
      </c>
      <c r="H58" s="251"/>
    </row>
    <row r="59">
      <c r="A59" s="265"/>
      <c r="B59" s="247">
        <v>60674.5</v>
      </c>
      <c r="C59" s="252"/>
      <c r="D59" s="249"/>
      <c r="F59" s="250"/>
      <c r="G59" s="254" t="s">
        <v>74</v>
      </c>
      <c r="H59" s="251"/>
    </row>
    <row r="60">
      <c r="A60" s="265"/>
      <c r="B60" s="247"/>
      <c r="C60" s="252"/>
      <c r="D60" s="253"/>
      <c r="F60" s="250"/>
      <c r="G60" s="254"/>
      <c r="H60" s="251"/>
    </row>
    <row r="61">
      <c r="A61" s="265"/>
      <c r="B61" s="247"/>
      <c r="C61" s="252"/>
      <c r="D61" s="249"/>
      <c r="F61" s="250"/>
      <c r="G61" s="254"/>
      <c r="H61" s="251"/>
    </row>
    <row r="62">
      <c r="A62" s="265"/>
      <c r="B62" s="277"/>
      <c r="C62" s="252"/>
      <c r="D62" s="253"/>
      <c r="F62" s="250"/>
      <c r="G62" s="254"/>
      <c r="H62" s="251"/>
    </row>
    <row r="63">
      <c r="A63" s="265"/>
      <c r="B63" s="277"/>
      <c r="C63" s="252"/>
      <c r="D63" s="253"/>
      <c r="F63" s="250"/>
      <c r="G63" s="254"/>
      <c r="H63" s="251"/>
    </row>
    <row r="64">
      <c r="A64" s="270"/>
      <c r="B64" s="271"/>
      <c r="C64" s="272"/>
      <c r="D64" s="273"/>
      <c r="E64" s="18"/>
      <c r="F64" s="259"/>
      <c r="G64" s="275"/>
      <c r="H64" s="261"/>
    </row>
    <row r="65">
      <c r="A65" s="262" t="s">
        <v>959</v>
      </c>
      <c r="B65" s="239"/>
      <c r="C65" s="263"/>
      <c r="D65" s="241"/>
      <c r="E65" s="242"/>
      <c r="F65" s="243">
        <v>13000.0</v>
      </c>
      <c r="G65" s="276" t="s">
        <v>1103</v>
      </c>
      <c r="H65" s="245">
        <v>150.0</v>
      </c>
    </row>
    <row r="66">
      <c r="A66" s="265"/>
      <c r="B66" s="247"/>
      <c r="C66" s="248"/>
      <c r="D66" s="249"/>
      <c r="F66" s="250">
        <v>2881.26</v>
      </c>
      <c r="G66" s="254" t="s">
        <v>1104</v>
      </c>
      <c r="H66" s="267"/>
    </row>
    <row r="67">
      <c r="A67" s="265"/>
      <c r="B67" s="404">
        <v>114000.0</v>
      </c>
      <c r="C67" s="405"/>
      <c r="D67" s="399"/>
      <c r="E67" s="398" t="s">
        <v>328</v>
      </c>
      <c r="F67" s="284"/>
      <c r="G67" s="285" t="s">
        <v>87</v>
      </c>
      <c r="H67" s="267"/>
    </row>
    <row r="68">
      <c r="A68" s="265"/>
      <c r="B68" s="247"/>
      <c r="C68" s="248"/>
      <c r="D68" s="249"/>
      <c r="F68" s="250"/>
      <c r="G68" s="254"/>
      <c r="H68" s="251"/>
    </row>
    <row r="69">
      <c r="A69" s="265"/>
      <c r="B69" s="85"/>
      <c r="C69" s="248"/>
      <c r="D69" s="249"/>
      <c r="F69" s="250"/>
      <c r="G69" s="254"/>
      <c r="H69" s="251"/>
    </row>
    <row r="70">
      <c r="A70" s="265"/>
      <c r="B70" s="281"/>
      <c r="C70" s="252"/>
      <c r="D70" s="249"/>
      <c r="F70" s="266"/>
      <c r="G70" s="254"/>
      <c r="H70" s="251"/>
    </row>
    <row r="71">
      <c r="A71" s="265"/>
      <c r="B71" s="281"/>
      <c r="C71" s="248"/>
      <c r="D71" s="249"/>
      <c r="F71" s="250"/>
      <c r="G71" s="254"/>
      <c r="H71" s="251"/>
    </row>
    <row r="72">
      <c r="A72" s="265"/>
      <c r="B72" s="419"/>
      <c r="C72" s="434"/>
      <c r="D72" s="414"/>
      <c r="E72" s="417"/>
      <c r="F72" s="418"/>
      <c r="G72" s="420"/>
      <c r="H72" s="251"/>
    </row>
    <row r="73">
      <c r="A73" s="265"/>
      <c r="B73" s="247"/>
      <c r="C73" s="252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68"/>
      <c r="C75" s="252"/>
      <c r="D75" s="253"/>
      <c r="F75" s="250"/>
      <c r="G75" s="269"/>
      <c r="H75" s="251"/>
    </row>
    <row r="76">
      <c r="A76" s="265"/>
      <c r="B76" s="247"/>
      <c r="C76" s="252"/>
      <c r="D76" s="253"/>
      <c r="F76" s="250"/>
      <c r="G76" s="269"/>
      <c r="H76" s="251"/>
    </row>
    <row r="77">
      <c r="A77" s="265"/>
      <c r="B77" s="277"/>
      <c r="C77" s="252"/>
      <c r="D77" s="253"/>
      <c r="F77" s="282"/>
      <c r="G77" s="269"/>
      <c r="H77" s="251"/>
    </row>
    <row r="78">
      <c r="A78" s="265"/>
      <c r="B78" s="278"/>
      <c r="C78" s="248"/>
      <c r="D78" s="253"/>
      <c r="F78" s="282"/>
      <c r="G78" s="269"/>
      <c r="H78" s="251"/>
    </row>
    <row r="79">
      <c r="A79" s="265"/>
      <c r="B79" s="278"/>
      <c r="C79" s="252"/>
      <c r="D79" s="253"/>
      <c r="F79" s="250"/>
      <c r="G79" s="269"/>
      <c r="H79" s="251"/>
    </row>
    <row r="80">
      <c r="A80" s="270"/>
      <c r="B80" s="271"/>
      <c r="C80" s="272"/>
      <c r="D80" s="273"/>
      <c r="E80" s="18"/>
      <c r="F80" s="259"/>
      <c r="G80" s="260"/>
      <c r="H80" s="261"/>
    </row>
    <row r="81">
      <c r="A81" s="262" t="s">
        <v>963</v>
      </c>
      <c r="B81" s="239">
        <v>47542.0</v>
      </c>
      <c r="C81" s="263"/>
      <c r="D81" s="264"/>
      <c r="E81" s="244"/>
      <c r="F81" s="250"/>
      <c r="G81" s="276" t="s">
        <v>82</v>
      </c>
      <c r="H81" s="245">
        <f>80+43</f>
        <v>123</v>
      </c>
    </row>
    <row r="82">
      <c r="A82" s="265"/>
      <c r="B82" s="247">
        <v>42000.0</v>
      </c>
      <c r="C82" s="248"/>
      <c r="D82" s="249"/>
      <c r="E82" s="2" t="s">
        <v>328</v>
      </c>
      <c r="F82" s="250"/>
      <c r="G82" s="398" t="s">
        <v>128</v>
      </c>
      <c r="H82" s="267"/>
    </row>
    <row r="83">
      <c r="A83" s="265"/>
      <c r="B83" s="247">
        <v>98751.04</v>
      </c>
      <c r="C83" s="248"/>
      <c r="D83" s="249"/>
      <c r="F83" s="250"/>
      <c r="G83" s="254" t="s">
        <v>103</v>
      </c>
      <c r="H83" s="267"/>
    </row>
    <row r="84">
      <c r="A84" s="265"/>
      <c r="B84" s="404">
        <v>46600.0</v>
      </c>
      <c r="C84" s="405"/>
      <c r="D84" s="399"/>
      <c r="E84" s="398" t="s">
        <v>328</v>
      </c>
      <c r="F84" s="284"/>
      <c r="G84" s="285" t="s">
        <v>75</v>
      </c>
      <c r="H84" s="251"/>
      <c r="I84" s="340"/>
      <c r="J84" s="340"/>
      <c r="K84" s="340" t="s">
        <v>622</v>
      </c>
      <c r="L84" s="2" t="s">
        <v>623</v>
      </c>
    </row>
    <row r="85">
      <c r="A85" s="265"/>
      <c r="B85" s="330">
        <v>66000.0</v>
      </c>
      <c r="C85" s="338"/>
      <c r="D85" s="337"/>
      <c r="E85" s="336" t="s">
        <v>328</v>
      </c>
      <c r="F85" s="335"/>
      <c r="G85" s="435" t="s">
        <v>68</v>
      </c>
      <c r="H85" s="251"/>
      <c r="I85" s="341"/>
      <c r="J85" s="340"/>
      <c r="K85" s="340" t="s">
        <v>624</v>
      </c>
    </row>
    <row r="86">
      <c r="A86" s="265"/>
      <c r="B86" s="247"/>
      <c r="C86" s="252"/>
      <c r="D86" s="249"/>
      <c r="F86" s="250"/>
      <c r="G86" s="254"/>
      <c r="H86" s="251"/>
      <c r="I86" s="340"/>
      <c r="J86" s="340"/>
      <c r="K86" s="341"/>
    </row>
    <row r="87">
      <c r="A87" s="265"/>
      <c r="B87" s="247"/>
      <c r="C87" s="252"/>
      <c r="D87" s="249"/>
      <c r="F87" s="250"/>
      <c r="G87" s="254"/>
      <c r="H87" s="251"/>
      <c r="I87" s="340"/>
      <c r="J87" s="341"/>
      <c r="K87" s="34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48"/>
      <c r="D89" s="253"/>
      <c r="F89" s="250"/>
      <c r="G89" s="254"/>
      <c r="H89" s="251"/>
    </row>
    <row r="90">
      <c r="A90" s="265"/>
      <c r="B90" s="247"/>
      <c r="C90" s="248"/>
      <c r="D90" s="253"/>
      <c r="F90" s="250"/>
      <c r="G90" s="254"/>
      <c r="H90" s="251"/>
    </row>
    <row r="91">
      <c r="A91" s="265"/>
      <c r="B91" s="277"/>
      <c r="C91" s="248"/>
      <c r="D91" s="253"/>
      <c r="F91" s="282"/>
      <c r="G91" s="254"/>
      <c r="H91" s="251"/>
    </row>
    <row r="92">
      <c r="A92" s="265"/>
      <c r="B92" s="277"/>
      <c r="C92" s="252"/>
      <c r="D92" s="253"/>
      <c r="F92" s="250"/>
      <c r="G92" s="254"/>
      <c r="H92" s="251"/>
    </row>
    <row r="93">
      <c r="A93" s="265"/>
      <c r="B93" s="277"/>
      <c r="C93" s="252"/>
      <c r="D93" s="253"/>
      <c r="F93" s="282"/>
      <c r="G93" s="254"/>
      <c r="H93" s="251"/>
    </row>
    <row r="94">
      <c r="A94" s="270"/>
      <c r="B94" s="271"/>
      <c r="C94" s="272"/>
      <c r="D94" s="273"/>
      <c r="E94" s="18"/>
      <c r="F94" s="274"/>
      <c r="G94" s="275"/>
      <c r="H94" s="261"/>
    </row>
    <row r="95">
      <c r="A95" s="262" t="s">
        <v>964</v>
      </c>
      <c r="B95" s="239">
        <v>128909.92</v>
      </c>
      <c r="C95" s="263"/>
      <c r="D95" s="264"/>
      <c r="E95" s="244"/>
      <c r="F95" s="243"/>
      <c r="G95" s="276" t="s">
        <v>142</v>
      </c>
      <c r="H95" s="245">
        <v>110.0</v>
      </c>
    </row>
    <row r="96">
      <c r="A96" s="265"/>
      <c r="B96" s="404"/>
      <c r="C96" s="405">
        <v>239292.72</v>
      </c>
      <c r="D96" s="399"/>
      <c r="E96" s="398"/>
      <c r="F96" s="284"/>
      <c r="G96" s="285" t="s">
        <v>71</v>
      </c>
      <c r="H96" s="267">
        <v>-50.0</v>
      </c>
      <c r="I96" s="2" t="s">
        <v>1105</v>
      </c>
    </row>
    <row r="97">
      <c r="A97" s="265"/>
      <c r="B97" s="247"/>
      <c r="C97" s="248"/>
      <c r="D97" s="249"/>
      <c r="F97" s="250"/>
      <c r="G97" s="26"/>
      <c r="H97" s="267">
        <v>60.0</v>
      </c>
      <c r="I97" s="2" t="s">
        <v>1106</v>
      </c>
    </row>
    <row r="98">
      <c r="A98" s="265"/>
      <c r="B98" s="247"/>
      <c r="C98" s="248"/>
      <c r="D98" s="249"/>
      <c r="F98" s="250"/>
      <c r="G98" s="254"/>
      <c r="H98" s="251"/>
      <c r="I98" s="2" t="s">
        <v>46</v>
      </c>
    </row>
    <row r="99">
      <c r="A99" s="265"/>
      <c r="B99" s="247"/>
      <c r="C99" s="248"/>
      <c r="D99" s="249"/>
      <c r="F99" s="250"/>
      <c r="G99" s="254"/>
      <c r="H99" s="251"/>
    </row>
    <row r="100">
      <c r="A100" s="265"/>
      <c r="B100" s="247"/>
      <c r="C100" s="248"/>
      <c r="D100" s="249"/>
      <c r="F100" s="250"/>
      <c r="G100" s="254"/>
      <c r="H100" s="251"/>
    </row>
    <row r="101">
      <c r="A101" s="265"/>
      <c r="B101" s="247"/>
      <c r="C101" s="252"/>
      <c r="D101" s="414"/>
      <c r="E101" s="398"/>
      <c r="F101" s="284"/>
      <c r="G101" s="285"/>
      <c r="H101" s="251"/>
    </row>
    <row r="102">
      <c r="A102" s="265"/>
      <c r="B102" s="247"/>
      <c r="C102" s="248"/>
      <c r="D102" s="249"/>
      <c r="F102" s="250"/>
      <c r="G102" s="254"/>
      <c r="H102" s="251"/>
    </row>
    <row r="103">
      <c r="A103" s="265"/>
      <c r="B103" s="247"/>
      <c r="C103" s="252"/>
      <c r="D103" s="249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68"/>
      <c r="C105" s="252"/>
      <c r="D105" s="253"/>
      <c r="F105" s="250"/>
      <c r="G105" s="254"/>
      <c r="H105" s="251"/>
    </row>
    <row r="106">
      <c r="A106" s="265"/>
      <c r="B106" s="268"/>
      <c r="C106" s="252"/>
      <c r="D106" s="253"/>
      <c r="F106" s="250"/>
      <c r="G106" s="254"/>
      <c r="H106" s="251"/>
    </row>
    <row r="107">
      <c r="A107" s="265"/>
      <c r="B107" s="268"/>
      <c r="C107" s="252"/>
      <c r="D107" s="253"/>
      <c r="F107" s="250"/>
      <c r="G107" s="269"/>
      <c r="H107" s="251"/>
    </row>
    <row r="108">
      <c r="A108" s="265"/>
      <c r="B108" s="268"/>
      <c r="C108" s="252"/>
      <c r="D108" s="253"/>
      <c r="F108" s="250"/>
      <c r="G108" s="269"/>
      <c r="H108" s="251"/>
    </row>
    <row r="109">
      <c r="A109" s="265"/>
      <c r="B109" s="268"/>
      <c r="C109" s="252"/>
      <c r="D109" s="253"/>
      <c r="F109" s="250"/>
      <c r="G109" s="269"/>
      <c r="H109" s="251"/>
    </row>
    <row r="110">
      <c r="A110" s="265"/>
      <c r="B110" s="268"/>
      <c r="C110" s="252"/>
      <c r="D110" s="253"/>
      <c r="F110" s="250"/>
      <c r="G110" s="269"/>
      <c r="H110" s="251"/>
    </row>
    <row r="111">
      <c r="A111" s="265"/>
      <c r="B111" s="268"/>
      <c r="C111" s="252"/>
      <c r="D111" s="253"/>
      <c r="F111" s="250"/>
      <c r="G111" s="269"/>
      <c r="H111" s="251"/>
    </row>
    <row r="112">
      <c r="A112" s="270"/>
      <c r="B112" s="271"/>
      <c r="C112" s="272"/>
      <c r="D112" s="273"/>
      <c r="E112" s="18"/>
      <c r="F112" s="274"/>
      <c r="G112" s="275"/>
      <c r="H112" s="261"/>
    </row>
    <row r="113">
      <c r="A113" s="262" t="s">
        <v>965</v>
      </c>
      <c r="B113" s="239"/>
      <c r="C113" s="263"/>
      <c r="D113" s="264"/>
      <c r="E113" s="244"/>
      <c r="F113" s="243">
        <v>10800.0</v>
      </c>
      <c r="G113" s="276" t="s">
        <v>605</v>
      </c>
      <c r="H113" s="245">
        <v>100.0</v>
      </c>
    </row>
    <row r="114">
      <c r="A114" s="265"/>
      <c r="B114" s="247"/>
      <c r="C114" s="248"/>
      <c r="D114" s="249"/>
      <c r="F114" s="250">
        <v>2600.0</v>
      </c>
      <c r="G114" s="254" t="s">
        <v>1107</v>
      </c>
      <c r="H114" s="267"/>
    </row>
    <row r="115">
      <c r="A115" s="265"/>
      <c r="B115" s="404">
        <v>150300.0</v>
      </c>
      <c r="C115" s="405"/>
      <c r="D115" s="399"/>
      <c r="E115" s="398" t="s">
        <v>328</v>
      </c>
      <c r="F115" s="284"/>
      <c r="G115" s="285" t="s">
        <v>75</v>
      </c>
      <c r="H115" s="251"/>
    </row>
    <row r="116">
      <c r="A116" s="265"/>
      <c r="B116" s="247">
        <v>35264.39</v>
      </c>
      <c r="C116" s="248"/>
      <c r="D116" s="249"/>
      <c r="F116" s="250"/>
      <c r="G116" s="254" t="s">
        <v>82</v>
      </c>
      <c r="H116" s="251"/>
    </row>
    <row r="117">
      <c r="A117" s="265"/>
      <c r="B117" s="247"/>
      <c r="C117" s="248">
        <f>70421+70024.5</f>
        <v>140445.5</v>
      </c>
      <c r="D117" s="249"/>
      <c r="E117" s="2" t="s">
        <v>328</v>
      </c>
      <c r="F117" s="250"/>
      <c r="G117" s="254" t="s">
        <v>89</v>
      </c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52"/>
      <c r="D119" s="249"/>
      <c r="F119" s="250"/>
      <c r="G119" s="254"/>
      <c r="H119" s="251"/>
      <c r="I119" s="417"/>
    </row>
    <row r="120">
      <c r="A120" s="265"/>
      <c r="B120" s="283"/>
      <c r="C120" s="248"/>
      <c r="D120" s="249"/>
      <c r="F120" s="250"/>
      <c r="G120" s="254"/>
      <c r="H120" s="251"/>
    </row>
    <row r="121">
      <c r="A121" s="265"/>
      <c r="B121" s="247"/>
      <c r="C121" s="248"/>
      <c r="D121" s="253"/>
      <c r="F121" s="250"/>
      <c r="G121" s="254"/>
      <c r="H121" s="251"/>
    </row>
    <row r="122">
      <c r="A122" s="265"/>
      <c r="B122" s="247"/>
      <c r="C122" s="252"/>
      <c r="D122" s="253"/>
      <c r="F122" s="250"/>
      <c r="G122" s="254"/>
      <c r="H122" s="251"/>
    </row>
    <row r="123">
      <c r="A123" s="265"/>
      <c r="B123" s="247"/>
      <c r="C123" s="252"/>
      <c r="D123" s="249"/>
      <c r="F123" s="250"/>
      <c r="G123" s="254"/>
      <c r="H123" s="251"/>
    </row>
    <row r="124">
      <c r="A124" s="265"/>
      <c r="B124" s="277"/>
      <c r="C124" s="252"/>
      <c r="D124" s="253"/>
      <c r="F124" s="250"/>
      <c r="G124" s="254"/>
      <c r="H124" s="251"/>
    </row>
    <row r="125">
      <c r="A125" s="265"/>
      <c r="B125" s="277"/>
      <c r="C125" s="252"/>
      <c r="D125" s="253"/>
      <c r="F125" s="250"/>
      <c r="G125" s="269"/>
      <c r="H125" s="251"/>
    </row>
    <row r="126">
      <c r="A126" s="265"/>
      <c r="B126" s="27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966</v>
      </c>
      <c r="B128" s="239"/>
      <c r="C128" s="263"/>
      <c r="D128" s="401">
        <v>246175.57</v>
      </c>
      <c r="E128" s="402" t="s">
        <v>328</v>
      </c>
      <c r="F128" s="403"/>
      <c r="G128" s="436" t="s">
        <v>91</v>
      </c>
      <c r="H128" s="245">
        <v>150.0</v>
      </c>
    </row>
    <row r="129">
      <c r="A129" s="265"/>
      <c r="B129" s="247">
        <v>64500.0</v>
      </c>
      <c r="C129" s="252"/>
      <c r="D129" s="249"/>
      <c r="E129" s="2" t="s">
        <v>328</v>
      </c>
      <c r="F129" s="250"/>
      <c r="G129" s="254" t="s">
        <v>76</v>
      </c>
      <c r="H129" s="251"/>
    </row>
    <row r="130">
      <c r="A130" s="265"/>
      <c r="B130" s="247">
        <v>13379.0</v>
      </c>
      <c r="C130" s="248"/>
      <c r="D130" s="249"/>
      <c r="F130" s="284"/>
      <c r="G130" s="285" t="s">
        <v>807</v>
      </c>
      <c r="H130" s="251"/>
    </row>
    <row r="131">
      <c r="A131" s="265"/>
      <c r="B131" s="247">
        <v>41198.0</v>
      </c>
      <c r="C131" s="252"/>
      <c r="D131" s="249"/>
      <c r="F131" s="250"/>
      <c r="G131" s="254" t="s">
        <v>1108</v>
      </c>
      <c r="H131" s="251"/>
    </row>
    <row r="132">
      <c r="A132" s="265"/>
      <c r="B132" s="247"/>
      <c r="C132" s="248"/>
      <c r="D132" s="249"/>
      <c r="F132" s="250"/>
      <c r="G132" s="254"/>
      <c r="H132" s="251"/>
    </row>
    <row r="133">
      <c r="A133" s="265"/>
      <c r="B133" s="247"/>
      <c r="C133" s="248"/>
      <c r="D133" s="249"/>
      <c r="F133" s="250"/>
      <c r="G133" s="254"/>
      <c r="H133" s="251"/>
    </row>
    <row r="134">
      <c r="A134" s="265"/>
      <c r="B134" s="247"/>
      <c r="C134" s="248"/>
      <c r="D134" s="249"/>
      <c r="F134" s="250"/>
      <c r="G134" s="254"/>
      <c r="H134" s="251"/>
    </row>
    <row r="135">
      <c r="A135" s="265"/>
      <c r="B135" s="247"/>
      <c r="C135" s="252"/>
      <c r="D135" s="249"/>
      <c r="F135" s="250"/>
      <c r="G135" s="254"/>
      <c r="H135" s="251"/>
    </row>
    <row r="136">
      <c r="A136" s="265"/>
      <c r="B136" s="268"/>
      <c r="C136" s="248"/>
      <c r="D136" s="249"/>
      <c r="F136" s="250"/>
      <c r="G136" s="254"/>
      <c r="H136" s="251"/>
    </row>
    <row r="137">
      <c r="A137" s="265"/>
      <c r="B137" s="247"/>
      <c r="C137" s="252"/>
      <c r="D137" s="249"/>
      <c r="E137" s="2"/>
      <c r="F137" s="250"/>
      <c r="G137" s="2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82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59"/>
      <c r="G142" s="260"/>
      <c r="H142" s="261"/>
    </row>
    <row r="143">
      <c r="A143" s="262" t="s">
        <v>969</v>
      </c>
      <c r="B143" s="239"/>
      <c r="C143" s="263">
        <v>121500.14</v>
      </c>
      <c r="D143" s="264"/>
      <c r="E143" s="244" t="s">
        <v>328</v>
      </c>
      <c r="F143" s="243"/>
      <c r="G143" s="276" t="s">
        <v>84</v>
      </c>
      <c r="H143" s="245">
        <v>100.0</v>
      </c>
    </row>
    <row r="144">
      <c r="A144" s="265"/>
      <c r="B144" s="419"/>
      <c r="C144" s="434"/>
      <c r="D144" s="399">
        <v>96791.52</v>
      </c>
      <c r="E144" s="398" t="s">
        <v>328</v>
      </c>
      <c r="F144" s="284"/>
      <c r="G144" s="285" t="s">
        <v>114</v>
      </c>
      <c r="H144" s="267"/>
    </row>
    <row r="145">
      <c r="A145" s="265"/>
      <c r="B145" s="404">
        <v>174409.69</v>
      </c>
      <c r="C145" s="405"/>
      <c r="D145" s="399"/>
      <c r="E145" s="398" t="s">
        <v>328</v>
      </c>
      <c r="F145" s="284"/>
      <c r="G145" s="285" t="s">
        <v>74</v>
      </c>
      <c r="H145" s="251"/>
    </row>
    <row r="146">
      <c r="A146" s="265"/>
      <c r="B146" s="404">
        <v>21542.45</v>
      </c>
      <c r="C146" s="405"/>
      <c r="D146" s="399"/>
      <c r="E146" s="398" t="s">
        <v>328</v>
      </c>
      <c r="F146" s="284"/>
      <c r="G146" s="285" t="s">
        <v>73</v>
      </c>
      <c r="H146" s="251"/>
    </row>
    <row r="147">
      <c r="A147" s="265"/>
      <c r="B147" s="404">
        <v>86000.0</v>
      </c>
      <c r="C147" s="405"/>
      <c r="D147" s="399"/>
      <c r="E147" s="398" t="s">
        <v>328</v>
      </c>
      <c r="F147" s="284"/>
      <c r="G147" s="285" t="s">
        <v>87</v>
      </c>
      <c r="H147" s="251"/>
    </row>
    <row r="148">
      <c r="A148" s="265"/>
      <c r="B148" s="247"/>
      <c r="C148" s="248"/>
      <c r="D148" s="249"/>
      <c r="F148" s="250">
        <v>2926.0</v>
      </c>
      <c r="G148" s="254" t="s">
        <v>97</v>
      </c>
      <c r="H148" s="251"/>
    </row>
    <row r="149">
      <c r="A149" s="265"/>
      <c r="B149" s="404">
        <v>61000.0</v>
      </c>
      <c r="C149" s="405"/>
      <c r="D149" s="399"/>
      <c r="E149" s="398" t="s">
        <v>328</v>
      </c>
      <c r="F149" s="284"/>
      <c r="G149" s="285" t="s">
        <v>75</v>
      </c>
      <c r="H149" s="251"/>
    </row>
    <row r="150">
      <c r="A150" s="265"/>
      <c r="B150" s="247">
        <v>30353.44</v>
      </c>
      <c r="C150" s="252"/>
      <c r="D150" s="249"/>
      <c r="F150" s="250"/>
      <c r="G150" s="254" t="s">
        <v>82</v>
      </c>
      <c r="H150" s="251"/>
    </row>
    <row r="151">
      <c r="A151" s="265"/>
      <c r="B151" s="247"/>
      <c r="C151" s="252"/>
      <c r="D151" s="399">
        <v>252890.0</v>
      </c>
      <c r="E151" s="398" t="s">
        <v>276</v>
      </c>
      <c r="F151" s="284"/>
      <c r="G151" s="285" t="s">
        <v>877</v>
      </c>
      <c r="H151" s="251"/>
    </row>
    <row r="152">
      <c r="A152" s="270"/>
      <c r="B152" s="279"/>
      <c r="C152" s="272"/>
      <c r="D152" s="273"/>
      <c r="E152" s="18"/>
      <c r="F152" s="274"/>
      <c r="G152" s="260"/>
      <c r="H152" s="261"/>
    </row>
    <row r="153">
      <c r="A153" s="262" t="s">
        <v>970</v>
      </c>
      <c r="B153" s="239"/>
      <c r="C153" s="263"/>
      <c r="D153" s="264"/>
      <c r="E153" s="244"/>
      <c r="F153" s="250">
        <v>10000.0</v>
      </c>
      <c r="G153" s="276" t="s">
        <v>1109</v>
      </c>
      <c r="H153" s="245">
        <v>150.0</v>
      </c>
    </row>
    <row r="154">
      <c r="A154" s="265"/>
      <c r="B154" s="247"/>
      <c r="C154" s="315"/>
      <c r="D154" s="249"/>
      <c r="F154" s="250">
        <v>9600.0</v>
      </c>
      <c r="G154" s="254" t="s">
        <v>954</v>
      </c>
      <c r="H154" s="267"/>
    </row>
    <row r="155">
      <c r="A155" s="265"/>
      <c r="B155" s="247"/>
      <c r="C155" s="248"/>
      <c r="D155" s="249"/>
      <c r="F155" s="250"/>
      <c r="G155" s="254"/>
      <c r="H155" s="267"/>
    </row>
    <row r="156">
      <c r="A156" s="265"/>
      <c r="B156" s="247"/>
      <c r="C156" s="248"/>
      <c r="D156" s="249"/>
      <c r="F156" s="250"/>
      <c r="G156" s="254"/>
      <c r="H156" s="251"/>
    </row>
    <row r="157">
      <c r="A157" s="265"/>
      <c r="B157" s="247"/>
      <c r="C157" s="248"/>
      <c r="D157" s="249"/>
      <c r="E157" s="254"/>
      <c r="F157" s="250"/>
      <c r="G157" s="254"/>
      <c r="H157" s="251"/>
      <c r="I157" s="269"/>
    </row>
    <row r="158">
      <c r="A158" s="265"/>
      <c r="B158" s="247"/>
      <c r="C158" s="252"/>
      <c r="D158" s="249"/>
      <c r="F158" s="250"/>
      <c r="G158" s="254"/>
      <c r="H158" s="251"/>
    </row>
    <row r="159">
      <c r="A159" s="265"/>
      <c r="B159" s="247"/>
      <c r="C159" s="252"/>
      <c r="D159" s="249"/>
      <c r="F159" s="250"/>
      <c r="G159" s="254"/>
      <c r="H159" s="251"/>
    </row>
    <row r="160">
      <c r="A160" s="265"/>
      <c r="B160" s="247"/>
      <c r="C160" s="252"/>
      <c r="D160" s="253"/>
      <c r="F160" s="250"/>
      <c r="G160" s="254"/>
      <c r="H160" s="251"/>
    </row>
    <row r="161">
      <c r="A161" s="265"/>
      <c r="B161" s="247"/>
      <c r="C161" s="252"/>
      <c r="D161" s="249"/>
      <c r="F161" s="250"/>
      <c r="G161" s="254"/>
      <c r="H161" s="251"/>
    </row>
    <row r="162">
      <c r="A162" s="265"/>
      <c r="B162" s="247"/>
      <c r="C162" s="252"/>
      <c r="D162" s="253"/>
      <c r="F162" s="250"/>
      <c r="G162" s="254"/>
      <c r="H162" s="251"/>
    </row>
    <row r="163">
      <c r="A163" s="265"/>
      <c r="B163" s="247"/>
      <c r="C163" s="252"/>
      <c r="D163" s="253"/>
      <c r="F163" s="250"/>
      <c r="G163" s="254"/>
      <c r="H163" s="251"/>
    </row>
    <row r="164">
      <c r="A164" s="265"/>
      <c r="B164" s="247"/>
      <c r="C164" s="252"/>
      <c r="D164" s="253"/>
      <c r="F164" s="250"/>
      <c r="G164" s="254"/>
      <c r="H164" s="251"/>
    </row>
    <row r="165">
      <c r="A165" s="265"/>
      <c r="B165" s="268"/>
      <c r="C165" s="252"/>
      <c r="D165" s="253"/>
      <c r="F165" s="250"/>
      <c r="G165" s="269"/>
      <c r="H165" s="251"/>
    </row>
    <row r="166">
      <c r="A166" s="265"/>
      <c r="B166" s="268"/>
      <c r="C166" s="252"/>
      <c r="D166" s="253"/>
      <c r="F166" s="250"/>
      <c r="G166" s="269"/>
      <c r="H166" s="251"/>
    </row>
    <row r="167">
      <c r="A167" s="270"/>
      <c r="B167" s="271"/>
      <c r="C167" s="272"/>
      <c r="D167" s="273"/>
      <c r="E167" s="18"/>
      <c r="F167" s="259"/>
      <c r="G167" s="260"/>
      <c r="H167" s="261"/>
    </row>
    <row r="168">
      <c r="A168" s="262" t="s">
        <v>971</v>
      </c>
      <c r="B168" s="247">
        <v>53514.05</v>
      </c>
      <c r="C168" s="248"/>
      <c r="D168" s="414"/>
      <c r="E168" s="417"/>
      <c r="F168" s="418"/>
      <c r="G168" s="285" t="s">
        <v>82</v>
      </c>
      <c r="H168" s="286">
        <v>134.0</v>
      </c>
    </row>
    <row r="169">
      <c r="A169" s="265"/>
      <c r="B169" s="404">
        <v>56809.5</v>
      </c>
      <c r="C169" s="405"/>
      <c r="D169" s="399"/>
      <c r="E169" s="398" t="s">
        <v>328</v>
      </c>
      <c r="F169" s="284"/>
      <c r="G169" s="285" t="s">
        <v>351</v>
      </c>
      <c r="H169" s="251"/>
    </row>
    <row r="170">
      <c r="A170" s="265"/>
      <c r="B170" s="247"/>
      <c r="C170" s="248"/>
      <c r="D170" s="249"/>
      <c r="F170" s="250">
        <v>2320.85</v>
      </c>
      <c r="G170" s="254" t="s">
        <v>97</v>
      </c>
      <c r="H170" s="267"/>
    </row>
    <row r="171">
      <c r="A171" s="265"/>
      <c r="B171" s="247"/>
      <c r="C171" s="248"/>
      <c r="D171" s="249"/>
      <c r="F171" s="250">
        <v>7000.0</v>
      </c>
      <c r="G171" s="254" t="s">
        <v>85</v>
      </c>
      <c r="H171" s="251"/>
    </row>
    <row r="172">
      <c r="A172" s="265"/>
      <c r="B172" s="404">
        <v>62800.0</v>
      </c>
      <c r="C172" s="405"/>
      <c r="D172" s="399"/>
      <c r="E172" s="398" t="s">
        <v>328</v>
      </c>
      <c r="F172" s="284"/>
      <c r="G172" s="285" t="s">
        <v>75</v>
      </c>
      <c r="H172" s="267"/>
    </row>
    <row r="173">
      <c r="A173" s="265"/>
      <c r="B173" s="247">
        <v>79118.0</v>
      </c>
      <c r="C173" s="252"/>
      <c r="D173" s="249"/>
      <c r="F173" s="250"/>
      <c r="G173" s="254" t="s">
        <v>1110</v>
      </c>
      <c r="H173" s="251"/>
    </row>
    <row r="174">
      <c r="A174" s="265"/>
      <c r="B174" s="247"/>
      <c r="C174" s="252"/>
      <c r="D174" s="253"/>
      <c r="F174" s="250">
        <v>3173.94</v>
      </c>
      <c r="G174" s="254" t="s">
        <v>303</v>
      </c>
      <c r="H174" s="251"/>
    </row>
    <row r="175">
      <c r="A175" s="265"/>
      <c r="B175" s="247"/>
      <c r="C175" s="252"/>
      <c r="D175" s="249"/>
      <c r="F175" s="250"/>
      <c r="G175" s="254"/>
      <c r="H175" s="251"/>
    </row>
    <row r="176">
      <c r="A176" s="265"/>
      <c r="B176" s="247"/>
      <c r="C176" s="248"/>
      <c r="D176" s="249"/>
      <c r="F176" s="250"/>
      <c r="G176" s="254"/>
      <c r="H176" s="251"/>
    </row>
    <row r="177">
      <c r="A177" s="265"/>
      <c r="B177" s="247"/>
      <c r="C177" s="252"/>
      <c r="D177" s="249"/>
      <c r="F177" s="250"/>
      <c r="G177" s="254"/>
      <c r="H177" s="251"/>
    </row>
    <row r="178">
      <c r="A178" s="265"/>
      <c r="B178" s="247"/>
      <c r="C178" s="252"/>
      <c r="D178" s="249"/>
      <c r="F178" s="250"/>
      <c r="G178" s="254"/>
      <c r="H178" s="251"/>
    </row>
    <row r="179">
      <c r="A179" s="265"/>
      <c r="B179" s="247"/>
      <c r="C179" s="248"/>
      <c r="D179" s="249"/>
      <c r="F179" s="250"/>
      <c r="G179" s="254"/>
      <c r="H179" s="251"/>
    </row>
    <row r="180">
      <c r="A180" s="265"/>
      <c r="B180" s="247"/>
      <c r="C180" s="248"/>
      <c r="D180" s="249"/>
      <c r="F180" s="250"/>
      <c r="G180" s="254"/>
      <c r="H180" s="251"/>
    </row>
    <row r="181">
      <c r="A181" s="265"/>
      <c r="B181" s="247"/>
      <c r="C181" s="252"/>
      <c r="D181" s="249"/>
      <c r="F181" s="250"/>
      <c r="G181" s="254"/>
      <c r="H181" s="251"/>
    </row>
    <row r="182">
      <c r="A182" s="265"/>
      <c r="B182" s="247"/>
      <c r="C182" s="252"/>
      <c r="D182" s="253"/>
      <c r="F182" s="250"/>
      <c r="G182" s="254"/>
      <c r="H182" s="251"/>
    </row>
    <row r="183">
      <c r="A183" s="270"/>
      <c r="B183" s="247"/>
      <c r="C183" s="252"/>
      <c r="D183" s="249"/>
      <c r="F183" s="250"/>
      <c r="G183" s="254"/>
      <c r="H183" s="261"/>
    </row>
    <row r="184">
      <c r="A184" s="262" t="s">
        <v>973</v>
      </c>
      <c r="B184" s="239"/>
      <c r="C184" s="263"/>
      <c r="D184" s="264"/>
      <c r="E184" s="244"/>
      <c r="F184" s="243"/>
      <c r="G184" s="276" t="s">
        <v>142</v>
      </c>
      <c r="H184" s="245">
        <v>118.0</v>
      </c>
    </row>
    <row r="185">
      <c r="A185" s="265"/>
      <c r="B185" s="247">
        <v>15820.5</v>
      </c>
      <c r="C185" s="248"/>
      <c r="D185" s="249"/>
      <c r="F185" s="250"/>
      <c r="G185" s="254" t="s">
        <v>291</v>
      </c>
      <c r="H185" s="267"/>
    </row>
    <row r="186">
      <c r="A186" s="265"/>
      <c r="B186" s="247"/>
      <c r="C186" s="252"/>
      <c r="D186" s="249"/>
      <c r="F186" s="250">
        <v>1660.0</v>
      </c>
      <c r="G186" s="254" t="s">
        <v>1111</v>
      </c>
      <c r="H186" s="251"/>
    </row>
    <row r="187">
      <c r="A187" s="265"/>
      <c r="B187" s="247"/>
      <c r="C187" s="248"/>
      <c r="D187" s="249"/>
      <c r="F187" s="250">
        <v>4596.0</v>
      </c>
      <c r="G187" s="254" t="s">
        <v>303</v>
      </c>
      <c r="H187" s="251"/>
    </row>
    <row r="188">
      <c r="A188" s="265"/>
      <c r="B188" s="247"/>
      <c r="C188" s="248">
        <v>100547.67</v>
      </c>
      <c r="D188" s="249"/>
      <c r="E188" s="2" t="s">
        <v>328</v>
      </c>
      <c r="F188" s="250"/>
      <c r="G188" s="254" t="s">
        <v>71</v>
      </c>
      <c r="H188" s="251"/>
    </row>
    <row r="189">
      <c r="A189" s="265"/>
      <c r="B189" s="247">
        <v>53697.88</v>
      </c>
      <c r="C189" s="248"/>
      <c r="D189" s="249"/>
      <c r="F189" s="250"/>
      <c r="G189" s="254" t="s">
        <v>142</v>
      </c>
      <c r="H189" s="267"/>
    </row>
    <row r="190">
      <c r="A190" s="265"/>
      <c r="B190" s="247"/>
      <c r="C190" s="248"/>
      <c r="D190" s="249"/>
      <c r="F190" s="250"/>
      <c r="G190" s="316"/>
      <c r="H190" s="251"/>
    </row>
    <row r="191">
      <c r="A191" s="265"/>
      <c r="B191" s="247"/>
      <c r="C191" s="252"/>
      <c r="D191" s="249"/>
      <c r="F191" s="250"/>
      <c r="G191" s="254"/>
      <c r="H191" s="251"/>
    </row>
    <row r="192">
      <c r="A192" s="265"/>
      <c r="B192" s="247"/>
      <c r="C192" s="248"/>
      <c r="D192" s="249"/>
      <c r="F192" s="250"/>
      <c r="G192" s="254"/>
      <c r="H192" s="251"/>
    </row>
    <row r="193">
      <c r="A193" s="265"/>
      <c r="B193" s="247"/>
      <c r="C193" s="248"/>
      <c r="D193" s="253"/>
      <c r="F193" s="250"/>
      <c r="G193" s="254"/>
      <c r="H193" s="251"/>
    </row>
    <row r="194">
      <c r="A194" s="265"/>
      <c r="B194" s="268"/>
      <c r="C194" s="248"/>
      <c r="D194" s="253"/>
      <c r="F194" s="250"/>
      <c r="G194" s="269"/>
      <c r="H194" s="251"/>
    </row>
    <row r="195">
      <c r="A195" s="265"/>
      <c r="B195" s="247"/>
      <c r="C195" s="248"/>
      <c r="D195" s="253"/>
      <c r="F195" s="250"/>
      <c r="G195" s="269"/>
      <c r="H195" s="251"/>
    </row>
    <row r="196">
      <c r="A196" s="265"/>
      <c r="B196" s="278"/>
      <c r="C196" s="252"/>
      <c r="D196" s="253"/>
      <c r="F196" s="250"/>
      <c r="G196" s="269"/>
      <c r="H196" s="251"/>
    </row>
    <row r="197">
      <c r="A197" s="265"/>
      <c r="B197" s="278"/>
      <c r="C197" s="252"/>
      <c r="D197" s="253"/>
      <c r="F197" s="282"/>
      <c r="G197" s="269"/>
      <c r="H197" s="251"/>
    </row>
    <row r="198">
      <c r="A198" s="270"/>
      <c r="B198" s="271"/>
      <c r="C198" s="272"/>
      <c r="D198" s="273"/>
      <c r="E198" s="18"/>
      <c r="F198" s="274"/>
      <c r="G198" s="275"/>
      <c r="H198" s="261"/>
    </row>
    <row r="199">
      <c r="A199" s="262" t="s">
        <v>975</v>
      </c>
      <c r="B199" s="425">
        <v>83100.0</v>
      </c>
      <c r="C199" s="426"/>
      <c r="D199" s="401"/>
      <c r="E199" s="402" t="s">
        <v>328</v>
      </c>
      <c r="F199" s="403"/>
      <c r="G199" s="436" t="s">
        <v>75</v>
      </c>
      <c r="H199" s="245">
        <v>178.5</v>
      </c>
    </row>
    <row r="200">
      <c r="A200" s="265"/>
      <c r="B200" s="247">
        <v>43607.98</v>
      </c>
      <c r="C200" s="248"/>
      <c r="D200" s="249"/>
      <c r="F200" s="250"/>
      <c r="G200" s="254" t="s">
        <v>82</v>
      </c>
      <c r="H200" s="267"/>
    </row>
    <row r="201">
      <c r="A201" s="265"/>
      <c r="B201" s="404">
        <v>102200.0</v>
      </c>
      <c r="C201" s="424"/>
      <c r="D201" s="399"/>
      <c r="E201" s="398" t="s">
        <v>328</v>
      </c>
      <c r="F201" s="284"/>
      <c r="G201" s="285" t="s">
        <v>122</v>
      </c>
      <c r="H201" s="251"/>
    </row>
    <row r="202">
      <c r="A202" s="265"/>
      <c r="B202" s="404"/>
      <c r="C202" s="405"/>
      <c r="D202" s="399"/>
      <c r="E202" s="398"/>
      <c r="F202" s="284">
        <v>13500.0</v>
      </c>
      <c r="G202" s="285" t="s">
        <v>820</v>
      </c>
      <c r="H202" s="251"/>
    </row>
    <row r="203">
      <c r="A203" s="265"/>
      <c r="B203" s="247"/>
      <c r="C203" s="252"/>
      <c r="D203" s="399">
        <v>89543.92</v>
      </c>
      <c r="E203" s="398" t="s">
        <v>328</v>
      </c>
      <c r="F203" s="284"/>
      <c r="G203" s="285" t="s">
        <v>114</v>
      </c>
      <c r="H203" s="251"/>
    </row>
    <row r="204">
      <c r="A204" s="265"/>
      <c r="B204" s="247"/>
      <c r="C204" s="248"/>
      <c r="D204" s="399"/>
      <c r="E204" s="398"/>
      <c r="F204" s="284"/>
      <c r="G204" s="285"/>
      <c r="H204" s="251"/>
    </row>
    <row r="205">
      <c r="A205" s="265"/>
      <c r="B205" s="247"/>
      <c r="C205" s="252"/>
      <c r="D205" s="249"/>
      <c r="F205" s="250"/>
      <c r="G205" s="254"/>
      <c r="H205" s="251"/>
    </row>
    <row r="206">
      <c r="A206" s="265"/>
      <c r="B206" s="247"/>
      <c r="C206" s="252"/>
      <c r="D206" s="253"/>
      <c r="F206" s="250"/>
      <c r="G206" s="254"/>
      <c r="H206" s="251"/>
      <c r="I206" s="269"/>
      <c r="J206" s="269"/>
      <c r="K206" s="269"/>
    </row>
    <row r="207">
      <c r="A207" s="265"/>
      <c r="B207" s="247"/>
      <c r="C207" s="248"/>
      <c r="D207" s="249"/>
      <c r="E207" s="269"/>
      <c r="F207" s="250"/>
      <c r="G207" s="254"/>
      <c r="H207" s="251"/>
      <c r="I207" s="269"/>
      <c r="J207" s="269"/>
      <c r="K207" s="269"/>
    </row>
    <row r="208">
      <c r="A208" s="265"/>
      <c r="B208" s="277"/>
      <c r="C208" s="252"/>
      <c r="D208" s="249"/>
      <c r="E208" s="254"/>
      <c r="F208" s="250"/>
      <c r="G208" s="254"/>
      <c r="H208" s="251"/>
      <c r="I208" s="254"/>
      <c r="J208" s="269"/>
      <c r="K208" s="269"/>
    </row>
    <row r="209">
      <c r="A209" s="265"/>
      <c r="B209" s="277"/>
      <c r="C209" s="252"/>
      <c r="D209" s="253"/>
      <c r="E209" s="269"/>
      <c r="F209" s="282"/>
      <c r="G209" s="254"/>
      <c r="H209" s="251"/>
      <c r="I209" s="269"/>
      <c r="J209" s="269"/>
      <c r="K209" s="269"/>
    </row>
    <row r="210">
      <c r="A210" s="270"/>
      <c r="B210" s="271"/>
      <c r="C210" s="272"/>
      <c r="D210" s="273"/>
      <c r="E210" s="275"/>
      <c r="F210" s="274"/>
      <c r="G210" s="275"/>
      <c r="H210" s="261"/>
      <c r="I210" s="269"/>
      <c r="J210" s="269"/>
      <c r="K210" s="269"/>
    </row>
    <row r="211">
      <c r="A211" s="262" t="s">
        <v>977</v>
      </c>
      <c r="B211" s="239"/>
      <c r="C211" s="263"/>
      <c r="D211" s="264"/>
      <c r="E211" s="276"/>
      <c r="F211" s="243">
        <v>2770.0</v>
      </c>
      <c r="G211" s="276" t="s">
        <v>1099</v>
      </c>
      <c r="H211" s="245">
        <v>150.0</v>
      </c>
      <c r="I211" s="254"/>
      <c r="J211" s="254"/>
      <c r="K211" s="254"/>
    </row>
    <row r="212">
      <c r="A212" s="265"/>
      <c r="B212" s="247"/>
      <c r="C212" s="248"/>
      <c r="D212" s="249"/>
      <c r="F212" s="250">
        <v>3622.5</v>
      </c>
      <c r="G212" s="254" t="s">
        <v>1112</v>
      </c>
      <c r="H212" s="251"/>
      <c r="I212" s="269"/>
      <c r="J212" s="254"/>
      <c r="K212" s="254"/>
    </row>
    <row r="213">
      <c r="A213" s="265"/>
      <c r="B213" s="247"/>
      <c r="C213" s="248">
        <v>139323.4</v>
      </c>
      <c r="D213" s="414"/>
      <c r="E213" s="398" t="s">
        <v>328</v>
      </c>
      <c r="F213" s="418"/>
      <c r="G213" s="285" t="s">
        <v>89</v>
      </c>
      <c r="H213" s="251"/>
      <c r="I213" s="269"/>
      <c r="J213" s="254"/>
      <c r="K213" s="254"/>
    </row>
    <row r="214">
      <c r="A214" s="265"/>
      <c r="B214" s="247">
        <v>69000.0</v>
      </c>
      <c r="C214" s="248"/>
      <c r="D214" s="249"/>
      <c r="E214" s="254" t="s">
        <v>328</v>
      </c>
      <c r="F214" s="250"/>
      <c r="G214" s="254" t="s">
        <v>68</v>
      </c>
      <c r="H214" s="251"/>
      <c r="I214" s="269"/>
      <c r="J214" s="269"/>
      <c r="K214" s="269"/>
    </row>
    <row r="215">
      <c r="A215" s="265"/>
      <c r="B215" s="247"/>
      <c r="C215" s="248">
        <v>97300.0</v>
      </c>
      <c r="D215" s="400"/>
      <c r="E215" s="285"/>
      <c r="F215" s="284"/>
      <c r="G215" s="285" t="s">
        <v>389</v>
      </c>
      <c r="H215" s="251"/>
      <c r="I215" s="269"/>
      <c r="J215" s="269"/>
      <c r="K215" s="269"/>
    </row>
    <row r="216">
      <c r="A216" s="265"/>
      <c r="B216" s="247"/>
      <c r="C216" s="248">
        <v>46584.0</v>
      </c>
      <c r="D216" s="249"/>
      <c r="E216" s="269"/>
      <c r="F216" s="250"/>
      <c r="G216" s="254" t="s">
        <v>392</v>
      </c>
      <c r="H216" s="251"/>
      <c r="I216" s="269"/>
      <c r="J216" s="269"/>
      <c r="K216" s="269"/>
    </row>
    <row r="217">
      <c r="A217" s="265"/>
      <c r="B217" s="404">
        <v>56809.5</v>
      </c>
      <c r="C217" s="424"/>
      <c r="D217" s="399"/>
      <c r="E217" s="285" t="s">
        <v>328</v>
      </c>
      <c r="F217" s="284"/>
      <c r="G217" s="285" t="s">
        <v>79</v>
      </c>
      <c r="H217" s="251"/>
      <c r="I217" s="269"/>
      <c r="J217" s="269"/>
      <c r="K217" s="269"/>
    </row>
    <row r="218">
      <c r="A218" s="265"/>
      <c r="B218" s="247"/>
      <c r="C218" s="252"/>
      <c r="D218" s="288"/>
      <c r="E218" s="269"/>
      <c r="F218" s="250"/>
      <c r="G218" s="254"/>
      <c r="H218" s="251"/>
      <c r="I218" s="254"/>
      <c r="J218" s="269"/>
      <c r="K218" s="269"/>
    </row>
    <row r="219">
      <c r="A219" s="265"/>
      <c r="B219" s="247"/>
      <c r="C219" s="252"/>
      <c r="D219" s="253"/>
      <c r="F219" s="250"/>
      <c r="G219" s="254"/>
      <c r="H219" s="251"/>
      <c r="I219" s="269"/>
      <c r="J219" s="269"/>
      <c r="K219" s="269"/>
    </row>
    <row r="220">
      <c r="A220" s="265"/>
      <c r="B220" s="247"/>
      <c r="C220" s="252"/>
      <c r="D220" s="253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</row>
    <row r="222">
      <c r="A222" s="265"/>
      <c r="B222" s="277"/>
      <c r="C222" s="252"/>
      <c r="D222" s="253"/>
      <c r="F222" s="250"/>
      <c r="G222" s="254"/>
      <c r="H222" s="251"/>
    </row>
    <row r="223">
      <c r="A223" s="265"/>
      <c r="B223" s="278"/>
      <c r="C223" s="252"/>
      <c r="D223" s="253"/>
      <c r="F223" s="282"/>
      <c r="G223" s="269"/>
      <c r="H223" s="251"/>
    </row>
    <row r="224">
      <c r="A224" s="265"/>
      <c r="B224" s="278"/>
      <c r="C224" s="252"/>
      <c r="D224" s="253"/>
      <c r="F224" s="282"/>
      <c r="G224" s="269"/>
      <c r="H224" s="251"/>
    </row>
    <row r="225">
      <c r="A225" s="270"/>
      <c r="B225" s="271"/>
      <c r="C225" s="272"/>
      <c r="D225" s="273"/>
      <c r="E225" s="18"/>
      <c r="F225" s="274"/>
      <c r="G225" s="275"/>
      <c r="H225" s="261"/>
    </row>
    <row r="226">
      <c r="A226" s="262" t="s">
        <v>978</v>
      </c>
      <c r="B226" s="239"/>
      <c r="C226" s="263">
        <v>121259.62</v>
      </c>
      <c r="D226" s="421"/>
      <c r="E226" s="422"/>
      <c r="F226" s="423"/>
      <c r="G226" s="398" t="s">
        <v>84</v>
      </c>
      <c r="H226" s="245">
        <v>150.0</v>
      </c>
    </row>
    <row r="227">
      <c r="A227" s="265"/>
      <c r="B227" s="247"/>
      <c r="C227" s="248"/>
      <c r="D227" s="399">
        <v>187092.62</v>
      </c>
      <c r="E227" s="398" t="s">
        <v>328</v>
      </c>
      <c r="F227" s="284"/>
      <c r="G227" s="285" t="s">
        <v>114</v>
      </c>
      <c r="H227" s="267"/>
    </row>
    <row r="228">
      <c r="A228" s="265"/>
      <c r="B228" s="247"/>
      <c r="C228" s="248"/>
      <c r="D228" s="399">
        <v>146650.0</v>
      </c>
      <c r="E228" s="398" t="s">
        <v>328</v>
      </c>
      <c r="F228" s="284"/>
      <c r="G228" s="285" t="s">
        <v>1113</v>
      </c>
      <c r="H228" s="251"/>
    </row>
    <row r="229">
      <c r="A229" s="265"/>
      <c r="B229" s="247">
        <v>35676.03</v>
      </c>
      <c r="C229" s="248"/>
      <c r="D229" s="249"/>
      <c r="F229" s="250"/>
      <c r="G229" s="254" t="s">
        <v>82</v>
      </c>
      <c r="H229" s="251"/>
    </row>
    <row r="230">
      <c r="A230" s="265"/>
      <c r="B230" s="247"/>
      <c r="C230" s="252"/>
      <c r="D230" s="399">
        <v>133889.75</v>
      </c>
      <c r="E230" s="398" t="s">
        <v>328</v>
      </c>
      <c r="F230" s="284"/>
      <c r="G230" s="285" t="s">
        <v>77</v>
      </c>
      <c r="H230" s="267"/>
    </row>
    <row r="231">
      <c r="A231" s="265"/>
      <c r="B231" s="247">
        <v>111268.0</v>
      </c>
      <c r="C231" s="248"/>
      <c r="D231" s="249"/>
      <c r="F231" s="250"/>
      <c r="G231" s="254" t="s">
        <v>103</v>
      </c>
      <c r="H231" s="267"/>
    </row>
    <row r="232">
      <c r="A232" s="265"/>
      <c r="B232" s="404">
        <v>61550.0</v>
      </c>
      <c r="C232" s="405"/>
      <c r="D232" s="399"/>
      <c r="E232" s="398" t="s">
        <v>1114</v>
      </c>
      <c r="F232" s="284"/>
      <c r="G232" s="285" t="s">
        <v>75</v>
      </c>
      <c r="H232" s="251"/>
    </row>
    <row r="233">
      <c r="A233" s="265"/>
      <c r="B233" s="247"/>
      <c r="C233" s="252"/>
      <c r="D233" s="400">
        <f>45140.5+14416.39</f>
        <v>59556.89</v>
      </c>
      <c r="E233" s="398" t="s">
        <v>328</v>
      </c>
      <c r="F233" s="284"/>
      <c r="G233" s="285" t="s">
        <v>73</v>
      </c>
      <c r="H233" s="251"/>
    </row>
    <row r="234">
      <c r="A234" s="265"/>
      <c r="B234" s="247"/>
      <c r="C234" s="252"/>
      <c r="D234" s="399">
        <v>69902.75</v>
      </c>
      <c r="E234" s="398" t="s">
        <v>328</v>
      </c>
      <c r="F234" s="284"/>
      <c r="G234" s="285" t="s">
        <v>74</v>
      </c>
      <c r="H234" s="251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78"/>
      <c r="C236" s="252"/>
      <c r="D236" s="253"/>
      <c r="F236" s="250"/>
      <c r="G236" s="254"/>
      <c r="H236" s="251"/>
    </row>
    <row r="237">
      <c r="A237" s="265"/>
      <c r="B237" s="278"/>
      <c r="C237" s="252"/>
      <c r="D237" s="253"/>
      <c r="F237" s="250"/>
      <c r="G237" s="269"/>
      <c r="H237" s="251"/>
    </row>
    <row r="238">
      <c r="A238" s="265"/>
      <c r="B238" s="278"/>
      <c r="C238" s="252"/>
      <c r="D238" s="253"/>
      <c r="F238" s="250"/>
      <c r="G238" s="269"/>
      <c r="H238" s="251"/>
    </row>
    <row r="239">
      <c r="A239" s="270"/>
      <c r="B239" s="271"/>
      <c r="C239" s="272"/>
      <c r="D239" s="273"/>
      <c r="E239" s="18"/>
      <c r="F239" s="274"/>
      <c r="G239" s="275"/>
      <c r="H239" s="261"/>
    </row>
    <row r="240">
      <c r="A240" s="262" t="s">
        <v>1115</v>
      </c>
      <c r="B240" s="239">
        <v>46500.0</v>
      </c>
      <c r="C240" s="263"/>
      <c r="D240" s="264"/>
      <c r="E240" s="244" t="s">
        <v>527</v>
      </c>
      <c r="F240" s="243"/>
      <c r="G240" s="276" t="s">
        <v>76</v>
      </c>
      <c r="H240" s="245">
        <v>197.0</v>
      </c>
    </row>
    <row r="241">
      <c r="A241" s="265"/>
      <c r="B241" s="247"/>
      <c r="C241" s="248"/>
      <c r="D241" s="249"/>
      <c r="F241" s="250">
        <v>2046.0</v>
      </c>
      <c r="G241" s="254" t="s">
        <v>1112</v>
      </c>
      <c r="H241" s="251"/>
    </row>
    <row r="242">
      <c r="A242" s="265"/>
      <c r="B242" s="247">
        <v>69000.0</v>
      </c>
      <c r="C242" s="248"/>
      <c r="D242" s="249"/>
      <c r="F242" s="250"/>
      <c r="G242" s="254" t="s">
        <v>1116</v>
      </c>
      <c r="H242" s="251"/>
    </row>
    <row r="243">
      <c r="A243" s="265"/>
      <c r="B243" s="247"/>
      <c r="C243" s="248"/>
      <c r="D243" s="249"/>
      <c r="F243" s="250"/>
      <c r="G243" s="254"/>
      <c r="H243" s="267"/>
    </row>
    <row r="244">
      <c r="A244" s="265"/>
      <c r="B244" s="247"/>
      <c r="C244" s="248"/>
      <c r="D244" s="249"/>
      <c r="F244" s="250"/>
      <c r="G244" s="254"/>
      <c r="H244" s="251"/>
    </row>
    <row r="245">
      <c r="A245" s="265"/>
      <c r="B245" s="247"/>
      <c r="C245" s="248"/>
      <c r="D245" s="249"/>
      <c r="F245" s="250"/>
      <c r="G245" s="254"/>
      <c r="H245" s="251"/>
    </row>
    <row r="246">
      <c r="A246" s="265"/>
      <c r="B246" s="247"/>
      <c r="C246" s="252"/>
      <c r="D246" s="249"/>
      <c r="F246" s="250"/>
      <c r="G246" s="254"/>
      <c r="H246" s="251"/>
    </row>
    <row r="247">
      <c r="A247" s="265"/>
      <c r="B247" s="247"/>
      <c r="C247" s="248"/>
      <c r="D247" s="253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414"/>
      <c r="E249" s="417"/>
      <c r="F249" s="418"/>
      <c r="G249" s="420"/>
      <c r="H249" s="251"/>
    </row>
    <row r="250">
      <c r="A250" s="265"/>
      <c r="B250" s="247"/>
      <c r="C250" s="252"/>
      <c r="D250" s="249"/>
      <c r="F250" s="250"/>
      <c r="G250" s="254"/>
      <c r="H250" s="267"/>
    </row>
    <row r="251">
      <c r="A251" s="265"/>
      <c r="B251" s="268"/>
      <c r="C251" s="252"/>
      <c r="D251" s="249"/>
      <c r="F251" s="250"/>
      <c r="G251" s="254"/>
      <c r="H251" s="251"/>
    </row>
    <row r="252">
      <c r="A252" s="265"/>
      <c r="B252" s="268"/>
      <c r="C252" s="252"/>
      <c r="D252" s="253"/>
      <c r="F252" s="250"/>
      <c r="G252" s="254"/>
      <c r="H252" s="251"/>
    </row>
    <row r="253">
      <c r="A253" s="265"/>
      <c r="B253" s="268"/>
      <c r="C253" s="252"/>
      <c r="D253" s="253"/>
      <c r="F253" s="250"/>
      <c r="G253" s="254"/>
      <c r="H253" s="251"/>
    </row>
    <row r="254">
      <c r="A254" s="270"/>
      <c r="B254" s="271"/>
      <c r="C254" s="272"/>
      <c r="D254" s="273"/>
      <c r="E254" s="18"/>
      <c r="F254" s="259"/>
      <c r="G254" s="260"/>
      <c r="H254" s="261"/>
    </row>
    <row r="255">
      <c r="A255" s="262" t="s">
        <v>980</v>
      </c>
      <c r="B255" s="239">
        <v>42000.0</v>
      </c>
      <c r="C255" s="263"/>
      <c r="D255" s="249"/>
      <c r="E255" s="2" t="s">
        <v>527</v>
      </c>
      <c r="F255" s="250"/>
      <c r="G255" s="254" t="s">
        <v>1117</v>
      </c>
      <c r="H255" s="245">
        <v>70.0</v>
      </c>
    </row>
    <row r="256">
      <c r="A256" s="265"/>
      <c r="B256" s="404"/>
      <c r="C256" s="405"/>
      <c r="D256" s="399"/>
      <c r="E256" s="398"/>
      <c r="F256" s="284">
        <v>9672.75</v>
      </c>
      <c r="G256" s="285" t="s">
        <v>63</v>
      </c>
      <c r="H256" s="267"/>
    </row>
    <row r="257">
      <c r="A257" s="265"/>
      <c r="B257" s="404">
        <v>48700.0</v>
      </c>
      <c r="C257" s="405"/>
      <c r="D257" s="399"/>
      <c r="E257" s="398" t="s">
        <v>328</v>
      </c>
      <c r="F257" s="284"/>
      <c r="G257" s="285" t="s">
        <v>662</v>
      </c>
      <c r="H257" s="251"/>
    </row>
    <row r="258">
      <c r="A258" s="265"/>
      <c r="B258" s="247">
        <v>30353.44</v>
      </c>
      <c r="C258" s="248"/>
      <c r="D258" s="249"/>
      <c r="F258" s="250"/>
      <c r="G258" s="254" t="s">
        <v>58</v>
      </c>
      <c r="H258" s="251"/>
    </row>
    <row r="259">
      <c r="A259" s="265"/>
      <c r="B259" s="247"/>
      <c r="C259" s="248"/>
      <c r="D259" s="414"/>
      <c r="E259" s="398"/>
      <c r="F259" s="284">
        <v>11760.0</v>
      </c>
      <c r="G259" s="285" t="s">
        <v>549</v>
      </c>
      <c r="H259" s="251"/>
    </row>
    <row r="260">
      <c r="A260" s="265"/>
      <c r="B260" s="247"/>
      <c r="C260" s="248"/>
      <c r="D260" s="249"/>
      <c r="F260" s="250"/>
      <c r="G260" s="254"/>
      <c r="H260" s="251"/>
    </row>
    <row r="261">
      <c r="A261" s="265"/>
      <c r="B261" s="247"/>
      <c r="C261" s="248"/>
      <c r="D261" s="249"/>
      <c r="F261" s="250"/>
      <c r="G261" s="254"/>
      <c r="H261" s="251"/>
    </row>
    <row r="262">
      <c r="A262" s="265"/>
      <c r="B262" s="247"/>
      <c r="C262" s="248"/>
      <c r="D262" s="249"/>
      <c r="F262" s="250"/>
      <c r="G262" s="254"/>
      <c r="H262" s="251"/>
    </row>
    <row r="263">
      <c r="A263" s="265"/>
      <c r="B263" s="247"/>
      <c r="C263" s="252"/>
      <c r="D263" s="249"/>
      <c r="F263" s="250"/>
      <c r="G263" s="254"/>
      <c r="H263" s="251"/>
    </row>
    <row r="264">
      <c r="A264" s="265"/>
      <c r="B264" s="247"/>
      <c r="C264" s="252"/>
      <c r="D264" s="289"/>
      <c r="E264" s="290"/>
      <c r="F264" s="335"/>
      <c r="G264" s="292"/>
      <c r="H264" s="251"/>
    </row>
    <row r="265">
      <c r="A265" s="265"/>
      <c r="B265" s="247"/>
      <c r="C265" s="252"/>
      <c r="D265" s="253"/>
      <c r="F265" s="250"/>
      <c r="G265" s="254"/>
      <c r="H265" s="251"/>
    </row>
    <row r="266">
      <c r="A266" s="265"/>
      <c r="B266" s="268"/>
      <c r="C266" s="252"/>
      <c r="D266" s="253"/>
      <c r="F266" s="250"/>
      <c r="G266" s="269"/>
      <c r="H266" s="251"/>
    </row>
    <row r="267">
      <c r="A267" s="270"/>
      <c r="B267" s="271"/>
      <c r="C267" s="272"/>
      <c r="D267" s="273"/>
      <c r="E267" s="18"/>
      <c r="F267" s="259"/>
      <c r="G267" s="260"/>
      <c r="H267" s="261"/>
    </row>
    <row r="268">
      <c r="A268" s="262" t="s">
        <v>982</v>
      </c>
      <c r="B268" s="425"/>
      <c r="C268" s="426"/>
      <c r="D268" s="399"/>
      <c r="E268" s="398"/>
      <c r="F268" s="284">
        <v>19900.0</v>
      </c>
      <c r="G268" s="285" t="s">
        <v>1118</v>
      </c>
      <c r="H268" s="245">
        <f>87.8</f>
        <v>87.8</v>
      </c>
      <c r="I268" s="2" t="s">
        <v>1119</v>
      </c>
    </row>
    <row r="269">
      <c r="A269" s="265"/>
      <c r="B269" s="247"/>
      <c r="C269" s="248"/>
      <c r="D269" s="249"/>
      <c r="F269" s="250"/>
      <c r="G269" s="254"/>
      <c r="H269" s="267"/>
    </row>
    <row r="270">
      <c r="A270" s="265"/>
      <c r="B270" s="247"/>
      <c r="C270" s="248"/>
      <c r="D270" s="249"/>
      <c r="F270" s="250"/>
      <c r="G270" s="254"/>
      <c r="H270" s="251"/>
      <c r="I270" s="2" t="s">
        <v>1120</v>
      </c>
    </row>
    <row r="271">
      <c r="A271" s="265"/>
      <c r="B271" s="247"/>
      <c r="C271" s="248"/>
      <c r="D271" s="249"/>
      <c r="F271" s="250"/>
      <c r="G271" s="254"/>
      <c r="H271" s="251"/>
      <c r="I271" s="2" t="s">
        <v>1121</v>
      </c>
    </row>
    <row r="272">
      <c r="A272" s="265"/>
      <c r="B272" s="247"/>
      <c r="C272" s="252"/>
      <c r="D272" s="414"/>
      <c r="E272" s="417"/>
      <c r="F272" s="418"/>
      <c r="G272" s="420"/>
      <c r="H272" s="251"/>
    </row>
    <row r="273">
      <c r="A273" s="265"/>
      <c r="B273" s="247"/>
      <c r="C273" s="248"/>
      <c r="D273" s="249"/>
      <c r="F273" s="250"/>
      <c r="G273" s="254"/>
      <c r="H273" s="251"/>
    </row>
    <row r="274">
      <c r="A274" s="265"/>
      <c r="B274" s="247"/>
      <c r="C274" s="248"/>
      <c r="D274" s="249"/>
      <c r="F274" s="250"/>
      <c r="G274" s="254"/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52"/>
      <c r="D276" s="249"/>
      <c r="F276" s="250"/>
      <c r="G276" s="254"/>
      <c r="H276" s="251"/>
    </row>
    <row r="277">
      <c r="A277" s="265"/>
      <c r="B277" s="247"/>
      <c r="C277" s="252"/>
      <c r="D277" s="249"/>
      <c r="F277" s="250"/>
      <c r="G277" s="254"/>
      <c r="H277" s="251"/>
    </row>
    <row r="278">
      <c r="A278" s="265"/>
      <c r="B278" s="247"/>
      <c r="C278" s="252"/>
      <c r="D278" s="253"/>
      <c r="F278" s="250"/>
      <c r="G278" s="254"/>
      <c r="H278" s="251"/>
    </row>
    <row r="279">
      <c r="A279" s="265"/>
      <c r="B279" s="268"/>
      <c r="C279" s="252"/>
      <c r="D279" s="253"/>
      <c r="F279" s="250"/>
      <c r="G279" s="254"/>
      <c r="H279" s="251"/>
    </row>
    <row r="280">
      <c r="A280" s="265"/>
      <c r="B280" s="268"/>
      <c r="C280" s="252"/>
      <c r="D280" s="253"/>
      <c r="F280" s="250"/>
      <c r="G280" s="254"/>
      <c r="H280" s="251"/>
    </row>
    <row r="281">
      <c r="A281" s="265"/>
      <c r="B281" s="278"/>
      <c r="C281" s="252"/>
      <c r="D281" s="253"/>
      <c r="F281" s="250"/>
      <c r="G281" s="254"/>
      <c r="H281" s="251"/>
    </row>
    <row r="282">
      <c r="A282" s="265"/>
      <c r="B282" s="278"/>
      <c r="C282" s="252"/>
      <c r="D282" s="253"/>
      <c r="F282" s="282"/>
      <c r="G282" s="269"/>
      <c r="H282" s="251"/>
    </row>
    <row r="283">
      <c r="A283" s="270"/>
      <c r="B283" s="271"/>
      <c r="C283" s="272"/>
      <c r="D283" s="273"/>
      <c r="E283" s="18"/>
      <c r="F283" s="274"/>
      <c r="G283" s="275"/>
      <c r="H283" s="261"/>
    </row>
    <row r="284">
      <c r="A284" s="262" t="s">
        <v>984</v>
      </c>
      <c r="B284" s="425">
        <v>129500.0</v>
      </c>
      <c r="C284" s="426"/>
      <c r="D284" s="401"/>
      <c r="E284" s="402" t="s">
        <v>328</v>
      </c>
      <c r="F284" s="403"/>
      <c r="G284" s="436" t="s">
        <v>75</v>
      </c>
      <c r="H284" s="245"/>
    </row>
    <row r="285">
      <c r="A285" s="265"/>
      <c r="B285" s="247"/>
      <c r="C285" s="248"/>
      <c r="D285" s="249"/>
      <c r="F285" s="250">
        <v>13000.0</v>
      </c>
      <c r="G285" s="254" t="s">
        <v>605</v>
      </c>
      <c r="H285" s="267">
        <v>65.0</v>
      </c>
      <c r="I285" s="2" t="s">
        <v>1122</v>
      </c>
    </row>
    <row r="286">
      <c r="A286" s="265"/>
      <c r="B286" s="247">
        <v>46000.0</v>
      </c>
      <c r="C286" s="248"/>
      <c r="D286" s="249"/>
      <c r="E286" s="2" t="s">
        <v>328</v>
      </c>
      <c r="F286" s="250"/>
      <c r="G286" s="254" t="s">
        <v>68</v>
      </c>
      <c r="H286" s="251"/>
    </row>
    <row r="287">
      <c r="A287" s="265"/>
      <c r="B287" s="247"/>
      <c r="C287" s="248"/>
      <c r="D287" s="249"/>
      <c r="F287" s="250">
        <v>13100.0</v>
      </c>
      <c r="G287" s="254" t="s">
        <v>97</v>
      </c>
      <c r="H287" s="251"/>
    </row>
    <row r="288">
      <c r="A288" s="265"/>
      <c r="B288" s="247"/>
      <c r="C288" s="252">
        <f>108109.95+137508.6</f>
        <v>245618.55</v>
      </c>
      <c r="D288" s="249"/>
      <c r="E288" s="2" t="s">
        <v>328</v>
      </c>
      <c r="F288" s="250"/>
      <c r="G288" s="254" t="s">
        <v>71</v>
      </c>
      <c r="H288" s="251"/>
    </row>
    <row r="289">
      <c r="A289" s="265"/>
      <c r="B289" s="247">
        <v>35676.03</v>
      </c>
      <c r="C289" s="248"/>
      <c r="D289" s="249"/>
      <c r="F289" s="250"/>
      <c r="G289" s="254" t="s">
        <v>82</v>
      </c>
      <c r="H289" s="267"/>
    </row>
    <row r="290">
      <c r="A290" s="265"/>
      <c r="B290" s="247"/>
      <c r="C290" s="248">
        <v>115185.85</v>
      </c>
      <c r="D290" s="249"/>
      <c r="E290" s="2" t="s">
        <v>328</v>
      </c>
      <c r="F290" s="250"/>
      <c r="G290" s="254" t="s">
        <v>89</v>
      </c>
      <c r="H290" s="267"/>
    </row>
    <row r="291">
      <c r="A291" s="265"/>
      <c r="B291" s="247"/>
      <c r="C291" s="248"/>
      <c r="D291" s="253"/>
      <c r="F291" s="250"/>
      <c r="G291" s="254"/>
      <c r="H291" s="267"/>
    </row>
    <row r="292">
      <c r="A292" s="265"/>
      <c r="B292" s="247"/>
      <c r="C292" s="252"/>
      <c r="D292" s="253"/>
      <c r="F292" s="250"/>
      <c r="G292" s="254"/>
      <c r="H292" s="251"/>
    </row>
    <row r="293">
      <c r="A293" s="265"/>
      <c r="B293" s="268"/>
      <c r="C293" s="252"/>
      <c r="D293" s="249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68"/>
      <c r="C296" s="252"/>
      <c r="D296" s="253"/>
      <c r="F296" s="250"/>
      <c r="G296" s="254"/>
      <c r="H296" s="251"/>
    </row>
    <row r="297">
      <c r="A297" s="265"/>
      <c r="B297" s="268"/>
      <c r="C297" s="252"/>
      <c r="D297" s="253"/>
      <c r="F297" s="250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985</v>
      </c>
      <c r="B299" s="239"/>
      <c r="C299" s="263"/>
      <c r="D299" s="264"/>
      <c r="E299" s="244"/>
      <c r="F299" s="250">
        <v>7920.0</v>
      </c>
      <c r="G299" s="254" t="s">
        <v>97</v>
      </c>
      <c r="H299" s="245"/>
    </row>
    <row r="300">
      <c r="A300" s="265"/>
      <c r="B300" s="247"/>
      <c r="C300" s="252"/>
      <c r="D300" s="253"/>
      <c r="F300" s="250">
        <v>1700.0</v>
      </c>
      <c r="G300" s="254" t="s">
        <v>228</v>
      </c>
      <c r="H300" s="267"/>
    </row>
    <row r="301">
      <c r="A301" s="265"/>
      <c r="B301" s="247">
        <v>21659.0</v>
      </c>
      <c r="C301" s="248"/>
      <c r="D301" s="249"/>
      <c r="F301" s="250"/>
      <c r="G301" s="254" t="s">
        <v>1123</v>
      </c>
      <c r="H301" s="251"/>
    </row>
    <row r="302">
      <c r="A302" s="265"/>
      <c r="B302" s="247"/>
      <c r="C302" s="248"/>
      <c r="D302" s="249"/>
      <c r="F302" s="250"/>
      <c r="G302" s="254"/>
      <c r="H302" s="251"/>
    </row>
    <row r="303">
      <c r="A303" s="265"/>
      <c r="B303" s="247"/>
      <c r="C303" s="248"/>
      <c r="D303" s="249"/>
      <c r="F303" s="250"/>
      <c r="G303" s="254"/>
      <c r="H303" s="267"/>
    </row>
    <row r="304">
      <c r="A304" s="265"/>
      <c r="B304" s="247"/>
      <c r="C304" s="248"/>
      <c r="D304" s="249"/>
      <c r="F304" s="250"/>
      <c r="G304" s="254"/>
      <c r="H304" s="267"/>
    </row>
    <row r="305">
      <c r="A305" s="265"/>
      <c r="B305" s="247"/>
      <c r="C305" s="252"/>
      <c r="D305" s="249"/>
      <c r="F305" s="250"/>
      <c r="G305" s="254"/>
      <c r="H305" s="251"/>
    </row>
    <row r="306">
      <c r="A306" s="265"/>
      <c r="B306" s="247"/>
      <c r="C306" s="248"/>
      <c r="D306" s="249"/>
      <c r="F306" s="250"/>
      <c r="G306" s="254"/>
      <c r="H306" s="251"/>
    </row>
    <row r="307">
      <c r="A307" s="265"/>
      <c r="B307" s="268"/>
      <c r="C307" s="252"/>
      <c r="D307" s="253"/>
      <c r="F307" s="250"/>
      <c r="G307" s="254"/>
      <c r="H307" s="251"/>
    </row>
    <row r="308">
      <c r="A308" s="265"/>
      <c r="B308" s="268"/>
      <c r="C308" s="252"/>
      <c r="D308" s="253"/>
      <c r="F308" s="250"/>
      <c r="G308" s="254"/>
      <c r="H308" s="251"/>
    </row>
    <row r="309">
      <c r="A309" s="265"/>
      <c r="B309" s="247"/>
      <c r="C309" s="252"/>
      <c r="D309" s="253"/>
      <c r="F309" s="250"/>
      <c r="G309" s="254"/>
      <c r="H309" s="251"/>
    </row>
    <row r="310">
      <c r="A310" s="265"/>
      <c r="B310" s="247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18"/>
      <c r="H313" s="261"/>
    </row>
    <row r="314">
      <c r="A314" s="262" t="s">
        <v>988</v>
      </c>
      <c r="B314" s="425">
        <v>71600.0</v>
      </c>
      <c r="C314" s="426"/>
      <c r="D314" s="401"/>
      <c r="E314" s="402" t="s">
        <v>328</v>
      </c>
      <c r="F314" s="403"/>
      <c r="G314" s="402" t="s">
        <v>75</v>
      </c>
      <c r="H314" s="245"/>
    </row>
    <row r="315">
      <c r="A315" s="265"/>
      <c r="B315" s="247">
        <v>74315.91</v>
      </c>
      <c r="C315" s="248"/>
      <c r="D315" s="249"/>
      <c r="F315" s="250"/>
      <c r="G315" s="2" t="s">
        <v>82</v>
      </c>
      <c r="H315" s="267"/>
      <c r="I315" s="2" t="s">
        <v>1124</v>
      </c>
    </row>
    <row r="316">
      <c r="A316" s="265"/>
      <c r="B316" s="404">
        <v>455202.0</v>
      </c>
      <c r="C316" s="405"/>
      <c r="D316" s="399"/>
      <c r="E316" s="398" t="s">
        <v>328</v>
      </c>
      <c r="F316" s="284"/>
      <c r="G316" s="417" t="s">
        <v>877</v>
      </c>
      <c r="H316" s="251"/>
    </row>
    <row r="317">
      <c r="A317" s="265"/>
      <c r="B317" s="404">
        <v>116000.0</v>
      </c>
      <c r="C317" s="405"/>
      <c r="D317" s="399"/>
      <c r="E317" s="398" t="s">
        <v>328</v>
      </c>
      <c r="F317" s="284"/>
      <c r="G317" s="398" t="s">
        <v>122</v>
      </c>
      <c r="H317" s="251"/>
    </row>
    <row r="318">
      <c r="A318" s="265"/>
      <c r="B318" s="404">
        <v>56809.5</v>
      </c>
      <c r="C318" s="405"/>
      <c r="D318" s="399"/>
      <c r="E318" s="398" t="s">
        <v>328</v>
      </c>
      <c r="F318" s="284"/>
      <c r="G318" s="398" t="s">
        <v>79</v>
      </c>
      <c r="H318" s="251"/>
    </row>
    <row r="319">
      <c r="A319" s="265"/>
      <c r="B319" s="247"/>
      <c r="C319" s="248"/>
      <c r="D319" s="249"/>
      <c r="F319" s="250"/>
      <c r="H319" s="251"/>
    </row>
    <row r="320">
      <c r="A320" s="265"/>
      <c r="B320" s="247"/>
      <c r="C320" s="248"/>
      <c r="D320" s="249"/>
      <c r="F320" s="250"/>
      <c r="H320" s="251"/>
    </row>
    <row r="321">
      <c r="A321" s="265"/>
      <c r="B321" s="247"/>
      <c r="C321" s="252"/>
      <c r="D321" s="249"/>
      <c r="F321" s="250"/>
      <c r="H321" s="251"/>
    </row>
    <row r="322">
      <c r="A322" s="265"/>
      <c r="B322" s="247"/>
      <c r="C322" s="252"/>
      <c r="D322" s="253"/>
      <c r="F322" s="250"/>
      <c r="H322" s="251"/>
    </row>
    <row r="323">
      <c r="A323" s="265"/>
      <c r="B323" s="247"/>
      <c r="C323" s="252"/>
      <c r="D323" s="249"/>
      <c r="F323" s="250"/>
      <c r="H323" s="251"/>
    </row>
    <row r="324">
      <c r="A324" s="265"/>
      <c r="B324" s="247"/>
      <c r="C324" s="252"/>
      <c r="D324" s="253"/>
      <c r="F324" s="250"/>
      <c r="H324" s="251"/>
    </row>
    <row r="325">
      <c r="A325" s="265"/>
      <c r="B325" s="247"/>
      <c r="C325" s="252"/>
      <c r="D325" s="253"/>
      <c r="F325" s="250"/>
      <c r="H325" s="251"/>
    </row>
    <row r="326">
      <c r="A326" s="265"/>
      <c r="B326" s="247"/>
      <c r="C326" s="252"/>
      <c r="D326" s="249"/>
      <c r="F326" s="250"/>
      <c r="H326" s="251"/>
    </row>
    <row r="327">
      <c r="A327" s="270"/>
      <c r="B327" s="271"/>
      <c r="C327" s="272"/>
      <c r="D327" s="273"/>
      <c r="E327" s="18"/>
      <c r="F327" s="259"/>
      <c r="G327" s="293"/>
      <c r="H327" s="261"/>
    </row>
    <row r="328">
      <c r="A328" s="262" t="s">
        <v>990</v>
      </c>
      <c r="B328" s="239">
        <v>17000.0</v>
      </c>
      <c r="C328" s="263"/>
      <c r="D328" s="264"/>
      <c r="E328" s="244"/>
      <c r="F328" s="243"/>
      <c r="G328" s="244" t="s">
        <v>1125</v>
      </c>
      <c r="H328" s="245">
        <v>84.0</v>
      </c>
    </row>
    <row r="329">
      <c r="A329" s="265"/>
      <c r="B329" s="247"/>
      <c r="C329" s="248"/>
      <c r="D329" s="399">
        <v>123477.0</v>
      </c>
      <c r="E329" s="398" t="s">
        <v>328</v>
      </c>
      <c r="F329" s="284"/>
      <c r="G329" s="398" t="s">
        <v>114</v>
      </c>
      <c r="H329" s="267"/>
    </row>
    <row r="330">
      <c r="A330" s="265"/>
      <c r="B330" s="404">
        <v>24200.0</v>
      </c>
      <c r="C330" s="405"/>
      <c r="D330" s="414"/>
      <c r="E330" s="398" t="s">
        <v>328</v>
      </c>
      <c r="F330" s="418"/>
      <c r="G330" s="398" t="s">
        <v>76</v>
      </c>
      <c r="H330" s="267"/>
    </row>
    <row r="331">
      <c r="A331" s="265"/>
      <c r="B331" s="404"/>
      <c r="C331" s="405"/>
      <c r="D331" s="399">
        <v>33037.43</v>
      </c>
      <c r="E331" s="398" t="s">
        <v>328</v>
      </c>
      <c r="F331" s="284"/>
      <c r="G331" s="398" t="s">
        <v>74</v>
      </c>
      <c r="H331" s="251"/>
    </row>
    <row r="332">
      <c r="A332" s="265"/>
      <c r="B332" s="247"/>
      <c r="C332" s="248"/>
      <c r="D332" s="399">
        <v>109548.38</v>
      </c>
      <c r="E332" s="398" t="s">
        <v>328</v>
      </c>
      <c r="F332" s="284"/>
      <c r="G332" s="398" t="s">
        <v>73</v>
      </c>
      <c r="H332" s="251"/>
    </row>
    <row r="333">
      <c r="A333" s="265"/>
      <c r="B333" s="247"/>
      <c r="C333" s="252"/>
      <c r="D333" s="414"/>
      <c r="E333" s="417"/>
      <c r="F333" s="284">
        <v>3000.0</v>
      </c>
      <c r="G333" s="398" t="s">
        <v>530</v>
      </c>
      <c r="H333" s="251"/>
    </row>
    <row r="334">
      <c r="A334" s="265"/>
      <c r="B334" s="247"/>
      <c r="C334" s="252"/>
      <c r="D334" s="249"/>
      <c r="F334" s="250">
        <v>5606.0</v>
      </c>
      <c r="G334" s="2" t="s">
        <v>1126</v>
      </c>
      <c r="H334" s="251"/>
    </row>
    <row r="335">
      <c r="A335" s="265"/>
      <c r="B335" s="247"/>
      <c r="C335" s="252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53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68"/>
      <c r="C340" s="252"/>
      <c r="D340" s="253"/>
      <c r="F340" s="250"/>
      <c r="H340" s="251"/>
    </row>
    <row r="341">
      <c r="A341" s="265"/>
      <c r="B341" s="268"/>
      <c r="C341" s="252"/>
      <c r="D341" s="253"/>
      <c r="F341" s="250"/>
      <c r="H341" s="251"/>
    </row>
    <row r="342">
      <c r="A342" s="265"/>
      <c r="B342" s="268"/>
      <c r="C342" s="252"/>
      <c r="D342" s="253"/>
      <c r="F342" s="250"/>
      <c r="H342" s="251"/>
    </row>
    <row r="343">
      <c r="A343" s="265"/>
      <c r="B343" s="268"/>
      <c r="C343" s="252"/>
      <c r="D343" s="253"/>
      <c r="F343" s="250"/>
      <c r="H343" s="251"/>
    </row>
    <row r="344">
      <c r="A344" s="265"/>
      <c r="B344" s="268"/>
      <c r="C344" s="252"/>
      <c r="D344" s="253"/>
      <c r="F344" s="250"/>
      <c r="H344" s="251"/>
    </row>
    <row r="345">
      <c r="A345" s="270"/>
      <c r="B345" s="271"/>
      <c r="C345" s="272"/>
      <c r="D345" s="273"/>
      <c r="E345" s="18"/>
      <c r="F345" s="274"/>
      <c r="G345" s="18"/>
      <c r="H345" s="261"/>
    </row>
    <row r="346">
      <c r="A346" s="262" t="s">
        <v>992</v>
      </c>
      <c r="B346" s="239"/>
      <c r="C346" s="263"/>
      <c r="D346" s="421"/>
      <c r="E346" s="422"/>
      <c r="F346" s="403">
        <v>5520.55</v>
      </c>
      <c r="G346" s="2" t="s">
        <v>97</v>
      </c>
      <c r="H346" s="245"/>
    </row>
    <row r="347">
      <c r="A347" s="265"/>
      <c r="B347" s="247">
        <v>46105.55</v>
      </c>
      <c r="C347" s="248"/>
      <c r="D347" s="249"/>
      <c r="F347" s="250"/>
      <c r="G347" s="2" t="s">
        <v>82</v>
      </c>
      <c r="H347" s="267"/>
    </row>
    <row r="348">
      <c r="A348" s="265"/>
      <c r="B348" s="247"/>
      <c r="C348" s="248"/>
      <c r="D348" s="249">
        <f>87728-1561.5</f>
        <v>86166.5</v>
      </c>
      <c r="E348" s="2" t="s">
        <v>328</v>
      </c>
      <c r="F348" s="250"/>
      <c r="G348" s="2" t="s">
        <v>100</v>
      </c>
      <c r="H348" s="267"/>
    </row>
    <row r="349">
      <c r="A349" s="265"/>
      <c r="B349" s="247"/>
      <c r="C349" s="248"/>
      <c r="D349" s="249">
        <v>30000.0</v>
      </c>
      <c r="F349" s="250"/>
      <c r="G349" s="2" t="s">
        <v>1127</v>
      </c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49"/>
      <c r="F352" s="250"/>
      <c r="H352" s="251"/>
    </row>
    <row r="353">
      <c r="A353" s="265"/>
      <c r="B353" s="268"/>
      <c r="C353" s="252"/>
      <c r="D353" s="249"/>
      <c r="F353" s="250"/>
      <c r="H353" s="251"/>
    </row>
    <row r="354">
      <c r="A354" s="265"/>
      <c r="B354" s="268"/>
      <c r="C354" s="252"/>
      <c r="D354" s="253"/>
      <c r="F354" s="250"/>
      <c r="H354" s="251"/>
    </row>
    <row r="355">
      <c r="A355" s="265"/>
      <c r="B355" s="247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70"/>
      <c r="B357" s="268"/>
      <c r="C357" s="252"/>
      <c r="D357" s="253"/>
      <c r="F357" s="250"/>
      <c r="H357" s="251"/>
    </row>
    <row r="358">
      <c r="A358" s="437"/>
      <c r="B358" s="247"/>
      <c r="C358" s="248"/>
      <c r="D358" s="249"/>
      <c r="F358" s="250"/>
      <c r="G358" s="398"/>
      <c r="H358" s="267"/>
    </row>
    <row r="359">
      <c r="A359" s="262" t="s">
        <v>993</v>
      </c>
      <c r="B359" s="239"/>
      <c r="C359" s="263"/>
      <c r="D359" s="264"/>
      <c r="E359" s="244"/>
      <c r="F359" s="243"/>
      <c r="G359" s="402"/>
      <c r="H359" s="245">
        <v>85.0</v>
      </c>
      <c r="I359" s="2" t="s">
        <v>339</v>
      </c>
    </row>
    <row r="360">
      <c r="A360" s="265"/>
      <c r="B360" s="247"/>
      <c r="C360" s="248"/>
      <c r="D360" s="288"/>
      <c r="F360" s="250"/>
      <c r="H360" s="267"/>
    </row>
    <row r="361">
      <c r="A361" s="265"/>
      <c r="B361" s="419"/>
      <c r="C361" s="427"/>
      <c r="D361" s="414"/>
      <c r="E361" s="417"/>
      <c r="F361" s="418"/>
      <c r="G361" s="417"/>
      <c r="H361" s="267"/>
    </row>
    <row r="362">
      <c r="A362" s="265"/>
      <c r="B362" s="247"/>
      <c r="C362" s="252"/>
      <c r="D362" s="249"/>
      <c r="F362" s="250"/>
      <c r="H362" s="251"/>
    </row>
    <row r="363">
      <c r="A363" s="265"/>
      <c r="B363" s="268"/>
      <c r="C363" s="252"/>
      <c r="D363" s="414"/>
      <c r="E363" s="417"/>
      <c r="F363" s="418"/>
      <c r="G363" s="417"/>
      <c r="H363" s="294"/>
    </row>
    <row r="364">
      <c r="A364" s="265"/>
      <c r="B364" s="247"/>
      <c r="C364" s="252"/>
      <c r="D364" s="249"/>
      <c r="F364" s="250"/>
      <c r="H364" s="251"/>
    </row>
    <row r="365">
      <c r="A365" s="265"/>
      <c r="B365" s="247"/>
      <c r="C365" s="252"/>
      <c r="D365" s="249"/>
      <c r="F365" s="250"/>
      <c r="H365" s="251"/>
    </row>
    <row r="366">
      <c r="A366" s="265"/>
      <c r="B366" s="268"/>
      <c r="C366" s="252"/>
      <c r="D366" s="249"/>
      <c r="F366" s="250"/>
      <c r="H366" s="267"/>
    </row>
    <row r="367">
      <c r="A367" s="265"/>
      <c r="B367" s="268"/>
      <c r="C367" s="252"/>
      <c r="D367" s="249"/>
      <c r="F367" s="250"/>
      <c r="H367" s="251"/>
    </row>
    <row r="368">
      <c r="A368" s="265"/>
      <c r="B368" s="247"/>
      <c r="C368" s="252"/>
      <c r="D368" s="249"/>
      <c r="F368" s="250"/>
      <c r="H368" s="267"/>
    </row>
    <row r="369">
      <c r="A369" s="270"/>
      <c r="B369" s="271"/>
      <c r="C369" s="272"/>
      <c r="D369" s="295"/>
      <c r="E369" s="18"/>
      <c r="F369" s="274"/>
      <c r="G369" s="293"/>
      <c r="H369" s="261"/>
    </row>
    <row r="370">
      <c r="A370" s="262" t="s">
        <v>187</v>
      </c>
      <c r="B370" s="239"/>
      <c r="C370" s="240"/>
      <c r="D370" s="317"/>
      <c r="E370" s="242"/>
      <c r="F370" s="243"/>
      <c r="G370" s="2" t="s">
        <v>188</v>
      </c>
      <c r="H370" s="297"/>
      <c r="I370" s="2" t="s">
        <v>189</v>
      </c>
    </row>
    <row r="371">
      <c r="A371" s="265"/>
      <c r="B371" s="247"/>
      <c r="C371" s="248"/>
      <c r="D371" s="317">
        <v>16677.0</v>
      </c>
      <c r="E371" s="429"/>
      <c r="F371" s="250"/>
      <c r="G371" s="2" t="s">
        <v>190</v>
      </c>
      <c r="H371" s="294">
        <v>45378.0</v>
      </c>
    </row>
    <row r="372">
      <c r="A372" s="265"/>
      <c r="B372" s="247"/>
      <c r="C372" s="248"/>
      <c r="D372" s="438">
        <v>14479.68</v>
      </c>
      <c r="F372" s="250"/>
      <c r="G372" s="2" t="s">
        <v>191</v>
      </c>
      <c r="H372" s="294">
        <v>45378.0</v>
      </c>
    </row>
    <row r="373">
      <c r="A373" s="265"/>
      <c r="B373" s="268"/>
      <c r="C373" s="252"/>
      <c r="D373" s="249"/>
      <c r="F373" s="250"/>
      <c r="H373" s="294"/>
    </row>
    <row r="374">
      <c r="A374" s="265"/>
      <c r="B374" s="268"/>
      <c r="C374" s="252"/>
      <c r="D374" s="249">
        <v>108900.0</v>
      </c>
      <c r="F374" s="250"/>
      <c r="G374" s="2" t="s">
        <v>192</v>
      </c>
      <c r="H374" s="294">
        <v>45369.0</v>
      </c>
    </row>
    <row r="375">
      <c r="A375" s="265"/>
      <c r="B375" s="268"/>
      <c r="C375" s="252"/>
      <c r="D375" s="253"/>
      <c r="F375" s="250">
        <v>160000.0</v>
      </c>
      <c r="G375" s="2" t="s">
        <v>193</v>
      </c>
      <c r="H375" s="267" t="s">
        <v>1049</v>
      </c>
    </row>
    <row r="376">
      <c r="A376" s="265"/>
      <c r="B376" s="247"/>
      <c r="C376" s="252"/>
      <c r="D376" s="249"/>
      <c r="F376" s="250"/>
      <c r="G376" s="2" t="s">
        <v>1093</v>
      </c>
      <c r="H376" s="294"/>
    </row>
    <row r="377">
      <c r="A377" s="265"/>
      <c r="B377" s="247"/>
      <c r="C377" s="252"/>
      <c r="D377" s="249">
        <v>75000.0</v>
      </c>
      <c r="F377" s="250"/>
      <c r="G377" s="2" t="s">
        <v>196</v>
      </c>
      <c r="H377" s="294">
        <v>45359.0</v>
      </c>
      <c r="I377" s="318"/>
    </row>
    <row r="378">
      <c r="A378" s="265"/>
      <c r="B378" s="247">
        <v>31425.0</v>
      </c>
      <c r="C378" s="252"/>
      <c r="D378" s="249"/>
      <c r="F378" s="250"/>
      <c r="G378" s="2" t="s">
        <v>197</v>
      </c>
      <c r="H378" s="294"/>
      <c r="I378" s="2" t="s">
        <v>198</v>
      </c>
    </row>
    <row r="379">
      <c r="A379" s="265"/>
      <c r="B379" s="268"/>
      <c r="C379" s="252"/>
      <c r="D379" s="249">
        <v>29635.21</v>
      </c>
      <c r="F379" s="250"/>
      <c r="G379" s="2" t="s">
        <v>199</v>
      </c>
      <c r="H379" s="294">
        <v>45357.0</v>
      </c>
      <c r="I379" s="2" t="s">
        <v>189</v>
      </c>
    </row>
    <row r="380">
      <c r="A380" s="265"/>
      <c r="B380" s="247"/>
      <c r="C380" s="252"/>
      <c r="D380" s="249">
        <v>65784.43</v>
      </c>
      <c r="F380" s="250"/>
      <c r="G380" s="2" t="s">
        <v>200</v>
      </c>
      <c r="H380" s="294">
        <v>45358.0</v>
      </c>
      <c r="I380" s="2" t="s">
        <v>189</v>
      </c>
    </row>
    <row r="381">
      <c r="A381" s="265"/>
      <c r="B381" s="278"/>
      <c r="C381" s="248"/>
      <c r="D381" s="439">
        <v>14284.74</v>
      </c>
      <c r="F381" s="282"/>
      <c r="G381" s="2" t="s">
        <v>201</v>
      </c>
      <c r="H381" s="294">
        <v>45356.0</v>
      </c>
      <c r="I381" s="2" t="s">
        <v>189</v>
      </c>
    </row>
    <row r="382">
      <c r="A382" s="270"/>
      <c r="B382" s="277"/>
      <c r="C382" s="248"/>
      <c r="D382" s="295"/>
      <c r="F382" s="250"/>
      <c r="H382" s="294"/>
    </row>
    <row r="383">
      <c r="A383" s="299"/>
      <c r="B383" s="278"/>
      <c r="C383" s="248"/>
      <c r="D383" s="295"/>
      <c r="F383" s="282"/>
      <c r="H383" s="294"/>
    </row>
    <row r="384">
      <c r="A384" s="299"/>
      <c r="B384" s="278"/>
      <c r="C384" s="248"/>
      <c r="D384" s="431">
        <v>728895.0</v>
      </c>
      <c r="E384" s="417" t="s">
        <v>1094</v>
      </c>
      <c r="F384" s="432"/>
      <c r="G384" s="417" t="s">
        <v>202</v>
      </c>
      <c r="H384" s="301"/>
      <c r="I384" s="2" t="s">
        <v>203</v>
      </c>
    </row>
    <row r="385">
      <c r="A385" s="299"/>
      <c r="B385" s="278"/>
      <c r="C385" s="248"/>
      <c r="D385" s="295"/>
      <c r="F385" s="250"/>
      <c r="G385" s="2" t="s">
        <v>204</v>
      </c>
      <c r="H385" s="301"/>
    </row>
    <row r="386">
      <c r="A386" s="303"/>
      <c r="B386" s="278"/>
      <c r="C386" s="252"/>
      <c r="D386" s="249"/>
      <c r="F386" s="250"/>
      <c r="G386" s="2" t="s">
        <v>205</v>
      </c>
      <c r="H386" s="301"/>
    </row>
    <row r="387">
      <c r="A387" s="303"/>
      <c r="B387" s="268"/>
      <c r="C387" s="252"/>
      <c r="D387" s="249"/>
      <c r="F387" s="250"/>
      <c r="G387" s="2" t="s">
        <v>735</v>
      </c>
      <c r="H387" s="301"/>
    </row>
    <row r="388">
      <c r="A388" s="303"/>
      <c r="B388" s="247"/>
      <c r="C388" s="252"/>
      <c r="D388" s="249"/>
      <c r="F388" s="250"/>
      <c r="G388" s="2" t="s">
        <v>206</v>
      </c>
      <c r="H388" s="294"/>
      <c r="I388" s="2" t="s">
        <v>203</v>
      </c>
    </row>
    <row r="389">
      <c r="A389" s="303"/>
      <c r="B389" s="268"/>
      <c r="C389" s="252"/>
      <c r="D389" s="300">
        <v>142499.15</v>
      </c>
      <c r="F389" s="332"/>
      <c r="G389" s="2" t="s">
        <v>209</v>
      </c>
      <c r="H389" s="294"/>
      <c r="I389" s="2" t="s">
        <v>666</v>
      </c>
    </row>
    <row r="390">
      <c r="A390" s="303"/>
      <c r="B390" s="247"/>
      <c r="C390" s="252"/>
      <c r="D390" s="249">
        <v>356000.0</v>
      </c>
      <c r="F390" s="250"/>
      <c r="G390" s="2" t="s">
        <v>1128</v>
      </c>
      <c r="H390" s="294">
        <v>45376.0</v>
      </c>
    </row>
    <row r="391">
      <c r="A391" s="303"/>
      <c r="B391" s="268"/>
      <c r="C391" s="252"/>
      <c r="D391" s="249">
        <v>1260000.0</v>
      </c>
      <c r="F391" s="250"/>
      <c r="G391" s="2" t="s">
        <v>1129</v>
      </c>
      <c r="H391" s="294">
        <v>45369.0</v>
      </c>
    </row>
    <row r="392">
      <c r="A392" s="303"/>
      <c r="B392" s="268"/>
      <c r="C392" s="252"/>
      <c r="D392" s="249"/>
      <c r="F392" s="250"/>
      <c r="H392" s="294"/>
    </row>
    <row r="393">
      <c r="A393" s="303"/>
      <c r="B393" s="247">
        <v>23200.0</v>
      </c>
      <c r="C393" s="252"/>
      <c r="D393" s="331"/>
      <c r="F393" s="266"/>
      <c r="G393" s="2" t="s">
        <v>667</v>
      </c>
      <c r="H393" s="251"/>
    </row>
    <row r="394">
      <c r="A394" s="304"/>
      <c r="B394" s="268"/>
      <c r="C394" s="252"/>
      <c r="D394" s="249">
        <v>74000.0</v>
      </c>
      <c r="F394" s="332"/>
      <c r="G394" s="2" t="s">
        <v>1095</v>
      </c>
      <c r="H394" s="294"/>
    </row>
    <row r="395">
      <c r="A395" s="305"/>
      <c r="B395" s="406">
        <f>SUM(B370:B394)</f>
        <v>54625</v>
      </c>
      <c r="C395" s="272"/>
      <c r="D395" s="392">
        <f>SUM(D370:D394)</f>
        <v>2886155.21</v>
      </c>
      <c r="E395" s="18"/>
      <c r="F395" s="393">
        <f>SUM(F370:F394)</f>
        <v>160000</v>
      </c>
      <c r="G395" s="18"/>
      <c r="H395" s="261"/>
    </row>
    <row r="396">
      <c r="A396" s="265"/>
      <c r="B396" s="306"/>
      <c r="C396" s="240"/>
      <c r="D396" s="241"/>
      <c r="E396" s="242"/>
      <c r="F396" s="243"/>
      <c r="G396" s="244"/>
      <c r="H396" s="307"/>
    </row>
    <row r="397">
      <c r="A397" s="265"/>
      <c r="B397" s="268"/>
      <c r="C397" s="252"/>
      <c r="D397" s="253"/>
      <c r="F397" s="250"/>
      <c r="H397" s="251"/>
    </row>
    <row r="398">
      <c r="A398" s="265"/>
      <c r="B398" s="268"/>
      <c r="C398" s="252"/>
      <c r="D398" s="253"/>
      <c r="F398" s="250"/>
      <c r="H398" s="251"/>
    </row>
    <row r="399">
      <c r="A399" s="265"/>
      <c r="B399" s="268"/>
      <c r="C399" s="252"/>
      <c r="D399" s="253"/>
      <c r="F399" s="250"/>
      <c r="H399" s="251"/>
    </row>
    <row r="400">
      <c r="A400" s="265"/>
      <c r="B400" s="268"/>
      <c r="C400" s="252"/>
      <c r="D400" s="253"/>
      <c r="F400" s="250"/>
      <c r="H400" s="251"/>
    </row>
    <row r="401">
      <c r="A401" s="265"/>
      <c r="B401" s="268"/>
      <c r="C401" s="252"/>
      <c r="D401" s="253"/>
      <c r="F401" s="250"/>
      <c r="H401" s="251"/>
    </row>
    <row r="402">
      <c r="A402" s="265"/>
      <c r="B402" s="268"/>
      <c r="C402" s="252"/>
      <c r="D402" s="253"/>
      <c r="F402" s="250"/>
      <c r="H402" s="251"/>
    </row>
    <row r="403">
      <c r="A403" s="265"/>
      <c r="B403" s="268"/>
      <c r="C403" s="252"/>
      <c r="D403" s="253"/>
      <c r="F403" s="250"/>
      <c r="H403" s="251"/>
    </row>
    <row r="404">
      <c r="A404" s="270"/>
      <c r="B404" s="268"/>
      <c r="C404" s="252"/>
      <c r="D404" s="253"/>
      <c r="F404" s="250"/>
      <c r="H404" s="251"/>
    </row>
    <row r="405">
      <c r="A405" s="305"/>
      <c r="B405" s="271"/>
      <c r="C405" s="272"/>
      <c r="D405" s="273"/>
      <c r="E405" s="18"/>
      <c r="F405" s="274"/>
      <c r="G405" s="18"/>
      <c r="H405" s="261"/>
    </row>
    <row r="406">
      <c r="A406" s="265"/>
      <c r="B406" s="306"/>
      <c r="C406" s="240"/>
      <c r="D406" s="241"/>
      <c r="E406" s="242"/>
      <c r="F406" s="243"/>
      <c r="G406" s="244"/>
      <c r="H406" s="307"/>
    </row>
    <row r="407">
      <c r="A407" s="265"/>
      <c r="B407" s="268"/>
      <c r="C407" s="252"/>
      <c r="D407" s="253"/>
      <c r="F407" s="250"/>
      <c r="H407" s="251"/>
    </row>
    <row r="408">
      <c r="A408" s="265"/>
      <c r="B408" s="268"/>
      <c r="C408" s="252"/>
      <c r="D408" s="253"/>
      <c r="F408" s="250"/>
      <c r="H408" s="251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70"/>
      <c r="B414" s="268"/>
      <c r="C414" s="252"/>
      <c r="D414" s="253"/>
      <c r="F414" s="250"/>
      <c r="H414" s="251"/>
    </row>
    <row r="415">
      <c r="B415" s="271"/>
      <c r="C415" s="272"/>
      <c r="D415" s="273"/>
      <c r="E415" s="18"/>
      <c r="F415" s="274"/>
      <c r="G415" s="18"/>
      <c r="H415" s="261"/>
    </row>
    <row r="416">
      <c r="B416" s="306"/>
      <c r="C416" s="240"/>
      <c r="D416" s="241"/>
      <c r="E416" s="242"/>
      <c r="F416" s="243"/>
      <c r="G416" s="244"/>
      <c r="H416" s="307"/>
    </row>
    <row r="417">
      <c r="B417" s="268"/>
      <c r="C417" s="252"/>
      <c r="D417" s="253"/>
      <c r="F417" s="250"/>
      <c r="H417" s="251"/>
    </row>
    <row r="418">
      <c r="B418" s="268"/>
      <c r="C418" s="252"/>
      <c r="D418" s="253"/>
      <c r="F418" s="250"/>
      <c r="H418" s="251"/>
    </row>
    <row r="419">
      <c r="B419" s="308"/>
      <c r="C419" s="252"/>
      <c r="D419" s="253"/>
      <c r="F419" s="309"/>
      <c r="H419" s="302"/>
    </row>
    <row r="420">
      <c r="B420" s="308"/>
      <c r="C420" s="252"/>
      <c r="D420" s="253"/>
      <c r="F420" s="309"/>
      <c r="H420" s="302"/>
    </row>
    <row r="421">
      <c r="B421" s="308"/>
      <c r="C421" s="252"/>
      <c r="D421" s="253"/>
      <c r="F421" s="309"/>
      <c r="H421" s="302"/>
    </row>
    <row r="422">
      <c r="B422" s="308"/>
      <c r="C422" s="252"/>
      <c r="D422" s="253"/>
      <c r="F422" s="309"/>
      <c r="H422" s="302"/>
    </row>
    <row r="423">
      <c r="B423" s="308"/>
      <c r="C423" s="252"/>
      <c r="D423" s="253"/>
      <c r="F423" s="309"/>
      <c r="H423" s="302"/>
    </row>
    <row r="424">
      <c r="B424" s="308"/>
      <c r="C424" s="252"/>
      <c r="D424" s="253"/>
      <c r="F424" s="309"/>
      <c r="H424" s="302"/>
    </row>
    <row r="425">
      <c r="B425" s="308"/>
      <c r="C425" s="252"/>
      <c r="D425" s="253"/>
      <c r="F425" s="309"/>
      <c r="H425" s="302"/>
    </row>
    <row r="426">
      <c r="B426" s="308"/>
      <c r="C426" s="252"/>
      <c r="D426" s="253"/>
      <c r="F426" s="309"/>
      <c r="H426" s="302"/>
    </row>
    <row r="427">
      <c r="B427" s="308"/>
      <c r="C427" s="252"/>
      <c r="D427" s="253"/>
      <c r="F427" s="309"/>
      <c r="H427" s="302"/>
    </row>
    <row r="428">
      <c r="B428" s="308"/>
      <c r="C428" s="252"/>
      <c r="D428" s="253"/>
      <c r="F428" s="309"/>
      <c r="H428" s="302"/>
    </row>
    <row r="429">
      <c r="B429" s="308"/>
      <c r="C429" s="252"/>
      <c r="D429" s="253"/>
      <c r="F429" s="309"/>
      <c r="H429" s="302"/>
    </row>
    <row r="430">
      <c r="B430" s="308"/>
      <c r="C430" s="252"/>
      <c r="D430" s="253"/>
      <c r="F430" s="309"/>
      <c r="H430" s="302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</sheetData>
  <mergeCells count="29">
    <mergeCell ref="A2:A12"/>
    <mergeCell ref="A13:A26"/>
    <mergeCell ref="A29:A38"/>
    <mergeCell ref="A39:A52"/>
    <mergeCell ref="A53:A64"/>
    <mergeCell ref="A65:A80"/>
    <mergeCell ref="A81:A94"/>
    <mergeCell ref="A95:A112"/>
    <mergeCell ref="A113:A127"/>
    <mergeCell ref="A128:A142"/>
    <mergeCell ref="A143:A152"/>
    <mergeCell ref="A153:A167"/>
    <mergeCell ref="A168:A183"/>
    <mergeCell ref="A184:A198"/>
    <mergeCell ref="A299:A313"/>
    <mergeCell ref="A314:A327"/>
    <mergeCell ref="A328:A345"/>
    <mergeCell ref="A346:A357"/>
    <mergeCell ref="A359:A369"/>
    <mergeCell ref="A370:A382"/>
    <mergeCell ref="A395:A404"/>
    <mergeCell ref="A405:A414"/>
    <mergeCell ref="A199:A210"/>
    <mergeCell ref="A211:A225"/>
    <mergeCell ref="A226:A239"/>
    <mergeCell ref="A240:A254"/>
    <mergeCell ref="A255:A267"/>
    <mergeCell ref="A268:A283"/>
    <mergeCell ref="A284:A2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34.5"/>
    <col customWidth="1" min="8" max="8" width="10.13"/>
  </cols>
  <sheetData>
    <row r="1" ht="27.0" customHeight="1">
      <c r="A1" s="407" t="s">
        <v>46</v>
      </c>
      <c r="B1" s="408" t="s">
        <v>52</v>
      </c>
      <c r="C1" s="409" t="s">
        <v>53</v>
      </c>
      <c r="D1" s="410" t="s">
        <v>54</v>
      </c>
      <c r="E1" s="411"/>
      <c r="F1" s="412" t="s">
        <v>529</v>
      </c>
      <c r="G1" s="411"/>
      <c r="H1" s="413" t="s">
        <v>57</v>
      </c>
    </row>
    <row r="2">
      <c r="A2" s="262" t="s">
        <v>1130</v>
      </c>
      <c r="B2" s="239"/>
      <c r="C2" s="263"/>
      <c r="D2" s="264"/>
      <c r="E2" s="244"/>
      <c r="F2" s="243"/>
      <c r="G2" s="402" t="s">
        <v>1131</v>
      </c>
      <c r="H2" s="245">
        <v>85.0</v>
      </c>
    </row>
    <row r="3">
      <c r="A3" s="265"/>
      <c r="B3" s="247"/>
      <c r="C3" s="248"/>
      <c r="D3" s="288"/>
      <c r="F3" s="250"/>
      <c r="H3" s="267"/>
    </row>
    <row r="4">
      <c r="A4" s="265"/>
      <c r="B4" s="404"/>
      <c r="C4" s="405"/>
      <c r="D4" s="399"/>
      <c r="E4" s="398"/>
      <c r="F4" s="284"/>
      <c r="G4" s="398"/>
      <c r="H4" s="267"/>
    </row>
    <row r="5">
      <c r="A5" s="265"/>
      <c r="B5" s="247"/>
      <c r="C5" s="252"/>
      <c r="D5" s="249"/>
      <c r="F5" s="250"/>
      <c r="H5" s="251"/>
    </row>
    <row r="6">
      <c r="A6" s="265"/>
      <c r="B6" s="268"/>
      <c r="C6" s="252"/>
      <c r="D6" s="399"/>
      <c r="E6" s="398"/>
      <c r="F6" s="284"/>
      <c r="G6" s="398"/>
      <c r="H6" s="294"/>
    </row>
    <row r="7">
      <c r="A7" s="265"/>
      <c r="B7" s="247"/>
      <c r="C7" s="252"/>
      <c r="D7" s="249"/>
      <c r="F7" s="250"/>
      <c r="H7" s="251"/>
    </row>
    <row r="8">
      <c r="A8" s="265"/>
      <c r="B8" s="247"/>
      <c r="C8" s="252"/>
      <c r="D8" s="249"/>
      <c r="F8" s="250"/>
      <c r="H8" s="251"/>
    </row>
    <row r="9">
      <c r="A9" s="265"/>
      <c r="B9" s="268"/>
      <c r="C9" s="252"/>
      <c r="D9" s="249"/>
      <c r="F9" s="250"/>
      <c r="H9" s="267"/>
    </row>
    <row r="10">
      <c r="A10" s="265"/>
      <c r="B10" s="268"/>
      <c r="C10" s="252"/>
      <c r="D10" s="249"/>
      <c r="F10" s="250"/>
      <c r="H10" s="251"/>
    </row>
    <row r="11">
      <c r="A11" s="265"/>
      <c r="B11" s="247"/>
      <c r="C11" s="252"/>
      <c r="D11" s="249"/>
      <c r="F11" s="250"/>
      <c r="H11" s="267"/>
    </row>
    <row r="12">
      <c r="A12" s="270"/>
      <c r="B12" s="271"/>
      <c r="C12" s="272"/>
      <c r="D12" s="295"/>
      <c r="E12" s="18"/>
      <c r="F12" s="274"/>
      <c r="G12" s="293"/>
      <c r="H12" s="261"/>
    </row>
    <row r="13">
      <c r="A13" s="262" t="s">
        <v>997</v>
      </c>
      <c r="B13" s="239"/>
      <c r="C13" s="263"/>
      <c r="D13" s="264"/>
      <c r="E13" s="244"/>
      <c r="F13" s="243">
        <v>6646.5</v>
      </c>
      <c r="G13" s="276" t="s">
        <v>1132</v>
      </c>
      <c r="H13" s="245">
        <v>60.0</v>
      </c>
    </row>
    <row r="14">
      <c r="A14" s="265"/>
      <c r="B14" s="281"/>
      <c r="C14" s="248"/>
      <c r="D14" s="249"/>
      <c r="F14" s="250">
        <v>4506.0</v>
      </c>
      <c r="G14" s="2" t="s">
        <v>97</v>
      </c>
      <c r="H14" s="267"/>
    </row>
    <row r="15">
      <c r="A15" s="265"/>
      <c r="B15" s="247"/>
      <c r="C15" s="248"/>
      <c r="D15" s="249"/>
      <c r="F15" s="250">
        <v>7000.0</v>
      </c>
      <c r="G15" s="254" t="s">
        <v>85</v>
      </c>
      <c r="H15" s="251"/>
    </row>
    <row r="16">
      <c r="A16" s="265"/>
      <c r="B16" s="247"/>
      <c r="C16" s="248">
        <v>108926.17</v>
      </c>
      <c r="D16" s="249"/>
      <c r="F16" s="250"/>
      <c r="G16" s="254" t="s">
        <v>71</v>
      </c>
      <c r="H16" s="251"/>
    </row>
    <row r="17">
      <c r="A17" s="265"/>
      <c r="B17" s="247"/>
      <c r="C17" s="252"/>
      <c r="D17" s="249"/>
      <c r="F17" s="250"/>
      <c r="G17" s="254"/>
      <c r="H17" s="251"/>
    </row>
    <row r="18">
      <c r="A18" s="265"/>
      <c r="B18" s="247"/>
      <c r="C18" s="248"/>
      <c r="D18" s="249"/>
      <c r="F18" s="250"/>
      <c r="G18" s="254"/>
      <c r="H18" s="267"/>
    </row>
    <row r="19">
      <c r="A19" s="265"/>
      <c r="B19" s="247"/>
      <c r="C19" s="248"/>
      <c r="D19" s="249"/>
      <c r="F19" s="250"/>
      <c r="G19" s="254"/>
      <c r="H19" s="251"/>
    </row>
    <row r="20">
      <c r="A20" s="265"/>
      <c r="B20" s="247"/>
      <c r="C20" s="252"/>
      <c r="D20" s="249"/>
      <c r="F20" s="250"/>
      <c r="G20" s="254"/>
      <c r="H20" s="251"/>
    </row>
    <row r="21">
      <c r="A21" s="265"/>
      <c r="B21" s="247"/>
      <c r="C21" s="248"/>
      <c r="D21" s="253"/>
      <c r="F21" s="250"/>
      <c r="G21" s="254"/>
      <c r="H21" s="251"/>
    </row>
    <row r="22">
      <c r="A22" s="265"/>
      <c r="B22" s="277"/>
      <c r="C22" s="252"/>
      <c r="D22" s="253"/>
      <c r="F22" s="250"/>
      <c r="G22" s="254"/>
      <c r="H22" s="251"/>
    </row>
    <row r="23">
      <c r="A23" s="265"/>
      <c r="B23" s="277"/>
      <c r="C23" s="252"/>
      <c r="D23" s="253"/>
      <c r="F23" s="250"/>
      <c r="G23" s="254"/>
      <c r="H23" s="251"/>
    </row>
    <row r="24">
      <c r="A24" s="265"/>
      <c r="B24" s="277"/>
      <c r="C24" s="252"/>
      <c r="D24" s="253"/>
      <c r="F24" s="250"/>
      <c r="G24" s="254"/>
      <c r="H24" s="251"/>
    </row>
    <row r="25">
      <c r="A25" s="265"/>
      <c r="B25" s="277"/>
      <c r="C25" s="252"/>
      <c r="D25" s="253"/>
      <c r="F25" s="250"/>
      <c r="G25" s="254"/>
      <c r="H25" s="251"/>
    </row>
    <row r="26">
      <c r="A26" s="270"/>
      <c r="B26" s="279"/>
      <c r="C26" s="272"/>
      <c r="D26" s="273"/>
      <c r="E26" s="18"/>
      <c r="F26" s="259"/>
      <c r="G26" s="260"/>
      <c r="H26" s="261"/>
    </row>
    <row r="27">
      <c r="A27" s="262"/>
      <c r="B27" s="440">
        <v>144300.0</v>
      </c>
      <c r="C27" s="405"/>
      <c r="D27" s="399"/>
      <c r="E27" s="398" t="s">
        <v>328</v>
      </c>
      <c r="F27" s="284"/>
      <c r="G27" s="285" t="s">
        <v>662</v>
      </c>
      <c r="H27" s="267">
        <v>83.0</v>
      </c>
    </row>
    <row r="28">
      <c r="A28" s="280"/>
      <c r="B28" s="277"/>
      <c r="C28" s="248">
        <v>79279.62</v>
      </c>
      <c r="D28" s="249"/>
      <c r="F28" s="250"/>
      <c r="G28" s="2" t="s">
        <v>89</v>
      </c>
      <c r="H28" s="267"/>
    </row>
    <row r="29">
      <c r="A29" s="280" t="s">
        <v>998</v>
      </c>
      <c r="B29" s="247"/>
      <c r="C29" s="248"/>
      <c r="D29" s="300"/>
      <c r="F29" s="250"/>
      <c r="G29" s="254"/>
      <c r="H29" s="251"/>
    </row>
    <row r="30">
      <c r="A30" s="265"/>
      <c r="B30" s="247"/>
      <c r="C30" s="248"/>
      <c r="D30" s="249"/>
      <c r="F30" s="250"/>
      <c r="G30" s="254"/>
      <c r="H30" s="251"/>
    </row>
    <row r="31">
      <c r="A31" s="265"/>
      <c r="B31" s="247"/>
      <c r="C31" s="248"/>
      <c r="D31" s="249"/>
      <c r="F31" s="250"/>
      <c r="G31" s="254"/>
      <c r="H31" s="251"/>
    </row>
    <row r="32">
      <c r="A32" s="265"/>
      <c r="B32" s="404"/>
      <c r="C32" s="405"/>
      <c r="D32" s="399"/>
      <c r="E32" s="398"/>
      <c r="F32" s="284"/>
      <c r="G32" s="285"/>
      <c r="H32" s="251"/>
    </row>
    <row r="33">
      <c r="A33" s="265"/>
      <c r="B33" s="247"/>
      <c r="C33" s="248"/>
      <c r="D33" s="249"/>
      <c r="F33" s="250"/>
      <c r="G33" s="254"/>
      <c r="H33" s="267"/>
    </row>
    <row r="34">
      <c r="A34" s="265"/>
      <c r="B34" s="247"/>
      <c r="C34" s="252"/>
      <c r="D34" s="253"/>
      <c r="F34" s="250"/>
      <c r="G34" s="254"/>
      <c r="H34" s="251"/>
    </row>
    <row r="35">
      <c r="A35" s="265"/>
      <c r="B35" s="247"/>
      <c r="C35" s="248"/>
      <c r="D35" s="253"/>
      <c r="F35" s="250"/>
      <c r="G35" s="254"/>
      <c r="H35" s="251"/>
    </row>
    <row r="36">
      <c r="A36" s="265"/>
      <c r="B36" s="268"/>
      <c r="C36" s="248"/>
      <c r="D36" s="253"/>
      <c r="F36" s="250"/>
      <c r="G36" s="254"/>
      <c r="H36" s="251"/>
    </row>
    <row r="37">
      <c r="A37" s="265"/>
      <c r="B37" s="268"/>
      <c r="C37" s="252"/>
      <c r="D37" s="253"/>
      <c r="F37" s="250"/>
      <c r="G37" s="254"/>
      <c r="H37" s="251"/>
    </row>
    <row r="38">
      <c r="A38" s="270"/>
      <c r="B38" s="271"/>
      <c r="C38" s="272"/>
      <c r="D38" s="273"/>
      <c r="E38" s="18"/>
      <c r="F38" s="274"/>
      <c r="G38" s="260"/>
      <c r="H38" s="261"/>
    </row>
    <row r="39">
      <c r="A39" s="262" t="s">
        <v>1002</v>
      </c>
      <c r="B39" s="239">
        <v>69000.0</v>
      </c>
      <c r="C39" s="263"/>
      <c r="D39" s="264"/>
      <c r="E39" s="244" t="s">
        <v>328</v>
      </c>
      <c r="F39" s="243"/>
      <c r="G39" s="276" t="s">
        <v>68</v>
      </c>
      <c r="H39" s="245">
        <v>180.0</v>
      </c>
    </row>
    <row r="40">
      <c r="A40" s="265"/>
      <c r="B40" s="247"/>
      <c r="C40" s="248">
        <v>129838.41</v>
      </c>
      <c r="D40" s="249"/>
      <c r="F40" s="250"/>
      <c r="G40" s="254" t="s">
        <v>84</v>
      </c>
      <c r="H40" s="267"/>
    </row>
    <row r="41">
      <c r="A41" s="265"/>
      <c r="B41" s="339">
        <v>37400.0</v>
      </c>
      <c r="C41" s="248"/>
      <c r="D41" s="249"/>
      <c r="E41" s="2" t="s">
        <v>328</v>
      </c>
      <c r="F41" s="250"/>
      <c r="G41" s="254" t="s">
        <v>76</v>
      </c>
      <c r="H41" s="251"/>
    </row>
    <row r="42">
      <c r="A42" s="265"/>
      <c r="B42" s="339"/>
      <c r="C42" s="248"/>
      <c r="D42" s="249"/>
      <c r="F42" s="250"/>
      <c r="G42" s="254"/>
      <c r="H42" s="267"/>
    </row>
    <row r="43">
      <c r="A43" s="265"/>
      <c r="B43" s="247"/>
      <c r="C43" s="405">
        <v>133647.53</v>
      </c>
      <c r="D43" s="399"/>
      <c r="E43" s="398" t="s">
        <v>328</v>
      </c>
      <c r="F43" s="284"/>
      <c r="G43" s="285" t="s">
        <v>114</v>
      </c>
      <c r="H43" s="251"/>
    </row>
    <row r="44">
      <c r="A44" s="265"/>
      <c r="B44" s="247"/>
      <c r="C44" s="252"/>
      <c r="D44" s="249"/>
      <c r="F44" s="250"/>
      <c r="G44" s="254"/>
      <c r="H44" s="251"/>
    </row>
    <row r="45">
      <c r="A45" s="265"/>
      <c r="B45" s="247"/>
      <c r="C45" s="252"/>
      <c r="D45" s="249"/>
      <c r="F45" s="250"/>
      <c r="G45" s="254"/>
      <c r="H45" s="251"/>
    </row>
    <row r="46">
      <c r="A46" s="265"/>
      <c r="B46" s="247"/>
      <c r="C46" s="252"/>
      <c r="D46" s="253"/>
      <c r="F46" s="250"/>
      <c r="G46" s="254"/>
      <c r="H46" s="251"/>
    </row>
    <row r="47">
      <c r="A47" s="265"/>
      <c r="B47" s="247"/>
      <c r="C47" s="248"/>
      <c r="D47" s="253"/>
      <c r="F47" s="250"/>
      <c r="G47" s="254"/>
      <c r="H47" s="251"/>
    </row>
    <row r="48">
      <c r="A48" s="265"/>
      <c r="B48" s="247"/>
      <c r="C48" s="248"/>
      <c r="D48" s="249"/>
      <c r="F48" s="250"/>
      <c r="H48" s="251"/>
    </row>
    <row r="49">
      <c r="A49" s="265"/>
      <c r="B49" s="247"/>
      <c r="C49" s="248"/>
      <c r="D49" s="249"/>
      <c r="F49" s="250"/>
      <c r="G49" s="254"/>
      <c r="H49" s="251"/>
    </row>
    <row r="50">
      <c r="A50" s="265"/>
      <c r="B50" s="268"/>
      <c r="C50" s="248"/>
      <c r="D50" s="249"/>
      <c r="F50" s="250"/>
      <c r="G50" s="254"/>
      <c r="H50" s="251"/>
    </row>
    <row r="51">
      <c r="A51" s="265"/>
      <c r="B51" s="278"/>
      <c r="C51" s="252"/>
      <c r="D51" s="253"/>
      <c r="F51" s="250"/>
      <c r="G51" s="269"/>
      <c r="H51" s="251"/>
    </row>
    <row r="52">
      <c r="A52" s="270"/>
      <c r="B52" s="271"/>
      <c r="C52" s="272"/>
      <c r="D52" s="273"/>
      <c r="E52" s="18"/>
      <c r="F52" s="274"/>
      <c r="G52" s="275"/>
      <c r="H52" s="261"/>
    </row>
    <row r="53">
      <c r="A53" s="262" t="s">
        <v>1004</v>
      </c>
      <c r="B53" s="425">
        <v>51800.0</v>
      </c>
      <c r="C53" s="426"/>
      <c r="D53" s="401"/>
      <c r="E53" s="402" t="s">
        <v>328</v>
      </c>
      <c r="F53" s="403"/>
      <c r="G53" s="436" t="s">
        <v>75</v>
      </c>
      <c r="H53" s="245">
        <v>190.0</v>
      </c>
    </row>
    <row r="54">
      <c r="A54" s="265"/>
      <c r="B54" s="404">
        <v>35839.8</v>
      </c>
      <c r="C54" s="405"/>
      <c r="D54" s="399"/>
      <c r="E54" s="398"/>
      <c r="F54" s="284"/>
      <c r="G54" s="285" t="s">
        <v>291</v>
      </c>
      <c r="H54" s="267"/>
    </row>
    <row r="55">
      <c r="A55" s="265"/>
      <c r="B55" s="433">
        <v>72614.64</v>
      </c>
      <c r="C55" s="424"/>
      <c r="D55" s="399"/>
      <c r="E55" s="398"/>
      <c r="F55" s="284"/>
      <c r="G55" s="398" t="s">
        <v>1133</v>
      </c>
      <c r="H55" s="310"/>
    </row>
    <row r="56">
      <c r="A56" s="265"/>
      <c r="B56" s="247"/>
      <c r="C56" s="248"/>
      <c r="D56" s="249"/>
      <c r="F56" s="250">
        <v>15000.0</v>
      </c>
      <c r="G56" s="254" t="s">
        <v>605</v>
      </c>
      <c r="H56" s="251"/>
    </row>
    <row r="57">
      <c r="A57" s="265"/>
      <c r="B57" s="247"/>
      <c r="C57" s="248"/>
      <c r="D57" s="249">
        <v>50000.0</v>
      </c>
      <c r="F57" s="250"/>
      <c r="G57" s="254" t="s">
        <v>1134</v>
      </c>
      <c r="H57" s="251"/>
    </row>
    <row r="58">
      <c r="A58" s="265"/>
      <c r="B58" s="247"/>
      <c r="C58" s="248"/>
      <c r="D58" s="249">
        <v>13642.82</v>
      </c>
      <c r="F58" s="250"/>
      <c r="G58" s="254" t="s">
        <v>1135</v>
      </c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53"/>
      <c r="F60" s="250"/>
      <c r="G60" s="254"/>
      <c r="H60" s="251"/>
    </row>
    <row r="61">
      <c r="A61" s="265"/>
      <c r="B61" s="247"/>
      <c r="C61" s="252"/>
      <c r="D61" s="249"/>
      <c r="F61" s="250"/>
      <c r="G61" s="254"/>
      <c r="H61" s="251"/>
    </row>
    <row r="62">
      <c r="A62" s="265"/>
      <c r="B62" s="277"/>
      <c r="C62" s="252"/>
      <c r="D62" s="253"/>
      <c r="F62" s="250"/>
      <c r="G62" s="254"/>
      <c r="H62" s="251"/>
    </row>
    <row r="63">
      <c r="A63" s="265"/>
      <c r="B63" s="277"/>
      <c r="C63" s="252"/>
      <c r="D63" s="253"/>
      <c r="F63" s="250"/>
      <c r="G63" s="254"/>
      <c r="H63" s="251"/>
    </row>
    <row r="64">
      <c r="A64" s="270"/>
      <c r="B64" s="271"/>
      <c r="C64" s="272"/>
      <c r="D64" s="273"/>
      <c r="E64" s="18"/>
      <c r="F64" s="259"/>
      <c r="G64" s="275"/>
      <c r="H64" s="261"/>
    </row>
    <row r="65">
      <c r="A65" s="262" t="s">
        <v>1005</v>
      </c>
      <c r="B65" s="239"/>
      <c r="C65" s="263"/>
      <c r="D65" s="441">
        <f>75676.1+20571.79</f>
        <v>96247.89</v>
      </c>
      <c r="E65" s="402" t="s">
        <v>328</v>
      </c>
      <c r="F65" s="403"/>
      <c r="G65" s="436" t="s">
        <v>74</v>
      </c>
      <c r="H65" s="245">
        <v>130.0</v>
      </c>
    </row>
    <row r="66">
      <c r="A66" s="265"/>
      <c r="B66" s="247"/>
      <c r="C66" s="248"/>
      <c r="D66" s="399">
        <v>10501.07</v>
      </c>
      <c r="E66" s="398" t="s">
        <v>328</v>
      </c>
      <c r="F66" s="284"/>
      <c r="G66" s="285" t="s">
        <v>73</v>
      </c>
      <c r="H66" s="267"/>
    </row>
    <row r="67">
      <c r="A67" s="265"/>
      <c r="B67" s="404"/>
      <c r="C67" s="405"/>
      <c r="D67" s="399"/>
      <c r="E67" s="398"/>
      <c r="F67" s="284">
        <v>5800.0</v>
      </c>
      <c r="G67" s="285" t="s">
        <v>1136</v>
      </c>
      <c r="H67" s="267"/>
    </row>
    <row r="68">
      <c r="A68" s="265"/>
      <c r="B68" s="247"/>
      <c r="C68" s="248"/>
      <c r="D68" s="249"/>
      <c r="F68" s="250"/>
      <c r="G68" s="254"/>
      <c r="H68" s="251"/>
    </row>
    <row r="69">
      <c r="A69" s="265"/>
      <c r="B69" s="85"/>
      <c r="C69" s="248"/>
      <c r="D69" s="249"/>
      <c r="F69" s="250"/>
      <c r="G69" s="254"/>
      <c r="H69" s="251"/>
    </row>
    <row r="70">
      <c r="A70" s="265"/>
      <c r="B70" s="281"/>
      <c r="C70" s="252"/>
      <c r="D70" s="249"/>
      <c r="F70" s="266"/>
      <c r="G70" s="254"/>
      <c r="H70" s="251"/>
    </row>
    <row r="71">
      <c r="A71" s="265"/>
      <c r="B71" s="281"/>
      <c r="C71" s="248"/>
      <c r="D71" s="249"/>
      <c r="F71" s="250"/>
      <c r="G71" s="254"/>
      <c r="H71" s="251"/>
    </row>
    <row r="72">
      <c r="A72" s="265"/>
      <c r="B72" s="419"/>
      <c r="C72" s="434"/>
      <c r="D72" s="414"/>
      <c r="E72" s="417"/>
      <c r="F72" s="418"/>
      <c r="G72" s="420"/>
      <c r="H72" s="251"/>
    </row>
    <row r="73">
      <c r="A73" s="265"/>
      <c r="B73" s="247"/>
      <c r="C73" s="252"/>
      <c r="D73" s="253"/>
      <c r="F73" s="250"/>
      <c r="G73" s="254"/>
      <c r="H73" s="251"/>
    </row>
    <row r="74">
      <c r="A74" s="265"/>
      <c r="B74" s="247"/>
      <c r="C74" s="252"/>
      <c r="D74" s="249"/>
      <c r="F74" s="250"/>
      <c r="G74" s="254"/>
      <c r="H74" s="251"/>
    </row>
    <row r="75">
      <c r="A75" s="265"/>
      <c r="B75" s="268"/>
      <c r="C75" s="252"/>
      <c r="D75" s="253"/>
      <c r="F75" s="250"/>
      <c r="G75" s="269"/>
      <c r="H75" s="251"/>
    </row>
    <row r="76">
      <c r="A76" s="265"/>
      <c r="B76" s="247"/>
      <c r="C76" s="252"/>
      <c r="D76" s="253"/>
      <c r="F76" s="250"/>
      <c r="G76" s="269"/>
      <c r="H76" s="251"/>
    </row>
    <row r="77">
      <c r="A77" s="265"/>
      <c r="B77" s="277"/>
      <c r="C77" s="252"/>
      <c r="D77" s="253"/>
      <c r="F77" s="282"/>
      <c r="G77" s="269"/>
      <c r="H77" s="251"/>
    </row>
    <row r="78">
      <c r="A78" s="265"/>
      <c r="B78" s="278"/>
      <c r="C78" s="248"/>
      <c r="D78" s="253"/>
      <c r="F78" s="282"/>
      <c r="G78" s="269"/>
      <c r="H78" s="251"/>
    </row>
    <row r="79">
      <c r="A79" s="265"/>
      <c r="B79" s="278"/>
      <c r="C79" s="252"/>
      <c r="D79" s="253"/>
      <c r="F79" s="250"/>
      <c r="G79" s="269"/>
      <c r="H79" s="251"/>
    </row>
    <row r="80">
      <c r="A80" s="270"/>
      <c r="B80" s="271"/>
      <c r="C80" s="272"/>
      <c r="D80" s="273"/>
      <c r="E80" s="18"/>
      <c r="F80" s="259"/>
      <c r="G80" s="260"/>
      <c r="H80" s="261"/>
    </row>
    <row r="81">
      <c r="A81" s="262" t="s">
        <v>1007</v>
      </c>
      <c r="B81" s="425">
        <v>151400.0</v>
      </c>
      <c r="C81" s="426"/>
      <c r="D81" s="401"/>
      <c r="E81" s="402" t="s">
        <v>276</v>
      </c>
      <c r="F81" s="284"/>
      <c r="G81" s="436" t="s">
        <v>662</v>
      </c>
      <c r="H81" s="245">
        <v>200.0</v>
      </c>
    </row>
    <row r="82">
      <c r="A82" s="265"/>
      <c r="B82" s="247"/>
      <c r="C82" s="248"/>
      <c r="D82" s="249"/>
      <c r="F82" s="250">
        <v>13500.0</v>
      </c>
      <c r="G82" s="398" t="s">
        <v>820</v>
      </c>
      <c r="H82" s="267"/>
    </row>
    <row r="83">
      <c r="A83" s="265"/>
      <c r="B83" s="247"/>
      <c r="C83" s="248"/>
      <c r="D83" s="249"/>
      <c r="F83" s="250">
        <v>4116.42</v>
      </c>
      <c r="G83" s="254" t="s">
        <v>255</v>
      </c>
      <c r="H83" s="267"/>
    </row>
    <row r="84">
      <c r="A84" s="265"/>
      <c r="B84" s="404">
        <v>35586.93</v>
      </c>
      <c r="C84" s="405"/>
      <c r="D84" s="399"/>
      <c r="E84" s="398"/>
      <c r="F84" s="284"/>
      <c r="G84" s="285" t="s">
        <v>82</v>
      </c>
      <c r="H84" s="251"/>
      <c r="I84" s="340"/>
      <c r="J84" s="340"/>
      <c r="K84" s="340"/>
      <c r="L84" s="2" t="s">
        <v>623</v>
      </c>
    </row>
    <row r="85">
      <c r="A85" s="265"/>
      <c r="B85" s="330"/>
      <c r="C85" s="338">
        <v>123141.32</v>
      </c>
      <c r="D85" s="337"/>
      <c r="E85" s="336" t="s">
        <v>328</v>
      </c>
      <c r="F85" s="335"/>
      <c r="G85" s="435" t="s">
        <v>89</v>
      </c>
      <c r="H85" s="251"/>
      <c r="I85" s="341"/>
      <c r="J85" s="340"/>
      <c r="K85" s="340"/>
    </row>
    <row r="86">
      <c r="A86" s="265"/>
      <c r="B86" s="247">
        <v>24500.0</v>
      </c>
      <c r="C86" s="252"/>
      <c r="D86" s="249"/>
      <c r="F86" s="250"/>
      <c r="G86" s="254" t="s">
        <v>1137</v>
      </c>
      <c r="H86" s="251"/>
      <c r="I86" s="340"/>
      <c r="J86" s="340"/>
      <c r="K86" s="341"/>
    </row>
    <row r="87">
      <c r="A87" s="265"/>
      <c r="B87" s="247">
        <v>12141.0</v>
      </c>
      <c r="C87" s="252"/>
      <c r="D87" s="249"/>
      <c r="F87" s="250"/>
      <c r="G87" s="254" t="s">
        <v>1138</v>
      </c>
      <c r="H87" s="251"/>
      <c r="I87" s="340"/>
      <c r="J87" s="341"/>
      <c r="K87" s="341"/>
    </row>
    <row r="88">
      <c r="A88" s="265"/>
      <c r="B88" s="247">
        <v>50950.0</v>
      </c>
      <c r="C88" s="252"/>
      <c r="D88" s="253"/>
      <c r="F88" s="250"/>
      <c r="G88" s="254" t="s">
        <v>1139</v>
      </c>
      <c r="H88" s="251"/>
    </row>
    <row r="89">
      <c r="A89" s="265"/>
      <c r="B89" s="247"/>
      <c r="C89" s="248"/>
      <c r="D89" s="253"/>
      <c r="F89" s="250"/>
      <c r="G89" s="254"/>
      <c r="H89" s="251"/>
    </row>
    <row r="90">
      <c r="A90" s="265"/>
      <c r="B90" s="247"/>
      <c r="C90" s="248"/>
      <c r="D90" s="253"/>
      <c r="F90" s="250"/>
      <c r="G90" s="254"/>
      <c r="H90" s="251"/>
    </row>
    <row r="91">
      <c r="A91" s="265"/>
      <c r="B91" s="277"/>
      <c r="C91" s="248"/>
      <c r="D91" s="253"/>
      <c r="F91" s="282"/>
      <c r="G91" s="254"/>
      <c r="H91" s="251"/>
    </row>
    <row r="92">
      <c r="A92" s="265"/>
      <c r="B92" s="277"/>
      <c r="C92" s="252"/>
      <c r="D92" s="253"/>
      <c r="F92" s="250"/>
      <c r="G92" s="254"/>
      <c r="H92" s="251"/>
    </row>
    <row r="93">
      <c r="A93" s="265"/>
      <c r="B93" s="277"/>
      <c r="C93" s="252"/>
      <c r="D93" s="253"/>
      <c r="F93" s="282"/>
      <c r="G93" s="254"/>
      <c r="H93" s="251"/>
    </row>
    <row r="94">
      <c r="A94" s="270"/>
      <c r="B94" s="271"/>
      <c r="C94" s="272"/>
      <c r="D94" s="273"/>
      <c r="E94" s="18"/>
      <c r="F94" s="274"/>
      <c r="G94" s="275"/>
      <c r="H94" s="261"/>
    </row>
    <row r="95">
      <c r="A95" s="262" t="s">
        <v>1010</v>
      </c>
      <c r="B95" s="239"/>
      <c r="C95" s="263"/>
      <c r="D95" s="264"/>
      <c r="E95" s="244"/>
      <c r="F95" s="243">
        <v>891.0</v>
      </c>
      <c r="G95" s="276" t="s">
        <v>1140</v>
      </c>
      <c r="H95" s="245">
        <v>230.0</v>
      </c>
    </row>
    <row r="96">
      <c r="A96" s="265"/>
      <c r="B96" s="404"/>
      <c r="C96" s="405"/>
      <c r="D96" s="399">
        <f>41942+68820.15</f>
        <v>110762.15</v>
      </c>
      <c r="E96" s="398" t="s">
        <v>328</v>
      </c>
      <c r="F96" s="284"/>
      <c r="G96" s="285" t="s">
        <v>74</v>
      </c>
      <c r="H96" s="267"/>
    </row>
    <row r="97">
      <c r="A97" s="265"/>
      <c r="B97" s="247"/>
      <c r="C97" s="248"/>
      <c r="D97" s="399">
        <v>80770.59</v>
      </c>
      <c r="E97" s="398" t="s">
        <v>328</v>
      </c>
      <c r="F97" s="284"/>
      <c r="G97" s="195" t="s">
        <v>73</v>
      </c>
      <c r="H97" s="267"/>
    </row>
    <row r="98">
      <c r="A98" s="265"/>
      <c r="B98" s="247">
        <v>69429.39</v>
      </c>
      <c r="C98" s="248"/>
      <c r="D98" s="249"/>
      <c r="E98" s="2" t="s">
        <v>328</v>
      </c>
      <c r="F98" s="250"/>
      <c r="G98" s="254" t="s">
        <v>1141</v>
      </c>
      <c r="H98" s="251"/>
    </row>
    <row r="99">
      <c r="A99" s="265"/>
      <c r="B99" s="247"/>
      <c r="C99" s="248"/>
      <c r="D99" s="249"/>
      <c r="F99" s="250">
        <v>19000.0</v>
      </c>
      <c r="G99" s="254" t="s">
        <v>1142</v>
      </c>
      <c r="H99" s="251"/>
    </row>
    <row r="100">
      <c r="A100" s="265"/>
      <c r="B100" s="247"/>
      <c r="C100" s="248"/>
      <c r="D100" s="249"/>
      <c r="F100" s="250"/>
      <c r="G100" s="254"/>
      <c r="H100" s="251"/>
    </row>
    <row r="101">
      <c r="A101" s="265"/>
      <c r="B101" s="247"/>
      <c r="C101" s="252"/>
      <c r="D101" s="414"/>
      <c r="E101" s="398"/>
      <c r="F101" s="284"/>
      <c r="G101" s="285"/>
      <c r="H101" s="251"/>
    </row>
    <row r="102">
      <c r="A102" s="265"/>
      <c r="B102" s="247"/>
      <c r="C102" s="248"/>
      <c r="D102" s="249"/>
      <c r="F102" s="250"/>
      <c r="G102" s="254"/>
      <c r="H102" s="251"/>
    </row>
    <row r="103">
      <c r="A103" s="265"/>
      <c r="B103" s="247"/>
      <c r="C103" s="252"/>
      <c r="D103" s="249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68"/>
      <c r="C105" s="252"/>
      <c r="D105" s="253"/>
      <c r="F105" s="250"/>
      <c r="G105" s="254"/>
      <c r="H105" s="251"/>
    </row>
    <row r="106">
      <c r="A106" s="265"/>
      <c r="B106" s="268"/>
      <c r="C106" s="252"/>
      <c r="D106" s="253"/>
      <c r="F106" s="250"/>
      <c r="G106" s="254"/>
      <c r="H106" s="251"/>
    </row>
    <row r="107">
      <c r="A107" s="265"/>
      <c r="B107" s="268"/>
      <c r="C107" s="252"/>
      <c r="D107" s="253"/>
      <c r="F107" s="250"/>
      <c r="G107" s="269"/>
      <c r="H107" s="251"/>
    </row>
    <row r="108">
      <c r="A108" s="265"/>
      <c r="B108" s="268"/>
      <c r="C108" s="252"/>
      <c r="D108" s="253"/>
      <c r="F108" s="250"/>
      <c r="G108" s="269"/>
      <c r="H108" s="251"/>
    </row>
    <row r="109">
      <c r="A109" s="265"/>
      <c r="B109" s="268"/>
      <c r="C109" s="252"/>
      <c r="D109" s="253"/>
      <c r="F109" s="250"/>
      <c r="G109" s="269"/>
      <c r="H109" s="251"/>
    </row>
    <row r="110">
      <c r="A110" s="265"/>
      <c r="B110" s="268"/>
      <c r="C110" s="252"/>
      <c r="D110" s="253"/>
      <c r="F110" s="250"/>
      <c r="G110" s="269"/>
      <c r="H110" s="251"/>
    </row>
    <row r="111">
      <c r="A111" s="265"/>
      <c r="B111" s="268"/>
      <c r="C111" s="252"/>
      <c r="D111" s="253"/>
      <c r="F111" s="250"/>
      <c r="G111" s="269"/>
      <c r="H111" s="251"/>
    </row>
    <row r="112">
      <c r="A112" s="270"/>
      <c r="B112" s="271"/>
      <c r="C112" s="272"/>
      <c r="D112" s="273"/>
      <c r="E112" s="18"/>
      <c r="F112" s="274"/>
      <c r="G112" s="275"/>
      <c r="H112" s="261"/>
    </row>
    <row r="113">
      <c r="A113" s="262" t="s">
        <v>1014</v>
      </c>
      <c r="B113" s="239">
        <v>35586.93</v>
      </c>
      <c r="C113" s="263"/>
      <c r="D113" s="264"/>
      <c r="E113" s="244"/>
      <c r="F113" s="243"/>
      <c r="G113" s="276" t="s">
        <v>82</v>
      </c>
      <c r="H113" s="245">
        <v>174.0</v>
      </c>
    </row>
    <row r="114">
      <c r="A114" s="265"/>
      <c r="B114" s="247"/>
      <c r="C114" s="248"/>
      <c r="D114" s="399">
        <v>164000.0</v>
      </c>
      <c r="E114" s="398" t="s">
        <v>328</v>
      </c>
      <c r="F114" s="284"/>
      <c r="G114" s="285" t="s">
        <v>122</v>
      </c>
      <c r="H114" s="267"/>
    </row>
    <row r="115">
      <c r="A115" s="265"/>
      <c r="B115" s="419"/>
      <c r="C115" s="427"/>
      <c r="D115" s="399">
        <v>93597.42</v>
      </c>
      <c r="E115" s="398" t="s">
        <v>328</v>
      </c>
      <c r="F115" s="284"/>
      <c r="G115" s="285" t="s">
        <v>114</v>
      </c>
      <c r="H115" s="251"/>
    </row>
    <row r="116">
      <c r="A116" s="265"/>
      <c r="B116" s="247"/>
      <c r="C116" s="248"/>
      <c r="D116" s="399">
        <v>72200.0</v>
      </c>
      <c r="E116" s="398" t="s">
        <v>328</v>
      </c>
      <c r="F116" s="284"/>
      <c r="G116" s="285" t="s">
        <v>893</v>
      </c>
      <c r="H116" s="251"/>
    </row>
    <row r="117">
      <c r="A117" s="265"/>
      <c r="B117" s="247"/>
      <c r="C117" s="248"/>
      <c r="D117" s="249"/>
      <c r="F117" s="250">
        <v>12000.0</v>
      </c>
      <c r="G117" s="254" t="s">
        <v>608</v>
      </c>
      <c r="H117" s="251"/>
    </row>
    <row r="118">
      <c r="A118" s="265"/>
      <c r="B118" s="404">
        <v>78500.0</v>
      </c>
      <c r="C118" s="424"/>
      <c r="D118" s="399"/>
      <c r="E118" s="398" t="s">
        <v>328</v>
      </c>
      <c r="F118" s="284"/>
      <c r="G118" s="285" t="s">
        <v>75</v>
      </c>
      <c r="H118" s="251"/>
    </row>
    <row r="119">
      <c r="A119" s="265"/>
      <c r="B119" s="247"/>
      <c r="C119" s="248">
        <v>114247.57</v>
      </c>
      <c r="D119" s="249"/>
      <c r="F119" s="250"/>
      <c r="G119" s="254" t="s">
        <v>84</v>
      </c>
      <c r="H119" s="251"/>
      <c r="I119" s="417"/>
    </row>
    <row r="120">
      <c r="A120" s="265"/>
      <c r="B120" s="283"/>
      <c r="C120" s="248"/>
      <c r="D120" s="399">
        <v>227601.0</v>
      </c>
      <c r="E120" s="398" t="s">
        <v>328</v>
      </c>
      <c r="F120" s="284"/>
      <c r="G120" s="285" t="s">
        <v>877</v>
      </c>
      <c r="H120" s="251"/>
    </row>
    <row r="121">
      <c r="A121" s="265"/>
      <c r="B121" s="247"/>
      <c r="C121" s="248"/>
      <c r="D121" s="253"/>
      <c r="F121" s="250"/>
      <c r="G121" s="254"/>
      <c r="H121" s="251"/>
    </row>
    <row r="122">
      <c r="A122" s="265"/>
      <c r="B122" s="247"/>
      <c r="C122" s="252"/>
      <c r="D122" s="253"/>
      <c r="F122" s="250"/>
      <c r="G122" s="254"/>
      <c r="H122" s="251"/>
    </row>
    <row r="123">
      <c r="A123" s="265"/>
      <c r="B123" s="247"/>
      <c r="C123" s="252"/>
      <c r="D123" s="249"/>
      <c r="F123" s="250"/>
      <c r="G123" s="254"/>
      <c r="H123" s="251"/>
    </row>
    <row r="124">
      <c r="A124" s="265"/>
      <c r="B124" s="277"/>
      <c r="C124" s="252"/>
      <c r="D124" s="253"/>
      <c r="F124" s="250"/>
      <c r="G124" s="254"/>
      <c r="H124" s="251"/>
    </row>
    <row r="125">
      <c r="A125" s="265"/>
      <c r="B125" s="277"/>
      <c r="C125" s="252"/>
      <c r="D125" s="253"/>
      <c r="F125" s="250"/>
      <c r="G125" s="269"/>
      <c r="H125" s="251"/>
    </row>
    <row r="126">
      <c r="A126" s="265"/>
      <c r="B126" s="27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1143</v>
      </c>
      <c r="B128" s="239">
        <v>46000.0</v>
      </c>
      <c r="C128" s="263"/>
      <c r="D128" s="401"/>
      <c r="E128" s="402" t="s">
        <v>328</v>
      </c>
      <c r="F128" s="403"/>
      <c r="G128" s="436" t="s">
        <v>68</v>
      </c>
      <c r="H128" s="245">
        <v>172.5</v>
      </c>
    </row>
    <row r="129">
      <c r="A129" s="265"/>
      <c r="B129" s="247"/>
      <c r="C129" s="252"/>
      <c r="D129" s="249"/>
      <c r="F129" s="250">
        <v>2250.0</v>
      </c>
      <c r="G129" s="254" t="s">
        <v>97</v>
      </c>
      <c r="H129" s="251"/>
    </row>
    <row r="130">
      <c r="A130" s="265"/>
      <c r="B130" s="404">
        <v>37400.0</v>
      </c>
      <c r="C130" s="405"/>
      <c r="D130" s="399"/>
      <c r="E130" s="398" t="s">
        <v>328</v>
      </c>
      <c r="F130" s="284"/>
      <c r="G130" s="285" t="s">
        <v>76</v>
      </c>
      <c r="H130" s="251"/>
    </row>
    <row r="131">
      <c r="A131" s="265"/>
      <c r="B131" s="247"/>
      <c r="C131" s="252"/>
      <c r="D131" s="249"/>
      <c r="F131" s="250">
        <v>4000.0</v>
      </c>
      <c r="G131" s="254" t="s">
        <v>1144</v>
      </c>
      <c r="H131" s="251"/>
    </row>
    <row r="132">
      <c r="A132" s="265"/>
      <c r="B132" s="247">
        <v>27000.0</v>
      </c>
      <c r="C132" s="248"/>
      <c r="D132" s="249"/>
      <c r="F132" s="250"/>
      <c r="G132" s="254" t="s">
        <v>776</v>
      </c>
      <c r="H132" s="251"/>
    </row>
    <row r="133">
      <c r="A133" s="265"/>
      <c r="B133" s="419"/>
      <c r="C133" s="427"/>
      <c r="D133" s="414"/>
      <c r="E133" s="417"/>
      <c r="F133" s="418"/>
      <c r="G133" s="420"/>
      <c r="H133" s="251"/>
    </row>
    <row r="134">
      <c r="A134" s="265"/>
      <c r="B134" s="247">
        <v>73758.0</v>
      </c>
      <c r="C134" s="248"/>
      <c r="D134" s="249"/>
      <c r="E134" s="2" t="s">
        <v>328</v>
      </c>
      <c r="F134" s="250"/>
      <c r="G134" s="254" t="s">
        <v>259</v>
      </c>
      <c r="H134" s="251"/>
    </row>
    <row r="135">
      <c r="A135" s="265"/>
      <c r="B135" s="247"/>
      <c r="C135" s="252"/>
      <c r="D135" s="249"/>
      <c r="F135" s="250"/>
      <c r="G135" s="254"/>
      <c r="H135" s="251"/>
    </row>
    <row r="136">
      <c r="A136" s="265"/>
      <c r="B136" s="268"/>
      <c r="C136" s="248"/>
      <c r="D136" s="249"/>
      <c r="F136" s="250"/>
      <c r="G136" s="254"/>
      <c r="H136" s="251"/>
    </row>
    <row r="137">
      <c r="A137" s="265"/>
      <c r="B137" s="247"/>
      <c r="C137" s="252"/>
      <c r="D137" s="249"/>
      <c r="F137" s="250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82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59"/>
      <c r="G142" s="260"/>
      <c r="H142" s="261"/>
    </row>
    <row r="143">
      <c r="A143" s="262" t="s">
        <v>1020</v>
      </c>
      <c r="B143" s="239"/>
      <c r="C143" s="263">
        <v>145873.92</v>
      </c>
      <c r="D143" s="264"/>
      <c r="E143" s="244"/>
      <c r="F143" s="243"/>
      <c r="G143" s="276" t="s">
        <v>71</v>
      </c>
      <c r="H143" s="245">
        <v>90.0</v>
      </c>
    </row>
    <row r="144">
      <c r="A144" s="265"/>
      <c r="B144" s="404">
        <v>37027.71</v>
      </c>
      <c r="C144" s="434"/>
      <c r="D144" s="399"/>
      <c r="E144" s="398"/>
      <c r="F144" s="284"/>
      <c r="G144" s="285" t="s">
        <v>82</v>
      </c>
      <c r="H144" s="267"/>
    </row>
    <row r="145">
      <c r="A145" s="265"/>
      <c r="B145" s="404">
        <v>79000.0</v>
      </c>
      <c r="C145" s="405"/>
      <c r="D145" s="399"/>
      <c r="E145" s="398" t="s">
        <v>328</v>
      </c>
      <c r="F145" s="284"/>
      <c r="G145" s="285" t="s">
        <v>75</v>
      </c>
      <c r="H145" s="251"/>
    </row>
    <row r="146">
      <c r="A146" s="265"/>
      <c r="B146" s="404"/>
      <c r="C146" s="405"/>
      <c r="D146" s="399"/>
      <c r="E146" s="398"/>
      <c r="F146" s="284"/>
      <c r="G146" s="285"/>
      <c r="H146" s="251"/>
    </row>
    <row r="147">
      <c r="A147" s="265"/>
      <c r="B147" s="404"/>
      <c r="C147" s="405"/>
      <c r="D147" s="399"/>
      <c r="E147" s="398"/>
      <c r="F147" s="284"/>
      <c r="G147" s="285"/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404"/>
      <c r="C149" s="405"/>
      <c r="D149" s="399"/>
      <c r="E149" s="398"/>
      <c r="F149" s="284"/>
      <c r="G149" s="285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47"/>
      <c r="C151" s="252"/>
      <c r="D151" s="414"/>
      <c r="E151" s="417"/>
      <c r="F151" s="418"/>
      <c r="G151" s="420"/>
      <c r="H151" s="251"/>
    </row>
    <row r="152">
      <c r="A152" s="270"/>
      <c r="B152" s="279"/>
      <c r="C152" s="272"/>
      <c r="D152" s="273"/>
      <c r="E152" s="18"/>
      <c r="F152" s="274"/>
      <c r="G152" s="260"/>
      <c r="H152" s="261"/>
    </row>
    <row r="153">
      <c r="A153" s="262" t="s">
        <v>1022</v>
      </c>
      <c r="B153" s="239">
        <v>57951.73</v>
      </c>
      <c r="C153" s="263"/>
      <c r="D153" s="264"/>
      <c r="E153" s="244"/>
      <c r="F153" s="250"/>
      <c r="G153" s="276" t="s">
        <v>142</v>
      </c>
      <c r="H153" s="245">
        <v>100.0</v>
      </c>
      <c r="I153" s="2" t="s">
        <v>1145</v>
      </c>
    </row>
    <row r="154">
      <c r="A154" s="265"/>
      <c r="B154" s="247">
        <v>17064.2</v>
      </c>
      <c r="C154" s="315"/>
      <c r="D154" s="249"/>
      <c r="F154" s="250"/>
      <c r="G154" s="254" t="s">
        <v>291</v>
      </c>
      <c r="H154" s="267"/>
    </row>
    <row r="155">
      <c r="A155" s="265"/>
      <c r="B155" s="247"/>
      <c r="C155" s="248"/>
      <c r="D155" s="399">
        <v>160351.8</v>
      </c>
      <c r="E155" s="398" t="s">
        <v>328</v>
      </c>
      <c r="F155" s="284"/>
      <c r="G155" s="285" t="s">
        <v>114</v>
      </c>
      <c r="H155" s="267"/>
    </row>
    <row r="156">
      <c r="A156" s="265"/>
      <c r="B156" s="247"/>
      <c r="C156" s="248"/>
      <c r="D156" s="249"/>
      <c r="F156" s="250"/>
      <c r="G156" s="254"/>
      <c r="H156" s="251"/>
    </row>
    <row r="157">
      <c r="A157" s="265"/>
      <c r="B157" s="247"/>
      <c r="C157" s="248"/>
      <c r="D157" s="249"/>
      <c r="E157" s="254"/>
      <c r="F157" s="250"/>
      <c r="G157" s="254"/>
      <c r="H157" s="251"/>
      <c r="I157" s="269"/>
    </row>
    <row r="158">
      <c r="A158" s="265"/>
      <c r="B158" s="247"/>
      <c r="C158" s="252"/>
      <c r="D158" s="249"/>
      <c r="F158" s="250"/>
      <c r="G158" s="254"/>
      <c r="H158" s="251"/>
    </row>
    <row r="159">
      <c r="A159" s="265"/>
      <c r="B159" s="247"/>
      <c r="C159" s="252"/>
      <c r="D159" s="249"/>
      <c r="F159" s="250"/>
      <c r="G159" s="254"/>
      <c r="H159" s="251"/>
    </row>
    <row r="160">
      <c r="A160" s="265"/>
      <c r="B160" s="247"/>
      <c r="C160" s="252"/>
      <c r="D160" s="253"/>
      <c r="F160" s="250"/>
      <c r="G160" s="254"/>
      <c r="H160" s="251"/>
    </row>
    <row r="161">
      <c r="A161" s="265"/>
      <c r="B161" s="247"/>
      <c r="C161" s="252"/>
      <c r="D161" s="249"/>
      <c r="F161" s="250"/>
      <c r="G161" s="254"/>
      <c r="H161" s="251"/>
    </row>
    <row r="162">
      <c r="A162" s="265"/>
      <c r="B162" s="247"/>
      <c r="C162" s="252"/>
      <c r="D162" s="253"/>
      <c r="F162" s="250"/>
      <c r="G162" s="254"/>
      <c r="H162" s="251"/>
    </row>
    <row r="163">
      <c r="A163" s="265"/>
      <c r="B163" s="247"/>
      <c r="C163" s="252"/>
      <c r="D163" s="253"/>
      <c r="F163" s="250"/>
      <c r="G163" s="254"/>
      <c r="H163" s="251"/>
    </row>
    <row r="164">
      <c r="A164" s="265"/>
      <c r="B164" s="247"/>
      <c r="C164" s="252"/>
      <c r="D164" s="253"/>
      <c r="F164" s="250"/>
      <c r="G164" s="254"/>
      <c r="H164" s="251"/>
    </row>
    <row r="165">
      <c r="A165" s="265"/>
      <c r="B165" s="268"/>
      <c r="C165" s="252"/>
      <c r="D165" s="253"/>
      <c r="F165" s="250"/>
      <c r="G165" s="269"/>
      <c r="H165" s="251"/>
    </row>
    <row r="166">
      <c r="A166" s="265"/>
      <c r="B166" s="268"/>
      <c r="C166" s="252"/>
      <c r="D166" s="253"/>
      <c r="F166" s="250"/>
      <c r="G166" s="269"/>
      <c r="H166" s="251"/>
    </row>
    <row r="167">
      <c r="A167" s="270"/>
      <c r="B167" s="271"/>
      <c r="C167" s="272"/>
      <c r="D167" s="273"/>
      <c r="E167" s="18"/>
      <c r="F167" s="259"/>
      <c r="G167" s="260"/>
      <c r="H167" s="261"/>
    </row>
    <row r="168">
      <c r="A168" s="262" t="s">
        <v>1023</v>
      </c>
      <c r="B168" s="247"/>
      <c r="C168" s="248">
        <v>162219.75</v>
      </c>
      <c r="D168" s="414"/>
      <c r="E168" s="417"/>
      <c r="F168" s="418"/>
      <c r="G168" s="285" t="s">
        <v>89</v>
      </c>
      <c r="H168" s="286">
        <v>120.0</v>
      </c>
      <c r="I168" s="2" t="s">
        <v>1146</v>
      </c>
    </row>
    <row r="169">
      <c r="A169" s="265"/>
      <c r="B169" s="404">
        <v>67286.64</v>
      </c>
      <c r="C169" s="405"/>
      <c r="D169" s="399"/>
      <c r="E169" s="398"/>
      <c r="F169" s="284"/>
      <c r="G169" s="285" t="s">
        <v>82</v>
      </c>
      <c r="H169" s="251"/>
    </row>
    <row r="170">
      <c r="A170" s="265"/>
      <c r="B170" s="404">
        <f>158700-2400</f>
        <v>156300</v>
      </c>
      <c r="C170" s="405"/>
      <c r="D170" s="399"/>
      <c r="E170" s="398" t="s">
        <v>328</v>
      </c>
      <c r="F170" s="284"/>
      <c r="G170" s="285" t="s">
        <v>75</v>
      </c>
      <c r="H170" s="267"/>
    </row>
    <row r="171">
      <c r="A171" s="265"/>
      <c r="B171" s="247"/>
      <c r="C171" s="248"/>
      <c r="D171" s="249"/>
      <c r="F171" s="250">
        <v>891.0</v>
      </c>
      <c r="G171" s="254" t="s">
        <v>1147</v>
      </c>
      <c r="H171" s="251"/>
    </row>
    <row r="172">
      <c r="A172" s="265"/>
      <c r="B172" s="404">
        <v>10750.0</v>
      </c>
      <c r="C172" s="405"/>
      <c r="D172" s="399"/>
      <c r="E172" s="398"/>
      <c r="F172" s="284"/>
      <c r="G172" s="285" t="s">
        <v>1148</v>
      </c>
      <c r="H172" s="267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53"/>
      <c r="F174" s="250"/>
      <c r="G174" s="254"/>
      <c r="H174" s="251"/>
    </row>
    <row r="175">
      <c r="A175" s="265"/>
      <c r="B175" s="247"/>
      <c r="C175" s="252"/>
      <c r="D175" s="249"/>
      <c r="F175" s="250"/>
      <c r="G175" s="254"/>
      <c r="H175" s="251"/>
    </row>
    <row r="176">
      <c r="A176" s="265"/>
      <c r="B176" s="247"/>
      <c r="C176" s="248"/>
      <c r="D176" s="249"/>
      <c r="F176" s="250"/>
      <c r="G176" s="254"/>
      <c r="H176" s="251"/>
    </row>
    <row r="177">
      <c r="A177" s="265"/>
      <c r="B177" s="247"/>
      <c r="C177" s="252"/>
      <c r="D177" s="249"/>
      <c r="F177" s="250"/>
      <c r="G177" s="254"/>
      <c r="H177" s="251"/>
    </row>
    <row r="178">
      <c r="A178" s="265"/>
      <c r="B178" s="247"/>
      <c r="C178" s="252"/>
      <c r="D178" s="249"/>
      <c r="F178" s="250"/>
      <c r="G178" s="254"/>
      <c r="H178" s="251"/>
    </row>
    <row r="179">
      <c r="A179" s="265"/>
      <c r="B179" s="247"/>
      <c r="C179" s="248"/>
      <c r="D179" s="249"/>
      <c r="F179" s="250"/>
      <c r="G179" s="254"/>
      <c r="H179" s="251"/>
    </row>
    <row r="180">
      <c r="A180" s="265"/>
      <c r="B180" s="247"/>
      <c r="C180" s="248"/>
      <c r="D180" s="249"/>
      <c r="F180" s="250"/>
      <c r="G180" s="254"/>
      <c r="H180" s="251"/>
    </row>
    <row r="181">
      <c r="A181" s="265"/>
      <c r="B181" s="247"/>
      <c r="C181" s="252"/>
      <c r="D181" s="249"/>
      <c r="F181" s="250"/>
      <c r="G181" s="254"/>
      <c r="H181" s="251"/>
    </row>
    <row r="182">
      <c r="A182" s="265"/>
      <c r="B182" s="247"/>
      <c r="C182" s="252"/>
      <c r="D182" s="253"/>
      <c r="F182" s="250"/>
      <c r="G182" s="254"/>
      <c r="H182" s="251"/>
    </row>
    <row r="183">
      <c r="A183" s="270"/>
      <c r="B183" s="247"/>
      <c r="C183" s="252"/>
      <c r="D183" s="249"/>
      <c r="F183" s="250"/>
      <c r="G183" s="254"/>
      <c r="H183" s="261"/>
    </row>
    <row r="184">
      <c r="A184" s="262" t="s">
        <v>1025</v>
      </c>
      <c r="B184" s="239">
        <v>46000.0</v>
      </c>
      <c r="C184" s="263"/>
      <c r="D184" s="264"/>
      <c r="E184" s="244" t="s">
        <v>328</v>
      </c>
      <c r="F184" s="243"/>
      <c r="G184" s="276" t="s">
        <v>68</v>
      </c>
      <c r="H184" s="245">
        <v>160.0</v>
      </c>
    </row>
    <row r="185">
      <c r="A185" s="265"/>
      <c r="B185" s="247"/>
      <c r="C185" s="248"/>
      <c r="D185" s="249"/>
      <c r="F185" s="250">
        <v>891.0</v>
      </c>
      <c r="G185" s="254" t="s">
        <v>97</v>
      </c>
      <c r="H185" s="267"/>
    </row>
    <row r="186">
      <c r="A186" s="265"/>
      <c r="B186" s="247">
        <v>72075.19</v>
      </c>
      <c r="C186" s="252"/>
      <c r="D186" s="249"/>
      <c r="E186" s="2" t="s">
        <v>328</v>
      </c>
      <c r="F186" s="250"/>
      <c r="G186" s="254" t="s">
        <v>91</v>
      </c>
      <c r="H186" s="251"/>
      <c r="I186" s="2" t="s">
        <v>1149</v>
      </c>
    </row>
    <row r="187">
      <c r="A187" s="265"/>
      <c r="B187" s="247">
        <v>79640.0</v>
      </c>
      <c r="C187" s="248"/>
      <c r="D187" s="249"/>
      <c r="E187" s="2" t="s">
        <v>328</v>
      </c>
      <c r="F187" s="250"/>
      <c r="G187" s="254" t="s">
        <v>1150</v>
      </c>
      <c r="H187" s="251"/>
    </row>
    <row r="188">
      <c r="A188" s="265"/>
      <c r="B188" s="247"/>
      <c r="C188" s="248"/>
      <c r="D188" s="249"/>
      <c r="F188" s="250"/>
      <c r="G188" s="254"/>
      <c r="H188" s="251"/>
    </row>
    <row r="189">
      <c r="A189" s="265"/>
      <c r="B189" s="247"/>
      <c r="C189" s="248"/>
      <c r="D189" s="249"/>
      <c r="F189" s="250"/>
      <c r="G189" s="254"/>
      <c r="H189" s="267"/>
    </row>
    <row r="190">
      <c r="A190" s="265"/>
      <c r="B190" s="247"/>
      <c r="C190" s="248"/>
      <c r="D190" s="249"/>
      <c r="F190" s="250"/>
      <c r="G190" s="316"/>
      <c r="H190" s="251"/>
    </row>
    <row r="191">
      <c r="A191" s="265"/>
      <c r="B191" s="247"/>
      <c r="C191" s="252"/>
      <c r="D191" s="249"/>
      <c r="F191" s="250"/>
      <c r="G191" s="254"/>
      <c r="H191" s="251"/>
    </row>
    <row r="192">
      <c r="A192" s="265"/>
      <c r="B192" s="247"/>
      <c r="C192" s="248"/>
      <c r="D192" s="249"/>
      <c r="F192" s="250"/>
      <c r="G192" s="254"/>
      <c r="H192" s="251"/>
    </row>
    <row r="193">
      <c r="A193" s="265"/>
      <c r="B193" s="247"/>
      <c r="C193" s="248"/>
      <c r="D193" s="253"/>
      <c r="F193" s="250"/>
      <c r="G193" s="254"/>
      <c r="H193" s="251"/>
    </row>
    <row r="194">
      <c r="A194" s="265"/>
      <c r="B194" s="268"/>
      <c r="C194" s="248"/>
      <c r="D194" s="253"/>
      <c r="F194" s="250"/>
      <c r="G194" s="269"/>
      <c r="H194" s="251"/>
    </row>
    <row r="195">
      <c r="A195" s="265"/>
      <c r="B195" s="247"/>
      <c r="C195" s="248"/>
      <c r="D195" s="253"/>
      <c r="F195" s="250"/>
      <c r="G195" s="269"/>
      <c r="H195" s="251"/>
    </row>
    <row r="196">
      <c r="A196" s="265"/>
      <c r="B196" s="278"/>
      <c r="C196" s="252"/>
      <c r="D196" s="253"/>
      <c r="F196" s="250"/>
      <c r="G196" s="269"/>
      <c r="H196" s="251"/>
    </row>
    <row r="197">
      <c r="A197" s="265"/>
      <c r="B197" s="278"/>
      <c r="C197" s="252"/>
      <c r="D197" s="253"/>
      <c r="F197" s="282"/>
      <c r="G197" s="269"/>
      <c r="H197" s="251"/>
    </row>
    <row r="198">
      <c r="A198" s="270"/>
      <c r="B198" s="271"/>
      <c r="C198" s="272"/>
      <c r="D198" s="273"/>
      <c r="E198" s="18"/>
      <c r="F198" s="274"/>
      <c r="G198" s="275"/>
      <c r="H198" s="261"/>
    </row>
    <row r="199">
      <c r="A199" s="262" t="s">
        <v>1026</v>
      </c>
      <c r="B199" s="425"/>
      <c r="C199" s="426"/>
      <c r="D199" s="401"/>
      <c r="E199" s="402"/>
      <c r="F199" s="403">
        <v>15000.0</v>
      </c>
      <c r="G199" s="436" t="s">
        <v>608</v>
      </c>
      <c r="H199" s="245">
        <v>166.5</v>
      </c>
    </row>
    <row r="200">
      <c r="A200" s="265"/>
      <c r="B200" s="247">
        <v>72180.82</v>
      </c>
      <c r="C200" s="248"/>
      <c r="D200" s="249"/>
      <c r="F200" s="250"/>
      <c r="G200" s="254" t="s">
        <v>103</v>
      </c>
      <c r="H200" s="267"/>
    </row>
    <row r="201">
      <c r="A201" s="265"/>
      <c r="B201" s="404">
        <v>55400.0</v>
      </c>
      <c r="C201" s="424"/>
      <c r="D201" s="399"/>
      <c r="E201" s="398" t="s">
        <v>328</v>
      </c>
      <c r="F201" s="284"/>
      <c r="G201" s="285" t="s">
        <v>75</v>
      </c>
      <c r="H201" s="251"/>
    </row>
    <row r="202">
      <c r="A202" s="265"/>
      <c r="B202" s="404"/>
      <c r="C202" s="405">
        <v>131565.38</v>
      </c>
      <c r="D202" s="399"/>
      <c r="E202" s="398" t="s">
        <v>328</v>
      </c>
      <c r="F202" s="284"/>
      <c r="G202" s="285" t="s">
        <v>84</v>
      </c>
      <c r="H202" s="251"/>
    </row>
    <row r="203">
      <c r="A203" s="265"/>
      <c r="B203" s="247">
        <v>37027.71</v>
      </c>
      <c r="C203" s="252"/>
      <c r="D203" s="399"/>
      <c r="E203" s="398"/>
      <c r="F203" s="284"/>
      <c r="G203" s="285" t="s">
        <v>82</v>
      </c>
      <c r="H203" s="251"/>
    </row>
    <row r="204">
      <c r="A204" s="265"/>
      <c r="B204" s="247"/>
      <c r="C204" s="248"/>
      <c r="D204" s="399">
        <v>131787.0</v>
      </c>
      <c r="E204" s="398" t="s">
        <v>328</v>
      </c>
      <c r="F204" s="284"/>
      <c r="G204" s="285" t="s">
        <v>114</v>
      </c>
      <c r="H204" s="251"/>
    </row>
    <row r="205">
      <c r="A205" s="265"/>
      <c r="B205" s="247"/>
      <c r="C205" s="252"/>
      <c r="D205" s="399">
        <v>83120.0</v>
      </c>
      <c r="E205" s="398" t="s">
        <v>328</v>
      </c>
      <c r="F205" s="284"/>
      <c r="G205" s="285" t="s">
        <v>893</v>
      </c>
      <c r="H205" s="251"/>
    </row>
    <row r="206">
      <c r="A206" s="265"/>
      <c r="B206" s="404">
        <v>49852.0</v>
      </c>
      <c r="C206" s="424"/>
      <c r="D206" s="400"/>
      <c r="E206" s="398" t="s">
        <v>328</v>
      </c>
      <c r="F206" s="284"/>
      <c r="G206" s="285" t="s">
        <v>79</v>
      </c>
      <c r="H206" s="251"/>
      <c r="I206" s="269"/>
      <c r="J206" s="269"/>
      <c r="K206" s="269"/>
    </row>
    <row r="207">
      <c r="A207" s="265"/>
      <c r="B207" s="247"/>
      <c r="C207" s="248"/>
      <c r="D207" s="249"/>
      <c r="E207" s="269"/>
      <c r="F207" s="250"/>
      <c r="G207" s="254"/>
      <c r="H207" s="251"/>
      <c r="I207" s="269"/>
      <c r="J207" s="269"/>
      <c r="K207" s="269"/>
    </row>
    <row r="208">
      <c r="A208" s="265"/>
      <c r="B208" s="277"/>
      <c r="C208" s="252"/>
      <c r="D208" s="249"/>
      <c r="E208" s="254"/>
      <c r="F208" s="250"/>
      <c r="G208" s="254"/>
      <c r="H208" s="251"/>
      <c r="I208" s="254"/>
      <c r="J208" s="269"/>
      <c r="K208" s="269"/>
    </row>
    <row r="209">
      <c r="A209" s="265"/>
      <c r="B209" s="277"/>
      <c r="C209" s="252"/>
      <c r="D209" s="253"/>
      <c r="E209" s="269"/>
      <c r="F209" s="282"/>
      <c r="G209" s="254"/>
      <c r="H209" s="251"/>
      <c r="I209" s="269"/>
      <c r="J209" s="269"/>
      <c r="K209" s="269"/>
    </row>
    <row r="210">
      <c r="A210" s="270"/>
      <c r="B210" s="271"/>
      <c r="C210" s="272"/>
      <c r="D210" s="273"/>
      <c r="E210" s="275"/>
      <c r="F210" s="274"/>
      <c r="G210" s="275"/>
      <c r="H210" s="261"/>
      <c r="I210" s="269"/>
      <c r="J210" s="269"/>
      <c r="K210" s="269"/>
    </row>
    <row r="211">
      <c r="A211" s="262" t="s">
        <v>1027</v>
      </c>
      <c r="B211" s="239">
        <v>48400.0</v>
      </c>
      <c r="C211" s="263"/>
      <c r="D211" s="264"/>
      <c r="E211" s="276"/>
      <c r="F211" s="243"/>
      <c r="G211" s="276" t="s">
        <v>76</v>
      </c>
      <c r="H211" s="245">
        <v>120.0</v>
      </c>
      <c r="I211" s="254"/>
      <c r="J211" s="254"/>
      <c r="K211" s="254"/>
    </row>
    <row r="212">
      <c r="A212" s="265"/>
      <c r="B212" s="247"/>
      <c r="C212" s="248"/>
      <c r="D212" s="399">
        <v>61718.85</v>
      </c>
      <c r="E212" s="398" t="s">
        <v>328</v>
      </c>
      <c r="F212" s="284"/>
      <c r="G212" s="285" t="s">
        <v>114</v>
      </c>
      <c r="H212" s="251"/>
      <c r="I212" s="269"/>
      <c r="J212" s="254"/>
      <c r="K212" s="254"/>
    </row>
    <row r="213">
      <c r="A213" s="265"/>
      <c r="B213" s="247"/>
      <c r="C213" s="248"/>
      <c r="D213" s="414"/>
      <c r="E213" s="398"/>
      <c r="F213" s="284">
        <v>13160.35</v>
      </c>
      <c r="G213" s="285" t="s">
        <v>1151</v>
      </c>
      <c r="H213" s="251"/>
      <c r="I213" s="269"/>
      <c r="J213" s="254"/>
      <c r="K213" s="254"/>
    </row>
    <row r="214">
      <c r="A214" s="265"/>
      <c r="B214" s="247"/>
      <c r="C214" s="248"/>
      <c r="D214" s="249"/>
      <c r="E214" s="254"/>
      <c r="F214" s="250"/>
      <c r="G214" s="254"/>
      <c r="H214" s="251"/>
      <c r="I214" s="269"/>
      <c r="J214" s="269"/>
      <c r="K214" s="269"/>
    </row>
    <row r="215">
      <c r="A215" s="265"/>
      <c r="B215" s="247">
        <v>23000.0</v>
      </c>
      <c r="C215" s="248"/>
      <c r="D215" s="400"/>
      <c r="E215" s="285"/>
      <c r="F215" s="284"/>
      <c r="G215" s="285" t="s">
        <v>426</v>
      </c>
      <c r="H215" s="251"/>
      <c r="I215" s="269"/>
      <c r="J215" s="269"/>
      <c r="K215" s="269"/>
    </row>
    <row r="216">
      <c r="A216" s="265"/>
      <c r="B216" s="247"/>
      <c r="C216" s="248"/>
      <c r="D216" s="249"/>
      <c r="E216" s="269"/>
      <c r="F216" s="250"/>
      <c r="G216" s="254"/>
      <c r="H216" s="251"/>
      <c r="I216" s="269"/>
      <c r="J216" s="269"/>
      <c r="K216" s="269"/>
    </row>
    <row r="217">
      <c r="A217" s="265"/>
      <c r="B217" s="404"/>
      <c r="C217" s="424"/>
      <c r="D217" s="399"/>
      <c r="E217" s="285"/>
      <c r="F217" s="284"/>
      <c r="G217" s="285"/>
      <c r="H217" s="251"/>
      <c r="I217" s="269"/>
      <c r="J217" s="269"/>
      <c r="K217" s="269"/>
    </row>
    <row r="218">
      <c r="A218" s="265"/>
      <c r="B218" s="247"/>
      <c r="C218" s="252"/>
      <c r="D218" s="288"/>
      <c r="E218" s="269"/>
      <c r="F218" s="250"/>
      <c r="G218" s="254"/>
      <c r="H218" s="251"/>
      <c r="I218" s="254"/>
      <c r="J218" s="269"/>
      <c r="K218" s="269"/>
    </row>
    <row r="219">
      <c r="A219" s="265"/>
      <c r="B219" s="247"/>
      <c r="C219" s="252"/>
      <c r="D219" s="253"/>
      <c r="F219" s="250"/>
      <c r="G219" s="254"/>
      <c r="H219" s="251"/>
      <c r="I219" s="269"/>
      <c r="J219" s="269"/>
      <c r="K219" s="269"/>
    </row>
    <row r="220">
      <c r="A220" s="265"/>
      <c r="B220" s="247"/>
      <c r="C220" s="252"/>
      <c r="D220" s="253"/>
      <c r="F220" s="250"/>
      <c r="G220" s="254"/>
      <c r="H220" s="251"/>
    </row>
    <row r="221">
      <c r="A221" s="265"/>
      <c r="B221" s="247"/>
      <c r="C221" s="252"/>
      <c r="D221" s="253"/>
      <c r="F221" s="250"/>
      <c r="G221" s="254"/>
      <c r="H221" s="251"/>
    </row>
    <row r="222">
      <c r="A222" s="265"/>
      <c r="B222" s="277"/>
      <c r="C222" s="252"/>
      <c r="D222" s="253"/>
      <c r="F222" s="250"/>
      <c r="G222" s="254"/>
      <c r="H222" s="251"/>
    </row>
    <row r="223">
      <c r="A223" s="265"/>
      <c r="B223" s="278"/>
      <c r="C223" s="252"/>
      <c r="D223" s="253"/>
      <c r="F223" s="282"/>
      <c r="G223" s="269"/>
      <c r="H223" s="251"/>
    </row>
    <row r="224">
      <c r="A224" s="265"/>
      <c r="B224" s="278"/>
      <c r="C224" s="252"/>
      <c r="D224" s="253"/>
      <c r="F224" s="282"/>
      <c r="G224" s="269"/>
      <c r="H224" s="251"/>
    </row>
    <row r="225">
      <c r="A225" s="270"/>
      <c r="B225" s="271"/>
      <c r="C225" s="272"/>
      <c r="D225" s="273"/>
      <c r="E225" s="18"/>
      <c r="F225" s="274"/>
      <c r="G225" s="275"/>
      <c r="H225" s="261"/>
    </row>
    <row r="226">
      <c r="A226" s="262" t="s">
        <v>1028</v>
      </c>
      <c r="B226" s="425">
        <f>37000-1500</f>
        <v>35500</v>
      </c>
      <c r="C226" s="426"/>
      <c r="D226" s="401"/>
      <c r="E226" s="402" t="s">
        <v>328</v>
      </c>
      <c r="F226" s="403"/>
      <c r="G226" s="398" t="s">
        <v>1152</v>
      </c>
      <c r="H226" s="245">
        <v>112.5</v>
      </c>
    </row>
    <row r="227">
      <c r="A227" s="265"/>
      <c r="B227" s="247"/>
      <c r="C227" s="248"/>
      <c r="D227" s="414"/>
      <c r="E227" s="417"/>
      <c r="F227" s="284">
        <v>2482.0</v>
      </c>
      <c r="G227" s="285" t="s">
        <v>97</v>
      </c>
      <c r="H227" s="267"/>
    </row>
    <row r="228">
      <c r="A228" s="265"/>
      <c r="B228" s="247">
        <v>35586.93</v>
      </c>
      <c r="C228" s="248"/>
      <c r="D228" s="399"/>
      <c r="E228" s="398"/>
      <c r="F228" s="284"/>
      <c r="G228" s="285" t="s">
        <v>82</v>
      </c>
      <c r="H228" s="251"/>
      <c r="I228" s="2" t="s">
        <v>1153</v>
      </c>
    </row>
    <row r="229">
      <c r="A229" s="265"/>
      <c r="B229" s="247">
        <v>8265.0</v>
      </c>
      <c r="C229" s="248"/>
      <c r="D229" s="249"/>
      <c r="F229" s="250"/>
      <c r="G229" s="254" t="s">
        <v>1154</v>
      </c>
      <c r="H229" s="251"/>
    </row>
    <row r="230">
      <c r="A230" s="265"/>
      <c r="B230" s="247">
        <v>13681.0</v>
      </c>
      <c r="C230" s="252"/>
      <c r="D230" s="414"/>
      <c r="E230" s="417"/>
      <c r="F230" s="250"/>
      <c r="G230" s="285" t="s">
        <v>807</v>
      </c>
      <c r="H230" s="267"/>
    </row>
    <row r="231">
      <c r="A231" s="265"/>
      <c r="B231" s="247"/>
      <c r="C231" s="248"/>
      <c r="D231" s="249"/>
      <c r="F231" s="250">
        <v>13500.0</v>
      </c>
      <c r="G231" s="254" t="s">
        <v>605</v>
      </c>
      <c r="H231" s="267"/>
    </row>
    <row r="232">
      <c r="A232" s="265"/>
      <c r="B232" s="404"/>
      <c r="C232" s="405"/>
      <c r="D232" s="399"/>
      <c r="E232" s="398"/>
      <c r="F232" s="284">
        <v>10000.0</v>
      </c>
      <c r="G232" s="285" t="s">
        <v>1155</v>
      </c>
      <c r="H232" s="251"/>
    </row>
    <row r="233">
      <c r="A233" s="265"/>
      <c r="B233" s="247"/>
      <c r="C233" s="252"/>
      <c r="D233" s="400"/>
      <c r="E233" s="398"/>
      <c r="F233" s="284"/>
      <c r="G233" s="285"/>
      <c r="H233" s="251"/>
    </row>
    <row r="234">
      <c r="A234" s="265"/>
      <c r="B234" s="247"/>
      <c r="C234" s="252"/>
      <c r="D234" s="399"/>
      <c r="E234" s="398"/>
      <c r="F234" s="284"/>
      <c r="G234" s="285"/>
      <c r="H234" s="251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78"/>
      <c r="C236" s="252"/>
      <c r="D236" s="253"/>
      <c r="F236" s="250"/>
      <c r="G236" s="254"/>
      <c r="H236" s="251"/>
    </row>
    <row r="237">
      <c r="A237" s="265"/>
      <c r="B237" s="278"/>
      <c r="C237" s="252"/>
      <c r="D237" s="253"/>
      <c r="F237" s="250"/>
      <c r="G237" s="269"/>
      <c r="H237" s="251"/>
    </row>
    <row r="238">
      <c r="A238" s="265"/>
      <c r="B238" s="278"/>
      <c r="C238" s="252"/>
      <c r="D238" s="253"/>
      <c r="F238" s="250"/>
      <c r="G238" s="269"/>
      <c r="H238" s="251"/>
    </row>
    <row r="239">
      <c r="A239" s="270"/>
      <c r="B239" s="271"/>
      <c r="C239" s="272"/>
      <c r="D239" s="273"/>
      <c r="E239" s="18"/>
      <c r="F239" s="274"/>
      <c r="G239" s="275"/>
      <c r="H239" s="261"/>
    </row>
    <row r="240">
      <c r="A240" s="262" t="s">
        <v>1029</v>
      </c>
      <c r="B240" s="239"/>
      <c r="C240" s="263"/>
      <c r="D240" s="264"/>
      <c r="E240" s="244"/>
      <c r="F240" s="243">
        <v>5892.39</v>
      </c>
      <c r="G240" s="276" t="s">
        <v>97</v>
      </c>
      <c r="H240" s="245">
        <v>90.0</v>
      </c>
    </row>
    <row r="241">
      <c r="A241" s="265"/>
      <c r="B241" s="247">
        <v>75119.88</v>
      </c>
      <c r="C241" s="248"/>
      <c r="D241" s="249"/>
      <c r="F241" s="250"/>
      <c r="G241" s="254" t="s">
        <v>142</v>
      </c>
      <c r="H241" s="251"/>
    </row>
    <row r="242">
      <c r="A242" s="265"/>
      <c r="B242" s="247"/>
      <c r="C242" s="248"/>
      <c r="D242" s="399">
        <v>164000.0</v>
      </c>
      <c r="E242" s="398" t="s">
        <v>328</v>
      </c>
      <c r="F242" s="284"/>
      <c r="G242" s="285" t="s">
        <v>122</v>
      </c>
      <c r="H242" s="251"/>
    </row>
    <row r="243">
      <c r="A243" s="265"/>
      <c r="B243" s="247"/>
      <c r="C243" s="248"/>
      <c r="D243" s="249"/>
      <c r="F243" s="250"/>
      <c r="G243" s="254"/>
      <c r="H243" s="267"/>
    </row>
    <row r="244">
      <c r="A244" s="265"/>
      <c r="B244" s="247"/>
      <c r="C244" s="248"/>
      <c r="D244" s="249"/>
      <c r="F244" s="250"/>
      <c r="G244" s="254"/>
      <c r="H244" s="251"/>
    </row>
    <row r="245">
      <c r="A245" s="265"/>
      <c r="B245" s="247"/>
      <c r="C245" s="248"/>
      <c r="D245" s="249"/>
      <c r="F245" s="250"/>
      <c r="G245" s="254"/>
      <c r="H245" s="251"/>
    </row>
    <row r="246">
      <c r="A246" s="265"/>
      <c r="B246" s="247"/>
      <c r="C246" s="252"/>
      <c r="D246" s="249"/>
      <c r="F246" s="250"/>
      <c r="G246" s="254"/>
      <c r="H246" s="251"/>
    </row>
    <row r="247">
      <c r="A247" s="265"/>
      <c r="B247" s="247"/>
      <c r="C247" s="248"/>
      <c r="D247" s="253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414"/>
      <c r="E249" s="417"/>
      <c r="F249" s="418"/>
      <c r="G249" s="420"/>
      <c r="H249" s="251"/>
    </row>
    <row r="250">
      <c r="A250" s="265"/>
      <c r="B250" s="247"/>
      <c r="C250" s="252"/>
      <c r="D250" s="249"/>
      <c r="F250" s="250"/>
      <c r="G250" s="254"/>
      <c r="H250" s="267"/>
    </row>
    <row r="251">
      <c r="A251" s="265"/>
      <c r="B251" s="268"/>
      <c r="C251" s="252"/>
      <c r="D251" s="249"/>
      <c r="F251" s="250"/>
      <c r="G251" s="254"/>
      <c r="H251" s="251"/>
    </row>
    <row r="252">
      <c r="A252" s="265"/>
      <c r="B252" s="268"/>
      <c r="C252" s="252"/>
      <c r="D252" s="253"/>
      <c r="F252" s="250"/>
      <c r="G252" s="254"/>
      <c r="H252" s="251"/>
    </row>
    <row r="253">
      <c r="A253" s="265"/>
      <c r="B253" s="268"/>
      <c r="C253" s="252"/>
      <c r="D253" s="253"/>
      <c r="F253" s="250"/>
      <c r="G253" s="254"/>
      <c r="H253" s="251"/>
    </row>
    <row r="254">
      <c r="A254" s="270"/>
      <c r="B254" s="271"/>
      <c r="C254" s="272"/>
      <c r="D254" s="273"/>
      <c r="E254" s="18"/>
      <c r="F254" s="259"/>
      <c r="G254" s="260"/>
      <c r="H254" s="261"/>
    </row>
    <row r="255">
      <c r="A255" s="262" t="s">
        <v>1156</v>
      </c>
      <c r="B255" s="239">
        <v>46000.0</v>
      </c>
      <c r="C255" s="263"/>
      <c r="D255" s="249"/>
      <c r="E255" s="2" t="s">
        <v>328</v>
      </c>
      <c r="F255" s="250"/>
      <c r="G255" s="254" t="s">
        <v>68</v>
      </c>
      <c r="H255" s="245">
        <v>131.5</v>
      </c>
    </row>
    <row r="256">
      <c r="A256" s="265"/>
      <c r="B256" s="404">
        <v>167700.0</v>
      </c>
      <c r="C256" s="405"/>
      <c r="D256" s="399"/>
      <c r="E256" s="398" t="s">
        <v>328</v>
      </c>
      <c r="F256" s="284"/>
      <c r="G256" s="285" t="s">
        <v>75</v>
      </c>
      <c r="H256" s="267"/>
    </row>
    <row r="257">
      <c r="A257" s="265"/>
      <c r="B257" s="404"/>
      <c r="C257" s="405">
        <v>165388.41</v>
      </c>
      <c r="D257" s="399"/>
      <c r="E257" s="398"/>
      <c r="F257" s="284"/>
      <c r="G257" s="285" t="s">
        <v>71</v>
      </c>
      <c r="H257" s="251"/>
    </row>
    <row r="258">
      <c r="A258" s="265"/>
      <c r="B258" s="247">
        <v>35586.93</v>
      </c>
      <c r="C258" s="248"/>
      <c r="D258" s="249"/>
      <c r="F258" s="250"/>
      <c r="G258" s="254" t="s">
        <v>82</v>
      </c>
      <c r="H258" s="251"/>
    </row>
    <row r="259">
      <c r="A259" s="265"/>
      <c r="B259" s="247"/>
      <c r="C259" s="248"/>
      <c r="D259" s="399">
        <v>98912.1</v>
      </c>
      <c r="E259" s="398" t="s">
        <v>328</v>
      </c>
      <c r="F259" s="284"/>
      <c r="G259" s="285" t="s">
        <v>114</v>
      </c>
      <c r="H259" s="251"/>
    </row>
    <row r="260">
      <c r="A260" s="265"/>
      <c r="B260" s="247"/>
      <c r="C260" s="248"/>
      <c r="D260" s="249"/>
      <c r="F260" s="250">
        <v>12000.0</v>
      </c>
      <c r="G260" s="254" t="s">
        <v>605</v>
      </c>
      <c r="H260" s="251"/>
    </row>
    <row r="261">
      <c r="A261" s="265"/>
      <c r="B261" s="247"/>
      <c r="C261" s="248"/>
      <c r="D261" s="249"/>
      <c r="F261" s="250"/>
      <c r="G261" s="254"/>
      <c r="H261" s="251"/>
    </row>
    <row r="262">
      <c r="A262" s="265"/>
      <c r="B262" s="247"/>
      <c r="C262" s="248"/>
      <c r="D262" s="249"/>
      <c r="F262" s="250"/>
      <c r="G262" s="254"/>
      <c r="H262" s="251"/>
    </row>
    <row r="263">
      <c r="A263" s="265"/>
      <c r="B263" s="247"/>
      <c r="C263" s="252"/>
      <c r="D263" s="249"/>
      <c r="F263" s="250"/>
      <c r="G263" s="254"/>
      <c r="H263" s="251"/>
    </row>
    <row r="264">
      <c r="A264" s="265"/>
      <c r="B264" s="247"/>
      <c r="C264" s="252"/>
      <c r="D264" s="289"/>
      <c r="E264" s="290"/>
      <c r="F264" s="335"/>
      <c r="G264" s="292"/>
      <c r="H264" s="251"/>
    </row>
    <row r="265">
      <c r="A265" s="265"/>
      <c r="B265" s="247"/>
      <c r="C265" s="252"/>
      <c r="D265" s="253"/>
      <c r="F265" s="250"/>
      <c r="G265" s="254"/>
      <c r="H265" s="251"/>
    </row>
    <row r="266">
      <c r="A266" s="265"/>
      <c r="B266" s="268"/>
      <c r="C266" s="252"/>
      <c r="D266" s="253"/>
      <c r="F266" s="250"/>
      <c r="G266" s="269"/>
      <c r="H266" s="251"/>
    </row>
    <row r="267">
      <c r="A267" s="270"/>
      <c r="B267" s="271"/>
      <c r="C267" s="272"/>
      <c r="D267" s="273"/>
      <c r="E267" s="18"/>
      <c r="F267" s="259"/>
      <c r="G267" s="260"/>
      <c r="H267" s="261"/>
    </row>
    <row r="268">
      <c r="A268" s="262" t="s">
        <v>1032</v>
      </c>
      <c r="B268" s="425"/>
      <c r="C268" s="426">
        <v>175335.92</v>
      </c>
      <c r="D268" s="399"/>
      <c r="E268" s="398"/>
      <c r="F268" s="284"/>
      <c r="G268" s="285" t="s">
        <v>84</v>
      </c>
      <c r="H268" s="245">
        <v>164.0</v>
      </c>
      <c r="I268" s="2" t="s">
        <v>1157</v>
      </c>
    </row>
    <row r="269">
      <c r="A269" s="265"/>
      <c r="B269" s="247"/>
      <c r="C269" s="248"/>
      <c r="D269" s="399">
        <v>42113.82</v>
      </c>
      <c r="E269" s="398" t="s">
        <v>328</v>
      </c>
      <c r="F269" s="284"/>
      <c r="G269" s="285" t="s">
        <v>74</v>
      </c>
      <c r="H269" s="267"/>
    </row>
    <row r="270">
      <c r="A270" s="265"/>
      <c r="B270" s="247"/>
      <c r="C270" s="248">
        <v>160605.74</v>
      </c>
      <c r="D270" s="399"/>
      <c r="E270" s="442"/>
      <c r="F270" s="284"/>
      <c r="G270" s="285" t="s">
        <v>89</v>
      </c>
      <c r="H270" s="251"/>
    </row>
    <row r="271">
      <c r="A271" s="265"/>
      <c r="B271" s="247"/>
      <c r="C271" s="248"/>
      <c r="D271" s="399">
        <v>70138.99</v>
      </c>
      <c r="E271" s="398" t="s">
        <v>328</v>
      </c>
      <c r="F271" s="284"/>
      <c r="G271" s="285" t="s">
        <v>73</v>
      </c>
      <c r="H271" s="251"/>
    </row>
    <row r="272">
      <c r="A272" s="265"/>
      <c r="B272" s="247"/>
      <c r="C272" s="252"/>
      <c r="D272" s="414"/>
      <c r="E272" s="417"/>
      <c r="F272" s="418"/>
      <c r="G272" s="420"/>
      <c r="H272" s="251"/>
    </row>
    <row r="273">
      <c r="A273" s="265"/>
      <c r="B273" s="247"/>
      <c r="C273" s="248"/>
      <c r="D273" s="249"/>
      <c r="F273" s="250"/>
      <c r="G273" s="254"/>
      <c r="H273" s="251"/>
    </row>
    <row r="274">
      <c r="A274" s="265"/>
      <c r="B274" s="247"/>
      <c r="C274" s="248"/>
      <c r="D274" s="249"/>
      <c r="F274" s="250"/>
      <c r="G274" s="254"/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52"/>
      <c r="D276" s="249"/>
      <c r="F276" s="250"/>
      <c r="G276" s="254"/>
      <c r="H276" s="251"/>
    </row>
    <row r="277">
      <c r="A277" s="265"/>
      <c r="B277" s="247"/>
      <c r="C277" s="252"/>
      <c r="D277" s="249"/>
      <c r="F277" s="250"/>
      <c r="G277" s="254"/>
      <c r="H277" s="251"/>
    </row>
    <row r="278">
      <c r="A278" s="265"/>
      <c r="B278" s="247"/>
      <c r="C278" s="252"/>
      <c r="D278" s="253"/>
      <c r="F278" s="250"/>
      <c r="G278" s="254"/>
      <c r="H278" s="251"/>
    </row>
    <row r="279">
      <c r="A279" s="265"/>
      <c r="B279" s="268"/>
      <c r="C279" s="252"/>
      <c r="D279" s="253"/>
      <c r="F279" s="250"/>
      <c r="G279" s="254"/>
      <c r="H279" s="251"/>
    </row>
    <row r="280">
      <c r="A280" s="265"/>
      <c r="B280" s="268"/>
      <c r="C280" s="252"/>
      <c r="D280" s="253"/>
      <c r="F280" s="250"/>
      <c r="G280" s="254"/>
      <c r="H280" s="251"/>
    </row>
    <row r="281">
      <c r="A281" s="265"/>
      <c r="B281" s="278"/>
      <c r="C281" s="252"/>
      <c r="D281" s="253"/>
      <c r="F281" s="250"/>
      <c r="G281" s="254"/>
      <c r="H281" s="251"/>
    </row>
    <row r="282">
      <c r="A282" s="265"/>
      <c r="B282" s="278"/>
      <c r="C282" s="252"/>
      <c r="D282" s="253"/>
      <c r="F282" s="282"/>
      <c r="G282" s="269"/>
      <c r="H282" s="251"/>
    </row>
    <row r="283">
      <c r="A283" s="270"/>
      <c r="B283" s="271"/>
      <c r="C283" s="272"/>
      <c r="D283" s="273"/>
      <c r="E283" s="18"/>
      <c r="F283" s="274"/>
      <c r="G283" s="275"/>
      <c r="H283" s="261"/>
    </row>
    <row r="284">
      <c r="A284" s="262" t="s">
        <v>1035</v>
      </c>
      <c r="B284" s="425">
        <v>56809.5</v>
      </c>
      <c r="C284" s="426"/>
      <c r="D284" s="401"/>
      <c r="E284" s="402" t="s">
        <v>328</v>
      </c>
      <c r="F284" s="403"/>
      <c r="G284" s="436" t="s">
        <v>1158</v>
      </c>
      <c r="H284" s="245">
        <v>220.0</v>
      </c>
    </row>
    <row r="285">
      <c r="A285" s="265"/>
      <c r="B285" s="247"/>
      <c r="C285" s="248"/>
      <c r="D285" s="249"/>
      <c r="F285" s="250">
        <v>3689.0</v>
      </c>
      <c r="G285" s="254" t="s">
        <v>1159</v>
      </c>
      <c r="H285" s="267"/>
    </row>
    <row r="286">
      <c r="A286" s="265"/>
      <c r="B286" s="247">
        <v>44857.78</v>
      </c>
      <c r="C286" s="248"/>
      <c r="D286" s="249"/>
      <c r="F286" s="250"/>
      <c r="G286" s="254" t="s">
        <v>82</v>
      </c>
      <c r="H286" s="251"/>
    </row>
    <row r="287">
      <c r="A287" s="265"/>
      <c r="B287" s="247"/>
      <c r="C287" s="248"/>
      <c r="D287" s="249">
        <v>42904.92</v>
      </c>
      <c r="E287" s="2" t="s">
        <v>328</v>
      </c>
      <c r="F287" s="250"/>
      <c r="G287" s="254" t="s">
        <v>114</v>
      </c>
      <c r="H287" s="251"/>
    </row>
    <row r="288">
      <c r="A288" s="265"/>
      <c r="B288" s="247"/>
      <c r="C288" s="252"/>
      <c r="D288" s="249"/>
      <c r="F288" s="250">
        <v>12000.0</v>
      </c>
      <c r="G288" s="285" t="s">
        <v>608</v>
      </c>
      <c r="H288" s="251"/>
    </row>
    <row r="289">
      <c r="A289" s="265"/>
      <c r="B289" s="404">
        <v>46500.0</v>
      </c>
      <c r="C289" s="405"/>
      <c r="D289" s="399"/>
      <c r="E289" s="398" t="s">
        <v>328</v>
      </c>
      <c r="F289" s="284"/>
      <c r="G289" s="285" t="s">
        <v>75</v>
      </c>
      <c r="H289" s="267"/>
    </row>
    <row r="290">
      <c r="A290" s="265"/>
      <c r="B290" s="247">
        <v>10750.0</v>
      </c>
      <c r="C290" s="248"/>
      <c r="D290" s="249"/>
      <c r="F290" s="250"/>
      <c r="G290" s="254" t="s">
        <v>1160</v>
      </c>
      <c r="H290" s="267"/>
    </row>
    <row r="291">
      <c r="A291" s="265"/>
      <c r="B291" s="247"/>
      <c r="C291" s="248"/>
      <c r="D291" s="399">
        <v>227601.0</v>
      </c>
      <c r="E291" s="398" t="s">
        <v>328</v>
      </c>
      <c r="F291" s="284"/>
      <c r="G291" s="285" t="s">
        <v>1161</v>
      </c>
      <c r="H291" s="267"/>
    </row>
    <row r="292">
      <c r="A292" s="265"/>
      <c r="B292" s="247"/>
      <c r="C292" s="252"/>
      <c r="D292" s="399">
        <v>75867.0</v>
      </c>
      <c r="E292" s="398" t="s">
        <v>328</v>
      </c>
      <c r="F292" s="284"/>
      <c r="G292" s="285" t="s">
        <v>877</v>
      </c>
      <c r="H292" s="251"/>
    </row>
    <row r="293">
      <c r="A293" s="265"/>
      <c r="B293" s="268"/>
      <c r="C293" s="252"/>
      <c r="D293" s="249"/>
      <c r="F293" s="250"/>
      <c r="G293" s="254"/>
      <c r="H293" s="251"/>
    </row>
    <row r="294">
      <c r="A294" s="265"/>
      <c r="B294" s="268"/>
      <c r="C294" s="252"/>
      <c r="D294" s="253"/>
      <c r="F294" s="250"/>
      <c r="G294" s="254"/>
      <c r="H294" s="251"/>
    </row>
    <row r="295">
      <c r="A295" s="265"/>
      <c r="B295" s="268"/>
      <c r="C295" s="252"/>
      <c r="D295" s="253"/>
      <c r="F295" s="250"/>
      <c r="G295" s="254"/>
      <c r="H295" s="251"/>
    </row>
    <row r="296">
      <c r="A296" s="265"/>
      <c r="B296" s="268"/>
      <c r="C296" s="252"/>
      <c r="D296" s="253"/>
      <c r="F296" s="250"/>
      <c r="G296" s="254"/>
      <c r="H296" s="251"/>
    </row>
    <row r="297">
      <c r="A297" s="265"/>
      <c r="B297" s="268"/>
      <c r="C297" s="252"/>
      <c r="D297" s="253"/>
      <c r="F297" s="250"/>
      <c r="G297" s="269"/>
      <c r="H297" s="251"/>
    </row>
    <row r="298">
      <c r="A298" s="270"/>
      <c r="B298" s="271"/>
      <c r="C298" s="272"/>
      <c r="D298" s="273"/>
      <c r="E298" s="18"/>
      <c r="F298" s="274"/>
      <c r="G298" s="275"/>
      <c r="H298" s="261"/>
    </row>
    <row r="299">
      <c r="A299" s="262" t="s">
        <v>1036</v>
      </c>
      <c r="B299" s="239"/>
      <c r="C299" s="426">
        <v>39703.09</v>
      </c>
      <c r="D299" s="401"/>
      <c r="E299" s="402"/>
      <c r="F299" s="284"/>
      <c r="G299" s="285" t="s">
        <v>84</v>
      </c>
      <c r="H299" s="245">
        <v>272.0</v>
      </c>
      <c r="I299" s="2" t="s">
        <v>1162</v>
      </c>
    </row>
    <row r="300">
      <c r="A300" s="265"/>
      <c r="B300" s="247"/>
      <c r="C300" s="252"/>
      <c r="D300" s="253"/>
      <c r="F300" s="250">
        <v>2700.0</v>
      </c>
      <c r="G300" s="254" t="s">
        <v>97</v>
      </c>
      <c r="H300" s="267"/>
    </row>
    <row r="301">
      <c r="A301" s="265"/>
      <c r="B301" s="247"/>
      <c r="C301" s="405">
        <v>51200.0</v>
      </c>
      <c r="D301" s="399"/>
      <c r="E301" s="398" t="s">
        <v>328</v>
      </c>
      <c r="F301" s="284"/>
      <c r="G301" s="285" t="s">
        <v>76</v>
      </c>
      <c r="H301" s="251"/>
    </row>
    <row r="302">
      <c r="A302" s="265"/>
      <c r="B302" s="247"/>
      <c r="C302" s="248"/>
      <c r="D302" s="249"/>
      <c r="F302" s="250"/>
      <c r="G302" s="254"/>
      <c r="H302" s="251"/>
    </row>
    <row r="303">
      <c r="A303" s="265"/>
      <c r="B303" s="247"/>
      <c r="C303" s="248"/>
      <c r="D303" s="249"/>
      <c r="F303" s="250"/>
      <c r="G303" s="254"/>
      <c r="H303" s="267"/>
    </row>
    <row r="304">
      <c r="A304" s="265"/>
      <c r="B304" s="247"/>
      <c r="C304" s="248"/>
      <c r="D304" s="249"/>
      <c r="F304" s="250"/>
      <c r="G304" s="254"/>
      <c r="H304" s="267"/>
    </row>
    <row r="305">
      <c r="A305" s="265"/>
      <c r="B305" s="247"/>
      <c r="C305" s="252"/>
      <c r="D305" s="249"/>
      <c r="F305" s="250"/>
      <c r="G305" s="254"/>
      <c r="H305" s="251"/>
    </row>
    <row r="306">
      <c r="A306" s="265"/>
      <c r="B306" s="247"/>
      <c r="C306" s="248"/>
      <c r="D306" s="249"/>
      <c r="F306" s="250"/>
      <c r="G306" s="254"/>
      <c r="H306" s="251"/>
    </row>
    <row r="307">
      <c r="A307" s="265"/>
      <c r="B307" s="268"/>
      <c r="C307" s="252"/>
      <c r="D307" s="253"/>
      <c r="F307" s="250"/>
      <c r="G307" s="254"/>
      <c r="H307" s="251"/>
    </row>
    <row r="308">
      <c r="A308" s="265"/>
      <c r="B308" s="268"/>
      <c r="C308" s="252"/>
      <c r="D308" s="253"/>
      <c r="F308" s="250"/>
      <c r="G308" s="254"/>
      <c r="H308" s="251"/>
    </row>
    <row r="309">
      <c r="A309" s="265"/>
      <c r="B309" s="247"/>
      <c r="C309" s="252"/>
      <c r="D309" s="253"/>
      <c r="F309" s="250"/>
      <c r="G309" s="254"/>
      <c r="H309" s="251"/>
    </row>
    <row r="310">
      <c r="A310" s="265"/>
      <c r="B310" s="247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69"/>
      <c r="H312" s="251"/>
    </row>
    <row r="313">
      <c r="A313" s="270"/>
      <c r="B313" s="271"/>
      <c r="C313" s="272"/>
      <c r="D313" s="273"/>
      <c r="E313" s="18"/>
      <c r="F313" s="274"/>
      <c r="G313" s="18"/>
      <c r="H313" s="261"/>
    </row>
    <row r="314">
      <c r="A314" s="262" t="s">
        <v>1039</v>
      </c>
      <c r="B314" s="425">
        <v>59301.94</v>
      </c>
      <c r="C314" s="426"/>
      <c r="D314" s="401"/>
      <c r="E314" s="402"/>
      <c r="F314" s="403"/>
      <c r="G314" s="402" t="s">
        <v>1163</v>
      </c>
      <c r="H314" s="245">
        <v>150.0</v>
      </c>
    </row>
    <row r="315">
      <c r="A315" s="265"/>
      <c r="B315" s="404">
        <v>26554.0</v>
      </c>
      <c r="C315" s="405"/>
      <c r="D315" s="399"/>
      <c r="E315" s="398" t="s">
        <v>328</v>
      </c>
      <c r="F315" s="284"/>
      <c r="G315" s="398" t="s">
        <v>100</v>
      </c>
      <c r="H315" s="267"/>
      <c r="I315" s="2" t="s">
        <v>1164</v>
      </c>
    </row>
    <row r="316">
      <c r="A316" s="265"/>
      <c r="B316" s="419"/>
      <c r="C316" s="427"/>
      <c r="D316" s="399">
        <v>263099.34</v>
      </c>
      <c r="E316" s="398" t="s">
        <v>328</v>
      </c>
      <c r="F316" s="284"/>
      <c r="G316" s="398" t="s">
        <v>114</v>
      </c>
      <c r="H316" s="251"/>
    </row>
    <row r="317">
      <c r="A317" s="265"/>
      <c r="B317" s="404">
        <v>100000.0</v>
      </c>
      <c r="C317" s="405"/>
      <c r="D317" s="399"/>
      <c r="E317" s="398" t="s">
        <v>328</v>
      </c>
      <c r="F317" s="284"/>
      <c r="G317" s="398" t="s">
        <v>75</v>
      </c>
      <c r="H317" s="251"/>
    </row>
    <row r="318">
      <c r="A318" s="265"/>
      <c r="B318" s="419"/>
      <c r="C318" s="427"/>
      <c r="D318" s="399">
        <v>161404.5</v>
      </c>
      <c r="E318" s="398"/>
      <c r="F318" s="284"/>
      <c r="G318" s="398" t="s">
        <v>103</v>
      </c>
      <c r="H318" s="251"/>
    </row>
    <row r="319">
      <c r="A319" s="265"/>
      <c r="B319" s="247"/>
      <c r="C319" s="248"/>
      <c r="D319" s="249"/>
      <c r="F319" s="250">
        <v>4982.0</v>
      </c>
      <c r="G319" s="2" t="s">
        <v>1165</v>
      </c>
      <c r="H319" s="251"/>
    </row>
    <row r="320">
      <c r="A320" s="265"/>
      <c r="B320" s="247"/>
      <c r="C320" s="248"/>
      <c r="D320" s="249"/>
      <c r="F320" s="250"/>
      <c r="H320" s="251"/>
    </row>
    <row r="321">
      <c r="A321" s="265"/>
      <c r="B321" s="247"/>
      <c r="C321" s="252"/>
      <c r="D321" s="249"/>
      <c r="F321" s="250"/>
      <c r="H321" s="251"/>
    </row>
    <row r="322">
      <c r="A322" s="265"/>
      <c r="B322" s="247"/>
      <c r="C322" s="252"/>
      <c r="D322" s="253"/>
      <c r="F322" s="250"/>
      <c r="H322" s="251"/>
    </row>
    <row r="323">
      <c r="A323" s="265"/>
      <c r="B323" s="247"/>
      <c r="C323" s="252"/>
      <c r="D323" s="249"/>
      <c r="F323" s="250"/>
      <c r="H323" s="251"/>
    </row>
    <row r="324">
      <c r="A324" s="265"/>
      <c r="B324" s="247"/>
      <c r="C324" s="252"/>
      <c r="D324" s="253"/>
      <c r="F324" s="250"/>
      <c r="H324" s="251"/>
    </row>
    <row r="325">
      <c r="A325" s="265"/>
      <c r="B325" s="247"/>
      <c r="C325" s="252"/>
      <c r="D325" s="253"/>
      <c r="F325" s="250"/>
      <c r="H325" s="251"/>
    </row>
    <row r="326">
      <c r="A326" s="265"/>
      <c r="B326" s="247"/>
      <c r="C326" s="252"/>
      <c r="D326" s="249"/>
      <c r="F326" s="250"/>
      <c r="H326" s="251"/>
    </row>
    <row r="327">
      <c r="A327" s="270"/>
      <c r="B327" s="271"/>
      <c r="C327" s="272"/>
      <c r="D327" s="273"/>
      <c r="E327" s="18"/>
      <c r="F327" s="259"/>
      <c r="G327" s="293"/>
      <c r="H327" s="261"/>
    </row>
    <row r="328">
      <c r="A328" s="262" t="s">
        <v>1041</v>
      </c>
      <c r="B328" s="239"/>
      <c r="C328" s="263"/>
      <c r="D328" s="264"/>
      <c r="E328" s="244"/>
      <c r="F328" s="243">
        <v>3771.0</v>
      </c>
      <c r="G328" s="244" t="s">
        <v>97</v>
      </c>
      <c r="H328" s="245">
        <v>198.0</v>
      </c>
    </row>
    <row r="329">
      <c r="A329" s="265"/>
      <c r="B329" s="247">
        <v>16493.4</v>
      </c>
      <c r="C329" s="248"/>
      <c r="D329" s="414"/>
      <c r="E329" s="398" t="s">
        <v>328</v>
      </c>
      <c r="F329" s="418"/>
      <c r="G329" s="398" t="s">
        <v>291</v>
      </c>
      <c r="H329" s="267"/>
    </row>
    <row r="330">
      <c r="A330" s="265"/>
      <c r="B330" s="404"/>
      <c r="C330" s="405">
        <v>250860.39</v>
      </c>
      <c r="D330" s="414"/>
      <c r="E330" s="398" t="s">
        <v>328</v>
      </c>
      <c r="F330" s="418"/>
      <c r="G330" s="398" t="s">
        <v>71</v>
      </c>
      <c r="H330" s="267"/>
    </row>
    <row r="331">
      <c r="A331" s="265"/>
      <c r="B331" s="404">
        <v>46000.0</v>
      </c>
      <c r="C331" s="405"/>
      <c r="D331" s="399"/>
      <c r="E331" s="398" t="s">
        <v>328</v>
      </c>
      <c r="F331" s="284"/>
      <c r="G331" s="398" t="s">
        <v>68</v>
      </c>
      <c r="H331" s="251"/>
    </row>
    <row r="332">
      <c r="A332" s="265"/>
      <c r="B332" s="247">
        <v>153456.6</v>
      </c>
      <c r="C332" s="248"/>
      <c r="D332" s="414"/>
      <c r="E332" s="417"/>
      <c r="F332" s="418"/>
      <c r="G332" s="398" t="s">
        <v>142</v>
      </c>
      <c r="H332" s="251"/>
    </row>
    <row r="333">
      <c r="A333" s="265"/>
      <c r="B333" s="247"/>
      <c r="C333" s="252"/>
      <c r="D333" s="414"/>
      <c r="E333" s="417"/>
      <c r="F333" s="284"/>
      <c r="G333" s="398"/>
      <c r="H333" s="251"/>
      <c r="I333" s="2" t="s">
        <v>1166</v>
      </c>
    </row>
    <row r="334">
      <c r="A334" s="265"/>
      <c r="B334" s="247"/>
      <c r="C334" s="252"/>
      <c r="D334" s="249"/>
      <c r="F334" s="250"/>
      <c r="H334" s="251"/>
    </row>
    <row r="335">
      <c r="A335" s="265"/>
      <c r="B335" s="247"/>
      <c r="C335" s="252"/>
      <c r="D335" s="249"/>
      <c r="F335" s="250"/>
      <c r="H335" s="251"/>
    </row>
    <row r="336">
      <c r="A336" s="265"/>
      <c r="B336" s="247"/>
      <c r="C336" s="252"/>
      <c r="D336" s="249"/>
      <c r="F336" s="250"/>
      <c r="H336" s="251"/>
    </row>
    <row r="337">
      <c r="A337" s="265"/>
      <c r="B337" s="247"/>
      <c r="C337" s="252"/>
      <c r="D337" s="253"/>
      <c r="F337" s="250"/>
      <c r="H337" s="251"/>
    </row>
    <row r="338">
      <c r="A338" s="265"/>
      <c r="B338" s="247"/>
      <c r="C338" s="252"/>
      <c r="D338" s="253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68"/>
      <c r="C340" s="252"/>
      <c r="D340" s="253"/>
      <c r="F340" s="250"/>
      <c r="H340" s="251"/>
    </row>
    <row r="341">
      <c r="A341" s="265"/>
      <c r="B341" s="268"/>
      <c r="C341" s="252"/>
      <c r="D341" s="253"/>
      <c r="F341" s="250"/>
      <c r="H341" s="251"/>
    </row>
    <row r="342">
      <c r="A342" s="265"/>
      <c r="B342" s="268"/>
      <c r="C342" s="252"/>
      <c r="D342" s="253"/>
      <c r="F342" s="250"/>
      <c r="H342" s="251"/>
    </row>
    <row r="343">
      <c r="A343" s="265"/>
      <c r="B343" s="268"/>
      <c r="C343" s="252"/>
      <c r="D343" s="253"/>
      <c r="F343" s="250"/>
      <c r="H343" s="251"/>
    </row>
    <row r="344">
      <c r="A344" s="265"/>
      <c r="B344" s="268"/>
      <c r="C344" s="252"/>
      <c r="D344" s="253"/>
      <c r="F344" s="250"/>
      <c r="H344" s="251"/>
    </row>
    <row r="345">
      <c r="A345" s="270"/>
      <c r="B345" s="271"/>
      <c r="C345" s="272"/>
      <c r="D345" s="273"/>
      <c r="E345" s="18"/>
      <c r="F345" s="274"/>
      <c r="G345" s="18"/>
      <c r="H345" s="261"/>
    </row>
    <row r="346">
      <c r="A346" s="262" t="s">
        <v>1042</v>
      </c>
      <c r="B346" s="239"/>
      <c r="C346" s="263"/>
      <c r="D346" s="421"/>
      <c r="E346" s="422"/>
      <c r="F346" s="403">
        <v>13500.0</v>
      </c>
      <c r="G346" s="2" t="s">
        <v>605</v>
      </c>
      <c r="H346" s="245">
        <v>130.0</v>
      </c>
    </row>
    <row r="347">
      <c r="A347" s="265"/>
      <c r="B347" s="419">
        <v>144800.0</v>
      </c>
      <c r="C347" s="427"/>
      <c r="D347" s="414"/>
      <c r="E347" s="417" t="s">
        <v>306</v>
      </c>
      <c r="F347" s="418"/>
      <c r="G347" s="417" t="s">
        <v>75</v>
      </c>
      <c r="H347" s="267"/>
    </row>
    <row r="348">
      <c r="A348" s="265"/>
      <c r="B348" s="247"/>
      <c r="C348" s="248"/>
      <c r="D348" s="249"/>
      <c r="F348" s="250">
        <v>5340.0</v>
      </c>
      <c r="G348" s="2" t="s">
        <v>329</v>
      </c>
      <c r="H348" s="267"/>
    </row>
    <row r="349">
      <c r="A349" s="265"/>
      <c r="B349" s="247">
        <v>53380.37</v>
      </c>
      <c r="C349" s="248"/>
      <c r="D349" s="249"/>
      <c r="F349" s="250"/>
      <c r="G349" s="2" t="s">
        <v>82</v>
      </c>
      <c r="H349" s="251"/>
    </row>
    <row r="350">
      <c r="A350" s="265"/>
      <c r="B350" s="247"/>
      <c r="C350" s="252"/>
      <c r="D350" s="249"/>
      <c r="F350" s="250"/>
      <c r="H350" s="251"/>
    </row>
    <row r="351">
      <c r="A351" s="265"/>
      <c r="B351" s="247"/>
      <c r="C351" s="252"/>
      <c r="D351" s="253"/>
      <c r="F351" s="250"/>
      <c r="H351" s="251"/>
    </row>
    <row r="352">
      <c r="A352" s="265"/>
      <c r="B352" s="247"/>
      <c r="C352" s="252"/>
      <c r="D352" s="249"/>
      <c r="F352" s="250"/>
      <c r="H352" s="251"/>
    </row>
    <row r="353">
      <c r="A353" s="265"/>
      <c r="B353" s="268"/>
      <c r="C353" s="252"/>
      <c r="D353" s="249"/>
      <c r="F353" s="250"/>
      <c r="H353" s="251"/>
    </row>
    <row r="354">
      <c r="A354" s="265"/>
      <c r="B354" s="268"/>
      <c r="C354" s="252"/>
      <c r="D354" s="253"/>
      <c r="F354" s="250"/>
      <c r="H354" s="251"/>
    </row>
    <row r="355">
      <c r="A355" s="265"/>
      <c r="B355" s="247"/>
      <c r="C355" s="252"/>
      <c r="D355" s="253"/>
      <c r="F355" s="250"/>
      <c r="H355" s="251"/>
    </row>
    <row r="356">
      <c r="A356" s="265"/>
      <c r="B356" s="268"/>
      <c r="C356" s="252"/>
      <c r="D356" s="253"/>
      <c r="F356" s="250"/>
      <c r="H356" s="251"/>
    </row>
    <row r="357">
      <c r="A357" s="270"/>
      <c r="B357" s="268"/>
      <c r="C357" s="252"/>
      <c r="D357" s="253"/>
      <c r="F357" s="250"/>
      <c r="H357" s="251"/>
    </row>
    <row r="358">
      <c r="A358" s="437"/>
      <c r="B358" s="247"/>
      <c r="C358" s="248"/>
      <c r="D358" s="249"/>
      <c r="F358" s="250"/>
      <c r="G358" s="398"/>
      <c r="H358" s="267"/>
    </row>
    <row r="359">
      <c r="A359" s="262" t="s">
        <v>1043</v>
      </c>
      <c r="B359" s="239"/>
      <c r="C359" s="263">
        <v>180601.33</v>
      </c>
      <c r="D359" s="264"/>
      <c r="E359" s="244"/>
      <c r="F359" s="243"/>
      <c r="G359" s="402" t="s">
        <v>84</v>
      </c>
      <c r="H359" s="245">
        <v>150.0</v>
      </c>
    </row>
    <row r="360">
      <c r="A360" s="265"/>
      <c r="B360" s="247"/>
      <c r="C360" s="248"/>
      <c r="D360" s="443">
        <v>252885.76</v>
      </c>
      <c r="E360" s="398" t="s">
        <v>328</v>
      </c>
      <c r="F360" s="284"/>
      <c r="G360" s="398" t="s">
        <v>74</v>
      </c>
      <c r="H360" s="267"/>
    </row>
    <row r="361">
      <c r="A361" s="265"/>
      <c r="B361" s="419"/>
      <c r="C361" s="427"/>
      <c r="D361" s="399">
        <v>18069.08</v>
      </c>
      <c r="E361" s="398" t="s">
        <v>328</v>
      </c>
      <c r="F361" s="284"/>
      <c r="G361" s="398" t="s">
        <v>73</v>
      </c>
      <c r="H361" s="267"/>
    </row>
    <row r="362">
      <c r="A362" s="265"/>
      <c r="B362" s="247"/>
      <c r="C362" s="252"/>
      <c r="D362" s="399">
        <v>164000.0</v>
      </c>
      <c r="E362" s="398" t="s">
        <v>328</v>
      </c>
      <c r="F362" s="284"/>
      <c r="G362" s="398" t="s">
        <v>122</v>
      </c>
      <c r="H362" s="251"/>
    </row>
    <row r="363">
      <c r="A363" s="265"/>
      <c r="B363" s="247">
        <v>41700.0</v>
      </c>
      <c r="C363" s="252"/>
      <c r="D363" s="414"/>
      <c r="E363" s="398" t="s">
        <v>328</v>
      </c>
      <c r="F363" s="418"/>
      <c r="G363" s="398" t="s">
        <v>76</v>
      </c>
      <c r="H363" s="294"/>
    </row>
    <row r="364">
      <c r="A364" s="265"/>
      <c r="B364" s="247">
        <v>13682.0</v>
      </c>
      <c r="C364" s="252"/>
      <c r="D364" s="249"/>
      <c r="F364" s="250"/>
      <c r="G364" s="2" t="s">
        <v>1061</v>
      </c>
      <c r="H364" s="251"/>
    </row>
    <row r="365">
      <c r="A365" s="265"/>
      <c r="B365" s="247">
        <v>68500.0</v>
      </c>
      <c r="C365" s="252"/>
      <c r="D365" s="249"/>
      <c r="F365" s="250"/>
      <c r="G365" s="2" t="s">
        <v>1167</v>
      </c>
      <c r="H365" s="251"/>
    </row>
    <row r="366">
      <c r="A366" s="265"/>
      <c r="B366" s="247">
        <v>24785.0</v>
      </c>
      <c r="C366" s="252"/>
      <c r="D366" s="249"/>
      <c r="F366" s="250"/>
      <c r="G366" s="2" t="s">
        <v>352</v>
      </c>
      <c r="H366" s="267"/>
    </row>
    <row r="367">
      <c r="A367" s="265"/>
      <c r="B367" s="247">
        <v>60000.0</v>
      </c>
      <c r="C367" s="252"/>
      <c r="D367" s="249"/>
      <c r="F367" s="250"/>
      <c r="G367" s="2" t="s">
        <v>1168</v>
      </c>
      <c r="H367" s="251"/>
    </row>
    <row r="368">
      <c r="A368" s="265"/>
      <c r="B368" s="247"/>
      <c r="C368" s="252"/>
      <c r="D368" s="249"/>
      <c r="F368" s="250">
        <v>6000.0</v>
      </c>
      <c r="G368" s="2" t="s">
        <v>1169</v>
      </c>
      <c r="H368" s="267"/>
    </row>
    <row r="369">
      <c r="A369" s="270"/>
      <c r="B369" s="271"/>
      <c r="C369" s="272"/>
      <c r="D369" s="295"/>
      <c r="E369" s="18"/>
      <c r="F369" s="274"/>
      <c r="G369" s="293"/>
      <c r="H369" s="261"/>
    </row>
    <row r="370">
      <c r="A370" s="262" t="s">
        <v>187</v>
      </c>
      <c r="B370" s="239"/>
      <c r="C370" s="240"/>
      <c r="D370" s="317">
        <v>340136.0</v>
      </c>
      <c r="E370" s="242"/>
      <c r="F370" s="243"/>
      <c r="G370" s="2" t="s">
        <v>188</v>
      </c>
      <c r="H370" s="297">
        <v>45408.0</v>
      </c>
      <c r="I370" s="2" t="s">
        <v>189</v>
      </c>
    </row>
    <row r="371">
      <c r="A371" s="265"/>
      <c r="B371" s="247"/>
      <c r="C371" s="248"/>
      <c r="D371" s="317">
        <v>20023.4</v>
      </c>
      <c r="E371" s="429"/>
      <c r="F371" s="250"/>
      <c r="G371" s="2" t="s">
        <v>190</v>
      </c>
      <c r="H371" s="294">
        <v>45401.0</v>
      </c>
    </row>
    <row r="372">
      <c r="A372" s="265"/>
      <c r="B372" s="247"/>
      <c r="C372" s="248"/>
      <c r="D372" s="438">
        <v>14479.68</v>
      </c>
      <c r="F372" s="250"/>
      <c r="G372" s="2" t="s">
        <v>191</v>
      </c>
      <c r="H372" s="294"/>
    </row>
    <row r="373">
      <c r="A373" s="265"/>
      <c r="B373" s="268"/>
      <c r="C373" s="252"/>
      <c r="D373" s="249"/>
      <c r="F373" s="250"/>
      <c r="H373" s="294"/>
    </row>
    <row r="374">
      <c r="A374" s="265"/>
      <c r="B374" s="268"/>
      <c r="C374" s="252"/>
      <c r="D374" s="249">
        <v>360000.0</v>
      </c>
      <c r="F374" s="250"/>
      <c r="G374" s="2" t="s">
        <v>192</v>
      </c>
      <c r="H374" s="294">
        <v>45400.0</v>
      </c>
    </row>
    <row r="375">
      <c r="A375" s="265"/>
      <c r="B375" s="268"/>
      <c r="C375" s="252"/>
      <c r="D375" s="253"/>
      <c r="F375" s="250">
        <v>300000.0</v>
      </c>
      <c r="G375" s="2" t="s">
        <v>193</v>
      </c>
      <c r="H375" s="294">
        <v>45397.0</v>
      </c>
    </row>
    <row r="376">
      <c r="A376" s="265"/>
      <c r="B376" s="247"/>
      <c r="C376" s="252"/>
      <c r="D376" s="249"/>
      <c r="F376" s="250"/>
      <c r="G376" s="2" t="s">
        <v>1093</v>
      </c>
      <c r="H376" s="294"/>
    </row>
    <row r="377">
      <c r="A377" s="265"/>
      <c r="B377" s="247"/>
      <c r="C377" s="252"/>
      <c r="D377" s="249">
        <v>90200.0</v>
      </c>
      <c r="F377" s="250"/>
      <c r="G377" s="2" t="s">
        <v>196</v>
      </c>
      <c r="H377" s="294">
        <v>45387.0</v>
      </c>
      <c r="I377" s="318"/>
    </row>
    <row r="378">
      <c r="A378" s="265"/>
      <c r="B378" s="247">
        <v>31425.0</v>
      </c>
      <c r="C378" s="252"/>
      <c r="D378" s="249"/>
      <c r="F378" s="250"/>
      <c r="G378" s="2" t="s">
        <v>197</v>
      </c>
      <c r="H378" s="294"/>
      <c r="I378" s="2" t="s">
        <v>198</v>
      </c>
    </row>
    <row r="379">
      <c r="A379" s="265"/>
      <c r="B379" s="268"/>
      <c r="C379" s="252"/>
      <c r="D379" s="249">
        <v>29635.21</v>
      </c>
      <c r="F379" s="250"/>
      <c r="G379" s="2" t="s">
        <v>199</v>
      </c>
      <c r="H379" s="294"/>
      <c r="I379" s="2" t="s">
        <v>189</v>
      </c>
    </row>
    <row r="380">
      <c r="A380" s="265"/>
      <c r="B380" s="247"/>
      <c r="C380" s="252"/>
      <c r="D380" s="296">
        <v>72362.88</v>
      </c>
      <c r="F380" s="250"/>
      <c r="G380" s="2" t="s">
        <v>200</v>
      </c>
      <c r="H380" s="294">
        <v>45391.0</v>
      </c>
      <c r="I380" s="2" t="s">
        <v>189</v>
      </c>
    </row>
    <row r="381">
      <c r="A381" s="265"/>
      <c r="B381" s="278"/>
      <c r="C381" s="248"/>
      <c r="D381" s="439">
        <v>14284.74</v>
      </c>
      <c r="F381" s="282"/>
      <c r="G381" s="2" t="s">
        <v>201</v>
      </c>
      <c r="H381" s="294"/>
      <c r="I381" s="2" t="s">
        <v>189</v>
      </c>
    </row>
    <row r="382">
      <c r="A382" s="270"/>
      <c r="B382" s="277"/>
      <c r="C382" s="248"/>
      <c r="D382" s="295"/>
      <c r="F382" s="250"/>
      <c r="H382" s="294"/>
    </row>
    <row r="383">
      <c r="A383" s="299"/>
      <c r="B383" s="278"/>
      <c r="C383" s="248"/>
      <c r="D383" s="295"/>
      <c r="F383" s="282"/>
      <c r="H383" s="294"/>
    </row>
    <row r="384">
      <c r="A384" s="299"/>
      <c r="B384" s="278"/>
      <c r="C384" s="248"/>
      <c r="D384" s="431">
        <v>562476.72</v>
      </c>
      <c r="E384" s="417" t="s">
        <v>1094</v>
      </c>
      <c r="F384" s="432"/>
      <c r="G384" s="417" t="s">
        <v>202</v>
      </c>
      <c r="H384" s="301"/>
      <c r="I384" s="2" t="s">
        <v>203</v>
      </c>
    </row>
    <row r="385">
      <c r="A385" s="299"/>
      <c r="B385" s="278"/>
      <c r="C385" s="248"/>
      <c r="D385" s="295"/>
      <c r="F385" s="250"/>
      <c r="G385" s="2" t="s">
        <v>204</v>
      </c>
      <c r="H385" s="301"/>
    </row>
    <row r="386">
      <c r="A386" s="303"/>
      <c r="B386" s="278"/>
      <c r="C386" s="252"/>
      <c r="D386" s="249"/>
      <c r="F386" s="250"/>
      <c r="G386" s="2" t="s">
        <v>205</v>
      </c>
      <c r="H386" s="301"/>
    </row>
    <row r="387">
      <c r="A387" s="303"/>
      <c r="B387" s="268"/>
      <c r="C387" s="252"/>
      <c r="D387" s="249"/>
      <c r="F387" s="250"/>
      <c r="G387" s="2" t="s">
        <v>735</v>
      </c>
      <c r="H387" s="301"/>
    </row>
    <row r="388">
      <c r="A388" s="303"/>
      <c r="B388" s="247"/>
      <c r="C388" s="252"/>
      <c r="D388" s="249"/>
      <c r="F388" s="250"/>
      <c r="G388" s="2" t="s">
        <v>206</v>
      </c>
      <c r="H388" s="294"/>
      <c r="I388" s="2" t="s">
        <v>203</v>
      </c>
    </row>
    <row r="389">
      <c r="A389" s="303"/>
      <c r="B389" s="268"/>
      <c r="C389" s="252"/>
      <c r="D389" s="300">
        <v>142499.15</v>
      </c>
      <c r="F389" s="332"/>
      <c r="G389" s="2" t="s">
        <v>209</v>
      </c>
      <c r="H389" s="294"/>
      <c r="I389" s="2" t="s">
        <v>1170</v>
      </c>
    </row>
    <row r="390">
      <c r="A390" s="303"/>
      <c r="B390" s="247"/>
      <c r="C390" s="252"/>
      <c r="D390" s="249">
        <v>900000.0</v>
      </c>
      <c r="F390" s="250"/>
      <c r="G390" s="2" t="s">
        <v>1171</v>
      </c>
      <c r="H390" s="294">
        <v>45394.0</v>
      </c>
    </row>
    <row r="391">
      <c r="A391" s="303"/>
      <c r="B391" s="268"/>
      <c r="C391" s="252"/>
      <c r="D391" s="249">
        <v>90880.0</v>
      </c>
      <c r="F391" s="250"/>
      <c r="G391" s="2" t="s">
        <v>1172</v>
      </c>
      <c r="H391" s="294"/>
    </row>
    <row r="392">
      <c r="A392" s="303"/>
      <c r="B392" s="268"/>
      <c r="C392" s="252"/>
      <c r="D392" s="249"/>
      <c r="F392" s="250"/>
      <c r="H392" s="294"/>
    </row>
    <row r="393">
      <c r="A393" s="303"/>
      <c r="B393" s="247">
        <v>66014.0</v>
      </c>
      <c r="C393" s="252"/>
      <c r="D393" s="331"/>
      <c r="F393" s="266"/>
      <c r="G393" s="2" t="s">
        <v>667</v>
      </c>
      <c r="H393" s="294">
        <v>45394.0</v>
      </c>
    </row>
    <row r="394">
      <c r="A394" s="304"/>
      <c r="B394" s="268"/>
      <c r="C394" s="252"/>
      <c r="D394" s="249">
        <v>74000.0</v>
      </c>
      <c r="F394" s="332"/>
      <c r="G394" s="2" t="s">
        <v>1095</v>
      </c>
      <c r="H394" s="294">
        <v>45387.0</v>
      </c>
    </row>
    <row r="395">
      <c r="A395" s="305"/>
      <c r="B395" s="406">
        <f>SUM(B370:B394)</f>
        <v>97439</v>
      </c>
      <c r="C395" s="272"/>
      <c r="D395" s="392">
        <f>SUM(D370:D394)</f>
        <v>2710977.78</v>
      </c>
      <c r="E395" s="18"/>
      <c r="F395" s="393">
        <f>SUM(F370:F394)</f>
        <v>300000</v>
      </c>
      <c r="G395" s="18"/>
      <c r="H395" s="261"/>
    </row>
    <row r="396">
      <c r="A396" s="265"/>
      <c r="B396" s="306"/>
      <c r="C396" s="240"/>
      <c r="D396" s="241"/>
      <c r="E396" s="242"/>
      <c r="F396" s="243"/>
      <c r="G396" s="244"/>
      <c r="H396" s="307"/>
    </row>
    <row r="397">
      <c r="A397" s="265"/>
      <c r="B397" s="268"/>
      <c r="C397" s="252"/>
      <c r="D397" s="253"/>
      <c r="F397" s="250"/>
      <c r="H397" s="251"/>
    </row>
    <row r="398">
      <c r="A398" s="265"/>
      <c r="B398" s="268"/>
      <c r="C398" s="252"/>
      <c r="D398" s="253"/>
      <c r="F398" s="250"/>
      <c r="H398" s="251"/>
    </row>
    <row r="399">
      <c r="A399" s="265"/>
      <c r="B399" s="268"/>
      <c r="C399" s="252"/>
      <c r="D399" s="253"/>
      <c r="F399" s="250"/>
      <c r="H399" s="251"/>
    </row>
    <row r="400">
      <c r="A400" s="265"/>
      <c r="B400" s="268"/>
      <c r="C400" s="252"/>
      <c r="D400" s="253"/>
      <c r="F400" s="250"/>
      <c r="H400" s="251"/>
    </row>
    <row r="401">
      <c r="A401" s="265"/>
      <c r="B401" s="268"/>
      <c r="C401" s="252"/>
      <c r="D401" s="253"/>
      <c r="F401" s="250"/>
      <c r="H401" s="251"/>
    </row>
    <row r="402">
      <c r="A402" s="265"/>
      <c r="B402" s="268"/>
      <c r="C402" s="252"/>
      <c r="D402" s="253"/>
      <c r="F402" s="250"/>
      <c r="H402" s="251"/>
    </row>
    <row r="403">
      <c r="A403" s="265"/>
      <c r="B403" s="268"/>
      <c r="C403" s="252"/>
      <c r="D403" s="253"/>
      <c r="F403" s="250"/>
      <c r="H403" s="251"/>
    </row>
    <row r="404">
      <c r="A404" s="270"/>
      <c r="B404" s="268"/>
      <c r="C404" s="252"/>
      <c r="D404" s="253"/>
      <c r="F404" s="250"/>
      <c r="H404" s="251"/>
    </row>
    <row r="405">
      <c r="A405" s="305"/>
      <c r="B405" s="271"/>
      <c r="C405" s="272"/>
      <c r="D405" s="273"/>
      <c r="E405" s="18"/>
      <c r="F405" s="274"/>
      <c r="G405" s="18"/>
      <c r="H405" s="261"/>
    </row>
    <row r="406">
      <c r="A406" s="265"/>
      <c r="B406" s="306"/>
      <c r="C406" s="240"/>
      <c r="D406" s="241"/>
      <c r="E406" s="242"/>
      <c r="F406" s="243"/>
      <c r="G406" s="244"/>
      <c r="H406" s="307"/>
    </row>
    <row r="407">
      <c r="A407" s="265"/>
      <c r="B407" s="268"/>
      <c r="C407" s="252"/>
      <c r="D407" s="253"/>
      <c r="F407" s="250"/>
      <c r="H407" s="251"/>
    </row>
    <row r="408">
      <c r="A408" s="265"/>
      <c r="B408" s="268"/>
      <c r="C408" s="252"/>
      <c r="D408" s="253"/>
      <c r="F408" s="250"/>
      <c r="H408" s="251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70"/>
      <c r="B414" s="268"/>
      <c r="C414" s="252"/>
      <c r="D414" s="253"/>
      <c r="F414" s="250"/>
      <c r="H414" s="251"/>
    </row>
    <row r="415">
      <c r="B415" s="271"/>
      <c r="C415" s="272"/>
      <c r="D415" s="273"/>
      <c r="E415" s="18"/>
      <c r="F415" s="274"/>
      <c r="G415" s="18"/>
      <c r="H415" s="261"/>
    </row>
    <row r="416">
      <c r="B416" s="306"/>
      <c r="C416" s="240"/>
      <c r="D416" s="241"/>
      <c r="E416" s="242"/>
      <c r="F416" s="243"/>
      <c r="G416" s="244"/>
      <c r="H416" s="307"/>
    </row>
    <row r="417">
      <c r="B417" s="268"/>
      <c r="C417" s="252"/>
      <c r="D417" s="253"/>
      <c r="F417" s="250"/>
      <c r="H417" s="251"/>
    </row>
    <row r="418">
      <c r="B418" s="268"/>
      <c r="C418" s="252"/>
      <c r="D418" s="253"/>
      <c r="F418" s="250"/>
      <c r="H418" s="251"/>
    </row>
    <row r="419">
      <c r="B419" s="308"/>
      <c r="C419" s="252"/>
      <c r="D419" s="253"/>
      <c r="F419" s="309"/>
      <c r="H419" s="302"/>
    </row>
    <row r="420">
      <c r="B420" s="308"/>
      <c r="C420" s="252"/>
      <c r="D420" s="253"/>
      <c r="F420" s="309"/>
      <c r="H420" s="302"/>
    </row>
    <row r="421">
      <c r="B421" s="308"/>
      <c r="C421" s="252"/>
      <c r="D421" s="253"/>
      <c r="F421" s="309"/>
      <c r="H421" s="302"/>
    </row>
    <row r="422">
      <c r="B422" s="308"/>
      <c r="C422" s="252"/>
      <c r="D422" s="253"/>
      <c r="F422" s="309"/>
      <c r="H422" s="302"/>
    </row>
    <row r="423">
      <c r="B423" s="308"/>
      <c r="C423" s="252"/>
      <c r="D423" s="253"/>
      <c r="F423" s="309"/>
      <c r="H423" s="302"/>
    </row>
    <row r="424">
      <c r="B424" s="308"/>
      <c r="C424" s="252"/>
      <c r="D424" s="253"/>
      <c r="F424" s="309"/>
      <c r="H424" s="302"/>
    </row>
    <row r="425">
      <c r="B425" s="308"/>
      <c r="C425" s="252"/>
      <c r="D425" s="253"/>
      <c r="F425" s="309"/>
      <c r="H425" s="302"/>
    </row>
    <row r="426">
      <c r="B426" s="308"/>
      <c r="C426" s="252"/>
      <c r="D426" s="253"/>
      <c r="F426" s="309"/>
      <c r="H426" s="302"/>
    </row>
    <row r="427">
      <c r="B427" s="308"/>
      <c r="C427" s="252"/>
      <c r="D427" s="253"/>
      <c r="F427" s="309"/>
      <c r="H427" s="302"/>
    </row>
    <row r="428">
      <c r="B428" s="308"/>
      <c r="C428" s="252"/>
      <c r="D428" s="253"/>
      <c r="F428" s="309"/>
      <c r="H428" s="302"/>
    </row>
    <row r="429">
      <c r="B429" s="308"/>
      <c r="C429" s="252"/>
      <c r="D429" s="253"/>
      <c r="F429" s="309"/>
      <c r="H429" s="302"/>
    </row>
    <row r="430">
      <c r="B430" s="308"/>
      <c r="C430" s="252"/>
      <c r="D430" s="253"/>
      <c r="F430" s="309"/>
      <c r="H430" s="302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</sheetData>
  <mergeCells count="29">
    <mergeCell ref="A2:A12"/>
    <mergeCell ref="A13:A26"/>
    <mergeCell ref="A29:A38"/>
    <mergeCell ref="A39:A52"/>
    <mergeCell ref="A53:A64"/>
    <mergeCell ref="A65:A80"/>
    <mergeCell ref="A81:A94"/>
    <mergeCell ref="A95:A112"/>
    <mergeCell ref="A113:A127"/>
    <mergeCell ref="A128:A142"/>
    <mergeCell ref="A143:A152"/>
    <mergeCell ref="A153:A167"/>
    <mergeCell ref="A168:A183"/>
    <mergeCell ref="A184:A198"/>
    <mergeCell ref="A299:A313"/>
    <mergeCell ref="A314:A327"/>
    <mergeCell ref="A328:A345"/>
    <mergeCell ref="A346:A357"/>
    <mergeCell ref="A359:A369"/>
    <mergeCell ref="A370:A382"/>
    <mergeCell ref="A395:A404"/>
    <mergeCell ref="A405:A414"/>
    <mergeCell ref="A199:A210"/>
    <mergeCell ref="A211:A225"/>
    <mergeCell ref="A226:A239"/>
    <mergeCell ref="A240:A254"/>
    <mergeCell ref="A255:A267"/>
    <mergeCell ref="A268:A283"/>
    <mergeCell ref="A284:A2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34.5"/>
    <col customWidth="1" min="8" max="8" width="10.13"/>
  </cols>
  <sheetData>
    <row r="1" ht="27.0" customHeight="1">
      <c r="A1" s="407" t="s">
        <v>46</v>
      </c>
      <c r="B1" s="408" t="s">
        <v>52</v>
      </c>
      <c r="C1" s="409" t="s">
        <v>53</v>
      </c>
      <c r="D1" s="410" t="s">
        <v>54</v>
      </c>
      <c r="E1" s="411"/>
      <c r="F1" s="412" t="s">
        <v>529</v>
      </c>
      <c r="G1" s="411"/>
      <c r="H1" s="413" t="s">
        <v>57</v>
      </c>
    </row>
    <row r="2">
      <c r="A2" s="262" t="s">
        <v>878</v>
      </c>
      <c r="B2" s="239">
        <v>68528.61</v>
      </c>
      <c r="C2" s="263"/>
      <c r="D2" s="264"/>
      <c r="E2" s="244"/>
      <c r="F2" s="243"/>
      <c r="G2" s="276" t="s">
        <v>82</v>
      </c>
      <c r="H2" s="245">
        <v>211.5</v>
      </c>
    </row>
    <row r="3">
      <c r="A3" s="265"/>
      <c r="B3" s="281">
        <v>46000.0</v>
      </c>
      <c r="C3" s="248"/>
      <c r="D3" s="249"/>
      <c r="E3" s="2" t="s">
        <v>328</v>
      </c>
      <c r="F3" s="250"/>
      <c r="G3" s="2" t="s">
        <v>68</v>
      </c>
      <c r="H3" s="267"/>
    </row>
    <row r="4">
      <c r="A4" s="265"/>
      <c r="B4" s="247"/>
      <c r="C4" s="248"/>
      <c r="D4" s="249"/>
      <c r="F4" s="250">
        <v>3870.0</v>
      </c>
      <c r="G4" s="254" t="s">
        <v>97</v>
      </c>
      <c r="H4" s="251"/>
    </row>
    <row r="5">
      <c r="A5" s="265"/>
      <c r="B5" s="247"/>
      <c r="C5" s="248">
        <v>64170.0</v>
      </c>
      <c r="D5" s="249"/>
      <c r="E5" s="2" t="s">
        <v>328</v>
      </c>
      <c r="F5" s="250"/>
      <c r="G5" s="254" t="s">
        <v>89</v>
      </c>
      <c r="H5" s="251"/>
    </row>
    <row r="6">
      <c r="A6" s="265"/>
      <c r="B6" s="247"/>
      <c r="C6" s="252"/>
      <c r="D6" s="249">
        <v>148330.0</v>
      </c>
      <c r="E6" s="2" t="s">
        <v>328</v>
      </c>
      <c r="F6" s="250"/>
      <c r="G6" s="254" t="s">
        <v>732</v>
      </c>
      <c r="H6" s="251"/>
    </row>
    <row r="7">
      <c r="A7" s="265"/>
      <c r="B7" s="247"/>
      <c r="C7" s="248"/>
      <c r="D7" s="249"/>
      <c r="F7" s="250">
        <v>6990.0</v>
      </c>
      <c r="G7" s="254" t="s">
        <v>227</v>
      </c>
      <c r="H7" s="267"/>
    </row>
    <row r="8">
      <c r="A8" s="265"/>
      <c r="B8" s="247"/>
      <c r="C8" s="248"/>
      <c r="D8" s="249"/>
      <c r="F8" s="250"/>
      <c r="G8" s="254"/>
      <c r="H8" s="251"/>
    </row>
    <row r="9">
      <c r="A9" s="265"/>
      <c r="B9" s="247"/>
      <c r="C9" s="252"/>
      <c r="D9" s="249"/>
      <c r="F9" s="250"/>
      <c r="G9" s="254"/>
      <c r="H9" s="251"/>
    </row>
    <row r="10">
      <c r="A10" s="265"/>
      <c r="B10" s="247"/>
      <c r="C10" s="248"/>
      <c r="D10" s="253"/>
      <c r="F10" s="250"/>
      <c r="G10" s="254"/>
      <c r="H10" s="251"/>
    </row>
    <row r="11">
      <c r="A11" s="265"/>
      <c r="B11" s="277"/>
      <c r="C11" s="252"/>
      <c r="D11" s="253"/>
      <c r="F11" s="250"/>
      <c r="G11" s="254"/>
      <c r="H11" s="251"/>
    </row>
    <row r="12">
      <c r="A12" s="265"/>
      <c r="B12" s="277"/>
      <c r="C12" s="252"/>
      <c r="D12" s="253"/>
      <c r="F12" s="250"/>
      <c r="G12" s="254"/>
      <c r="H12" s="251"/>
    </row>
    <row r="13">
      <c r="A13" s="265"/>
      <c r="B13" s="277"/>
      <c r="C13" s="252"/>
      <c r="D13" s="253"/>
      <c r="F13" s="250"/>
      <c r="G13" s="254"/>
      <c r="H13" s="251"/>
    </row>
    <row r="14">
      <c r="A14" s="265"/>
      <c r="B14" s="277"/>
      <c r="C14" s="252"/>
      <c r="D14" s="253"/>
      <c r="F14" s="250"/>
      <c r="G14" s="254"/>
      <c r="H14" s="251"/>
    </row>
    <row r="15">
      <c r="A15" s="270"/>
      <c r="B15" s="279"/>
      <c r="C15" s="272"/>
      <c r="D15" s="273"/>
      <c r="E15" s="18"/>
      <c r="F15" s="259"/>
      <c r="G15" s="260"/>
      <c r="H15" s="261"/>
    </row>
    <row r="16">
      <c r="A16" s="262"/>
      <c r="B16" s="440"/>
      <c r="C16" s="405"/>
      <c r="D16" s="399"/>
      <c r="E16" s="398"/>
      <c r="F16" s="284">
        <v>6461.2</v>
      </c>
      <c r="G16" s="285" t="s">
        <v>97</v>
      </c>
      <c r="H16" s="267">
        <v>142.0</v>
      </c>
      <c r="I16" s="2" t="s">
        <v>1173</v>
      </c>
    </row>
    <row r="17">
      <c r="A17" s="280"/>
      <c r="B17" s="277"/>
      <c r="C17" s="248"/>
      <c r="D17" s="249"/>
      <c r="F17" s="250">
        <v>3240.0</v>
      </c>
      <c r="G17" s="2" t="s">
        <v>97</v>
      </c>
      <c r="H17" s="267"/>
    </row>
    <row r="18">
      <c r="A18" s="280" t="s">
        <v>879</v>
      </c>
      <c r="B18" s="247">
        <v>21520.16</v>
      </c>
      <c r="C18" s="248"/>
      <c r="D18" s="300"/>
      <c r="F18" s="250"/>
      <c r="G18" s="254" t="s">
        <v>103</v>
      </c>
      <c r="H18" s="251"/>
    </row>
    <row r="19">
      <c r="A19" s="265"/>
      <c r="B19" s="247"/>
      <c r="C19" s="248"/>
      <c r="D19" s="249"/>
      <c r="F19" s="250">
        <v>12000.0</v>
      </c>
      <c r="G19" s="254" t="s">
        <v>608</v>
      </c>
      <c r="H19" s="251"/>
    </row>
    <row r="20">
      <c r="A20" s="265"/>
      <c r="B20" s="247"/>
      <c r="C20" s="248"/>
      <c r="D20" s="249"/>
      <c r="F20" s="250"/>
      <c r="G20" s="254"/>
      <c r="H20" s="251"/>
    </row>
    <row r="21">
      <c r="A21" s="265"/>
      <c r="B21" s="404"/>
      <c r="C21" s="405"/>
      <c r="D21" s="399"/>
      <c r="E21" s="398"/>
      <c r="F21" s="284"/>
      <c r="G21" s="285"/>
      <c r="H21" s="251"/>
    </row>
    <row r="22">
      <c r="A22" s="265"/>
      <c r="B22" s="247"/>
      <c r="C22" s="248"/>
      <c r="D22" s="249"/>
      <c r="F22" s="250"/>
      <c r="G22" s="254"/>
      <c r="H22" s="267"/>
    </row>
    <row r="23">
      <c r="A23" s="265"/>
      <c r="B23" s="247"/>
      <c r="C23" s="252"/>
      <c r="D23" s="253"/>
      <c r="F23" s="250"/>
      <c r="G23" s="254"/>
      <c r="H23" s="251"/>
    </row>
    <row r="24">
      <c r="A24" s="265"/>
      <c r="B24" s="247"/>
      <c r="C24" s="248"/>
      <c r="D24" s="253"/>
      <c r="F24" s="250"/>
      <c r="G24" s="254"/>
      <c r="H24" s="251"/>
    </row>
    <row r="25">
      <c r="A25" s="265"/>
      <c r="B25" s="268"/>
      <c r="C25" s="248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54"/>
      <c r="H26" s="251"/>
    </row>
    <row r="27">
      <c r="A27" s="270"/>
      <c r="B27" s="271"/>
      <c r="C27" s="272"/>
      <c r="D27" s="273"/>
      <c r="E27" s="18"/>
      <c r="F27" s="274"/>
      <c r="G27" s="260"/>
      <c r="H27" s="261"/>
    </row>
    <row r="28">
      <c r="A28" s="262" t="s">
        <v>882</v>
      </c>
      <c r="B28" s="239"/>
      <c r="C28" s="263"/>
      <c r="D28" s="264"/>
      <c r="E28" s="244"/>
      <c r="F28" s="243">
        <v>4662.0</v>
      </c>
      <c r="G28" s="276" t="s">
        <v>97</v>
      </c>
      <c r="H28" s="245">
        <v>90.0</v>
      </c>
      <c r="I28" s="2" t="s">
        <v>1174</v>
      </c>
    </row>
    <row r="29">
      <c r="A29" s="265"/>
      <c r="B29" s="247"/>
      <c r="C29" s="248"/>
      <c r="D29" s="249"/>
      <c r="F29" s="250"/>
      <c r="G29" s="254"/>
      <c r="H29" s="267"/>
    </row>
    <row r="30">
      <c r="A30" s="265"/>
      <c r="B30" s="339"/>
      <c r="C30" s="248"/>
      <c r="D30" s="249"/>
      <c r="F30" s="250"/>
      <c r="G30" s="254"/>
      <c r="H30" s="251"/>
    </row>
    <row r="31">
      <c r="A31" s="265"/>
      <c r="B31" s="339"/>
      <c r="C31" s="248"/>
      <c r="D31" s="249"/>
      <c r="F31" s="250"/>
      <c r="G31" s="254"/>
      <c r="H31" s="267"/>
    </row>
    <row r="32">
      <c r="A32" s="265"/>
      <c r="B32" s="247"/>
      <c r="C32" s="405"/>
      <c r="D32" s="399"/>
      <c r="E32" s="398"/>
      <c r="F32" s="284"/>
      <c r="G32" s="285"/>
      <c r="H32" s="251"/>
    </row>
    <row r="33">
      <c r="A33" s="265"/>
      <c r="B33" s="247"/>
      <c r="C33" s="252"/>
      <c r="D33" s="249"/>
      <c r="F33" s="250"/>
      <c r="G33" s="254"/>
      <c r="H33" s="251"/>
    </row>
    <row r="34">
      <c r="A34" s="265"/>
      <c r="B34" s="247"/>
      <c r="C34" s="252"/>
      <c r="D34" s="249"/>
      <c r="F34" s="250"/>
      <c r="G34" s="254"/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47"/>
      <c r="C37" s="248"/>
      <c r="D37" s="249"/>
      <c r="F37" s="250"/>
      <c r="H37" s="251"/>
    </row>
    <row r="38">
      <c r="A38" s="265"/>
      <c r="B38" s="247"/>
      <c r="C38" s="248"/>
      <c r="D38" s="249"/>
      <c r="F38" s="250"/>
      <c r="G38" s="254"/>
      <c r="H38" s="251"/>
    </row>
    <row r="39">
      <c r="A39" s="265"/>
      <c r="B39" s="268"/>
      <c r="C39" s="248"/>
      <c r="D39" s="249"/>
      <c r="F39" s="250"/>
      <c r="G39" s="254"/>
      <c r="H39" s="251"/>
    </row>
    <row r="40">
      <c r="A40" s="265"/>
      <c r="B40" s="278"/>
      <c r="C40" s="252"/>
      <c r="D40" s="253"/>
      <c r="F40" s="250"/>
      <c r="G40" s="269"/>
      <c r="H40" s="251"/>
    </row>
    <row r="41">
      <c r="A41" s="270"/>
      <c r="B41" s="271"/>
      <c r="C41" s="272"/>
      <c r="D41" s="273"/>
      <c r="E41" s="18"/>
      <c r="F41" s="274"/>
      <c r="G41" s="275"/>
      <c r="H41" s="261"/>
    </row>
    <row r="42">
      <c r="A42" s="262" t="s">
        <v>883</v>
      </c>
      <c r="B42" s="425">
        <v>3770.0</v>
      </c>
      <c r="C42" s="426"/>
      <c r="D42" s="401"/>
      <c r="E42" s="402"/>
      <c r="F42" s="403"/>
      <c r="G42" s="436" t="s">
        <v>1175</v>
      </c>
      <c r="H42" s="245">
        <v>130.0</v>
      </c>
      <c r="I42" s="2" t="s">
        <v>1176</v>
      </c>
    </row>
    <row r="43">
      <c r="A43" s="265"/>
      <c r="B43" s="404">
        <v>48369.4</v>
      </c>
      <c r="C43" s="405"/>
      <c r="D43" s="399"/>
      <c r="E43" s="398"/>
      <c r="F43" s="284"/>
      <c r="G43" s="285" t="s">
        <v>82</v>
      </c>
      <c r="H43" s="267"/>
    </row>
    <row r="44">
      <c r="A44" s="265"/>
      <c r="B44" s="433"/>
      <c r="C44" s="248">
        <v>101796.09</v>
      </c>
      <c r="D44" s="249"/>
      <c r="F44" s="250"/>
      <c r="G44" s="254" t="s">
        <v>71</v>
      </c>
      <c r="H44" s="310"/>
    </row>
    <row r="45">
      <c r="A45" s="265"/>
      <c r="B45" s="247"/>
      <c r="C45" s="248">
        <v>84031.2</v>
      </c>
      <c r="D45" s="249"/>
      <c r="F45" s="250"/>
      <c r="G45" s="254" t="s">
        <v>89</v>
      </c>
      <c r="H45" s="251"/>
    </row>
    <row r="46">
      <c r="A46" s="265"/>
      <c r="B46" s="247"/>
      <c r="C46" s="248"/>
      <c r="D46" s="399">
        <v>296414.61</v>
      </c>
      <c r="E46" s="398" t="s">
        <v>328</v>
      </c>
      <c r="F46" s="284"/>
      <c r="G46" s="285" t="s">
        <v>114</v>
      </c>
      <c r="H46" s="251"/>
    </row>
    <row r="47">
      <c r="A47" s="265"/>
      <c r="B47" s="247"/>
      <c r="C47" s="248"/>
      <c r="D47" s="399">
        <v>303468.0</v>
      </c>
      <c r="E47" s="398" t="s">
        <v>328</v>
      </c>
      <c r="F47" s="284"/>
      <c r="G47" s="285" t="s">
        <v>1161</v>
      </c>
      <c r="H47" s="251"/>
    </row>
    <row r="48">
      <c r="A48" s="265"/>
      <c r="B48" s="247"/>
      <c r="C48" s="252"/>
      <c r="D48" s="249"/>
      <c r="F48" s="250">
        <v>13000.0</v>
      </c>
      <c r="G48" s="254" t="s">
        <v>605</v>
      </c>
      <c r="H48" s="251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52"/>
      <c r="D50" s="249"/>
      <c r="F50" s="250"/>
      <c r="G50" s="254"/>
      <c r="H50" s="251"/>
    </row>
    <row r="51">
      <c r="A51" s="265"/>
      <c r="B51" s="277"/>
      <c r="C51" s="252"/>
      <c r="D51" s="253"/>
      <c r="F51" s="250"/>
      <c r="G51" s="254"/>
      <c r="H51" s="251"/>
    </row>
    <row r="52">
      <c r="A52" s="265"/>
      <c r="B52" s="277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59"/>
      <c r="G53" s="275"/>
      <c r="H53" s="261"/>
    </row>
    <row r="54">
      <c r="A54" s="262" t="s">
        <v>885</v>
      </c>
      <c r="B54" s="239">
        <v>46000.0</v>
      </c>
      <c r="C54" s="263"/>
      <c r="D54" s="441"/>
      <c r="E54" s="402"/>
      <c r="F54" s="403"/>
      <c r="G54" s="436" t="s">
        <v>68</v>
      </c>
      <c r="H54" s="245">
        <v>80.0</v>
      </c>
      <c r="I54" s="2" t="s">
        <v>1176</v>
      </c>
    </row>
    <row r="55">
      <c r="A55" s="265"/>
      <c r="B55" s="247"/>
      <c r="C55" s="248"/>
      <c r="D55" s="399"/>
      <c r="E55" s="398"/>
      <c r="F55" s="284"/>
      <c r="G55" s="285"/>
      <c r="H55" s="267"/>
      <c r="I55" s="2" t="s">
        <v>1177</v>
      </c>
    </row>
    <row r="56">
      <c r="A56" s="265"/>
      <c r="B56" s="404">
        <f>172300-1100</f>
        <v>171200</v>
      </c>
      <c r="C56" s="405"/>
      <c r="D56" s="399"/>
      <c r="E56" s="398" t="s">
        <v>328</v>
      </c>
      <c r="F56" s="284"/>
      <c r="G56" s="285" t="s">
        <v>1178</v>
      </c>
      <c r="H56" s="267"/>
    </row>
    <row r="57">
      <c r="A57" s="265"/>
      <c r="B57" s="419"/>
      <c r="C57" s="427"/>
      <c r="D57" s="399">
        <v>48379.74</v>
      </c>
      <c r="E57" s="398" t="s">
        <v>328</v>
      </c>
      <c r="F57" s="284"/>
      <c r="G57" s="285" t="s">
        <v>74</v>
      </c>
      <c r="H57" s="251"/>
    </row>
    <row r="58">
      <c r="A58" s="265"/>
      <c r="B58" s="444"/>
      <c r="C58" s="427"/>
      <c r="D58" s="399">
        <v>42641.71</v>
      </c>
      <c r="E58" s="398" t="s">
        <v>328</v>
      </c>
      <c r="F58" s="284"/>
      <c r="G58" s="285" t="s">
        <v>73</v>
      </c>
      <c r="H58" s="251"/>
    </row>
    <row r="59">
      <c r="A59" s="265"/>
      <c r="B59" s="281"/>
      <c r="C59" s="248">
        <v>104591.08</v>
      </c>
      <c r="D59" s="249"/>
      <c r="F59" s="266"/>
      <c r="G59" s="254" t="s">
        <v>84</v>
      </c>
      <c r="H59" s="251"/>
    </row>
    <row r="60">
      <c r="A60" s="265"/>
      <c r="B60" s="281"/>
      <c r="C60" s="248"/>
      <c r="D60" s="249">
        <v>170000.0</v>
      </c>
      <c r="F60" s="250"/>
      <c r="G60" s="254" t="s">
        <v>1179</v>
      </c>
      <c r="H60" s="251"/>
    </row>
    <row r="61">
      <c r="A61" s="265"/>
      <c r="B61" s="404">
        <v>56809.5</v>
      </c>
      <c r="C61" s="424"/>
      <c r="D61" s="399"/>
      <c r="E61" s="398" t="s">
        <v>328</v>
      </c>
      <c r="F61" s="284"/>
      <c r="G61" s="285" t="s">
        <v>931</v>
      </c>
      <c r="H61" s="251"/>
    </row>
    <row r="62">
      <c r="A62" s="265"/>
      <c r="B62" s="247"/>
      <c r="C62" s="252"/>
      <c r="D62" s="253"/>
      <c r="F62" s="250"/>
      <c r="G62" s="254"/>
      <c r="H62" s="251"/>
    </row>
    <row r="63">
      <c r="A63" s="265"/>
      <c r="B63" s="247"/>
      <c r="C63" s="252"/>
      <c r="D63" s="249"/>
      <c r="F63" s="250"/>
      <c r="G63" s="254"/>
      <c r="H63" s="251"/>
    </row>
    <row r="64">
      <c r="A64" s="265"/>
      <c r="B64" s="268"/>
      <c r="C64" s="252"/>
      <c r="D64" s="253"/>
      <c r="F64" s="250"/>
      <c r="G64" s="269"/>
      <c r="H64" s="251"/>
    </row>
    <row r="65">
      <c r="A65" s="265"/>
      <c r="B65" s="247"/>
      <c r="C65" s="252"/>
      <c r="D65" s="253"/>
      <c r="F65" s="250"/>
      <c r="G65" s="269"/>
      <c r="H65" s="251"/>
    </row>
    <row r="66">
      <c r="A66" s="265"/>
      <c r="B66" s="277"/>
      <c r="C66" s="252"/>
      <c r="D66" s="253"/>
      <c r="F66" s="282"/>
      <c r="G66" s="269"/>
      <c r="H66" s="251"/>
    </row>
    <row r="67">
      <c r="A67" s="265"/>
      <c r="B67" s="278"/>
      <c r="C67" s="248"/>
      <c r="D67" s="253"/>
      <c r="F67" s="282"/>
      <c r="G67" s="269"/>
      <c r="H67" s="251"/>
    </row>
    <row r="68">
      <c r="A68" s="265"/>
      <c r="B68" s="278"/>
      <c r="C68" s="252"/>
      <c r="D68" s="253"/>
      <c r="F68" s="250"/>
      <c r="G68" s="269"/>
      <c r="H68" s="251"/>
    </row>
    <row r="69">
      <c r="A69" s="270"/>
      <c r="B69" s="271"/>
      <c r="C69" s="272"/>
      <c r="D69" s="273"/>
      <c r="E69" s="18"/>
      <c r="F69" s="259"/>
      <c r="G69" s="260"/>
      <c r="H69" s="261"/>
    </row>
    <row r="70">
      <c r="A70" s="262" t="s">
        <v>887</v>
      </c>
      <c r="B70" s="425"/>
      <c r="C70" s="426"/>
      <c r="D70" s="401">
        <v>164000.0</v>
      </c>
      <c r="E70" s="402" t="s">
        <v>328</v>
      </c>
      <c r="F70" s="284"/>
      <c r="G70" s="436" t="s">
        <v>122</v>
      </c>
      <c r="H70" s="245">
        <v>100.0</v>
      </c>
      <c r="I70" s="2" t="s">
        <v>1176</v>
      </c>
    </row>
    <row r="71">
      <c r="A71" s="265"/>
      <c r="B71" s="247"/>
      <c r="C71" s="248"/>
      <c r="D71" s="249"/>
      <c r="F71" s="250">
        <v>3500.0</v>
      </c>
      <c r="G71" s="398" t="s">
        <v>85</v>
      </c>
      <c r="H71" s="267"/>
    </row>
    <row r="72">
      <c r="A72" s="265"/>
      <c r="B72" s="247"/>
      <c r="C72" s="248"/>
      <c r="D72" s="249"/>
      <c r="F72" s="250">
        <v>12000.0</v>
      </c>
      <c r="G72" s="254" t="s">
        <v>99</v>
      </c>
      <c r="H72" s="267"/>
    </row>
    <row r="73">
      <c r="A73" s="265"/>
      <c r="B73" s="404"/>
      <c r="C73" s="405"/>
      <c r="D73" s="399"/>
      <c r="E73" s="398"/>
      <c r="F73" s="284">
        <v>30000.0</v>
      </c>
      <c r="G73" s="285" t="s">
        <v>1180</v>
      </c>
      <c r="H73" s="251"/>
      <c r="I73" s="340"/>
      <c r="J73" s="340"/>
      <c r="K73" s="340"/>
      <c r="L73" s="2" t="s">
        <v>623</v>
      </c>
    </row>
    <row r="74">
      <c r="A74" s="265"/>
      <c r="B74" s="330"/>
      <c r="C74" s="338"/>
      <c r="D74" s="337"/>
      <c r="E74" s="336"/>
      <c r="F74" s="335">
        <v>3884.71</v>
      </c>
      <c r="G74" s="435" t="s">
        <v>97</v>
      </c>
      <c r="H74" s="251"/>
      <c r="I74" s="341"/>
      <c r="J74" s="340"/>
      <c r="K74" s="340"/>
    </row>
    <row r="75">
      <c r="A75" s="265"/>
      <c r="B75" s="247">
        <v>98608.16</v>
      </c>
      <c r="C75" s="252"/>
      <c r="D75" s="249"/>
      <c r="F75" s="250"/>
      <c r="G75" s="254" t="s">
        <v>142</v>
      </c>
      <c r="H75" s="251"/>
      <c r="I75" s="340"/>
      <c r="J75" s="340"/>
      <c r="K75" s="341"/>
    </row>
    <row r="76">
      <c r="A76" s="265"/>
      <c r="B76" s="247">
        <v>34463.14</v>
      </c>
      <c r="C76" s="252"/>
      <c r="D76" s="249"/>
      <c r="F76" s="250"/>
      <c r="G76" s="254" t="s">
        <v>82</v>
      </c>
      <c r="H76" s="251"/>
      <c r="I76" s="340"/>
      <c r="J76" s="341"/>
      <c r="K76" s="341"/>
    </row>
    <row r="77">
      <c r="A77" s="265"/>
      <c r="B77" s="247"/>
      <c r="C77" s="252"/>
      <c r="D77" s="253"/>
      <c r="F77" s="250">
        <v>300000.0</v>
      </c>
      <c r="G77" s="254" t="s">
        <v>1181</v>
      </c>
      <c r="H77" s="251"/>
    </row>
    <row r="78">
      <c r="A78" s="265"/>
      <c r="B78" s="247"/>
      <c r="C78" s="248"/>
      <c r="D78" s="253"/>
      <c r="F78" s="250"/>
      <c r="G78" s="254"/>
      <c r="H78" s="251"/>
    </row>
    <row r="79">
      <c r="A79" s="265"/>
      <c r="B79" s="247"/>
      <c r="C79" s="248"/>
      <c r="D79" s="253"/>
      <c r="F79" s="250"/>
      <c r="G79" s="254"/>
      <c r="H79" s="251"/>
    </row>
    <row r="80">
      <c r="A80" s="265"/>
      <c r="B80" s="277"/>
      <c r="C80" s="248"/>
      <c r="D80" s="253"/>
      <c r="F80" s="282"/>
      <c r="G80" s="254"/>
      <c r="H80" s="251"/>
    </row>
    <row r="81">
      <c r="A81" s="265"/>
      <c r="B81" s="277"/>
      <c r="C81" s="252"/>
      <c r="D81" s="253"/>
      <c r="F81" s="250"/>
      <c r="G81" s="254"/>
      <c r="H81" s="251"/>
    </row>
    <row r="82">
      <c r="A82" s="265"/>
      <c r="B82" s="277"/>
      <c r="C82" s="252"/>
      <c r="D82" s="253"/>
      <c r="F82" s="282"/>
      <c r="G82" s="254"/>
      <c r="H82" s="251"/>
    </row>
    <row r="83">
      <c r="A83" s="270"/>
      <c r="B83" s="271"/>
      <c r="C83" s="272"/>
      <c r="D83" s="273"/>
      <c r="E83" s="18"/>
      <c r="F83" s="274"/>
      <c r="G83" s="275"/>
      <c r="H83" s="261"/>
    </row>
    <row r="84">
      <c r="A84" s="262" t="s">
        <v>888</v>
      </c>
      <c r="B84" s="239"/>
      <c r="C84" s="263"/>
      <c r="D84" s="401">
        <v>81583.86</v>
      </c>
      <c r="E84" s="402" t="s">
        <v>328</v>
      </c>
      <c r="F84" s="403"/>
      <c r="G84" s="436" t="s">
        <v>91</v>
      </c>
      <c r="H84" s="245">
        <v>115.5</v>
      </c>
    </row>
    <row r="85">
      <c r="A85" s="265"/>
      <c r="B85" s="404"/>
      <c r="C85" s="405"/>
      <c r="D85" s="399"/>
      <c r="E85" s="398"/>
      <c r="F85" s="284">
        <v>8361.0</v>
      </c>
      <c r="G85" s="285" t="s">
        <v>97</v>
      </c>
      <c r="H85" s="267"/>
    </row>
    <row r="86">
      <c r="A86" s="265"/>
      <c r="B86" s="247">
        <v>3400.0</v>
      </c>
      <c r="C86" s="248"/>
      <c r="D86" s="399"/>
      <c r="E86" s="398"/>
      <c r="F86" s="284"/>
      <c r="G86" s="195" t="s">
        <v>1182</v>
      </c>
      <c r="H86" s="267"/>
    </row>
    <row r="87">
      <c r="A87" s="265"/>
      <c r="B87" s="247"/>
      <c r="C87" s="248"/>
      <c r="D87" s="249"/>
      <c r="F87" s="250">
        <v>15000.0</v>
      </c>
      <c r="G87" s="254" t="s">
        <v>1183</v>
      </c>
      <c r="H87" s="251"/>
    </row>
    <row r="88">
      <c r="A88" s="265"/>
      <c r="B88" s="247"/>
      <c r="C88" s="248"/>
      <c r="D88" s="249"/>
      <c r="F88" s="250">
        <v>30000.0</v>
      </c>
      <c r="G88" s="254" t="s">
        <v>1184</v>
      </c>
      <c r="H88" s="251"/>
    </row>
    <row r="89">
      <c r="A89" s="265"/>
      <c r="B89" s="247">
        <v>42500.0</v>
      </c>
      <c r="C89" s="248"/>
      <c r="D89" s="249"/>
      <c r="F89" s="250"/>
      <c r="G89" s="254" t="s">
        <v>76</v>
      </c>
      <c r="H89" s="251"/>
    </row>
    <row r="90">
      <c r="A90" s="265"/>
      <c r="B90" s="247"/>
      <c r="C90" s="252"/>
      <c r="D90" s="414"/>
      <c r="E90" s="398"/>
      <c r="F90" s="284"/>
      <c r="G90" s="285"/>
      <c r="H90" s="251"/>
    </row>
    <row r="91">
      <c r="A91" s="265"/>
      <c r="B91" s="247"/>
      <c r="C91" s="248"/>
      <c r="D91" s="249"/>
      <c r="F91" s="250"/>
      <c r="G91" s="254"/>
      <c r="H91" s="251"/>
    </row>
    <row r="92">
      <c r="A92" s="265"/>
      <c r="B92" s="247"/>
      <c r="C92" s="252"/>
      <c r="D92" s="249"/>
      <c r="F92" s="250"/>
      <c r="G92" s="254"/>
      <c r="H92" s="251"/>
    </row>
    <row r="93">
      <c r="A93" s="265"/>
      <c r="B93" s="247"/>
      <c r="C93" s="248"/>
      <c r="D93" s="253"/>
      <c r="F93" s="250"/>
      <c r="G93" s="254"/>
      <c r="H93" s="251"/>
    </row>
    <row r="94">
      <c r="A94" s="265"/>
      <c r="B94" s="268"/>
      <c r="C94" s="252"/>
      <c r="D94" s="253"/>
      <c r="F94" s="250"/>
      <c r="G94" s="254"/>
      <c r="H94" s="251"/>
    </row>
    <row r="95">
      <c r="A95" s="265"/>
      <c r="B95" s="268"/>
      <c r="C95" s="252"/>
      <c r="D95" s="253"/>
      <c r="F95" s="250"/>
      <c r="G95" s="254"/>
      <c r="H95" s="251"/>
    </row>
    <row r="96">
      <c r="A96" s="265"/>
      <c r="B96" s="268"/>
      <c r="C96" s="252"/>
      <c r="D96" s="253"/>
      <c r="F96" s="250"/>
      <c r="G96" s="269"/>
      <c r="H96" s="251"/>
    </row>
    <row r="97">
      <c r="A97" s="265"/>
      <c r="B97" s="268"/>
      <c r="C97" s="252"/>
      <c r="D97" s="253"/>
      <c r="F97" s="250"/>
      <c r="G97" s="269"/>
      <c r="H97" s="251"/>
    </row>
    <row r="98">
      <c r="A98" s="265"/>
      <c r="B98" s="268"/>
      <c r="C98" s="252"/>
      <c r="D98" s="253"/>
      <c r="F98" s="250"/>
      <c r="G98" s="269"/>
      <c r="H98" s="251"/>
    </row>
    <row r="99">
      <c r="A99" s="265"/>
      <c r="B99" s="268"/>
      <c r="C99" s="252"/>
      <c r="D99" s="253"/>
      <c r="F99" s="250"/>
      <c r="G99" s="269"/>
      <c r="H99" s="251"/>
    </row>
    <row r="100">
      <c r="A100" s="265"/>
      <c r="B100" s="268"/>
      <c r="C100" s="252"/>
      <c r="D100" s="253"/>
      <c r="F100" s="250"/>
      <c r="G100" s="269"/>
      <c r="H100" s="251"/>
    </row>
    <row r="101">
      <c r="A101" s="270"/>
      <c r="B101" s="271"/>
      <c r="C101" s="272"/>
      <c r="D101" s="273"/>
      <c r="E101" s="18"/>
      <c r="F101" s="274"/>
      <c r="G101" s="275"/>
      <c r="H101" s="261"/>
    </row>
    <row r="102">
      <c r="A102" s="262" t="s">
        <v>890</v>
      </c>
      <c r="B102" s="239">
        <v>21166.25</v>
      </c>
      <c r="C102" s="263"/>
      <c r="D102" s="264"/>
      <c r="E102" s="244"/>
      <c r="F102" s="243"/>
      <c r="G102" s="276" t="s">
        <v>377</v>
      </c>
      <c r="H102" s="245"/>
    </row>
    <row r="103">
      <c r="A103" s="265"/>
      <c r="B103" s="247">
        <v>47280.0</v>
      </c>
      <c r="C103" s="248"/>
      <c r="D103" s="399"/>
      <c r="E103" s="398"/>
      <c r="F103" s="284"/>
      <c r="G103" s="285" t="s">
        <v>1185</v>
      </c>
      <c r="H103" s="267">
        <v>113.0</v>
      </c>
    </row>
    <row r="104">
      <c r="A104" s="265"/>
      <c r="B104" s="404">
        <v>74700.0</v>
      </c>
      <c r="C104" s="405"/>
      <c r="D104" s="399"/>
      <c r="E104" s="398" t="s">
        <v>328</v>
      </c>
      <c r="F104" s="284"/>
      <c r="G104" s="285" t="s">
        <v>75</v>
      </c>
      <c r="H104" s="251"/>
    </row>
    <row r="105">
      <c r="A105" s="265"/>
      <c r="B105" s="247">
        <v>87691.32</v>
      </c>
      <c r="C105" s="248"/>
      <c r="D105" s="399"/>
      <c r="E105" s="398"/>
      <c r="F105" s="284"/>
      <c r="G105" s="285" t="s">
        <v>103</v>
      </c>
      <c r="H105" s="251"/>
    </row>
    <row r="106">
      <c r="A106" s="265"/>
      <c r="B106" s="247"/>
      <c r="C106" s="248"/>
      <c r="D106" s="249"/>
      <c r="F106" s="250">
        <v>4500.0</v>
      </c>
      <c r="G106" s="254" t="s">
        <v>1186</v>
      </c>
      <c r="H106" s="251"/>
    </row>
    <row r="107">
      <c r="A107" s="265"/>
      <c r="B107" s="404"/>
      <c r="C107" s="424"/>
      <c r="D107" s="399"/>
      <c r="E107" s="398"/>
      <c r="F107" s="284"/>
      <c r="G107" s="285"/>
      <c r="H107" s="251"/>
    </row>
    <row r="108">
      <c r="A108" s="265"/>
      <c r="B108" s="247"/>
      <c r="C108" s="248"/>
      <c r="D108" s="249"/>
      <c r="F108" s="250"/>
      <c r="G108" s="254"/>
      <c r="H108" s="251"/>
      <c r="I108" s="417"/>
    </row>
    <row r="109">
      <c r="A109" s="265"/>
      <c r="B109" s="283"/>
      <c r="C109" s="248"/>
      <c r="D109" s="399"/>
      <c r="E109" s="398"/>
      <c r="F109" s="284"/>
      <c r="G109" s="285"/>
      <c r="H109" s="251"/>
    </row>
    <row r="110">
      <c r="A110" s="265"/>
      <c r="B110" s="247"/>
      <c r="C110" s="248"/>
      <c r="D110" s="253"/>
      <c r="F110" s="250"/>
      <c r="G110" s="254"/>
      <c r="H110" s="251"/>
    </row>
    <row r="111">
      <c r="A111" s="265"/>
      <c r="B111" s="247"/>
      <c r="C111" s="252"/>
      <c r="D111" s="253"/>
      <c r="F111" s="250"/>
      <c r="G111" s="254"/>
      <c r="H111" s="251"/>
    </row>
    <row r="112">
      <c r="A112" s="265"/>
      <c r="B112" s="247"/>
      <c r="C112" s="252"/>
      <c r="D112" s="249"/>
      <c r="F112" s="250"/>
      <c r="G112" s="254"/>
      <c r="H112" s="251"/>
    </row>
    <row r="113">
      <c r="A113" s="265"/>
      <c r="B113" s="277"/>
      <c r="C113" s="252"/>
      <c r="D113" s="253"/>
      <c r="F113" s="250"/>
      <c r="G113" s="254"/>
      <c r="H113" s="251"/>
    </row>
    <row r="114">
      <c r="A114" s="265"/>
      <c r="B114" s="277"/>
      <c r="C114" s="252"/>
      <c r="D114" s="253"/>
      <c r="F114" s="250"/>
      <c r="G114" s="269"/>
      <c r="H114" s="251"/>
      <c r="I114" s="2" t="s">
        <v>1187</v>
      </c>
    </row>
    <row r="115">
      <c r="A115" s="265"/>
      <c r="B115" s="278"/>
      <c r="C115" s="252"/>
      <c r="D115" s="253"/>
      <c r="F115" s="250"/>
      <c r="G115" s="269"/>
      <c r="H115" s="251"/>
    </row>
    <row r="116">
      <c r="A116" s="270"/>
      <c r="B116" s="271"/>
      <c r="C116" s="272"/>
      <c r="D116" s="273"/>
      <c r="E116" s="18"/>
      <c r="F116" s="274"/>
      <c r="G116" s="275"/>
      <c r="H116" s="261"/>
    </row>
    <row r="117">
      <c r="A117" s="262" t="s">
        <v>896</v>
      </c>
      <c r="B117" s="239">
        <v>38977.7</v>
      </c>
      <c r="C117" s="263"/>
      <c r="D117" s="401"/>
      <c r="E117" s="402"/>
      <c r="F117" s="403"/>
      <c r="G117" s="436" t="s">
        <v>291</v>
      </c>
      <c r="H117" s="245">
        <v>131.5</v>
      </c>
    </row>
    <row r="118">
      <c r="A118" s="265"/>
      <c r="B118" s="247"/>
      <c r="C118" s="252"/>
      <c r="D118" s="249"/>
      <c r="F118" s="250">
        <v>2229.12</v>
      </c>
      <c r="G118" s="254" t="s">
        <v>97</v>
      </c>
      <c r="H118" s="251"/>
    </row>
    <row r="119">
      <c r="A119" s="265"/>
      <c r="B119" s="404"/>
      <c r="C119" s="405">
        <v>109053.32</v>
      </c>
      <c r="D119" s="399"/>
      <c r="E119" s="398"/>
      <c r="F119" s="284"/>
      <c r="G119" s="285" t="s">
        <v>89</v>
      </c>
      <c r="H119" s="251"/>
    </row>
    <row r="120">
      <c r="A120" s="265"/>
      <c r="B120" s="247">
        <v>18400.0</v>
      </c>
      <c r="C120" s="252"/>
      <c r="D120" s="249"/>
      <c r="F120" s="250"/>
      <c r="G120" s="254" t="s">
        <v>1188</v>
      </c>
      <c r="H120" s="251"/>
    </row>
    <row r="121">
      <c r="A121" s="265"/>
      <c r="B121" s="247"/>
      <c r="C121" s="248"/>
      <c r="D121" s="249"/>
      <c r="F121" s="250"/>
      <c r="G121" s="254"/>
      <c r="H121" s="251"/>
    </row>
    <row r="122">
      <c r="A122" s="265"/>
      <c r="B122" s="419"/>
      <c r="C122" s="427"/>
      <c r="D122" s="414"/>
      <c r="E122" s="417"/>
      <c r="F122" s="418"/>
      <c r="G122" s="420"/>
      <c r="H122" s="251"/>
    </row>
    <row r="123">
      <c r="A123" s="265"/>
      <c r="B123" s="247"/>
      <c r="C123" s="248"/>
      <c r="D123" s="249"/>
      <c r="F123" s="250"/>
      <c r="G123" s="254"/>
      <c r="H123" s="251"/>
    </row>
    <row r="124">
      <c r="A124" s="265"/>
      <c r="B124" s="247"/>
      <c r="C124" s="252"/>
      <c r="D124" s="249"/>
      <c r="F124" s="250"/>
      <c r="G124" s="254"/>
      <c r="H124" s="251"/>
    </row>
    <row r="125">
      <c r="A125" s="265"/>
      <c r="B125" s="268"/>
      <c r="C125" s="248"/>
      <c r="D125" s="249"/>
      <c r="F125" s="250"/>
      <c r="G125" s="254"/>
      <c r="H125" s="251"/>
    </row>
    <row r="126">
      <c r="A126" s="265"/>
      <c r="B126" s="247"/>
      <c r="C126" s="252"/>
      <c r="D126" s="249"/>
      <c r="F126" s="250"/>
      <c r="H126" s="251"/>
    </row>
    <row r="127">
      <c r="A127" s="265"/>
      <c r="B127" s="247"/>
      <c r="C127" s="252"/>
      <c r="D127" s="249"/>
      <c r="F127" s="250"/>
      <c r="G127" s="254"/>
      <c r="H127" s="251"/>
    </row>
    <row r="128">
      <c r="A128" s="265"/>
      <c r="B128" s="277"/>
      <c r="C128" s="252"/>
      <c r="D128" s="253"/>
      <c r="F128" s="250"/>
      <c r="G128" s="254"/>
      <c r="H128" s="251"/>
    </row>
    <row r="129">
      <c r="A129" s="265"/>
      <c r="B129" s="277"/>
      <c r="C129" s="252"/>
      <c r="D129" s="253"/>
      <c r="F129" s="282"/>
      <c r="G129" s="269"/>
      <c r="H129" s="251"/>
    </row>
    <row r="130">
      <c r="A130" s="265"/>
      <c r="B130" s="278"/>
      <c r="C130" s="252"/>
      <c r="D130" s="253"/>
      <c r="F130" s="250"/>
      <c r="G130" s="269"/>
      <c r="H130" s="251"/>
    </row>
    <row r="131">
      <c r="A131" s="270"/>
      <c r="B131" s="271"/>
      <c r="C131" s="272"/>
      <c r="D131" s="273"/>
      <c r="E131" s="18"/>
      <c r="F131" s="259"/>
      <c r="G131" s="260"/>
      <c r="H131" s="261"/>
    </row>
    <row r="132">
      <c r="A132" s="262" t="s">
        <v>900</v>
      </c>
      <c r="B132" s="239">
        <v>46000.0</v>
      </c>
      <c r="C132" s="263"/>
      <c r="D132" s="264"/>
      <c r="E132" s="244"/>
      <c r="F132" s="243"/>
      <c r="G132" s="276" t="s">
        <v>128</v>
      </c>
      <c r="H132" s="245">
        <v>210.0</v>
      </c>
    </row>
    <row r="133">
      <c r="A133" s="265"/>
      <c r="B133" s="404"/>
      <c r="C133" s="434"/>
      <c r="D133" s="399">
        <v>203836.08</v>
      </c>
      <c r="E133" s="398" t="s">
        <v>328</v>
      </c>
      <c r="F133" s="284"/>
      <c r="G133" s="285" t="s">
        <v>114</v>
      </c>
      <c r="H133" s="267"/>
    </row>
    <row r="134">
      <c r="A134" s="265"/>
      <c r="B134" s="404">
        <v>85760.19</v>
      </c>
      <c r="C134" s="405"/>
      <c r="D134" s="399"/>
      <c r="E134" s="398"/>
      <c r="F134" s="284"/>
      <c r="G134" s="285" t="s">
        <v>82</v>
      </c>
      <c r="H134" s="251"/>
    </row>
    <row r="135">
      <c r="A135" s="265"/>
      <c r="B135" s="404"/>
      <c r="C135" s="405">
        <v>209739.74</v>
      </c>
      <c r="D135" s="399"/>
      <c r="E135" s="398"/>
      <c r="F135" s="284"/>
      <c r="G135" s="285" t="s">
        <v>1189</v>
      </c>
      <c r="H135" s="251"/>
    </row>
    <row r="136">
      <c r="A136" s="265"/>
      <c r="B136" s="404">
        <v>49990.0</v>
      </c>
      <c r="C136" s="405"/>
      <c r="D136" s="399"/>
      <c r="E136" s="398"/>
      <c r="F136" s="284"/>
      <c r="G136" s="285" t="s">
        <v>1190</v>
      </c>
      <c r="H136" s="251"/>
    </row>
    <row r="137">
      <c r="A137" s="265"/>
      <c r="B137" s="404">
        <v>91000.0</v>
      </c>
      <c r="C137" s="405"/>
      <c r="D137" s="399"/>
      <c r="E137" s="398" t="s">
        <v>328</v>
      </c>
      <c r="F137" s="284"/>
      <c r="G137" s="285" t="s">
        <v>75</v>
      </c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247"/>
      <c r="C139" s="252"/>
      <c r="D139" s="249"/>
      <c r="F139" s="250"/>
      <c r="G139" s="254"/>
      <c r="H139" s="251"/>
    </row>
    <row r="140">
      <c r="A140" s="265"/>
      <c r="B140" s="247"/>
      <c r="C140" s="252"/>
      <c r="D140" s="414"/>
      <c r="E140" s="417"/>
      <c r="F140" s="418"/>
      <c r="G140" s="420"/>
      <c r="H140" s="251"/>
    </row>
    <row r="141">
      <c r="A141" s="270"/>
      <c r="B141" s="279"/>
      <c r="C141" s="272"/>
      <c r="D141" s="273"/>
      <c r="E141" s="18"/>
      <c r="F141" s="274"/>
      <c r="G141" s="260"/>
      <c r="H141" s="261"/>
    </row>
    <row r="142">
      <c r="A142" s="262" t="s">
        <v>901</v>
      </c>
      <c r="B142" s="239">
        <v>46000.0</v>
      </c>
      <c r="C142" s="263"/>
      <c r="D142" s="264"/>
      <c r="E142" s="244" t="s">
        <v>328</v>
      </c>
      <c r="F142" s="250"/>
      <c r="G142" s="276" t="s">
        <v>68</v>
      </c>
      <c r="H142" s="245">
        <v>160.0</v>
      </c>
    </row>
    <row r="143">
      <c r="A143" s="265"/>
      <c r="B143" s="247"/>
      <c r="C143" s="315"/>
      <c r="D143" s="399">
        <v>70705.13</v>
      </c>
      <c r="E143" s="398" t="s">
        <v>328</v>
      </c>
      <c r="F143" s="284"/>
      <c r="G143" s="285" t="s">
        <v>74</v>
      </c>
      <c r="H143" s="267"/>
    </row>
    <row r="144">
      <c r="A144" s="265"/>
      <c r="B144" s="247"/>
      <c r="C144" s="248"/>
      <c r="D144" s="399">
        <v>19752.93</v>
      </c>
      <c r="E144" s="398" t="s">
        <v>328</v>
      </c>
      <c r="F144" s="284"/>
      <c r="G144" s="285" t="s">
        <v>73</v>
      </c>
      <c r="H144" s="267"/>
    </row>
    <row r="145">
      <c r="A145" s="265"/>
      <c r="B145" s="247"/>
      <c r="C145" s="248"/>
      <c r="D145" s="249">
        <v>45785.0</v>
      </c>
      <c r="F145" s="250"/>
      <c r="G145" s="254" t="s">
        <v>1191</v>
      </c>
      <c r="H145" s="251"/>
      <c r="I145" s="2" t="s">
        <v>1192</v>
      </c>
    </row>
    <row r="146">
      <c r="A146" s="265"/>
      <c r="B146" s="247">
        <v>15861.0</v>
      </c>
      <c r="C146" s="248"/>
      <c r="D146" s="249"/>
      <c r="E146" s="254"/>
      <c r="F146" s="250"/>
      <c r="G146" s="254" t="s">
        <v>171</v>
      </c>
      <c r="H146" s="251"/>
      <c r="I146" s="254" t="s">
        <v>1193</v>
      </c>
    </row>
    <row r="147">
      <c r="A147" s="265"/>
      <c r="B147" s="247"/>
      <c r="C147" s="252"/>
      <c r="D147" s="249"/>
      <c r="F147" s="250">
        <v>2200.0</v>
      </c>
      <c r="G147" s="254" t="s">
        <v>97</v>
      </c>
      <c r="H147" s="251"/>
    </row>
    <row r="148">
      <c r="A148" s="265"/>
      <c r="B148" s="404">
        <v>56809.5</v>
      </c>
      <c r="C148" s="424"/>
      <c r="D148" s="399"/>
      <c r="E148" s="398" t="s">
        <v>328</v>
      </c>
      <c r="F148" s="284"/>
      <c r="G148" s="285" t="s">
        <v>931</v>
      </c>
      <c r="H148" s="267" t="s">
        <v>46</v>
      </c>
    </row>
    <row r="149">
      <c r="A149" s="265"/>
      <c r="B149" s="247"/>
      <c r="C149" s="252"/>
      <c r="D149" s="253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47"/>
      <c r="C151" s="252"/>
      <c r="D151" s="253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68"/>
      <c r="C154" s="252"/>
      <c r="D154" s="253"/>
      <c r="F154" s="250"/>
      <c r="G154" s="269"/>
      <c r="H154" s="251"/>
    </row>
    <row r="155">
      <c r="A155" s="265"/>
      <c r="B155" s="268"/>
      <c r="C155" s="252"/>
      <c r="D155" s="253"/>
      <c r="F155" s="250"/>
      <c r="G155" s="269"/>
      <c r="H155" s="251"/>
    </row>
    <row r="156">
      <c r="A156" s="270"/>
      <c r="B156" s="271"/>
      <c r="C156" s="272"/>
      <c r="D156" s="273"/>
      <c r="E156" s="18"/>
      <c r="F156" s="259"/>
      <c r="G156" s="260"/>
      <c r="H156" s="261"/>
    </row>
    <row r="157">
      <c r="A157" s="262" t="s">
        <v>904</v>
      </c>
      <c r="B157" s="404">
        <v>148500.0</v>
      </c>
      <c r="C157" s="405"/>
      <c r="D157" s="399"/>
      <c r="E157" s="398" t="s">
        <v>328</v>
      </c>
      <c r="F157" s="284"/>
      <c r="G157" s="285" t="s">
        <v>75</v>
      </c>
      <c r="H157" s="286">
        <v>130.0</v>
      </c>
    </row>
    <row r="158">
      <c r="A158" s="265"/>
      <c r="B158" s="404">
        <v>34463.14</v>
      </c>
      <c r="C158" s="405"/>
      <c r="D158" s="399"/>
      <c r="E158" s="398"/>
      <c r="F158" s="284"/>
      <c r="G158" s="285" t="s">
        <v>82</v>
      </c>
      <c r="H158" s="251"/>
    </row>
    <row r="159">
      <c r="A159" s="265"/>
      <c r="B159" s="404">
        <v>111544.0</v>
      </c>
      <c r="C159" s="405"/>
      <c r="D159" s="399"/>
      <c r="E159" s="398" t="s">
        <v>328</v>
      </c>
      <c r="F159" s="284"/>
      <c r="G159" s="285" t="s">
        <v>100</v>
      </c>
      <c r="H159" s="267"/>
    </row>
    <row r="160">
      <c r="A160" s="265"/>
      <c r="B160" s="247"/>
      <c r="C160" s="248">
        <v>129760.0</v>
      </c>
      <c r="D160" s="249"/>
      <c r="F160" s="250"/>
      <c r="G160" s="254" t="s">
        <v>84</v>
      </c>
      <c r="H160" s="251"/>
    </row>
    <row r="161">
      <c r="A161" s="265"/>
      <c r="B161" s="404"/>
      <c r="C161" s="405"/>
      <c r="D161" s="399"/>
      <c r="E161" s="398"/>
      <c r="F161" s="284">
        <v>9000.0</v>
      </c>
      <c r="G161" s="285" t="s">
        <v>954</v>
      </c>
      <c r="H161" s="267"/>
    </row>
    <row r="162">
      <c r="A162" s="265"/>
      <c r="B162" s="247"/>
      <c r="C162" s="252"/>
      <c r="D162" s="249"/>
      <c r="F162" s="250">
        <v>3500.0</v>
      </c>
      <c r="G162" s="254" t="s">
        <v>1194</v>
      </c>
      <c r="H162" s="251"/>
    </row>
    <row r="163">
      <c r="A163" s="265"/>
      <c r="B163" s="247"/>
      <c r="C163" s="252"/>
      <c r="D163" s="399">
        <v>303468.0</v>
      </c>
      <c r="E163" s="398" t="s">
        <v>328</v>
      </c>
      <c r="F163" s="284"/>
      <c r="G163" s="285" t="s">
        <v>877</v>
      </c>
      <c r="H163" s="251"/>
    </row>
    <row r="164">
      <c r="A164" s="265"/>
      <c r="B164" s="247"/>
      <c r="C164" s="252"/>
      <c r="D164" s="249"/>
      <c r="F164" s="250"/>
      <c r="G164" s="254"/>
      <c r="H164" s="251"/>
    </row>
    <row r="165">
      <c r="A165" s="265"/>
      <c r="B165" s="247"/>
      <c r="C165" s="248"/>
      <c r="D165" s="249"/>
      <c r="F165" s="250"/>
      <c r="G165" s="254"/>
      <c r="H165" s="251"/>
    </row>
    <row r="166">
      <c r="A166" s="265"/>
      <c r="B166" s="247"/>
      <c r="C166" s="252"/>
      <c r="D166" s="249"/>
      <c r="F166" s="250"/>
      <c r="G166" s="254"/>
      <c r="H166" s="251"/>
    </row>
    <row r="167">
      <c r="A167" s="265"/>
      <c r="B167" s="247"/>
      <c r="C167" s="252"/>
      <c r="D167" s="249"/>
      <c r="F167" s="250"/>
      <c r="G167" s="254"/>
      <c r="H167" s="251"/>
    </row>
    <row r="168">
      <c r="A168" s="265"/>
      <c r="B168" s="247"/>
      <c r="C168" s="248"/>
      <c r="D168" s="249"/>
      <c r="F168" s="250"/>
      <c r="G168" s="254"/>
      <c r="H168" s="251"/>
    </row>
    <row r="169">
      <c r="A169" s="265"/>
      <c r="B169" s="247"/>
      <c r="C169" s="248"/>
      <c r="D169" s="249"/>
      <c r="F169" s="250"/>
      <c r="G169" s="254"/>
      <c r="H169" s="251"/>
    </row>
    <row r="170">
      <c r="A170" s="265"/>
      <c r="B170" s="247"/>
      <c r="C170" s="252"/>
      <c r="D170" s="249"/>
      <c r="F170" s="250"/>
      <c r="G170" s="254"/>
      <c r="H170" s="251"/>
    </row>
    <row r="171">
      <c r="A171" s="265"/>
      <c r="B171" s="247"/>
      <c r="C171" s="252"/>
      <c r="D171" s="253"/>
      <c r="F171" s="250"/>
      <c r="G171" s="254"/>
      <c r="H171" s="251"/>
    </row>
    <row r="172">
      <c r="A172" s="270"/>
      <c r="B172" s="247"/>
      <c r="C172" s="252"/>
      <c r="D172" s="249"/>
      <c r="F172" s="250"/>
      <c r="G172" s="254"/>
      <c r="H172" s="261"/>
    </row>
    <row r="173">
      <c r="A173" s="262" t="s">
        <v>905</v>
      </c>
      <c r="B173" s="239">
        <v>60100.0</v>
      </c>
      <c r="C173" s="263"/>
      <c r="D173" s="264"/>
      <c r="E173" s="244" t="s">
        <v>328</v>
      </c>
      <c r="F173" s="243"/>
      <c r="G173" s="276" t="s">
        <v>76</v>
      </c>
      <c r="H173" s="245">
        <v>140.0</v>
      </c>
    </row>
    <row r="174">
      <c r="A174" s="265"/>
      <c r="B174" s="247">
        <v>35530.0</v>
      </c>
      <c r="C174" s="248"/>
      <c r="D174" s="249"/>
      <c r="F174" s="250"/>
      <c r="G174" s="254" t="s">
        <v>1195</v>
      </c>
      <c r="H174" s="267"/>
    </row>
    <row r="175">
      <c r="A175" s="265"/>
      <c r="B175" s="247">
        <v>12240.0</v>
      </c>
      <c r="C175" s="252"/>
      <c r="D175" s="249"/>
      <c r="F175" s="250"/>
      <c r="G175" s="254" t="s">
        <v>1196</v>
      </c>
      <c r="H175" s="251"/>
    </row>
    <row r="176">
      <c r="A176" s="265"/>
      <c r="B176" s="247"/>
      <c r="C176" s="248"/>
      <c r="D176" s="249"/>
      <c r="F176" s="250"/>
      <c r="G176" s="254"/>
      <c r="H176" s="251"/>
    </row>
    <row r="177">
      <c r="A177" s="265"/>
      <c r="B177" s="247"/>
      <c r="C177" s="248"/>
      <c r="D177" s="249"/>
      <c r="F177" s="250"/>
      <c r="G177" s="254"/>
      <c r="H177" s="251"/>
    </row>
    <row r="178">
      <c r="A178" s="265"/>
      <c r="B178" s="247"/>
      <c r="C178" s="248"/>
      <c r="D178" s="249"/>
      <c r="F178" s="250"/>
      <c r="G178" s="254"/>
      <c r="H178" s="267"/>
    </row>
    <row r="179">
      <c r="A179" s="265"/>
      <c r="B179" s="247"/>
      <c r="C179" s="248"/>
      <c r="D179" s="249"/>
      <c r="F179" s="250"/>
      <c r="G179" s="316"/>
      <c r="H179" s="251"/>
    </row>
    <row r="180">
      <c r="A180" s="265"/>
      <c r="B180" s="247"/>
      <c r="C180" s="252"/>
      <c r="D180" s="249"/>
      <c r="F180" s="250"/>
      <c r="G180" s="254"/>
      <c r="H180" s="251"/>
    </row>
    <row r="181">
      <c r="A181" s="265"/>
      <c r="B181" s="247"/>
      <c r="C181" s="248"/>
      <c r="D181" s="249"/>
      <c r="F181" s="250"/>
      <c r="G181" s="254"/>
      <c r="H181" s="251"/>
    </row>
    <row r="182">
      <c r="A182" s="265"/>
      <c r="B182" s="247"/>
      <c r="C182" s="248"/>
      <c r="D182" s="253"/>
      <c r="F182" s="250"/>
      <c r="G182" s="254"/>
      <c r="H182" s="251"/>
    </row>
    <row r="183">
      <c r="A183" s="265"/>
      <c r="B183" s="268"/>
      <c r="C183" s="248"/>
      <c r="D183" s="253"/>
      <c r="F183" s="250"/>
      <c r="G183" s="269"/>
      <c r="H183" s="251"/>
    </row>
    <row r="184">
      <c r="A184" s="265"/>
      <c r="B184" s="247"/>
      <c r="C184" s="248"/>
      <c r="D184" s="253"/>
      <c r="F184" s="250"/>
      <c r="G184" s="269"/>
      <c r="H184" s="251"/>
    </row>
    <row r="185">
      <c r="A185" s="265"/>
      <c r="B185" s="278"/>
      <c r="C185" s="252"/>
      <c r="D185" s="253"/>
      <c r="F185" s="250"/>
      <c r="G185" s="269"/>
      <c r="H185" s="251"/>
    </row>
    <row r="186">
      <c r="A186" s="265"/>
      <c r="B186" s="278"/>
      <c r="C186" s="252"/>
      <c r="D186" s="253"/>
      <c r="F186" s="282"/>
      <c r="G186" s="269"/>
      <c r="H186" s="251"/>
    </row>
    <row r="187">
      <c r="A187" s="270"/>
      <c r="B187" s="271"/>
      <c r="C187" s="272"/>
      <c r="D187" s="273"/>
      <c r="E187" s="18"/>
      <c r="F187" s="274"/>
      <c r="G187" s="275"/>
      <c r="H187" s="261"/>
    </row>
    <row r="188">
      <c r="A188" s="262" t="s">
        <v>906</v>
      </c>
      <c r="B188" s="425">
        <v>151329.85</v>
      </c>
      <c r="C188" s="426"/>
      <c r="D188" s="401"/>
      <c r="E188" s="402"/>
      <c r="F188" s="403"/>
      <c r="G188" s="436" t="s">
        <v>103</v>
      </c>
      <c r="H188" s="245">
        <v>90.0</v>
      </c>
    </row>
    <row r="189">
      <c r="A189" s="265"/>
      <c r="B189" s="247">
        <v>6600.0</v>
      </c>
      <c r="C189" s="248"/>
      <c r="D189" s="249"/>
      <c r="F189" s="250"/>
      <c r="G189" s="254" t="s">
        <v>1196</v>
      </c>
      <c r="H189" s="267"/>
    </row>
    <row r="190">
      <c r="A190" s="265"/>
      <c r="B190" s="404">
        <v>34463.14</v>
      </c>
      <c r="C190" s="424"/>
      <c r="D190" s="399"/>
      <c r="E190" s="398"/>
      <c r="F190" s="284"/>
      <c r="G190" s="285" t="s">
        <v>82</v>
      </c>
      <c r="H190" s="251"/>
    </row>
    <row r="191">
      <c r="A191" s="265"/>
      <c r="B191" s="404"/>
      <c r="C191" s="405">
        <v>96456.14</v>
      </c>
      <c r="D191" s="399"/>
      <c r="E191" s="398"/>
      <c r="F191" s="284"/>
      <c r="G191" s="285" t="s">
        <v>89</v>
      </c>
      <c r="H191" s="251"/>
    </row>
    <row r="192">
      <c r="A192" s="265"/>
      <c r="B192" s="247"/>
      <c r="C192" s="252"/>
      <c r="D192" s="399">
        <v>121250.0</v>
      </c>
      <c r="E192" s="398" t="s">
        <v>328</v>
      </c>
      <c r="F192" s="284"/>
      <c r="G192" s="285" t="s">
        <v>893</v>
      </c>
      <c r="H192" s="251"/>
    </row>
    <row r="193">
      <c r="A193" s="265"/>
      <c r="B193" s="404">
        <v>74000.0</v>
      </c>
      <c r="C193" s="405"/>
      <c r="D193" s="399"/>
      <c r="E193" s="398" t="s">
        <v>328</v>
      </c>
      <c r="F193" s="284"/>
      <c r="G193" s="285" t="s">
        <v>75</v>
      </c>
      <c r="H193" s="251"/>
    </row>
    <row r="194">
      <c r="A194" s="265"/>
      <c r="B194" s="247">
        <v>20800.0</v>
      </c>
      <c r="C194" s="252"/>
      <c r="D194" s="399"/>
      <c r="E194" s="398"/>
      <c r="F194" s="284"/>
      <c r="G194" s="285" t="s">
        <v>176</v>
      </c>
      <c r="H194" s="251"/>
    </row>
    <row r="195">
      <c r="A195" s="265"/>
      <c r="B195" s="404"/>
      <c r="C195" s="424"/>
      <c r="D195" s="400"/>
      <c r="E195" s="398"/>
      <c r="F195" s="284">
        <v>18000.0</v>
      </c>
      <c r="G195" s="285" t="s">
        <v>605</v>
      </c>
      <c r="H195" s="251"/>
      <c r="I195" s="269"/>
      <c r="J195" s="269"/>
      <c r="K195" s="269"/>
    </row>
    <row r="196">
      <c r="A196" s="265"/>
      <c r="B196" s="247"/>
      <c r="C196" s="248"/>
      <c r="D196" s="249"/>
      <c r="E196" s="269"/>
      <c r="F196" s="250"/>
      <c r="G196" s="254"/>
      <c r="H196" s="251"/>
      <c r="I196" s="269"/>
      <c r="J196" s="269"/>
      <c r="K196" s="269"/>
    </row>
    <row r="197">
      <c r="A197" s="265"/>
      <c r="B197" s="277"/>
      <c r="C197" s="252"/>
      <c r="D197" s="249"/>
      <c r="E197" s="254"/>
      <c r="F197" s="250"/>
      <c r="G197" s="254"/>
      <c r="H197" s="251"/>
      <c r="I197" s="254"/>
      <c r="J197" s="269"/>
      <c r="K197" s="269"/>
    </row>
    <row r="198">
      <c r="A198" s="265"/>
      <c r="B198" s="277"/>
      <c r="C198" s="252"/>
      <c r="D198" s="253"/>
      <c r="E198" s="269"/>
      <c r="F198" s="282"/>
      <c r="G198" s="254"/>
      <c r="H198" s="251"/>
      <c r="I198" s="269"/>
      <c r="J198" s="269"/>
      <c r="K198" s="269"/>
    </row>
    <row r="199">
      <c r="A199" s="270"/>
      <c r="B199" s="271"/>
      <c r="C199" s="272"/>
      <c r="D199" s="273"/>
      <c r="E199" s="275"/>
      <c r="F199" s="274"/>
      <c r="G199" s="275"/>
      <c r="H199" s="261"/>
      <c r="I199" s="269"/>
      <c r="J199" s="269"/>
      <c r="K199" s="269"/>
    </row>
    <row r="200">
      <c r="A200" s="262" t="s">
        <v>908</v>
      </c>
      <c r="B200" s="239">
        <v>46000.0</v>
      </c>
      <c r="C200" s="263"/>
      <c r="D200" s="264"/>
      <c r="E200" s="276"/>
      <c r="F200" s="243"/>
      <c r="G200" s="276" t="s">
        <v>68</v>
      </c>
      <c r="H200" s="245">
        <v>160.0</v>
      </c>
      <c r="I200" s="254"/>
      <c r="J200" s="254"/>
      <c r="K200" s="254"/>
    </row>
    <row r="201">
      <c r="A201" s="265"/>
      <c r="B201" s="247"/>
      <c r="C201" s="248">
        <v>72975.1</v>
      </c>
      <c r="D201" s="399"/>
      <c r="E201" s="398"/>
      <c r="F201" s="284"/>
      <c r="G201" s="285" t="s">
        <v>71</v>
      </c>
      <c r="H201" s="251"/>
      <c r="I201" s="269"/>
      <c r="J201" s="254"/>
      <c r="K201" s="254"/>
    </row>
    <row r="202">
      <c r="A202" s="265"/>
      <c r="B202" s="247">
        <v>80002.69</v>
      </c>
      <c r="C202" s="248"/>
      <c r="D202" s="414"/>
      <c r="E202" s="398"/>
      <c r="F202" s="284"/>
      <c r="G202" s="285" t="s">
        <v>142</v>
      </c>
      <c r="H202" s="251"/>
      <c r="I202" s="269"/>
      <c r="J202" s="254"/>
      <c r="K202" s="254"/>
    </row>
    <row r="203">
      <c r="A203" s="265"/>
      <c r="B203" s="247">
        <v>10000.0</v>
      </c>
      <c r="C203" s="248"/>
      <c r="D203" s="249"/>
      <c r="E203" s="254"/>
      <c r="F203" s="250"/>
      <c r="G203" s="254" t="s">
        <v>1197</v>
      </c>
      <c r="H203" s="251"/>
      <c r="I203" s="269"/>
      <c r="J203" s="269"/>
      <c r="K203" s="269"/>
    </row>
    <row r="204">
      <c r="A204" s="265"/>
      <c r="B204" s="247"/>
      <c r="C204" s="248"/>
      <c r="D204" s="400"/>
      <c r="E204" s="285"/>
      <c r="F204" s="284"/>
      <c r="G204" s="285"/>
      <c r="H204" s="251"/>
      <c r="I204" s="269"/>
      <c r="J204" s="269"/>
      <c r="K204" s="269"/>
    </row>
    <row r="205">
      <c r="A205" s="265"/>
      <c r="B205" s="247"/>
      <c r="C205" s="248"/>
      <c r="D205" s="249"/>
      <c r="E205" s="269"/>
      <c r="F205" s="250"/>
      <c r="G205" s="254"/>
      <c r="H205" s="251"/>
      <c r="I205" s="269"/>
      <c r="J205" s="269"/>
      <c r="K205" s="269"/>
    </row>
    <row r="206">
      <c r="A206" s="265"/>
      <c r="B206" s="404"/>
      <c r="C206" s="424"/>
      <c r="D206" s="399"/>
      <c r="E206" s="285"/>
      <c r="F206" s="284"/>
      <c r="G206" s="285"/>
      <c r="H206" s="251"/>
      <c r="I206" s="269"/>
      <c r="J206" s="269"/>
      <c r="K206" s="269"/>
    </row>
    <row r="207">
      <c r="A207" s="265"/>
      <c r="B207" s="247"/>
      <c r="C207" s="252"/>
      <c r="D207" s="288"/>
      <c r="E207" s="269"/>
      <c r="F207" s="250"/>
      <c r="G207" s="254"/>
      <c r="H207" s="251"/>
      <c r="I207" s="254"/>
      <c r="J207" s="269"/>
      <c r="K207" s="269"/>
    </row>
    <row r="208">
      <c r="A208" s="265"/>
      <c r="B208" s="247"/>
      <c r="C208" s="252"/>
      <c r="D208" s="253"/>
      <c r="F208" s="250"/>
      <c r="G208" s="254"/>
      <c r="H208" s="251"/>
      <c r="I208" s="269"/>
      <c r="J208" s="269"/>
      <c r="K208" s="269"/>
    </row>
    <row r="209">
      <c r="A209" s="265"/>
      <c r="B209" s="247"/>
      <c r="C209" s="252"/>
      <c r="D209" s="253"/>
      <c r="F209" s="250"/>
      <c r="G209" s="254"/>
      <c r="H209" s="251"/>
    </row>
    <row r="210">
      <c r="A210" s="265"/>
      <c r="B210" s="247"/>
      <c r="C210" s="252"/>
      <c r="D210" s="253"/>
      <c r="F210" s="250"/>
      <c r="G210" s="254"/>
      <c r="H210" s="251"/>
    </row>
    <row r="211">
      <c r="A211" s="265"/>
      <c r="B211" s="277"/>
      <c r="C211" s="252"/>
      <c r="D211" s="253"/>
      <c r="F211" s="250"/>
      <c r="G211" s="254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65"/>
      <c r="B213" s="278"/>
      <c r="C213" s="252"/>
      <c r="D213" s="253"/>
      <c r="F213" s="282"/>
      <c r="G213" s="269"/>
      <c r="H213" s="251"/>
    </row>
    <row r="214">
      <c r="A214" s="270"/>
      <c r="B214" s="271"/>
      <c r="C214" s="272"/>
      <c r="D214" s="273"/>
      <c r="E214" s="18"/>
      <c r="F214" s="274"/>
      <c r="G214" s="275"/>
      <c r="H214" s="261"/>
    </row>
    <row r="215">
      <c r="A215" s="262" t="s">
        <v>909</v>
      </c>
      <c r="B215" s="425"/>
      <c r="C215" s="426"/>
      <c r="D215" s="401"/>
      <c r="E215" s="402"/>
      <c r="F215" s="403">
        <v>16500.0</v>
      </c>
      <c r="G215" s="398" t="s">
        <v>605</v>
      </c>
      <c r="H215" s="245">
        <v>100.0</v>
      </c>
    </row>
    <row r="216">
      <c r="A216" s="265"/>
      <c r="B216" s="247">
        <v>51694.7</v>
      </c>
      <c r="C216" s="248"/>
      <c r="D216" s="414"/>
      <c r="E216" s="417"/>
      <c r="F216" s="284"/>
      <c r="G216" s="285" t="s">
        <v>82</v>
      </c>
      <c r="H216" s="267"/>
    </row>
    <row r="217">
      <c r="A217" s="265"/>
      <c r="B217" s="247"/>
      <c r="C217" s="248"/>
      <c r="D217" s="399"/>
      <c r="E217" s="398"/>
      <c r="F217" s="284">
        <v>30000.0</v>
      </c>
      <c r="G217" s="285" t="s">
        <v>1198</v>
      </c>
      <c r="H217" s="251"/>
    </row>
    <row r="218">
      <c r="A218" s="265"/>
      <c r="B218" s="404">
        <v>164000.0</v>
      </c>
      <c r="C218" s="405"/>
      <c r="D218" s="399"/>
      <c r="E218" s="398" t="s">
        <v>328</v>
      </c>
      <c r="F218" s="284"/>
      <c r="G218" s="285" t="s">
        <v>122</v>
      </c>
      <c r="H218" s="251"/>
    </row>
    <row r="219">
      <c r="A219" s="265"/>
      <c r="B219" s="247"/>
      <c r="C219" s="252"/>
      <c r="D219" s="414"/>
      <c r="E219" s="417"/>
      <c r="F219" s="250"/>
      <c r="G219" s="285"/>
      <c r="H219" s="267"/>
    </row>
    <row r="220">
      <c r="A220" s="265"/>
      <c r="B220" s="247"/>
      <c r="C220" s="248"/>
      <c r="D220" s="249"/>
      <c r="F220" s="250"/>
      <c r="G220" s="254"/>
      <c r="H220" s="267"/>
    </row>
    <row r="221">
      <c r="A221" s="265"/>
      <c r="B221" s="404"/>
      <c r="C221" s="405"/>
      <c r="D221" s="399"/>
      <c r="E221" s="398"/>
      <c r="F221" s="284"/>
      <c r="G221" s="285"/>
      <c r="H221" s="251"/>
    </row>
    <row r="222">
      <c r="A222" s="265"/>
      <c r="B222" s="247"/>
      <c r="C222" s="252"/>
      <c r="D222" s="400"/>
      <c r="E222" s="398"/>
      <c r="F222" s="284"/>
      <c r="G222" s="285"/>
      <c r="H222" s="251"/>
    </row>
    <row r="223">
      <c r="A223" s="265"/>
      <c r="B223" s="247"/>
      <c r="C223" s="252"/>
      <c r="D223" s="399"/>
      <c r="E223" s="398"/>
      <c r="F223" s="284"/>
      <c r="G223" s="285"/>
      <c r="H223" s="251"/>
    </row>
    <row r="224">
      <c r="A224" s="265"/>
      <c r="B224" s="247"/>
      <c r="C224" s="252"/>
      <c r="D224" s="253"/>
      <c r="F224" s="250"/>
      <c r="G224" s="254"/>
      <c r="H224" s="251"/>
    </row>
    <row r="225">
      <c r="A225" s="265"/>
      <c r="B225" s="278"/>
      <c r="C225" s="252"/>
      <c r="D225" s="253"/>
      <c r="F225" s="250"/>
      <c r="G225" s="254"/>
      <c r="H225" s="251"/>
    </row>
    <row r="226">
      <c r="A226" s="265"/>
      <c r="B226" s="278"/>
      <c r="C226" s="252"/>
      <c r="D226" s="253"/>
      <c r="F226" s="250"/>
      <c r="G226" s="269"/>
      <c r="H226" s="251"/>
    </row>
    <row r="227">
      <c r="A227" s="265"/>
      <c r="B227" s="278"/>
      <c r="C227" s="252"/>
      <c r="D227" s="253"/>
      <c r="F227" s="250"/>
      <c r="G227" s="269"/>
      <c r="H227" s="251"/>
    </row>
    <row r="228">
      <c r="A228" s="270"/>
      <c r="B228" s="271"/>
      <c r="C228" s="272"/>
      <c r="D228" s="273"/>
      <c r="E228" s="18"/>
      <c r="F228" s="274"/>
      <c r="G228" s="275"/>
      <c r="H228" s="261"/>
    </row>
    <row r="229">
      <c r="A229" s="262" t="s">
        <v>911</v>
      </c>
      <c r="B229" s="425">
        <v>103400.0</v>
      </c>
      <c r="C229" s="426"/>
      <c r="D229" s="401"/>
      <c r="E229" s="402" t="s">
        <v>328</v>
      </c>
      <c r="F229" s="403"/>
      <c r="G229" s="436" t="s">
        <v>75</v>
      </c>
      <c r="H229" s="245">
        <v>170.0</v>
      </c>
    </row>
    <row r="230">
      <c r="A230" s="265"/>
      <c r="B230" s="404">
        <v>68358.47</v>
      </c>
      <c r="C230" s="405"/>
      <c r="D230" s="399"/>
      <c r="E230" s="398" t="s">
        <v>328</v>
      </c>
      <c r="F230" s="284"/>
      <c r="G230" s="285" t="s">
        <v>73</v>
      </c>
      <c r="H230" s="251"/>
    </row>
    <row r="231">
      <c r="A231" s="265"/>
      <c r="B231" s="404">
        <v>73729.5</v>
      </c>
      <c r="C231" s="405"/>
      <c r="D231" s="399"/>
      <c r="E231" s="398" t="s">
        <v>328</v>
      </c>
      <c r="F231" s="284"/>
      <c r="G231" s="285" t="s">
        <v>74</v>
      </c>
      <c r="H231" s="251"/>
    </row>
    <row r="232">
      <c r="A232" s="265"/>
      <c r="B232" s="419"/>
      <c r="C232" s="427"/>
      <c r="D232" s="399">
        <v>97378.44</v>
      </c>
      <c r="E232" s="398" t="s">
        <v>328</v>
      </c>
      <c r="F232" s="284"/>
      <c r="G232" s="285" t="s">
        <v>91</v>
      </c>
      <c r="H232" s="267"/>
    </row>
    <row r="233">
      <c r="A233" s="265"/>
      <c r="B233" s="404">
        <v>344930.78</v>
      </c>
      <c r="C233" s="405"/>
      <c r="D233" s="399"/>
      <c r="E233" s="398" t="s">
        <v>328</v>
      </c>
      <c r="F233" s="284"/>
      <c r="G233" s="285" t="s">
        <v>114</v>
      </c>
      <c r="H233" s="251"/>
    </row>
    <row r="234">
      <c r="A234" s="265"/>
      <c r="B234" s="247">
        <v>35791.8</v>
      </c>
      <c r="C234" s="248"/>
      <c r="D234" s="249"/>
      <c r="F234" s="250"/>
      <c r="G234" s="254" t="s">
        <v>689</v>
      </c>
      <c r="H234" s="251"/>
    </row>
    <row r="235">
      <c r="A235" s="265"/>
      <c r="B235" s="247">
        <v>51500.0</v>
      </c>
      <c r="C235" s="252"/>
      <c r="D235" s="249"/>
      <c r="E235" s="2" t="s">
        <v>328</v>
      </c>
      <c r="F235" s="250"/>
      <c r="G235" s="254" t="s">
        <v>76</v>
      </c>
      <c r="H235" s="251"/>
    </row>
    <row r="236">
      <c r="A236" s="265"/>
      <c r="B236" s="247">
        <v>15861.74</v>
      </c>
      <c r="C236" s="248"/>
      <c r="D236" s="253"/>
      <c r="F236" s="250"/>
      <c r="G236" s="254" t="s">
        <v>171</v>
      </c>
      <c r="H236" s="251"/>
    </row>
    <row r="237">
      <c r="A237" s="265"/>
      <c r="B237" s="247"/>
      <c r="C237" s="252"/>
      <c r="D237" s="253"/>
      <c r="F237" s="250"/>
      <c r="G237" s="254"/>
      <c r="H237" s="251"/>
    </row>
    <row r="238">
      <c r="A238" s="265"/>
      <c r="B238" s="247"/>
      <c r="C238" s="252"/>
      <c r="D238" s="414"/>
      <c r="E238" s="417"/>
      <c r="F238" s="418"/>
      <c r="G238" s="420"/>
      <c r="H238" s="251"/>
    </row>
    <row r="239">
      <c r="A239" s="265"/>
      <c r="B239" s="247"/>
      <c r="C239" s="252"/>
      <c r="D239" s="249"/>
      <c r="F239" s="250"/>
      <c r="G239" s="254"/>
      <c r="H239" s="267"/>
    </row>
    <row r="240">
      <c r="A240" s="265"/>
      <c r="B240" s="268"/>
      <c r="C240" s="252"/>
      <c r="D240" s="249"/>
      <c r="F240" s="250"/>
      <c r="G240" s="254"/>
      <c r="H240" s="251"/>
    </row>
    <row r="241">
      <c r="A241" s="265"/>
      <c r="B241" s="268"/>
      <c r="C241" s="252"/>
      <c r="D241" s="253"/>
      <c r="F241" s="250"/>
      <c r="G241" s="254"/>
      <c r="H241" s="251"/>
    </row>
    <row r="242">
      <c r="A242" s="265"/>
      <c r="B242" s="268"/>
      <c r="C242" s="252"/>
      <c r="D242" s="253"/>
      <c r="F242" s="250"/>
      <c r="G242" s="254"/>
      <c r="H242" s="251"/>
    </row>
    <row r="243">
      <c r="A243" s="270"/>
      <c r="B243" s="271"/>
      <c r="C243" s="272"/>
      <c r="D243" s="273"/>
      <c r="E243" s="18"/>
      <c r="F243" s="259"/>
      <c r="G243" s="260"/>
      <c r="H243" s="261"/>
    </row>
    <row r="244">
      <c r="A244" s="262" t="s">
        <v>917</v>
      </c>
      <c r="B244" s="239">
        <f>98200-2000-4000</f>
        <v>92200</v>
      </c>
      <c r="C244" s="263"/>
      <c r="D244" s="249"/>
      <c r="F244" s="250"/>
      <c r="G244" s="254" t="s">
        <v>1199</v>
      </c>
      <c r="H244" s="245">
        <v>160.0</v>
      </c>
    </row>
    <row r="245">
      <c r="A245" s="265"/>
      <c r="B245" s="404">
        <v>62436.0</v>
      </c>
      <c r="C245" s="405"/>
      <c r="D245" s="399"/>
      <c r="E245" s="398" t="s">
        <v>328</v>
      </c>
      <c r="F245" s="284"/>
      <c r="G245" s="285" t="s">
        <v>931</v>
      </c>
      <c r="H245" s="267"/>
    </row>
    <row r="246">
      <c r="A246" s="265"/>
      <c r="B246" s="404">
        <v>43336.32</v>
      </c>
      <c r="C246" s="405"/>
      <c r="D246" s="399"/>
      <c r="E246" s="398"/>
      <c r="F246" s="284"/>
      <c r="G246" s="285" t="s">
        <v>82</v>
      </c>
      <c r="H246" s="251"/>
    </row>
    <row r="247">
      <c r="A247" s="265"/>
      <c r="B247" s="247"/>
      <c r="C247" s="248">
        <v>160991.69</v>
      </c>
      <c r="D247" s="249"/>
      <c r="F247" s="250"/>
      <c r="G247" s="254" t="s">
        <v>84</v>
      </c>
      <c r="H247" s="251"/>
    </row>
    <row r="248">
      <c r="A248" s="265"/>
      <c r="B248" s="247"/>
      <c r="C248" s="248"/>
      <c r="D248" s="399">
        <v>360223.05</v>
      </c>
      <c r="E248" s="398" t="s">
        <v>328</v>
      </c>
      <c r="F248" s="284"/>
      <c r="G248" s="285" t="s">
        <v>877</v>
      </c>
      <c r="H248" s="251"/>
    </row>
    <row r="249">
      <c r="A249" s="265"/>
      <c r="B249" s="247">
        <v>9610.0</v>
      </c>
      <c r="C249" s="248"/>
      <c r="D249" s="249"/>
      <c r="F249" s="250"/>
      <c r="G249" s="254" t="s">
        <v>1200</v>
      </c>
      <c r="H249" s="251"/>
    </row>
    <row r="250">
      <c r="A250" s="265"/>
      <c r="B250" s="247"/>
      <c r="C250" s="248"/>
      <c r="D250" s="249"/>
      <c r="F250" s="250"/>
      <c r="G250" s="254"/>
      <c r="H250" s="251"/>
    </row>
    <row r="251">
      <c r="A251" s="265"/>
      <c r="B251" s="247"/>
      <c r="C251" s="248"/>
      <c r="D251" s="249"/>
      <c r="F251" s="250"/>
      <c r="G251" s="254"/>
      <c r="H251" s="251"/>
    </row>
    <row r="252">
      <c r="A252" s="265"/>
      <c r="B252" s="247"/>
      <c r="C252" s="252"/>
      <c r="D252" s="249"/>
      <c r="F252" s="250"/>
      <c r="G252" s="254"/>
      <c r="H252" s="251"/>
    </row>
    <row r="253">
      <c r="A253" s="265"/>
      <c r="B253" s="247"/>
      <c r="C253" s="252"/>
      <c r="D253" s="289"/>
      <c r="E253" s="290"/>
      <c r="F253" s="335"/>
      <c r="G253" s="292"/>
      <c r="H253" s="251"/>
    </row>
    <row r="254">
      <c r="A254" s="265"/>
      <c r="B254" s="247"/>
      <c r="C254" s="252"/>
      <c r="D254" s="253"/>
      <c r="F254" s="250"/>
      <c r="G254" s="254"/>
      <c r="H254" s="251"/>
    </row>
    <row r="255">
      <c r="A255" s="265"/>
      <c r="B255" s="268"/>
      <c r="C255" s="252"/>
      <c r="D255" s="253"/>
      <c r="F255" s="250"/>
      <c r="G255" s="269"/>
      <c r="H255" s="251"/>
    </row>
    <row r="256">
      <c r="A256" s="270"/>
      <c r="B256" s="271"/>
      <c r="C256" s="272"/>
      <c r="D256" s="273"/>
      <c r="E256" s="18"/>
      <c r="F256" s="259"/>
      <c r="G256" s="260"/>
      <c r="H256" s="261"/>
    </row>
    <row r="257">
      <c r="A257" s="262" t="s">
        <v>921</v>
      </c>
      <c r="B257" s="425"/>
      <c r="C257" s="426">
        <v>158962.76</v>
      </c>
      <c r="D257" s="399"/>
      <c r="E257" s="398"/>
      <c r="F257" s="284"/>
      <c r="G257" s="285" t="s">
        <v>89</v>
      </c>
      <c r="H257" s="245">
        <v>82.0</v>
      </c>
      <c r="I257" s="2" t="s">
        <v>1201</v>
      </c>
    </row>
    <row r="258">
      <c r="A258" s="265"/>
      <c r="B258" s="247">
        <v>19300.0</v>
      </c>
      <c r="C258" s="248"/>
      <c r="D258" s="399"/>
      <c r="E258" s="398" t="s">
        <v>328</v>
      </c>
      <c r="F258" s="284"/>
      <c r="G258" s="285" t="s">
        <v>76</v>
      </c>
      <c r="H258" s="267"/>
      <c r="I258" s="2" t="s">
        <v>1202</v>
      </c>
    </row>
    <row r="259">
      <c r="A259" s="265"/>
      <c r="B259" s="247"/>
      <c r="C259" s="248"/>
      <c r="D259" s="399"/>
      <c r="E259" s="442"/>
      <c r="F259" s="284">
        <v>12500.0</v>
      </c>
      <c r="G259" s="285" t="s">
        <v>1203</v>
      </c>
      <c r="H259" s="251"/>
      <c r="I259" s="2" t="s">
        <v>1204</v>
      </c>
    </row>
    <row r="260">
      <c r="A260" s="265"/>
      <c r="B260" s="247"/>
      <c r="C260" s="248"/>
      <c r="D260" s="399"/>
      <c r="E260" s="398"/>
      <c r="F260" s="284"/>
      <c r="G260" s="285"/>
      <c r="H260" s="251"/>
    </row>
    <row r="261">
      <c r="A261" s="265"/>
      <c r="B261" s="247"/>
      <c r="C261" s="252"/>
      <c r="D261" s="414"/>
      <c r="E261" s="417"/>
      <c r="F261" s="418"/>
      <c r="G261" s="420"/>
      <c r="H261" s="251"/>
    </row>
    <row r="262">
      <c r="A262" s="265"/>
      <c r="B262" s="247"/>
      <c r="C262" s="248"/>
      <c r="D262" s="249"/>
      <c r="F262" s="250"/>
      <c r="G262" s="254"/>
      <c r="H262" s="251"/>
    </row>
    <row r="263">
      <c r="A263" s="265"/>
      <c r="B263" s="247"/>
      <c r="C263" s="248"/>
      <c r="D263" s="249"/>
      <c r="F263" s="250"/>
      <c r="G263" s="254"/>
      <c r="H263" s="251"/>
    </row>
    <row r="264">
      <c r="A264" s="265"/>
      <c r="B264" s="247"/>
      <c r="C264" s="248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51"/>
    </row>
    <row r="266">
      <c r="A266" s="265"/>
      <c r="B266" s="247"/>
      <c r="C266" s="252"/>
      <c r="D266" s="249"/>
      <c r="F266" s="250"/>
      <c r="G266" s="254"/>
      <c r="H266" s="251"/>
    </row>
    <row r="267">
      <c r="A267" s="265"/>
      <c r="B267" s="247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65"/>
      <c r="B269" s="268"/>
      <c r="C269" s="252"/>
      <c r="D269" s="253"/>
      <c r="F269" s="250"/>
      <c r="G269" s="254"/>
      <c r="H269" s="251"/>
    </row>
    <row r="270">
      <c r="A270" s="265"/>
      <c r="B270" s="278"/>
      <c r="C270" s="252"/>
      <c r="D270" s="253"/>
      <c r="F270" s="250"/>
      <c r="G270" s="254"/>
      <c r="H270" s="251"/>
    </row>
    <row r="271">
      <c r="A271" s="265"/>
      <c r="B271" s="278"/>
      <c r="C271" s="252"/>
      <c r="D271" s="253"/>
      <c r="F271" s="282"/>
      <c r="G271" s="269"/>
      <c r="H271" s="251"/>
    </row>
    <row r="272">
      <c r="A272" s="270"/>
      <c r="B272" s="271"/>
      <c r="C272" s="272"/>
      <c r="D272" s="273"/>
      <c r="E272" s="18"/>
      <c r="F272" s="274"/>
      <c r="G272" s="275"/>
      <c r="H272" s="261"/>
    </row>
    <row r="273">
      <c r="A273" s="262" t="s">
        <v>922</v>
      </c>
      <c r="B273" s="425">
        <v>34463.14</v>
      </c>
      <c r="C273" s="426"/>
      <c r="D273" s="401"/>
      <c r="E273" s="402"/>
      <c r="F273" s="403"/>
      <c r="G273" s="436" t="s">
        <v>82</v>
      </c>
      <c r="H273" s="245">
        <v>140.0</v>
      </c>
    </row>
    <row r="274">
      <c r="A274" s="265"/>
      <c r="B274" s="247">
        <v>4780.0</v>
      </c>
      <c r="C274" s="248"/>
      <c r="D274" s="249"/>
      <c r="F274" s="250"/>
      <c r="G274" s="254" t="s">
        <v>1205</v>
      </c>
      <c r="H274" s="267"/>
    </row>
    <row r="275">
      <c r="A275" s="265"/>
      <c r="B275" s="247">
        <v>46000.0</v>
      </c>
      <c r="C275" s="248"/>
      <c r="D275" s="249"/>
      <c r="E275" s="2" t="s">
        <v>328</v>
      </c>
      <c r="F275" s="250"/>
      <c r="G275" s="254" t="s">
        <v>68</v>
      </c>
      <c r="H275" s="251"/>
    </row>
    <row r="276">
      <c r="A276" s="265"/>
      <c r="B276" s="247">
        <v>56000.0</v>
      </c>
      <c r="C276" s="248"/>
      <c r="D276" s="249"/>
      <c r="E276" s="2" t="s">
        <v>328</v>
      </c>
      <c r="F276" s="250"/>
      <c r="G276" s="254" t="s">
        <v>75</v>
      </c>
      <c r="H276" s="251"/>
    </row>
    <row r="277">
      <c r="A277" s="265"/>
      <c r="B277" s="247"/>
      <c r="C277" s="252"/>
      <c r="D277" s="249"/>
      <c r="F277" s="250">
        <v>2000.0</v>
      </c>
      <c r="G277" s="285" t="s">
        <v>1206</v>
      </c>
      <c r="H277" s="251"/>
    </row>
    <row r="278">
      <c r="A278" s="265"/>
      <c r="B278" s="419"/>
      <c r="C278" s="427"/>
      <c r="D278" s="414"/>
      <c r="E278" s="417"/>
      <c r="F278" s="284">
        <v>1124.0</v>
      </c>
      <c r="G278" s="285" t="s">
        <v>1207</v>
      </c>
      <c r="H278" s="267"/>
    </row>
    <row r="279">
      <c r="A279" s="265"/>
      <c r="B279" s="247"/>
      <c r="C279" s="248"/>
      <c r="D279" s="249"/>
      <c r="F279" s="250"/>
      <c r="G279" s="254"/>
      <c r="H279" s="267"/>
    </row>
    <row r="280">
      <c r="A280" s="265"/>
      <c r="B280" s="247"/>
      <c r="C280" s="248"/>
      <c r="D280" s="414"/>
      <c r="E280" s="417"/>
      <c r="F280" s="418"/>
      <c r="G280" s="420"/>
      <c r="H280" s="267"/>
    </row>
    <row r="281">
      <c r="A281" s="265"/>
      <c r="B281" s="247"/>
      <c r="C281" s="252"/>
      <c r="D281" s="414"/>
      <c r="E281" s="417"/>
      <c r="F281" s="418"/>
      <c r="G281" s="420"/>
      <c r="H281" s="251"/>
    </row>
    <row r="282">
      <c r="A282" s="265"/>
      <c r="B282" s="268"/>
      <c r="C282" s="252"/>
      <c r="D282" s="249"/>
      <c r="F282" s="250"/>
      <c r="G282" s="254"/>
      <c r="H282" s="251"/>
    </row>
    <row r="283">
      <c r="A283" s="265"/>
      <c r="B283" s="268"/>
      <c r="C283" s="252"/>
      <c r="D283" s="253"/>
      <c r="F283" s="250"/>
      <c r="G283" s="254"/>
      <c r="H283" s="251"/>
    </row>
    <row r="284">
      <c r="A284" s="265"/>
      <c r="B284" s="268"/>
      <c r="C284" s="252"/>
      <c r="D284" s="253"/>
      <c r="F284" s="250"/>
      <c r="G284" s="254"/>
      <c r="H284" s="251"/>
    </row>
    <row r="285">
      <c r="A285" s="265"/>
      <c r="B285" s="268"/>
      <c r="C285" s="252"/>
      <c r="D285" s="253"/>
      <c r="F285" s="250"/>
      <c r="G285" s="254"/>
      <c r="H285" s="251"/>
    </row>
    <row r="286">
      <c r="A286" s="265"/>
      <c r="B286" s="268"/>
      <c r="C286" s="252"/>
      <c r="D286" s="253"/>
      <c r="F286" s="250"/>
      <c r="G286" s="269"/>
      <c r="H286" s="251"/>
    </row>
    <row r="287">
      <c r="A287" s="270"/>
      <c r="B287" s="271"/>
      <c r="C287" s="272"/>
      <c r="D287" s="273"/>
      <c r="E287" s="18"/>
      <c r="F287" s="274"/>
      <c r="G287" s="275"/>
      <c r="H287" s="261"/>
    </row>
    <row r="288">
      <c r="A288" s="262" t="s">
        <v>925</v>
      </c>
      <c r="B288" s="239">
        <v>115385.79</v>
      </c>
      <c r="C288" s="445"/>
      <c r="D288" s="421"/>
      <c r="E288" s="422"/>
      <c r="F288" s="418"/>
      <c r="G288" s="285" t="s">
        <v>142</v>
      </c>
      <c r="H288" s="245">
        <v>90.0</v>
      </c>
    </row>
    <row r="289">
      <c r="A289" s="265"/>
      <c r="B289" s="247"/>
      <c r="C289" s="252"/>
      <c r="D289" s="253"/>
      <c r="F289" s="250"/>
      <c r="G289" s="254"/>
      <c r="H289" s="267"/>
    </row>
    <row r="290">
      <c r="A290" s="265"/>
      <c r="B290" s="247"/>
      <c r="C290" s="405"/>
      <c r="D290" s="399"/>
      <c r="E290" s="398"/>
      <c r="F290" s="284"/>
      <c r="G290" s="285"/>
      <c r="H290" s="251"/>
    </row>
    <row r="291">
      <c r="A291" s="265"/>
      <c r="B291" s="247"/>
      <c r="C291" s="248"/>
      <c r="D291" s="249"/>
      <c r="F291" s="250"/>
      <c r="G291" s="254"/>
      <c r="H291" s="251"/>
    </row>
    <row r="292">
      <c r="A292" s="265"/>
      <c r="B292" s="247"/>
      <c r="C292" s="248"/>
      <c r="D292" s="249"/>
      <c r="F292" s="250"/>
      <c r="G292" s="254"/>
      <c r="H292" s="267"/>
    </row>
    <row r="293">
      <c r="A293" s="265"/>
      <c r="B293" s="247"/>
      <c r="C293" s="248"/>
      <c r="D293" s="249"/>
      <c r="F293" s="250"/>
      <c r="G293" s="254"/>
      <c r="H293" s="267"/>
    </row>
    <row r="294">
      <c r="A294" s="265"/>
      <c r="B294" s="247"/>
      <c r="C294" s="252"/>
      <c r="D294" s="249"/>
      <c r="F294" s="250"/>
      <c r="G294" s="254"/>
      <c r="H294" s="251"/>
    </row>
    <row r="295">
      <c r="A295" s="265"/>
      <c r="B295" s="247"/>
      <c r="C295" s="248"/>
      <c r="D295" s="249"/>
      <c r="F295" s="250"/>
      <c r="G295" s="254"/>
      <c r="H295" s="251"/>
    </row>
    <row r="296">
      <c r="A296" s="265"/>
      <c r="B296" s="268"/>
      <c r="C296" s="252"/>
      <c r="D296" s="253"/>
      <c r="F296" s="250"/>
      <c r="G296" s="254"/>
      <c r="H296" s="251"/>
    </row>
    <row r="297">
      <c r="A297" s="265"/>
      <c r="B297" s="268"/>
      <c r="C297" s="252"/>
      <c r="D297" s="253"/>
      <c r="F297" s="250"/>
      <c r="G297" s="254"/>
      <c r="H297" s="251"/>
    </row>
    <row r="298">
      <c r="A298" s="265"/>
      <c r="B298" s="247"/>
      <c r="C298" s="252"/>
      <c r="D298" s="253"/>
      <c r="F298" s="250"/>
      <c r="G298" s="254"/>
      <c r="H298" s="251"/>
    </row>
    <row r="299">
      <c r="A299" s="265"/>
      <c r="B299" s="247"/>
      <c r="C299" s="252"/>
      <c r="D299" s="253"/>
      <c r="F299" s="250"/>
      <c r="G299" s="254"/>
      <c r="H299" s="251"/>
    </row>
    <row r="300">
      <c r="A300" s="265"/>
      <c r="B300" s="268"/>
      <c r="C300" s="252"/>
      <c r="D300" s="253"/>
      <c r="F300" s="250"/>
      <c r="G300" s="254"/>
      <c r="H300" s="251"/>
    </row>
    <row r="301">
      <c r="A301" s="265"/>
      <c r="B301" s="268"/>
      <c r="C301" s="252"/>
      <c r="D301" s="253"/>
      <c r="F301" s="250"/>
      <c r="G301" s="269"/>
      <c r="H301" s="251"/>
    </row>
    <row r="302">
      <c r="A302" s="270"/>
      <c r="B302" s="271"/>
      <c r="C302" s="272"/>
      <c r="D302" s="273"/>
      <c r="E302" s="18"/>
      <c r="F302" s="274"/>
      <c r="G302" s="18"/>
      <c r="H302" s="261"/>
    </row>
    <row r="303">
      <c r="A303" s="262" t="s">
        <v>928</v>
      </c>
      <c r="B303" s="425">
        <v>150200.0</v>
      </c>
      <c r="C303" s="426"/>
      <c r="D303" s="401"/>
      <c r="E303" s="402" t="s">
        <v>328</v>
      </c>
      <c r="F303" s="403"/>
      <c r="G303" s="402" t="s">
        <v>75</v>
      </c>
      <c r="H303" s="245">
        <v>130.0</v>
      </c>
    </row>
    <row r="304">
      <c r="A304" s="265"/>
      <c r="B304" s="419"/>
      <c r="C304" s="427"/>
      <c r="D304" s="414"/>
      <c r="E304" s="417"/>
      <c r="F304" s="284">
        <v>13500.0</v>
      </c>
      <c r="G304" s="398" t="s">
        <v>605</v>
      </c>
      <c r="H304" s="267"/>
    </row>
    <row r="305">
      <c r="A305" s="265"/>
      <c r="B305" s="404">
        <v>51694.7</v>
      </c>
      <c r="C305" s="405"/>
      <c r="D305" s="399"/>
      <c r="E305" s="398"/>
      <c r="F305" s="284"/>
      <c r="G305" s="398" t="s">
        <v>82</v>
      </c>
      <c r="H305" s="251"/>
    </row>
    <row r="306">
      <c r="A306" s="265"/>
      <c r="B306" s="419"/>
      <c r="C306" s="405">
        <v>153751.81</v>
      </c>
      <c r="D306" s="399"/>
      <c r="E306" s="398"/>
      <c r="F306" s="284"/>
      <c r="G306" s="398" t="s">
        <v>71</v>
      </c>
      <c r="H306" s="251"/>
    </row>
    <row r="307">
      <c r="A307" s="265"/>
      <c r="B307" s="419"/>
      <c r="C307" s="427"/>
      <c r="D307" s="399">
        <v>179166.32</v>
      </c>
      <c r="E307" s="398" t="s">
        <v>328</v>
      </c>
      <c r="F307" s="284"/>
      <c r="G307" s="398" t="s">
        <v>114</v>
      </c>
      <c r="H307" s="251"/>
    </row>
    <row r="308">
      <c r="A308" s="265"/>
      <c r="B308" s="247"/>
      <c r="C308" s="248"/>
      <c r="D308" s="249"/>
      <c r="F308" s="250"/>
      <c r="H308" s="251"/>
    </row>
    <row r="309">
      <c r="A309" s="265"/>
      <c r="B309" s="247"/>
      <c r="C309" s="248"/>
      <c r="D309" s="249"/>
      <c r="F309" s="250"/>
      <c r="H309" s="251"/>
    </row>
    <row r="310">
      <c r="A310" s="265"/>
      <c r="B310" s="247"/>
      <c r="C310" s="252"/>
      <c r="D310" s="249"/>
      <c r="F310" s="250"/>
      <c r="H310" s="251"/>
    </row>
    <row r="311">
      <c r="A311" s="265"/>
      <c r="B311" s="247"/>
      <c r="C311" s="252"/>
      <c r="D311" s="253"/>
      <c r="F311" s="250"/>
      <c r="H311" s="251"/>
    </row>
    <row r="312">
      <c r="A312" s="265"/>
      <c r="B312" s="247"/>
      <c r="C312" s="252"/>
      <c r="D312" s="249"/>
      <c r="F312" s="250"/>
      <c r="H312" s="251"/>
    </row>
    <row r="313">
      <c r="A313" s="265"/>
      <c r="B313" s="247"/>
      <c r="C313" s="252"/>
      <c r="D313" s="253"/>
      <c r="F313" s="250"/>
      <c r="H313" s="251"/>
    </row>
    <row r="314">
      <c r="A314" s="265"/>
      <c r="B314" s="247"/>
      <c r="C314" s="252"/>
      <c r="D314" s="253"/>
      <c r="F314" s="250"/>
      <c r="H314" s="251"/>
    </row>
    <row r="315">
      <c r="A315" s="265"/>
      <c r="B315" s="247"/>
      <c r="C315" s="252"/>
      <c r="D315" s="249"/>
      <c r="F315" s="250"/>
      <c r="H315" s="251"/>
    </row>
    <row r="316">
      <c r="A316" s="270"/>
      <c r="B316" s="271"/>
      <c r="C316" s="272"/>
      <c r="D316" s="273"/>
      <c r="E316" s="18"/>
      <c r="F316" s="259"/>
      <c r="G316" s="293"/>
      <c r="H316" s="261"/>
    </row>
    <row r="317">
      <c r="A317" s="262" t="s">
        <v>930</v>
      </c>
      <c r="B317" s="239"/>
      <c r="C317" s="263"/>
      <c r="D317" s="401">
        <v>80350.0</v>
      </c>
      <c r="E317" s="402" t="s">
        <v>328</v>
      </c>
      <c r="F317" s="403"/>
      <c r="G317" s="402" t="s">
        <v>76</v>
      </c>
      <c r="H317" s="245">
        <v>147.0</v>
      </c>
    </row>
    <row r="318">
      <c r="A318" s="265"/>
      <c r="B318" s="247">
        <v>183092.0</v>
      </c>
      <c r="C318" s="248"/>
      <c r="D318" s="414"/>
      <c r="E318" s="398"/>
      <c r="F318" s="418"/>
      <c r="G318" s="398" t="s">
        <v>103</v>
      </c>
      <c r="H318" s="267"/>
    </row>
    <row r="319">
      <c r="A319" s="265"/>
      <c r="B319" s="404">
        <v>45920.0</v>
      </c>
      <c r="C319" s="405"/>
      <c r="D319" s="414"/>
      <c r="E319" s="398"/>
      <c r="F319" s="418"/>
      <c r="G319" s="398" t="s">
        <v>1208</v>
      </c>
      <c r="H319" s="267"/>
    </row>
    <row r="320">
      <c r="A320" s="265"/>
      <c r="B320" s="404">
        <v>46000.0</v>
      </c>
      <c r="C320" s="405"/>
      <c r="D320" s="399"/>
      <c r="E320" s="398" t="s">
        <v>328</v>
      </c>
      <c r="F320" s="284"/>
      <c r="G320" s="398" t="s">
        <v>68</v>
      </c>
      <c r="H320" s="251"/>
    </row>
    <row r="321">
      <c r="A321" s="265"/>
      <c r="B321" s="247"/>
      <c r="C321" s="248"/>
      <c r="D321" s="399">
        <v>100000.0</v>
      </c>
      <c r="E321" s="417"/>
      <c r="F321" s="418"/>
      <c r="G321" s="398" t="s">
        <v>1209</v>
      </c>
      <c r="H321" s="251"/>
    </row>
    <row r="322">
      <c r="A322" s="265"/>
      <c r="B322" s="247"/>
      <c r="C322" s="252"/>
      <c r="D322" s="414"/>
      <c r="E322" s="417"/>
      <c r="F322" s="284"/>
      <c r="G322" s="398"/>
      <c r="H322" s="251"/>
    </row>
    <row r="323">
      <c r="A323" s="265"/>
      <c r="B323" s="247"/>
      <c r="C323" s="252"/>
      <c r="D323" s="249"/>
      <c r="F323" s="250"/>
      <c r="H323" s="251"/>
    </row>
    <row r="324">
      <c r="A324" s="265"/>
      <c r="B324" s="247"/>
      <c r="C324" s="252"/>
      <c r="D324" s="249"/>
      <c r="F324" s="250"/>
      <c r="H324" s="251"/>
    </row>
    <row r="325">
      <c r="A325" s="265"/>
      <c r="B325" s="247"/>
      <c r="C325" s="252"/>
      <c r="D325" s="249"/>
      <c r="F325" s="250"/>
      <c r="H325" s="251"/>
    </row>
    <row r="326">
      <c r="A326" s="265"/>
      <c r="B326" s="247"/>
      <c r="C326" s="252"/>
      <c r="D326" s="253"/>
      <c r="F326" s="250"/>
      <c r="H326" s="251"/>
    </row>
    <row r="327">
      <c r="A327" s="265"/>
      <c r="B327" s="247"/>
      <c r="C327" s="252"/>
      <c r="D327" s="253"/>
      <c r="F327" s="250"/>
      <c r="H327" s="251"/>
    </row>
    <row r="328">
      <c r="A328" s="265"/>
      <c r="B328" s="247"/>
      <c r="C328" s="252"/>
      <c r="D328" s="253"/>
      <c r="F328" s="250"/>
      <c r="H328" s="251"/>
    </row>
    <row r="329">
      <c r="A329" s="265"/>
      <c r="B329" s="268"/>
      <c r="C329" s="252"/>
      <c r="D329" s="253"/>
      <c r="F329" s="250"/>
      <c r="H329" s="251"/>
    </row>
    <row r="330">
      <c r="A330" s="265"/>
      <c r="B330" s="268"/>
      <c r="C330" s="252"/>
      <c r="D330" s="253"/>
      <c r="F330" s="250"/>
      <c r="H330" s="251"/>
    </row>
    <row r="331">
      <c r="A331" s="265"/>
      <c r="B331" s="268"/>
      <c r="C331" s="252"/>
      <c r="D331" s="253"/>
      <c r="F331" s="250"/>
      <c r="H331" s="251"/>
    </row>
    <row r="332">
      <c r="A332" s="265"/>
      <c r="B332" s="268"/>
      <c r="C332" s="252"/>
      <c r="D332" s="253"/>
      <c r="F332" s="250"/>
      <c r="H332" s="251"/>
    </row>
    <row r="333">
      <c r="A333" s="265"/>
      <c r="B333" s="268"/>
      <c r="C333" s="252"/>
      <c r="D333" s="253"/>
      <c r="F333" s="250"/>
      <c r="H333" s="251"/>
    </row>
    <row r="334">
      <c r="A334" s="270"/>
      <c r="B334" s="271"/>
      <c r="C334" s="272"/>
      <c r="D334" s="273"/>
      <c r="E334" s="18"/>
      <c r="F334" s="274"/>
      <c r="G334" s="18"/>
      <c r="H334" s="261"/>
    </row>
    <row r="335">
      <c r="A335" s="262" t="s">
        <v>932</v>
      </c>
      <c r="B335" s="425">
        <v>74600.0</v>
      </c>
      <c r="C335" s="426"/>
      <c r="D335" s="401"/>
      <c r="E335" s="402" t="s">
        <v>328</v>
      </c>
      <c r="F335" s="403"/>
      <c r="G335" s="398" t="s">
        <v>75</v>
      </c>
      <c r="H335" s="245">
        <v>176.0</v>
      </c>
    </row>
    <row r="336">
      <c r="A336" s="265"/>
      <c r="B336" s="419"/>
      <c r="C336" s="427"/>
      <c r="D336" s="399">
        <v>272522.25</v>
      </c>
      <c r="E336" s="398" t="s">
        <v>328</v>
      </c>
      <c r="F336" s="284"/>
      <c r="G336" s="398" t="s">
        <v>877</v>
      </c>
      <c r="H336" s="267"/>
    </row>
    <row r="337">
      <c r="A337" s="265"/>
      <c r="B337" s="247"/>
      <c r="C337" s="248">
        <v>84930.67</v>
      </c>
      <c r="D337" s="249"/>
      <c r="F337" s="250"/>
      <c r="G337" s="2" t="s">
        <v>84</v>
      </c>
      <c r="H337" s="267"/>
    </row>
    <row r="338">
      <c r="A338" s="265"/>
      <c r="B338" s="247"/>
      <c r="C338" s="248"/>
      <c r="D338" s="399">
        <v>164000.0</v>
      </c>
      <c r="E338" s="398" t="s">
        <v>527</v>
      </c>
      <c r="F338" s="284"/>
      <c r="G338" s="398" t="s">
        <v>122</v>
      </c>
      <c r="H338" s="251"/>
    </row>
    <row r="339">
      <c r="A339" s="265"/>
      <c r="B339" s="247">
        <v>34463.14</v>
      </c>
      <c r="C339" s="252"/>
      <c r="D339" s="249"/>
      <c r="F339" s="250"/>
      <c r="G339" s="2" t="s">
        <v>82</v>
      </c>
      <c r="H339" s="251"/>
    </row>
    <row r="340">
      <c r="A340" s="265"/>
      <c r="B340" s="247"/>
      <c r="C340" s="252"/>
      <c r="D340" s="249">
        <v>18335.57</v>
      </c>
      <c r="F340" s="250"/>
      <c r="G340" s="2" t="s">
        <v>94</v>
      </c>
      <c r="H340" s="251"/>
    </row>
    <row r="341">
      <c r="A341" s="265"/>
      <c r="B341" s="247"/>
      <c r="C341" s="252"/>
      <c r="D341" s="249"/>
      <c r="F341" s="250"/>
      <c r="H341" s="251"/>
    </row>
    <row r="342">
      <c r="A342" s="265"/>
      <c r="B342" s="268"/>
      <c r="C342" s="252"/>
      <c r="D342" s="249"/>
      <c r="F342" s="250"/>
      <c r="H342" s="251"/>
    </row>
    <row r="343">
      <c r="A343" s="265"/>
      <c r="B343" s="268"/>
      <c r="C343" s="252"/>
      <c r="D343" s="253"/>
      <c r="F343" s="250"/>
      <c r="H343" s="251"/>
    </row>
    <row r="344">
      <c r="A344" s="265"/>
      <c r="B344" s="247"/>
      <c r="C344" s="252"/>
      <c r="D344" s="253"/>
      <c r="F344" s="250"/>
      <c r="H344" s="251"/>
    </row>
    <row r="345">
      <c r="A345" s="265"/>
      <c r="B345" s="268"/>
      <c r="C345" s="252"/>
      <c r="D345" s="253"/>
      <c r="F345" s="250"/>
      <c r="H345" s="251"/>
    </row>
    <row r="346">
      <c r="A346" s="270"/>
      <c r="B346" s="271"/>
      <c r="C346" s="272"/>
      <c r="D346" s="273"/>
      <c r="E346" s="18"/>
      <c r="F346" s="274"/>
      <c r="G346" s="18"/>
      <c r="H346" s="261"/>
    </row>
    <row r="347">
      <c r="A347" s="262"/>
      <c r="B347" s="239"/>
      <c r="C347" s="263"/>
      <c r="D347" s="443">
        <v>131700.0</v>
      </c>
      <c r="E347" s="398" t="s">
        <v>328</v>
      </c>
      <c r="F347" s="284"/>
      <c r="G347" s="398" t="s">
        <v>825</v>
      </c>
      <c r="H347" s="245">
        <v>170.0</v>
      </c>
    </row>
    <row r="348">
      <c r="A348" s="280"/>
      <c r="B348" s="247"/>
      <c r="C348" s="248"/>
      <c r="D348" s="249"/>
      <c r="E348" s="2"/>
      <c r="F348" s="250"/>
      <c r="G348" s="398"/>
      <c r="H348" s="267"/>
    </row>
    <row r="349">
      <c r="A349" s="280"/>
      <c r="B349" s="247"/>
      <c r="C349" s="248"/>
      <c r="D349" s="249"/>
      <c r="E349" s="2"/>
      <c r="F349" s="250"/>
      <c r="G349" s="398"/>
      <c r="H349" s="267"/>
    </row>
    <row r="350">
      <c r="A350" s="280"/>
      <c r="B350" s="247"/>
      <c r="C350" s="248"/>
      <c r="D350" s="249"/>
      <c r="E350" s="2"/>
      <c r="F350" s="250"/>
      <c r="G350" s="398"/>
      <c r="H350" s="267"/>
    </row>
    <row r="351">
      <c r="A351" s="280" t="s">
        <v>934</v>
      </c>
      <c r="B351" s="247"/>
      <c r="C351" s="248"/>
      <c r="D351" s="249"/>
      <c r="E351" s="2"/>
      <c r="F351" s="250"/>
      <c r="G351" s="398"/>
      <c r="H351" s="267"/>
    </row>
    <row r="352">
      <c r="A352" s="280"/>
      <c r="B352" s="247"/>
      <c r="C352" s="248"/>
      <c r="D352" s="249"/>
      <c r="E352" s="2"/>
      <c r="F352" s="250"/>
      <c r="G352" s="398"/>
      <c r="H352" s="267"/>
    </row>
    <row r="353">
      <c r="A353" s="280"/>
      <c r="B353" s="247"/>
      <c r="C353" s="248"/>
      <c r="D353" s="249"/>
      <c r="E353" s="2"/>
      <c r="F353" s="250"/>
      <c r="G353" s="398"/>
      <c r="H353" s="267"/>
    </row>
    <row r="354">
      <c r="A354" s="280"/>
      <c r="B354" s="247"/>
      <c r="C354" s="248"/>
      <c r="D354" s="249"/>
      <c r="E354" s="2"/>
      <c r="F354" s="250"/>
      <c r="G354" s="398"/>
      <c r="H354" s="267"/>
    </row>
    <row r="355">
      <c r="A355" s="280"/>
      <c r="B355" s="247"/>
      <c r="C355" s="248"/>
      <c r="D355" s="249"/>
      <c r="E355" s="2"/>
      <c r="F355" s="250"/>
      <c r="G355" s="398"/>
      <c r="H355" s="267"/>
    </row>
    <row r="356">
      <c r="A356" s="280"/>
      <c r="B356" s="247"/>
      <c r="C356" s="248"/>
      <c r="D356" s="249"/>
      <c r="E356" s="2"/>
      <c r="F356" s="250"/>
      <c r="G356" s="398"/>
      <c r="H356" s="267"/>
    </row>
    <row r="357">
      <c r="A357" s="280"/>
      <c r="B357" s="247"/>
      <c r="C357" s="248"/>
      <c r="D357" s="249"/>
      <c r="E357" s="2"/>
      <c r="F357" s="250"/>
      <c r="G357" s="398"/>
      <c r="H357" s="267"/>
    </row>
    <row r="358">
      <c r="A358" s="446"/>
      <c r="B358" s="247"/>
      <c r="C358" s="248"/>
      <c r="D358" s="249"/>
      <c r="E358" s="2"/>
      <c r="F358" s="250"/>
      <c r="G358" s="398"/>
      <c r="H358" s="267"/>
    </row>
    <row r="359">
      <c r="A359" s="280" t="s">
        <v>1210</v>
      </c>
      <c r="B359" s="239"/>
      <c r="C359" s="263">
        <v>183844.8</v>
      </c>
      <c r="D359" s="264"/>
      <c r="E359" s="244" t="s">
        <v>328</v>
      </c>
      <c r="F359" s="243"/>
      <c r="G359" s="402" t="s">
        <v>89</v>
      </c>
      <c r="H359" s="245">
        <v>110.0</v>
      </c>
    </row>
    <row r="360">
      <c r="A360" s="265"/>
      <c r="B360" s="247"/>
      <c r="C360" s="248"/>
      <c r="D360" s="288"/>
      <c r="F360" s="250">
        <v>10053.0</v>
      </c>
      <c r="G360" s="2" t="s">
        <v>97</v>
      </c>
      <c r="H360" s="267"/>
      <c r="I360" s="2" t="s">
        <v>1211</v>
      </c>
    </row>
    <row r="361">
      <c r="A361" s="265"/>
      <c r="B361" s="404">
        <v>65610.55</v>
      </c>
      <c r="C361" s="405"/>
      <c r="D361" s="399"/>
      <c r="E361" s="398"/>
      <c r="F361" s="284"/>
      <c r="G361" s="398" t="s">
        <v>82</v>
      </c>
      <c r="H361" s="267"/>
    </row>
    <row r="362">
      <c r="A362" s="265"/>
      <c r="B362" s="247"/>
      <c r="C362" s="252"/>
      <c r="D362" s="249"/>
      <c r="F362" s="250"/>
      <c r="H362" s="251"/>
    </row>
    <row r="363">
      <c r="A363" s="265"/>
      <c r="B363" s="268"/>
      <c r="C363" s="252"/>
      <c r="D363" s="414"/>
      <c r="E363" s="417"/>
      <c r="F363" s="418"/>
      <c r="G363" s="417"/>
      <c r="H363" s="294"/>
    </row>
    <row r="364">
      <c r="A364" s="265"/>
      <c r="B364" s="247"/>
      <c r="C364" s="252"/>
      <c r="D364" s="249"/>
      <c r="F364" s="250"/>
      <c r="H364" s="251"/>
    </row>
    <row r="365">
      <c r="A365" s="265"/>
      <c r="B365" s="247"/>
      <c r="C365" s="252"/>
      <c r="D365" s="249"/>
      <c r="F365" s="250"/>
      <c r="H365" s="251"/>
    </row>
    <row r="366">
      <c r="A366" s="265"/>
      <c r="B366" s="268"/>
      <c r="C366" s="252"/>
      <c r="D366" s="249"/>
      <c r="F366" s="250"/>
      <c r="H366" s="267"/>
    </row>
    <row r="367">
      <c r="A367" s="265"/>
      <c r="B367" s="268"/>
      <c r="C367" s="252"/>
      <c r="D367" s="249"/>
      <c r="F367" s="250"/>
      <c r="H367" s="251"/>
    </row>
    <row r="368">
      <c r="A368" s="265"/>
      <c r="B368" s="247"/>
      <c r="C368" s="252"/>
      <c r="D368" s="249"/>
      <c r="F368" s="250"/>
      <c r="H368" s="267"/>
    </row>
    <row r="369">
      <c r="A369" s="270"/>
      <c r="B369" s="271"/>
      <c r="C369" s="272"/>
      <c r="D369" s="295"/>
      <c r="E369" s="18"/>
      <c r="F369" s="274"/>
      <c r="G369" s="293"/>
      <c r="H369" s="261"/>
    </row>
    <row r="370">
      <c r="A370" s="262" t="s">
        <v>187</v>
      </c>
      <c r="B370" s="239"/>
      <c r="C370" s="240"/>
      <c r="D370" s="296">
        <v>281971.06</v>
      </c>
      <c r="E370" s="242"/>
      <c r="F370" s="243"/>
      <c r="G370" s="2" t="s">
        <v>188</v>
      </c>
      <c r="H370" s="297">
        <v>45440.0</v>
      </c>
      <c r="I370" s="2" t="s">
        <v>189</v>
      </c>
    </row>
    <row r="371">
      <c r="A371" s="265"/>
      <c r="B371" s="247"/>
      <c r="C371" s="248"/>
      <c r="D371" s="317">
        <v>67791.58</v>
      </c>
      <c r="E371" s="429"/>
      <c r="F371" s="250"/>
      <c r="G371" s="2" t="s">
        <v>190</v>
      </c>
      <c r="H371" s="294">
        <v>45428.0</v>
      </c>
      <c r="I371" s="2" t="s">
        <v>1212</v>
      </c>
    </row>
    <row r="372">
      <c r="A372" s="265"/>
      <c r="B372" s="247"/>
      <c r="C372" s="248"/>
      <c r="D372" s="438">
        <v>129228.25</v>
      </c>
      <c r="F372" s="250"/>
      <c r="G372" s="2" t="s">
        <v>191</v>
      </c>
      <c r="H372" s="294">
        <v>45419.0</v>
      </c>
      <c r="I372" s="2" t="s">
        <v>1213</v>
      </c>
    </row>
    <row r="373">
      <c r="A373" s="265"/>
      <c r="B373" s="268"/>
      <c r="C373" s="252"/>
      <c r="D373" s="447">
        <v>44742.17</v>
      </c>
      <c r="F373" s="250"/>
      <c r="G373" s="2" t="s">
        <v>191</v>
      </c>
      <c r="H373" s="294">
        <v>45436.0</v>
      </c>
      <c r="I373" s="2" t="s">
        <v>1214</v>
      </c>
    </row>
    <row r="374">
      <c r="A374" s="265"/>
      <c r="B374" s="268"/>
      <c r="C374" s="252"/>
      <c r="D374" s="249">
        <v>360000.0</v>
      </c>
      <c r="F374" s="250"/>
      <c r="G374" s="2" t="s">
        <v>192</v>
      </c>
      <c r="H374" s="294">
        <v>45428.0</v>
      </c>
    </row>
    <row r="375">
      <c r="A375" s="265"/>
      <c r="B375" s="268"/>
      <c r="C375" s="252"/>
      <c r="D375" s="253"/>
      <c r="F375" s="250">
        <v>300000.0</v>
      </c>
      <c r="G375" s="2" t="s">
        <v>193</v>
      </c>
      <c r="H375" s="294">
        <v>45422.0</v>
      </c>
    </row>
    <row r="376">
      <c r="A376" s="265"/>
      <c r="B376" s="247"/>
      <c r="C376" s="252"/>
      <c r="D376" s="249"/>
      <c r="F376" s="250"/>
      <c r="G376" s="2" t="s">
        <v>1093</v>
      </c>
      <c r="H376" s="294"/>
    </row>
    <row r="377">
      <c r="A377" s="265"/>
      <c r="B377" s="247"/>
      <c r="C377" s="252"/>
      <c r="D377" s="249">
        <v>90200.0</v>
      </c>
      <c r="F377" s="250"/>
      <c r="G377" s="2" t="s">
        <v>196</v>
      </c>
      <c r="H377" s="294">
        <v>45419.0</v>
      </c>
      <c r="I377" s="318"/>
    </row>
    <row r="378">
      <c r="A378" s="265"/>
      <c r="B378" s="247">
        <v>31425.0</v>
      </c>
      <c r="C378" s="252"/>
      <c r="D378" s="249"/>
      <c r="F378" s="250"/>
      <c r="G378" s="2" t="s">
        <v>197</v>
      </c>
      <c r="H378" s="294"/>
      <c r="I378" s="2" t="s">
        <v>198</v>
      </c>
    </row>
    <row r="379">
      <c r="A379" s="265"/>
      <c r="B379" s="268"/>
      <c r="C379" s="252"/>
      <c r="D379" s="249">
        <v>29635.21</v>
      </c>
      <c r="F379" s="250"/>
      <c r="G379" s="2" t="s">
        <v>199</v>
      </c>
      <c r="H379" s="294"/>
      <c r="I379" s="2" t="s">
        <v>189</v>
      </c>
    </row>
    <row r="380">
      <c r="A380" s="265"/>
      <c r="B380" s="247"/>
      <c r="C380" s="252"/>
      <c r="D380" s="296">
        <v>72362.88</v>
      </c>
      <c r="F380" s="250"/>
      <c r="G380" s="2" t="s">
        <v>200</v>
      </c>
      <c r="H380" s="294"/>
      <c r="I380" s="2" t="s">
        <v>189</v>
      </c>
    </row>
    <row r="381">
      <c r="A381" s="265"/>
      <c r="B381" s="278"/>
      <c r="C381" s="248"/>
      <c r="D381" s="439">
        <v>14284.74</v>
      </c>
      <c r="F381" s="282"/>
      <c r="G381" s="2" t="s">
        <v>201</v>
      </c>
      <c r="H381" s="294"/>
      <c r="I381" s="2" t="s">
        <v>189</v>
      </c>
    </row>
    <row r="382">
      <c r="A382" s="270"/>
      <c r="B382" s="277"/>
      <c r="C382" s="248"/>
      <c r="D382" s="295"/>
      <c r="F382" s="448">
        <v>275974.0</v>
      </c>
      <c r="G382" s="2" t="s">
        <v>1215</v>
      </c>
      <c r="H382" s="294">
        <v>45416.0</v>
      </c>
    </row>
    <row r="383">
      <c r="A383" s="299"/>
      <c r="B383" s="278"/>
      <c r="C383" s="248"/>
      <c r="D383" s="295"/>
      <c r="F383" s="282"/>
      <c r="H383" s="294"/>
    </row>
    <row r="384">
      <c r="A384" s="299"/>
      <c r="B384" s="278"/>
      <c r="C384" s="248"/>
      <c r="D384" s="431"/>
      <c r="E384" s="417"/>
      <c r="F384" s="432"/>
      <c r="G384" s="417" t="s">
        <v>202</v>
      </c>
      <c r="H384" s="301"/>
      <c r="I384" s="2" t="s">
        <v>203</v>
      </c>
    </row>
    <row r="385">
      <c r="A385" s="299"/>
      <c r="B385" s="278"/>
      <c r="C385" s="248"/>
      <c r="D385" s="295"/>
      <c r="F385" s="250"/>
      <c r="G385" s="2" t="s">
        <v>204</v>
      </c>
      <c r="H385" s="301"/>
    </row>
    <row r="386">
      <c r="A386" s="303"/>
      <c r="B386" s="278"/>
      <c r="C386" s="252"/>
      <c r="D386" s="249"/>
      <c r="F386" s="250"/>
      <c r="G386" s="2" t="s">
        <v>205</v>
      </c>
      <c r="H386" s="301"/>
    </row>
    <row r="387">
      <c r="A387" s="303"/>
      <c r="B387" s="268"/>
      <c r="C387" s="252"/>
      <c r="D387" s="249"/>
      <c r="F387" s="250"/>
      <c r="G387" s="2" t="s">
        <v>735</v>
      </c>
      <c r="H387" s="301"/>
    </row>
    <row r="388">
      <c r="A388" s="303"/>
      <c r="B388" s="247"/>
      <c r="C388" s="252"/>
      <c r="D388" s="249"/>
      <c r="F388" s="250"/>
      <c r="G388" s="2" t="s">
        <v>206</v>
      </c>
      <c r="H388" s="294"/>
      <c r="I388" s="2" t="s">
        <v>203</v>
      </c>
    </row>
    <row r="389">
      <c r="A389" s="303"/>
      <c r="B389" s="268"/>
      <c r="C389" s="252"/>
      <c r="D389" s="300">
        <v>142499.15</v>
      </c>
      <c r="F389" s="332"/>
      <c r="G389" s="2" t="s">
        <v>209</v>
      </c>
      <c r="H389" s="294"/>
      <c r="I389" s="2" t="s">
        <v>1170</v>
      </c>
    </row>
    <row r="390">
      <c r="A390" s="303"/>
      <c r="B390" s="247"/>
      <c r="C390" s="252"/>
      <c r="D390" s="249">
        <v>109108.94</v>
      </c>
      <c r="E390" s="2" t="s">
        <v>328</v>
      </c>
      <c r="F390" s="250"/>
      <c r="G390" s="2" t="s">
        <v>1216</v>
      </c>
      <c r="H390" s="294"/>
    </row>
    <row r="391">
      <c r="A391" s="303"/>
      <c r="B391" s="268"/>
      <c r="C391" s="252"/>
      <c r="D391" s="249"/>
      <c r="F391" s="250"/>
      <c r="H391" s="294"/>
    </row>
    <row r="392">
      <c r="A392" s="303"/>
      <c r="B392" s="268"/>
      <c r="C392" s="252"/>
      <c r="D392" s="249"/>
      <c r="F392" s="250"/>
      <c r="H392" s="294"/>
    </row>
    <row r="393">
      <c r="A393" s="303"/>
      <c r="B393" s="247">
        <v>66014.0</v>
      </c>
      <c r="C393" s="252"/>
      <c r="D393" s="331"/>
      <c r="F393" s="266"/>
      <c r="G393" s="2" t="s">
        <v>667</v>
      </c>
      <c r="H393" s="294"/>
    </row>
    <row r="394">
      <c r="A394" s="304"/>
      <c r="B394" s="268"/>
      <c r="C394" s="252"/>
      <c r="D394" s="249">
        <v>74000.0</v>
      </c>
      <c r="F394" s="332"/>
      <c r="G394" s="2" t="s">
        <v>1217</v>
      </c>
      <c r="H394" s="294">
        <v>45421.0</v>
      </c>
    </row>
    <row r="395">
      <c r="A395" s="305"/>
      <c r="B395" s="406">
        <f>SUM(B370:B394)</f>
        <v>97439</v>
      </c>
      <c r="C395" s="272"/>
      <c r="D395" s="392">
        <f>SUM(D370:D394)</f>
        <v>1415823.98</v>
      </c>
      <c r="E395" s="18"/>
      <c r="F395" s="393">
        <f>SUM(F370:F394)</f>
        <v>575974</v>
      </c>
      <c r="G395" s="18"/>
      <c r="H395" s="261"/>
    </row>
    <row r="396">
      <c r="A396" s="265"/>
      <c r="B396" s="306"/>
      <c r="C396" s="240"/>
      <c r="D396" s="241"/>
      <c r="E396" s="242"/>
      <c r="F396" s="243"/>
      <c r="G396" s="244"/>
      <c r="H396" s="307"/>
    </row>
    <row r="397">
      <c r="A397" s="265"/>
      <c r="B397" s="268"/>
      <c r="C397" s="252"/>
      <c r="D397" s="253"/>
      <c r="F397" s="250"/>
      <c r="H397" s="251"/>
    </row>
    <row r="398">
      <c r="A398" s="265"/>
      <c r="B398" s="268"/>
      <c r="C398" s="252"/>
      <c r="D398" s="253"/>
      <c r="F398" s="250"/>
      <c r="H398" s="251"/>
    </row>
    <row r="399">
      <c r="A399" s="265"/>
      <c r="B399" s="268"/>
      <c r="C399" s="252"/>
      <c r="D399" s="253"/>
      <c r="F399" s="250"/>
      <c r="H399" s="251"/>
    </row>
    <row r="400">
      <c r="A400" s="265"/>
      <c r="B400" s="268"/>
      <c r="C400" s="252"/>
      <c r="D400" s="253"/>
      <c r="F400" s="250"/>
      <c r="H400" s="251"/>
    </row>
    <row r="401">
      <c r="A401" s="265"/>
      <c r="B401" s="268"/>
      <c r="C401" s="252"/>
      <c r="D401" s="253"/>
      <c r="F401" s="250"/>
      <c r="H401" s="251"/>
    </row>
    <row r="402">
      <c r="A402" s="265"/>
      <c r="B402" s="268"/>
      <c r="C402" s="252"/>
      <c r="D402" s="253"/>
      <c r="F402" s="250"/>
      <c r="H402" s="251"/>
    </row>
    <row r="403">
      <c r="A403" s="265"/>
      <c r="B403" s="268"/>
      <c r="C403" s="252"/>
      <c r="D403" s="253"/>
      <c r="F403" s="250"/>
      <c r="H403" s="251"/>
    </row>
    <row r="404">
      <c r="A404" s="270"/>
      <c r="B404" s="268"/>
      <c r="C404" s="252"/>
      <c r="D404" s="253"/>
      <c r="F404" s="250"/>
      <c r="H404" s="251"/>
    </row>
    <row r="405">
      <c r="A405" s="305"/>
      <c r="B405" s="271"/>
      <c r="C405" s="272"/>
      <c r="D405" s="273"/>
      <c r="E405" s="18"/>
      <c r="F405" s="274"/>
      <c r="G405" s="18"/>
      <c r="H405" s="261"/>
    </row>
    <row r="406">
      <c r="A406" s="265"/>
      <c r="B406" s="306"/>
      <c r="C406" s="240"/>
      <c r="D406" s="241"/>
      <c r="E406" s="242"/>
      <c r="F406" s="243"/>
      <c r="G406" s="244"/>
      <c r="H406" s="307"/>
    </row>
    <row r="407">
      <c r="A407" s="265"/>
      <c r="B407" s="268"/>
      <c r="C407" s="252"/>
      <c r="D407" s="253"/>
      <c r="F407" s="250"/>
      <c r="H407" s="251"/>
    </row>
    <row r="408">
      <c r="A408" s="265"/>
      <c r="B408" s="268"/>
      <c r="C408" s="252"/>
      <c r="D408" s="253"/>
      <c r="F408" s="250"/>
      <c r="H408" s="251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70"/>
      <c r="B414" s="268"/>
      <c r="C414" s="252"/>
      <c r="D414" s="253"/>
      <c r="F414" s="250"/>
      <c r="H414" s="251"/>
    </row>
    <row r="415">
      <c r="B415" s="271"/>
      <c r="C415" s="272"/>
      <c r="D415" s="273"/>
      <c r="E415" s="18"/>
      <c r="F415" s="274"/>
      <c r="G415" s="18"/>
      <c r="H415" s="261"/>
    </row>
    <row r="416">
      <c r="B416" s="306"/>
      <c r="C416" s="240"/>
      <c r="D416" s="241"/>
      <c r="E416" s="242"/>
      <c r="F416" s="243"/>
      <c r="G416" s="244"/>
      <c r="H416" s="307"/>
    </row>
    <row r="417">
      <c r="B417" s="268"/>
      <c r="C417" s="252"/>
      <c r="D417" s="253"/>
      <c r="F417" s="250"/>
      <c r="H417" s="251"/>
    </row>
    <row r="418">
      <c r="B418" s="268"/>
      <c r="C418" s="252"/>
      <c r="D418" s="253"/>
      <c r="F418" s="250"/>
      <c r="H418" s="251"/>
    </row>
    <row r="419">
      <c r="B419" s="308"/>
      <c r="C419" s="252"/>
      <c r="D419" s="253"/>
      <c r="F419" s="309"/>
      <c r="H419" s="302"/>
    </row>
    <row r="420">
      <c r="B420" s="308"/>
      <c r="C420" s="252"/>
      <c r="D420" s="253"/>
      <c r="F420" s="309"/>
      <c r="H420" s="302"/>
    </row>
    <row r="421">
      <c r="B421" s="308"/>
      <c r="C421" s="252"/>
      <c r="D421" s="253"/>
      <c r="F421" s="309"/>
      <c r="H421" s="302"/>
    </row>
    <row r="422">
      <c r="B422" s="308"/>
      <c r="C422" s="252"/>
      <c r="D422" s="253"/>
      <c r="F422" s="309"/>
      <c r="H422" s="302"/>
    </row>
    <row r="423">
      <c r="B423" s="308"/>
      <c r="C423" s="252"/>
      <c r="D423" s="253"/>
      <c r="F423" s="309"/>
      <c r="H423" s="302"/>
    </row>
    <row r="424">
      <c r="B424" s="308"/>
      <c r="C424" s="252"/>
      <c r="D424" s="253"/>
      <c r="F424" s="309"/>
      <c r="H424" s="302"/>
    </row>
    <row r="425">
      <c r="B425" s="308"/>
      <c r="C425" s="252"/>
      <c r="D425" s="253"/>
      <c r="F425" s="309"/>
      <c r="H425" s="302"/>
    </row>
    <row r="426">
      <c r="B426" s="308"/>
      <c r="C426" s="252"/>
      <c r="D426" s="253"/>
      <c r="F426" s="309"/>
      <c r="H426" s="302"/>
    </row>
    <row r="427">
      <c r="B427" s="308"/>
      <c r="C427" s="252"/>
      <c r="D427" s="253"/>
      <c r="F427" s="309"/>
      <c r="H427" s="302"/>
    </row>
    <row r="428">
      <c r="B428" s="308"/>
      <c r="C428" s="252"/>
      <c r="D428" s="253"/>
      <c r="F428" s="309"/>
      <c r="H428" s="302"/>
    </row>
    <row r="429">
      <c r="B429" s="308"/>
      <c r="C429" s="252"/>
      <c r="D429" s="253"/>
      <c r="F429" s="309"/>
      <c r="H429" s="302"/>
    </row>
    <row r="430">
      <c r="B430" s="308"/>
      <c r="C430" s="252"/>
      <c r="D430" s="253"/>
      <c r="F430" s="309"/>
      <c r="H430" s="302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</sheetData>
  <mergeCells count="28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1"/>
    <mergeCell ref="A142:A156"/>
    <mergeCell ref="A157:A172"/>
    <mergeCell ref="A173:A187"/>
    <mergeCell ref="A188:A199"/>
    <mergeCell ref="A303:A316"/>
    <mergeCell ref="A317:A334"/>
    <mergeCell ref="A335:A346"/>
    <mergeCell ref="A359:A369"/>
    <mergeCell ref="A370:A382"/>
    <mergeCell ref="A395:A404"/>
    <mergeCell ref="A405:A414"/>
    <mergeCell ref="A200:A214"/>
    <mergeCell ref="A215:A228"/>
    <mergeCell ref="A229:A243"/>
    <mergeCell ref="A244:A256"/>
    <mergeCell ref="A257:A272"/>
    <mergeCell ref="A273:A287"/>
    <mergeCell ref="A288:A3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15.88"/>
    <col customWidth="1" min="8" max="8" width="10.13"/>
  </cols>
  <sheetData>
    <row r="1" ht="27.0" customHeight="1">
      <c r="A1" s="407" t="s">
        <v>46</v>
      </c>
      <c r="B1" s="408" t="s">
        <v>52</v>
      </c>
      <c r="C1" s="409" t="s">
        <v>53</v>
      </c>
      <c r="D1" s="410" t="s">
        <v>54</v>
      </c>
      <c r="E1" s="411"/>
      <c r="F1" s="412" t="s">
        <v>529</v>
      </c>
      <c r="G1" s="411"/>
      <c r="H1" s="413" t="s">
        <v>57</v>
      </c>
    </row>
    <row r="2">
      <c r="A2" s="262" t="s">
        <v>1218</v>
      </c>
      <c r="B2" s="239"/>
      <c r="C2" s="263"/>
      <c r="D2" s="264"/>
      <c r="E2" s="244"/>
      <c r="F2" s="243">
        <v>1926.0</v>
      </c>
      <c r="G2" s="276" t="s">
        <v>385</v>
      </c>
      <c r="H2" s="245">
        <v>130.0</v>
      </c>
    </row>
    <row r="3">
      <c r="A3" s="265"/>
      <c r="B3" s="281"/>
      <c r="C3" s="248"/>
      <c r="D3" s="399">
        <v>311182.72</v>
      </c>
      <c r="E3" s="398" t="s">
        <v>328</v>
      </c>
      <c r="F3" s="284"/>
      <c r="G3" s="398" t="s">
        <v>114</v>
      </c>
      <c r="H3" s="267"/>
    </row>
    <row r="4">
      <c r="A4" s="265"/>
      <c r="B4" s="247"/>
      <c r="C4" s="248"/>
      <c r="D4" s="249"/>
      <c r="F4" s="250"/>
      <c r="G4" s="254"/>
      <c r="H4" s="251"/>
    </row>
    <row r="5">
      <c r="A5" s="265"/>
      <c r="B5" s="247"/>
      <c r="C5" s="248"/>
      <c r="D5" s="249"/>
      <c r="F5" s="250"/>
      <c r="G5" s="254"/>
      <c r="H5" s="251"/>
    </row>
    <row r="6">
      <c r="A6" s="265"/>
      <c r="B6" s="247"/>
      <c r="C6" s="252"/>
      <c r="D6" s="249"/>
      <c r="F6" s="250"/>
      <c r="G6" s="254"/>
      <c r="H6" s="251"/>
    </row>
    <row r="7">
      <c r="A7" s="265"/>
      <c r="B7" s="247"/>
      <c r="C7" s="248"/>
      <c r="D7" s="249"/>
      <c r="F7" s="250"/>
      <c r="G7" s="254"/>
      <c r="H7" s="267"/>
    </row>
    <row r="8">
      <c r="A8" s="265"/>
      <c r="B8" s="247"/>
      <c r="C8" s="248"/>
      <c r="D8" s="249"/>
      <c r="F8" s="250"/>
      <c r="G8" s="254"/>
      <c r="H8" s="251"/>
    </row>
    <row r="9">
      <c r="A9" s="265"/>
      <c r="B9" s="247"/>
      <c r="C9" s="252"/>
      <c r="D9" s="249"/>
      <c r="F9" s="250"/>
      <c r="G9" s="254"/>
      <c r="H9" s="251"/>
    </row>
    <row r="10">
      <c r="A10" s="265"/>
      <c r="B10" s="247"/>
      <c r="C10" s="248"/>
      <c r="D10" s="253"/>
      <c r="F10" s="250"/>
      <c r="G10" s="254"/>
      <c r="H10" s="251"/>
    </row>
    <row r="11">
      <c r="A11" s="265"/>
      <c r="B11" s="277"/>
      <c r="C11" s="252"/>
      <c r="D11" s="253"/>
      <c r="F11" s="250"/>
      <c r="G11" s="254"/>
      <c r="H11" s="251"/>
    </row>
    <row r="12">
      <c r="A12" s="265"/>
      <c r="B12" s="277"/>
      <c r="C12" s="252"/>
      <c r="D12" s="253"/>
      <c r="F12" s="250"/>
      <c r="G12" s="254"/>
      <c r="H12" s="251"/>
    </row>
    <row r="13">
      <c r="A13" s="265"/>
      <c r="B13" s="277"/>
      <c r="C13" s="252"/>
      <c r="D13" s="253"/>
      <c r="F13" s="250"/>
      <c r="G13" s="254"/>
      <c r="H13" s="251"/>
    </row>
    <row r="14">
      <c r="A14" s="265"/>
      <c r="B14" s="277"/>
      <c r="C14" s="252"/>
      <c r="D14" s="253"/>
      <c r="F14" s="250"/>
      <c r="G14" s="254"/>
      <c r="H14" s="251"/>
    </row>
    <row r="15">
      <c r="A15" s="270"/>
      <c r="B15" s="279"/>
      <c r="C15" s="272"/>
      <c r="D15" s="273"/>
      <c r="E15" s="18"/>
      <c r="F15" s="259"/>
      <c r="G15" s="260"/>
      <c r="H15" s="261"/>
    </row>
    <row r="16">
      <c r="A16" s="262"/>
      <c r="B16" s="440"/>
      <c r="C16" s="405">
        <v>172967.08</v>
      </c>
      <c r="D16" s="399"/>
      <c r="E16" s="398"/>
      <c r="F16" s="284"/>
      <c r="G16" s="285" t="s">
        <v>71</v>
      </c>
      <c r="H16" s="267">
        <v>260.0</v>
      </c>
    </row>
    <row r="17">
      <c r="A17" s="280"/>
      <c r="B17" s="277"/>
      <c r="C17" s="248"/>
      <c r="D17" s="249"/>
      <c r="F17" s="250">
        <v>15000.0</v>
      </c>
      <c r="G17" s="2" t="s">
        <v>820</v>
      </c>
      <c r="H17" s="267"/>
    </row>
    <row r="18">
      <c r="A18" s="280" t="s">
        <v>1219</v>
      </c>
      <c r="B18" s="247">
        <v>39145.73</v>
      </c>
      <c r="C18" s="248"/>
      <c r="D18" s="300"/>
      <c r="F18" s="250"/>
      <c r="G18" s="254" t="s">
        <v>82</v>
      </c>
      <c r="H18" s="251"/>
    </row>
    <row r="19">
      <c r="A19" s="265"/>
      <c r="B19" s="404">
        <v>168400.0</v>
      </c>
      <c r="C19" s="405"/>
      <c r="D19" s="399"/>
      <c r="E19" s="398" t="s">
        <v>328</v>
      </c>
      <c r="F19" s="284"/>
      <c r="G19" s="285" t="s">
        <v>75</v>
      </c>
      <c r="H19" s="251"/>
    </row>
    <row r="20">
      <c r="A20" s="265"/>
      <c r="B20" s="247"/>
      <c r="C20" s="248"/>
      <c r="D20" s="249">
        <v>180000.0</v>
      </c>
      <c r="F20" s="250"/>
      <c r="G20" s="254" t="s">
        <v>1220</v>
      </c>
      <c r="H20" s="251"/>
      <c r="I20" s="2" t="s">
        <v>1221</v>
      </c>
    </row>
    <row r="21">
      <c r="A21" s="265"/>
      <c r="B21" s="404">
        <v>46000.0</v>
      </c>
      <c r="C21" s="405"/>
      <c r="D21" s="399"/>
      <c r="E21" s="398"/>
      <c r="F21" s="284"/>
      <c r="G21" s="285" t="s">
        <v>926</v>
      </c>
      <c r="H21" s="251"/>
    </row>
    <row r="22">
      <c r="A22" s="265"/>
      <c r="B22" s="247">
        <v>74587.5</v>
      </c>
      <c r="C22" s="248"/>
      <c r="D22" s="249"/>
      <c r="F22" s="250"/>
      <c r="G22" s="254" t="s">
        <v>451</v>
      </c>
      <c r="H22" s="267"/>
    </row>
    <row r="23">
      <c r="A23" s="265"/>
      <c r="B23" s="247"/>
      <c r="C23" s="252"/>
      <c r="D23" s="253"/>
      <c r="F23" s="250"/>
      <c r="G23" s="254"/>
      <c r="H23" s="251"/>
    </row>
    <row r="24">
      <c r="A24" s="265"/>
      <c r="B24" s="247"/>
      <c r="C24" s="248"/>
      <c r="D24" s="253"/>
      <c r="F24" s="250"/>
      <c r="G24" s="254"/>
      <c r="H24" s="251"/>
    </row>
    <row r="25">
      <c r="A25" s="265"/>
      <c r="B25" s="268"/>
      <c r="C25" s="248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54"/>
      <c r="H26" s="251"/>
    </row>
    <row r="27">
      <c r="A27" s="270"/>
      <c r="B27" s="271"/>
      <c r="C27" s="272"/>
      <c r="D27" s="273"/>
      <c r="E27" s="18"/>
      <c r="F27" s="274"/>
      <c r="G27" s="260"/>
      <c r="H27" s="261"/>
    </row>
    <row r="28">
      <c r="A28" s="262" t="s">
        <v>1222</v>
      </c>
      <c r="B28" s="239"/>
      <c r="C28" s="263"/>
      <c r="D28" s="264"/>
      <c r="E28" s="244"/>
      <c r="F28" s="250">
        <v>6511.05</v>
      </c>
      <c r="G28" s="254" t="s">
        <v>97</v>
      </c>
      <c r="H28" s="245">
        <v>158.0</v>
      </c>
    </row>
    <row r="29">
      <c r="A29" s="265"/>
      <c r="B29" s="247"/>
      <c r="C29" s="248"/>
      <c r="D29" s="399">
        <v>43244.16</v>
      </c>
      <c r="E29" s="398" t="s">
        <v>328</v>
      </c>
      <c r="F29" s="284"/>
      <c r="G29" s="285" t="s">
        <v>74</v>
      </c>
      <c r="H29" s="267"/>
    </row>
    <row r="30">
      <c r="A30" s="265"/>
      <c r="B30" s="339"/>
      <c r="C30" s="248"/>
      <c r="D30" s="399">
        <v>31798.98</v>
      </c>
      <c r="E30" s="398" t="s">
        <v>328</v>
      </c>
      <c r="F30" s="284"/>
      <c r="G30" s="285" t="s">
        <v>73</v>
      </c>
      <c r="H30" s="251"/>
    </row>
    <row r="31">
      <c r="A31" s="265"/>
      <c r="B31" s="339">
        <v>46000.0</v>
      </c>
      <c r="C31" s="248"/>
      <c r="D31" s="249"/>
      <c r="F31" s="250"/>
      <c r="G31" s="254" t="s">
        <v>68</v>
      </c>
      <c r="H31" s="267"/>
    </row>
    <row r="32">
      <c r="A32" s="265"/>
      <c r="B32" s="247">
        <v>100000.0</v>
      </c>
      <c r="C32" s="405"/>
      <c r="D32" s="399"/>
      <c r="E32" s="398"/>
      <c r="F32" s="284"/>
      <c r="G32" s="285" t="s">
        <v>1223</v>
      </c>
      <c r="H32" s="251"/>
    </row>
    <row r="33">
      <c r="A33" s="265"/>
      <c r="B33" s="247"/>
      <c r="C33" s="252"/>
      <c r="D33" s="249"/>
      <c r="F33" s="250"/>
      <c r="G33" s="254"/>
      <c r="H33" s="251"/>
    </row>
    <row r="34">
      <c r="A34" s="265"/>
      <c r="B34" s="247"/>
      <c r="C34" s="252"/>
      <c r="D34" s="249"/>
      <c r="F34" s="250"/>
      <c r="G34" s="254"/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47"/>
      <c r="C37" s="248"/>
      <c r="D37" s="249"/>
      <c r="F37" s="250"/>
      <c r="H37" s="251"/>
    </row>
    <row r="38">
      <c r="A38" s="265"/>
      <c r="B38" s="247"/>
      <c r="C38" s="248"/>
      <c r="D38" s="249"/>
      <c r="F38" s="250"/>
      <c r="G38" s="254"/>
      <c r="H38" s="251"/>
    </row>
    <row r="39">
      <c r="A39" s="265"/>
      <c r="B39" s="268"/>
      <c r="C39" s="248"/>
      <c r="D39" s="249"/>
      <c r="F39" s="250"/>
      <c r="G39" s="254"/>
      <c r="H39" s="251"/>
    </row>
    <row r="40">
      <c r="A40" s="265"/>
      <c r="B40" s="278"/>
      <c r="C40" s="252"/>
      <c r="D40" s="253"/>
      <c r="F40" s="250"/>
      <c r="G40" s="269"/>
      <c r="H40" s="251"/>
    </row>
    <row r="41">
      <c r="A41" s="270"/>
      <c r="B41" s="271"/>
      <c r="C41" s="272"/>
      <c r="D41" s="273"/>
      <c r="E41" s="18"/>
      <c r="F41" s="274"/>
      <c r="G41" s="275"/>
      <c r="H41" s="261"/>
    </row>
    <row r="42">
      <c r="A42" s="262" t="s">
        <v>1224</v>
      </c>
      <c r="B42" s="425">
        <v>39145.73</v>
      </c>
      <c r="C42" s="426"/>
      <c r="D42" s="401"/>
      <c r="E42" s="402"/>
      <c r="F42" s="403"/>
      <c r="G42" s="436" t="s">
        <v>82</v>
      </c>
      <c r="H42" s="245">
        <v>140.0</v>
      </c>
    </row>
    <row r="43">
      <c r="A43" s="265"/>
      <c r="B43" s="404">
        <v>67273.29</v>
      </c>
      <c r="C43" s="405"/>
      <c r="D43" s="399"/>
      <c r="E43" s="398"/>
      <c r="F43" s="284"/>
      <c r="G43" s="285" t="s">
        <v>142</v>
      </c>
      <c r="H43" s="267"/>
    </row>
    <row r="44">
      <c r="A44" s="265"/>
      <c r="B44" s="433"/>
      <c r="C44" s="248">
        <v>122906.72</v>
      </c>
      <c r="D44" s="249"/>
      <c r="F44" s="250"/>
      <c r="G44" s="254" t="s">
        <v>84</v>
      </c>
      <c r="H44" s="310"/>
    </row>
    <row r="45">
      <c r="A45" s="265"/>
      <c r="B45" s="404">
        <v>78400.0</v>
      </c>
      <c r="C45" s="405"/>
      <c r="D45" s="399"/>
      <c r="E45" s="398" t="s">
        <v>328</v>
      </c>
      <c r="F45" s="284"/>
      <c r="G45" s="285" t="s">
        <v>1225</v>
      </c>
      <c r="H45" s="251"/>
    </row>
    <row r="46">
      <c r="A46" s="265"/>
      <c r="B46" s="247"/>
      <c r="C46" s="248"/>
      <c r="D46" s="399">
        <v>421080.0</v>
      </c>
      <c r="E46" s="398" t="s">
        <v>328</v>
      </c>
      <c r="F46" s="284"/>
      <c r="G46" s="285" t="s">
        <v>877</v>
      </c>
      <c r="H46" s="251"/>
    </row>
    <row r="47">
      <c r="A47" s="265"/>
      <c r="B47" s="247"/>
      <c r="C47" s="248"/>
      <c r="D47" s="399"/>
      <c r="E47" s="398"/>
      <c r="F47" s="284"/>
      <c r="G47" s="285"/>
      <c r="H47" s="251"/>
    </row>
    <row r="48">
      <c r="A48" s="265"/>
      <c r="B48" s="247"/>
      <c r="C48" s="252"/>
      <c r="D48" s="249"/>
      <c r="F48" s="250"/>
      <c r="G48" s="254"/>
      <c r="H48" s="251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52"/>
      <c r="D50" s="249"/>
      <c r="F50" s="250"/>
      <c r="G50" s="254"/>
      <c r="H50" s="251"/>
    </row>
    <row r="51">
      <c r="A51" s="265"/>
      <c r="B51" s="277"/>
      <c r="C51" s="252"/>
      <c r="D51" s="253"/>
      <c r="F51" s="250"/>
      <c r="G51" s="254"/>
      <c r="H51" s="251"/>
    </row>
    <row r="52">
      <c r="A52" s="265"/>
      <c r="B52" s="277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59"/>
      <c r="G53" s="275"/>
      <c r="H53" s="261"/>
    </row>
    <row r="54">
      <c r="A54" s="262" t="s">
        <v>1226</v>
      </c>
      <c r="B54" s="239"/>
      <c r="C54" s="263"/>
      <c r="D54" s="401">
        <v>92996.97</v>
      </c>
      <c r="E54" s="402" t="s">
        <v>328</v>
      </c>
      <c r="F54" s="403"/>
      <c r="G54" s="436" t="s">
        <v>100</v>
      </c>
      <c r="H54" s="245">
        <v>120.0</v>
      </c>
    </row>
    <row r="55">
      <c r="A55" s="265"/>
      <c r="B55" s="247">
        <v>68250.0</v>
      </c>
      <c r="C55" s="248"/>
      <c r="D55" s="399"/>
      <c r="E55" s="398"/>
      <c r="F55" s="284"/>
      <c r="G55" s="285" t="s">
        <v>76</v>
      </c>
      <c r="H55" s="267"/>
    </row>
    <row r="56">
      <c r="A56" s="265"/>
      <c r="B56" s="404"/>
      <c r="C56" s="405"/>
      <c r="D56" s="399">
        <v>206097.71</v>
      </c>
      <c r="E56" s="398"/>
      <c r="F56" s="284"/>
      <c r="G56" s="285" t="s">
        <v>103</v>
      </c>
      <c r="H56" s="267"/>
    </row>
    <row r="57">
      <c r="A57" s="265"/>
      <c r="B57" s="419"/>
      <c r="C57" s="427"/>
      <c r="D57" s="399"/>
      <c r="E57" s="398"/>
      <c r="F57" s="284">
        <v>21000.0</v>
      </c>
      <c r="G57" s="285" t="s">
        <v>875</v>
      </c>
      <c r="H57" s="251"/>
    </row>
    <row r="58">
      <c r="A58" s="265"/>
      <c r="B58" s="444"/>
      <c r="C58" s="427"/>
      <c r="D58" s="399"/>
      <c r="E58" s="398"/>
      <c r="F58" s="284"/>
      <c r="G58" s="285"/>
      <c r="H58" s="251"/>
    </row>
    <row r="59">
      <c r="A59" s="265"/>
      <c r="B59" s="281"/>
      <c r="C59" s="248"/>
      <c r="D59" s="249"/>
      <c r="F59" s="266"/>
      <c r="G59" s="254"/>
      <c r="H59" s="251"/>
    </row>
    <row r="60">
      <c r="A60" s="265"/>
      <c r="B60" s="281"/>
      <c r="C60" s="248"/>
      <c r="D60" s="249"/>
      <c r="F60" s="250"/>
      <c r="G60" s="254"/>
      <c r="H60" s="251"/>
    </row>
    <row r="61">
      <c r="A61" s="265"/>
      <c r="B61" s="404"/>
      <c r="C61" s="424"/>
      <c r="D61" s="399"/>
      <c r="E61" s="398"/>
      <c r="F61" s="284"/>
      <c r="G61" s="285"/>
      <c r="H61" s="251"/>
    </row>
    <row r="62">
      <c r="A62" s="265"/>
      <c r="B62" s="247"/>
      <c r="C62" s="252"/>
      <c r="D62" s="253"/>
      <c r="F62" s="250"/>
      <c r="G62" s="254"/>
      <c r="H62" s="251"/>
    </row>
    <row r="63">
      <c r="A63" s="265"/>
      <c r="B63" s="247"/>
      <c r="C63" s="252"/>
      <c r="D63" s="249"/>
      <c r="F63" s="250"/>
      <c r="G63" s="254"/>
      <c r="H63" s="251"/>
    </row>
    <row r="64">
      <c r="A64" s="265"/>
      <c r="B64" s="268"/>
      <c r="C64" s="252"/>
      <c r="D64" s="253"/>
      <c r="F64" s="250"/>
      <c r="G64" s="269"/>
      <c r="H64" s="251"/>
    </row>
    <row r="65">
      <c r="A65" s="265"/>
      <c r="B65" s="247"/>
      <c r="C65" s="252"/>
      <c r="D65" s="253"/>
      <c r="F65" s="250"/>
      <c r="G65" s="269"/>
      <c r="H65" s="251"/>
    </row>
    <row r="66">
      <c r="A66" s="265"/>
      <c r="B66" s="277"/>
      <c r="C66" s="252"/>
      <c r="D66" s="253"/>
      <c r="F66" s="282"/>
      <c r="G66" s="269"/>
      <c r="H66" s="251"/>
    </row>
    <row r="67">
      <c r="A67" s="265"/>
      <c r="B67" s="278"/>
      <c r="C67" s="248"/>
      <c r="D67" s="253"/>
      <c r="F67" s="282"/>
      <c r="G67" s="269"/>
      <c r="H67" s="251"/>
    </row>
    <row r="68">
      <c r="A68" s="265"/>
      <c r="B68" s="278"/>
      <c r="C68" s="252"/>
      <c r="D68" s="253"/>
      <c r="F68" s="250"/>
      <c r="G68" s="269"/>
      <c r="H68" s="251"/>
    </row>
    <row r="69">
      <c r="A69" s="270"/>
      <c r="B69" s="271"/>
      <c r="C69" s="272"/>
      <c r="D69" s="273"/>
      <c r="E69" s="18"/>
      <c r="F69" s="259"/>
      <c r="G69" s="260"/>
      <c r="H69" s="261"/>
    </row>
    <row r="70">
      <c r="A70" s="262" t="s">
        <v>1227</v>
      </c>
      <c r="B70" s="425">
        <v>10700.0</v>
      </c>
      <c r="C70" s="426"/>
      <c r="D70" s="401"/>
      <c r="E70" s="402"/>
      <c r="F70" s="284"/>
      <c r="G70" s="436" t="s">
        <v>552</v>
      </c>
      <c r="H70" s="245"/>
    </row>
    <row r="71">
      <c r="A71" s="265"/>
      <c r="B71" s="247"/>
      <c r="C71" s="248"/>
      <c r="D71" s="249"/>
      <c r="F71" s="250">
        <v>1583.0</v>
      </c>
      <c r="G71" s="398" t="s">
        <v>147</v>
      </c>
      <c r="H71" s="267"/>
    </row>
    <row r="72">
      <c r="A72" s="265"/>
      <c r="B72" s="404">
        <v>55000.0</v>
      </c>
      <c r="C72" s="405"/>
      <c r="D72" s="399"/>
      <c r="E72" s="398" t="s">
        <v>328</v>
      </c>
      <c r="F72" s="284"/>
      <c r="G72" s="285" t="s">
        <v>75</v>
      </c>
      <c r="H72" s="267"/>
    </row>
    <row r="73">
      <c r="A73" s="265"/>
      <c r="B73" s="404">
        <v>39145.73</v>
      </c>
      <c r="C73" s="405"/>
      <c r="D73" s="399"/>
      <c r="E73" s="398"/>
      <c r="F73" s="284"/>
      <c r="G73" s="285" t="s">
        <v>82</v>
      </c>
      <c r="H73" s="251"/>
      <c r="I73" s="340"/>
      <c r="J73" s="340"/>
      <c r="K73" s="340"/>
      <c r="L73" s="2" t="s">
        <v>623</v>
      </c>
    </row>
    <row r="74">
      <c r="A74" s="265"/>
      <c r="B74" s="330"/>
      <c r="C74" s="338"/>
      <c r="D74" s="449">
        <v>315334.0</v>
      </c>
      <c r="E74" s="450" t="s">
        <v>328</v>
      </c>
      <c r="F74" s="451"/>
      <c r="G74" s="435" t="s">
        <v>114</v>
      </c>
      <c r="H74" s="251"/>
      <c r="I74" s="341"/>
      <c r="J74" s="340"/>
      <c r="K74" s="340"/>
    </row>
    <row r="75">
      <c r="A75" s="265"/>
      <c r="B75" s="247">
        <v>36000.0</v>
      </c>
      <c r="C75" s="248"/>
      <c r="D75" s="249"/>
      <c r="F75" s="250"/>
      <c r="G75" s="254" t="s">
        <v>1185</v>
      </c>
      <c r="H75" s="251"/>
      <c r="I75" s="340"/>
      <c r="J75" s="340"/>
      <c r="K75" s="341"/>
    </row>
    <row r="76">
      <c r="A76" s="265"/>
      <c r="B76" s="247"/>
      <c r="C76" s="252"/>
      <c r="D76" s="249"/>
      <c r="F76" s="250"/>
      <c r="G76" s="254"/>
      <c r="H76" s="251"/>
      <c r="I76" s="340"/>
      <c r="J76" s="341"/>
      <c r="K76" s="341"/>
    </row>
    <row r="77">
      <c r="A77" s="265"/>
      <c r="B77" s="247"/>
      <c r="C77" s="252"/>
      <c r="D77" s="253"/>
      <c r="F77" s="250"/>
      <c r="G77" s="254"/>
      <c r="H77" s="251"/>
    </row>
    <row r="78">
      <c r="A78" s="265"/>
      <c r="B78" s="247"/>
      <c r="C78" s="248"/>
      <c r="D78" s="253"/>
      <c r="F78" s="250"/>
      <c r="G78" s="254"/>
      <c r="H78" s="251"/>
    </row>
    <row r="79">
      <c r="A79" s="265"/>
      <c r="B79" s="247"/>
      <c r="C79" s="248"/>
      <c r="D79" s="253"/>
      <c r="F79" s="250"/>
      <c r="G79" s="254"/>
      <c r="H79" s="251"/>
    </row>
    <row r="80">
      <c r="A80" s="265"/>
      <c r="B80" s="277"/>
      <c r="C80" s="248"/>
      <c r="D80" s="253"/>
      <c r="F80" s="282"/>
      <c r="G80" s="254"/>
      <c r="H80" s="251"/>
    </row>
    <row r="81">
      <c r="A81" s="265"/>
      <c r="B81" s="277"/>
      <c r="C81" s="252"/>
      <c r="D81" s="253"/>
      <c r="F81" s="250"/>
      <c r="G81" s="254"/>
      <c r="H81" s="251"/>
    </row>
    <row r="82">
      <c r="A82" s="265"/>
      <c r="B82" s="277"/>
      <c r="C82" s="252"/>
      <c r="D82" s="253"/>
      <c r="F82" s="282"/>
      <c r="G82" s="254"/>
      <c r="H82" s="251"/>
    </row>
    <row r="83">
      <c r="A83" s="270"/>
      <c r="B83" s="271"/>
      <c r="C83" s="272"/>
      <c r="D83" s="273"/>
      <c r="E83" s="18"/>
      <c r="F83" s="274"/>
      <c r="G83" s="275"/>
      <c r="H83" s="261"/>
    </row>
    <row r="84">
      <c r="A84" s="262" t="s">
        <v>1228</v>
      </c>
      <c r="B84" s="239">
        <v>17589.0</v>
      </c>
      <c r="C84" s="263"/>
      <c r="D84" s="401"/>
      <c r="E84" s="402"/>
      <c r="F84" s="403"/>
      <c r="G84" s="436" t="s">
        <v>291</v>
      </c>
      <c r="H84" s="245">
        <v>120.0</v>
      </c>
    </row>
    <row r="85">
      <c r="A85" s="265"/>
      <c r="B85" s="404"/>
      <c r="C85" s="405"/>
      <c r="D85" s="399"/>
      <c r="E85" s="398"/>
      <c r="F85" s="284">
        <v>1845.0</v>
      </c>
      <c r="G85" s="285" t="s">
        <v>368</v>
      </c>
      <c r="H85" s="267"/>
    </row>
    <row r="86">
      <c r="A86" s="265"/>
      <c r="B86" s="247"/>
      <c r="C86" s="248"/>
      <c r="D86" s="399">
        <v>164000.0</v>
      </c>
      <c r="E86" s="398" t="s">
        <v>328</v>
      </c>
      <c r="F86" s="284"/>
      <c r="G86" s="195" t="s">
        <v>122</v>
      </c>
      <c r="H86" s="267"/>
    </row>
    <row r="87">
      <c r="A87" s="265"/>
      <c r="B87" s="247"/>
      <c r="C87" s="248">
        <v>191402.15</v>
      </c>
      <c r="D87" s="249"/>
      <c r="F87" s="250"/>
      <c r="G87" s="254" t="s">
        <v>89</v>
      </c>
      <c r="H87" s="251"/>
    </row>
    <row r="88">
      <c r="A88" s="265"/>
      <c r="B88" s="247"/>
      <c r="C88" s="248"/>
      <c r="D88" s="249"/>
      <c r="F88" s="250"/>
      <c r="G88" s="254"/>
      <c r="H88" s="251"/>
    </row>
    <row r="89">
      <c r="A89" s="265"/>
      <c r="B89" s="247"/>
      <c r="C89" s="248"/>
      <c r="D89" s="249"/>
      <c r="F89" s="250"/>
      <c r="G89" s="254"/>
      <c r="H89" s="251"/>
    </row>
    <row r="90">
      <c r="A90" s="265"/>
      <c r="B90" s="247"/>
      <c r="C90" s="252"/>
      <c r="D90" s="414"/>
      <c r="E90" s="398"/>
      <c r="F90" s="284"/>
      <c r="G90" s="285"/>
      <c r="H90" s="251"/>
    </row>
    <row r="91">
      <c r="A91" s="265"/>
      <c r="B91" s="247"/>
      <c r="C91" s="248"/>
      <c r="D91" s="249"/>
      <c r="F91" s="250"/>
      <c r="G91" s="254"/>
      <c r="H91" s="251"/>
    </row>
    <row r="92">
      <c r="A92" s="265"/>
      <c r="B92" s="247"/>
      <c r="C92" s="252"/>
      <c r="D92" s="249"/>
      <c r="F92" s="250"/>
      <c r="G92" s="254"/>
      <c r="H92" s="251"/>
    </row>
    <row r="93">
      <c r="A93" s="265"/>
      <c r="B93" s="247"/>
      <c r="C93" s="248"/>
      <c r="D93" s="253"/>
      <c r="F93" s="250"/>
      <c r="G93" s="254"/>
      <c r="H93" s="251"/>
    </row>
    <row r="94">
      <c r="A94" s="265"/>
      <c r="B94" s="268"/>
      <c r="C94" s="252"/>
      <c r="D94" s="253"/>
      <c r="F94" s="250"/>
      <c r="G94" s="254"/>
      <c r="H94" s="251"/>
    </row>
    <row r="95">
      <c r="A95" s="265"/>
      <c r="B95" s="268"/>
      <c r="C95" s="252"/>
      <c r="D95" s="253"/>
      <c r="F95" s="250"/>
      <c r="G95" s="254"/>
      <c r="H95" s="251"/>
    </row>
    <row r="96">
      <c r="A96" s="265"/>
      <c r="B96" s="268"/>
      <c r="C96" s="252"/>
      <c r="D96" s="253"/>
      <c r="F96" s="250"/>
      <c r="G96" s="269"/>
      <c r="H96" s="251"/>
    </row>
    <row r="97">
      <c r="A97" s="265"/>
      <c r="B97" s="268"/>
      <c r="C97" s="252"/>
      <c r="D97" s="253"/>
      <c r="F97" s="250"/>
      <c r="G97" s="269"/>
      <c r="H97" s="251"/>
    </row>
    <row r="98">
      <c r="A98" s="265"/>
      <c r="B98" s="268"/>
      <c r="C98" s="252"/>
      <c r="D98" s="253"/>
      <c r="F98" s="250"/>
      <c r="G98" s="269"/>
      <c r="H98" s="251"/>
    </row>
    <row r="99">
      <c r="A99" s="265"/>
      <c r="B99" s="268"/>
      <c r="C99" s="252"/>
      <c r="D99" s="253"/>
      <c r="F99" s="250"/>
      <c r="G99" s="269"/>
      <c r="H99" s="251"/>
    </row>
    <row r="100">
      <c r="A100" s="265"/>
      <c r="B100" s="268"/>
      <c r="C100" s="252"/>
      <c r="D100" s="253"/>
      <c r="F100" s="250"/>
      <c r="G100" s="269"/>
      <c r="H100" s="251"/>
    </row>
    <row r="101">
      <c r="A101" s="270"/>
      <c r="B101" s="271"/>
      <c r="C101" s="272"/>
      <c r="D101" s="273"/>
      <c r="E101" s="18"/>
      <c r="F101" s="274"/>
      <c r="G101" s="275"/>
      <c r="H101" s="261"/>
    </row>
    <row r="102">
      <c r="A102" s="262" t="s">
        <v>1229</v>
      </c>
      <c r="B102" s="239"/>
      <c r="C102" s="263"/>
      <c r="D102" s="264">
        <v>250000.0</v>
      </c>
      <c r="E102" s="244"/>
      <c r="F102" s="243"/>
      <c r="G102" s="276" t="s">
        <v>1230</v>
      </c>
      <c r="H102" s="245">
        <v>100.0</v>
      </c>
      <c r="I102" s="2" t="s">
        <v>1231</v>
      </c>
      <c r="J102" s="2" t="s">
        <v>1232</v>
      </c>
    </row>
    <row r="103">
      <c r="A103" s="265"/>
      <c r="B103" s="247"/>
      <c r="C103" s="248"/>
      <c r="D103" s="399">
        <v>101423.0</v>
      </c>
      <c r="E103" s="398"/>
      <c r="F103" s="284"/>
      <c r="G103" s="285" t="s">
        <v>1233</v>
      </c>
      <c r="H103" s="267"/>
      <c r="I103" s="2" t="s">
        <v>1234</v>
      </c>
    </row>
    <row r="104">
      <c r="A104" s="265"/>
      <c r="B104" s="404"/>
      <c r="C104" s="405"/>
      <c r="D104" s="399">
        <v>100000.0</v>
      </c>
      <c r="E104" s="398"/>
      <c r="F104" s="284"/>
      <c r="G104" s="285" t="s">
        <v>1235</v>
      </c>
      <c r="H104" s="251"/>
    </row>
    <row r="105">
      <c r="A105" s="265"/>
      <c r="B105" s="239"/>
      <c r="C105" s="263"/>
      <c r="D105" s="401"/>
      <c r="E105" s="402"/>
      <c r="F105" s="403">
        <v>1280.0</v>
      </c>
      <c r="G105" s="436" t="s">
        <v>97</v>
      </c>
      <c r="H105" s="251"/>
    </row>
    <row r="106">
      <c r="A106" s="265"/>
      <c r="B106" s="404">
        <v>116500.0</v>
      </c>
      <c r="C106" s="424"/>
      <c r="D106" s="399"/>
      <c r="E106" s="398" t="s">
        <v>328</v>
      </c>
      <c r="F106" s="284"/>
      <c r="G106" s="285" t="s">
        <v>75</v>
      </c>
      <c r="H106" s="251"/>
    </row>
    <row r="107">
      <c r="A107" s="265"/>
      <c r="B107" s="404"/>
      <c r="C107" s="405"/>
      <c r="D107" s="399"/>
      <c r="E107" s="398"/>
      <c r="F107" s="284">
        <v>18000.0</v>
      </c>
      <c r="G107" s="285" t="s">
        <v>605</v>
      </c>
      <c r="H107" s="251"/>
    </row>
    <row r="108">
      <c r="A108" s="265"/>
      <c r="B108" s="247"/>
      <c r="C108" s="252"/>
      <c r="D108" s="249"/>
      <c r="F108" s="250">
        <v>2670.0</v>
      </c>
      <c r="G108" s="254" t="s">
        <v>368</v>
      </c>
      <c r="H108" s="251"/>
      <c r="I108" s="417"/>
    </row>
    <row r="109">
      <c r="A109" s="265"/>
      <c r="B109" s="247">
        <v>46000.0</v>
      </c>
      <c r="C109" s="248"/>
      <c r="D109" s="249"/>
      <c r="E109" s="2" t="s">
        <v>328</v>
      </c>
      <c r="F109" s="250"/>
      <c r="G109" s="254" t="s">
        <v>68</v>
      </c>
      <c r="H109" s="251"/>
    </row>
    <row r="110">
      <c r="A110" s="265"/>
      <c r="B110" s="247">
        <v>58266.91</v>
      </c>
      <c r="C110" s="248"/>
      <c r="D110" s="253"/>
      <c r="F110" s="250"/>
      <c r="G110" s="254" t="s">
        <v>82</v>
      </c>
      <c r="H110" s="251"/>
    </row>
    <row r="111">
      <c r="A111" s="265"/>
      <c r="B111" s="247"/>
      <c r="C111" s="248">
        <v>110597.18</v>
      </c>
      <c r="D111" s="253"/>
      <c r="E111" s="2" t="s">
        <v>328</v>
      </c>
      <c r="F111" s="250"/>
      <c r="G111" s="254" t="s">
        <v>71</v>
      </c>
      <c r="H111" s="251"/>
    </row>
    <row r="112">
      <c r="A112" s="265"/>
      <c r="B112" s="247"/>
      <c r="C112" s="252"/>
      <c r="D112" s="249"/>
      <c r="F112" s="250"/>
      <c r="G112" s="254"/>
      <c r="H112" s="251"/>
    </row>
    <row r="113">
      <c r="A113" s="265"/>
      <c r="B113" s="277"/>
      <c r="C113" s="252"/>
      <c r="D113" s="253"/>
      <c r="F113" s="250"/>
      <c r="G113" s="254"/>
      <c r="H113" s="251"/>
    </row>
    <row r="114">
      <c r="A114" s="265"/>
      <c r="B114" s="277"/>
      <c r="C114" s="252"/>
      <c r="D114" s="253"/>
      <c r="F114" s="250"/>
      <c r="G114" s="269"/>
      <c r="H114" s="251"/>
    </row>
    <row r="115">
      <c r="A115" s="265"/>
      <c r="B115" s="278"/>
      <c r="C115" s="252"/>
      <c r="D115" s="253"/>
      <c r="F115" s="250"/>
      <c r="G115" s="269"/>
      <c r="H115" s="251"/>
    </row>
    <row r="116">
      <c r="A116" s="270"/>
      <c r="B116" s="271"/>
      <c r="C116" s="272"/>
      <c r="D116" s="273"/>
      <c r="E116" s="18"/>
      <c r="F116" s="274"/>
      <c r="G116" s="275"/>
      <c r="H116" s="261"/>
    </row>
    <row r="117">
      <c r="A117" s="262" t="s">
        <v>1236</v>
      </c>
      <c r="B117" s="239"/>
      <c r="C117" s="263"/>
      <c r="D117" s="401">
        <v>27961.91</v>
      </c>
      <c r="E117" s="402" t="s">
        <v>328</v>
      </c>
      <c r="F117" s="403"/>
      <c r="G117" s="436" t="s">
        <v>73</v>
      </c>
      <c r="H117" s="245">
        <v>150.0</v>
      </c>
    </row>
    <row r="118">
      <c r="A118" s="265"/>
      <c r="B118" s="247"/>
      <c r="C118" s="252"/>
      <c r="D118" s="249">
        <v>52244.26</v>
      </c>
      <c r="E118" s="2" t="s">
        <v>328</v>
      </c>
      <c r="F118" s="250"/>
      <c r="G118" s="254" t="s">
        <v>74</v>
      </c>
      <c r="H118" s="251"/>
    </row>
    <row r="119">
      <c r="A119" s="265"/>
      <c r="B119" s="404"/>
      <c r="C119" s="405"/>
      <c r="D119" s="399">
        <v>73402.29</v>
      </c>
      <c r="E119" s="398" t="s">
        <v>328</v>
      </c>
      <c r="F119" s="284"/>
      <c r="G119" s="285" t="s">
        <v>91</v>
      </c>
      <c r="H119" s="251"/>
    </row>
    <row r="120">
      <c r="A120" s="265"/>
      <c r="B120" s="247">
        <v>25000.0</v>
      </c>
      <c r="C120" s="252"/>
      <c r="D120" s="249"/>
      <c r="F120" s="250"/>
      <c r="G120" s="254" t="s">
        <v>549</v>
      </c>
      <c r="H120" s="251"/>
    </row>
    <row r="121">
      <c r="A121" s="265"/>
      <c r="B121" s="247"/>
      <c r="C121" s="248"/>
      <c r="D121" s="399">
        <v>62436.0</v>
      </c>
      <c r="E121" s="398" t="s">
        <v>328</v>
      </c>
      <c r="F121" s="284"/>
      <c r="G121" s="285" t="s">
        <v>79</v>
      </c>
      <c r="H121" s="251"/>
    </row>
    <row r="122">
      <c r="A122" s="265"/>
      <c r="B122" s="419"/>
      <c r="C122" s="427"/>
      <c r="D122" s="414"/>
      <c r="E122" s="417"/>
      <c r="F122" s="418"/>
      <c r="G122" s="420"/>
      <c r="H122" s="251"/>
    </row>
    <row r="123">
      <c r="A123" s="265"/>
      <c r="B123" s="247"/>
      <c r="C123" s="248"/>
      <c r="D123" s="249"/>
      <c r="F123" s="250"/>
      <c r="G123" s="254"/>
      <c r="H123" s="251"/>
    </row>
    <row r="124">
      <c r="A124" s="265"/>
      <c r="B124" s="247"/>
      <c r="C124" s="252"/>
      <c r="D124" s="249"/>
      <c r="F124" s="250"/>
      <c r="G124" s="254"/>
      <c r="H124" s="251"/>
    </row>
    <row r="125">
      <c r="A125" s="265"/>
      <c r="B125" s="268"/>
      <c r="C125" s="248"/>
      <c r="D125" s="249"/>
      <c r="F125" s="250"/>
      <c r="G125" s="254"/>
      <c r="H125" s="251"/>
    </row>
    <row r="126">
      <c r="A126" s="265"/>
      <c r="B126" s="247"/>
      <c r="C126" s="252"/>
      <c r="D126" s="249"/>
      <c r="F126" s="250"/>
      <c r="H126" s="251"/>
    </row>
    <row r="127">
      <c r="A127" s="265"/>
      <c r="B127" s="247"/>
      <c r="C127" s="252"/>
      <c r="D127" s="249"/>
      <c r="F127" s="250"/>
      <c r="G127" s="254"/>
      <c r="H127" s="251"/>
    </row>
    <row r="128">
      <c r="A128" s="265"/>
      <c r="B128" s="277"/>
      <c r="C128" s="252"/>
      <c r="D128" s="253"/>
      <c r="F128" s="250"/>
      <c r="G128" s="254"/>
      <c r="H128" s="251"/>
    </row>
    <row r="129">
      <c r="A129" s="265"/>
      <c r="B129" s="277"/>
      <c r="C129" s="252"/>
      <c r="D129" s="253"/>
      <c r="F129" s="282"/>
      <c r="G129" s="269"/>
      <c r="H129" s="251"/>
    </row>
    <row r="130">
      <c r="A130" s="265"/>
      <c r="B130" s="278"/>
      <c r="C130" s="252"/>
      <c r="D130" s="253"/>
      <c r="F130" s="250"/>
      <c r="G130" s="269"/>
      <c r="H130" s="251"/>
    </row>
    <row r="131">
      <c r="A131" s="270"/>
      <c r="B131" s="271"/>
      <c r="C131" s="272"/>
      <c r="D131" s="273"/>
      <c r="E131" s="18"/>
      <c r="F131" s="259"/>
      <c r="G131" s="260"/>
      <c r="H131" s="261"/>
    </row>
    <row r="132">
      <c r="A132" s="262" t="s">
        <v>1237</v>
      </c>
      <c r="B132" s="239"/>
      <c r="C132" s="263">
        <v>221666.0</v>
      </c>
      <c r="D132" s="264"/>
      <c r="E132" s="244"/>
      <c r="F132" s="243"/>
      <c r="G132" s="276" t="s">
        <v>84</v>
      </c>
      <c r="H132" s="245">
        <v>146.0</v>
      </c>
    </row>
    <row r="133">
      <c r="A133" s="265"/>
      <c r="B133" s="404">
        <v>48601.96</v>
      </c>
      <c r="C133" s="434"/>
      <c r="D133" s="399"/>
      <c r="E133" s="398"/>
      <c r="F133" s="284"/>
      <c r="G133" s="285" t="s">
        <v>82</v>
      </c>
      <c r="H133" s="267"/>
    </row>
    <row r="134">
      <c r="A134" s="265"/>
      <c r="B134" s="404">
        <v>119933.28</v>
      </c>
      <c r="C134" s="405"/>
      <c r="D134" s="399"/>
      <c r="E134" s="398"/>
      <c r="F134" s="284"/>
      <c r="G134" s="285" t="s">
        <v>142</v>
      </c>
      <c r="H134" s="251"/>
    </row>
    <row r="135">
      <c r="A135" s="265"/>
      <c r="B135" s="404">
        <v>83300.0</v>
      </c>
      <c r="C135" s="405"/>
      <c r="D135" s="399"/>
      <c r="E135" s="398" t="s">
        <v>328</v>
      </c>
      <c r="F135" s="284"/>
      <c r="G135" s="285" t="s">
        <v>75</v>
      </c>
      <c r="H135" s="251"/>
    </row>
    <row r="136">
      <c r="A136" s="265"/>
      <c r="B136" s="404">
        <v>18861.0</v>
      </c>
      <c r="C136" s="405"/>
      <c r="D136" s="399"/>
      <c r="E136" s="398"/>
      <c r="F136" s="284"/>
      <c r="G136" s="285" t="s">
        <v>1061</v>
      </c>
      <c r="H136" s="251"/>
    </row>
    <row r="137">
      <c r="A137" s="265"/>
      <c r="B137" s="404">
        <v>45920.0</v>
      </c>
      <c r="C137" s="405"/>
      <c r="D137" s="399"/>
      <c r="E137" s="398"/>
      <c r="F137" s="284"/>
      <c r="G137" s="285" t="s">
        <v>118</v>
      </c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247"/>
      <c r="C139" s="252"/>
      <c r="D139" s="249"/>
      <c r="F139" s="250"/>
      <c r="G139" s="254"/>
      <c r="H139" s="251"/>
    </row>
    <row r="140">
      <c r="A140" s="265"/>
      <c r="B140" s="247"/>
      <c r="C140" s="252"/>
      <c r="D140" s="414"/>
      <c r="E140" s="417"/>
      <c r="F140" s="418"/>
      <c r="G140" s="420"/>
      <c r="H140" s="251"/>
    </row>
    <row r="141">
      <c r="A141" s="270"/>
      <c r="B141" s="279"/>
      <c r="C141" s="272"/>
      <c r="D141" s="273"/>
      <c r="E141" s="18"/>
      <c r="F141" s="274"/>
      <c r="G141" s="260"/>
      <c r="H141" s="261"/>
    </row>
    <row r="142">
      <c r="A142" s="262" t="s">
        <v>1238</v>
      </c>
      <c r="B142" s="239">
        <v>52000.0</v>
      </c>
      <c r="C142" s="263"/>
      <c r="D142" s="264"/>
      <c r="E142" s="244" t="s">
        <v>328</v>
      </c>
      <c r="F142" s="250"/>
      <c r="G142" s="276" t="s">
        <v>76</v>
      </c>
      <c r="H142" s="245">
        <v>140.0</v>
      </c>
    </row>
    <row r="143">
      <c r="A143" s="265"/>
      <c r="B143" s="247"/>
      <c r="C143" s="315"/>
      <c r="D143" s="399"/>
      <c r="E143" s="398"/>
      <c r="F143" s="284">
        <v>3930.0</v>
      </c>
      <c r="G143" s="285" t="s">
        <v>97</v>
      </c>
      <c r="H143" s="267"/>
    </row>
    <row r="144">
      <c r="A144" s="265"/>
      <c r="B144" s="247"/>
      <c r="C144" s="248"/>
      <c r="D144" s="399"/>
      <c r="E144" s="398"/>
      <c r="F144" s="284">
        <v>3500.0</v>
      </c>
      <c r="G144" s="285" t="s">
        <v>85</v>
      </c>
      <c r="H144" s="267"/>
    </row>
    <row r="145">
      <c r="A145" s="265"/>
      <c r="B145" s="247"/>
      <c r="C145" s="248"/>
      <c r="D145" s="249"/>
      <c r="F145" s="250" t="s">
        <v>137</v>
      </c>
      <c r="G145" s="254" t="s">
        <v>97</v>
      </c>
      <c r="H145" s="251"/>
    </row>
    <row r="146">
      <c r="A146" s="265"/>
      <c r="B146" s="247"/>
      <c r="C146" s="248"/>
      <c r="D146" s="249"/>
      <c r="E146" s="254"/>
      <c r="F146" s="250"/>
      <c r="G146" s="254"/>
      <c r="H146" s="251"/>
      <c r="I146" s="254"/>
    </row>
    <row r="147">
      <c r="A147" s="265"/>
      <c r="B147" s="247"/>
      <c r="C147" s="252"/>
      <c r="D147" s="249"/>
      <c r="F147" s="250"/>
      <c r="G147" s="254"/>
      <c r="H147" s="251"/>
    </row>
    <row r="148">
      <c r="A148" s="265"/>
      <c r="B148" s="404"/>
      <c r="C148" s="424"/>
      <c r="D148" s="399"/>
      <c r="E148" s="398"/>
      <c r="F148" s="284"/>
      <c r="G148" s="285"/>
      <c r="H148" s="267"/>
    </row>
    <row r="149">
      <c r="A149" s="265"/>
      <c r="B149" s="247"/>
      <c r="C149" s="252"/>
      <c r="D149" s="253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47"/>
      <c r="C151" s="252"/>
      <c r="D151" s="253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68"/>
      <c r="C154" s="252"/>
      <c r="D154" s="253"/>
      <c r="F154" s="250"/>
      <c r="G154" s="269"/>
      <c r="H154" s="251"/>
    </row>
    <row r="155">
      <c r="A155" s="265"/>
      <c r="B155" s="268"/>
      <c r="C155" s="252"/>
      <c r="D155" s="253"/>
      <c r="F155" s="250"/>
      <c r="G155" s="269"/>
      <c r="H155" s="251"/>
    </row>
    <row r="156">
      <c r="A156" s="270"/>
      <c r="B156" s="271"/>
      <c r="C156" s="272"/>
      <c r="D156" s="273"/>
      <c r="E156" s="18"/>
      <c r="F156" s="259"/>
      <c r="G156" s="260"/>
      <c r="H156" s="261"/>
    </row>
    <row r="157">
      <c r="A157" s="262" t="s">
        <v>1239</v>
      </c>
      <c r="B157" s="419"/>
      <c r="C157" s="427"/>
      <c r="D157" s="414"/>
      <c r="E157" s="417"/>
      <c r="F157" s="284">
        <v>15000.0</v>
      </c>
      <c r="G157" s="285" t="s">
        <v>608</v>
      </c>
      <c r="H157" s="286"/>
    </row>
    <row r="158">
      <c r="A158" s="265"/>
      <c r="B158" s="404"/>
      <c r="C158" s="405"/>
      <c r="D158" s="399"/>
      <c r="E158" s="398"/>
      <c r="F158" s="284">
        <v>4600.0</v>
      </c>
      <c r="G158" s="285" t="s">
        <v>85</v>
      </c>
      <c r="H158" s="251"/>
    </row>
    <row r="159">
      <c r="A159" s="265"/>
      <c r="B159" s="404"/>
      <c r="C159" s="405"/>
      <c r="D159" s="399"/>
      <c r="E159" s="398"/>
      <c r="F159" s="284">
        <v>11327.58</v>
      </c>
      <c r="G159" s="285" t="s">
        <v>97</v>
      </c>
      <c r="H159" s="267"/>
    </row>
    <row r="160">
      <c r="A160" s="265"/>
      <c r="B160" s="247">
        <v>78291.46</v>
      </c>
      <c r="C160" s="248"/>
      <c r="D160" s="249"/>
      <c r="F160" s="250"/>
      <c r="G160" s="254" t="s">
        <v>82</v>
      </c>
      <c r="H160" s="251"/>
      <c r="I160" s="2" t="s">
        <v>1240</v>
      </c>
    </row>
    <row r="161">
      <c r="A161" s="265"/>
      <c r="B161" s="404">
        <v>46000.0</v>
      </c>
      <c r="C161" s="405"/>
      <c r="D161" s="399"/>
      <c r="E161" s="398"/>
      <c r="F161" s="284"/>
      <c r="G161" s="285" t="s">
        <v>120</v>
      </c>
      <c r="H161" s="267"/>
      <c r="I161" s="2" t="s">
        <v>1241</v>
      </c>
    </row>
    <row r="162">
      <c r="A162" s="265"/>
      <c r="B162" s="247"/>
      <c r="C162" s="252"/>
      <c r="D162" s="249"/>
      <c r="F162" s="250"/>
      <c r="G162" s="254"/>
      <c r="H162" s="251"/>
    </row>
    <row r="163">
      <c r="A163" s="265"/>
      <c r="B163" s="247"/>
      <c r="C163" s="252"/>
      <c r="D163" s="399"/>
      <c r="E163" s="398"/>
      <c r="F163" s="284"/>
      <c r="G163" s="285"/>
      <c r="H163" s="251"/>
    </row>
    <row r="164">
      <c r="A164" s="265"/>
      <c r="B164" s="247"/>
      <c r="C164" s="252"/>
      <c r="D164" s="249"/>
      <c r="F164" s="250"/>
      <c r="G164" s="254"/>
      <c r="H164" s="251"/>
    </row>
    <row r="165">
      <c r="A165" s="265"/>
      <c r="B165" s="247"/>
      <c r="C165" s="248"/>
      <c r="D165" s="249"/>
      <c r="F165" s="250"/>
      <c r="G165" s="254"/>
      <c r="H165" s="251"/>
    </row>
    <row r="166">
      <c r="A166" s="265"/>
      <c r="B166" s="247"/>
      <c r="C166" s="252"/>
      <c r="D166" s="249"/>
      <c r="F166" s="250"/>
      <c r="G166" s="254"/>
      <c r="H166" s="251"/>
    </row>
    <row r="167">
      <c r="A167" s="265"/>
      <c r="B167" s="247"/>
      <c r="C167" s="252"/>
      <c r="D167" s="249"/>
      <c r="F167" s="250"/>
      <c r="G167" s="254"/>
      <c r="H167" s="251"/>
    </row>
    <row r="168">
      <c r="A168" s="265"/>
      <c r="B168" s="247"/>
      <c r="C168" s="248"/>
      <c r="D168" s="249"/>
      <c r="F168" s="250"/>
      <c r="G168" s="254"/>
      <c r="H168" s="251"/>
    </row>
    <row r="169">
      <c r="A169" s="265"/>
      <c r="B169" s="247"/>
      <c r="C169" s="248"/>
      <c r="D169" s="249"/>
      <c r="F169" s="250"/>
      <c r="G169" s="254"/>
      <c r="H169" s="251"/>
    </row>
    <row r="170">
      <c r="A170" s="265"/>
      <c r="B170" s="247"/>
      <c r="C170" s="252"/>
      <c r="D170" s="249"/>
      <c r="F170" s="250"/>
      <c r="G170" s="254"/>
      <c r="H170" s="251"/>
    </row>
    <row r="171">
      <c r="A171" s="265"/>
      <c r="B171" s="247"/>
      <c r="C171" s="252"/>
      <c r="D171" s="253"/>
      <c r="F171" s="250"/>
      <c r="G171" s="254"/>
      <c r="H171" s="251"/>
    </row>
    <row r="172">
      <c r="A172" s="270"/>
      <c r="B172" s="247"/>
      <c r="C172" s="252"/>
      <c r="D172" s="249"/>
      <c r="F172" s="250"/>
      <c r="G172" s="254"/>
      <c r="H172" s="261"/>
    </row>
    <row r="173">
      <c r="A173" s="262" t="s">
        <v>1242</v>
      </c>
      <c r="B173" s="239"/>
      <c r="C173" s="263"/>
      <c r="D173" s="401">
        <v>163762.41</v>
      </c>
      <c r="E173" s="402" t="s">
        <v>328</v>
      </c>
      <c r="F173" s="403"/>
      <c r="G173" s="436" t="s">
        <v>114</v>
      </c>
      <c r="H173" s="245">
        <v>60.0</v>
      </c>
      <c r="I173" s="2" t="s">
        <v>1243</v>
      </c>
    </row>
    <row r="174">
      <c r="A174" s="265"/>
      <c r="B174" s="247"/>
      <c r="C174" s="248"/>
      <c r="D174" s="249"/>
      <c r="F174" s="250"/>
      <c r="G174" s="254"/>
      <c r="H174" s="267">
        <v>90.0</v>
      </c>
    </row>
    <row r="175">
      <c r="A175" s="265"/>
      <c r="B175" s="247"/>
      <c r="C175" s="252"/>
      <c r="D175" s="249"/>
      <c r="F175" s="250"/>
      <c r="G175" s="254"/>
      <c r="H175" s="251"/>
    </row>
    <row r="176">
      <c r="A176" s="265"/>
      <c r="B176" s="247"/>
      <c r="C176" s="248"/>
      <c r="D176" s="249"/>
      <c r="F176" s="250"/>
      <c r="G176" s="254"/>
      <c r="H176" s="251"/>
    </row>
    <row r="177">
      <c r="A177" s="265"/>
      <c r="B177" s="247"/>
      <c r="C177" s="248"/>
      <c r="D177" s="249"/>
      <c r="F177" s="250"/>
      <c r="G177" s="254"/>
      <c r="H177" s="251"/>
    </row>
    <row r="178">
      <c r="A178" s="265"/>
      <c r="B178" s="247"/>
      <c r="C178" s="248"/>
      <c r="D178" s="249"/>
      <c r="F178" s="250"/>
      <c r="G178" s="254"/>
      <c r="H178" s="267"/>
    </row>
    <row r="179">
      <c r="A179" s="265"/>
      <c r="B179" s="247"/>
      <c r="C179" s="248"/>
      <c r="D179" s="249"/>
      <c r="F179" s="250"/>
      <c r="G179" s="316"/>
      <c r="H179" s="251"/>
    </row>
    <row r="180">
      <c r="A180" s="265"/>
      <c r="B180" s="247"/>
      <c r="C180" s="252"/>
      <c r="D180" s="249"/>
      <c r="F180" s="250"/>
      <c r="G180" s="254"/>
      <c r="H180" s="251"/>
    </row>
    <row r="181">
      <c r="A181" s="265"/>
      <c r="B181" s="247"/>
      <c r="C181" s="248"/>
      <c r="D181" s="249"/>
      <c r="F181" s="250"/>
      <c r="G181" s="254"/>
      <c r="H181" s="251"/>
    </row>
    <row r="182">
      <c r="A182" s="265"/>
      <c r="B182" s="247"/>
      <c r="C182" s="248"/>
      <c r="D182" s="253"/>
      <c r="F182" s="250"/>
      <c r="G182" s="254"/>
      <c r="H182" s="251"/>
    </row>
    <row r="183">
      <c r="A183" s="265"/>
      <c r="B183" s="268"/>
      <c r="C183" s="248"/>
      <c r="D183" s="253"/>
      <c r="F183" s="250"/>
      <c r="G183" s="269"/>
      <c r="H183" s="251"/>
    </row>
    <row r="184">
      <c r="A184" s="265"/>
      <c r="B184" s="247"/>
      <c r="C184" s="248"/>
      <c r="D184" s="253"/>
      <c r="F184" s="250"/>
      <c r="G184" s="269"/>
      <c r="H184" s="251"/>
    </row>
    <row r="185">
      <c r="A185" s="265"/>
      <c r="B185" s="278"/>
      <c r="C185" s="252"/>
      <c r="D185" s="253"/>
      <c r="F185" s="250"/>
      <c r="G185" s="269"/>
      <c r="H185" s="251"/>
    </row>
    <row r="186">
      <c r="A186" s="265"/>
      <c r="B186" s="278"/>
      <c r="C186" s="252"/>
      <c r="D186" s="253"/>
      <c r="F186" s="282"/>
      <c r="G186" s="269"/>
      <c r="H186" s="251"/>
    </row>
    <row r="187">
      <c r="A187" s="270"/>
      <c r="B187" s="271"/>
      <c r="C187" s="272"/>
      <c r="D187" s="273"/>
      <c r="E187" s="18"/>
      <c r="F187" s="274"/>
      <c r="G187" s="275"/>
      <c r="H187" s="261"/>
    </row>
    <row r="188">
      <c r="A188" s="262" t="s">
        <v>1244</v>
      </c>
      <c r="B188" s="425"/>
      <c r="C188" s="426"/>
      <c r="D188" s="401"/>
      <c r="E188" s="402"/>
      <c r="F188" s="403"/>
      <c r="G188" s="436" t="s">
        <v>1245</v>
      </c>
      <c r="H188" s="245"/>
    </row>
    <row r="189">
      <c r="A189" s="265"/>
      <c r="B189" s="247"/>
      <c r="C189" s="248"/>
      <c r="D189" s="249"/>
      <c r="F189" s="250"/>
      <c r="G189" s="254"/>
      <c r="H189" s="267"/>
    </row>
    <row r="190">
      <c r="A190" s="265"/>
      <c r="B190" s="404"/>
      <c r="C190" s="424"/>
      <c r="D190" s="399"/>
      <c r="E190" s="398"/>
      <c r="F190" s="284"/>
      <c r="G190" s="285"/>
      <c r="H190" s="251"/>
    </row>
    <row r="191">
      <c r="A191" s="265"/>
      <c r="B191" s="404"/>
      <c r="C191" s="405"/>
      <c r="D191" s="399"/>
      <c r="E191" s="398"/>
      <c r="F191" s="284"/>
      <c r="G191" s="285"/>
      <c r="H191" s="251"/>
    </row>
    <row r="192">
      <c r="A192" s="265"/>
      <c r="B192" s="247"/>
      <c r="C192" s="248"/>
      <c r="D192" s="399"/>
      <c r="E192" s="398"/>
      <c r="F192" s="284"/>
      <c r="G192" s="285"/>
      <c r="H192" s="251"/>
    </row>
    <row r="193">
      <c r="A193" s="265"/>
      <c r="B193" s="419"/>
      <c r="C193" s="405"/>
      <c r="D193" s="399"/>
      <c r="E193" s="398"/>
      <c r="F193" s="284"/>
      <c r="G193" s="285"/>
      <c r="H193" s="251"/>
    </row>
    <row r="194">
      <c r="A194" s="265"/>
      <c r="B194" s="247"/>
      <c r="C194" s="252"/>
      <c r="D194" s="399"/>
      <c r="E194" s="398"/>
      <c r="F194" s="284"/>
      <c r="G194" s="285"/>
      <c r="H194" s="251"/>
    </row>
    <row r="195">
      <c r="A195" s="265"/>
      <c r="B195" s="404"/>
      <c r="C195" s="424"/>
      <c r="D195" s="400"/>
      <c r="E195" s="398"/>
      <c r="F195" s="284"/>
      <c r="G195" s="285"/>
      <c r="H195" s="251"/>
      <c r="I195" s="269"/>
      <c r="J195" s="269"/>
      <c r="K195" s="269"/>
    </row>
    <row r="196">
      <c r="A196" s="265"/>
      <c r="B196" s="247"/>
      <c r="C196" s="248"/>
      <c r="D196" s="249"/>
      <c r="E196" s="269"/>
      <c r="F196" s="250"/>
      <c r="G196" s="254"/>
      <c r="H196" s="251"/>
      <c r="I196" s="269"/>
      <c r="J196" s="269"/>
      <c r="K196" s="269"/>
    </row>
    <row r="197">
      <c r="A197" s="265"/>
      <c r="B197" s="277"/>
      <c r="C197" s="252"/>
      <c r="D197" s="249"/>
      <c r="E197" s="254"/>
      <c r="F197" s="250"/>
      <c r="G197" s="254"/>
      <c r="H197" s="251"/>
      <c r="I197" s="254"/>
      <c r="J197" s="269"/>
      <c r="K197" s="269"/>
    </row>
    <row r="198">
      <c r="A198" s="265"/>
      <c r="B198" s="277"/>
      <c r="C198" s="252"/>
      <c r="D198" s="253"/>
      <c r="E198" s="269"/>
      <c r="F198" s="282"/>
      <c r="G198" s="254"/>
      <c r="H198" s="251"/>
      <c r="I198" s="269"/>
      <c r="J198" s="269"/>
      <c r="K198" s="269"/>
    </row>
    <row r="199">
      <c r="A199" s="270"/>
      <c r="B199" s="271"/>
      <c r="C199" s="272"/>
      <c r="D199" s="273"/>
      <c r="E199" s="275"/>
      <c r="F199" s="274"/>
      <c r="G199" s="275"/>
      <c r="H199" s="261"/>
      <c r="I199" s="269"/>
      <c r="J199" s="269"/>
      <c r="K199" s="269"/>
    </row>
    <row r="200">
      <c r="A200" s="262" t="s">
        <v>1246</v>
      </c>
      <c r="B200" s="425"/>
      <c r="C200" s="426"/>
      <c r="D200" s="401"/>
      <c r="E200" s="402"/>
      <c r="F200" s="403">
        <v>13500.0</v>
      </c>
      <c r="G200" s="436" t="s">
        <v>820</v>
      </c>
      <c r="H200" s="245">
        <v>45.0</v>
      </c>
      <c r="I200" s="254"/>
      <c r="J200" s="254"/>
      <c r="K200" s="254"/>
    </row>
    <row r="201">
      <c r="A201" s="265"/>
      <c r="B201" s="247"/>
      <c r="C201" s="248"/>
      <c r="D201" s="249"/>
      <c r="F201" s="250">
        <v>16850.0</v>
      </c>
      <c r="G201" s="254" t="s">
        <v>97</v>
      </c>
      <c r="H201" s="251"/>
      <c r="I201" s="269"/>
      <c r="J201" s="254"/>
      <c r="K201" s="254"/>
    </row>
    <row r="202">
      <c r="A202" s="265"/>
      <c r="B202" s="404">
        <v>44948.0</v>
      </c>
      <c r="C202" s="424"/>
      <c r="D202" s="399"/>
      <c r="E202" s="398" t="s">
        <v>328</v>
      </c>
      <c r="F202" s="284"/>
      <c r="G202" s="285" t="s">
        <v>74</v>
      </c>
      <c r="H202" s="251"/>
      <c r="I202" s="269"/>
      <c r="J202" s="254"/>
      <c r="K202" s="254"/>
    </row>
    <row r="203">
      <c r="A203" s="265"/>
      <c r="B203" s="404">
        <v>18582.15</v>
      </c>
      <c r="C203" s="405"/>
      <c r="D203" s="399"/>
      <c r="E203" s="398" t="s">
        <v>328</v>
      </c>
      <c r="F203" s="284"/>
      <c r="G203" s="285" t="s">
        <v>73</v>
      </c>
      <c r="H203" s="251"/>
      <c r="I203" s="269"/>
      <c r="J203" s="269"/>
      <c r="K203" s="269"/>
    </row>
    <row r="204">
      <c r="A204" s="265"/>
      <c r="B204" s="247"/>
      <c r="C204" s="248">
        <v>62063.32</v>
      </c>
      <c r="D204" s="399"/>
      <c r="E204" s="398"/>
      <c r="F204" s="284"/>
      <c r="G204" s="285" t="s">
        <v>71</v>
      </c>
      <c r="H204" s="251"/>
      <c r="I204" s="269"/>
      <c r="J204" s="269"/>
      <c r="K204" s="269"/>
    </row>
    <row r="205">
      <c r="A205" s="265"/>
      <c r="B205" s="419"/>
      <c r="C205" s="405">
        <v>279945.35</v>
      </c>
      <c r="D205" s="399"/>
      <c r="E205" s="398"/>
      <c r="F205" s="284"/>
      <c r="G205" s="285" t="s">
        <v>89</v>
      </c>
      <c r="H205" s="251"/>
      <c r="I205" s="269"/>
      <c r="J205" s="269"/>
      <c r="K205" s="269"/>
    </row>
    <row r="206">
      <c r="A206" s="265"/>
      <c r="B206" s="247"/>
      <c r="C206" s="252"/>
      <c r="D206" s="399"/>
      <c r="E206" s="398"/>
      <c r="F206" s="284">
        <v>14000.0</v>
      </c>
      <c r="G206" s="285" t="s">
        <v>1247</v>
      </c>
      <c r="H206" s="251"/>
      <c r="I206" s="269"/>
      <c r="J206" s="269"/>
      <c r="K206" s="269"/>
    </row>
    <row r="207">
      <c r="A207" s="265"/>
      <c r="B207" s="404"/>
      <c r="C207" s="424"/>
      <c r="D207" s="400"/>
      <c r="E207" s="398"/>
      <c r="F207" s="284"/>
      <c r="G207" s="285"/>
      <c r="H207" s="251"/>
      <c r="I207" s="254"/>
      <c r="J207" s="269"/>
      <c r="K207" s="269"/>
    </row>
    <row r="208">
      <c r="A208" s="265"/>
      <c r="B208" s="247"/>
      <c r="C208" s="252"/>
      <c r="D208" s="253"/>
      <c r="F208" s="250"/>
      <c r="G208" s="254"/>
      <c r="H208" s="251"/>
      <c r="I208" s="269"/>
      <c r="J208" s="269"/>
      <c r="K208" s="269"/>
    </row>
    <row r="209">
      <c r="A209" s="265"/>
      <c r="B209" s="247"/>
      <c r="C209" s="252"/>
      <c r="D209" s="253"/>
      <c r="F209" s="250"/>
      <c r="G209" s="254"/>
      <c r="H209" s="251"/>
    </row>
    <row r="210">
      <c r="A210" s="265"/>
      <c r="B210" s="247"/>
      <c r="C210" s="252"/>
      <c r="D210" s="253"/>
      <c r="F210" s="250"/>
      <c r="G210" s="254"/>
      <c r="H210" s="251"/>
    </row>
    <row r="211">
      <c r="A211" s="265"/>
      <c r="B211" s="277"/>
      <c r="C211" s="252"/>
      <c r="D211" s="253"/>
      <c r="F211" s="250"/>
      <c r="G211" s="254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65"/>
      <c r="B213" s="278"/>
      <c r="C213" s="252"/>
      <c r="D213" s="253"/>
      <c r="F213" s="282"/>
      <c r="G213" s="269"/>
      <c r="H213" s="251"/>
    </row>
    <row r="214">
      <c r="A214" s="270"/>
      <c r="B214" s="271"/>
      <c r="C214" s="272"/>
      <c r="D214" s="273"/>
      <c r="E214" s="18"/>
      <c r="F214" s="274"/>
      <c r="G214" s="275"/>
      <c r="H214" s="261"/>
    </row>
    <row r="215">
      <c r="A215" s="262" t="s">
        <v>1248</v>
      </c>
      <c r="B215" s="425">
        <v>193300.0</v>
      </c>
      <c r="C215" s="426"/>
      <c r="D215" s="401"/>
      <c r="E215" s="402" t="s">
        <v>328</v>
      </c>
      <c r="F215" s="403"/>
      <c r="G215" s="398" t="s">
        <v>75</v>
      </c>
      <c r="H215" s="245">
        <v>170.0</v>
      </c>
    </row>
    <row r="216">
      <c r="A216" s="265"/>
      <c r="B216" s="247"/>
      <c r="C216" s="248"/>
      <c r="D216" s="399">
        <v>148070.0</v>
      </c>
      <c r="E216" s="398" t="s">
        <v>328</v>
      </c>
      <c r="F216" s="284"/>
      <c r="G216" s="285" t="s">
        <v>893</v>
      </c>
      <c r="H216" s="267"/>
      <c r="I216" s="2" t="s">
        <v>1249</v>
      </c>
    </row>
    <row r="217">
      <c r="A217" s="265"/>
      <c r="B217" s="247"/>
      <c r="C217" s="248"/>
      <c r="D217" s="399"/>
      <c r="E217" s="398"/>
      <c r="F217" s="284">
        <v>1600.0</v>
      </c>
      <c r="G217" s="285" t="s">
        <v>1250</v>
      </c>
      <c r="H217" s="251"/>
    </row>
    <row r="218">
      <c r="A218" s="265"/>
      <c r="B218" s="404">
        <v>38694.05</v>
      </c>
      <c r="C218" s="405"/>
      <c r="D218" s="399"/>
      <c r="E218" s="398"/>
      <c r="F218" s="284"/>
      <c r="G218" s="285" t="s">
        <v>82</v>
      </c>
      <c r="H218" s="251"/>
    </row>
    <row r="219">
      <c r="A219" s="265"/>
      <c r="B219" s="247">
        <v>67273.29</v>
      </c>
      <c r="C219" s="252"/>
      <c r="D219" s="414"/>
      <c r="E219" s="417"/>
      <c r="F219" s="250"/>
      <c r="G219" s="285" t="s">
        <v>142</v>
      </c>
      <c r="H219" s="267"/>
    </row>
    <row r="220">
      <c r="A220" s="265"/>
      <c r="B220" s="247"/>
      <c r="C220" s="248"/>
      <c r="D220" s="399">
        <v>315810.0</v>
      </c>
      <c r="E220" s="398" t="s">
        <v>328</v>
      </c>
      <c r="F220" s="284"/>
      <c r="G220" s="285" t="s">
        <v>877</v>
      </c>
      <c r="H220" s="267"/>
    </row>
    <row r="221">
      <c r="A221" s="265"/>
      <c r="B221" s="404"/>
      <c r="C221" s="405"/>
      <c r="D221" s="399"/>
      <c r="E221" s="398"/>
      <c r="F221" s="284"/>
      <c r="G221" s="285"/>
      <c r="H221" s="251"/>
    </row>
    <row r="222">
      <c r="A222" s="265"/>
      <c r="B222" s="247"/>
      <c r="C222" s="252"/>
      <c r="D222" s="400"/>
      <c r="E222" s="398"/>
      <c r="F222" s="284"/>
      <c r="G222" s="285"/>
      <c r="H222" s="251"/>
    </row>
    <row r="223">
      <c r="A223" s="265"/>
      <c r="B223" s="247"/>
      <c r="C223" s="252"/>
      <c r="D223" s="399"/>
      <c r="E223" s="398"/>
      <c r="F223" s="284"/>
      <c r="G223" s="285"/>
      <c r="H223" s="251"/>
    </row>
    <row r="224">
      <c r="A224" s="265"/>
      <c r="B224" s="247"/>
      <c r="C224" s="252"/>
      <c r="D224" s="253"/>
      <c r="F224" s="250"/>
      <c r="G224" s="254"/>
      <c r="H224" s="251"/>
    </row>
    <row r="225">
      <c r="A225" s="265"/>
      <c r="B225" s="278"/>
      <c r="C225" s="252"/>
      <c r="D225" s="253"/>
      <c r="F225" s="250"/>
      <c r="G225" s="254"/>
      <c r="H225" s="251"/>
    </row>
    <row r="226">
      <c r="A226" s="265"/>
      <c r="B226" s="278"/>
      <c r="C226" s="252"/>
      <c r="D226" s="253"/>
      <c r="F226" s="250"/>
      <c r="G226" s="269"/>
      <c r="H226" s="251"/>
    </row>
    <row r="227">
      <c r="A227" s="265"/>
      <c r="B227" s="278"/>
      <c r="C227" s="252"/>
      <c r="D227" s="253"/>
      <c r="F227" s="250"/>
      <c r="G227" s="269"/>
      <c r="H227" s="251"/>
    </row>
    <row r="228">
      <c r="A228" s="270"/>
      <c r="B228" s="271"/>
      <c r="C228" s="272"/>
      <c r="D228" s="273"/>
      <c r="E228" s="18"/>
      <c r="F228" s="274"/>
      <c r="G228" s="275"/>
      <c r="H228" s="261"/>
    </row>
    <row r="229">
      <c r="A229" s="262" t="s">
        <v>1251</v>
      </c>
      <c r="B229" s="425">
        <v>50000.0</v>
      </c>
      <c r="C229" s="426"/>
      <c r="D229" s="401"/>
      <c r="E229" s="402"/>
      <c r="F229" s="403"/>
      <c r="G229" s="436" t="s">
        <v>1223</v>
      </c>
      <c r="H229" s="245">
        <v>140.0</v>
      </c>
    </row>
    <row r="230">
      <c r="A230" s="265"/>
      <c r="B230" s="404"/>
      <c r="C230" s="405"/>
      <c r="D230" s="399"/>
      <c r="E230" s="398"/>
      <c r="F230" s="284"/>
      <c r="G230" s="285"/>
      <c r="H230" s="251"/>
    </row>
    <row r="231">
      <c r="A231" s="265"/>
      <c r="B231" s="404"/>
      <c r="C231" s="405"/>
      <c r="D231" s="399"/>
      <c r="E231" s="398"/>
      <c r="F231" s="284"/>
      <c r="G231" s="285"/>
      <c r="H231" s="251"/>
    </row>
    <row r="232">
      <c r="A232" s="265"/>
      <c r="B232" s="419"/>
      <c r="C232" s="427"/>
      <c r="D232" s="399"/>
      <c r="E232" s="398"/>
      <c r="F232" s="284"/>
      <c r="G232" s="285"/>
      <c r="H232" s="267"/>
    </row>
    <row r="233">
      <c r="A233" s="265"/>
      <c r="B233" s="419"/>
      <c r="C233" s="427"/>
      <c r="D233" s="414"/>
      <c r="E233" s="417"/>
      <c r="F233" s="418"/>
      <c r="G233" s="420"/>
      <c r="H233" s="251"/>
    </row>
    <row r="234">
      <c r="A234" s="265"/>
      <c r="B234" s="247"/>
      <c r="C234" s="248"/>
      <c r="D234" s="249"/>
      <c r="F234" s="250"/>
      <c r="G234" s="254"/>
      <c r="H234" s="251"/>
    </row>
    <row r="235">
      <c r="A235" s="265"/>
      <c r="B235" s="247"/>
      <c r="C235" s="252"/>
      <c r="D235" s="249"/>
      <c r="F235" s="250"/>
      <c r="G235" s="254"/>
      <c r="H235" s="251"/>
    </row>
    <row r="236">
      <c r="A236" s="265"/>
      <c r="B236" s="247"/>
      <c r="C236" s="248"/>
      <c r="D236" s="253"/>
      <c r="F236" s="250"/>
      <c r="G236" s="254"/>
      <c r="H236" s="251"/>
    </row>
    <row r="237">
      <c r="A237" s="265"/>
      <c r="B237" s="247"/>
      <c r="C237" s="252"/>
      <c r="D237" s="253"/>
      <c r="F237" s="250"/>
      <c r="G237" s="254"/>
      <c r="H237" s="251"/>
    </row>
    <row r="238">
      <c r="A238" s="265"/>
      <c r="B238" s="247"/>
      <c r="C238" s="252"/>
      <c r="D238" s="414"/>
      <c r="E238" s="417"/>
      <c r="F238" s="418"/>
      <c r="G238" s="420"/>
      <c r="H238" s="251"/>
    </row>
    <row r="239">
      <c r="A239" s="265"/>
      <c r="B239" s="247"/>
      <c r="C239" s="252"/>
      <c r="D239" s="249"/>
      <c r="F239" s="250"/>
      <c r="G239" s="254"/>
      <c r="H239" s="267"/>
    </row>
    <row r="240">
      <c r="A240" s="265"/>
      <c r="B240" s="268"/>
      <c r="C240" s="252"/>
      <c r="D240" s="249"/>
      <c r="F240" s="250"/>
      <c r="G240" s="254"/>
      <c r="H240" s="251"/>
    </row>
    <row r="241">
      <c r="A241" s="265"/>
      <c r="B241" s="268"/>
      <c r="C241" s="252"/>
      <c r="D241" s="253"/>
      <c r="F241" s="250"/>
      <c r="G241" s="254"/>
      <c r="H241" s="251"/>
    </row>
    <row r="242">
      <c r="A242" s="265"/>
      <c r="B242" s="268"/>
      <c r="C242" s="252"/>
      <c r="D242" s="253"/>
      <c r="F242" s="250"/>
      <c r="G242" s="254"/>
      <c r="H242" s="251"/>
    </row>
    <row r="243">
      <c r="A243" s="270"/>
      <c r="B243" s="271"/>
      <c r="C243" s="272"/>
      <c r="D243" s="273"/>
      <c r="E243" s="18"/>
      <c r="F243" s="259"/>
      <c r="G243" s="260"/>
      <c r="H243" s="261"/>
    </row>
    <row r="244">
      <c r="A244" s="262" t="s">
        <v>1252</v>
      </c>
      <c r="B244" s="239">
        <v>29029.08</v>
      </c>
      <c r="C244" s="263"/>
      <c r="D244" s="249"/>
      <c r="F244" s="250"/>
      <c r="G244" s="254" t="s">
        <v>82</v>
      </c>
      <c r="H244" s="245">
        <v>210.0</v>
      </c>
    </row>
    <row r="245">
      <c r="A245" s="265"/>
      <c r="B245" s="404">
        <v>52000.0</v>
      </c>
      <c r="C245" s="405"/>
      <c r="D245" s="399"/>
      <c r="E245" s="398"/>
      <c r="F245" s="284"/>
      <c r="G245" s="285" t="s">
        <v>76</v>
      </c>
      <c r="H245" s="267"/>
    </row>
    <row r="246">
      <c r="A246" s="265"/>
      <c r="B246" s="404">
        <v>164000.0</v>
      </c>
      <c r="C246" s="405"/>
      <c r="D246" s="399"/>
      <c r="E246" s="398" t="s">
        <v>328</v>
      </c>
      <c r="F246" s="284"/>
      <c r="G246" s="285" t="s">
        <v>122</v>
      </c>
      <c r="H246" s="251"/>
    </row>
    <row r="247">
      <c r="A247" s="265"/>
      <c r="B247" s="247">
        <v>123379.51</v>
      </c>
      <c r="C247" s="248"/>
      <c r="D247" s="249"/>
      <c r="F247" s="250"/>
      <c r="G247" s="254" t="s">
        <v>103</v>
      </c>
      <c r="H247" s="251"/>
    </row>
    <row r="248">
      <c r="A248" s="265"/>
      <c r="B248" s="247">
        <v>37525.0</v>
      </c>
      <c r="C248" s="248"/>
      <c r="D248" s="414"/>
      <c r="E248" s="417"/>
      <c r="F248" s="418"/>
      <c r="G248" s="285" t="s">
        <v>548</v>
      </c>
      <c r="H248" s="251"/>
    </row>
    <row r="249">
      <c r="A249" s="265"/>
      <c r="B249" s="247"/>
      <c r="C249" s="248"/>
      <c r="D249" s="249"/>
      <c r="F249" s="250">
        <v>9000.0</v>
      </c>
      <c r="G249" s="254" t="s">
        <v>1253</v>
      </c>
      <c r="H249" s="251"/>
    </row>
    <row r="250">
      <c r="A250" s="265"/>
      <c r="B250" s="247"/>
      <c r="C250" s="248"/>
      <c r="D250" s="249"/>
      <c r="F250" s="250"/>
      <c r="G250" s="254"/>
      <c r="H250" s="251"/>
    </row>
    <row r="251">
      <c r="A251" s="265"/>
      <c r="B251" s="247"/>
      <c r="C251" s="248"/>
      <c r="D251" s="249"/>
      <c r="F251" s="250"/>
      <c r="G251" s="254"/>
      <c r="H251" s="251"/>
    </row>
    <row r="252">
      <c r="A252" s="265"/>
      <c r="B252" s="247"/>
      <c r="C252" s="252"/>
      <c r="D252" s="249"/>
      <c r="F252" s="250"/>
      <c r="G252" s="254"/>
      <c r="H252" s="251"/>
    </row>
    <row r="253">
      <c r="A253" s="265"/>
      <c r="B253" s="247"/>
      <c r="C253" s="252"/>
      <c r="D253" s="289"/>
      <c r="E253" s="290"/>
      <c r="F253" s="335"/>
      <c r="G253" s="292"/>
      <c r="H253" s="251"/>
    </row>
    <row r="254">
      <c r="A254" s="265"/>
      <c r="B254" s="247"/>
      <c r="C254" s="252"/>
      <c r="D254" s="253"/>
      <c r="F254" s="250"/>
      <c r="G254" s="254"/>
      <c r="H254" s="251"/>
    </row>
    <row r="255">
      <c r="A255" s="265"/>
      <c r="B255" s="268"/>
      <c r="C255" s="252"/>
      <c r="D255" s="253"/>
      <c r="F255" s="250"/>
      <c r="G255" s="269"/>
      <c r="H255" s="251"/>
    </row>
    <row r="256">
      <c r="A256" s="270"/>
      <c r="B256" s="271"/>
      <c r="C256" s="272"/>
      <c r="D256" s="273"/>
      <c r="E256" s="18"/>
      <c r="F256" s="259"/>
      <c r="G256" s="260"/>
      <c r="H256" s="261"/>
    </row>
    <row r="257">
      <c r="A257" s="262" t="s">
        <v>1254</v>
      </c>
      <c r="B257" s="425">
        <v>18880.0</v>
      </c>
      <c r="C257" s="426"/>
      <c r="D257" s="399"/>
      <c r="E257" s="398"/>
      <c r="F257" s="284"/>
      <c r="G257" s="285" t="s">
        <v>291</v>
      </c>
      <c r="H257" s="245">
        <v>140.0</v>
      </c>
    </row>
    <row r="258">
      <c r="A258" s="265"/>
      <c r="B258" s="247"/>
      <c r="C258" s="248"/>
      <c r="D258" s="399"/>
      <c r="E258" s="398"/>
      <c r="F258" s="284"/>
      <c r="G258" s="285"/>
      <c r="H258" s="267"/>
    </row>
    <row r="259">
      <c r="A259" s="265"/>
      <c r="B259" s="247"/>
      <c r="C259" s="248"/>
      <c r="D259" s="399"/>
      <c r="E259" s="442"/>
      <c r="F259" s="284"/>
      <c r="G259" s="285"/>
      <c r="H259" s="251"/>
    </row>
    <row r="260">
      <c r="A260" s="265"/>
      <c r="B260" s="247"/>
      <c r="C260" s="248"/>
      <c r="D260" s="399"/>
      <c r="E260" s="398"/>
      <c r="F260" s="284"/>
      <c r="G260" s="285"/>
      <c r="H260" s="251"/>
    </row>
    <row r="261">
      <c r="A261" s="265"/>
      <c r="B261" s="247"/>
      <c r="C261" s="252"/>
      <c r="D261" s="414"/>
      <c r="E261" s="417"/>
      <c r="F261" s="418"/>
      <c r="G261" s="420"/>
      <c r="H261" s="251"/>
    </row>
    <row r="262">
      <c r="A262" s="265"/>
      <c r="B262" s="247"/>
      <c r="C262" s="248"/>
      <c r="D262" s="249"/>
      <c r="F262" s="250"/>
      <c r="G262" s="254"/>
      <c r="H262" s="251"/>
    </row>
    <row r="263">
      <c r="A263" s="265"/>
      <c r="B263" s="247"/>
      <c r="C263" s="248"/>
      <c r="D263" s="249"/>
      <c r="F263" s="250"/>
      <c r="G263" s="254"/>
      <c r="H263" s="251"/>
    </row>
    <row r="264">
      <c r="A264" s="265"/>
      <c r="B264" s="247"/>
      <c r="C264" s="248"/>
      <c r="D264" s="249"/>
      <c r="F264" s="250"/>
      <c r="G264" s="254"/>
      <c r="H264" s="251"/>
    </row>
    <row r="265">
      <c r="A265" s="265"/>
      <c r="B265" s="247"/>
      <c r="C265" s="252"/>
      <c r="D265" s="249"/>
      <c r="F265" s="250"/>
      <c r="G265" s="254"/>
      <c r="H265" s="251"/>
    </row>
    <row r="266">
      <c r="A266" s="265"/>
      <c r="B266" s="247"/>
      <c r="C266" s="252"/>
      <c r="D266" s="249"/>
      <c r="F266" s="250"/>
      <c r="G266" s="254"/>
      <c r="H266" s="251"/>
    </row>
    <row r="267">
      <c r="A267" s="265"/>
      <c r="B267" s="247"/>
      <c r="C267" s="252"/>
      <c r="D267" s="253"/>
      <c r="F267" s="250"/>
      <c r="G267" s="254"/>
      <c r="H267" s="251"/>
    </row>
    <row r="268">
      <c r="A268" s="265"/>
      <c r="B268" s="268"/>
      <c r="C268" s="252"/>
      <c r="D268" s="253"/>
      <c r="F268" s="250"/>
      <c r="G268" s="254"/>
      <c r="H268" s="251"/>
    </row>
    <row r="269">
      <c r="A269" s="265"/>
      <c r="B269" s="268"/>
      <c r="C269" s="252"/>
      <c r="D269" s="253"/>
      <c r="F269" s="250"/>
      <c r="G269" s="254"/>
      <c r="H269" s="251"/>
    </row>
    <row r="270">
      <c r="A270" s="265"/>
      <c r="B270" s="278"/>
      <c r="C270" s="252"/>
      <c r="D270" s="253"/>
      <c r="F270" s="250"/>
      <c r="G270" s="254"/>
      <c r="H270" s="251"/>
    </row>
    <row r="271">
      <c r="A271" s="265"/>
      <c r="B271" s="278"/>
      <c r="C271" s="252"/>
      <c r="D271" s="253"/>
      <c r="F271" s="282"/>
      <c r="G271" s="269"/>
      <c r="H271" s="251"/>
    </row>
    <row r="272">
      <c r="A272" s="270"/>
      <c r="B272" s="271"/>
      <c r="C272" s="272"/>
      <c r="D272" s="273"/>
      <c r="E272" s="18"/>
      <c r="F272" s="274"/>
      <c r="G272" s="275"/>
      <c r="H272" s="261"/>
    </row>
    <row r="273">
      <c r="A273" s="262" t="s">
        <v>1255</v>
      </c>
      <c r="B273" s="425"/>
      <c r="C273" s="426"/>
      <c r="D273" s="401"/>
      <c r="E273" s="402"/>
      <c r="F273" s="403">
        <v>17500.0</v>
      </c>
      <c r="G273" s="436" t="s">
        <v>605</v>
      </c>
      <c r="H273" s="245">
        <v>190.0</v>
      </c>
    </row>
    <row r="274">
      <c r="A274" s="265"/>
      <c r="B274" s="404">
        <v>92000.0</v>
      </c>
      <c r="C274" s="405"/>
      <c r="D274" s="399"/>
      <c r="E274" s="398" t="s">
        <v>328</v>
      </c>
      <c r="F274" s="284"/>
      <c r="G274" s="285" t="s">
        <v>75</v>
      </c>
      <c r="H274" s="267"/>
    </row>
    <row r="275">
      <c r="A275" s="265"/>
      <c r="B275" s="247">
        <v>46000.0</v>
      </c>
      <c r="C275" s="248"/>
      <c r="D275" s="249"/>
      <c r="E275" s="2" t="s">
        <v>328</v>
      </c>
      <c r="F275" s="250"/>
      <c r="G275" s="254" t="s">
        <v>68</v>
      </c>
      <c r="H275" s="251"/>
    </row>
    <row r="276">
      <c r="A276" s="265"/>
      <c r="B276" s="247">
        <v>39145.73</v>
      </c>
      <c r="C276" s="248"/>
      <c r="D276" s="249"/>
      <c r="F276" s="250"/>
      <c r="G276" s="254" t="s">
        <v>82</v>
      </c>
      <c r="H276" s="251"/>
    </row>
    <row r="277">
      <c r="A277" s="265"/>
      <c r="B277" s="419"/>
      <c r="C277" s="434"/>
      <c r="D277" s="414"/>
      <c r="E277" s="417"/>
      <c r="F277" s="418"/>
      <c r="G277" s="420"/>
      <c r="H277" s="251"/>
    </row>
    <row r="278">
      <c r="A278" s="265"/>
      <c r="B278" s="419"/>
      <c r="C278" s="427"/>
      <c r="D278" s="414"/>
      <c r="E278" s="417"/>
      <c r="F278" s="284"/>
      <c r="G278" s="285"/>
      <c r="H278" s="267"/>
    </row>
    <row r="279">
      <c r="A279" s="265"/>
      <c r="B279" s="247"/>
      <c r="C279" s="248"/>
      <c r="D279" s="249"/>
      <c r="F279" s="250"/>
      <c r="G279" s="254"/>
      <c r="H279" s="267"/>
    </row>
    <row r="280">
      <c r="A280" s="265"/>
      <c r="B280" s="247"/>
      <c r="C280" s="248"/>
      <c r="D280" s="414"/>
      <c r="E280" s="417"/>
      <c r="F280" s="418"/>
      <c r="G280" s="420"/>
      <c r="H280" s="267"/>
    </row>
    <row r="281">
      <c r="A281" s="265"/>
      <c r="B281" s="247"/>
      <c r="C281" s="252"/>
      <c r="D281" s="414"/>
      <c r="E281" s="417"/>
      <c r="F281" s="418"/>
      <c r="G281" s="420"/>
      <c r="H281" s="251"/>
    </row>
    <row r="282">
      <c r="A282" s="265"/>
      <c r="B282" s="268"/>
      <c r="C282" s="252"/>
      <c r="D282" s="249"/>
      <c r="F282" s="250"/>
      <c r="G282" s="254"/>
      <c r="H282" s="251"/>
    </row>
    <row r="283">
      <c r="A283" s="265"/>
      <c r="B283" s="268"/>
      <c r="C283" s="252"/>
      <c r="D283" s="253"/>
      <c r="F283" s="250"/>
      <c r="G283" s="254"/>
      <c r="H283" s="251"/>
    </row>
    <row r="284">
      <c r="A284" s="265"/>
      <c r="B284" s="268"/>
      <c r="C284" s="252"/>
      <c r="D284" s="253"/>
      <c r="F284" s="250"/>
      <c r="G284" s="254"/>
      <c r="H284" s="251"/>
    </row>
    <row r="285">
      <c r="A285" s="265"/>
      <c r="B285" s="268"/>
      <c r="C285" s="252"/>
      <c r="D285" s="253"/>
      <c r="F285" s="250"/>
      <c r="G285" s="254"/>
      <c r="H285" s="251"/>
    </row>
    <row r="286">
      <c r="A286" s="265"/>
      <c r="B286" s="268"/>
      <c r="C286" s="252"/>
      <c r="D286" s="253"/>
      <c r="F286" s="250"/>
      <c r="G286" s="269"/>
      <c r="H286" s="251"/>
    </row>
    <row r="287">
      <c r="A287" s="270"/>
      <c r="B287" s="271"/>
      <c r="C287" s="272"/>
      <c r="D287" s="273"/>
      <c r="E287" s="18"/>
      <c r="F287" s="274"/>
      <c r="G287" s="275"/>
      <c r="H287" s="261"/>
    </row>
    <row r="288">
      <c r="A288" s="262" t="s">
        <v>1256</v>
      </c>
      <c r="B288" s="239"/>
      <c r="C288" s="426">
        <f>74452.51+3986.95</f>
        <v>78439.46</v>
      </c>
      <c r="D288" s="421"/>
      <c r="E288" s="422"/>
      <c r="F288" s="418"/>
      <c r="G288" s="285" t="s">
        <v>71</v>
      </c>
      <c r="H288" s="245">
        <v>150.0</v>
      </c>
    </row>
    <row r="289">
      <c r="A289" s="265"/>
      <c r="B289" s="247"/>
      <c r="C289" s="252"/>
      <c r="D289" s="399">
        <v>169584.32</v>
      </c>
      <c r="E289" s="398" t="s">
        <v>328</v>
      </c>
      <c r="F289" s="284"/>
      <c r="G289" s="285" t="s">
        <v>114</v>
      </c>
      <c r="H289" s="267"/>
      <c r="I289" s="2" t="s">
        <v>1257</v>
      </c>
    </row>
    <row r="290">
      <c r="A290" s="265"/>
      <c r="B290" s="404">
        <v>68607.0</v>
      </c>
      <c r="C290" s="405"/>
      <c r="D290" s="399"/>
      <c r="E290" s="398" t="s">
        <v>328</v>
      </c>
      <c r="F290" s="284"/>
      <c r="G290" s="285" t="s">
        <v>79</v>
      </c>
      <c r="H290" s="251"/>
      <c r="I290" s="2" t="s">
        <v>1258</v>
      </c>
    </row>
    <row r="291">
      <c r="A291" s="265"/>
      <c r="B291" s="247"/>
      <c r="C291" s="248"/>
      <c r="D291" s="249"/>
      <c r="F291" s="250"/>
      <c r="G291" s="254"/>
      <c r="H291" s="251"/>
      <c r="I291" s="2" t="s">
        <v>1259</v>
      </c>
    </row>
    <row r="292">
      <c r="A292" s="265"/>
      <c r="B292" s="247"/>
      <c r="C292" s="248"/>
      <c r="D292" s="249"/>
      <c r="F292" s="250"/>
      <c r="G292" s="254"/>
      <c r="H292" s="267"/>
    </row>
    <row r="293">
      <c r="A293" s="265"/>
      <c r="B293" s="247"/>
      <c r="C293" s="248"/>
      <c r="D293" s="249"/>
      <c r="F293" s="250"/>
      <c r="G293" s="254"/>
      <c r="H293" s="267"/>
    </row>
    <row r="294">
      <c r="A294" s="265"/>
      <c r="B294" s="247"/>
      <c r="C294" s="252"/>
      <c r="D294" s="249"/>
      <c r="F294" s="250"/>
      <c r="G294" s="254"/>
      <c r="H294" s="251"/>
    </row>
    <row r="295">
      <c r="A295" s="265"/>
      <c r="B295" s="247"/>
      <c r="C295" s="248"/>
      <c r="D295" s="249"/>
      <c r="F295" s="250"/>
      <c r="G295" s="254"/>
      <c r="H295" s="251"/>
    </row>
    <row r="296">
      <c r="A296" s="265"/>
      <c r="B296" s="268"/>
      <c r="C296" s="252"/>
      <c r="D296" s="253"/>
      <c r="F296" s="250"/>
      <c r="G296" s="254"/>
      <c r="H296" s="251"/>
    </row>
    <row r="297">
      <c r="A297" s="265"/>
      <c r="B297" s="268"/>
      <c r="C297" s="252"/>
      <c r="D297" s="253"/>
      <c r="F297" s="250"/>
      <c r="G297" s="254"/>
      <c r="H297" s="251"/>
    </row>
    <row r="298">
      <c r="A298" s="265"/>
      <c r="B298" s="247"/>
      <c r="C298" s="252"/>
      <c r="D298" s="253"/>
      <c r="F298" s="250"/>
      <c r="G298" s="254"/>
      <c r="H298" s="251"/>
    </row>
    <row r="299">
      <c r="A299" s="265"/>
      <c r="B299" s="247"/>
      <c r="C299" s="252"/>
      <c r="D299" s="253"/>
      <c r="F299" s="250"/>
      <c r="G299" s="254"/>
      <c r="H299" s="251"/>
    </row>
    <row r="300">
      <c r="A300" s="265"/>
      <c r="B300" s="268"/>
      <c r="C300" s="252"/>
      <c r="D300" s="253"/>
      <c r="F300" s="250"/>
      <c r="G300" s="254"/>
      <c r="H300" s="251"/>
    </row>
    <row r="301">
      <c r="A301" s="265"/>
      <c r="B301" s="268"/>
      <c r="C301" s="252"/>
      <c r="D301" s="253"/>
      <c r="F301" s="250"/>
      <c r="G301" s="269"/>
      <c r="H301" s="251"/>
    </row>
    <row r="302">
      <c r="A302" s="270"/>
      <c r="B302" s="271"/>
      <c r="C302" s="272"/>
      <c r="D302" s="273"/>
      <c r="E302" s="18"/>
      <c r="F302" s="274"/>
      <c r="G302" s="18"/>
      <c r="H302" s="261"/>
    </row>
    <row r="303">
      <c r="A303" s="262" t="s">
        <v>1260</v>
      </c>
      <c r="B303" s="425">
        <v>88500.0</v>
      </c>
      <c r="C303" s="426"/>
      <c r="D303" s="401"/>
      <c r="E303" s="402" t="s">
        <v>328</v>
      </c>
      <c r="F303" s="403"/>
      <c r="G303" s="402" t="s">
        <v>75</v>
      </c>
      <c r="H303" s="245">
        <v>200.0</v>
      </c>
    </row>
    <row r="304">
      <c r="A304" s="265"/>
      <c r="B304" s="419"/>
      <c r="C304" s="405">
        <v>98456.87</v>
      </c>
      <c r="D304" s="414"/>
      <c r="E304" s="398" t="s">
        <v>1261</v>
      </c>
      <c r="F304" s="284"/>
      <c r="G304" s="398" t="s">
        <v>84</v>
      </c>
      <c r="H304" s="267"/>
    </row>
    <row r="305">
      <c r="A305" s="265"/>
      <c r="B305" s="404">
        <v>14596.15</v>
      </c>
      <c r="C305" s="405"/>
      <c r="D305" s="399"/>
      <c r="E305" s="398" t="s">
        <v>328</v>
      </c>
      <c r="F305" s="284"/>
      <c r="G305" s="398" t="s">
        <v>74</v>
      </c>
      <c r="H305" s="251"/>
    </row>
    <row r="306">
      <c r="A306" s="265"/>
      <c r="B306" s="404">
        <v>39472.69</v>
      </c>
      <c r="C306" s="405"/>
      <c r="D306" s="399"/>
      <c r="E306" s="398" t="s">
        <v>328</v>
      </c>
      <c r="F306" s="284"/>
      <c r="G306" s="398" t="s">
        <v>73</v>
      </c>
      <c r="H306" s="251"/>
    </row>
    <row r="307">
      <c r="A307" s="265"/>
      <c r="B307" s="404">
        <v>78692.29</v>
      </c>
      <c r="C307" s="427"/>
      <c r="D307" s="414"/>
      <c r="E307" s="417"/>
      <c r="F307" s="418"/>
      <c r="G307" s="398" t="s">
        <v>142</v>
      </c>
      <c r="H307" s="251"/>
    </row>
    <row r="308">
      <c r="A308" s="265"/>
      <c r="B308" s="247">
        <v>141842.85</v>
      </c>
      <c r="C308" s="248"/>
      <c r="D308" s="249"/>
      <c r="E308" s="2" t="s">
        <v>1262</v>
      </c>
      <c r="F308" s="250"/>
      <c r="G308" s="398" t="s">
        <v>89</v>
      </c>
      <c r="H308" s="251"/>
    </row>
    <row r="309">
      <c r="A309" s="265"/>
      <c r="B309" s="247"/>
      <c r="C309" s="248"/>
      <c r="D309" s="399">
        <v>404866.0</v>
      </c>
      <c r="E309" s="398" t="s">
        <v>328</v>
      </c>
      <c r="F309" s="284"/>
      <c r="G309" s="398" t="s">
        <v>877</v>
      </c>
      <c r="H309" s="251"/>
    </row>
    <row r="310">
      <c r="A310" s="265"/>
      <c r="B310" s="247">
        <v>39145.73</v>
      </c>
      <c r="C310" s="252"/>
      <c r="D310" s="249"/>
      <c r="F310" s="250"/>
      <c r="G310" s="2" t="s">
        <v>82</v>
      </c>
      <c r="H310" s="251"/>
    </row>
    <row r="311">
      <c r="A311" s="265"/>
      <c r="B311" s="247"/>
      <c r="C311" s="252"/>
      <c r="D311" s="253"/>
      <c r="F311" s="250">
        <v>2000.0</v>
      </c>
      <c r="G311" s="2" t="s">
        <v>243</v>
      </c>
      <c r="H311" s="251"/>
    </row>
    <row r="312">
      <c r="A312" s="265"/>
      <c r="B312" s="247"/>
      <c r="C312" s="252"/>
      <c r="D312" s="249"/>
      <c r="F312" s="250"/>
      <c r="H312" s="251"/>
    </row>
    <row r="313">
      <c r="A313" s="265"/>
      <c r="B313" s="247"/>
      <c r="C313" s="252"/>
      <c r="D313" s="253"/>
      <c r="F313" s="250"/>
      <c r="H313" s="251"/>
    </row>
    <row r="314">
      <c r="A314" s="265"/>
      <c r="B314" s="247"/>
      <c r="C314" s="252"/>
      <c r="D314" s="253"/>
      <c r="F314" s="250"/>
      <c r="H314" s="251"/>
    </row>
    <row r="315">
      <c r="A315" s="265"/>
      <c r="B315" s="247"/>
      <c r="C315" s="252"/>
      <c r="D315" s="249"/>
      <c r="F315" s="250"/>
      <c r="H315" s="251"/>
    </row>
    <row r="316">
      <c r="A316" s="270"/>
      <c r="B316" s="271"/>
      <c r="C316" s="272"/>
      <c r="D316" s="273"/>
      <c r="E316" s="18"/>
      <c r="F316" s="259"/>
      <c r="G316" s="293"/>
      <c r="H316" s="261"/>
    </row>
    <row r="317">
      <c r="A317" s="262" t="s">
        <v>1263</v>
      </c>
      <c r="B317" s="239">
        <v>32000.0</v>
      </c>
      <c r="C317" s="263"/>
      <c r="D317" s="421"/>
      <c r="E317" s="402" t="s">
        <v>328</v>
      </c>
      <c r="F317" s="423"/>
      <c r="G317" s="402" t="s">
        <v>76</v>
      </c>
      <c r="H317" s="245">
        <v>180.0</v>
      </c>
    </row>
    <row r="318">
      <c r="A318" s="265"/>
      <c r="B318" s="247">
        <v>31000.0</v>
      </c>
      <c r="C318" s="248"/>
      <c r="D318" s="414"/>
      <c r="E318" s="398"/>
      <c r="F318" s="418"/>
      <c r="G318" s="398" t="s">
        <v>1264</v>
      </c>
      <c r="H318" s="267"/>
    </row>
    <row r="319">
      <c r="A319" s="265"/>
      <c r="B319" s="404"/>
      <c r="C319" s="405"/>
      <c r="D319" s="414"/>
      <c r="E319" s="398"/>
      <c r="F319" s="284">
        <v>4000.0</v>
      </c>
      <c r="G319" s="398" t="s">
        <v>1186</v>
      </c>
      <c r="H319" s="267"/>
    </row>
    <row r="320">
      <c r="A320" s="265"/>
      <c r="B320" s="419"/>
      <c r="C320" s="427"/>
      <c r="D320" s="414"/>
      <c r="E320" s="417"/>
      <c r="F320" s="418"/>
      <c r="G320" s="417"/>
      <c r="H320" s="251"/>
    </row>
    <row r="321">
      <c r="A321" s="265"/>
      <c r="B321" s="247"/>
      <c r="C321" s="248"/>
      <c r="D321" s="399"/>
      <c r="E321" s="417"/>
      <c r="F321" s="418"/>
      <c r="G321" s="398"/>
      <c r="H321" s="251"/>
    </row>
    <row r="322">
      <c r="A322" s="265"/>
      <c r="B322" s="247"/>
      <c r="C322" s="252"/>
      <c r="D322" s="414"/>
      <c r="E322" s="417"/>
      <c r="F322" s="284"/>
      <c r="G322" s="398"/>
      <c r="H322" s="251"/>
    </row>
    <row r="323">
      <c r="A323" s="265"/>
      <c r="B323" s="247"/>
      <c r="C323" s="252"/>
      <c r="D323" s="249"/>
      <c r="F323" s="250"/>
      <c r="H323" s="251"/>
    </row>
    <row r="324">
      <c r="A324" s="265"/>
      <c r="B324" s="247"/>
      <c r="C324" s="252"/>
      <c r="D324" s="249"/>
      <c r="F324" s="250"/>
      <c r="H324" s="251"/>
    </row>
    <row r="325">
      <c r="A325" s="265"/>
      <c r="B325" s="247"/>
      <c r="C325" s="252"/>
      <c r="D325" s="249"/>
      <c r="F325" s="250"/>
      <c r="H325" s="251"/>
    </row>
    <row r="326">
      <c r="A326" s="265"/>
      <c r="B326" s="247"/>
      <c r="C326" s="252"/>
      <c r="D326" s="253"/>
      <c r="F326" s="250"/>
      <c r="H326" s="251"/>
    </row>
    <row r="327">
      <c r="A327" s="265"/>
      <c r="B327" s="247"/>
      <c r="C327" s="252"/>
      <c r="D327" s="253"/>
      <c r="F327" s="250"/>
      <c r="H327" s="251"/>
    </row>
    <row r="328">
      <c r="A328" s="265"/>
      <c r="B328" s="247"/>
      <c r="C328" s="252"/>
      <c r="D328" s="253"/>
      <c r="F328" s="250"/>
      <c r="H328" s="251"/>
    </row>
    <row r="329">
      <c r="A329" s="265"/>
      <c r="B329" s="268"/>
      <c r="C329" s="252"/>
      <c r="D329" s="253"/>
      <c r="F329" s="250"/>
      <c r="H329" s="251"/>
    </row>
    <row r="330">
      <c r="A330" s="265"/>
      <c r="B330" s="268"/>
      <c r="C330" s="252"/>
      <c r="D330" s="253"/>
      <c r="F330" s="250"/>
      <c r="H330" s="251"/>
    </row>
    <row r="331">
      <c r="A331" s="265"/>
      <c r="B331" s="268"/>
      <c r="C331" s="252"/>
      <c r="D331" s="253"/>
      <c r="F331" s="250"/>
      <c r="H331" s="251"/>
    </row>
    <row r="332">
      <c r="A332" s="265"/>
      <c r="B332" s="268"/>
      <c r="C332" s="252"/>
      <c r="D332" s="253"/>
      <c r="F332" s="250"/>
      <c r="H332" s="251"/>
    </row>
    <row r="333">
      <c r="A333" s="265"/>
      <c r="B333" s="268"/>
      <c r="C333" s="252"/>
      <c r="D333" s="253"/>
      <c r="F333" s="250"/>
      <c r="H333" s="251"/>
    </row>
    <row r="334">
      <c r="A334" s="270"/>
      <c r="B334" s="271"/>
      <c r="C334" s="272"/>
      <c r="D334" s="273"/>
      <c r="E334" s="18"/>
      <c r="F334" s="274"/>
      <c r="G334" s="18"/>
      <c r="H334" s="261"/>
    </row>
    <row r="335">
      <c r="A335" s="262" t="s">
        <v>1265</v>
      </c>
      <c r="B335" s="425">
        <v>74587.5</v>
      </c>
      <c r="C335" s="445"/>
      <c r="D335" s="421"/>
      <c r="E335" s="422"/>
      <c r="F335" s="423"/>
      <c r="G335" s="398" t="s">
        <v>377</v>
      </c>
      <c r="H335" s="245">
        <v>197.0</v>
      </c>
      <c r="I335" s="2" t="s">
        <v>1266</v>
      </c>
    </row>
    <row r="336">
      <c r="A336" s="265"/>
      <c r="B336" s="419"/>
      <c r="C336" s="427"/>
      <c r="D336" s="414"/>
      <c r="E336" s="417"/>
      <c r="F336" s="418"/>
      <c r="G336" s="398" t="s">
        <v>1267</v>
      </c>
      <c r="H336" s="267"/>
      <c r="I336" s="2" t="s">
        <v>1268</v>
      </c>
    </row>
    <row r="337">
      <c r="A337" s="265"/>
      <c r="B337" s="247">
        <v>46000.0</v>
      </c>
      <c r="C337" s="248"/>
      <c r="D337" s="249"/>
      <c r="F337" s="250"/>
      <c r="G337" s="398" t="s">
        <v>128</v>
      </c>
      <c r="H337" s="267"/>
    </row>
    <row r="338">
      <c r="A338" s="265"/>
      <c r="B338" s="404">
        <v>44000.0</v>
      </c>
      <c r="C338" s="405"/>
      <c r="D338" s="399"/>
      <c r="E338" s="398" t="s">
        <v>328</v>
      </c>
      <c r="F338" s="284"/>
      <c r="G338" s="398" t="s">
        <v>75</v>
      </c>
      <c r="H338" s="251"/>
    </row>
    <row r="339">
      <c r="A339" s="265"/>
      <c r="B339" s="247">
        <v>92000.0</v>
      </c>
      <c r="C339" s="252"/>
      <c r="D339" s="249"/>
      <c r="E339" s="2" t="s">
        <v>328</v>
      </c>
      <c r="F339" s="250"/>
      <c r="G339" s="2" t="s">
        <v>68</v>
      </c>
      <c r="H339" s="251"/>
    </row>
    <row r="340">
      <c r="A340" s="265"/>
      <c r="B340" s="247">
        <v>58718.59</v>
      </c>
      <c r="C340" s="252"/>
      <c r="D340" s="253"/>
      <c r="F340" s="250"/>
      <c r="G340" s="2" t="s">
        <v>82</v>
      </c>
      <c r="H340" s="251"/>
    </row>
    <row r="341">
      <c r="A341" s="265"/>
      <c r="B341" s="247"/>
      <c r="C341" s="252"/>
      <c r="D341" s="249"/>
      <c r="F341" s="250">
        <v>19500.0</v>
      </c>
      <c r="G341" s="2" t="s">
        <v>954</v>
      </c>
      <c r="H341" s="251"/>
    </row>
    <row r="342">
      <c r="A342" s="265"/>
      <c r="B342" s="268"/>
      <c r="C342" s="252"/>
      <c r="D342" s="249"/>
      <c r="F342" s="250"/>
      <c r="H342" s="251"/>
    </row>
    <row r="343">
      <c r="A343" s="265"/>
      <c r="B343" s="268"/>
      <c r="C343" s="252"/>
      <c r="D343" s="253"/>
      <c r="F343" s="250"/>
      <c r="H343" s="251"/>
    </row>
    <row r="344">
      <c r="A344" s="265"/>
      <c r="B344" s="247"/>
      <c r="C344" s="252"/>
      <c r="D344" s="253"/>
      <c r="F344" s="250"/>
      <c r="H344" s="251"/>
    </row>
    <row r="345">
      <c r="A345" s="265"/>
      <c r="B345" s="268"/>
      <c r="C345" s="252"/>
      <c r="D345" s="253"/>
      <c r="F345" s="250"/>
      <c r="H345" s="251"/>
      <c r="I345" s="2" t="s">
        <v>1269</v>
      </c>
    </row>
    <row r="346">
      <c r="A346" s="270"/>
      <c r="B346" s="271"/>
      <c r="C346" s="272"/>
      <c r="D346" s="273"/>
      <c r="E346" s="18"/>
      <c r="F346" s="274"/>
      <c r="G346" s="18"/>
      <c r="H346" s="261"/>
    </row>
    <row r="347">
      <c r="A347" s="280" t="s">
        <v>1270</v>
      </c>
      <c r="B347" s="239"/>
      <c r="C347" s="263"/>
      <c r="D347" s="421"/>
      <c r="E347" s="422"/>
      <c r="F347" s="403"/>
      <c r="H347" s="245">
        <v>241.0</v>
      </c>
    </row>
    <row r="348">
      <c r="A348" s="265"/>
      <c r="B348" s="247"/>
      <c r="C348" s="248"/>
      <c r="D348" s="249"/>
      <c r="F348" s="250"/>
      <c r="G348" s="398"/>
      <c r="H348" s="267"/>
    </row>
    <row r="349">
      <c r="A349" s="265"/>
      <c r="B349" s="247"/>
      <c r="C349" s="248"/>
      <c r="D349" s="249"/>
      <c r="F349" s="250"/>
      <c r="G349" s="398"/>
      <c r="H349" s="267"/>
    </row>
    <row r="350">
      <c r="A350" s="265"/>
      <c r="B350" s="247"/>
      <c r="C350" s="248"/>
      <c r="D350" s="249"/>
      <c r="F350" s="250"/>
      <c r="G350" s="398"/>
      <c r="H350" s="267"/>
    </row>
    <row r="351">
      <c r="A351" s="265"/>
      <c r="B351" s="247"/>
      <c r="C351" s="248"/>
      <c r="D351" s="249"/>
      <c r="F351" s="250"/>
      <c r="G351" s="398"/>
      <c r="H351" s="267"/>
    </row>
    <row r="352">
      <c r="A352" s="265"/>
      <c r="B352" s="247"/>
      <c r="C352" s="248"/>
      <c r="D352" s="249"/>
      <c r="F352" s="250"/>
      <c r="G352" s="398"/>
      <c r="H352" s="267"/>
    </row>
    <row r="353">
      <c r="A353" s="265"/>
      <c r="B353" s="247"/>
      <c r="C353" s="248"/>
      <c r="D353" s="249"/>
      <c r="F353" s="250"/>
      <c r="G353" s="398"/>
      <c r="H353" s="267"/>
    </row>
    <row r="354">
      <c r="A354" s="265"/>
      <c r="B354" s="247"/>
      <c r="C354" s="248"/>
      <c r="D354" s="249"/>
      <c r="E354" s="2"/>
      <c r="F354" s="250"/>
      <c r="G354" s="398"/>
      <c r="H354" s="267"/>
    </row>
    <row r="355">
      <c r="A355" s="265"/>
      <c r="B355" s="247"/>
      <c r="C355" s="248"/>
      <c r="D355" s="249"/>
      <c r="E355" s="2"/>
      <c r="F355" s="250"/>
      <c r="G355" s="398"/>
      <c r="H355" s="267"/>
    </row>
    <row r="356">
      <c r="A356" s="265"/>
      <c r="B356" s="247"/>
      <c r="C356" s="248"/>
      <c r="D356" s="249"/>
      <c r="E356" s="2"/>
      <c r="F356" s="250"/>
      <c r="G356" s="398"/>
      <c r="H356" s="267"/>
    </row>
    <row r="357">
      <c r="A357" s="270"/>
      <c r="B357" s="247"/>
      <c r="C357" s="248"/>
      <c r="D357" s="249"/>
      <c r="E357" s="2"/>
      <c r="F357" s="250"/>
      <c r="G357" s="398"/>
      <c r="H357" s="267"/>
    </row>
    <row r="358">
      <c r="A358" s="452"/>
      <c r="B358" s="247"/>
      <c r="C358" s="248"/>
      <c r="D358" s="249"/>
      <c r="E358" s="2"/>
      <c r="F358" s="250"/>
      <c r="G358" s="398"/>
      <c r="H358" s="267"/>
    </row>
    <row r="359">
      <c r="B359" s="239"/>
      <c r="C359" s="263"/>
      <c r="D359" s="264"/>
      <c r="E359" s="244"/>
      <c r="F359" s="243"/>
      <c r="G359" s="402"/>
      <c r="H359" s="245"/>
    </row>
    <row r="360">
      <c r="B360" s="247"/>
      <c r="C360" s="248"/>
      <c r="D360" s="288"/>
      <c r="F360" s="250"/>
      <c r="H360" s="267"/>
    </row>
    <row r="361">
      <c r="B361" s="419"/>
      <c r="C361" s="427"/>
      <c r="D361" s="414"/>
      <c r="E361" s="417"/>
      <c r="F361" s="418"/>
      <c r="G361" s="417"/>
      <c r="H361" s="267"/>
    </row>
    <row r="362">
      <c r="B362" s="247"/>
      <c r="C362" s="252"/>
      <c r="D362" s="249"/>
      <c r="F362" s="250"/>
      <c r="H362" s="251"/>
    </row>
    <row r="363">
      <c r="B363" s="268"/>
      <c r="C363" s="252"/>
      <c r="D363" s="414"/>
      <c r="E363" s="417"/>
      <c r="F363" s="418"/>
      <c r="G363" s="417"/>
      <c r="H363" s="294"/>
    </row>
    <row r="364">
      <c r="B364" s="247"/>
      <c r="C364" s="252"/>
      <c r="D364" s="249"/>
      <c r="F364" s="250"/>
      <c r="H364" s="251"/>
    </row>
    <row r="365">
      <c r="B365" s="247"/>
      <c r="C365" s="252"/>
      <c r="D365" s="249"/>
      <c r="F365" s="250"/>
      <c r="H365" s="251"/>
    </row>
    <row r="366">
      <c r="B366" s="268"/>
      <c r="C366" s="252"/>
      <c r="D366" s="249"/>
      <c r="F366" s="250"/>
      <c r="H366" s="267"/>
    </row>
    <row r="367">
      <c r="B367" s="268"/>
      <c r="C367" s="252"/>
      <c r="D367" s="249"/>
      <c r="F367" s="250"/>
      <c r="H367" s="251"/>
    </row>
    <row r="368">
      <c r="B368" s="247"/>
      <c r="C368" s="252"/>
      <c r="D368" s="249"/>
      <c r="F368" s="250"/>
      <c r="H368" s="267"/>
    </row>
    <row r="369">
      <c r="B369" s="271"/>
      <c r="C369" s="272"/>
      <c r="D369" s="295"/>
      <c r="E369" s="18"/>
      <c r="F369" s="274"/>
      <c r="G369" s="293"/>
      <c r="H369" s="261"/>
    </row>
    <row r="370">
      <c r="A370" s="262" t="s">
        <v>187</v>
      </c>
      <c r="B370" s="239"/>
      <c r="C370" s="240"/>
      <c r="D370" s="296"/>
      <c r="E370" s="242"/>
      <c r="F370" s="243"/>
      <c r="G370" s="2" t="s">
        <v>188</v>
      </c>
      <c r="H370" s="297"/>
      <c r="I370" s="2" t="s">
        <v>189</v>
      </c>
    </row>
    <row r="371">
      <c r="A371" s="265"/>
      <c r="B371" s="247"/>
      <c r="C371" s="248"/>
      <c r="D371" s="317"/>
      <c r="E371" s="429"/>
      <c r="F371" s="250"/>
      <c r="G371" s="2" t="s">
        <v>190</v>
      </c>
      <c r="H371" s="294"/>
    </row>
    <row r="372">
      <c r="A372" s="265"/>
      <c r="B372" s="247"/>
      <c r="C372" s="248"/>
      <c r="D372" s="438"/>
      <c r="F372" s="250"/>
      <c r="G372" s="2" t="s">
        <v>191</v>
      </c>
      <c r="H372" s="294"/>
    </row>
    <row r="373">
      <c r="A373" s="265"/>
      <c r="B373" s="268"/>
      <c r="C373" s="252"/>
      <c r="D373" s="447"/>
      <c r="F373" s="250"/>
      <c r="H373" s="294"/>
    </row>
    <row r="374">
      <c r="A374" s="265"/>
      <c r="B374" s="268"/>
      <c r="C374" s="252"/>
      <c r="D374" s="249">
        <v>500000.0</v>
      </c>
      <c r="F374" s="250"/>
      <c r="G374" s="2" t="s">
        <v>192</v>
      </c>
      <c r="H374" s="294">
        <v>45453.0</v>
      </c>
    </row>
    <row r="375">
      <c r="A375" s="265"/>
      <c r="B375" s="268"/>
      <c r="C375" s="252"/>
      <c r="D375" s="253"/>
      <c r="F375" s="250">
        <v>360000.0</v>
      </c>
      <c r="G375" s="2" t="s">
        <v>193</v>
      </c>
      <c r="H375" s="294">
        <v>45468.0</v>
      </c>
    </row>
    <row r="376">
      <c r="A376" s="265"/>
      <c r="B376" s="247"/>
      <c r="C376" s="252"/>
      <c r="D376" s="249">
        <v>180000.0</v>
      </c>
      <c r="F376" s="250"/>
      <c r="G376" s="2" t="s">
        <v>1093</v>
      </c>
      <c r="H376" s="294">
        <v>45455.0</v>
      </c>
      <c r="I376" s="2" t="s">
        <v>1271</v>
      </c>
    </row>
    <row r="377">
      <c r="A377" s="265"/>
      <c r="B377" s="247"/>
      <c r="C377" s="252"/>
      <c r="D377" s="249">
        <v>90200.0</v>
      </c>
      <c r="F377" s="250"/>
      <c r="G377" s="2" t="s">
        <v>196</v>
      </c>
      <c r="H377" s="294">
        <v>45455.0</v>
      </c>
      <c r="I377" s="318"/>
    </row>
    <row r="378">
      <c r="A378" s="265"/>
      <c r="B378" s="247">
        <v>46437.54</v>
      </c>
      <c r="C378" s="252"/>
      <c r="D378" s="249"/>
      <c r="F378" s="250"/>
      <c r="G378" s="2" t="s">
        <v>197</v>
      </c>
      <c r="H378" s="294"/>
      <c r="I378" s="2" t="s">
        <v>198</v>
      </c>
    </row>
    <row r="379">
      <c r="A379" s="265"/>
      <c r="B379" s="268"/>
      <c r="C379" s="252"/>
      <c r="D379" s="249">
        <v>37044.0</v>
      </c>
      <c r="F379" s="250"/>
      <c r="G379" s="2" t="s">
        <v>199</v>
      </c>
      <c r="H379" s="294"/>
      <c r="I379" s="2" t="s">
        <v>189</v>
      </c>
    </row>
    <row r="380">
      <c r="A380" s="265"/>
      <c r="B380" s="247"/>
      <c r="C380" s="252"/>
      <c r="D380" s="439">
        <v>78875.53</v>
      </c>
      <c r="F380" s="250"/>
      <c r="G380" s="2" t="s">
        <v>200</v>
      </c>
      <c r="H380" s="294"/>
      <c r="I380" s="2" t="s">
        <v>189</v>
      </c>
    </row>
    <row r="381">
      <c r="A381" s="265"/>
      <c r="B381" s="278"/>
      <c r="C381" s="248"/>
      <c r="D381" s="439">
        <v>14284.74</v>
      </c>
      <c r="F381" s="282"/>
      <c r="G381" s="2" t="s">
        <v>201</v>
      </c>
      <c r="H381" s="294"/>
      <c r="I381" s="2" t="s">
        <v>189</v>
      </c>
    </row>
    <row r="382">
      <c r="A382" s="270"/>
      <c r="B382" s="277"/>
      <c r="C382" s="248"/>
      <c r="D382" s="295"/>
      <c r="F382" s="448"/>
      <c r="H382" s="294"/>
    </row>
    <row r="383">
      <c r="A383" s="299"/>
      <c r="B383" s="278"/>
      <c r="C383" s="248"/>
      <c r="D383" s="295">
        <v>148132.2</v>
      </c>
      <c r="F383" s="282"/>
      <c r="G383" s="2" t="s">
        <v>1272</v>
      </c>
      <c r="H383" s="294">
        <v>45447.0</v>
      </c>
    </row>
    <row r="384">
      <c r="A384" s="299"/>
      <c r="B384" s="278"/>
      <c r="C384" s="248"/>
      <c r="D384" s="431"/>
      <c r="E384" s="417"/>
      <c r="F384" s="432"/>
      <c r="G384" s="417" t="s">
        <v>202</v>
      </c>
      <c r="H384" s="301"/>
      <c r="I384" s="2" t="s">
        <v>203</v>
      </c>
    </row>
    <row r="385">
      <c r="A385" s="299"/>
      <c r="B385" s="278"/>
      <c r="C385" s="248"/>
      <c r="D385" s="295"/>
      <c r="F385" s="250"/>
      <c r="G385" s="2" t="s">
        <v>204</v>
      </c>
      <c r="H385" s="301"/>
    </row>
    <row r="386">
      <c r="A386" s="303"/>
      <c r="B386" s="278"/>
      <c r="C386" s="252"/>
      <c r="D386" s="249"/>
      <c r="F386" s="250"/>
      <c r="G386" s="2" t="s">
        <v>205</v>
      </c>
      <c r="H386" s="301"/>
    </row>
    <row r="387">
      <c r="A387" s="303"/>
      <c r="B387" s="268"/>
      <c r="C387" s="252"/>
      <c r="D387" s="249"/>
      <c r="F387" s="250"/>
      <c r="G387" s="2" t="s">
        <v>735</v>
      </c>
      <c r="H387" s="301"/>
    </row>
    <row r="388">
      <c r="A388" s="303"/>
      <c r="B388" s="247"/>
      <c r="C388" s="252"/>
      <c r="D388" s="249"/>
      <c r="F388" s="250"/>
      <c r="G388" s="2" t="s">
        <v>206</v>
      </c>
      <c r="H388" s="294"/>
      <c r="I388" s="2" t="s">
        <v>203</v>
      </c>
    </row>
    <row r="389">
      <c r="A389" s="303"/>
      <c r="B389" s="268"/>
      <c r="C389" s="252"/>
      <c r="D389" s="300">
        <v>142499.15</v>
      </c>
      <c r="F389" s="332"/>
      <c r="G389" s="2" t="s">
        <v>209</v>
      </c>
      <c r="H389" s="294"/>
      <c r="I389" s="2" t="s">
        <v>1273</v>
      </c>
    </row>
    <row r="390">
      <c r="A390" s="303"/>
      <c r="B390" s="247"/>
      <c r="C390" s="252"/>
      <c r="D390" s="249">
        <v>247948.65</v>
      </c>
      <c r="F390" s="250"/>
      <c r="G390" s="2" t="s">
        <v>1274</v>
      </c>
      <c r="H390" s="294">
        <v>45447.0</v>
      </c>
    </row>
    <row r="391">
      <c r="A391" s="303"/>
      <c r="B391" s="268"/>
      <c r="C391" s="252"/>
      <c r="D391" s="249">
        <v>1000000.0</v>
      </c>
      <c r="F391" s="250"/>
      <c r="G391" s="2" t="s">
        <v>1275</v>
      </c>
      <c r="H391" s="294">
        <v>45457.0</v>
      </c>
    </row>
    <row r="392">
      <c r="A392" s="303"/>
      <c r="B392" s="268"/>
      <c r="C392" s="252"/>
      <c r="D392" s="249"/>
      <c r="F392" s="250"/>
      <c r="H392" s="294"/>
    </row>
    <row r="393">
      <c r="A393" s="303"/>
      <c r="B393" s="247">
        <v>66014.0</v>
      </c>
      <c r="C393" s="252"/>
      <c r="D393" s="331"/>
      <c r="F393" s="266"/>
      <c r="G393" s="2" t="s">
        <v>667</v>
      </c>
      <c r="H393" s="294"/>
    </row>
    <row r="394">
      <c r="A394" s="304"/>
      <c r="B394" s="268"/>
      <c r="C394" s="252"/>
      <c r="D394" s="249">
        <v>74000.0</v>
      </c>
      <c r="F394" s="332"/>
      <c r="G394" s="2" t="s">
        <v>1217</v>
      </c>
      <c r="H394" s="294">
        <v>45455.0</v>
      </c>
    </row>
    <row r="395">
      <c r="A395" s="305"/>
      <c r="B395" s="406">
        <f>SUM(B370:B394)</f>
        <v>112451.54</v>
      </c>
      <c r="C395" s="272"/>
      <c r="D395" s="392">
        <f>SUM(D370:D394)</f>
        <v>2512984.27</v>
      </c>
      <c r="E395" s="18"/>
      <c r="F395" s="393">
        <f>SUM(F370:F394)</f>
        <v>360000</v>
      </c>
      <c r="G395" s="18"/>
      <c r="H395" s="261"/>
    </row>
    <row r="396">
      <c r="A396" s="265"/>
      <c r="B396" s="306"/>
      <c r="C396" s="240"/>
      <c r="D396" s="241"/>
      <c r="E396" s="242"/>
      <c r="F396" s="243"/>
      <c r="G396" s="244"/>
      <c r="H396" s="307"/>
    </row>
    <row r="397">
      <c r="A397" s="265"/>
      <c r="B397" s="268"/>
      <c r="C397" s="252"/>
      <c r="D397" s="253"/>
      <c r="F397" s="250"/>
      <c r="H397" s="251"/>
    </row>
    <row r="398">
      <c r="A398" s="265"/>
      <c r="B398" s="268"/>
      <c r="C398" s="252"/>
      <c r="D398" s="253"/>
      <c r="F398" s="250"/>
      <c r="H398" s="251"/>
    </row>
    <row r="399">
      <c r="A399" s="265"/>
      <c r="B399" s="268"/>
      <c r="C399" s="252"/>
      <c r="D399" s="253"/>
      <c r="F399" s="250"/>
      <c r="H399" s="251"/>
    </row>
    <row r="400">
      <c r="A400" s="265"/>
      <c r="B400" s="268"/>
      <c r="C400" s="252"/>
      <c r="D400" s="253"/>
      <c r="F400" s="250"/>
      <c r="H400" s="251"/>
    </row>
    <row r="401">
      <c r="A401" s="265"/>
      <c r="B401" s="268"/>
      <c r="C401" s="252"/>
      <c r="D401" s="253"/>
      <c r="F401" s="250"/>
      <c r="H401" s="251"/>
    </row>
    <row r="402">
      <c r="A402" s="265"/>
      <c r="B402" s="268"/>
      <c r="C402" s="252"/>
      <c r="D402" s="253"/>
      <c r="F402" s="250"/>
      <c r="H402" s="251"/>
    </row>
    <row r="403">
      <c r="A403" s="265"/>
      <c r="B403" s="268"/>
      <c r="C403" s="252"/>
      <c r="D403" s="253"/>
      <c r="F403" s="250"/>
      <c r="H403" s="251"/>
    </row>
    <row r="404">
      <c r="A404" s="270"/>
      <c r="B404" s="268"/>
      <c r="C404" s="252"/>
      <c r="D404" s="253"/>
      <c r="F404" s="250"/>
      <c r="H404" s="251"/>
    </row>
    <row r="405">
      <c r="A405" s="305"/>
      <c r="B405" s="271"/>
      <c r="C405" s="272"/>
      <c r="D405" s="273"/>
      <c r="E405" s="18"/>
      <c r="F405" s="274"/>
      <c r="G405" s="18"/>
      <c r="H405" s="261"/>
    </row>
    <row r="406">
      <c r="A406" s="265"/>
      <c r="B406" s="306"/>
      <c r="C406" s="240"/>
      <c r="D406" s="241"/>
      <c r="E406" s="242"/>
      <c r="F406" s="243"/>
      <c r="G406" s="244"/>
      <c r="H406" s="307"/>
    </row>
    <row r="407">
      <c r="A407" s="265"/>
      <c r="B407" s="268"/>
      <c r="C407" s="252"/>
      <c r="D407" s="253"/>
      <c r="F407" s="250"/>
      <c r="H407" s="251"/>
    </row>
    <row r="408">
      <c r="A408" s="265"/>
      <c r="B408" s="268"/>
      <c r="C408" s="252"/>
      <c r="D408" s="253"/>
      <c r="F408" s="250"/>
      <c r="H408" s="251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70"/>
      <c r="B414" s="268"/>
      <c r="C414" s="252"/>
      <c r="D414" s="253"/>
      <c r="F414" s="250"/>
      <c r="H414" s="251"/>
    </row>
    <row r="415">
      <c r="B415" s="271"/>
      <c r="C415" s="272"/>
      <c r="D415" s="273"/>
      <c r="E415" s="18"/>
      <c r="F415" s="274"/>
      <c r="G415" s="18"/>
      <c r="H415" s="261"/>
    </row>
    <row r="416">
      <c r="B416" s="306"/>
      <c r="C416" s="240"/>
      <c r="D416" s="241"/>
      <c r="E416" s="242"/>
      <c r="F416" s="243"/>
      <c r="G416" s="244"/>
      <c r="H416" s="307"/>
    </row>
    <row r="417">
      <c r="B417" s="268"/>
      <c r="C417" s="252"/>
      <c r="D417" s="253"/>
      <c r="F417" s="250"/>
      <c r="H417" s="251"/>
    </row>
    <row r="418">
      <c r="B418" s="268"/>
      <c r="C418" s="252"/>
      <c r="D418" s="253"/>
      <c r="F418" s="250"/>
      <c r="H418" s="251"/>
    </row>
    <row r="419">
      <c r="B419" s="308"/>
      <c r="C419" s="252"/>
      <c r="D419" s="253"/>
      <c r="F419" s="309"/>
      <c r="H419" s="302"/>
    </row>
    <row r="420">
      <c r="B420" s="308"/>
      <c r="C420" s="252"/>
      <c r="D420" s="253"/>
      <c r="F420" s="309"/>
      <c r="H420" s="302"/>
    </row>
    <row r="421">
      <c r="B421" s="308"/>
      <c r="C421" s="252"/>
      <c r="D421" s="253"/>
      <c r="F421" s="309"/>
      <c r="H421" s="302"/>
    </row>
    <row r="422">
      <c r="B422" s="308"/>
      <c r="C422" s="252"/>
      <c r="D422" s="253"/>
      <c r="F422" s="309"/>
      <c r="H422" s="302"/>
    </row>
    <row r="423">
      <c r="B423" s="308"/>
      <c r="C423" s="252"/>
      <c r="D423" s="253"/>
      <c r="F423" s="309"/>
      <c r="H423" s="302"/>
    </row>
    <row r="424">
      <c r="B424" s="308"/>
      <c r="C424" s="252"/>
      <c r="D424" s="253"/>
      <c r="F424" s="309"/>
      <c r="H424" s="302"/>
    </row>
    <row r="425">
      <c r="B425" s="308"/>
      <c r="C425" s="252"/>
      <c r="D425" s="253"/>
      <c r="F425" s="309"/>
      <c r="H425" s="302"/>
    </row>
    <row r="426">
      <c r="B426" s="308"/>
      <c r="C426" s="252"/>
      <c r="D426" s="253"/>
      <c r="F426" s="309"/>
      <c r="H426" s="302"/>
    </row>
    <row r="427">
      <c r="B427" s="308"/>
      <c r="C427" s="252"/>
      <c r="D427" s="253"/>
      <c r="F427" s="309"/>
      <c r="H427" s="302"/>
    </row>
    <row r="428">
      <c r="B428" s="308"/>
      <c r="C428" s="252"/>
      <c r="D428" s="253"/>
      <c r="F428" s="309"/>
      <c r="H428" s="302"/>
    </row>
    <row r="429">
      <c r="B429" s="308"/>
      <c r="C429" s="252"/>
      <c r="D429" s="253"/>
      <c r="F429" s="309"/>
      <c r="H429" s="302"/>
    </row>
    <row r="430">
      <c r="B430" s="308"/>
      <c r="C430" s="252"/>
      <c r="D430" s="253"/>
      <c r="F430" s="309"/>
      <c r="H430" s="302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</sheetData>
  <mergeCells count="28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1"/>
    <mergeCell ref="A142:A156"/>
    <mergeCell ref="A157:A172"/>
    <mergeCell ref="A173:A187"/>
    <mergeCell ref="A188:A199"/>
    <mergeCell ref="A303:A316"/>
    <mergeCell ref="A317:A334"/>
    <mergeCell ref="A335:A346"/>
    <mergeCell ref="A347:A357"/>
    <mergeCell ref="A370:A382"/>
    <mergeCell ref="A395:A404"/>
    <mergeCell ref="A405:A414"/>
    <mergeCell ref="A200:A214"/>
    <mergeCell ref="A215:A228"/>
    <mergeCell ref="A229:A243"/>
    <mergeCell ref="A244:A256"/>
    <mergeCell ref="A257:A272"/>
    <mergeCell ref="A273:A287"/>
    <mergeCell ref="A288:A3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2.5"/>
    <col customWidth="1" min="8" max="8" width="10.13"/>
  </cols>
  <sheetData>
    <row r="1" ht="27.0" customHeight="1">
      <c r="A1" s="407" t="s">
        <v>46</v>
      </c>
      <c r="B1" s="408" t="s">
        <v>52</v>
      </c>
      <c r="C1" s="409" t="s">
        <v>53</v>
      </c>
      <c r="D1" s="410" t="s">
        <v>54</v>
      </c>
      <c r="E1" s="411"/>
      <c r="F1" s="453" t="s">
        <v>529</v>
      </c>
      <c r="G1" s="411"/>
      <c r="H1" s="413" t="s">
        <v>57</v>
      </c>
    </row>
    <row r="2">
      <c r="A2" s="262" t="s">
        <v>1130</v>
      </c>
      <c r="B2" s="425">
        <v>120500.0</v>
      </c>
      <c r="C2" s="426"/>
      <c r="D2" s="401"/>
      <c r="E2" s="402" t="s">
        <v>328</v>
      </c>
      <c r="F2" s="403"/>
      <c r="G2" s="436" t="s">
        <v>662</v>
      </c>
      <c r="H2" s="245">
        <v>145.0</v>
      </c>
    </row>
    <row r="3">
      <c r="A3" s="265"/>
      <c r="B3" s="281"/>
      <c r="C3" s="248">
        <v>154350.02</v>
      </c>
      <c r="D3" s="399"/>
      <c r="E3" s="398"/>
      <c r="F3" s="418"/>
      <c r="G3" s="398" t="s">
        <v>71</v>
      </c>
      <c r="H3" s="267"/>
    </row>
    <row r="4">
      <c r="A4" s="265"/>
      <c r="B4" s="247"/>
      <c r="C4" s="248"/>
      <c r="D4" s="249"/>
      <c r="F4" s="284">
        <v>2500.0</v>
      </c>
      <c r="G4" s="254" t="s">
        <v>1276</v>
      </c>
      <c r="H4" s="251"/>
    </row>
    <row r="5">
      <c r="A5" s="265"/>
      <c r="B5" s="247">
        <v>38694.05</v>
      </c>
      <c r="C5" s="248"/>
      <c r="D5" s="249"/>
      <c r="F5" s="284"/>
      <c r="G5" s="254" t="s">
        <v>82</v>
      </c>
      <c r="H5" s="251"/>
    </row>
    <row r="6">
      <c r="A6" s="265"/>
      <c r="B6" s="247"/>
      <c r="C6" s="252"/>
      <c r="D6" s="399">
        <v>216932.07</v>
      </c>
      <c r="E6" s="398" t="s">
        <v>328</v>
      </c>
      <c r="F6" s="284"/>
      <c r="G6" s="285" t="s">
        <v>114</v>
      </c>
      <c r="H6" s="251"/>
    </row>
    <row r="7">
      <c r="A7" s="265"/>
      <c r="B7" s="247"/>
      <c r="C7" s="248"/>
      <c r="D7" s="454">
        <v>45785.0</v>
      </c>
      <c r="F7" s="284"/>
      <c r="G7" s="254" t="s">
        <v>434</v>
      </c>
      <c r="H7" s="267"/>
    </row>
    <row r="8">
      <c r="A8" s="265"/>
      <c r="B8" s="247"/>
      <c r="C8" s="248"/>
      <c r="D8" s="249"/>
      <c r="F8" s="284">
        <v>18000.0</v>
      </c>
      <c r="G8" s="254" t="s">
        <v>605</v>
      </c>
      <c r="H8" s="251"/>
    </row>
    <row r="9">
      <c r="A9" s="265"/>
      <c r="B9" s="247"/>
      <c r="C9" s="252"/>
      <c r="D9" s="249"/>
      <c r="F9" s="418"/>
      <c r="G9" s="254"/>
      <c r="H9" s="251"/>
    </row>
    <row r="10">
      <c r="A10" s="265"/>
      <c r="B10" s="247"/>
      <c r="C10" s="248"/>
      <c r="D10" s="253"/>
      <c r="F10" s="418"/>
      <c r="G10" s="254"/>
      <c r="H10" s="251"/>
    </row>
    <row r="11">
      <c r="A11" s="265"/>
      <c r="B11" s="277"/>
      <c r="C11" s="252"/>
      <c r="D11" s="253"/>
      <c r="F11" s="418"/>
      <c r="G11" s="254"/>
      <c r="H11" s="251"/>
    </row>
    <row r="12">
      <c r="A12" s="265"/>
      <c r="B12" s="277"/>
      <c r="C12" s="252"/>
      <c r="D12" s="253"/>
      <c r="F12" s="418"/>
      <c r="G12" s="254"/>
      <c r="H12" s="251"/>
    </row>
    <row r="13">
      <c r="A13" s="265"/>
      <c r="B13" s="277"/>
      <c r="C13" s="252"/>
      <c r="D13" s="253"/>
      <c r="F13" s="418"/>
      <c r="G13" s="254"/>
      <c r="H13" s="251"/>
    </row>
    <row r="14">
      <c r="A14" s="265"/>
      <c r="B14" s="277"/>
      <c r="C14" s="252"/>
      <c r="D14" s="253"/>
      <c r="F14" s="418"/>
      <c r="G14" s="254"/>
      <c r="H14" s="251"/>
    </row>
    <row r="15">
      <c r="A15" s="270"/>
      <c r="B15" s="279"/>
      <c r="C15" s="272"/>
      <c r="D15" s="273"/>
      <c r="E15" s="18"/>
      <c r="F15" s="455"/>
      <c r="G15" s="260"/>
      <c r="H15" s="261"/>
    </row>
    <row r="16">
      <c r="A16" s="262"/>
      <c r="B16" s="440">
        <v>68607.0</v>
      </c>
      <c r="C16" s="405"/>
      <c r="D16" s="399"/>
      <c r="E16" s="398" t="s">
        <v>328</v>
      </c>
      <c r="F16" s="418"/>
      <c r="G16" s="285" t="s">
        <v>79</v>
      </c>
      <c r="H16" s="267">
        <v>86.0</v>
      </c>
    </row>
    <row r="17">
      <c r="A17" s="280"/>
      <c r="B17" s="277">
        <f>65799.05+44333.78</f>
        <v>110132.83</v>
      </c>
      <c r="C17" s="248"/>
      <c r="D17" s="249"/>
      <c r="E17" s="2" t="s">
        <v>328</v>
      </c>
      <c r="F17" s="418"/>
      <c r="G17" s="2" t="s">
        <v>74</v>
      </c>
      <c r="H17" s="267"/>
    </row>
    <row r="18">
      <c r="A18" s="280" t="s">
        <v>997</v>
      </c>
      <c r="B18" s="247">
        <v>22106.6</v>
      </c>
      <c r="C18" s="248"/>
      <c r="D18" s="300"/>
      <c r="E18" s="2" t="s">
        <v>328</v>
      </c>
      <c r="F18" s="418"/>
      <c r="G18" s="254" t="s">
        <v>73</v>
      </c>
      <c r="H18" s="251"/>
    </row>
    <row r="19">
      <c r="A19" s="265"/>
      <c r="B19" s="419"/>
      <c r="C19" s="427"/>
      <c r="D19" s="414"/>
      <c r="E19" s="417"/>
      <c r="F19" s="418"/>
      <c r="G19" s="420"/>
      <c r="H19" s="251"/>
    </row>
    <row r="20">
      <c r="A20" s="265"/>
      <c r="B20" s="247"/>
      <c r="C20" s="248"/>
      <c r="D20" s="249"/>
      <c r="F20" s="418"/>
      <c r="G20" s="254"/>
      <c r="H20" s="251"/>
    </row>
    <row r="21">
      <c r="A21" s="265"/>
      <c r="B21" s="404"/>
      <c r="C21" s="405"/>
      <c r="D21" s="399"/>
      <c r="E21" s="398"/>
      <c r="F21" s="418"/>
      <c r="G21" s="285"/>
      <c r="H21" s="251"/>
    </row>
    <row r="22">
      <c r="A22" s="265"/>
      <c r="B22" s="247"/>
      <c r="C22" s="248"/>
      <c r="D22" s="249"/>
      <c r="F22" s="418"/>
      <c r="G22" s="254"/>
      <c r="H22" s="267"/>
    </row>
    <row r="23">
      <c r="A23" s="265"/>
      <c r="B23" s="247"/>
      <c r="C23" s="252"/>
      <c r="D23" s="253"/>
      <c r="F23" s="418"/>
      <c r="G23" s="254"/>
      <c r="H23" s="251"/>
    </row>
    <row r="24">
      <c r="A24" s="265"/>
      <c r="B24" s="247"/>
      <c r="C24" s="248"/>
      <c r="D24" s="253"/>
      <c r="F24" s="418"/>
      <c r="G24" s="254"/>
      <c r="H24" s="251"/>
    </row>
    <row r="25">
      <c r="A25" s="265"/>
      <c r="B25" s="268"/>
      <c r="C25" s="248"/>
      <c r="D25" s="253"/>
      <c r="F25" s="418"/>
      <c r="G25" s="254"/>
      <c r="H25" s="251"/>
    </row>
    <row r="26">
      <c r="A26" s="265"/>
      <c r="B26" s="268"/>
      <c r="C26" s="252"/>
      <c r="D26" s="253"/>
      <c r="F26" s="418"/>
      <c r="G26" s="254"/>
      <c r="H26" s="251"/>
    </row>
    <row r="27">
      <c r="A27" s="270"/>
      <c r="B27" s="271"/>
      <c r="C27" s="272"/>
      <c r="D27" s="273"/>
      <c r="E27" s="18"/>
      <c r="F27" s="456"/>
      <c r="G27" s="260"/>
      <c r="H27" s="261"/>
    </row>
    <row r="28">
      <c r="A28" s="262" t="s">
        <v>998</v>
      </c>
      <c r="B28" s="425">
        <v>65600.0</v>
      </c>
      <c r="C28" s="426"/>
      <c r="D28" s="401"/>
      <c r="E28" s="402" t="s">
        <v>328</v>
      </c>
      <c r="F28" s="284"/>
      <c r="G28" s="285" t="s">
        <v>75</v>
      </c>
      <c r="H28" s="245">
        <v>160.0</v>
      </c>
    </row>
    <row r="29">
      <c r="A29" s="265"/>
      <c r="B29" s="247"/>
      <c r="C29" s="248"/>
      <c r="D29" s="399">
        <v>46096.98</v>
      </c>
      <c r="E29" s="398" t="s">
        <v>328</v>
      </c>
      <c r="F29" s="418"/>
      <c r="G29" s="285" t="s">
        <v>91</v>
      </c>
      <c r="H29" s="267"/>
    </row>
    <row r="30">
      <c r="A30" s="265"/>
      <c r="B30" s="339"/>
      <c r="C30" s="248"/>
      <c r="D30" s="399">
        <v>421080.0</v>
      </c>
      <c r="E30" s="398" t="s">
        <v>328</v>
      </c>
      <c r="F30" s="418"/>
      <c r="G30" s="285" t="s">
        <v>877</v>
      </c>
      <c r="H30" s="251"/>
    </row>
    <row r="31">
      <c r="A31" s="265"/>
      <c r="B31" s="339">
        <v>58718.59</v>
      </c>
      <c r="C31" s="248"/>
      <c r="D31" s="249"/>
      <c r="F31" s="418"/>
      <c r="G31" s="254" t="s">
        <v>1277</v>
      </c>
      <c r="H31" s="267"/>
    </row>
    <row r="32">
      <c r="A32" s="265"/>
      <c r="B32" s="247"/>
      <c r="C32" s="405">
        <v>192742.1</v>
      </c>
      <c r="D32" s="399"/>
      <c r="E32" s="398"/>
      <c r="F32" s="418"/>
      <c r="G32" s="285" t="s">
        <v>89</v>
      </c>
      <c r="H32" s="251"/>
    </row>
    <row r="33">
      <c r="A33" s="265"/>
      <c r="B33" s="247"/>
      <c r="C33" s="248">
        <v>176519.26</v>
      </c>
      <c r="D33" s="249"/>
      <c r="F33" s="418"/>
      <c r="G33" s="254" t="s">
        <v>631</v>
      </c>
      <c r="H33" s="251"/>
    </row>
    <row r="34">
      <c r="A34" s="265"/>
      <c r="B34" s="247"/>
      <c r="C34" s="252"/>
      <c r="D34" s="249"/>
      <c r="F34" s="418"/>
      <c r="G34" s="254"/>
      <c r="H34" s="251"/>
    </row>
    <row r="35">
      <c r="A35" s="265"/>
      <c r="B35" s="247"/>
      <c r="C35" s="252"/>
      <c r="D35" s="253"/>
      <c r="F35" s="418"/>
      <c r="G35" s="254"/>
      <c r="H35" s="251"/>
    </row>
    <row r="36">
      <c r="A36" s="265"/>
      <c r="B36" s="247"/>
      <c r="C36" s="248"/>
      <c r="D36" s="253"/>
      <c r="F36" s="418"/>
      <c r="G36" s="254"/>
      <c r="H36" s="251"/>
    </row>
    <row r="37">
      <c r="A37" s="265"/>
      <c r="B37" s="247"/>
      <c r="C37" s="248"/>
      <c r="D37" s="249"/>
      <c r="F37" s="418"/>
      <c r="H37" s="251"/>
    </row>
    <row r="38">
      <c r="A38" s="265"/>
      <c r="B38" s="247"/>
      <c r="C38" s="248"/>
      <c r="D38" s="249"/>
      <c r="F38" s="418"/>
      <c r="G38" s="254"/>
      <c r="H38" s="251"/>
    </row>
    <row r="39">
      <c r="A39" s="265"/>
      <c r="B39" s="268"/>
      <c r="C39" s="248"/>
      <c r="D39" s="249"/>
      <c r="F39" s="418"/>
      <c r="G39" s="254"/>
      <c r="H39" s="251"/>
    </row>
    <row r="40">
      <c r="A40" s="265"/>
      <c r="B40" s="278"/>
      <c r="C40" s="252"/>
      <c r="D40" s="253"/>
      <c r="F40" s="418"/>
      <c r="G40" s="269"/>
      <c r="H40" s="251"/>
    </row>
    <row r="41">
      <c r="A41" s="270"/>
      <c r="B41" s="271"/>
      <c r="C41" s="272"/>
      <c r="D41" s="273"/>
      <c r="E41" s="18"/>
      <c r="F41" s="456"/>
      <c r="G41" s="275"/>
      <c r="H41" s="261"/>
    </row>
    <row r="42">
      <c r="A42" s="262" t="s">
        <v>1002</v>
      </c>
      <c r="B42" s="425">
        <v>48000.0</v>
      </c>
      <c r="C42" s="426"/>
      <c r="D42" s="401"/>
      <c r="E42" s="402" t="s">
        <v>328</v>
      </c>
      <c r="F42" s="423"/>
      <c r="G42" s="436" t="s">
        <v>76</v>
      </c>
      <c r="H42" s="245">
        <v>149.0</v>
      </c>
    </row>
    <row r="43">
      <c r="A43" s="265"/>
      <c r="B43" s="404">
        <v>69600.0</v>
      </c>
      <c r="C43" s="405"/>
      <c r="D43" s="399"/>
      <c r="E43" s="398"/>
      <c r="F43" s="418"/>
      <c r="G43" s="285" t="s">
        <v>1278</v>
      </c>
      <c r="H43" s="267"/>
    </row>
    <row r="44">
      <c r="A44" s="265"/>
      <c r="B44" s="433"/>
      <c r="C44" s="248"/>
      <c r="D44" s="399">
        <v>176000.0</v>
      </c>
      <c r="E44" s="398" t="s">
        <v>328</v>
      </c>
      <c r="F44" s="418"/>
      <c r="G44" s="285" t="s">
        <v>122</v>
      </c>
      <c r="H44" s="310"/>
    </row>
    <row r="45">
      <c r="A45" s="265"/>
      <c r="B45" s="404"/>
      <c r="C45" s="405"/>
      <c r="D45" s="399"/>
      <c r="E45" s="398"/>
      <c r="F45" s="418"/>
      <c r="G45" s="285"/>
      <c r="H45" s="251"/>
    </row>
    <row r="46">
      <c r="A46" s="265"/>
      <c r="B46" s="247"/>
      <c r="C46" s="248"/>
      <c r="D46" s="399"/>
      <c r="E46" s="398"/>
      <c r="F46" s="418"/>
      <c r="G46" s="285"/>
      <c r="H46" s="251"/>
    </row>
    <row r="47">
      <c r="A47" s="265"/>
      <c r="B47" s="247"/>
      <c r="C47" s="248"/>
      <c r="D47" s="399"/>
      <c r="E47" s="398"/>
      <c r="F47" s="418"/>
      <c r="G47" s="285"/>
      <c r="H47" s="251"/>
    </row>
    <row r="48">
      <c r="A48" s="265"/>
      <c r="B48" s="247"/>
      <c r="C48" s="252"/>
      <c r="D48" s="249"/>
      <c r="F48" s="418"/>
      <c r="G48" s="254"/>
      <c r="H48" s="251"/>
    </row>
    <row r="49">
      <c r="A49" s="265"/>
      <c r="B49" s="247"/>
      <c r="C49" s="252"/>
      <c r="D49" s="253"/>
      <c r="F49" s="418"/>
      <c r="G49" s="254"/>
      <c r="H49" s="251"/>
    </row>
    <row r="50">
      <c r="A50" s="265"/>
      <c r="B50" s="247"/>
      <c r="C50" s="252"/>
      <c r="D50" s="249"/>
      <c r="F50" s="418"/>
      <c r="G50" s="254"/>
      <c r="H50" s="251"/>
    </row>
    <row r="51">
      <c r="A51" s="265"/>
      <c r="B51" s="277"/>
      <c r="C51" s="252"/>
      <c r="D51" s="253"/>
      <c r="F51" s="418"/>
      <c r="G51" s="254"/>
      <c r="H51" s="251"/>
    </row>
    <row r="52">
      <c r="A52" s="265"/>
      <c r="B52" s="277"/>
      <c r="C52" s="252"/>
      <c r="D52" s="253"/>
      <c r="F52" s="418"/>
      <c r="G52" s="254"/>
      <c r="H52" s="251"/>
    </row>
    <row r="53">
      <c r="A53" s="270"/>
      <c r="B53" s="271"/>
      <c r="C53" s="272"/>
      <c r="D53" s="273"/>
      <c r="E53" s="18"/>
      <c r="F53" s="455"/>
      <c r="G53" s="275"/>
      <c r="H53" s="261"/>
    </row>
    <row r="54">
      <c r="A54" s="262" t="s">
        <v>1004</v>
      </c>
      <c r="B54" s="239">
        <v>22492.0</v>
      </c>
      <c r="C54" s="263"/>
      <c r="D54" s="401"/>
      <c r="E54" s="402"/>
      <c r="F54" s="423"/>
      <c r="G54" s="436" t="s">
        <v>81</v>
      </c>
      <c r="H54" s="245">
        <v>235.0</v>
      </c>
    </row>
    <row r="55">
      <c r="A55" s="265"/>
      <c r="B55" s="247"/>
      <c r="C55" s="248"/>
      <c r="D55" s="399">
        <v>144370.0</v>
      </c>
      <c r="E55" s="398" t="s">
        <v>328</v>
      </c>
      <c r="F55" s="418"/>
      <c r="G55" s="285" t="s">
        <v>1279</v>
      </c>
      <c r="H55" s="267"/>
    </row>
    <row r="56">
      <c r="A56" s="265"/>
      <c r="B56" s="404">
        <v>147152.99</v>
      </c>
      <c r="C56" s="405"/>
      <c r="D56" s="399"/>
      <c r="E56" s="398"/>
      <c r="F56" s="418"/>
      <c r="G56" s="285" t="s">
        <v>787</v>
      </c>
      <c r="H56" s="267"/>
    </row>
    <row r="57">
      <c r="A57" s="265"/>
      <c r="B57" s="419"/>
      <c r="C57" s="427"/>
      <c r="D57" s="399">
        <v>200000.0</v>
      </c>
      <c r="E57" s="398"/>
      <c r="F57" s="418"/>
      <c r="G57" s="285" t="s">
        <v>1280</v>
      </c>
      <c r="H57" s="251"/>
    </row>
    <row r="58">
      <c r="A58" s="265"/>
      <c r="B58" s="457">
        <v>45920.0</v>
      </c>
      <c r="C58" s="427"/>
      <c r="D58" s="399"/>
      <c r="E58" s="398"/>
      <c r="F58" s="418"/>
      <c r="G58" s="285" t="s">
        <v>118</v>
      </c>
      <c r="H58" s="251"/>
    </row>
    <row r="59">
      <c r="A59" s="265"/>
      <c r="B59" s="281">
        <v>35280.0</v>
      </c>
      <c r="C59" s="248"/>
      <c r="D59" s="249"/>
      <c r="F59" s="458"/>
      <c r="G59" s="254" t="s">
        <v>171</v>
      </c>
      <c r="H59" s="251"/>
    </row>
    <row r="60">
      <c r="A60" s="265"/>
      <c r="B60" s="281">
        <v>39145.73</v>
      </c>
      <c r="C60" s="248"/>
      <c r="D60" s="249"/>
      <c r="F60" s="418"/>
      <c r="G60" s="254" t="s">
        <v>82</v>
      </c>
      <c r="H60" s="251"/>
    </row>
    <row r="61">
      <c r="A61" s="265"/>
      <c r="B61" s="404"/>
      <c r="C61" s="424"/>
      <c r="D61" s="399"/>
      <c r="E61" s="398"/>
      <c r="F61" s="418"/>
      <c r="G61" s="285"/>
      <c r="H61" s="251"/>
    </row>
    <row r="62">
      <c r="A62" s="265"/>
      <c r="B62" s="247"/>
      <c r="C62" s="252"/>
      <c r="D62" s="253"/>
      <c r="F62" s="418"/>
      <c r="G62" s="254"/>
      <c r="H62" s="251"/>
    </row>
    <row r="63">
      <c r="A63" s="265"/>
      <c r="B63" s="247"/>
      <c r="C63" s="252"/>
      <c r="D63" s="249"/>
      <c r="F63" s="418"/>
      <c r="G63" s="254"/>
      <c r="H63" s="251"/>
    </row>
    <row r="64">
      <c r="A64" s="265"/>
      <c r="B64" s="268"/>
      <c r="C64" s="252"/>
      <c r="D64" s="253"/>
      <c r="F64" s="418"/>
      <c r="G64" s="269"/>
      <c r="H64" s="251"/>
    </row>
    <row r="65">
      <c r="A65" s="265"/>
      <c r="B65" s="247"/>
      <c r="C65" s="252"/>
      <c r="D65" s="253"/>
      <c r="F65" s="418"/>
      <c r="G65" s="269"/>
      <c r="H65" s="251"/>
    </row>
    <row r="66">
      <c r="A66" s="265"/>
      <c r="B66" s="277"/>
      <c r="C66" s="252"/>
      <c r="D66" s="253"/>
      <c r="F66" s="432"/>
      <c r="G66" s="269"/>
      <c r="H66" s="251"/>
    </row>
    <row r="67">
      <c r="A67" s="265"/>
      <c r="B67" s="278"/>
      <c r="C67" s="248"/>
      <c r="D67" s="253"/>
      <c r="F67" s="432"/>
      <c r="G67" s="269"/>
      <c r="H67" s="251"/>
    </row>
    <row r="68">
      <c r="A68" s="265"/>
      <c r="B68" s="278"/>
      <c r="C68" s="252"/>
      <c r="D68" s="253"/>
      <c r="F68" s="418"/>
      <c r="G68" s="269"/>
      <c r="H68" s="251"/>
    </row>
    <row r="69">
      <c r="A69" s="270"/>
      <c r="B69" s="271"/>
      <c r="C69" s="272"/>
      <c r="D69" s="273"/>
      <c r="E69" s="18"/>
      <c r="F69" s="455"/>
      <c r="G69" s="260"/>
      <c r="H69" s="261"/>
    </row>
    <row r="70">
      <c r="A70" s="262" t="s">
        <v>1005</v>
      </c>
      <c r="B70" s="425"/>
      <c r="C70" s="426"/>
      <c r="D70" s="401"/>
      <c r="E70" s="402"/>
      <c r="F70" s="284">
        <v>810.0</v>
      </c>
      <c r="G70" s="436" t="s">
        <v>97</v>
      </c>
      <c r="H70" s="245">
        <v>223.0</v>
      </c>
    </row>
    <row r="71">
      <c r="A71" s="265"/>
      <c r="B71" s="247"/>
      <c r="C71" s="248"/>
      <c r="D71" s="249"/>
      <c r="F71" s="284">
        <v>20000.0</v>
      </c>
      <c r="G71" s="398" t="s">
        <v>1281</v>
      </c>
      <c r="H71" s="267"/>
    </row>
    <row r="72">
      <c r="A72" s="265"/>
      <c r="B72" s="404">
        <v>20670.0</v>
      </c>
      <c r="C72" s="405"/>
      <c r="D72" s="399"/>
      <c r="E72" s="398"/>
      <c r="F72" s="284"/>
      <c r="G72" s="285" t="s">
        <v>291</v>
      </c>
      <c r="H72" s="267"/>
    </row>
    <row r="73">
      <c r="A73" s="265"/>
      <c r="B73" s="404"/>
      <c r="C73" s="405"/>
      <c r="D73" s="399"/>
      <c r="E73" s="398"/>
      <c r="F73" s="284"/>
      <c r="G73" s="285"/>
      <c r="H73" s="251"/>
      <c r="I73" s="340"/>
      <c r="J73" s="340"/>
      <c r="K73" s="340"/>
      <c r="L73" s="2" t="s">
        <v>623</v>
      </c>
    </row>
    <row r="74">
      <c r="A74" s="265"/>
      <c r="B74" s="330"/>
      <c r="C74" s="338"/>
      <c r="D74" s="449"/>
      <c r="E74" s="450"/>
      <c r="F74" s="459"/>
      <c r="G74" s="435"/>
      <c r="H74" s="251"/>
      <c r="I74" s="341"/>
      <c r="J74" s="340"/>
      <c r="K74" s="340"/>
    </row>
    <row r="75">
      <c r="A75" s="265"/>
      <c r="B75" s="247"/>
      <c r="C75" s="248"/>
      <c r="D75" s="249"/>
      <c r="F75" s="418"/>
      <c r="G75" s="254"/>
      <c r="H75" s="251"/>
      <c r="I75" s="340"/>
      <c r="J75" s="340"/>
      <c r="K75" s="341"/>
    </row>
    <row r="76">
      <c r="A76" s="265"/>
      <c r="B76" s="247"/>
      <c r="C76" s="252"/>
      <c r="D76" s="249"/>
      <c r="F76" s="418"/>
      <c r="G76" s="254"/>
      <c r="H76" s="251"/>
      <c r="I76" s="340"/>
      <c r="J76" s="341"/>
      <c r="K76" s="341"/>
    </row>
    <row r="77">
      <c r="A77" s="265"/>
      <c r="B77" s="247"/>
      <c r="C77" s="252"/>
      <c r="D77" s="253"/>
      <c r="F77" s="418"/>
      <c r="G77" s="254"/>
      <c r="H77" s="251"/>
    </row>
    <row r="78">
      <c r="A78" s="265"/>
      <c r="B78" s="247"/>
      <c r="C78" s="248"/>
      <c r="D78" s="253"/>
      <c r="F78" s="418"/>
      <c r="G78" s="254"/>
      <c r="H78" s="251"/>
    </row>
    <row r="79">
      <c r="A79" s="265"/>
      <c r="B79" s="247"/>
      <c r="C79" s="248"/>
      <c r="D79" s="253"/>
      <c r="F79" s="418"/>
      <c r="G79" s="254"/>
      <c r="H79" s="251"/>
    </row>
    <row r="80">
      <c r="A80" s="265"/>
      <c r="B80" s="277"/>
      <c r="C80" s="248"/>
      <c r="D80" s="253"/>
      <c r="F80" s="432"/>
      <c r="G80" s="254"/>
      <c r="H80" s="251"/>
    </row>
    <row r="81">
      <c r="A81" s="265"/>
      <c r="B81" s="277"/>
      <c r="C81" s="252"/>
      <c r="D81" s="253"/>
      <c r="F81" s="418"/>
      <c r="G81" s="254"/>
      <c r="H81" s="251"/>
    </row>
    <row r="82">
      <c r="A82" s="265"/>
      <c r="B82" s="277"/>
      <c r="C82" s="252"/>
      <c r="D82" s="253"/>
      <c r="F82" s="432"/>
      <c r="G82" s="254"/>
      <c r="H82" s="251"/>
    </row>
    <row r="83">
      <c r="A83" s="270"/>
      <c r="B83" s="271"/>
      <c r="C83" s="272"/>
      <c r="D83" s="273"/>
      <c r="E83" s="18"/>
      <c r="F83" s="456"/>
      <c r="G83" s="275"/>
      <c r="H83" s="261"/>
    </row>
    <row r="84">
      <c r="A84" s="262" t="s">
        <v>1007</v>
      </c>
      <c r="B84" s="425">
        <f>154000-3000</f>
        <v>151000</v>
      </c>
      <c r="C84" s="426"/>
      <c r="D84" s="401"/>
      <c r="E84" s="402" t="s">
        <v>328</v>
      </c>
      <c r="F84" s="403"/>
      <c r="G84" s="436" t="s">
        <v>1282</v>
      </c>
      <c r="H84" s="245">
        <v>170.0</v>
      </c>
      <c r="I84" s="2" t="s">
        <v>1283</v>
      </c>
    </row>
    <row r="85">
      <c r="A85" s="265"/>
      <c r="B85" s="404"/>
      <c r="C85" s="405"/>
      <c r="D85" s="399"/>
      <c r="E85" s="398"/>
      <c r="F85" s="284">
        <v>3500.0</v>
      </c>
      <c r="G85" s="285" t="s">
        <v>85</v>
      </c>
      <c r="H85" s="267"/>
    </row>
    <row r="86">
      <c r="A86" s="265"/>
      <c r="B86" s="247">
        <v>46000.0</v>
      </c>
      <c r="C86" s="248"/>
      <c r="D86" s="399"/>
      <c r="E86" s="398" t="s">
        <v>328</v>
      </c>
      <c r="F86" s="284"/>
      <c r="G86" s="195" t="s">
        <v>68</v>
      </c>
      <c r="H86" s="267"/>
    </row>
    <row r="87">
      <c r="A87" s="265"/>
      <c r="B87" s="247">
        <v>39145.73</v>
      </c>
      <c r="C87" s="248"/>
      <c r="D87" s="249"/>
      <c r="F87" s="284"/>
      <c r="G87" s="254" t="s">
        <v>82</v>
      </c>
      <c r="H87" s="251"/>
    </row>
    <row r="88">
      <c r="A88" s="265"/>
      <c r="B88" s="247"/>
      <c r="C88" s="248">
        <v>59617.91</v>
      </c>
      <c r="D88" s="249"/>
      <c r="F88" s="284"/>
      <c r="G88" s="254" t="s">
        <v>71</v>
      </c>
      <c r="H88" s="251"/>
    </row>
    <row r="89">
      <c r="A89" s="265"/>
      <c r="B89" s="247"/>
      <c r="C89" s="248"/>
      <c r="D89" s="399">
        <v>242351.49</v>
      </c>
      <c r="E89" s="398" t="s">
        <v>328</v>
      </c>
      <c r="F89" s="284"/>
      <c r="G89" s="285" t="s">
        <v>114</v>
      </c>
      <c r="H89" s="251"/>
    </row>
    <row r="90">
      <c r="A90" s="265"/>
      <c r="B90" s="247"/>
      <c r="C90" s="252"/>
      <c r="D90" s="414"/>
      <c r="E90" s="398"/>
      <c r="F90" s="284">
        <v>18000.0</v>
      </c>
      <c r="G90" s="285" t="s">
        <v>605</v>
      </c>
      <c r="H90" s="251"/>
    </row>
    <row r="91">
      <c r="A91" s="265"/>
      <c r="B91" s="247"/>
      <c r="C91" s="248"/>
      <c r="D91" s="249"/>
      <c r="F91" s="418"/>
      <c r="G91" s="254"/>
      <c r="H91" s="251"/>
    </row>
    <row r="92">
      <c r="A92" s="265"/>
      <c r="B92" s="247"/>
      <c r="C92" s="252"/>
      <c r="D92" s="249"/>
      <c r="F92" s="418"/>
      <c r="G92" s="254"/>
      <c r="H92" s="251"/>
    </row>
    <row r="93">
      <c r="A93" s="265"/>
      <c r="B93" s="247"/>
      <c r="C93" s="248"/>
      <c r="D93" s="253"/>
      <c r="F93" s="418"/>
      <c r="G93" s="254"/>
      <c r="H93" s="251"/>
    </row>
    <row r="94">
      <c r="A94" s="265"/>
      <c r="B94" s="268"/>
      <c r="C94" s="252"/>
      <c r="D94" s="253"/>
      <c r="F94" s="418"/>
      <c r="G94" s="254"/>
      <c r="H94" s="251"/>
    </row>
    <row r="95">
      <c r="A95" s="265"/>
      <c r="B95" s="268"/>
      <c r="C95" s="252"/>
      <c r="D95" s="253"/>
      <c r="F95" s="418"/>
      <c r="G95" s="254"/>
      <c r="H95" s="251"/>
    </row>
    <row r="96">
      <c r="A96" s="265"/>
      <c r="B96" s="268"/>
      <c r="C96" s="252"/>
      <c r="D96" s="253"/>
      <c r="F96" s="418"/>
      <c r="G96" s="269"/>
      <c r="H96" s="251"/>
    </row>
    <row r="97">
      <c r="A97" s="265"/>
      <c r="B97" s="268"/>
      <c r="C97" s="252"/>
      <c r="D97" s="253"/>
      <c r="F97" s="418"/>
      <c r="G97" s="269"/>
      <c r="H97" s="251"/>
    </row>
    <row r="98">
      <c r="A98" s="265"/>
      <c r="B98" s="268"/>
      <c r="C98" s="252"/>
      <c r="D98" s="253"/>
      <c r="F98" s="418"/>
      <c r="G98" s="269"/>
      <c r="H98" s="251"/>
    </row>
    <row r="99">
      <c r="A99" s="265"/>
      <c r="B99" s="268"/>
      <c r="C99" s="252"/>
      <c r="D99" s="253"/>
      <c r="F99" s="418"/>
      <c r="G99" s="269"/>
      <c r="H99" s="251"/>
    </row>
    <row r="100">
      <c r="A100" s="265"/>
      <c r="B100" s="268"/>
      <c r="C100" s="252"/>
      <c r="D100" s="253"/>
      <c r="F100" s="418"/>
      <c r="G100" s="269"/>
      <c r="H100" s="251"/>
    </row>
    <row r="101">
      <c r="A101" s="270"/>
      <c r="B101" s="271"/>
      <c r="C101" s="272"/>
      <c r="D101" s="273"/>
      <c r="E101" s="18"/>
      <c r="F101" s="456"/>
      <c r="G101" s="275"/>
      <c r="H101" s="261"/>
    </row>
    <row r="102">
      <c r="A102" s="262" t="s">
        <v>1010</v>
      </c>
      <c r="B102" s="239"/>
      <c r="C102" s="263"/>
      <c r="D102" s="264"/>
      <c r="E102" s="244"/>
      <c r="F102" s="423"/>
      <c r="G102" s="276"/>
      <c r="H102" s="245">
        <v>98.0</v>
      </c>
    </row>
    <row r="103">
      <c r="A103" s="265"/>
      <c r="B103" s="247"/>
      <c r="C103" s="248"/>
      <c r="D103" s="399"/>
      <c r="E103" s="398"/>
      <c r="F103" s="418"/>
      <c r="G103" s="285"/>
      <c r="H103" s="267"/>
    </row>
    <row r="104">
      <c r="A104" s="265"/>
      <c r="B104" s="404"/>
      <c r="C104" s="405"/>
      <c r="D104" s="399"/>
      <c r="E104" s="398"/>
      <c r="F104" s="418"/>
      <c r="G104" s="285"/>
      <c r="H104" s="251"/>
    </row>
    <row r="105">
      <c r="A105" s="265"/>
      <c r="B105" s="239"/>
      <c r="C105" s="263"/>
      <c r="D105" s="401"/>
      <c r="E105" s="402"/>
      <c r="F105" s="423"/>
      <c r="G105" s="436"/>
      <c r="H105" s="251"/>
    </row>
    <row r="106">
      <c r="A106" s="265"/>
      <c r="B106" s="419"/>
      <c r="C106" s="434"/>
      <c r="D106" s="414"/>
      <c r="E106" s="417"/>
      <c r="F106" s="418"/>
      <c r="G106" s="420"/>
      <c r="H106" s="251"/>
    </row>
    <row r="107">
      <c r="A107" s="265"/>
      <c r="B107" s="404"/>
      <c r="C107" s="405"/>
      <c r="D107" s="399"/>
      <c r="E107" s="398"/>
      <c r="F107" s="418"/>
      <c r="G107" s="285"/>
      <c r="H107" s="251"/>
    </row>
    <row r="108">
      <c r="A108" s="265"/>
      <c r="B108" s="247"/>
      <c r="C108" s="252"/>
      <c r="D108" s="249"/>
      <c r="F108" s="418"/>
      <c r="G108" s="254"/>
      <c r="H108" s="251"/>
      <c r="I108" s="417"/>
    </row>
    <row r="109">
      <c r="A109" s="265"/>
      <c r="B109" s="247"/>
      <c r="C109" s="248"/>
      <c r="D109" s="249"/>
      <c r="F109" s="418"/>
      <c r="G109" s="254"/>
      <c r="H109" s="251"/>
    </row>
    <row r="110">
      <c r="A110" s="265"/>
      <c r="B110" s="247"/>
      <c r="C110" s="248"/>
      <c r="D110" s="253"/>
      <c r="F110" s="418"/>
      <c r="G110" s="254"/>
      <c r="H110" s="251"/>
    </row>
    <row r="111">
      <c r="A111" s="265"/>
      <c r="B111" s="247"/>
      <c r="C111" s="248"/>
      <c r="D111" s="253"/>
      <c r="F111" s="418"/>
      <c r="G111" s="254"/>
      <c r="H111" s="251"/>
    </row>
    <row r="112">
      <c r="A112" s="265"/>
      <c r="B112" s="247"/>
      <c r="C112" s="252"/>
      <c r="D112" s="249"/>
      <c r="F112" s="418"/>
      <c r="G112" s="254"/>
      <c r="H112" s="251"/>
    </row>
    <row r="113">
      <c r="A113" s="265"/>
      <c r="B113" s="277"/>
      <c r="C113" s="252"/>
      <c r="D113" s="253"/>
      <c r="F113" s="418"/>
      <c r="G113" s="254"/>
      <c r="H113" s="251"/>
    </row>
    <row r="114">
      <c r="A114" s="265"/>
      <c r="B114" s="277"/>
      <c r="C114" s="252"/>
      <c r="D114" s="253"/>
      <c r="F114" s="418"/>
      <c r="G114" s="269"/>
      <c r="H114" s="251"/>
    </row>
    <row r="115">
      <c r="A115" s="265"/>
      <c r="B115" s="278"/>
      <c r="C115" s="252"/>
      <c r="D115" s="253"/>
      <c r="F115" s="418"/>
      <c r="G115" s="269"/>
      <c r="H115" s="251"/>
    </row>
    <row r="116">
      <c r="A116" s="270"/>
      <c r="B116" s="271"/>
      <c r="C116" s="272"/>
      <c r="D116" s="273"/>
      <c r="E116" s="18"/>
      <c r="F116" s="456"/>
      <c r="G116" s="275"/>
      <c r="H116" s="261"/>
    </row>
    <row r="117">
      <c r="A117" s="262" t="s">
        <v>1014</v>
      </c>
      <c r="B117" s="239">
        <v>62979.18</v>
      </c>
      <c r="C117" s="263"/>
      <c r="D117" s="401"/>
      <c r="E117" s="402"/>
      <c r="F117" s="423"/>
      <c r="G117" s="436" t="s">
        <v>82</v>
      </c>
      <c r="H117" s="245">
        <v>220.0</v>
      </c>
    </row>
    <row r="118">
      <c r="A118" s="265"/>
      <c r="B118" s="247"/>
      <c r="C118" s="248">
        <v>64872.65</v>
      </c>
      <c r="D118" s="249"/>
      <c r="F118" s="418"/>
      <c r="G118" s="254" t="s">
        <v>84</v>
      </c>
      <c r="H118" s="251"/>
    </row>
    <row r="119">
      <c r="A119" s="265"/>
      <c r="B119" s="404">
        <v>118500.0</v>
      </c>
      <c r="C119" s="405"/>
      <c r="D119" s="399"/>
      <c r="E119" s="398" t="s">
        <v>328</v>
      </c>
      <c r="F119" s="284"/>
      <c r="G119" s="285" t="s">
        <v>75</v>
      </c>
      <c r="H119" s="251"/>
    </row>
    <row r="120">
      <c r="A120" s="265"/>
      <c r="B120" s="247">
        <v>115806.72</v>
      </c>
      <c r="C120" s="252"/>
      <c r="D120" s="249"/>
      <c r="E120" s="2" t="s">
        <v>328</v>
      </c>
      <c r="F120" s="418"/>
      <c r="G120" s="254" t="s">
        <v>74</v>
      </c>
      <c r="H120" s="251"/>
    </row>
    <row r="121">
      <c r="A121" s="265"/>
      <c r="B121" s="247">
        <v>52768.75</v>
      </c>
      <c r="C121" s="248"/>
      <c r="D121" s="399"/>
      <c r="E121" s="398" t="s">
        <v>328</v>
      </c>
      <c r="F121" s="418"/>
      <c r="G121" s="285" t="s">
        <v>73</v>
      </c>
      <c r="H121" s="251"/>
    </row>
    <row r="122">
      <c r="A122" s="265"/>
      <c r="B122" s="404">
        <v>68607.0</v>
      </c>
      <c r="C122" s="405"/>
      <c r="D122" s="399"/>
      <c r="E122" s="398" t="s">
        <v>328</v>
      </c>
      <c r="F122" s="284"/>
      <c r="G122" s="285" t="s">
        <v>931</v>
      </c>
      <c r="H122" s="251"/>
    </row>
    <row r="123">
      <c r="A123" s="265"/>
      <c r="B123" s="247"/>
      <c r="C123" s="248"/>
      <c r="D123" s="249"/>
      <c r="F123" s="418"/>
      <c r="G123" s="254"/>
      <c r="H123" s="251"/>
    </row>
    <row r="124">
      <c r="A124" s="265"/>
      <c r="B124" s="247"/>
      <c r="C124" s="252"/>
      <c r="D124" s="249"/>
      <c r="F124" s="418"/>
      <c r="G124" s="254"/>
      <c r="H124" s="251"/>
    </row>
    <row r="125">
      <c r="A125" s="265"/>
      <c r="B125" s="268"/>
      <c r="C125" s="248"/>
      <c r="D125" s="249"/>
      <c r="F125" s="418"/>
      <c r="G125" s="254"/>
      <c r="H125" s="251"/>
    </row>
    <row r="126">
      <c r="A126" s="265"/>
      <c r="B126" s="247"/>
      <c r="C126" s="252"/>
      <c r="D126" s="249"/>
      <c r="F126" s="418"/>
      <c r="H126" s="251"/>
    </row>
    <row r="127">
      <c r="A127" s="265"/>
      <c r="B127" s="247"/>
      <c r="C127" s="252"/>
      <c r="D127" s="249"/>
      <c r="F127" s="418"/>
      <c r="G127" s="254"/>
      <c r="H127" s="251"/>
    </row>
    <row r="128">
      <c r="A128" s="265"/>
      <c r="B128" s="277"/>
      <c r="C128" s="252"/>
      <c r="D128" s="253"/>
      <c r="F128" s="418"/>
      <c r="G128" s="254"/>
      <c r="H128" s="251"/>
    </row>
    <row r="129">
      <c r="A129" s="265"/>
      <c r="B129" s="277"/>
      <c r="C129" s="252"/>
      <c r="D129" s="253"/>
      <c r="F129" s="432"/>
      <c r="G129" s="269"/>
      <c r="H129" s="251"/>
    </row>
    <row r="130">
      <c r="A130" s="265"/>
      <c r="B130" s="278"/>
      <c r="C130" s="252"/>
      <c r="D130" s="253"/>
      <c r="F130" s="418"/>
      <c r="G130" s="269"/>
      <c r="H130" s="251"/>
    </row>
    <row r="131">
      <c r="A131" s="270"/>
      <c r="B131" s="271"/>
      <c r="C131" s="272"/>
      <c r="D131" s="273"/>
      <c r="E131" s="18"/>
      <c r="F131" s="455"/>
      <c r="G131" s="260"/>
      <c r="H131" s="261"/>
    </row>
    <row r="132">
      <c r="A132" s="262" t="s">
        <v>1018</v>
      </c>
      <c r="B132" s="239">
        <v>67500.0</v>
      </c>
      <c r="C132" s="263"/>
      <c r="D132" s="264"/>
      <c r="E132" s="244" t="s">
        <v>328</v>
      </c>
      <c r="F132" s="423"/>
      <c r="G132" s="276" t="s">
        <v>76</v>
      </c>
      <c r="H132" s="245">
        <v>180.0</v>
      </c>
    </row>
    <row r="133">
      <c r="A133" s="265"/>
      <c r="B133" s="404"/>
      <c r="C133" s="405">
        <v>202873.9</v>
      </c>
      <c r="D133" s="399"/>
      <c r="E133" s="398" t="s">
        <v>1261</v>
      </c>
      <c r="F133" s="418"/>
      <c r="G133" s="285" t="s">
        <v>89</v>
      </c>
      <c r="H133" s="267"/>
    </row>
    <row r="134">
      <c r="A134" s="265"/>
      <c r="B134" s="404"/>
      <c r="C134" s="405"/>
      <c r="D134" s="399">
        <v>130092.67</v>
      </c>
      <c r="E134" s="398" t="s">
        <v>328</v>
      </c>
      <c r="F134" s="418"/>
      <c r="G134" s="285" t="s">
        <v>100</v>
      </c>
      <c r="H134" s="251"/>
    </row>
    <row r="135">
      <c r="A135" s="265"/>
      <c r="B135" s="419"/>
      <c r="C135" s="427"/>
      <c r="D135" s="414"/>
      <c r="E135" s="417"/>
      <c r="F135" s="284">
        <v>2880.0</v>
      </c>
      <c r="G135" s="285" t="s">
        <v>97</v>
      </c>
      <c r="H135" s="251"/>
    </row>
    <row r="136">
      <c r="A136" s="265"/>
      <c r="B136" s="404"/>
      <c r="C136" s="405"/>
      <c r="D136" s="399"/>
      <c r="E136" s="398"/>
      <c r="F136" s="284"/>
      <c r="G136" s="285"/>
      <c r="H136" s="251"/>
    </row>
    <row r="137">
      <c r="A137" s="265"/>
      <c r="B137" s="404"/>
      <c r="C137" s="405"/>
      <c r="D137" s="399"/>
      <c r="E137" s="398"/>
      <c r="F137" s="284"/>
      <c r="G137" s="285"/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247"/>
      <c r="C139" s="252"/>
      <c r="D139" s="249"/>
      <c r="F139" s="284"/>
      <c r="G139" s="254"/>
      <c r="H139" s="251"/>
    </row>
    <row r="140">
      <c r="A140" s="265"/>
      <c r="B140" s="247"/>
      <c r="C140" s="252"/>
      <c r="D140" s="414"/>
      <c r="E140" s="417"/>
      <c r="F140" s="284"/>
      <c r="G140" s="420"/>
      <c r="H140" s="251"/>
    </row>
    <row r="141">
      <c r="A141" s="270"/>
      <c r="B141" s="279"/>
      <c r="C141" s="272"/>
      <c r="D141" s="273"/>
      <c r="E141" s="18"/>
      <c r="F141" s="460"/>
      <c r="G141" s="260"/>
      <c r="H141" s="261"/>
    </row>
    <row r="142">
      <c r="A142" s="262" t="s">
        <v>1020</v>
      </c>
      <c r="B142" s="239"/>
      <c r="C142" s="263"/>
      <c r="D142" s="264"/>
      <c r="E142" s="244"/>
      <c r="F142" s="284">
        <v>5760.0</v>
      </c>
      <c r="G142" s="276" t="s">
        <v>97</v>
      </c>
      <c r="H142" s="245">
        <v>100.0</v>
      </c>
    </row>
    <row r="143">
      <c r="A143" s="265"/>
      <c r="B143" s="247">
        <v>58266.91</v>
      </c>
      <c r="C143" s="315"/>
      <c r="D143" s="399"/>
      <c r="E143" s="398"/>
      <c r="F143" s="418"/>
      <c r="G143" s="285" t="s">
        <v>82</v>
      </c>
      <c r="H143" s="267"/>
    </row>
    <row r="144">
      <c r="A144" s="265"/>
      <c r="B144" s="404">
        <v>176000.0</v>
      </c>
      <c r="C144" s="405"/>
      <c r="D144" s="399"/>
      <c r="E144" s="398" t="s">
        <v>328</v>
      </c>
      <c r="F144" s="284"/>
      <c r="G144" s="285" t="s">
        <v>122</v>
      </c>
      <c r="H144" s="267"/>
    </row>
    <row r="145">
      <c r="A145" s="265"/>
      <c r="B145" s="247"/>
      <c r="C145" s="248"/>
      <c r="D145" s="249"/>
      <c r="F145" s="418"/>
      <c r="G145" s="254"/>
      <c r="H145" s="251"/>
    </row>
    <row r="146">
      <c r="A146" s="265"/>
      <c r="B146" s="247"/>
      <c r="C146" s="248"/>
      <c r="D146" s="249"/>
      <c r="E146" s="254"/>
      <c r="F146" s="418"/>
      <c r="G146" s="254"/>
      <c r="H146" s="251"/>
      <c r="I146" s="254"/>
    </row>
    <row r="147">
      <c r="A147" s="265"/>
      <c r="B147" s="247"/>
      <c r="C147" s="252"/>
      <c r="D147" s="249"/>
      <c r="F147" s="418"/>
      <c r="G147" s="254"/>
      <c r="H147" s="251"/>
    </row>
    <row r="148">
      <c r="A148" s="265"/>
      <c r="B148" s="404"/>
      <c r="C148" s="424"/>
      <c r="D148" s="399"/>
      <c r="E148" s="398"/>
      <c r="F148" s="418"/>
      <c r="G148" s="285"/>
      <c r="H148" s="267"/>
    </row>
    <row r="149">
      <c r="A149" s="265"/>
      <c r="B149" s="247"/>
      <c r="C149" s="252"/>
      <c r="D149" s="253"/>
      <c r="F149" s="418"/>
      <c r="G149" s="254"/>
      <c r="H149" s="251"/>
    </row>
    <row r="150">
      <c r="A150" s="265"/>
      <c r="B150" s="247"/>
      <c r="C150" s="252"/>
      <c r="D150" s="249"/>
      <c r="F150" s="418"/>
      <c r="G150" s="254"/>
      <c r="H150" s="251"/>
    </row>
    <row r="151">
      <c r="A151" s="265"/>
      <c r="B151" s="247"/>
      <c r="C151" s="252"/>
      <c r="D151" s="253"/>
      <c r="F151" s="418"/>
      <c r="G151" s="254"/>
      <c r="H151" s="251"/>
    </row>
    <row r="152">
      <c r="A152" s="265"/>
      <c r="B152" s="247"/>
      <c r="C152" s="252"/>
      <c r="D152" s="253"/>
      <c r="F152" s="418"/>
      <c r="G152" s="254"/>
      <c r="H152" s="251"/>
    </row>
    <row r="153">
      <c r="A153" s="265"/>
      <c r="B153" s="247"/>
      <c r="C153" s="252"/>
      <c r="D153" s="253"/>
      <c r="F153" s="418"/>
      <c r="G153" s="254"/>
      <c r="H153" s="251"/>
    </row>
    <row r="154">
      <c r="A154" s="265"/>
      <c r="B154" s="268"/>
      <c r="C154" s="252"/>
      <c r="D154" s="253"/>
      <c r="F154" s="418"/>
      <c r="G154" s="269"/>
      <c r="H154" s="251"/>
    </row>
    <row r="155">
      <c r="A155" s="265"/>
      <c r="B155" s="268"/>
      <c r="C155" s="252"/>
      <c r="D155" s="253"/>
      <c r="F155" s="418"/>
      <c r="G155" s="269"/>
      <c r="H155" s="251"/>
    </row>
    <row r="156">
      <c r="A156" s="270"/>
      <c r="B156" s="271"/>
      <c r="C156" s="272"/>
      <c r="D156" s="273"/>
      <c r="E156" s="18"/>
      <c r="F156" s="455"/>
      <c r="G156" s="260"/>
      <c r="H156" s="261"/>
    </row>
    <row r="157">
      <c r="A157" s="262" t="s">
        <v>1022</v>
      </c>
      <c r="B157" s="404">
        <v>48000.0</v>
      </c>
      <c r="C157" s="427"/>
      <c r="D157" s="414"/>
      <c r="E157" s="417"/>
      <c r="F157" s="418"/>
      <c r="G157" s="285" t="s">
        <v>68</v>
      </c>
      <c r="H157" s="286">
        <v>212.0</v>
      </c>
    </row>
    <row r="158">
      <c r="A158" s="265"/>
      <c r="B158" s="404">
        <f>41608.73+92519.31</f>
        <v>134128.04</v>
      </c>
      <c r="C158" s="405"/>
      <c r="D158" s="399"/>
      <c r="E158" s="398"/>
      <c r="F158" s="418"/>
      <c r="G158" s="285" t="s">
        <v>142</v>
      </c>
      <c r="H158" s="251"/>
    </row>
    <row r="159">
      <c r="A159" s="265"/>
      <c r="B159" s="404"/>
      <c r="C159" s="405"/>
      <c r="D159" s="399"/>
      <c r="E159" s="398"/>
      <c r="F159" s="418"/>
      <c r="G159" s="285"/>
      <c r="H159" s="267"/>
    </row>
    <row r="160">
      <c r="A160" s="265"/>
      <c r="B160" s="247"/>
      <c r="C160" s="248"/>
      <c r="D160" s="249"/>
      <c r="F160" s="418"/>
      <c r="G160" s="254"/>
      <c r="H160" s="251"/>
    </row>
    <row r="161">
      <c r="A161" s="265"/>
      <c r="B161" s="404"/>
      <c r="C161" s="405"/>
      <c r="D161" s="399"/>
      <c r="E161" s="398"/>
      <c r="F161" s="418"/>
      <c r="G161" s="285"/>
      <c r="H161" s="267"/>
    </row>
    <row r="162">
      <c r="A162" s="265"/>
      <c r="B162" s="247"/>
      <c r="C162" s="252"/>
      <c r="D162" s="249"/>
      <c r="F162" s="418"/>
      <c r="G162" s="254"/>
      <c r="H162" s="251"/>
    </row>
    <row r="163">
      <c r="A163" s="265"/>
      <c r="B163" s="247"/>
      <c r="C163" s="252"/>
      <c r="D163" s="399"/>
      <c r="E163" s="398"/>
      <c r="F163" s="418"/>
      <c r="G163" s="285"/>
      <c r="H163" s="251"/>
    </row>
    <row r="164">
      <c r="A164" s="265"/>
      <c r="B164" s="247"/>
      <c r="C164" s="252"/>
      <c r="D164" s="249"/>
      <c r="F164" s="418"/>
      <c r="G164" s="254"/>
      <c r="H164" s="251"/>
    </row>
    <row r="165">
      <c r="A165" s="265"/>
      <c r="B165" s="247"/>
      <c r="C165" s="248"/>
      <c r="D165" s="249"/>
      <c r="F165" s="418"/>
      <c r="G165" s="254"/>
      <c r="H165" s="251"/>
    </row>
    <row r="166">
      <c r="A166" s="265"/>
      <c r="B166" s="247"/>
      <c r="C166" s="252"/>
      <c r="D166" s="249"/>
      <c r="F166" s="418"/>
      <c r="G166" s="254"/>
      <c r="H166" s="251"/>
    </row>
    <row r="167">
      <c r="A167" s="265"/>
      <c r="B167" s="247"/>
      <c r="C167" s="252"/>
      <c r="D167" s="249"/>
      <c r="F167" s="418"/>
      <c r="G167" s="254"/>
      <c r="H167" s="251"/>
    </row>
    <row r="168">
      <c r="A168" s="265"/>
      <c r="B168" s="247"/>
      <c r="C168" s="248"/>
      <c r="D168" s="249"/>
      <c r="F168" s="418"/>
      <c r="G168" s="254"/>
      <c r="H168" s="251"/>
    </row>
    <row r="169">
      <c r="A169" s="265"/>
      <c r="B169" s="247"/>
      <c r="C169" s="248"/>
      <c r="D169" s="249"/>
      <c r="F169" s="418"/>
      <c r="G169" s="254"/>
      <c r="H169" s="251"/>
    </row>
    <row r="170">
      <c r="A170" s="265"/>
      <c r="B170" s="247"/>
      <c r="C170" s="252"/>
      <c r="D170" s="249"/>
      <c r="F170" s="418"/>
      <c r="G170" s="254"/>
      <c r="H170" s="251"/>
    </row>
    <row r="171">
      <c r="A171" s="265"/>
      <c r="B171" s="247"/>
      <c r="C171" s="252"/>
      <c r="D171" s="253"/>
      <c r="F171" s="418"/>
      <c r="G171" s="254"/>
      <c r="H171" s="251"/>
    </row>
    <row r="172">
      <c r="A172" s="270"/>
      <c r="B172" s="247"/>
      <c r="C172" s="252"/>
      <c r="D172" s="249"/>
      <c r="F172" s="418"/>
      <c r="G172" s="254"/>
      <c r="H172" s="261"/>
    </row>
    <row r="173">
      <c r="A173" s="262" t="s">
        <v>1023</v>
      </c>
      <c r="B173" s="425">
        <v>102500.0</v>
      </c>
      <c r="C173" s="426"/>
      <c r="D173" s="401"/>
      <c r="E173" s="402" t="s">
        <v>328</v>
      </c>
      <c r="F173" s="403"/>
      <c r="G173" s="436" t="s">
        <v>75</v>
      </c>
      <c r="H173" s="245">
        <v>94.5</v>
      </c>
    </row>
    <row r="174">
      <c r="A174" s="265"/>
      <c r="B174" s="247"/>
      <c r="C174" s="248"/>
      <c r="D174" s="249"/>
      <c r="F174" s="284">
        <v>18000.0</v>
      </c>
      <c r="G174" s="254" t="s">
        <v>820</v>
      </c>
      <c r="H174" s="267"/>
    </row>
    <row r="175">
      <c r="A175" s="265"/>
      <c r="B175" s="247">
        <v>55048.69</v>
      </c>
      <c r="C175" s="252"/>
      <c r="D175" s="249"/>
      <c r="F175" s="284"/>
      <c r="G175" s="254" t="s">
        <v>82</v>
      </c>
      <c r="H175" s="251"/>
    </row>
    <row r="176">
      <c r="A176" s="265"/>
      <c r="B176" s="247"/>
      <c r="C176" s="248"/>
      <c r="D176" s="249">
        <v>205106.8</v>
      </c>
      <c r="E176" s="2" t="s">
        <v>306</v>
      </c>
      <c r="F176" s="284"/>
      <c r="G176" s="254" t="s">
        <v>114</v>
      </c>
      <c r="H176" s="251"/>
    </row>
    <row r="177">
      <c r="A177" s="265"/>
      <c r="B177" s="247"/>
      <c r="C177" s="248"/>
      <c r="D177" s="249"/>
      <c r="F177" s="284">
        <f>41000+2400</f>
        <v>43400</v>
      </c>
      <c r="G177" s="254" t="s">
        <v>1126</v>
      </c>
      <c r="H177" s="251"/>
    </row>
    <row r="178">
      <c r="A178" s="265"/>
      <c r="B178" s="247"/>
      <c r="C178" s="248"/>
      <c r="D178" s="249"/>
      <c r="F178" s="418"/>
      <c r="G178" s="254"/>
      <c r="H178" s="267"/>
    </row>
    <row r="179">
      <c r="A179" s="265"/>
      <c r="B179" s="247"/>
      <c r="C179" s="248"/>
      <c r="D179" s="249"/>
      <c r="F179" s="418"/>
      <c r="G179" s="316"/>
      <c r="H179" s="251"/>
    </row>
    <row r="180">
      <c r="A180" s="265"/>
      <c r="B180" s="247"/>
      <c r="C180" s="252"/>
      <c r="D180" s="249"/>
      <c r="F180" s="418"/>
      <c r="G180" s="254"/>
      <c r="H180" s="251"/>
    </row>
    <row r="181">
      <c r="A181" s="265"/>
      <c r="B181" s="247"/>
      <c r="C181" s="248"/>
      <c r="D181" s="249"/>
      <c r="F181" s="418"/>
      <c r="G181" s="254"/>
      <c r="H181" s="251"/>
    </row>
    <row r="182">
      <c r="A182" s="265"/>
      <c r="B182" s="247"/>
      <c r="C182" s="248"/>
      <c r="D182" s="253"/>
      <c r="F182" s="418"/>
      <c r="G182" s="254"/>
      <c r="H182" s="251"/>
    </row>
    <row r="183">
      <c r="A183" s="265"/>
      <c r="B183" s="268"/>
      <c r="C183" s="248"/>
      <c r="D183" s="253"/>
      <c r="F183" s="418"/>
      <c r="G183" s="269"/>
      <c r="H183" s="251"/>
    </row>
    <row r="184">
      <c r="A184" s="265"/>
      <c r="B184" s="247"/>
      <c r="C184" s="248"/>
      <c r="D184" s="253"/>
      <c r="F184" s="418"/>
      <c r="G184" s="269"/>
      <c r="H184" s="251"/>
    </row>
    <row r="185">
      <c r="A185" s="265"/>
      <c r="B185" s="278"/>
      <c r="C185" s="252"/>
      <c r="D185" s="253"/>
      <c r="F185" s="418"/>
      <c r="G185" s="269"/>
      <c r="H185" s="251"/>
    </row>
    <row r="186">
      <c r="A186" s="265"/>
      <c r="B186" s="278"/>
      <c r="C186" s="252"/>
      <c r="D186" s="253"/>
      <c r="F186" s="432"/>
      <c r="G186" s="269"/>
      <c r="H186" s="251"/>
    </row>
    <row r="187">
      <c r="A187" s="270"/>
      <c r="B187" s="271"/>
      <c r="C187" s="272"/>
      <c r="D187" s="273"/>
      <c r="E187" s="18"/>
      <c r="F187" s="456"/>
      <c r="G187" s="275"/>
      <c r="H187" s="261"/>
    </row>
    <row r="188">
      <c r="A188" s="262" t="s">
        <v>1025</v>
      </c>
      <c r="B188" s="425"/>
      <c r="C188" s="426">
        <f>45317.54+38291.17</f>
        <v>83608.71</v>
      </c>
      <c r="D188" s="401"/>
      <c r="E188" s="402"/>
      <c r="F188" s="423"/>
      <c r="G188" s="436" t="s">
        <v>71</v>
      </c>
      <c r="H188" s="245">
        <v>134.0</v>
      </c>
      <c r="I188" s="2" t="s">
        <v>1284</v>
      </c>
    </row>
    <row r="189">
      <c r="A189" s="265"/>
      <c r="B189" s="247">
        <v>30161.28</v>
      </c>
      <c r="C189" s="248"/>
      <c r="D189" s="249"/>
      <c r="F189" s="418"/>
      <c r="G189" s="254" t="s">
        <v>74</v>
      </c>
      <c r="H189" s="267"/>
      <c r="I189" s="2" t="s">
        <v>1285</v>
      </c>
    </row>
    <row r="190">
      <c r="A190" s="265"/>
      <c r="B190" s="404">
        <v>50668.3</v>
      </c>
      <c r="C190" s="424"/>
      <c r="D190" s="399"/>
      <c r="E190" s="398"/>
      <c r="F190" s="418"/>
      <c r="G190" s="285" t="s">
        <v>73</v>
      </c>
      <c r="H190" s="251"/>
    </row>
    <row r="191">
      <c r="A191" s="265"/>
      <c r="B191" s="404"/>
      <c r="C191" s="405"/>
      <c r="D191" s="399"/>
      <c r="E191" s="398"/>
      <c r="F191" s="284">
        <v>20000.0</v>
      </c>
      <c r="G191" s="285" t="s">
        <v>453</v>
      </c>
      <c r="H191" s="251"/>
    </row>
    <row r="192">
      <c r="A192" s="265"/>
      <c r="B192" s="247"/>
      <c r="C192" s="248"/>
      <c r="D192" s="399"/>
      <c r="E192" s="398"/>
      <c r="F192" s="418"/>
      <c r="G192" s="285"/>
      <c r="H192" s="251"/>
    </row>
    <row r="193">
      <c r="A193" s="265"/>
      <c r="B193" s="419"/>
      <c r="C193" s="405"/>
      <c r="D193" s="399"/>
      <c r="E193" s="398"/>
      <c r="F193" s="418"/>
      <c r="G193" s="285"/>
      <c r="H193" s="251"/>
    </row>
    <row r="194">
      <c r="A194" s="265"/>
      <c r="B194" s="247"/>
      <c r="C194" s="252"/>
      <c r="D194" s="399"/>
      <c r="E194" s="398"/>
      <c r="F194" s="418"/>
      <c r="G194" s="285"/>
      <c r="H194" s="251"/>
    </row>
    <row r="195">
      <c r="A195" s="265"/>
      <c r="B195" s="404"/>
      <c r="C195" s="424"/>
      <c r="D195" s="400"/>
      <c r="E195" s="398"/>
      <c r="F195" s="418"/>
      <c r="G195" s="285"/>
      <c r="H195" s="251"/>
      <c r="I195" s="269"/>
      <c r="J195" s="269"/>
      <c r="K195" s="269"/>
    </row>
    <row r="196">
      <c r="A196" s="265"/>
      <c r="B196" s="247"/>
      <c r="C196" s="248"/>
      <c r="D196" s="249"/>
      <c r="E196" s="269"/>
      <c r="F196" s="418"/>
      <c r="G196" s="254"/>
      <c r="H196" s="251"/>
      <c r="I196" s="269"/>
      <c r="J196" s="269"/>
      <c r="K196" s="269"/>
    </row>
    <row r="197">
      <c r="A197" s="265"/>
      <c r="B197" s="277"/>
      <c r="C197" s="252"/>
      <c r="D197" s="249"/>
      <c r="E197" s="254"/>
      <c r="F197" s="418"/>
      <c r="G197" s="254"/>
      <c r="H197" s="251"/>
      <c r="I197" s="254"/>
      <c r="J197" s="269"/>
      <c r="K197" s="269"/>
    </row>
    <row r="198">
      <c r="A198" s="265"/>
      <c r="B198" s="277"/>
      <c r="C198" s="252"/>
      <c r="D198" s="253"/>
      <c r="E198" s="269"/>
      <c r="F198" s="432"/>
      <c r="G198" s="254"/>
      <c r="H198" s="251"/>
      <c r="I198" s="269"/>
      <c r="J198" s="269"/>
      <c r="K198" s="269"/>
    </row>
    <row r="199">
      <c r="A199" s="270"/>
      <c r="B199" s="271"/>
      <c r="C199" s="272"/>
      <c r="D199" s="273"/>
      <c r="E199" s="275"/>
      <c r="F199" s="456"/>
      <c r="G199" s="275"/>
      <c r="H199" s="261"/>
      <c r="I199" s="269"/>
      <c r="J199" s="269"/>
      <c r="K199" s="269"/>
    </row>
    <row r="200">
      <c r="A200" s="262" t="s">
        <v>1286</v>
      </c>
      <c r="B200" s="425">
        <v>64497.56</v>
      </c>
      <c r="C200" s="426"/>
      <c r="D200" s="401"/>
      <c r="E200" s="402"/>
      <c r="F200" s="423"/>
      <c r="G200" s="436" t="s">
        <v>82</v>
      </c>
      <c r="H200" s="245">
        <v>180.0</v>
      </c>
      <c r="I200" s="254"/>
      <c r="J200" s="254"/>
      <c r="K200" s="254"/>
    </row>
    <row r="201">
      <c r="A201" s="265"/>
      <c r="B201" s="247"/>
      <c r="C201" s="248"/>
      <c r="D201" s="399">
        <v>19481.0</v>
      </c>
      <c r="E201" s="442"/>
      <c r="F201" s="418"/>
      <c r="G201" s="285" t="s">
        <v>1287</v>
      </c>
      <c r="H201" s="251"/>
      <c r="I201" s="269"/>
      <c r="J201" s="254"/>
      <c r="K201" s="254"/>
    </row>
    <row r="202">
      <c r="A202" s="265"/>
      <c r="B202" s="404"/>
      <c r="C202" s="405">
        <v>280857.19</v>
      </c>
      <c r="D202" s="399"/>
      <c r="E202" s="398"/>
      <c r="F202" s="418"/>
      <c r="G202" s="285" t="s">
        <v>84</v>
      </c>
      <c r="H202" s="251"/>
      <c r="I202" s="254" t="s">
        <v>1288</v>
      </c>
      <c r="J202" s="254"/>
      <c r="K202" s="254"/>
    </row>
    <row r="203">
      <c r="A203" s="265"/>
      <c r="B203" s="404">
        <v>5400.0</v>
      </c>
      <c r="C203" s="405"/>
      <c r="D203" s="399"/>
      <c r="E203" s="398"/>
      <c r="F203" s="418"/>
      <c r="G203" s="285" t="s">
        <v>1289</v>
      </c>
      <c r="H203" s="251"/>
      <c r="I203" s="254" t="s">
        <v>1290</v>
      </c>
      <c r="J203" s="269"/>
      <c r="K203" s="269"/>
    </row>
    <row r="204">
      <c r="A204" s="265"/>
      <c r="B204" s="247">
        <v>27000.0</v>
      </c>
      <c r="C204" s="248"/>
      <c r="D204" s="399"/>
      <c r="E204" s="398"/>
      <c r="F204" s="418"/>
      <c r="G204" s="285" t="s">
        <v>1264</v>
      </c>
      <c r="H204" s="251"/>
      <c r="I204" s="269"/>
      <c r="J204" s="269"/>
      <c r="K204" s="269"/>
    </row>
    <row r="205">
      <c r="A205" s="265"/>
      <c r="B205" s="419"/>
      <c r="C205" s="405"/>
      <c r="D205" s="399"/>
      <c r="E205" s="398"/>
      <c r="F205" s="284">
        <v>5000.0</v>
      </c>
      <c r="G205" s="285" t="s">
        <v>1186</v>
      </c>
      <c r="H205" s="251"/>
      <c r="I205" s="269"/>
      <c r="J205" s="269"/>
      <c r="K205" s="269"/>
    </row>
    <row r="206">
      <c r="A206" s="265"/>
      <c r="B206" s="404">
        <v>102700.0</v>
      </c>
      <c r="C206" s="424"/>
      <c r="D206" s="399"/>
      <c r="E206" s="398" t="s">
        <v>328</v>
      </c>
      <c r="F206" s="284"/>
      <c r="G206" s="285" t="s">
        <v>75</v>
      </c>
      <c r="H206" s="251"/>
      <c r="I206" s="269"/>
      <c r="J206" s="269"/>
      <c r="K206" s="269"/>
    </row>
    <row r="207">
      <c r="A207" s="265"/>
      <c r="B207" s="404">
        <v>421080.0</v>
      </c>
      <c r="C207" s="424"/>
      <c r="D207" s="400"/>
      <c r="E207" s="398" t="s">
        <v>328</v>
      </c>
      <c r="F207" s="284"/>
      <c r="G207" s="285" t="s">
        <v>877</v>
      </c>
      <c r="H207" s="251"/>
      <c r="I207" s="254"/>
      <c r="J207" s="269"/>
      <c r="K207" s="269"/>
    </row>
    <row r="208">
      <c r="A208" s="265"/>
      <c r="B208" s="247"/>
      <c r="C208" s="252"/>
      <c r="D208" s="253"/>
      <c r="F208" s="284">
        <f>6300+2400</f>
        <v>8700</v>
      </c>
      <c r="G208" s="285" t="s">
        <v>1126</v>
      </c>
      <c r="H208" s="251"/>
      <c r="I208" s="269"/>
      <c r="J208" s="269"/>
      <c r="K208" s="269"/>
    </row>
    <row r="209">
      <c r="A209" s="265"/>
      <c r="B209" s="247"/>
      <c r="C209" s="252"/>
      <c r="D209" s="253"/>
      <c r="F209" s="284">
        <v>15000.0</v>
      </c>
      <c r="G209" s="254" t="s">
        <v>590</v>
      </c>
      <c r="H209" s="251"/>
    </row>
    <row r="210">
      <c r="A210" s="265"/>
      <c r="B210" s="247">
        <v>220049.9</v>
      </c>
      <c r="C210" s="252"/>
      <c r="D210" s="253"/>
      <c r="F210" s="284"/>
      <c r="G210" s="254" t="s">
        <v>1291</v>
      </c>
      <c r="H210" s="251"/>
    </row>
    <row r="211">
      <c r="A211" s="265"/>
      <c r="B211" s="277"/>
      <c r="C211" s="252"/>
      <c r="D211" s="253"/>
      <c r="F211" s="418"/>
      <c r="G211" s="254"/>
      <c r="H211" s="251"/>
    </row>
    <row r="212">
      <c r="A212" s="265"/>
      <c r="B212" s="278"/>
      <c r="C212" s="252"/>
      <c r="D212" s="253"/>
      <c r="F212" s="432"/>
      <c r="G212" s="269"/>
      <c r="H212" s="251"/>
    </row>
    <row r="213">
      <c r="A213" s="265"/>
      <c r="B213" s="278"/>
      <c r="C213" s="252"/>
      <c r="D213" s="253"/>
      <c r="F213" s="432"/>
      <c r="G213" s="269"/>
      <c r="H213" s="251"/>
    </row>
    <row r="214">
      <c r="A214" s="270"/>
      <c r="B214" s="271"/>
      <c r="C214" s="272"/>
      <c r="D214" s="273"/>
      <c r="E214" s="18"/>
      <c r="F214" s="456"/>
      <c r="G214" s="275"/>
      <c r="H214" s="261"/>
    </row>
    <row r="215">
      <c r="A215" s="262" t="s">
        <v>1027</v>
      </c>
      <c r="B215" s="461"/>
      <c r="C215" s="426">
        <v>204658.65</v>
      </c>
      <c r="D215" s="401"/>
      <c r="E215" s="402"/>
      <c r="F215" s="423"/>
      <c r="G215" s="398" t="s">
        <v>89</v>
      </c>
      <c r="H215" s="245">
        <v>260.0</v>
      </c>
    </row>
    <row r="216">
      <c r="A216" s="265"/>
      <c r="B216" s="247">
        <v>52100.0</v>
      </c>
      <c r="C216" s="248"/>
      <c r="D216" s="399"/>
      <c r="E216" s="398"/>
      <c r="F216" s="418"/>
      <c r="G216" s="285" t="s">
        <v>76</v>
      </c>
      <c r="H216" s="267"/>
    </row>
    <row r="217">
      <c r="A217" s="265"/>
      <c r="B217" s="247"/>
      <c r="C217" s="248"/>
      <c r="D217" s="399"/>
      <c r="E217" s="398"/>
      <c r="F217" s="284">
        <v>1600.0</v>
      </c>
      <c r="G217" s="285" t="s">
        <v>1292</v>
      </c>
      <c r="H217" s="251"/>
    </row>
    <row r="218">
      <c r="A218" s="265"/>
      <c r="B218" s="404"/>
      <c r="C218" s="405"/>
      <c r="D218" s="399"/>
      <c r="E218" s="398"/>
      <c r="F218" s="284">
        <v>24000.0</v>
      </c>
      <c r="G218" s="285" t="s">
        <v>1293</v>
      </c>
      <c r="H218" s="251"/>
    </row>
    <row r="219">
      <c r="A219" s="265"/>
      <c r="B219" s="247"/>
      <c r="C219" s="252"/>
      <c r="D219" s="414"/>
      <c r="E219" s="417"/>
      <c r="F219" s="284">
        <v>5000.0</v>
      </c>
      <c r="G219" s="285" t="s">
        <v>1294</v>
      </c>
      <c r="H219" s="267"/>
    </row>
    <row r="220">
      <c r="A220" s="265"/>
      <c r="B220" s="247"/>
      <c r="C220" s="248"/>
      <c r="D220" s="414"/>
      <c r="E220" s="417"/>
      <c r="F220" s="284">
        <v>22000.0</v>
      </c>
      <c r="G220" s="285" t="s">
        <v>1295</v>
      </c>
      <c r="H220" s="267"/>
    </row>
    <row r="221">
      <c r="A221" s="265"/>
      <c r="B221" s="404"/>
      <c r="C221" s="405"/>
      <c r="D221" s="399"/>
      <c r="E221" s="398"/>
      <c r="F221" s="418"/>
      <c r="G221" s="285" t="s">
        <v>1296</v>
      </c>
      <c r="H221" s="251"/>
    </row>
    <row r="222">
      <c r="A222" s="265"/>
      <c r="B222" s="247"/>
      <c r="C222" s="252"/>
      <c r="D222" s="400"/>
      <c r="E222" s="398"/>
      <c r="F222" s="418"/>
      <c r="G222" s="285"/>
      <c r="H222" s="251"/>
    </row>
    <row r="223">
      <c r="A223" s="265"/>
      <c r="B223" s="247"/>
      <c r="C223" s="252"/>
      <c r="D223" s="399"/>
      <c r="E223" s="398"/>
      <c r="F223" s="418"/>
      <c r="G223" s="285"/>
      <c r="H223" s="251"/>
    </row>
    <row r="224">
      <c r="A224" s="265"/>
      <c r="B224" s="247"/>
      <c r="C224" s="252"/>
      <c r="D224" s="253"/>
      <c r="F224" s="418"/>
      <c r="G224" s="254"/>
      <c r="H224" s="251"/>
    </row>
    <row r="225">
      <c r="A225" s="265"/>
      <c r="B225" s="278"/>
      <c r="C225" s="252"/>
      <c r="D225" s="253"/>
      <c r="F225" s="418"/>
      <c r="G225" s="254"/>
      <c r="H225" s="251"/>
    </row>
    <row r="226">
      <c r="A226" s="265"/>
      <c r="B226" s="278"/>
      <c r="C226" s="252"/>
      <c r="D226" s="253"/>
      <c r="F226" s="418"/>
      <c r="G226" s="269"/>
      <c r="H226" s="251"/>
    </row>
    <row r="227">
      <c r="A227" s="265"/>
      <c r="B227" s="278"/>
      <c r="C227" s="252"/>
      <c r="D227" s="253"/>
      <c r="F227" s="418"/>
      <c r="G227" s="269"/>
      <c r="H227" s="251"/>
    </row>
    <row r="228">
      <c r="A228" s="270"/>
      <c r="B228" s="271"/>
      <c r="C228" s="272"/>
      <c r="D228" s="273"/>
      <c r="E228" s="18"/>
      <c r="F228" s="456"/>
      <c r="G228" s="275"/>
      <c r="H228" s="261"/>
    </row>
    <row r="229">
      <c r="A229" s="262" t="s">
        <v>1028</v>
      </c>
      <c r="B229" s="425">
        <v>52800.0</v>
      </c>
      <c r="C229" s="426"/>
      <c r="D229" s="401"/>
      <c r="E229" s="402"/>
      <c r="F229" s="423"/>
      <c r="G229" s="436" t="s">
        <v>118</v>
      </c>
      <c r="H229" s="245">
        <v>207.0</v>
      </c>
    </row>
    <row r="230">
      <c r="A230" s="265"/>
      <c r="B230" s="404">
        <v>26460.0</v>
      </c>
      <c r="C230" s="405"/>
      <c r="D230" s="399"/>
      <c r="E230" s="398"/>
      <c r="F230" s="418"/>
      <c r="G230" s="285" t="s">
        <v>1061</v>
      </c>
      <c r="H230" s="251"/>
    </row>
    <row r="231">
      <c r="A231" s="265"/>
      <c r="B231" s="404">
        <v>36699.13</v>
      </c>
      <c r="C231" s="405"/>
      <c r="D231" s="399"/>
      <c r="E231" s="398"/>
      <c r="F231" s="418"/>
      <c r="G231" s="285" t="s">
        <v>82</v>
      </c>
      <c r="H231" s="251"/>
    </row>
    <row r="232">
      <c r="A232" s="265"/>
      <c r="B232" s="419"/>
      <c r="C232" s="427"/>
      <c r="D232" s="399"/>
      <c r="E232" s="398"/>
      <c r="F232" s="418"/>
      <c r="G232" s="285"/>
      <c r="H232" s="267"/>
    </row>
    <row r="233">
      <c r="A233" s="265"/>
      <c r="B233" s="404">
        <v>48000.0</v>
      </c>
      <c r="C233" s="405"/>
      <c r="D233" s="399"/>
      <c r="E233" s="398"/>
      <c r="F233" s="418"/>
      <c r="G233" s="285" t="s">
        <v>68</v>
      </c>
      <c r="H233" s="251"/>
    </row>
    <row r="234">
      <c r="A234" s="265"/>
      <c r="B234" s="247"/>
      <c r="C234" s="248"/>
      <c r="D234" s="249"/>
      <c r="F234" s="284">
        <v>5800.0</v>
      </c>
      <c r="G234" s="254" t="s">
        <v>97</v>
      </c>
      <c r="H234" s="251"/>
    </row>
    <row r="235">
      <c r="A235" s="265"/>
      <c r="B235" s="247"/>
      <c r="C235" s="252"/>
      <c r="D235" s="249"/>
      <c r="F235" s="284">
        <v>20000.0</v>
      </c>
      <c r="G235" s="254" t="s">
        <v>104</v>
      </c>
      <c r="H235" s="251"/>
    </row>
    <row r="236">
      <c r="A236" s="265"/>
      <c r="B236" s="247"/>
      <c r="C236" s="248"/>
      <c r="D236" s="253"/>
      <c r="F236" s="418"/>
      <c r="G236" s="254"/>
      <c r="H236" s="251"/>
    </row>
    <row r="237">
      <c r="A237" s="265"/>
      <c r="B237" s="247"/>
      <c r="C237" s="252"/>
      <c r="D237" s="253"/>
      <c r="F237" s="418"/>
      <c r="G237" s="254"/>
      <c r="H237" s="251"/>
    </row>
    <row r="238">
      <c r="A238" s="265"/>
      <c r="B238" s="247"/>
      <c r="C238" s="252"/>
      <c r="D238" s="414"/>
      <c r="E238" s="417"/>
      <c r="F238" s="418"/>
      <c r="G238" s="420"/>
      <c r="H238" s="251"/>
    </row>
    <row r="239">
      <c r="A239" s="265"/>
      <c r="B239" s="247"/>
      <c r="C239" s="252"/>
      <c r="D239" s="249"/>
      <c r="F239" s="418"/>
      <c r="G239" s="254"/>
      <c r="H239" s="267"/>
    </row>
    <row r="240">
      <c r="A240" s="265"/>
      <c r="B240" s="268"/>
      <c r="C240" s="252"/>
      <c r="D240" s="249"/>
      <c r="F240" s="418"/>
      <c r="G240" s="254"/>
      <c r="H240" s="251"/>
    </row>
    <row r="241">
      <c r="A241" s="265"/>
      <c r="B241" s="268"/>
      <c r="C241" s="252"/>
      <c r="D241" s="253"/>
      <c r="F241" s="418"/>
      <c r="G241" s="254"/>
      <c r="H241" s="251"/>
    </row>
    <row r="242">
      <c r="A242" s="265"/>
      <c r="B242" s="268"/>
      <c r="C242" s="252"/>
      <c r="D242" s="253"/>
      <c r="F242" s="418"/>
      <c r="G242" s="254"/>
      <c r="H242" s="251"/>
    </row>
    <row r="243">
      <c r="A243" s="270"/>
      <c r="B243" s="271"/>
      <c r="C243" s="272"/>
      <c r="D243" s="273"/>
      <c r="E243" s="18"/>
      <c r="F243" s="455"/>
      <c r="G243" s="260"/>
      <c r="H243" s="261"/>
    </row>
    <row r="244">
      <c r="A244" s="262" t="s">
        <v>1029</v>
      </c>
      <c r="B244" s="239">
        <v>20800.0</v>
      </c>
      <c r="C244" s="263"/>
      <c r="D244" s="249"/>
      <c r="F244" s="418"/>
      <c r="G244" s="254" t="s">
        <v>291</v>
      </c>
      <c r="H244" s="245">
        <v>140.0</v>
      </c>
    </row>
    <row r="245">
      <c r="A245" s="265"/>
      <c r="B245" s="404">
        <v>167644.66</v>
      </c>
      <c r="C245" s="405"/>
      <c r="D245" s="399"/>
      <c r="E245" s="398"/>
      <c r="F245" s="418"/>
      <c r="G245" s="285" t="s">
        <v>142</v>
      </c>
      <c r="H245" s="267">
        <v>50.0</v>
      </c>
      <c r="I245" s="2" t="s">
        <v>1297</v>
      </c>
    </row>
    <row r="246">
      <c r="A246" s="265"/>
      <c r="B246" s="404"/>
      <c r="C246" s="405"/>
      <c r="D246" s="399"/>
      <c r="E246" s="398"/>
      <c r="F246" s="418"/>
      <c r="G246" s="285"/>
      <c r="H246" s="251"/>
      <c r="I246" s="2" t="s">
        <v>46</v>
      </c>
    </row>
    <row r="247">
      <c r="A247" s="265"/>
      <c r="B247" s="247"/>
      <c r="C247" s="248"/>
      <c r="D247" s="249"/>
      <c r="F247" s="418"/>
      <c r="G247" s="254"/>
      <c r="H247" s="251"/>
    </row>
    <row r="248">
      <c r="A248" s="265"/>
      <c r="B248" s="247"/>
      <c r="C248" s="248"/>
      <c r="D248" s="414"/>
      <c r="E248" s="417"/>
      <c r="F248" s="418"/>
      <c r="G248" s="285"/>
      <c r="H248" s="251"/>
    </row>
    <row r="249">
      <c r="A249" s="265"/>
      <c r="B249" s="247"/>
      <c r="C249" s="248"/>
      <c r="D249" s="249"/>
      <c r="F249" s="418"/>
      <c r="G249" s="254"/>
      <c r="H249" s="251"/>
    </row>
    <row r="250">
      <c r="A250" s="265"/>
      <c r="B250" s="247"/>
      <c r="C250" s="248"/>
      <c r="D250" s="249"/>
      <c r="F250" s="418"/>
      <c r="G250" s="254"/>
      <c r="H250" s="251"/>
    </row>
    <row r="251">
      <c r="A251" s="265"/>
      <c r="B251" s="247"/>
      <c r="C251" s="248"/>
      <c r="D251" s="249"/>
      <c r="F251" s="418"/>
      <c r="G251" s="254"/>
      <c r="H251" s="251"/>
    </row>
    <row r="252">
      <c r="A252" s="265"/>
      <c r="B252" s="247"/>
      <c r="C252" s="252"/>
      <c r="D252" s="249"/>
      <c r="F252" s="418"/>
      <c r="G252" s="254"/>
      <c r="H252" s="251"/>
    </row>
    <row r="253">
      <c r="A253" s="265"/>
      <c r="B253" s="247"/>
      <c r="C253" s="252"/>
      <c r="D253" s="289"/>
      <c r="E253" s="290"/>
      <c r="F253" s="459"/>
      <c r="G253" s="292"/>
      <c r="H253" s="251"/>
    </row>
    <row r="254">
      <c r="A254" s="265"/>
      <c r="B254" s="247"/>
      <c r="C254" s="252"/>
      <c r="D254" s="253"/>
      <c r="F254" s="418"/>
      <c r="G254" s="254"/>
      <c r="H254" s="251"/>
    </row>
    <row r="255">
      <c r="A255" s="265"/>
      <c r="B255" s="268"/>
      <c r="C255" s="252"/>
      <c r="D255" s="253"/>
      <c r="F255" s="418"/>
      <c r="G255" s="269"/>
      <c r="H255" s="251"/>
    </row>
    <row r="256">
      <c r="A256" s="270"/>
      <c r="B256" s="271"/>
      <c r="C256" s="272"/>
      <c r="D256" s="273"/>
      <c r="E256" s="18"/>
      <c r="F256" s="455"/>
      <c r="G256" s="260"/>
      <c r="H256" s="261"/>
    </row>
    <row r="257">
      <c r="A257" s="262" t="s">
        <v>1156</v>
      </c>
      <c r="B257" s="461">
        <v>185500.0</v>
      </c>
      <c r="C257" s="445"/>
      <c r="D257" s="414"/>
      <c r="E257" s="417" t="s">
        <v>306</v>
      </c>
      <c r="F257" s="284"/>
      <c r="G257" s="420" t="s">
        <v>75</v>
      </c>
      <c r="H257" s="245">
        <v>50.0</v>
      </c>
    </row>
    <row r="258">
      <c r="A258" s="265"/>
      <c r="B258" s="247"/>
      <c r="C258" s="248"/>
      <c r="D258" s="399"/>
      <c r="E258" s="398"/>
      <c r="F258" s="284">
        <v>18000.0</v>
      </c>
      <c r="G258" s="285" t="s">
        <v>605</v>
      </c>
      <c r="H258" s="267"/>
    </row>
    <row r="259">
      <c r="A259" s="265"/>
      <c r="B259" s="247"/>
      <c r="C259" s="248"/>
      <c r="D259" s="399"/>
      <c r="E259" s="442"/>
      <c r="F259" s="284">
        <v>10000.0</v>
      </c>
      <c r="G259" s="285" t="s">
        <v>1298</v>
      </c>
      <c r="H259" s="251"/>
    </row>
    <row r="260">
      <c r="A260" s="265"/>
      <c r="B260" s="247"/>
      <c r="C260" s="248"/>
      <c r="D260" s="399"/>
      <c r="E260" s="398"/>
      <c r="F260" s="284">
        <v>1170.0</v>
      </c>
      <c r="G260" s="285" t="s">
        <v>97</v>
      </c>
      <c r="H260" s="251"/>
    </row>
    <row r="261">
      <c r="A261" s="265"/>
      <c r="B261" s="247"/>
      <c r="C261" s="248">
        <v>146997.7</v>
      </c>
      <c r="D261" s="414"/>
      <c r="E261" s="417"/>
      <c r="F261" s="284"/>
      <c r="G261" s="285" t="s">
        <v>71</v>
      </c>
      <c r="H261" s="251"/>
    </row>
    <row r="262">
      <c r="A262" s="265"/>
      <c r="B262" s="247">
        <v>35699.13</v>
      </c>
      <c r="C262" s="248"/>
      <c r="D262" s="249"/>
      <c r="F262" s="284"/>
      <c r="G262" s="254" t="s">
        <v>82</v>
      </c>
      <c r="H262" s="251"/>
    </row>
    <row r="263">
      <c r="A263" s="265"/>
      <c r="B263" s="247"/>
      <c r="C263" s="248"/>
      <c r="D263" s="249"/>
      <c r="F263" s="284">
        <v>30000.0</v>
      </c>
      <c r="G263" s="254" t="s">
        <v>1299</v>
      </c>
      <c r="H263" s="251"/>
    </row>
    <row r="264">
      <c r="A264" s="265"/>
      <c r="B264" s="247"/>
      <c r="C264" s="248"/>
      <c r="D264" s="249"/>
      <c r="F264" s="284"/>
      <c r="G264" s="254"/>
      <c r="H264" s="251"/>
    </row>
    <row r="265">
      <c r="A265" s="265"/>
      <c r="B265" s="247"/>
      <c r="C265" s="252"/>
      <c r="D265" s="249"/>
      <c r="F265" s="418"/>
      <c r="G265" s="254"/>
      <c r="H265" s="251"/>
    </row>
    <row r="266">
      <c r="A266" s="265"/>
      <c r="B266" s="247"/>
      <c r="C266" s="252"/>
      <c r="D266" s="249"/>
      <c r="F266" s="418"/>
      <c r="G266" s="254"/>
      <c r="H266" s="251"/>
    </row>
    <row r="267">
      <c r="A267" s="265"/>
      <c r="B267" s="247"/>
      <c r="C267" s="252"/>
      <c r="D267" s="253"/>
      <c r="F267" s="418"/>
      <c r="G267" s="254"/>
      <c r="H267" s="251"/>
    </row>
    <row r="268">
      <c r="A268" s="265"/>
      <c r="B268" s="268"/>
      <c r="C268" s="252"/>
      <c r="D268" s="253"/>
      <c r="F268" s="418"/>
      <c r="G268" s="254"/>
      <c r="H268" s="251"/>
    </row>
    <row r="269">
      <c r="A269" s="265"/>
      <c r="B269" s="268"/>
      <c r="C269" s="252"/>
      <c r="D269" s="253"/>
      <c r="F269" s="418"/>
      <c r="G269" s="254"/>
      <c r="H269" s="251"/>
    </row>
    <row r="270">
      <c r="A270" s="265"/>
      <c r="B270" s="278"/>
      <c r="C270" s="252"/>
      <c r="D270" s="253"/>
      <c r="F270" s="418"/>
      <c r="G270" s="254"/>
      <c r="H270" s="251"/>
    </row>
    <row r="271">
      <c r="A271" s="265"/>
      <c r="B271" s="278"/>
      <c r="C271" s="252"/>
      <c r="D271" s="253"/>
      <c r="F271" s="432"/>
      <c r="G271" s="269"/>
      <c r="H271" s="251"/>
    </row>
    <row r="272">
      <c r="A272" s="270"/>
      <c r="B272" s="271"/>
      <c r="C272" s="272"/>
      <c r="D272" s="273"/>
      <c r="E272" s="18"/>
      <c r="F272" s="456"/>
      <c r="G272" s="275"/>
      <c r="H272" s="261"/>
    </row>
    <row r="273">
      <c r="A273" s="262" t="s">
        <v>1032</v>
      </c>
      <c r="B273" s="425"/>
      <c r="C273" s="426"/>
      <c r="D273" s="401">
        <v>16161.24</v>
      </c>
      <c r="E273" s="402"/>
      <c r="F273" s="423"/>
      <c r="G273" s="436" t="s">
        <v>94</v>
      </c>
      <c r="H273" s="245">
        <v>180.0</v>
      </c>
    </row>
    <row r="274">
      <c r="A274" s="265"/>
      <c r="B274" s="404">
        <v>68607.0</v>
      </c>
      <c r="C274" s="405"/>
      <c r="D274" s="399"/>
      <c r="E274" s="398" t="s">
        <v>328</v>
      </c>
      <c r="F274" s="284"/>
      <c r="G274" s="285" t="s">
        <v>931</v>
      </c>
      <c r="H274" s="267"/>
    </row>
    <row r="275">
      <c r="A275" s="265"/>
      <c r="B275" s="247">
        <v>79560.0</v>
      </c>
      <c r="C275" s="248"/>
      <c r="D275" s="249"/>
      <c r="F275" s="418"/>
      <c r="G275" s="254" t="s">
        <v>1085</v>
      </c>
      <c r="H275" s="251"/>
    </row>
    <row r="276">
      <c r="A276" s="265"/>
      <c r="B276" s="247"/>
      <c r="C276" s="248"/>
      <c r="D276" s="249"/>
      <c r="F276" s="284">
        <v>1600.0</v>
      </c>
      <c r="G276" s="254" t="s">
        <v>552</v>
      </c>
      <c r="H276" s="251"/>
    </row>
    <row r="277">
      <c r="A277" s="265"/>
      <c r="B277" s="419"/>
      <c r="C277" s="434"/>
      <c r="D277" s="399">
        <v>196777.0</v>
      </c>
      <c r="E277" s="417"/>
      <c r="F277" s="284"/>
      <c r="G277" s="285" t="s">
        <v>114</v>
      </c>
      <c r="H277" s="251"/>
    </row>
    <row r="278">
      <c r="A278" s="265"/>
      <c r="B278" s="419"/>
      <c r="C278" s="427"/>
      <c r="D278" s="399">
        <v>90850.0</v>
      </c>
      <c r="E278" s="417"/>
      <c r="F278" s="284"/>
      <c r="G278" s="285" t="s">
        <v>1300</v>
      </c>
      <c r="H278" s="267"/>
    </row>
    <row r="279">
      <c r="A279" s="265"/>
      <c r="B279" s="404">
        <v>96837.55</v>
      </c>
      <c r="C279" s="405"/>
      <c r="D279" s="399"/>
      <c r="E279" s="398" t="s">
        <v>328</v>
      </c>
      <c r="F279" s="284"/>
      <c r="G279" s="285" t="s">
        <v>74</v>
      </c>
      <c r="H279" s="267"/>
    </row>
    <row r="280">
      <c r="A280" s="265"/>
      <c r="B280" s="404">
        <v>44133.76</v>
      </c>
      <c r="C280" s="405"/>
      <c r="D280" s="399"/>
      <c r="E280" s="398" t="s">
        <v>328</v>
      </c>
      <c r="F280" s="284"/>
      <c r="G280" s="285" t="s">
        <v>73</v>
      </c>
      <c r="H280" s="267"/>
    </row>
    <row r="281">
      <c r="A281" s="265"/>
      <c r="B281" s="247">
        <v>50000.0</v>
      </c>
      <c r="C281" s="252"/>
      <c r="D281" s="414"/>
      <c r="E281" s="417"/>
      <c r="F281" s="284"/>
      <c r="G281" s="285" t="s">
        <v>1301</v>
      </c>
      <c r="H281" s="251"/>
    </row>
    <row r="282">
      <c r="A282" s="265"/>
      <c r="B282" s="268"/>
      <c r="C282" s="252"/>
      <c r="D282" s="249"/>
      <c r="F282" s="284">
        <v>30000.0</v>
      </c>
      <c r="G282" s="254" t="s">
        <v>453</v>
      </c>
      <c r="H282" s="267"/>
    </row>
    <row r="283">
      <c r="A283" s="265"/>
      <c r="B283" s="268"/>
      <c r="C283" s="252"/>
      <c r="D283" s="253"/>
      <c r="F283" s="284">
        <v>25000.0</v>
      </c>
      <c r="G283" s="254" t="s">
        <v>1302</v>
      </c>
      <c r="H283" s="251"/>
    </row>
    <row r="284">
      <c r="A284" s="265"/>
      <c r="B284" s="268"/>
      <c r="C284" s="252"/>
      <c r="D284" s="253"/>
      <c r="F284" s="418"/>
      <c r="G284" s="254"/>
      <c r="H284" s="251"/>
    </row>
    <row r="285">
      <c r="A285" s="265"/>
      <c r="B285" s="268"/>
      <c r="C285" s="252"/>
      <c r="D285" s="253"/>
      <c r="F285" s="418"/>
      <c r="G285" s="254"/>
      <c r="H285" s="251"/>
    </row>
    <row r="286">
      <c r="A286" s="265"/>
      <c r="B286" s="268"/>
      <c r="C286" s="252"/>
      <c r="D286" s="253"/>
      <c r="F286" s="418"/>
      <c r="G286" s="269"/>
      <c r="H286" s="251"/>
    </row>
    <row r="287">
      <c r="A287" s="270"/>
      <c r="B287" s="271"/>
      <c r="C287" s="272"/>
      <c r="D287" s="273"/>
      <c r="E287" s="18"/>
      <c r="F287" s="456"/>
      <c r="G287" s="275"/>
      <c r="H287" s="261"/>
    </row>
    <row r="288">
      <c r="A288" s="262" t="s">
        <v>1035</v>
      </c>
      <c r="B288" s="425">
        <v>96000.0</v>
      </c>
      <c r="C288" s="426"/>
      <c r="D288" s="401"/>
      <c r="E288" s="402" t="s">
        <v>328</v>
      </c>
      <c r="F288" s="418"/>
      <c r="G288" s="285" t="s">
        <v>68</v>
      </c>
      <c r="H288" s="245">
        <v>170.0</v>
      </c>
    </row>
    <row r="289">
      <c r="A289" s="265"/>
      <c r="B289" s="247">
        <v>54625.24</v>
      </c>
      <c r="C289" s="252"/>
      <c r="D289" s="414"/>
      <c r="E289" s="417"/>
      <c r="F289" s="418"/>
      <c r="G289" s="285" t="s">
        <v>82</v>
      </c>
      <c r="H289" s="267"/>
    </row>
    <row r="290">
      <c r="A290" s="265"/>
      <c r="B290" s="404">
        <v>32000.0</v>
      </c>
      <c r="C290" s="405"/>
      <c r="D290" s="399"/>
      <c r="E290" s="398" t="s">
        <v>328</v>
      </c>
      <c r="F290" s="418"/>
      <c r="G290" s="285" t="s">
        <v>76</v>
      </c>
      <c r="H290" s="251"/>
    </row>
    <row r="291">
      <c r="A291" s="265"/>
      <c r="B291" s="247"/>
      <c r="C291" s="248"/>
      <c r="D291" s="399">
        <v>475530.0</v>
      </c>
      <c r="E291" s="398" t="s">
        <v>328</v>
      </c>
      <c r="F291" s="284"/>
      <c r="G291" s="285" t="s">
        <v>877</v>
      </c>
      <c r="H291" s="251"/>
    </row>
    <row r="292">
      <c r="A292" s="265"/>
      <c r="B292" s="404">
        <v>63500.0</v>
      </c>
      <c r="C292" s="405"/>
      <c r="D292" s="399"/>
      <c r="E292" s="398" t="s">
        <v>328</v>
      </c>
      <c r="F292" s="284"/>
      <c r="G292" s="285" t="s">
        <v>75</v>
      </c>
      <c r="H292" s="267"/>
    </row>
    <row r="293">
      <c r="A293" s="265"/>
      <c r="B293" s="247"/>
      <c r="C293" s="248"/>
      <c r="D293" s="249">
        <v>131918.8</v>
      </c>
      <c r="F293" s="418"/>
      <c r="G293" s="254" t="s">
        <v>103</v>
      </c>
      <c r="H293" s="267"/>
    </row>
    <row r="294">
      <c r="A294" s="265"/>
      <c r="B294" s="247"/>
      <c r="C294" s="252"/>
      <c r="D294" s="249"/>
      <c r="F294" s="284">
        <v>16500.0</v>
      </c>
      <c r="G294" s="254" t="s">
        <v>1303</v>
      </c>
      <c r="H294" s="251"/>
    </row>
    <row r="295">
      <c r="A295" s="265"/>
      <c r="B295" s="247"/>
      <c r="C295" s="248"/>
      <c r="D295" s="249"/>
      <c r="F295" s="418"/>
      <c r="G295" s="254"/>
      <c r="H295" s="251"/>
    </row>
    <row r="296">
      <c r="A296" s="265"/>
      <c r="B296" s="268"/>
      <c r="C296" s="252"/>
      <c r="D296" s="253"/>
      <c r="F296" s="418"/>
      <c r="G296" s="254"/>
      <c r="H296" s="251"/>
    </row>
    <row r="297">
      <c r="A297" s="265"/>
      <c r="B297" s="268"/>
      <c r="C297" s="252"/>
      <c r="D297" s="253"/>
      <c r="F297" s="418"/>
      <c r="G297" s="254"/>
      <c r="H297" s="251"/>
    </row>
    <row r="298">
      <c r="A298" s="265"/>
      <c r="B298" s="247"/>
      <c r="C298" s="252"/>
      <c r="D298" s="253"/>
      <c r="F298" s="418"/>
      <c r="G298" s="254"/>
      <c r="H298" s="251"/>
    </row>
    <row r="299">
      <c r="A299" s="265"/>
      <c r="B299" s="247"/>
      <c r="C299" s="252"/>
      <c r="D299" s="253"/>
      <c r="F299" s="418"/>
      <c r="G299" s="254"/>
      <c r="H299" s="251"/>
    </row>
    <row r="300">
      <c r="A300" s="265"/>
      <c r="B300" s="268"/>
      <c r="C300" s="252"/>
      <c r="D300" s="253"/>
      <c r="F300" s="418"/>
      <c r="G300" s="254"/>
      <c r="H300" s="251"/>
    </row>
    <row r="301">
      <c r="A301" s="265"/>
      <c r="B301" s="268"/>
      <c r="C301" s="252"/>
      <c r="D301" s="253"/>
      <c r="F301" s="418"/>
      <c r="G301" s="269"/>
      <c r="H301" s="251"/>
    </row>
    <row r="302">
      <c r="A302" s="270"/>
      <c r="B302" s="271"/>
      <c r="C302" s="272"/>
      <c r="D302" s="273"/>
      <c r="E302" s="18"/>
      <c r="F302" s="456"/>
      <c r="G302" s="18"/>
      <c r="H302" s="261"/>
    </row>
    <row r="303">
      <c r="A303" s="262" t="s">
        <v>1036</v>
      </c>
      <c r="B303" s="461"/>
      <c r="C303" s="445"/>
      <c r="D303" s="401">
        <v>176000.0</v>
      </c>
      <c r="E303" s="402" t="s">
        <v>328</v>
      </c>
      <c r="F303" s="423"/>
      <c r="G303" s="402" t="s">
        <v>122</v>
      </c>
      <c r="H303" s="245">
        <v>146.0</v>
      </c>
    </row>
    <row r="304">
      <c r="A304" s="265"/>
      <c r="B304" s="419"/>
      <c r="C304" s="405"/>
      <c r="D304" s="414"/>
      <c r="E304" s="398"/>
      <c r="F304" s="418"/>
      <c r="G304" s="398"/>
      <c r="H304" s="267"/>
    </row>
    <row r="305">
      <c r="A305" s="265"/>
      <c r="B305" s="404"/>
      <c r="C305" s="405"/>
      <c r="D305" s="399"/>
      <c r="E305" s="398"/>
      <c r="F305" s="418"/>
      <c r="G305" s="398"/>
      <c r="H305" s="251"/>
    </row>
    <row r="306">
      <c r="A306" s="265"/>
      <c r="B306" s="404"/>
      <c r="C306" s="405"/>
      <c r="D306" s="399"/>
      <c r="E306" s="398"/>
      <c r="F306" s="418"/>
      <c r="G306" s="398"/>
      <c r="H306" s="251"/>
    </row>
    <row r="307">
      <c r="A307" s="265"/>
      <c r="B307" s="404"/>
      <c r="C307" s="427"/>
      <c r="D307" s="414"/>
      <c r="E307" s="417"/>
      <c r="F307" s="418"/>
      <c r="G307" s="398"/>
      <c r="H307" s="251"/>
    </row>
    <row r="308">
      <c r="A308" s="265"/>
      <c r="B308" s="247"/>
      <c r="C308" s="248"/>
      <c r="D308" s="249"/>
      <c r="F308" s="418"/>
      <c r="G308" s="398"/>
      <c r="H308" s="251"/>
    </row>
    <row r="309">
      <c r="A309" s="265"/>
      <c r="B309" s="247"/>
      <c r="C309" s="248"/>
      <c r="D309" s="414"/>
      <c r="E309" s="417"/>
      <c r="F309" s="418"/>
      <c r="G309" s="417"/>
      <c r="H309" s="251"/>
    </row>
    <row r="310">
      <c r="A310" s="265"/>
      <c r="B310" s="247"/>
      <c r="C310" s="252"/>
      <c r="D310" s="249"/>
      <c r="F310" s="418"/>
      <c r="H310" s="251"/>
    </row>
    <row r="311">
      <c r="A311" s="265"/>
      <c r="B311" s="247"/>
      <c r="C311" s="252"/>
      <c r="D311" s="253"/>
      <c r="F311" s="418"/>
      <c r="H311" s="251"/>
    </row>
    <row r="312">
      <c r="A312" s="265"/>
      <c r="B312" s="247"/>
      <c r="C312" s="252"/>
      <c r="D312" s="249"/>
      <c r="F312" s="418"/>
      <c r="H312" s="251"/>
    </row>
    <row r="313">
      <c r="A313" s="265"/>
      <c r="B313" s="247"/>
      <c r="C313" s="252"/>
      <c r="D313" s="253"/>
      <c r="F313" s="418"/>
      <c r="H313" s="251"/>
    </row>
    <row r="314">
      <c r="A314" s="265"/>
      <c r="B314" s="247"/>
      <c r="C314" s="252"/>
      <c r="D314" s="253"/>
      <c r="F314" s="418"/>
      <c r="H314" s="251"/>
    </row>
    <row r="315">
      <c r="A315" s="265"/>
      <c r="B315" s="247"/>
      <c r="C315" s="252"/>
      <c r="D315" s="249"/>
      <c r="F315" s="418"/>
      <c r="H315" s="251"/>
    </row>
    <row r="316">
      <c r="A316" s="270"/>
      <c r="B316" s="271"/>
      <c r="C316" s="272"/>
      <c r="D316" s="273"/>
      <c r="E316" s="18"/>
      <c r="F316" s="455"/>
      <c r="G316" s="293"/>
      <c r="H316" s="261"/>
    </row>
    <row r="317">
      <c r="A317" s="262" t="s">
        <v>1039</v>
      </c>
      <c r="B317" s="239"/>
      <c r="C317" s="263">
        <v>211153.0</v>
      </c>
      <c r="D317" s="421"/>
      <c r="E317" s="402"/>
      <c r="F317" s="423"/>
      <c r="G317" s="402" t="s">
        <v>89</v>
      </c>
      <c r="H317" s="245">
        <v>123.0</v>
      </c>
    </row>
    <row r="318">
      <c r="A318" s="265"/>
      <c r="B318" s="247">
        <v>55048.69</v>
      </c>
      <c r="C318" s="248"/>
      <c r="D318" s="414"/>
      <c r="E318" s="398"/>
      <c r="F318" s="418"/>
      <c r="G318" s="398" t="s">
        <v>82</v>
      </c>
      <c r="H318" s="267"/>
    </row>
    <row r="319">
      <c r="A319" s="265"/>
      <c r="B319" s="404">
        <v>46000.0</v>
      </c>
      <c r="C319" s="405"/>
      <c r="D319" s="414"/>
      <c r="E319" s="398"/>
      <c r="F319" s="418"/>
      <c r="G319" s="398" t="s">
        <v>128</v>
      </c>
      <c r="H319" s="267"/>
    </row>
    <row r="320">
      <c r="A320" s="265"/>
      <c r="B320" s="404">
        <v>74000.0</v>
      </c>
      <c r="C320" s="405"/>
      <c r="D320" s="399"/>
      <c r="E320" s="398" t="s">
        <v>328</v>
      </c>
      <c r="F320" s="284"/>
      <c r="G320" s="398" t="s">
        <v>75</v>
      </c>
      <c r="H320" s="251"/>
    </row>
    <row r="321">
      <c r="A321" s="265"/>
      <c r="B321" s="247"/>
      <c r="C321" s="248"/>
      <c r="D321" s="399"/>
      <c r="E321" s="417"/>
      <c r="F321" s="284">
        <v>16500.0</v>
      </c>
      <c r="G321" s="398" t="s">
        <v>605</v>
      </c>
      <c r="H321" s="251"/>
    </row>
    <row r="322">
      <c r="A322" s="265"/>
      <c r="B322" s="247"/>
      <c r="C322" s="252"/>
      <c r="D322" s="414"/>
      <c r="E322" s="417"/>
      <c r="F322" s="284">
        <v>25000.0</v>
      </c>
      <c r="G322" s="398" t="s">
        <v>1304</v>
      </c>
      <c r="H322" s="251"/>
    </row>
    <row r="323">
      <c r="A323" s="265"/>
      <c r="B323" s="247"/>
      <c r="C323" s="252"/>
      <c r="D323" s="249">
        <v>34219.89</v>
      </c>
      <c r="F323" s="418"/>
      <c r="G323" s="2" t="s">
        <v>1305</v>
      </c>
      <c r="H323" s="251"/>
    </row>
    <row r="324">
      <c r="A324" s="265"/>
      <c r="B324" s="247"/>
      <c r="C324" s="252"/>
      <c r="D324" s="249"/>
      <c r="F324" s="418"/>
      <c r="H324" s="251"/>
    </row>
    <row r="325">
      <c r="A325" s="265"/>
      <c r="B325" s="247"/>
      <c r="C325" s="252"/>
      <c r="D325" s="249"/>
      <c r="F325" s="418"/>
      <c r="H325" s="251"/>
    </row>
    <row r="326">
      <c r="A326" s="265"/>
      <c r="B326" s="247"/>
      <c r="C326" s="252"/>
      <c r="D326" s="253"/>
      <c r="F326" s="418"/>
      <c r="H326" s="251"/>
    </row>
    <row r="327">
      <c r="A327" s="265"/>
      <c r="B327" s="247"/>
      <c r="C327" s="252"/>
      <c r="D327" s="253"/>
      <c r="F327" s="418"/>
      <c r="H327" s="251"/>
    </row>
    <row r="328">
      <c r="A328" s="265"/>
      <c r="B328" s="247"/>
      <c r="C328" s="252"/>
      <c r="D328" s="253"/>
      <c r="F328" s="418"/>
      <c r="H328" s="251"/>
    </row>
    <row r="329">
      <c r="A329" s="265"/>
      <c r="B329" s="268"/>
      <c r="C329" s="252"/>
      <c r="D329" s="253"/>
      <c r="F329" s="418"/>
      <c r="H329" s="251"/>
    </row>
    <row r="330">
      <c r="A330" s="265"/>
      <c r="B330" s="268"/>
      <c r="C330" s="252"/>
      <c r="D330" s="253"/>
      <c r="F330" s="418"/>
      <c r="H330" s="251"/>
    </row>
    <row r="331">
      <c r="A331" s="265"/>
      <c r="B331" s="268"/>
      <c r="C331" s="252"/>
      <c r="D331" s="253"/>
      <c r="F331" s="418"/>
      <c r="H331" s="251"/>
    </row>
    <row r="332">
      <c r="A332" s="265"/>
      <c r="B332" s="268"/>
      <c r="C332" s="252"/>
      <c r="D332" s="253"/>
      <c r="F332" s="418"/>
      <c r="H332" s="251"/>
    </row>
    <row r="333">
      <c r="A333" s="265"/>
      <c r="B333" s="268"/>
      <c r="C333" s="252"/>
      <c r="D333" s="253"/>
      <c r="F333" s="418"/>
      <c r="H333" s="251"/>
    </row>
    <row r="334">
      <c r="A334" s="270"/>
      <c r="B334" s="271"/>
      <c r="C334" s="272"/>
      <c r="D334" s="273"/>
      <c r="E334" s="18"/>
      <c r="F334" s="456"/>
      <c r="G334" s="18"/>
      <c r="H334" s="261"/>
    </row>
    <row r="335">
      <c r="A335" s="262" t="s">
        <v>1041</v>
      </c>
      <c r="B335" s="425"/>
      <c r="C335" s="445"/>
      <c r="D335" s="401">
        <v>239740.0</v>
      </c>
      <c r="E335" s="402" t="s">
        <v>328</v>
      </c>
      <c r="F335" s="403"/>
      <c r="G335" s="398" t="s">
        <v>114</v>
      </c>
      <c r="H335" s="245">
        <v>190.0</v>
      </c>
    </row>
    <row r="336">
      <c r="A336" s="265"/>
      <c r="B336" s="419"/>
      <c r="C336" s="427"/>
      <c r="D336" s="414"/>
      <c r="E336" s="417"/>
      <c r="F336" s="418"/>
      <c r="G336" s="398"/>
      <c r="H336" s="267"/>
    </row>
    <row r="337">
      <c r="A337" s="265"/>
      <c r="B337" s="247"/>
      <c r="C337" s="248"/>
      <c r="D337" s="249"/>
      <c r="F337" s="418"/>
      <c r="G337" s="398"/>
      <c r="H337" s="267"/>
    </row>
    <row r="338">
      <c r="A338" s="265"/>
      <c r="B338" s="419"/>
      <c r="C338" s="427"/>
      <c r="D338" s="414"/>
      <c r="E338" s="417"/>
      <c r="F338" s="418"/>
      <c r="G338" s="417"/>
      <c r="H338" s="251"/>
    </row>
    <row r="339">
      <c r="A339" s="265"/>
      <c r="B339" s="247"/>
      <c r="C339" s="252"/>
      <c r="D339" s="249"/>
      <c r="F339" s="418"/>
      <c r="H339" s="251"/>
    </row>
    <row r="340">
      <c r="A340" s="265"/>
      <c r="B340" s="247"/>
      <c r="C340" s="252"/>
      <c r="D340" s="253"/>
      <c r="F340" s="418"/>
      <c r="H340" s="251"/>
    </row>
    <row r="341">
      <c r="A341" s="265"/>
      <c r="B341" s="247"/>
      <c r="C341" s="252"/>
      <c r="D341" s="249"/>
      <c r="F341" s="418"/>
      <c r="H341" s="251"/>
    </row>
    <row r="342">
      <c r="A342" s="265"/>
      <c r="B342" s="268"/>
      <c r="C342" s="252"/>
      <c r="D342" s="249"/>
      <c r="F342" s="418"/>
      <c r="H342" s="251"/>
    </row>
    <row r="343">
      <c r="A343" s="265"/>
      <c r="B343" s="268"/>
      <c r="C343" s="252"/>
      <c r="D343" s="253"/>
      <c r="F343" s="418"/>
      <c r="H343" s="251"/>
    </row>
    <row r="344">
      <c r="A344" s="265"/>
      <c r="B344" s="247"/>
      <c r="C344" s="252"/>
      <c r="D344" s="253"/>
      <c r="F344" s="418"/>
      <c r="H344" s="251"/>
    </row>
    <row r="345">
      <c r="A345" s="265"/>
      <c r="B345" s="268"/>
      <c r="C345" s="252"/>
      <c r="D345" s="253"/>
      <c r="F345" s="418"/>
      <c r="H345" s="251"/>
    </row>
    <row r="346">
      <c r="A346" s="270"/>
      <c r="B346" s="271"/>
      <c r="C346" s="272"/>
      <c r="D346" s="273"/>
      <c r="E346" s="18"/>
      <c r="F346" s="456"/>
      <c r="G346" s="18"/>
      <c r="H346" s="261"/>
    </row>
    <row r="347">
      <c r="A347" s="280" t="s">
        <v>1042</v>
      </c>
      <c r="B347" s="239">
        <v>36699.13</v>
      </c>
      <c r="C347" s="263"/>
      <c r="D347" s="421"/>
      <c r="E347" s="422"/>
      <c r="F347" s="423"/>
      <c r="G347" s="2" t="s">
        <v>82</v>
      </c>
      <c r="H347" s="245">
        <v>190.0</v>
      </c>
    </row>
    <row r="348">
      <c r="A348" s="265"/>
      <c r="B348" s="404">
        <v>105300.0</v>
      </c>
      <c r="C348" s="405"/>
      <c r="D348" s="399"/>
      <c r="E348" s="398" t="s">
        <v>328</v>
      </c>
      <c r="F348" s="284"/>
      <c r="G348" s="398" t="s">
        <v>75</v>
      </c>
      <c r="H348" s="267"/>
    </row>
    <row r="349">
      <c r="A349" s="265"/>
      <c r="B349" s="247"/>
      <c r="C349" s="248"/>
      <c r="D349" s="249">
        <v>95250.0</v>
      </c>
      <c r="F349" s="418"/>
      <c r="G349" s="398" t="s">
        <v>1306</v>
      </c>
      <c r="H349" s="267"/>
    </row>
    <row r="350">
      <c r="A350" s="265"/>
      <c r="B350" s="247">
        <v>63990.0</v>
      </c>
      <c r="C350" s="248"/>
      <c r="D350" s="249"/>
      <c r="F350" s="418"/>
      <c r="G350" s="398" t="s">
        <v>118</v>
      </c>
      <c r="H350" s="267"/>
    </row>
    <row r="351">
      <c r="A351" s="265"/>
      <c r="B351" s="247"/>
      <c r="C351" s="248"/>
      <c r="D351" s="249"/>
      <c r="F351" s="284">
        <v>18000.0</v>
      </c>
      <c r="G351" s="398" t="s">
        <v>605</v>
      </c>
      <c r="H351" s="267"/>
    </row>
    <row r="352">
      <c r="A352" s="265"/>
      <c r="B352" s="247"/>
      <c r="C352" s="248"/>
      <c r="D352" s="399">
        <v>162520.0</v>
      </c>
      <c r="E352" s="398" t="s">
        <v>328</v>
      </c>
      <c r="F352" s="284"/>
      <c r="G352" s="398" t="s">
        <v>893</v>
      </c>
      <c r="H352" s="267"/>
    </row>
    <row r="353">
      <c r="A353" s="265"/>
      <c r="B353" s="247"/>
      <c r="C353" s="248"/>
      <c r="D353" s="249"/>
      <c r="F353" s="418"/>
      <c r="G353" s="398"/>
      <c r="H353" s="267"/>
    </row>
    <row r="354">
      <c r="A354" s="265"/>
      <c r="B354" s="247"/>
      <c r="C354" s="248"/>
      <c r="D354" s="249"/>
      <c r="F354" s="418"/>
      <c r="G354" s="398"/>
      <c r="H354" s="267"/>
    </row>
    <row r="355">
      <c r="A355" s="265"/>
      <c r="B355" s="247"/>
      <c r="C355" s="248"/>
      <c r="D355" s="249"/>
      <c r="F355" s="418"/>
      <c r="G355" s="398"/>
      <c r="H355" s="267"/>
    </row>
    <row r="356">
      <c r="A356" s="265"/>
      <c r="B356" s="247"/>
      <c r="C356" s="248"/>
      <c r="D356" s="249"/>
      <c r="F356" s="418"/>
      <c r="G356" s="398"/>
      <c r="H356" s="267"/>
    </row>
    <row r="357">
      <c r="A357" s="270"/>
      <c r="B357" s="247"/>
      <c r="C357" s="248"/>
      <c r="D357" s="249"/>
      <c r="F357" s="418"/>
      <c r="G357" s="398"/>
      <c r="H357" s="267"/>
    </row>
    <row r="358">
      <c r="A358" s="452"/>
      <c r="B358" s="247"/>
      <c r="C358" s="248"/>
      <c r="D358" s="249"/>
      <c r="F358" s="418"/>
      <c r="G358" s="398"/>
      <c r="H358" s="267"/>
    </row>
    <row r="359">
      <c r="A359" s="280" t="s">
        <v>1043</v>
      </c>
      <c r="B359" s="239"/>
      <c r="C359" s="263"/>
      <c r="D359" s="401">
        <v>100956.11</v>
      </c>
      <c r="E359" s="402" t="s">
        <v>328</v>
      </c>
      <c r="F359" s="403"/>
      <c r="G359" s="402" t="s">
        <v>77</v>
      </c>
      <c r="H359" s="245">
        <v>180.0</v>
      </c>
    </row>
    <row r="360">
      <c r="A360" s="265"/>
      <c r="B360" s="404">
        <v>68607.0</v>
      </c>
      <c r="C360" s="405"/>
      <c r="D360" s="443"/>
      <c r="E360" s="398" t="s">
        <v>328</v>
      </c>
      <c r="F360" s="284"/>
      <c r="G360" s="398" t="s">
        <v>931</v>
      </c>
      <c r="H360" s="267"/>
    </row>
    <row r="361">
      <c r="A361" s="265"/>
      <c r="B361" s="419"/>
      <c r="C361" s="427"/>
      <c r="D361" s="414"/>
      <c r="E361" s="417"/>
      <c r="F361" s="418"/>
      <c r="G361" s="417"/>
      <c r="H361" s="267"/>
    </row>
    <row r="362">
      <c r="A362" s="265"/>
      <c r="B362" s="247"/>
      <c r="C362" s="252"/>
      <c r="D362" s="249"/>
      <c r="F362" s="418"/>
      <c r="H362" s="251"/>
    </row>
    <row r="363">
      <c r="A363" s="265"/>
      <c r="B363" s="268"/>
      <c r="C363" s="252"/>
      <c r="D363" s="414"/>
      <c r="E363" s="417"/>
      <c r="F363" s="418"/>
      <c r="G363" s="417"/>
      <c r="H363" s="294"/>
    </row>
    <row r="364">
      <c r="A364" s="265"/>
      <c r="B364" s="247"/>
      <c r="C364" s="252"/>
      <c r="D364" s="249"/>
      <c r="F364" s="418"/>
      <c r="H364" s="251"/>
    </row>
    <row r="365">
      <c r="A365" s="265"/>
      <c r="B365" s="247"/>
      <c r="C365" s="252"/>
      <c r="D365" s="249"/>
      <c r="F365" s="418"/>
      <c r="H365" s="251"/>
    </row>
    <row r="366">
      <c r="A366" s="265"/>
      <c r="B366" s="268"/>
      <c r="C366" s="252"/>
      <c r="D366" s="249"/>
      <c r="F366" s="418"/>
      <c r="H366" s="267"/>
    </row>
    <row r="367">
      <c r="A367" s="265"/>
      <c r="B367" s="268"/>
      <c r="C367" s="252"/>
      <c r="D367" s="249"/>
      <c r="F367" s="418"/>
      <c r="H367" s="251"/>
    </row>
    <row r="368">
      <c r="A368" s="265"/>
      <c r="B368" s="247"/>
      <c r="C368" s="252"/>
      <c r="D368" s="249"/>
      <c r="F368" s="418"/>
      <c r="H368" s="267"/>
    </row>
    <row r="369">
      <c r="A369" s="270"/>
      <c r="B369" s="271"/>
      <c r="C369" s="272"/>
      <c r="D369" s="295"/>
      <c r="E369" s="18"/>
      <c r="F369" s="456"/>
      <c r="G369" s="293"/>
      <c r="H369" s="261"/>
    </row>
    <row r="370">
      <c r="A370" s="299" t="s">
        <v>1045</v>
      </c>
      <c r="B370" s="277">
        <v>46571.45</v>
      </c>
      <c r="C370" s="252"/>
      <c r="D370" s="295"/>
      <c r="F370" s="432"/>
      <c r="G370" s="2" t="s">
        <v>82</v>
      </c>
      <c r="H370" s="267">
        <v>200.0</v>
      </c>
      <c r="I370" s="2" t="s">
        <v>1307</v>
      </c>
    </row>
    <row r="371">
      <c r="B371" s="278"/>
      <c r="C371" s="248">
        <v>126883.24</v>
      </c>
      <c r="D371" s="295"/>
      <c r="F371" s="432"/>
      <c r="G371" s="2" t="s">
        <v>84</v>
      </c>
      <c r="H371" s="251"/>
    </row>
    <row r="372">
      <c r="B372" s="440">
        <v>79700.0</v>
      </c>
      <c r="C372" s="424"/>
      <c r="D372" s="462"/>
      <c r="E372" s="398" t="s">
        <v>328</v>
      </c>
      <c r="F372" s="463"/>
      <c r="G372" s="398" t="s">
        <v>75</v>
      </c>
      <c r="H372" s="267">
        <v>148.0</v>
      </c>
    </row>
    <row r="373">
      <c r="B373" s="278"/>
      <c r="C373" s="252"/>
      <c r="D373" s="295"/>
      <c r="F373" s="284">
        <v>100000.0</v>
      </c>
      <c r="G373" s="2" t="s">
        <v>1308</v>
      </c>
      <c r="H373" s="251"/>
    </row>
    <row r="374">
      <c r="B374" s="278"/>
      <c r="C374" s="252"/>
      <c r="D374" s="295"/>
      <c r="F374" s="284">
        <v>500.0</v>
      </c>
      <c r="G374" s="2" t="s">
        <v>1181</v>
      </c>
      <c r="H374" s="251"/>
    </row>
    <row r="375">
      <c r="B375" s="278"/>
      <c r="C375" s="252"/>
      <c r="D375" s="295"/>
      <c r="F375" s="432"/>
      <c r="G375" s="2"/>
      <c r="H375" s="251"/>
    </row>
    <row r="376">
      <c r="B376" s="278"/>
      <c r="C376" s="252"/>
      <c r="D376" s="295"/>
      <c r="F376" s="432"/>
      <c r="G376" s="2"/>
      <c r="H376" s="251"/>
    </row>
    <row r="377">
      <c r="B377" s="278"/>
      <c r="C377" s="252"/>
      <c r="D377" s="295"/>
      <c r="F377" s="432"/>
      <c r="G377" s="2"/>
      <c r="H377" s="251"/>
    </row>
    <row r="378">
      <c r="B378" s="278"/>
      <c r="C378" s="252"/>
      <c r="D378" s="295"/>
      <c r="F378" s="432"/>
      <c r="G378" s="2"/>
      <c r="H378" s="251"/>
      <c r="I378" s="2" t="s">
        <v>1309</v>
      </c>
    </row>
    <row r="379">
      <c r="B379" s="278"/>
      <c r="C379" s="252"/>
      <c r="D379" s="295"/>
      <c r="F379" s="432"/>
      <c r="G379" s="2"/>
      <c r="H379" s="251"/>
    </row>
    <row r="380">
      <c r="B380" s="278"/>
      <c r="C380" s="252"/>
      <c r="D380" s="295"/>
      <c r="F380" s="432"/>
      <c r="G380" s="2"/>
      <c r="H380" s="251"/>
    </row>
    <row r="381">
      <c r="A381" s="299"/>
      <c r="B381" s="278"/>
      <c r="C381" s="252"/>
      <c r="D381" s="295"/>
      <c r="F381" s="432"/>
      <c r="G381" s="2"/>
      <c r="H381" s="251"/>
    </row>
    <row r="382">
      <c r="A382" s="299"/>
      <c r="B382" s="278"/>
      <c r="C382" s="252"/>
      <c r="D382" s="295"/>
      <c r="F382" s="432"/>
      <c r="G382" s="2"/>
      <c r="H382" s="251"/>
    </row>
    <row r="383">
      <c r="A383" s="280" t="s">
        <v>187</v>
      </c>
      <c r="B383" s="239"/>
      <c r="C383" s="240"/>
      <c r="D383" s="296"/>
      <c r="E383" s="242"/>
      <c r="F383" s="423"/>
      <c r="G383" s="2" t="s">
        <v>188</v>
      </c>
      <c r="H383" s="297"/>
      <c r="I383" s="2" t="s">
        <v>189</v>
      </c>
    </row>
    <row r="384">
      <c r="A384" s="265"/>
      <c r="B384" s="247"/>
      <c r="C384" s="248"/>
      <c r="D384" s="317">
        <v>191010.8</v>
      </c>
      <c r="E384" s="429"/>
      <c r="F384" s="418"/>
      <c r="G384" s="2" t="s">
        <v>190</v>
      </c>
      <c r="H384" s="294">
        <v>45478.0</v>
      </c>
    </row>
    <row r="385">
      <c r="A385" s="265"/>
      <c r="B385" s="247"/>
      <c r="C385" s="248"/>
      <c r="D385" s="438">
        <v>49027.5</v>
      </c>
      <c r="F385" s="418"/>
      <c r="G385" s="2" t="s">
        <v>191</v>
      </c>
      <c r="H385" s="294">
        <v>45478.0</v>
      </c>
    </row>
    <row r="386">
      <c r="A386" s="265"/>
      <c r="B386" s="268"/>
      <c r="C386" s="252"/>
      <c r="D386" s="298">
        <v>153154.0</v>
      </c>
      <c r="F386" s="418"/>
      <c r="G386" s="2" t="s">
        <v>190</v>
      </c>
      <c r="H386" s="294">
        <v>45497.0</v>
      </c>
      <c r="I386" s="2" t="s">
        <v>1310</v>
      </c>
    </row>
    <row r="387">
      <c r="A387" s="265"/>
      <c r="B387" s="268"/>
      <c r="C387" s="252"/>
      <c r="D387" s="249">
        <v>500000.0</v>
      </c>
      <c r="F387" s="418"/>
      <c r="G387" s="2" t="s">
        <v>192</v>
      </c>
      <c r="H387" s="294">
        <v>45505.0</v>
      </c>
    </row>
    <row r="388">
      <c r="A388" s="265"/>
      <c r="B388" s="268"/>
      <c r="C388" s="252"/>
      <c r="D388" s="253"/>
      <c r="F388" s="284">
        <v>360000.0</v>
      </c>
      <c r="G388" s="2" t="s">
        <v>193</v>
      </c>
      <c r="H388" s="294">
        <v>45483.0</v>
      </c>
    </row>
    <row r="389">
      <c r="A389" s="265"/>
      <c r="B389" s="247"/>
      <c r="C389" s="252"/>
      <c r="D389" s="249">
        <v>149948.0</v>
      </c>
      <c r="F389" s="418"/>
      <c r="G389" s="2" t="s">
        <v>1093</v>
      </c>
      <c r="H389" s="294">
        <v>45490.0</v>
      </c>
    </row>
    <row r="390">
      <c r="A390" s="265"/>
      <c r="B390" s="247"/>
      <c r="C390" s="252"/>
      <c r="D390" s="249">
        <v>102300.0</v>
      </c>
      <c r="F390" s="418"/>
      <c r="G390" s="2" t="s">
        <v>196</v>
      </c>
      <c r="H390" s="294">
        <v>45478.0</v>
      </c>
      <c r="I390" s="318"/>
    </row>
    <row r="391">
      <c r="A391" s="265"/>
      <c r="B391" s="247">
        <v>53552.33</v>
      </c>
      <c r="C391" s="252"/>
      <c r="D391" s="249"/>
      <c r="F391" s="418"/>
      <c r="G391" s="2" t="s">
        <v>197</v>
      </c>
      <c r="H391" s="294">
        <v>45492.0</v>
      </c>
      <c r="I391" s="2" t="s">
        <v>198</v>
      </c>
    </row>
    <row r="392">
      <c r="A392" s="265"/>
      <c r="B392" s="268"/>
      <c r="C392" s="252"/>
      <c r="D392" s="249">
        <v>42600.0</v>
      </c>
      <c r="F392" s="418"/>
      <c r="G392" s="2" t="s">
        <v>199</v>
      </c>
      <c r="H392" s="294"/>
      <c r="I392" s="2" t="s">
        <v>189</v>
      </c>
    </row>
    <row r="393">
      <c r="A393" s="265"/>
      <c r="B393" s="247"/>
      <c r="C393" s="252"/>
      <c r="D393" s="439">
        <v>78875.53</v>
      </c>
      <c r="F393" s="418"/>
      <c r="G393" s="2" t="s">
        <v>200</v>
      </c>
      <c r="H393" s="294"/>
      <c r="I393" s="2" t="s">
        <v>189</v>
      </c>
    </row>
    <row r="394">
      <c r="A394" s="265"/>
      <c r="B394" s="278"/>
      <c r="C394" s="248"/>
      <c r="D394" s="439">
        <v>14284.74</v>
      </c>
      <c r="F394" s="432"/>
      <c r="G394" s="2" t="s">
        <v>201</v>
      </c>
      <c r="H394" s="294"/>
      <c r="I394" s="2" t="s">
        <v>189</v>
      </c>
    </row>
    <row r="395">
      <c r="A395" s="270"/>
      <c r="B395" s="277"/>
      <c r="C395" s="248"/>
      <c r="D395" s="295"/>
      <c r="F395" s="464"/>
      <c r="H395" s="294"/>
    </row>
    <row r="396">
      <c r="A396" s="299"/>
      <c r="B396" s="278"/>
      <c r="C396" s="248"/>
      <c r="D396" s="295"/>
      <c r="F396" s="432"/>
      <c r="H396" s="294"/>
    </row>
    <row r="397">
      <c r="A397" s="299"/>
      <c r="B397" s="278"/>
      <c r="C397" s="248"/>
      <c r="D397" s="431"/>
      <c r="E397" s="417"/>
      <c r="F397" s="432"/>
      <c r="G397" s="417" t="s">
        <v>202</v>
      </c>
      <c r="H397" s="301"/>
      <c r="I397" s="2" t="s">
        <v>203</v>
      </c>
    </row>
    <row r="398">
      <c r="A398" s="299"/>
      <c r="B398" s="278"/>
      <c r="C398" s="248"/>
      <c r="D398" s="295"/>
      <c r="F398" s="418"/>
      <c r="G398" s="2" t="s">
        <v>204</v>
      </c>
      <c r="H398" s="301"/>
    </row>
    <row r="399">
      <c r="A399" s="303"/>
      <c r="B399" s="278"/>
      <c r="C399" s="252"/>
      <c r="D399" s="249"/>
      <c r="F399" s="418"/>
      <c r="G399" s="2" t="s">
        <v>205</v>
      </c>
      <c r="H399" s="301"/>
    </row>
    <row r="400">
      <c r="A400" s="303"/>
      <c r="B400" s="268"/>
      <c r="C400" s="252"/>
      <c r="D400" s="249"/>
      <c r="F400" s="418"/>
      <c r="G400" s="2" t="s">
        <v>735</v>
      </c>
      <c r="H400" s="301"/>
    </row>
    <row r="401">
      <c r="A401" s="303"/>
      <c r="B401" s="247"/>
      <c r="C401" s="252"/>
      <c r="D401" s="249"/>
      <c r="F401" s="418"/>
      <c r="G401" s="2" t="s">
        <v>206</v>
      </c>
      <c r="H401" s="294"/>
      <c r="I401" s="2" t="s">
        <v>203</v>
      </c>
    </row>
    <row r="402">
      <c r="A402" s="303"/>
      <c r="B402" s="268"/>
      <c r="C402" s="252"/>
      <c r="D402" s="300">
        <v>142499.15</v>
      </c>
      <c r="F402" s="465"/>
      <c r="G402" s="2" t="s">
        <v>209</v>
      </c>
      <c r="H402" s="294"/>
      <c r="I402" s="2" t="s">
        <v>1273</v>
      </c>
    </row>
    <row r="403">
      <c r="A403" s="303"/>
      <c r="B403" s="247"/>
      <c r="C403" s="252"/>
      <c r="D403" s="249"/>
      <c r="F403" s="418"/>
      <c r="H403" s="294"/>
    </row>
    <row r="404">
      <c r="A404" s="303"/>
      <c r="B404" s="268"/>
      <c r="C404" s="252"/>
      <c r="D404" s="249">
        <v>800000.0</v>
      </c>
      <c r="F404" s="418"/>
      <c r="G404" s="2" t="s">
        <v>1311</v>
      </c>
      <c r="H404" s="294">
        <v>45483.0</v>
      </c>
    </row>
    <row r="405">
      <c r="A405" s="303"/>
      <c r="B405" s="268"/>
      <c r="C405" s="252"/>
      <c r="D405" s="249">
        <v>250000.0</v>
      </c>
      <c r="F405" s="418"/>
      <c r="G405" s="2" t="s">
        <v>1312</v>
      </c>
      <c r="H405" s="294">
        <v>45483.0</v>
      </c>
      <c r="I405" s="2" t="s">
        <v>1313</v>
      </c>
    </row>
    <row r="406">
      <c r="A406" s="303"/>
      <c r="B406" s="247">
        <v>66014.0</v>
      </c>
      <c r="C406" s="252"/>
      <c r="D406" s="331"/>
      <c r="F406" s="458"/>
      <c r="G406" s="2" t="s">
        <v>667</v>
      </c>
      <c r="H406" s="294"/>
    </row>
    <row r="407">
      <c r="A407" s="304"/>
      <c r="B407" s="268"/>
      <c r="C407" s="252"/>
      <c r="D407" s="249">
        <v>74000.0</v>
      </c>
      <c r="F407" s="465"/>
      <c r="G407" s="2" t="s">
        <v>1217</v>
      </c>
      <c r="H407" s="294"/>
    </row>
    <row r="408">
      <c r="A408" s="305"/>
      <c r="B408" s="406">
        <f>SUM(B383:B407)</f>
        <v>119566.33</v>
      </c>
      <c r="C408" s="272"/>
      <c r="D408" s="392">
        <f>SUM(D383:D407)</f>
        <v>2547699.72</v>
      </c>
      <c r="E408" s="18"/>
      <c r="F408" s="466">
        <f>SUM(F383:F407)</f>
        <v>360000</v>
      </c>
      <c r="G408" s="18"/>
      <c r="H408" s="261"/>
    </row>
    <row r="409">
      <c r="A409" s="265"/>
      <c r="B409" s="306"/>
      <c r="C409" s="240"/>
      <c r="D409" s="241"/>
      <c r="E409" s="242"/>
      <c r="F409" s="423"/>
      <c r="G409" s="244"/>
      <c r="H409" s="307"/>
    </row>
    <row r="410">
      <c r="A410" s="265"/>
      <c r="B410" s="268"/>
      <c r="C410" s="252"/>
      <c r="D410" s="253"/>
      <c r="F410" s="418"/>
      <c r="H410" s="251"/>
    </row>
    <row r="411">
      <c r="A411" s="265"/>
      <c r="B411" s="268"/>
      <c r="C411" s="252"/>
      <c r="D411" s="253"/>
      <c r="F411" s="418"/>
      <c r="H411" s="251"/>
    </row>
    <row r="412">
      <c r="A412" s="265"/>
      <c r="B412" s="268"/>
      <c r="C412" s="252"/>
      <c r="D412" s="253"/>
      <c r="F412" s="418"/>
      <c r="H412" s="251"/>
    </row>
    <row r="413">
      <c r="A413" s="265"/>
      <c r="B413" s="268"/>
      <c r="C413" s="252"/>
      <c r="D413" s="253"/>
      <c r="F413" s="418"/>
      <c r="H413" s="251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70"/>
      <c r="B417" s="268"/>
      <c r="C417" s="252"/>
      <c r="D417" s="253"/>
      <c r="F417" s="418"/>
      <c r="H417" s="251"/>
    </row>
    <row r="418">
      <c r="A418" s="305"/>
      <c r="B418" s="271"/>
      <c r="C418" s="272"/>
      <c r="D418" s="273"/>
      <c r="E418" s="18"/>
      <c r="F418" s="456"/>
      <c r="G418" s="18"/>
      <c r="H418" s="261"/>
    </row>
    <row r="419">
      <c r="A419" s="265"/>
      <c r="B419" s="306"/>
      <c r="C419" s="240"/>
      <c r="D419" s="241"/>
      <c r="E419" s="242"/>
      <c r="F419" s="423"/>
      <c r="G419" s="244"/>
      <c r="H419" s="307"/>
    </row>
    <row r="420">
      <c r="A420" s="265"/>
      <c r="B420" s="268"/>
      <c r="C420" s="252"/>
      <c r="D420" s="253"/>
      <c r="F420" s="418"/>
      <c r="H420" s="251"/>
    </row>
    <row r="421">
      <c r="A421" s="265"/>
      <c r="B421" s="268"/>
      <c r="C421" s="252"/>
      <c r="D421" s="253"/>
      <c r="F421" s="418"/>
      <c r="H421" s="251"/>
    </row>
    <row r="422">
      <c r="A422" s="265"/>
      <c r="B422" s="268"/>
      <c r="C422" s="252"/>
      <c r="D422" s="253"/>
      <c r="F422" s="418"/>
      <c r="H422" s="251"/>
    </row>
    <row r="423">
      <c r="A423" s="265"/>
      <c r="B423" s="268"/>
      <c r="C423" s="252"/>
      <c r="D423" s="253"/>
      <c r="F423" s="418"/>
      <c r="H423" s="251"/>
    </row>
    <row r="424">
      <c r="A424" s="265"/>
      <c r="B424" s="268"/>
      <c r="C424" s="252"/>
      <c r="D424" s="253"/>
      <c r="F424" s="418"/>
      <c r="H424" s="251"/>
    </row>
    <row r="425">
      <c r="A425" s="265"/>
      <c r="B425" s="268"/>
      <c r="C425" s="252"/>
      <c r="D425" s="253"/>
      <c r="F425" s="418"/>
      <c r="H425" s="251"/>
    </row>
    <row r="426">
      <c r="A426" s="265"/>
      <c r="B426" s="268"/>
      <c r="C426" s="252"/>
      <c r="D426" s="253"/>
      <c r="F426" s="418"/>
      <c r="H426" s="251"/>
    </row>
    <row r="427">
      <c r="A427" s="270"/>
      <c r="B427" s="268"/>
      <c r="C427" s="252"/>
      <c r="D427" s="253"/>
      <c r="F427" s="418"/>
      <c r="H427" s="251"/>
    </row>
    <row r="428">
      <c r="B428" s="271"/>
      <c r="C428" s="272"/>
      <c r="D428" s="273"/>
      <c r="E428" s="18"/>
      <c r="F428" s="456"/>
      <c r="G428" s="18"/>
      <c r="H428" s="261"/>
    </row>
    <row r="429">
      <c r="B429" s="306"/>
      <c r="C429" s="240"/>
      <c r="D429" s="241"/>
      <c r="E429" s="242"/>
      <c r="F429" s="423"/>
      <c r="G429" s="244"/>
      <c r="H429" s="307"/>
    </row>
    <row r="430">
      <c r="B430" s="268"/>
      <c r="C430" s="252"/>
      <c r="D430" s="253"/>
      <c r="F430" s="418"/>
      <c r="H430" s="251"/>
    </row>
    <row r="431">
      <c r="B431" s="268"/>
      <c r="C431" s="252"/>
      <c r="D431" s="253"/>
      <c r="F431" s="418"/>
      <c r="H431" s="251"/>
    </row>
    <row r="432">
      <c r="B432" s="308"/>
      <c r="C432" s="252"/>
      <c r="D432" s="253"/>
      <c r="F432" s="467"/>
      <c r="H432" s="302"/>
    </row>
    <row r="433">
      <c r="B433" s="308"/>
      <c r="C433" s="252"/>
      <c r="D433" s="253"/>
      <c r="F433" s="467"/>
      <c r="H433" s="302"/>
    </row>
    <row r="434">
      <c r="B434" s="308"/>
      <c r="C434" s="252"/>
      <c r="D434" s="253"/>
      <c r="F434" s="467"/>
      <c r="H434" s="302"/>
    </row>
    <row r="435">
      <c r="B435" s="308"/>
      <c r="C435" s="252"/>
      <c r="D435" s="253"/>
      <c r="F435" s="467"/>
      <c r="H435" s="302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</sheetData>
  <mergeCells count="30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1"/>
    <mergeCell ref="A142:A156"/>
    <mergeCell ref="A157:A172"/>
    <mergeCell ref="A173:A187"/>
    <mergeCell ref="A188:A199"/>
    <mergeCell ref="A200:A214"/>
    <mergeCell ref="A215:A228"/>
    <mergeCell ref="A229:A243"/>
    <mergeCell ref="A244:A256"/>
    <mergeCell ref="A257:A272"/>
    <mergeCell ref="A273:A287"/>
    <mergeCell ref="A288:A302"/>
    <mergeCell ref="A408:A417"/>
    <mergeCell ref="A418:A427"/>
    <mergeCell ref="A303:A316"/>
    <mergeCell ref="A317:A334"/>
    <mergeCell ref="A335:A346"/>
    <mergeCell ref="A347:A357"/>
    <mergeCell ref="A359:A369"/>
    <mergeCell ref="A370:A380"/>
    <mergeCell ref="A383:A39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2.5"/>
    <col customWidth="1" min="8" max="8" width="10.13"/>
    <col customWidth="1" min="9" max="9" width="20.38"/>
  </cols>
  <sheetData>
    <row r="1" ht="27.0" customHeight="1">
      <c r="A1" s="407" t="s">
        <v>1314</v>
      </c>
      <c r="B1" s="408" t="s">
        <v>52</v>
      </c>
      <c r="C1" s="409" t="s">
        <v>53</v>
      </c>
      <c r="D1" s="410" t="s">
        <v>54</v>
      </c>
      <c r="E1" s="411"/>
      <c r="F1" s="453" t="s">
        <v>529</v>
      </c>
      <c r="G1" s="411"/>
      <c r="H1" s="413" t="s">
        <v>57</v>
      </c>
    </row>
    <row r="2">
      <c r="A2" s="262" t="s">
        <v>531</v>
      </c>
      <c r="B2" s="425"/>
      <c r="C2" s="426"/>
      <c r="D2" s="401"/>
      <c r="E2" s="402"/>
      <c r="F2" s="403">
        <v>1500.0</v>
      </c>
      <c r="G2" s="436" t="s">
        <v>1315</v>
      </c>
      <c r="H2" s="245">
        <v>200.0</v>
      </c>
    </row>
    <row r="3">
      <c r="A3" s="265"/>
      <c r="B3" s="468"/>
      <c r="C3" s="405"/>
      <c r="D3" s="399"/>
      <c r="E3" s="398"/>
      <c r="F3" s="284">
        <v>2340.0</v>
      </c>
      <c r="G3" s="398" t="s">
        <v>97</v>
      </c>
      <c r="H3" s="267"/>
    </row>
    <row r="4">
      <c r="A4" s="265"/>
      <c r="B4" s="404">
        <v>68000.0</v>
      </c>
      <c r="C4" s="405"/>
      <c r="D4" s="399"/>
      <c r="E4" s="398" t="s">
        <v>328</v>
      </c>
      <c r="F4" s="284"/>
      <c r="G4" s="285" t="s">
        <v>76</v>
      </c>
      <c r="H4" s="251"/>
    </row>
    <row r="5">
      <c r="A5" s="265"/>
      <c r="B5" s="404"/>
      <c r="C5" s="405"/>
      <c r="D5" s="399"/>
      <c r="E5" s="442"/>
      <c r="F5" s="284">
        <v>25000.0</v>
      </c>
      <c r="G5" s="285" t="s">
        <v>1316</v>
      </c>
      <c r="H5" s="251"/>
    </row>
    <row r="6">
      <c r="A6" s="265"/>
      <c r="B6" s="404"/>
      <c r="C6" s="424"/>
      <c r="D6" s="399"/>
      <c r="E6" s="398"/>
      <c r="F6" s="284">
        <v>5000.0</v>
      </c>
      <c r="G6" s="285" t="s">
        <v>588</v>
      </c>
      <c r="H6" s="251"/>
    </row>
    <row r="7">
      <c r="A7" s="265"/>
      <c r="B7" s="404"/>
      <c r="C7" s="405"/>
      <c r="D7" s="469"/>
      <c r="E7" s="442"/>
      <c r="F7" s="284"/>
      <c r="G7" s="285"/>
      <c r="H7" s="267"/>
    </row>
    <row r="8">
      <c r="A8" s="265"/>
      <c r="B8" s="404"/>
      <c r="C8" s="405"/>
      <c r="D8" s="399"/>
      <c r="E8" s="442"/>
      <c r="F8" s="284"/>
      <c r="G8" s="285"/>
      <c r="H8" s="251"/>
    </row>
    <row r="9">
      <c r="A9" s="265"/>
      <c r="B9" s="404"/>
      <c r="C9" s="424"/>
      <c r="D9" s="399"/>
      <c r="E9" s="442"/>
      <c r="F9" s="284"/>
      <c r="G9" s="285"/>
      <c r="H9" s="251"/>
    </row>
    <row r="10">
      <c r="A10" s="265"/>
      <c r="B10" s="404"/>
      <c r="C10" s="405"/>
      <c r="D10" s="400"/>
      <c r="E10" s="442"/>
      <c r="F10" s="284"/>
      <c r="G10" s="285"/>
      <c r="H10" s="251"/>
    </row>
    <row r="11">
      <c r="A11" s="265"/>
      <c r="B11" s="440"/>
      <c r="C11" s="424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70"/>
      <c r="B15" s="470"/>
      <c r="C15" s="471"/>
      <c r="D15" s="472"/>
      <c r="E15" s="473"/>
      <c r="F15" s="474"/>
      <c r="G15" s="475"/>
      <c r="H15" s="261"/>
    </row>
    <row r="16">
      <c r="A16" s="262"/>
      <c r="B16" s="440"/>
      <c r="C16" s="405"/>
      <c r="D16" s="399"/>
      <c r="E16" s="398"/>
      <c r="F16" s="284">
        <v>21000.0</v>
      </c>
      <c r="G16" s="285" t="s">
        <v>663</v>
      </c>
      <c r="H16" s="267">
        <v>177.0</v>
      </c>
    </row>
    <row r="17">
      <c r="A17" s="280"/>
      <c r="B17" s="440">
        <v>60888.65</v>
      </c>
      <c r="C17" s="405"/>
      <c r="D17" s="399"/>
      <c r="E17" s="442"/>
      <c r="F17" s="284"/>
      <c r="G17" s="398" t="s">
        <v>82</v>
      </c>
      <c r="H17" s="267"/>
    </row>
    <row r="18">
      <c r="A18" s="280" t="s">
        <v>1054</v>
      </c>
      <c r="B18" s="404"/>
      <c r="C18" s="405">
        <v>216749.9</v>
      </c>
      <c r="D18" s="476"/>
      <c r="E18" s="398" t="s">
        <v>328</v>
      </c>
      <c r="F18" s="284"/>
      <c r="G18" s="285" t="s">
        <v>89</v>
      </c>
      <c r="H18" s="251"/>
    </row>
    <row r="19">
      <c r="A19" s="265"/>
      <c r="B19" s="404">
        <v>151732.77</v>
      </c>
      <c r="C19" s="405"/>
      <c r="D19" s="399"/>
      <c r="E19" s="398"/>
      <c r="F19" s="284"/>
      <c r="G19" s="285" t="s">
        <v>1317</v>
      </c>
      <c r="H19" s="251"/>
    </row>
    <row r="20">
      <c r="A20" s="265"/>
      <c r="B20" s="404">
        <v>184000.0</v>
      </c>
      <c r="C20" s="405"/>
      <c r="D20" s="399"/>
      <c r="E20" s="398" t="s">
        <v>328</v>
      </c>
      <c r="F20" s="284"/>
      <c r="G20" s="285" t="s">
        <v>122</v>
      </c>
      <c r="H20" s="251"/>
    </row>
    <row r="21">
      <c r="A21" s="265"/>
      <c r="B21" s="404">
        <v>33800.0</v>
      </c>
      <c r="C21" s="405"/>
      <c r="D21" s="399"/>
      <c r="E21" s="398" t="s">
        <v>328</v>
      </c>
      <c r="F21" s="284"/>
      <c r="G21" s="285" t="s">
        <v>75</v>
      </c>
      <c r="H21" s="251"/>
    </row>
    <row r="22">
      <c r="A22" s="265"/>
      <c r="B22" s="404"/>
      <c r="C22" s="405"/>
      <c r="D22" s="399"/>
      <c r="E22" s="442"/>
      <c r="F22" s="284">
        <v>8000.0</v>
      </c>
      <c r="G22" s="285" t="s">
        <v>1318</v>
      </c>
      <c r="H22" s="267"/>
    </row>
    <row r="23">
      <c r="A23" s="265"/>
      <c r="B23" s="404"/>
      <c r="C23" s="424"/>
      <c r="D23" s="400"/>
      <c r="E23" s="442"/>
      <c r="F23" s="284"/>
      <c r="G23" s="285"/>
      <c r="H23" s="251"/>
    </row>
    <row r="24">
      <c r="A24" s="265"/>
      <c r="B24" s="404"/>
      <c r="C24" s="405"/>
      <c r="D24" s="400"/>
      <c r="E24" s="442"/>
      <c r="F24" s="284"/>
      <c r="G24" s="285"/>
      <c r="H24" s="251"/>
    </row>
    <row r="25">
      <c r="A25" s="265"/>
      <c r="B25" s="477"/>
      <c r="C25" s="405"/>
      <c r="D25" s="400"/>
      <c r="E25" s="442"/>
      <c r="F25" s="284"/>
      <c r="G25" s="285"/>
      <c r="H25" s="251"/>
    </row>
    <row r="26">
      <c r="A26" s="265"/>
      <c r="B26" s="477"/>
      <c r="C26" s="424"/>
      <c r="D26" s="400"/>
      <c r="E26" s="442"/>
      <c r="F26" s="284"/>
      <c r="G26" s="285"/>
      <c r="H26" s="251"/>
    </row>
    <row r="27">
      <c r="A27" s="270"/>
      <c r="B27" s="478"/>
      <c r="C27" s="471"/>
      <c r="D27" s="472"/>
      <c r="E27" s="473"/>
      <c r="F27" s="460"/>
      <c r="G27" s="475"/>
      <c r="H27" s="261"/>
    </row>
    <row r="28">
      <c r="A28" s="262" t="s">
        <v>1056</v>
      </c>
      <c r="B28" s="425">
        <v>21330.0</v>
      </c>
      <c r="C28" s="426"/>
      <c r="D28" s="401"/>
      <c r="E28" s="402"/>
      <c r="F28" s="284"/>
      <c r="G28" s="285" t="s">
        <v>291</v>
      </c>
      <c r="H28" s="245">
        <v>194.0</v>
      </c>
    </row>
    <row r="29">
      <c r="A29" s="265"/>
      <c r="B29" s="404"/>
      <c r="C29" s="405"/>
      <c r="D29" s="399"/>
      <c r="E29" s="398"/>
      <c r="F29" s="284">
        <v>800.0</v>
      </c>
      <c r="G29" s="285" t="s">
        <v>137</v>
      </c>
      <c r="H29" s="267"/>
    </row>
    <row r="30">
      <c r="A30" s="265"/>
      <c r="B30" s="479"/>
      <c r="C30" s="405">
        <v>186514.24</v>
      </c>
      <c r="D30" s="399"/>
      <c r="E30" s="398"/>
      <c r="F30" s="284"/>
      <c r="G30" s="285" t="s">
        <v>71</v>
      </c>
      <c r="H30" s="251"/>
    </row>
    <row r="31">
      <c r="A31" s="265"/>
      <c r="B31" s="479"/>
      <c r="C31" s="405"/>
      <c r="D31" s="399">
        <v>254555.89</v>
      </c>
      <c r="E31" s="398" t="s">
        <v>328</v>
      </c>
      <c r="F31" s="284"/>
      <c r="G31" s="285" t="s">
        <v>114</v>
      </c>
      <c r="H31" s="267"/>
    </row>
    <row r="32">
      <c r="A32" s="265"/>
      <c r="B32" s="404"/>
      <c r="C32" s="405"/>
      <c r="D32" s="399"/>
      <c r="E32" s="398"/>
      <c r="F32" s="284"/>
      <c r="G32" s="285"/>
      <c r="H32" s="251"/>
    </row>
    <row r="33">
      <c r="A33" s="265"/>
      <c r="B33" s="404"/>
      <c r="C33" s="405"/>
      <c r="D33" s="399"/>
      <c r="E33" s="442"/>
      <c r="F33" s="284"/>
      <c r="G33" s="285"/>
      <c r="H33" s="251"/>
    </row>
    <row r="34">
      <c r="A34" s="265"/>
      <c r="B34" s="404"/>
      <c r="C34" s="424"/>
      <c r="D34" s="399"/>
      <c r="E34" s="442"/>
      <c r="F34" s="284"/>
      <c r="G34" s="285"/>
      <c r="H34" s="251"/>
    </row>
    <row r="35">
      <c r="A35" s="265"/>
      <c r="B35" s="404"/>
      <c r="C35" s="424"/>
      <c r="D35" s="400"/>
      <c r="E35" s="442"/>
      <c r="F35" s="284"/>
      <c r="G35" s="285"/>
      <c r="H35" s="251"/>
    </row>
    <row r="36">
      <c r="A36" s="265"/>
      <c r="B36" s="404"/>
      <c r="C36" s="405"/>
      <c r="D36" s="400"/>
      <c r="E36" s="442"/>
      <c r="F36" s="284"/>
      <c r="G36" s="285"/>
      <c r="H36" s="251"/>
    </row>
    <row r="37">
      <c r="A37" s="265"/>
      <c r="B37" s="404"/>
      <c r="C37" s="405"/>
      <c r="D37" s="399"/>
      <c r="E37" s="442"/>
      <c r="F37" s="284"/>
      <c r="G37" s="442"/>
      <c r="H37" s="251"/>
    </row>
    <row r="38">
      <c r="A38" s="265"/>
      <c r="B38" s="404"/>
      <c r="C38" s="405"/>
      <c r="D38" s="399"/>
      <c r="E38" s="442"/>
      <c r="F38" s="284"/>
      <c r="G38" s="285"/>
      <c r="H38" s="251"/>
    </row>
    <row r="39">
      <c r="A39" s="265"/>
      <c r="B39" s="477"/>
      <c r="C39" s="405"/>
      <c r="D39" s="399"/>
      <c r="E39" s="442"/>
      <c r="F39" s="284"/>
      <c r="G39" s="285"/>
      <c r="H39" s="251"/>
    </row>
    <row r="40">
      <c r="A40" s="265"/>
      <c r="B40" s="480"/>
      <c r="C40" s="424"/>
      <c r="D40" s="400"/>
      <c r="E40" s="442"/>
      <c r="F40" s="284"/>
      <c r="G40" s="481"/>
      <c r="H40" s="251"/>
    </row>
    <row r="41">
      <c r="A41" s="270"/>
      <c r="B41" s="478"/>
      <c r="C41" s="471"/>
      <c r="D41" s="472"/>
      <c r="E41" s="473"/>
      <c r="F41" s="460"/>
      <c r="G41" s="482"/>
      <c r="H41" s="261"/>
    </row>
    <row r="42">
      <c r="A42" s="262" t="s">
        <v>1058</v>
      </c>
      <c r="B42" s="425">
        <v>159000.0</v>
      </c>
      <c r="C42" s="426"/>
      <c r="D42" s="401"/>
      <c r="E42" s="402" t="s">
        <v>306</v>
      </c>
      <c r="F42" s="403"/>
      <c r="G42" s="436" t="s">
        <v>75</v>
      </c>
      <c r="H42" s="245">
        <v>180.0</v>
      </c>
    </row>
    <row r="43">
      <c r="A43" s="265"/>
      <c r="B43" s="404">
        <v>48000.0</v>
      </c>
      <c r="C43" s="405"/>
      <c r="D43" s="399"/>
      <c r="E43" s="398"/>
      <c r="F43" s="284"/>
      <c r="G43" s="285" t="s">
        <v>68</v>
      </c>
      <c r="H43" s="267"/>
      <c r="I43" s="2" t="s">
        <v>1319</v>
      </c>
    </row>
    <row r="44">
      <c r="A44" s="265"/>
      <c r="B44" s="433">
        <v>40907.1</v>
      </c>
      <c r="C44" s="405"/>
      <c r="D44" s="399"/>
      <c r="E44" s="398"/>
      <c r="F44" s="284"/>
      <c r="G44" s="285" t="s">
        <v>82</v>
      </c>
      <c r="H44" s="310"/>
    </row>
    <row r="45">
      <c r="A45" s="265"/>
      <c r="B45" s="404"/>
      <c r="C45" s="405"/>
      <c r="D45" s="399"/>
      <c r="E45" s="398"/>
      <c r="F45" s="284">
        <v>23100.0</v>
      </c>
      <c r="G45" s="285" t="s">
        <v>605</v>
      </c>
      <c r="H45" s="251"/>
    </row>
    <row r="46">
      <c r="A46" s="265"/>
      <c r="B46" s="404">
        <v>4334.0</v>
      </c>
      <c r="C46" s="405"/>
      <c r="D46" s="399"/>
      <c r="E46" s="398"/>
      <c r="F46" s="284"/>
      <c r="G46" s="285" t="s">
        <v>102</v>
      </c>
      <c r="H46" s="251"/>
    </row>
    <row r="47">
      <c r="A47" s="265"/>
      <c r="B47" s="404">
        <v>3626.0</v>
      </c>
      <c r="C47" s="405"/>
      <c r="D47" s="399"/>
      <c r="E47" s="398"/>
      <c r="F47" s="284"/>
      <c r="G47" s="285" t="s">
        <v>102</v>
      </c>
      <c r="H47" s="251"/>
    </row>
    <row r="48">
      <c r="A48" s="265"/>
      <c r="B48" s="404"/>
      <c r="C48" s="424"/>
      <c r="D48" s="399"/>
      <c r="E48" s="442"/>
      <c r="F48" s="284"/>
      <c r="G48" s="285"/>
      <c r="H48" s="251"/>
    </row>
    <row r="49">
      <c r="A49" s="265"/>
      <c r="B49" s="404"/>
      <c r="C49" s="424"/>
      <c r="D49" s="400"/>
      <c r="E49" s="442"/>
      <c r="F49" s="284"/>
      <c r="G49" s="285"/>
      <c r="H49" s="251"/>
    </row>
    <row r="50">
      <c r="A50" s="265"/>
      <c r="B50" s="404"/>
      <c r="C50" s="424"/>
      <c r="D50" s="399"/>
      <c r="E50" s="442"/>
      <c r="F50" s="284"/>
      <c r="G50" s="285"/>
      <c r="H50" s="251"/>
    </row>
    <row r="51">
      <c r="A51" s="265"/>
      <c r="B51" s="440"/>
      <c r="C51" s="424"/>
      <c r="D51" s="400"/>
      <c r="E51" s="442"/>
      <c r="F51" s="284"/>
      <c r="G51" s="285"/>
      <c r="H51" s="251"/>
    </row>
    <row r="52">
      <c r="A52" s="265"/>
      <c r="B52" s="440"/>
      <c r="C52" s="424"/>
      <c r="D52" s="400"/>
      <c r="E52" s="442"/>
      <c r="F52" s="284"/>
      <c r="G52" s="285"/>
      <c r="H52" s="251"/>
    </row>
    <row r="53">
      <c r="A53" s="270"/>
      <c r="B53" s="478"/>
      <c r="C53" s="471"/>
      <c r="D53" s="472"/>
      <c r="E53" s="473"/>
      <c r="F53" s="474"/>
      <c r="G53" s="482"/>
      <c r="H53" s="261"/>
    </row>
    <row r="54">
      <c r="A54" s="262" t="s">
        <v>1060</v>
      </c>
      <c r="B54" s="425"/>
      <c r="C54" s="426"/>
      <c r="D54" s="401">
        <v>71350.6</v>
      </c>
      <c r="E54" s="402" t="s">
        <v>328</v>
      </c>
      <c r="F54" s="403"/>
      <c r="G54" s="436" t="s">
        <v>91</v>
      </c>
      <c r="H54" s="245">
        <v>240.0</v>
      </c>
    </row>
    <row r="55">
      <c r="A55" s="265"/>
      <c r="B55" s="404"/>
      <c r="C55" s="405"/>
      <c r="D55" s="399">
        <v>142727.38</v>
      </c>
      <c r="E55" s="398" t="s">
        <v>328</v>
      </c>
      <c r="F55" s="284"/>
      <c r="G55" s="285" t="s">
        <v>74</v>
      </c>
      <c r="H55" s="267"/>
    </row>
    <row r="56">
      <c r="A56" s="265"/>
      <c r="B56" s="404"/>
      <c r="C56" s="405"/>
      <c r="D56" s="399">
        <v>30638.71</v>
      </c>
      <c r="E56" s="398" t="s">
        <v>328</v>
      </c>
      <c r="F56" s="284"/>
      <c r="G56" s="285" t="s">
        <v>73</v>
      </c>
      <c r="H56" s="267"/>
    </row>
    <row r="57">
      <c r="A57" s="265"/>
      <c r="B57" s="404"/>
      <c r="C57" s="405"/>
      <c r="D57" s="399"/>
      <c r="E57" s="398"/>
      <c r="F57" s="284"/>
      <c r="G57" s="285"/>
      <c r="H57" s="251"/>
    </row>
    <row r="58">
      <c r="A58" s="265"/>
      <c r="B58" s="457"/>
      <c r="C58" s="405"/>
      <c r="D58" s="399"/>
      <c r="E58" s="398"/>
      <c r="F58" s="284"/>
      <c r="G58" s="285"/>
      <c r="H58" s="251"/>
    </row>
    <row r="59">
      <c r="A59" s="265"/>
      <c r="B59" s="468"/>
      <c r="C59" s="405"/>
      <c r="D59" s="399"/>
      <c r="E59" s="442"/>
      <c r="F59" s="483"/>
      <c r="G59" s="285"/>
      <c r="H59" s="251"/>
    </row>
    <row r="60">
      <c r="A60" s="265"/>
      <c r="B60" s="468"/>
      <c r="C60" s="405"/>
      <c r="D60" s="399"/>
      <c r="E60" s="442"/>
      <c r="F60" s="284"/>
      <c r="G60" s="285"/>
      <c r="H60" s="251"/>
    </row>
    <row r="61">
      <c r="A61" s="265"/>
      <c r="B61" s="404"/>
      <c r="C61" s="424"/>
      <c r="D61" s="399"/>
      <c r="E61" s="398"/>
      <c r="F61" s="284"/>
      <c r="G61" s="285"/>
      <c r="H61" s="251"/>
    </row>
    <row r="62">
      <c r="A62" s="265"/>
      <c r="B62" s="404"/>
      <c r="C62" s="424"/>
      <c r="D62" s="400"/>
      <c r="E62" s="442"/>
      <c r="F62" s="284"/>
      <c r="G62" s="285"/>
      <c r="H62" s="251"/>
    </row>
    <row r="63">
      <c r="A63" s="265"/>
      <c r="B63" s="404"/>
      <c r="C63" s="424"/>
      <c r="D63" s="399"/>
      <c r="E63" s="442"/>
      <c r="F63" s="284"/>
      <c r="G63" s="285"/>
      <c r="H63" s="251"/>
    </row>
    <row r="64">
      <c r="A64" s="265"/>
      <c r="B64" s="477"/>
      <c r="C64" s="424"/>
      <c r="D64" s="400"/>
      <c r="E64" s="442"/>
      <c r="F64" s="284"/>
      <c r="G64" s="481"/>
      <c r="H64" s="251"/>
    </row>
    <row r="65">
      <c r="A65" s="265"/>
      <c r="B65" s="404"/>
      <c r="C65" s="424"/>
      <c r="D65" s="400"/>
      <c r="E65" s="442"/>
      <c r="F65" s="284"/>
      <c r="G65" s="481"/>
      <c r="H65" s="251"/>
    </row>
    <row r="66">
      <c r="A66" s="265"/>
      <c r="B66" s="440"/>
      <c r="C66" s="424"/>
      <c r="D66" s="400"/>
      <c r="E66" s="442"/>
      <c r="F66" s="463"/>
      <c r="G66" s="481"/>
      <c r="H66" s="251"/>
    </row>
    <row r="67">
      <c r="A67" s="265"/>
      <c r="B67" s="480"/>
      <c r="C67" s="405"/>
      <c r="D67" s="400"/>
      <c r="E67" s="442"/>
      <c r="F67" s="463"/>
      <c r="G67" s="481"/>
      <c r="H67" s="251"/>
    </row>
    <row r="68">
      <c r="A68" s="265"/>
      <c r="B68" s="480"/>
      <c r="C68" s="424"/>
      <c r="D68" s="400"/>
      <c r="E68" s="442"/>
      <c r="F68" s="284"/>
      <c r="G68" s="481"/>
      <c r="H68" s="251"/>
    </row>
    <row r="69">
      <c r="A69" s="270"/>
      <c r="B69" s="478"/>
      <c r="C69" s="471"/>
      <c r="D69" s="472"/>
      <c r="E69" s="473"/>
      <c r="F69" s="474"/>
      <c r="G69" s="475"/>
      <c r="H69" s="261"/>
    </row>
    <row r="70">
      <c r="A70" s="262" t="s">
        <v>1062</v>
      </c>
      <c r="B70" s="425">
        <v>62500.0</v>
      </c>
      <c r="C70" s="426"/>
      <c r="D70" s="401"/>
      <c r="E70" s="402" t="s">
        <v>328</v>
      </c>
      <c r="F70" s="284"/>
      <c r="G70" s="436" t="s">
        <v>75</v>
      </c>
      <c r="H70" s="245">
        <v>270.0</v>
      </c>
    </row>
    <row r="71">
      <c r="A71" s="265"/>
      <c r="B71" s="404">
        <v>65932.02</v>
      </c>
      <c r="C71" s="405"/>
      <c r="D71" s="399"/>
      <c r="E71" s="442"/>
      <c r="F71" s="284"/>
      <c r="G71" s="398" t="s">
        <v>82</v>
      </c>
      <c r="H71" s="267"/>
    </row>
    <row r="72">
      <c r="A72" s="265"/>
      <c r="B72" s="404"/>
      <c r="C72" s="405"/>
      <c r="D72" s="399">
        <v>63570.0</v>
      </c>
      <c r="E72" s="398" t="s">
        <v>328</v>
      </c>
      <c r="F72" s="284"/>
      <c r="G72" s="285" t="s">
        <v>1320</v>
      </c>
      <c r="H72" s="267"/>
    </row>
    <row r="73">
      <c r="A73" s="265"/>
      <c r="B73" s="404"/>
      <c r="C73" s="405">
        <v>97858.71</v>
      </c>
      <c r="D73" s="399"/>
      <c r="E73" s="398"/>
      <c r="F73" s="284"/>
      <c r="G73" s="285" t="s">
        <v>84</v>
      </c>
      <c r="H73" s="251"/>
      <c r="I73" s="340"/>
      <c r="J73" s="340"/>
      <c r="K73" s="340"/>
      <c r="L73" s="2" t="s">
        <v>623</v>
      </c>
    </row>
    <row r="74">
      <c r="A74" s="265"/>
      <c r="B74" s="484"/>
      <c r="C74" s="485"/>
      <c r="D74" s="449">
        <v>421080.0</v>
      </c>
      <c r="E74" s="450" t="s">
        <v>328</v>
      </c>
      <c r="F74" s="451"/>
      <c r="G74" s="435" t="s">
        <v>877</v>
      </c>
      <c r="H74" s="251"/>
      <c r="I74" s="341"/>
      <c r="J74" s="340"/>
      <c r="K74" s="340"/>
    </row>
    <row r="75">
      <c r="A75" s="265"/>
      <c r="B75" s="404">
        <v>4000.0</v>
      </c>
      <c r="C75" s="405"/>
      <c r="D75" s="399"/>
      <c r="E75" s="442"/>
      <c r="F75" s="284"/>
      <c r="G75" s="285" t="s">
        <v>590</v>
      </c>
      <c r="H75" s="251"/>
      <c r="I75" s="340"/>
      <c r="J75" s="340"/>
      <c r="K75" s="341"/>
    </row>
    <row r="76">
      <c r="A76" s="265"/>
      <c r="B76" s="404"/>
      <c r="C76" s="424"/>
      <c r="D76" s="399"/>
      <c r="E76" s="442"/>
      <c r="F76" s="284"/>
      <c r="G76" s="285"/>
      <c r="H76" s="251"/>
      <c r="I76" s="340"/>
      <c r="J76" s="341"/>
      <c r="K76" s="341"/>
    </row>
    <row r="77">
      <c r="A77" s="265"/>
      <c r="B77" s="404"/>
      <c r="C77" s="424"/>
      <c r="D77" s="400"/>
      <c r="E77" s="442"/>
      <c r="F77" s="284"/>
      <c r="G77" s="285"/>
      <c r="H77" s="251"/>
    </row>
    <row r="78">
      <c r="A78" s="265"/>
      <c r="B78" s="404"/>
      <c r="C78" s="405"/>
      <c r="D78" s="400"/>
      <c r="E78" s="442"/>
      <c r="F78" s="284"/>
      <c r="G78" s="285"/>
      <c r="H78" s="251"/>
    </row>
    <row r="79">
      <c r="A79" s="265"/>
      <c r="B79" s="404"/>
      <c r="C79" s="405"/>
      <c r="D79" s="400"/>
      <c r="E79" s="442"/>
      <c r="F79" s="284"/>
      <c r="G79" s="285"/>
      <c r="H79" s="251"/>
    </row>
    <row r="80">
      <c r="A80" s="265"/>
      <c r="B80" s="440"/>
      <c r="C80" s="405"/>
      <c r="D80" s="400"/>
      <c r="E80" s="442"/>
      <c r="F80" s="463"/>
      <c r="G80" s="285"/>
      <c r="H80" s="251"/>
    </row>
    <row r="81">
      <c r="A81" s="265"/>
      <c r="B81" s="440"/>
      <c r="C81" s="424"/>
      <c r="D81" s="400"/>
      <c r="E81" s="442"/>
      <c r="F81" s="284"/>
      <c r="G81" s="285"/>
      <c r="H81" s="251"/>
    </row>
    <row r="82">
      <c r="A82" s="265"/>
      <c r="B82" s="440"/>
      <c r="C82" s="424"/>
      <c r="D82" s="400"/>
      <c r="E82" s="442"/>
      <c r="F82" s="463"/>
      <c r="G82" s="285"/>
      <c r="H82" s="251"/>
    </row>
    <row r="83">
      <c r="A83" s="270"/>
      <c r="B83" s="478"/>
      <c r="C83" s="471"/>
      <c r="D83" s="472"/>
      <c r="E83" s="473"/>
      <c r="F83" s="460"/>
      <c r="G83" s="482"/>
      <c r="H83" s="261"/>
    </row>
    <row r="84">
      <c r="A84" s="262" t="s">
        <v>1064</v>
      </c>
      <c r="B84" s="425">
        <v>18000.0</v>
      </c>
      <c r="C84" s="426"/>
      <c r="D84" s="401"/>
      <c r="E84" s="402"/>
      <c r="F84" s="403"/>
      <c r="G84" s="436" t="s">
        <v>1264</v>
      </c>
      <c r="H84" s="245">
        <v>150.0</v>
      </c>
    </row>
    <row r="85">
      <c r="A85" s="265"/>
      <c r="B85" s="404"/>
      <c r="C85" s="405"/>
      <c r="D85" s="399">
        <v>193189.45</v>
      </c>
      <c r="E85" s="398" t="s">
        <v>628</v>
      </c>
      <c r="F85" s="284"/>
      <c r="G85" s="285" t="s">
        <v>100</v>
      </c>
      <c r="H85" s="267"/>
    </row>
    <row r="86">
      <c r="A86" s="265"/>
      <c r="B86" s="404">
        <v>67500.0</v>
      </c>
      <c r="C86" s="405"/>
      <c r="D86" s="399"/>
      <c r="E86" s="398"/>
      <c r="F86" s="284"/>
      <c r="G86" s="195" t="s">
        <v>76</v>
      </c>
      <c r="H86" s="267"/>
    </row>
    <row r="87">
      <c r="A87" s="265"/>
      <c r="B87" s="404"/>
      <c r="C87" s="405"/>
      <c r="D87" s="399"/>
      <c r="E87" s="442"/>
      <c r="F87" s="284">
        <v>5000.0</v>
      </c>
      <c r="G87" s="285" t="s">
        <v>1186</v>
      </c>
      <c r="H87" s="251"/>
    </row>
    <row r="88">
      <c r="A88" s="265"/>
      <c r="B88" s="404"/>
      <c r="C88" s="405"/>
      <c r="D88" s="399"/>
      <c r="E88" s="442"/>
      <c r="F88" s="284">
        <v>21000.0</v>
      </c>
      <c r="G88" s="285" t="s">
        <v>1321</v>
      </c>
      <c r="H88" s="251"/>
    </row>
    <row r="89">
      <c r="A89" s="265"/>
      <c r="B89" s="404"/>
      <c r="C89" s="405"/>
      <c r="D89" s="399"/>
      <c r="E89" s="398"/>
      <c r="F89" s="284"/>
      <c r="G89" s="285"/>
      <c r="H89" s="251"/>
    </row>
    <row r="90">
      <c r="A90" s="265"/>
      <c r="B90" s="404"/>
      <c r="C90" s="424"/>
      <c r="D90" s="399"/>
      <c r="E90" s="398"/>
      <c r="F90" s="284"/>
      <c r="G90" s="285"/>
      <c r="H90" s="251"/>
    </row>
    <row r="91">
      <c r="A91" s="265"/>
      <c r="B91" s="404"/>
      <c r="C91" s="405"/>
      <c r="D91" s="399"/>
      <c r="E91" s="442"/>
      <c r="F91" s="284"/>
      <c r="G91" s="285"/>
      <c r="H91" s="251"/>
    </row>
    <row r="92">
      <c r="A92" s="265"/>
      <c r="B92" s="404"/>
      <c r="C92" s="424"/>
      <c r="D92" s="399"/>
      <c r="E92" s="442"/>
      <c r="F92" s="284"/>
      <c r="G92" s="285"/>
      <c r="H92" s="251"/>
    </row>
    <row r="93">
      <c r="A93" s="265"/>
      <c r="B93" s="404"/>
      <c r="C93" s="405"/>
      <c r="D93" s="400"/>
      <c r="E93" s="442"/>
      <c r="F93" s="284"/>
      <c r="G93" s="285"/>
      <c r="H93" s="251"/>
    </row>
    <row r="94">
      <c r="A94" s="265"/>
      <c r="B94" s="477"/>
      <c r="C94" s="424"/>
      <c r="D94" s="400"/>
      <c r="E94" s="442"/>
      <c r="F94" s="284"/>
      <c r="G94" s="285"/>
      <c r="H94" s="251"/>
    </row>
    <row r="95">
      <c r="A95" s="265"/>
      <c r="B95" s="477"/>
      <c r="C95" s="424"/>
      <c r="D95" s="400"/>
      <c r="E95" s="442"/>
      <c r="F95" s="284"/>
      <c r="G95" s="285"/>
      <c r="H95" s="251"/>
    </row>
    <row r="96">
      <c r="A96" s="265"/>
      <c r="B96" s="477"/>
      <c r="C96" s="424"/>
      <c r="D96" s="400"/>
      <c r="E96" s="442"/>
      <c r="F96" s="284"/>
      <c r="G96" s="481"/>
      <c r="H96" s="251"/>
    </row>
    <row r="97">
      <c r="A97" s="265"/>
      <c r="B97" s="477"/>
      <c r="C97" s="424"/>
      <c r="D97" s="400"/>
      <c r="E97" s="442"/>
      <c r="F97" s="284"/>
      <c r="G97" s="481"/>
      <c r="H97" s="251"/>
    </row>
    <row r="98">
      <c r="A98" s="265"/>
      <c r="B98" s="477"/>
      <c r="C98" s="424"/>
      <c r="D98" s="400"/>
      <c r="E98" s="442"/>
      <c r="F98" s="284"/>
      <c r="G98" s="481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70"/>
      <c r="B101" s="478"/>
      <c r="C101" s="471"/>
      <c r="D101" s="472"/>
      <c r="E101" s="473"/>
      <c r="F101" s="460"/>
      <c r="G101" s="482"/>
      <c r="H101" s="261"/>
    </row>
    <row r="102">
      <c r="A102" s="262" t="s">
        <v>1065</v>
      </c>
      <c r="B102" s="425"/>
      <c r="C102" s="426"/>
      <c r="D102" s="401"/>
      <c r="E102" s="402"/>
      <c r="F102" s="403"/>
      <c r="G102" s="436"/>
      <c r="H102" s="245">
        <v>180.0</v>
      </c>
      <c r="I102" s="2" t="s">
        <v>1322</v>
      </c>
    </row>
    <row r="103">
      <c r="A103" s="265"/>
      <c r="B103" s="404"/>
      <c r="C103" s="405"/>
      <c r="D103" s="399"/>
      <c r="E103" s="398"/>
      <c r="F103" s="284"/>
      <c r="G103" s="285"/>
      <c r="H103" s="267"/>
    </row>
    <row r="104">
      <c r="A104" s="265"/>
      <c r="B104" s="404"/>
      <c r="C104" s="405"/>
      <c r="D104" s="399"/>
      <c r="E104" s="398"/>
      <c r="F104" s="284"/>
      <c r="G104" s="285"/>
      <c r="H104" s="251"/>
    </row>
    <row r="105">
      <c r="A105" s="265"/>
      <c r="B105" s="425">
        <v>52500.0</v>
      </c>
      <c r="C105" s="426"/>
      <c r="D105" s="401"/>
      <c r="E105" s="402" t="s">
        <v>328</v>
      </c>
      <c r="F105" s="403"/>
      <c r="G105" s="436" t="s">
        <v>75</v>
      </c>
      <c r="H105" s="251"/>
      <c r="I105" s="266" t="s">
        <v>1323</v>
      </c>
      <c r="J105" s="309"/>
    </row>
    <row r="106">
      <c r="A106" s="265"/>
      <c r="B106" s="404">
        <v>40435.1</v>
      </c>
      <c r="C106" s="424"/>
      <c r="D106" s="399"/>
      <c r="E106" s="398"/>
      <c r="F106" s="284"/>
      <c r="G106" s="285" t="s">
        <v>82</v>
      </c>
      <c r="H106" s="251"/>
    </row>
    <row r="107">
      <c r="A107" s="265"/>
      <c r="B107" s="404"/>
      <c r="C107" s="405">
        <v>115100.8</v>
      </c>
      <c r="D107" s="399"/>
      <c r="E107" s="398"/>
      <c r="F107" s="284"/>
      <c r="G107" s="285" t="s">
        <v>89</v>
      </c>
      <c r="H107" s="251"/>
    </row>
    <row r="108">
      <c r="A108" s="265"/>
      <c r="B108" s="404"/>
      <c r="C108" s="424"/>
      <c r="D108" s="399"/>
      <c r="E108" s="442"/>
      <c r="F108" s="284"/>
      <c r="G108" s="285"/>
      <c r="H108" s="251"/>
      <c r="I108" s="417"/>
    </row>
    <row r="109">
      <c r="A109" s="265"/>
      <c r="B109" s="404"/>
      <c r="C109" s="405"/>
      <c r="D109" s="399"/>
      <c r="E109" s="442"/>
      <c r="F109" s="284"/>
      <c r="G109" s="285"/>
      <c r="H109" s="251"/>
    </row>
    <row r="110">
      <c r="A110" s="265"/>
      <c r="B110" s="404"/>
      <c r="C110" s="405"/>
      <c r="D110" s="400"/>
      <c r="E110" s="442"/>
      <c r="F110" s="284"/>
      <c r="G110" s="285"/>
      <c r="H110" s="251"/>
    </row>
    <row r="111">
      <c r="A111" s="265"/>
      <c r="B111" s="404"/>
      <c r="C111" s="405"/>
      <c r="D111" s="400"/>
      <c r="E111" s="442"/>
      <c r="F111" s="284"/>
      <c r="G111" s="285"/>
      <c r="H111" s="251"/>
    </row>
    <row r="112">
      <c r="A112" s="265"/>
      <c r="B112" s="404"/>
      <c r="C112" s="424"/>
      <c r="D112" s="399"/>
      <c r="E112" s="442"/>
      <c r="F112" s="284"/>
      <c r="G112" s="285"/>
      <c r="H112" s="251"/>
    </row>
    <row r="113">
      <c r="A113" s="265"/>
      <c r="B113" s="440"/>
      <c r="C113" s="424"/>
      <c r="D113" s="400"/>
      <c r="E113" s="442"/>
      <c r="F113" s="284"/>
      <c r="G113" s="285"/>
      <c r="H113" s="251"/>
    </row>
    <row r="114">
      <c r="A114" s="265"/>
      <c r="B114" s="440"/>
      <c r="C114" s="424"/>
      <c r="D114" s="400"/>
      <c r="E114" s="442"/>
      <c r="F114" s="284"/>
      <c r="G114" s="481"/>
      <c r="H114" s="251"/>
    </row>
    <row r="115">
      <c r="A115" s="265"/>
      <c r="B115" s="480"/>
      <c r="C115" s="424"/>
      <c r="D115" s="400"/>
      <c r="E115" s="442"/>
      <c r="F115" s="284"/>
      <c r="G115" s="481"/>
      <c r="H115" s="251"/>
    </row>
    <row r="116">
      <c r="A116" s="270"/>
      <c r="B116" s="478"/>
      <c r="C116" s="471"/>
      <c r="D116" s="472"/>
      <c r="E116" s="473"/>
      <c r="F116" s="460"/>
      <c r="G116" s="482"/>
      <c r="H116" s="261"/>
    </row>
    <row r="117">
      <c r="A117" s="262" t="s">
        <v>1066</v>
      </c>
      <c r="B117" s="425"/>
      <c r="C117" s="426"/>
      <c r="D117" s="401">
        <v>96000.0</v>
      </c>
      <c r="E117" s="402" t="s">
        <v>328</v>
      </c>
      <c r="F117" s="403"/>
      <c r="G117" s="436" t="s">
        <v>68</v>
      </c>
      <c r="H117" s="245">
        <v>300.0</v>
      </c>
      <c r="I117" s="2" t="s">
        <v>1324</v>
      </c>
    </row>
    <row r="118">
      <c r="A118" s="265"/>
      <c r="B118" s="404"/>
      <c r="C118" s="405"/>
      <c r="D118" s="399">
        <v>174224.44</v>
      </c>
      <c r="E118" s="398" t="s">
        <v>328</v>
      </c>
      <c r="F118" s="284"/>
      <c r="G118" s="285" t="s">
        <v>114</v>
      </c>
      <c r="H118" s="251"/>
    </row>
    <row r="119">
      <c r="A119" s="265"/>
      <c r="B119" s="404">
        <v>23400.0</v>
      </c>
      <c r="C119" s="405"/>
      <c r="D119" s="399"/>
      <c r="E119" s="398"/>
      <c r="F119" s="284"/>
      <c r="G119" s="285" t="s">
        <v>267</v>
      </c>
      <c r="H119" s="251"/>
    </row>
    <row r="120">
      <c r="A120" s="265"/>
      <c r="B120" s="404"/>
      <c r="C120" s="424"/>
      <c r="D120" s="399"/>
      <c r="E120" s="442"/>
      <c r="F120" s="284"/>
      <c r="G120" s="285"/>
      <c r="H120" s="251"/>
    </row>
    <row r="121">
      <c r="A121" s="265"/>
      <c r="B121" s="404"/>
      <c r="C121" s="405"/>
      <c r="D121" s="399"/>
      <c r="E121" s="398"/>
      <c r="F121" s="284"/>
      <c r="G121" s="285"/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04"/>
      <c r="C123" s="405"/>
      <c r="D123" s="399"/>
      <c r="E123" s="442"/>
      <c r="F123" s="284"/>
      <c r="G123" s="285"/>
      <c r="H123" s="251"/>
    </row>
    <row r="124">
      <c r="A124" s="265"/>
      <c r="B124" s="404"/>
      <c r="C124" s="424"/>
      <c r="D124" s="399"/>
      <c r="E124" s="442"/>
      <c r="F124" s="284"/>
      <c r="G124" s="285"/>
      <c r="H124" s="251"/>
    </row>
    <row r="125">
      <c r="A125" s="265"/>
      <c r="B125" s="477"/>
      <c r="C125" s="405"/>
      <c r="D125" s="399"/>
      <c r="E125" s="442"/>
      <c r="F125" s="284"/>
      <c r="G125" s="285"/>
      <c r="H125" s="251"/>
    </row>
    <row r="126">
      <c r="A126" s="265"/>
      <c r="B126" s="404"/>
      <c r="C126" s="424"/>
      <c r="D126" s="399"/>
      <c r="E126" s="442"/>
      <c r="F126" s="284"/>
      <c r="G126" s="442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40"/>
      <c r="C128" s="424"/>
      <c r="D128" s="400"/>
      <c r="E128" s="442"/>
      <c r="F128" s="284"/>
      <c r="G128" s="285"/>
      <c r="H128" s="251"/>
    </row>
    <row r="129">
      <c r="A129" s="265"/>
      <c r="B129" s="440"/>
      <c r="C129" s="424"/>
      <c r="D129" s="400"/>
      <c r="E129" s="442"/>
      <c r="F129" s="463"/>
      <c r="G129" s="481"/>
      <c r="H129" s="251"/>
    </row>
    <row r="130">
      <c r="A130" s="265"/>
      <c r="B130" s="480"/>
      <c r="C130" s="424"/>
      <c r="D130" s="400"/>
      <c r="E130" s="442"/>
      <c r="F130" s="284"/>
      <c r="G130" s="481"/>
      <c r="H130" s="251"/>
    </row>
    <row r="131">
      <c r="A131" s="270"/>
      <c r="B131" s="478"/>
      <c r="C131" s="471"/>
      <c r="D131" s="472"/>
      <c r="E131" s="473"/>
      <c r="F131" s="474"/>
      <c r="G131" s="475"/>
      <c r="H131" s="261"/>
    </row>
    <row r="132">
      <c r="A132" s="262" t="s">
        <v>1073</v>
      </c>
      <c r="B132" s="425">
        <v>76169.12</v>
      </c>
      <c r="C132" s="426"/>
      <c r="D132" s="401"/>
      <c r="E132" s="402"/>
      <c r="F132" s="403"/>
      <c r="G132" s="436" t="s">
        <v>82</v>
      </c>
      <c r="H132" s="245">
        <v>88.0</v>
      </c>
    </row>
    <row r="133">
      <c r="A133" s="265"/>
      <c r="B133" s="404"/>
      <c r="C133" s="405"/>
      <c r="D133" s="399"/>
      <c r="E133" s="398"/>
      <c r="F133" s="284">
        <v>21000.0</v>
      </c>
      <c r="G133" s="285" t="s">
        <v>605</v>
      </c>
      <c r="H133" s="267"/>
      <c r="I133" s="2" t="s">
        <v>1325</v>
      </c>
    </row>
    <row r="134">
      <c r="A134" s="265"/>
      <c r="B134" s="404"/>
      <c r="C134" s="405">
        <v>84218.67</v>
      </c>
      <c r="D134" s="399"/>
      <c r="E134" s="398"/>
      <c r="F134" s="284"/>
      <c r="G134" s="285" t="s">
        <v>71</v>
      </c>
      <c r="H134" s="251"/>
    </row>
    <row r="135">
      <c r="A135" s="265"/>
      <c r="B135" s="404">
        <v>93800.0</v>
      </c>
      <c r="C135" s="405"/>
      <c r="D135" s="399"/>
      <c r="E135" s="398" t="s">
        <v>328</v>
      </c>
      <c r="F135" s="284"/>
      <c r="G135" s="285" t="s">
        <v>75</v>
      </c>
      <c r="H135" s="251"/>
    </row>
    <row r="136">
      <c r="A136" s="265"/>
      <c r="B136" s="404"/>
      <c r="C136" s="405"/>
      <c r="D136" s="399">
        <v>63990.0</v>
      </c>
      <c r="E136" s="398"/>
      <c r="F136" s="284"/>
      <c r="G136" s="285" t="s">
        <v>118</v>
      </c>
      <c r="H136" s="251"/>
    </row>
    <row r="137">
      <c r="A137" s="265"/>
      <c r="B137" s="404"/>
      <c r="C137" s="405"/>
      <c r="D137" s="399"/>
      <c r="E137" s="398"/>
      <c r="F137" s="284">
        <v>15000.0</v>
      </c>
      <c r="G137" s="285" t="s">
        <v>1326</v>
      </c>
      <c r="H137" s="251"/>
    </row>
    <row r="138">
      <c r="A138" s="265"/>
      <c r="B138" s="404"/>
      <c r="C138" s="405"/>
      <c r="D138" s="399"/>
      <c r="E138" s="398"/>
      <c r="F138" s="284">
        <v>2070.0</v>
      </c>
      <c r="G138" s="285" t="s">
        <v>1327</v>
      </c>
      <c r="H138" s="251"/>
    </row>
    <row r="139">
      <c r="A139" s="265"/>
      <c r="B139" s="404"/>
      <c r="C139" s="424"/>
      <c r="D139" s="399"/>
      <c r="E139" s="442"/>
      <c r="F139" s="284">
        <v>20000.0</v>
      </c>
      <c r="G139" s="285" t="s">
        <v>1328</v>
      </c>
      <c r="H139" s="251"/>
    </row>
    <row r="140">
      <c r="A140" s="265"/>
      <c r="B140" s="404"/>
      <c r="C140" s="424"/>
      <c r="D140" s="399"/>
      <c r="E140" s="398"/>
      <c r="F140" s="284">
        <v>20000.0</v>
      </c>
      <c r="G140" s="285" t="s">
        <v>1329</v>
      </c>
      <c r="H140" s="251"/>
    </row>
    <row r="141">
      <c r="A141" s="265"/>
      <c r="B141" s="440"/>
      <c r="C141" s="424"/>
      <c r="D141" s="399"/>
      <c r="E141" s="442"/>
      <c r="F141" s="284">
        <v>30000.0</v>
      </c>
      <c r="G141" s="285" t="s">
        <v>95</v>
      </c>
      <c r="H141" s="251"/>
    </row>
    <row r="142">
      <c r="A142" s="270"/>
      <c r="B142" s="470"/>
      <c r="C142" s="471"/>
      <c r="D142" s="486">
        <v>18000.0</v>
      </c>
      <c r="E142" s="473"/>
      <c r="F142" s="474"/>
      <c r="G142" s="475" t="s">
        <v>94</v>
      </c>
      <c r="H142" s="261"/>
    </row>
    <row r="143">
      <c r="A143" s="262" t="s">
        <v>1074</v>
      </c>
      <c r="B143" s="425">
        <v>90516.65</v>
      </c>
      <c r="C143" s="426"/>
      <c r="D143" s="401"/>
      <c r="E143" s="402"/>
      <c r="F143" s="284"/>
      <c r="G143" s="436" t="s">
        <v>142</v>
      </c>
      <c r="H143" s="245">
        <v>143.0</v>
      </c>
    </row>
    <row r="144">
      <c r="A144" s="265"/>
      <c r="B144" s="404"/>
      <c r="C144" s="487"/>
      <c r="D144" s="399"/>
      <c r="E144" s="398"/>
      <c r="F144" s="284">
        <v>2871.0</v>
      </c>
      <c r="G144" s="285" t="s">
        <v>1327</v>
      </c>
      <c r="H144" s="267"/>
    </row>
    <row r="145">
      <c r="A145" s="265"/>
      <c r="B145" s="404"/>
      <c r="C145" s="405"/>
      <c r="D145" s="399">
        <v>184000.0</v>
      </c>
      <c r="E145" s="398" t="s">
        <v>328</v>
      </c>
      <c r="F145" s="284"/>
      <c r="G145" s="285" t="s">
        <v>122</v>
      </c>
      <c r="H145" s="267"/>
    </row>
    <row r="146">
      <c r="A146" s="265"/>
      <c r="B146" s="404">
        <v>148122.05</v>
      </c>
      <c r="C146" s="405"/>
      <c r="D146" s="399"/>
      <c r="E146" s="442"/>
      <c r="F146" s="284"/>
      <c r="G146" s="285" t="s">
        <v>103</v>
      </c>
      <c r="H146" s="251"/>
    </row>
    <row r="147">
      <c r="A147" s="265"/>
      <c r="B147" s="404"/>
      <c r="C147" s="405"/>
      <c r="D147" s="399"/>
      <c r="E147" s="285"/>
      <c r="F147" s="284"/>
      <c r="G147" s="285"/>
      <c r="H147" s="251"/>
      <c r="I147" s="254"/>
    </row>
    <row r="148">
      <c r="A148" s="265"/>
      <c r="B148" s="404"/>
      <c r="C148" s="424"/>
      <c r="D148" s="399"/>
      <c r="E148" s="442"/>
      <c r="F148" s="284"/>
      <c r="G148" s="285"/>
      <c r="H148" s="251"/>
    </row>
    <row r="149">
      <c r="A149" s="265"/>
      <c r="B149" s="404"/>
      <c r="C149" s="424"/>
      <c r="D149" s="399"/>
      <c r="E149" s="398"/>
      <c r="F149" s="284"/>
      <c r="G149" s="285"/>
      <c r="H149" s="267"/>
    </row>
    <row r="150">
      <c r="A150" s="265"/>
      <c r="B150" s="404"/>
      <c r="C150" s="424"/>
      <c r="D150" s="400"/>
      <c r="E150" s="442"/>
      <c r="F150" s="284"/>
      <c r="G150" s="285"/>
      <c r="H150" s="251"/>
    </row>
    <row r="151">
      <c r="A151" s="265"/>
      <c r="B151" s="404"/>
      <c r="C151" s="424"/>
      <c r="D151" s="399"/>
      <c r="E151" s="442"/>
      <c r="F151" s="284"/>
      <c r="G151" s="285"/>
      <c r="H151" s="251"/>
    </row>
    <row r="152">
      <c r="A152" s="265"/>
      <c r="B152" s="404"/>
      <c r="C152" s="424"/>
      <c r="D152" s="400"/>
      <c r="E152" s="442"/>
      <c r="F152" s="284"/>
      <c r="G152" s="285"/>
      <c r="H152" s="251"/>
    </row>
    <row r="153">
      <c r="A153" s="265"/>
      <c r="B153" s="404"/>
      <c r="C153" s="424"/>
      <c r="D153" s="400"/>
      <c r="E153" s="442"/>
      <c r="F153" s="284"/>
      <c r="G153" s="285"/>
      <c r="H153" s="251"/>
    </row>
    <row r="154">
      <c r="A154" s="265"/>
      <c r="B154" s="404"/>
      <c r="C154" s="424"/>
      <c r="D154" s="400"/>
      <c r="E154" s="442"/>
      <c r="F154" s="284"/>
      <c r="G154" s="285"/>
      <c r="H154" s="251"/>
    </row>
    <row r="155">
      <c r="A155" s="265"/>
      <c r="B155" s="477"/>
      <c r="C155" s="424"/>
      <c r="D155" s="400"/>
      <c r="E155" s="442"/>
      <c r="F155" s="284"/>
      <c r="G155" s="481"/>
      <c r="H155" s="251"/>
    </row>
    <row r="156">
      <c r="A156" s="265"/>
      <c r="B156" s="477"/>
      <c r="C156" s="424"/>
      <c r="D156" s="400"/>
      <c r="E156" s="442"/>
      <c r="F156" s="284"/>
      <c r="G156" s="481"/>
      <c r="H156" s="251"/>
    </row>
    <row r="157">
      <c r="A157" s="270"/>
      <c r="B157" s="478"/>
      <c r="C157" s="471"/>
      <c r="D157" s="472"/>
      <c r="E157" s="473"/>
      <c r="F157" s="474"/>
      <c r="G157" s="475"/>
      <c r="H157" s="261"/>
    </row>
    <row r="158">
      <c r="A158" s="262" t="s">
        <v>1075</v>
      </c>
      <c r="B158" s="404"/>
      <c r="C158" s="405">
        <f>16079.09+45247.68</f>
        <v>61326.77</v>
      </c>
      <c r="D158" s="399"/>
      <c r="E158" s="398"/>
      <c r="F158" s="284"/>
      <c r="G158" s="285" t="s">
        <v>84</v>
      </c>
      <c r="H158" s="286">
        <v>150.0</v>
      </c>
      <c r="I158" s="2" t="s">
        <v>1330</v>
      </c>
    </row>
    <row r="159">
      <c r="A159" s="265"/>
      <c r="B159" s="404">
        <v>104000.0</v>
      </c>
      <c r="C159" s="405"/>
      <c r="D159" s="399"/>
      <c r="E159" s="398" t="s">
        <v>328</v>
      </c>
      <c r="F159" s="284"/>
      <c r="G159" s="285" t="s">
        <v>75</v>
      </c>
      <c r="H159" s="251"/>
    </row>
    <row r="160">
      <c r="A160" s="265"/>
      <c r="B160" s="404">
        <v>61360.66</v>
      </c>
      <c r="C160" s="405"/>
      <c r="D160" s="399"/>
      <c r="E160" s="398"/>
      <c r="F160" s="284"/>
      <c r="G160" s="285" t="s">
        <v>82</v>
      </c>
      <c r="H160" s="267"/>
    </row>
    <row r="161">
      <c r="A161" s="265"/>
      <c r="B161" s="404"/>
      <c r="C161" s="405"/>
      <c r="D161" s="399">
        <v>505296.0</v>
      </c>
      <c r="E161" s="398" t="s">
        <v>328</v>
      </c>
      <c r="F161" s="284"/>
      <c r="G161" s="285" t="s">
        <v>877</v>
      </c>
      <c r="H161" s="251"/>
    </row>
    <row r="162">
      <c r="A162" s="265"/>
      <c r="B162" s="404">
        <v>47989.0</v>
      </c>
      <c r="C162" s="405"/>
      <c r="D162" s="399"/>
      <c r="E162" s="398"/>
      <c r="F162" s="284"/>
      <c r="G162" s="285" t="s">
        <v>548</v>
      </c>
      <c r="H162" s="267"/>
    </row>
    <row r="163">
      <c r="A163" s="265"/>
      <c r="B163" s="404">
        <v>8000.0</v>
      </c>
      <c r="C163" s="424"/>
      <c r="D163" s="399"/>
      <c r="E163" s="442"/>
      <c r="F163" s="284"/>
      <c r="G163" s="285" t="s">
        <v>1331</v>
      </c>
      <c r="H163" s="251"/>
    </row>
    <row r="164">
      <c r="A164" s="265"/>
      <c r="B164" s="404"/>
      <c r="C164" s="424"/>
      <c r="D164" s="399">
        <v>16834.0</v>
      </c>
      <c r="E164" s="398"/>
      <c r="F164" s="284"/>
      <c r="G164" s="285" t="s">
        <v>1332</v>
      </c>
      <c r="H164" s="251"/>
    </row>
    <row r="165">
      <c r="A165" s="265"/>
      <c r="B165" s="404"/>
      <c r="C165" s="424"/>
      <c r="D165" s="399">
        <f>8850+8400</f>
        <v>17250</v>
      </c>
      <c r="E165" s="442"/>
      <c r="F165" s="284"/>
      <c r="G165" s="285" t="s">
        <v>1333</v>
      </c>
      <c r="H165" s="251"/>
    </row>
    <row r="166">
      <c r="A166" s="265"/>
      <c r="B166" s="404"/>
      <c r="C166" s="405"/>
      <c r="D166" s="399"/>
      <c r="E166" s="442"/>
      <c r="F166" s="284"/>
      <c r="G166" s="285"/>
      <c r="H166" s="251"/>
    </row>
    <row r="167">
      <c r="A167" s="265"/>
      <c r="B167" s="404"/>
      <c r="C167" s="424"/>
      <c r="D167" s="399"/>
      <c r="E167" s="442"/>
      <c r="F167" s="284"/>
      <c r="G167" s="285"/>
      <c r="H167" s="251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05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24"/>
      <c r="D171" s="399"/>
      <c r="E171" s="442"/>
      <c r="F171" s="284"/>
      <c r="G171" s="285"/>
      <c r="H171" s="251"/>
    </row>
    <row r="172">
      <c r="A172" s="265"/>
      <c r="B172" s="404"/>
      <c r="C172" s="424"/>
      <c r="D172" s="400"/>
      <c r="E172" s="442"/>
      <c r="F172" s="284"/>
      <c r="G172" s="285"/>
      <c r="H172" s="251"/>
    </row>
    <row r="173">
      <c r="A173" s="270"/>
      <c r="B173" s="404"/>
      <c r="C173" s="424"/>
      <c r="D173" s="399"/>
      <c r="E173" s="442"/>
      <c r="F173" s="284"/>
      <c r="G173" s="285"/>
      <c r="H173" s="261"/>
    </row>
    <row r="174">
      <c r="A174" s="262" t="s">
        <v>568</v>
      </c>
      <c r="B174" s="425"/>
      <c r="C174" s="426">
        <v>214216.0</v>
      </c>
      <c r="D174" s="401"/>
      <c r="E174" s="402" t="s">
        <v>1261</v>
      </c>
      <c r="F174" s="403"/>
      <c r="G174" s="436" t="s">
        <v>89</v>
      </c>
      <c r="H174" s="245">
        <v>230.0</v>
      </c>
    </row>
    <row r="175">
      <c r="A175" s="265"/>
      <c r="B175" s="404">
        <v>77449.52</v>
      </c>
      <c r="C175" s="405"/>
      <c r="D175" s="399"/>
      <c r="E175" s="442"/>
      <c r="F175" s="284"/>
      <c r="G175" s="285" t="s">
        <v>73</v>
      </c>
      <c r="H175" s="267"/>
    </row>
    <row r="176">
      <c r="A176" s="265"/>
      <c r="B176" s="404">
        <v>62877.93</v>
      </c>
      <c r="C176" s="424"/>
      <c r="D176" s="399"/>
      <c r="E176" s="442"/>
      <c r="F176" s="284"/>
      <c r="G176" s="285" t="s">
        <v>74</v>
      </c>
      <c r="H176" s="251"/>
    </row>
    <row r="177">
      <c r="A177" s="265"/>
      <c r="B177" s="404">
        <v>83500.0</v>
      </c>
      <c r="C177" s="405"/>
      <c r="D177" s="399"/>
      <c r="E177" s="442"/>
      <c r="F177" s="284"/>
      <c r="G177" s="285" t="s">
        <v>76</v>
      </c>
      <c r="H177" s="251"/>
    </row>
    <row r="178">
      <c r="A178" s="265"/>
      <c r="B178" s="404"/>
      <c r="C178" s="405"/>
      <c r="D178" s="399"/>
      <c r="E178" s="442"/>
      <c r="F178" s="284"/>
      <c r="G178" s="285"/>
      <c r="H178" s="251"/>
    </row>
    <row r="179">
      <c r="A179" s="265"/>
      <c r="B179" s="404"/>
      <c r="C179" s="405"/>
      <c r="D179" s="399"/>
      <c r="E179" s="442"/>
      <c r="F179" s="284"/>
      <c r="G179" s="285"/>
      <c r="H179" s="267"/>
    </row>
    <row r="180">
      <c r="A180" s="265"/>
      <c r="B180" s="404"/>
      <c r="C180" s="405"/>
      <c r="D180" s="399"/>
      <c r="E180" s="442"/>
      <c r="F180" s="284"/>
      <c r="G180" s="488"/>
      <c r="H180" s="251"/>
    </row>
    <row r="181">
      <c r="A181" s="265"/>
      <c r="B181" s="404"/>
      <c r="C181" s="424"/>
      <c r="D181" s="399"/>
      <c r="E181" s="442"/>
      <c r="F181" s="284"/>
      <c r="G181" s="285"/>
      <c r="H181" s="251"/>
    </row>
    <row r="182">
      <c r="A182" s="265"/>
      <c r="B182" s="404"/>
      <c r="C182" s="405"/>
      <c r="D182" s="399"/>
      <c r="E182" s="442"/>
      <c r="F182" s="284"/>
      <c r="G182" s="285"/>
      <c r="H182" s="251"/>
    </row>
    <row r="183">
      <c r="A183" s="265"/>
      <c r="B183" s="404"/>
      <c r="C183" s="405"/>
      <c r="D183" s="400"/>
      <c r="E183" s="442"/>
      <c r="F183" s="284"/>
      <c r="G183" s="285"/>
      <c r="H183" s="251"/>
    </row>
    <row r="184">
      <c r="A184" s="265"/>
      <c r="B184" s="477"/>
      <c r="C184" s="405"/>
      <c r="D184" s="400"/>
      <c r="E184" s="442"/>
      <c r="F184" s="284"/>
      <c r="G184" s="481"/>
      <c r="H184" s="251"/>
    </row>
    <row r="185">
      <c r="A185" s="265"/>
      <c r="B185" s="404"/>
      <c r="C185" s="405"/>
      <c r="D185" s="400"/>
      <c r="E185" s="442"/>
      <c r="F185" s="284"/>
      <c r="G185" s="481"/>
      <c r="H185" s="251"/>
    </row>
    <row r="186">
      <c r="A186" s="265"/>
      <c r="B186" s="480"/>
      <c r="C186" s="424"/>
      <c r="D186" s="400"/>
      <c r="E186" s="442"/>
      <c r="F186" s="284"/>
      <c r="G186" s="481"/>
      <c r="H186" s="251"/>
    </row>
    <row r="187">
      <c r="A187" s="265"/>
      <c r="B187" s="480"/>
      <c r="C187" s="424"/>
      <c r="D187" s="400"/>
      <c r="E187" s="442"/>
      <c r="F187" s="463"/>
      <c r="G187" s="481"/>
      <c r="H187" s="251"/>
    </row>
    <row r="188">
      <c r="A188" s="270"/>
      <c r="B188" s="478"/>
      <c r="C188" s="471"/>
      <c r="D188" s="472"/>
      <c r="E188" s="473"/>
      <c r="F188" s="460"/>
      <c r="G188" s="482"/>
      <c r="H188" s="261"/>
    </row>
    <row r="189">
      <c r="A189" s="262" t="s">
        <v>571</v>
      </c>
      <c r="B189" s="425">
        <v>39000.0</v>
      </c>
      <c r="C189" s="426"/>
      <c r="D189" s="401"/>
      <c r="E189" s="402" t="s">
        <v>306</v>
      </c>
      <c r="F189" s="403"/>
      <c r="G189" s="436" t="s">
        <v>75</v>
      </c>
      <c r="H189" s="245">
        <v>230.0</v>
      </c>
    </row>
    <row r="190">
      <c r="A190" s="265"/>
      <c r="B190" s="404"/>
      <c r="C190" s="405"/>
      <c r="D190" s="399"/>
      <c r="E190" s="442"/>
      <c r="F190" s="284">
        <v>4800.0</v>
      </c>
      <c r="G190" s="285" t="s">
        <v>1126</v>
      </c>
      <c r="H190" s="267"/>
    </row>
    <row r="191">
      <c r="A191" s="265"/>
      <c r="B191" s="404">
        <v>85913.0</v>
      </c>
      <c r="C191" s="424"/>
      <c r="D191" s="399"/>
      <c r="E191" s="398"/>
      <c r="F191" s="284"/>
      <c r="G191" s="285" t="s">
        <v>1334</v>
      </c>
      <c r="H191" s="251"/>
    </row>
    <row r="192">
      <c r="A192" s="265"/>
      <c r="B192" s="404"/>
      <c r="C192" s="405">
        <v>250521.6</v>
      </c>
      <c r="D192" s="399"/>
      <c r="E192" s="398" t="s">
        <v>328</v>
      </c>
      <c r="F192" s="284"/>
      <c r="G192" s="285" t="s">
        <v>114</v>
      </c>
      <c r="H192" s="251"/>
    </row>
    <row r="193">
      <c r="A193" s="265"/>
      <c r="B193" s="404"/>
      <c r="C193" s="405"/>
      <c r="D193" s="399">
        <v>157432.64</v>
      </c>
      <c r="E193" s="398"/>
      <c r="F193" s="284"/>
      <c r="G193" s="285" t="s">
        <v>1335</v>
      </c>
      <c r="H193" s="251"/>
    </row>
    <row r="194">
      <c r="A194" s="265"/>
      <c r="B194" s="404"/>
      <c r="C194" s="405"/>
      <c r="D194" s="399"/>
      <c r="E194" s="398"/>
      <c r="F194" s="284"/>
      <c r="G194" s="285"/>
      <c r="H194" s="251"/>
    </row>
    <row r="195">
      <c r="A195" s="265"/>
      <c r="B195" s="404"/>
      <c r="C195" s="424"/>
      <c r="D195" s="399"/>
      <c r="E195" s="398"/>
      <c r="F195" s="284"/>
      <c r="G195" s="285"/>
      <c r="H195" s="251"/>
    </row>
    <row r="196">
      <c r="A196" s="265"/>
      <c r="B196" s="404"/>
      <c r="C196" s="424"/>
      <c r="D196" s="400"/>
      <c r="E196" s="398"/>
      <c r="F196" s="284"/>
      <c r="G196" s="285"/>
      <c r="H196" s="251"/>
      <c r="I196" s="269"/>
      <c r="J196" s="269"/>
      <c r="K196" s="269"/>
    </row>
    <row r="197">
      <c r="A197" s="265"/>
      <c r="B197" s="404"/>
      <c r="C197" s="405"/>
      <c r="D197" s="399"/>
      <c r="E197" s="481"/>
      <c r="F197" s="284"/>
      <c r="G197" s="285"/>
      <c r="H197" s="251"/>
      <c r="I197" s="269"/>
      <c r="J197" s="269"/>
      <c r="K197" s="269"/>
    </row>
    <row r="198">
      <c r="A198" s="265"/>
      <c r="B198" s="440"/>
      <c r="C198" s="424"/>
      <c r="D198" s="399"/>
      <c r="E198" s="285"/>
      <c r="F198" s="284"/>
      <c r="G198" s="285"/>
      <c r="H198" s="251"/>
      <c r="I198" s="254"/>
      <c r="J198" s="269"/>
      <c r="K198" s="269"/>
    </row>
    <row r="199">
      <c r="A199" s="265"/>
      <c r="B199" s="440"/>
      <c r="C199" s="424"/>
      <c r="D199" s="400"/>
      <c r="E199" s="481"/>
      <c r="F199" s="463"/>
      <c r="G199" s="285"/>
      <c r="H199" s="251"/>
      <c r="I199" s="269"/>
      <c r="J199" s="269"/>
      <c r="K199" s="269"/>
    </row>
    <row r="200">
      <c r="A200" s="270"/>
      <c r="B200" s="478"/>
      <c r="C200" s="471"/>
      <c r="D200" s="472"/>
      <c r="E200" s="482"/>
      <c r="F200" s="460"/>
      <c r="G200" s="482"/>
      <c r="H200" s="261"/>
      <c r="I200" s="269"/>
      <c r="J200" s="269"/>
      <c r="K200" s="269"/>
    </row>
    <row r="201">
      <c r="A201" s="262" t="s">
        <v>1336</v>
      </c>
      <c r="B201" s="425">
        <v>22140.0</v>
      </c>
      <c r="C201" s="426"/>
      <c r="D201" s="401"/>
      <c r="E201" s="402"/>
      <c r="F201" s="403"/>
      <c r="G201" s="436" t="s">
        <v>291</v>
      </c>
      <c r="H201" s="245"/>
      <c r="I201" s="254" t="s">
        <v>1337</v>
      </c>
      <c r="J201" s="254"/>
      <c r="K201" s="254"/>
    </row>
    <row r="202">
      <c r="A202" s="265"/>
      <c r="B202" s="404"/>
      <c r="C202" s="405"/>
      <c r="D202" s="399"/>
      <c r="E202" s="442"/>
      <c r="F202" s="284">
        <v>35000.0</v>
      </c>
      <c r="G202" s="285" t="s">
        <v>1338</v>
      </c>
      <c r="H202" s="267">
        <v>104.0</v>
      </c>
      <c r="I202" s="254" t="s">
        <v>1339</v>
      </c>
      <c r="J202" s="254"/>
      <c r="K202" s="254"/>
    </row>
    <row r="203">
      <c r="A203" s="265"/>
      <c r="B203" s="404"/>
      <c r="C203" s="405"/>
      <c r="D203" s="399"/>
      <c r="E203" s="398"/>
      <c r="F203" s="284">
        <v>58500.0</v>
      </c>
      <c r="G203" s="285" t="s">
        <v>1340</v>
      </c>
      <c r="H203" s="251"/>
      <c r="I203" s="254"/>
      <c r="J203" s="254"/>
      <c r="K203" s="254"/>
    </row>
    <row r="204">
      <c r="A204" s="265"/>
      <c r="B204" s="404"/>
      <c r="C204" s="405"/>
      <c r="D204" s="399"/>
      <c r="E204" s="398"/>
      <c r="F204" s="284">
        <v>19000.0</v>
      </c>
      <c r="G204" s="285" t="s">
        <v>1341</v>
      </c>
      <c r="H204" s="267"/>
      <c r="I204" s="254"/>
      <c r="J204" s="269"/>
      <c r="K204" s="269"/>
    </row>
    <row r="205">
      <c r="A205" s="265"/>
      <c r="B205" s="404"/>
      <c r="C205" s="405"/>
      <c r="D205" s="399"/>
      <c r="E205" s="398"/>
      <c r="F205" s="284"/>
      <c r="G205" s="285"/>
      <c r="H205" s="251"/>
      <c r="I205" s="269"/>
      <c r="J205" s="269"/>
      <c r="K205" s="269"/>
    </row>
    <row r="206">
      <c r="A206" s="265"/>
      <c r="B206" s="404"/>
      <c r="C206" s="405"/>
      <c r="D206" s="399"/>
      <c r="E206" s="398"/>
      <c r="F206" s="284"/>
      <c r="G206" s="285"/>
      <c r="H206" s="251"/>
      <c r="I206" s="269"/>
      <c r="J206" s="269"/>
      <c r="K206" s="269"/>
    </row>
    <row r="207">
      <c r="A207" s="265"/>
      <c r="B207" s="404"/>
      <c r="C207" s="424"/>
      <c r="D207" s="399"/>
      <c r="E207" s="398"/>
      <c r="F207" s="284"/>
      <c r="G207" s="285"/>
      <c r="H207" s="267">
        <v>150.0</v>
      </c>
      <c r="I207" s="254" t="s">
        <v>1342</v>
      </c>
      <c r="J207" s="269"/>
      <c r="K207" s="269"/>
    </row>
    <row r="208">
      <c r="A208" s="265"/>
      <c r="B208" s="404"/>
      <c r="C208" s="424"/>
      <c r="D208" s="400"/>
      <c r="E208" s="398"/>
      <c r="F208" s="284"/>
      <c r="G208" s="285"/>
      <c r="H208" s="251"/>
      <c r="I208" s="254"/>
      <c r="J208" s="269"/>
      <c r="K208" s="269"/>
    </row>
    <row r="209">
      <c r="A209" s="265"/>
      <c r="B209" s="404"/>
      <c r="C209" s="424"/>
      <c r="D209" s="400"/>
      <c r="E209" s="442"/>
      <c r="F209" s="284"/>
      <c r="G209" s="285"/>
      <c r="H209" s="251"/>
      <c r="I209" s="269"/>
      <c r="J209" s="269"/>
      <c r="K209" s="269"/>
    </row>
    <row r="210">
      <c r="A210" s="265"/>
      <c r="B210" s="404"/>
      <c r="C210" s="424"/>
      <c r="D210" s="400"/>
      <c r="E210" s="442"/>
      <c r="F210" s="284"/>
      <c r="G210" s="285"/>
      <c r="H210" s="251"/>
    </row>
    <row r="211">
      <c r="A211" s="265"/>
      <c r="B211" s="404"/>
      <c r="C211" s="424"/>
      <c r="D211" s="400"/>
      <c r="E211" s="442"/>
      <c r="F211" s="284"/>
      <c r="G211" s="285"/>
      <c r="H211" s="251"/>
    </row>
    <row r="212">
      <c r="A212" s="265"/>
      <c r="B212" s="440"/>
      <c r="C212" s="424"/>
      <c r="D212" s="400"/>
      <c r="E212" s="442"/>
      <c r="F212" s="284"/>
      <c r="G212" s="285"/>
      <c r="H212" s="251"/>
    </row>
    <row r="213">
      <c r="A213" s="265"/>
      <c r="B213" s="480"/>
      <c r="C213" s="424"/>
      <c r="D213" s="400"/>
      <c r="E213" s="442"/>
      <c r="F213" s="463"/>
      <c r="G213" s="481"/>
      <c r="H213" s="251"/>
    </row>
    <row r="214">
      <c r="A214" s="265"/>
      <c r="B214" s="480"/>
      <c r="C214" s="424"/>
      <c r="D214" s="400"/>
      <c r="E214" s="442"/>
      <c r="F214" s="463"/>
      <c r="G214" s="481"/>
      <c r="H214" s="251"/>
    </row>
    <row r="215">
      <c r="A215" s="270"/>
      <c r="B215" s="478"/>
      <c r="C215" s="471"/>
      <c r="D215" s="472"/>
      <c r="E215" s="473"/>
      <c r="F215" s="460"/>
      <c r="G215" s="482"/>
      <c r="H215" s="261"/>
    </row>
    <row r="216">
      <c r="A216" s="262" t="s">
        <v>575</v>
      </c>
      <c r="B216" s="425">
        <v>58639.0</v>
      </c>
      <c r="C216" s="426"/>
      <c r="D216" s="401"/>
      <c r="E216" s="402"/>
      <c r="F216" s="403"/>
      <c r="G216" s="398" t="s">
        <v>82</v>
      </c>
      <c r="H216" s="245">
        <v>100.0</v>
      </c>
      <c r="I216" s="2">
        <v>220.0</v>
      </c>
    </row>
    <row r="217">
      <c r="A217" s="265"/>
      <c r="B217" s="404">
        <v>48000.0</v>
      </c>
      <c r="C217" s="405"/>
      <c r="D217" s="399"/>
      <c r="E217" s="398"/>
      <c r="F217" s="284"/>
      <c r="G217" s="285" t="s">
        <v>68</v>
      </c>
      <c r="H217" s="267"/>
    </row>
    <row r="218">
      <c r="A218" s="265"/>
      <c r="B218" s="404">
        <v>114500.0</v>
      </c>
      <c r="C218" s="405"/>
      <c r="D218" s="399"/>
      <c r="E218" s="398" t="s">
        <v>328</v>
      </c>
      <c r="F218" s="284"/>
      <c r="G218" s="285" t="s">
        <v>75</v>
      </c>
      <c r="H218" s="251"/>
    </row>
    <row r="219">
      <c r="A219" s="265"/>
      <c r="B219" s="404"/>
      <c r="C219" s="405"/>
      <c r="D219" s="399"/>
      <c r="E219" s="398"/>
      <c r="F219" s="284">
        <v>5000.0</v>
      </c>
      <c r="G219" s="285" t="s">
        <v>1343</v>
      </c>
      <c r="H219" s="251"/>
    </row>
    <row r="220">
      <c r="A220" s="265"/>
      <c r="B220" s="404"/>
      <c r="C220" s="424"/>
      <c r="D220" s="399"/>
      <c r="E220" s="398"/>
      <c r="F220" s="284"/>
      <c r="G220" s="285"/>
      <c r="H220" s="267"/>
    </row>
    <row r="221">
      <c r="A221" s="265"/>
      <c r="B221" s="404"/>
      <c r="C221" s="405"/>
      <c r="D221" s="399"/>
      <c r="E221" s="398"/>
      <c r="F221" s="284"/>
      <c r="G221" s="285"/>
      <c r="H221" s="267"/>
    </row>
    <row r="222">
      <c r="A222" s="265"/>
      <c r="B222" s="404"/>
      <c r="C222" s="405"/>
      <c r="D222" s="399"/>
      <c r="E222" s="398"/>
      <c r="F222" s="284"/>
      <c r="G222" s="285"/>
      <c r="H222" s="251"/>
    </row>
    <row r="223">
      <c r="A223" s="265"/>
      <c r="B223" s="404"/>
      <c r="C223" s="424"/>
      <c r="D223" s="400"/>
      <c r="E223" s="398"/>
      <c r="F223" s="284"/>
      <c r="G223" s="285"/>
      <c r="H223" s="251"/>
    </row>
    <row r="224">
      <c r="A224" s="265"/>
      <c r="B224" s="404"/>
      <c r="C224" s="424"/>
      <c r="D224" s="399"/>
      <c r="E224" s="398"/>
      <c r="F224" s="284"/>
      <c r="G224" s="285"/>
      <c r="H224" s="251"/>
    </row>
    <row r="225">
      <c r="A225" s="265"/>
      <c r="B225" s="404"/>
      <c r="C225" s="424"/>
      <c r="D225" s="400"/>
      <c r="E225" s="442"/>
      <c r="F225" s="284"/>
      <c r="G225" s="285"/>
      <c r="H225" s="251"/>
    </row>
    <row r="226">
      <c r="A226" s="265"/>
      <c r="B226" s="480"/>
      <c r="C226" s="424"/>
      <c r="D226" s="400"/>
      <c r="E226" s="442"/>
      <c r="F226" s="284"/>
      <c r="G226" s="285"/>
      <c r="H226" s="251"/>
    </row>
    <row r="227">
      <c r="A227" s="265"/>
      <c r="B227" s="480"/>
      <c r="C227" s="424"/>
      <c r="D227" s="400"/>
      <c r="E227" s="442"/>
      <c r="F227" s="284"/>
      <c r="G227" s="481"/>
      <c r="H227" s="251"/>
    </row>
    <row r="228">
      <c r="A228" s="265"/>
      <c r="B228" s="480"/>
      <c r="C228" s="424"/>
      <c r="D228" s="400"/>
      <c r="E228" s="442"/>
      <c r="F228" s="284"/>
      <c r="G228" s="481"/>
      <c r="H228" s="251"/>
    </row>
    <row r="229">
      <c r="A229" s="270"/>
      <c r="B229" s="478"/>
      <c r="C229" s="471"/>
      <c r="D229" s="472"/>
      <c r="E229" s="473"/>
      <c r="F229" s="460"/>
      <c r="G229" s="482"/>
      <c r="H229" s="261"/>
    </row>
    <row r="230">
      <c r="A230" s="262" t="s">
        <v>576</v>
      </c>
      <c r="B230" s="425">
        <f>83337.29</f>
        <v>83337.29</v>
      </c>
      <c r="C230" s="426"/>
      <c r="D230" s="401"/>
      <c r="E230" s="402"/>
      <c r="F230" s="403"/>
      <c r="G230" s="436" t="s">
        <v>142</v>
      </c>
      <c r="H230" s="245">
        <v>60.0</v>
      </c>
    </row>
    <row r="231">
      <c r="A231" s="265"/>
      <c r="B231" s="404">
        <v>90516.65</v>
      </c>
      <c r="C231" s="405"/>
      <c r="D231" s="399"/>
      <c r="E231" s="398"/>
      <c r="F231" s="284"/>
      <c r="G231" s="285" t="s">
        <v>142</v>
      </c>
      <c r="H231" s="251"/>
      <c r="I231" s="2" t="s">
        <v>1344</v>
      </c>
      <c r="K231" s="2" t="s">
        <v>1259</v>
      </c>
    </row>
    <row r="232">
      <c r="A232" s="265"/>
      <c r="B232" s="404"/>
      <c r="C232" s="405"/>
      <c r="D232" s="399">
        <v>220490.0</v>
      </c>
      <c r="E232" s="398" t="s">
        <v>328</v>
      </c>
      <c r="F232" s="284"/>
      <c r="G232" s="285" t="s">
        <v>732</v>
      </c>
      <c r="H232" s="267">
        <v>-200.0</v>
      </c>
      <c r="I232" s="2" t="s">
        <v>1181</v>
      </c>
    </row>
    <row r="233">
      <c r="A233" s="265"/>
      <c r="B233" s="404">
        <v>18233.0</v>
      </c>
      <c r="C233" s="405"/>
      <c r="D233" s="399"/>
      <c r="E233" s="398"/>
      <c r="F233" s="284"/>
      <c r="G233" s="285" t="s">
        <v>1345</v>
      </c>
      <c r="H233" s="267"/>
    </row>
    <row r="234">
      <c r="A234" s="265"/>
      <c r="B234" s="404">
        <v>68607.0</v>
      </c>
      <c r="C234" s="405"/>
      <c r="D234" s="399"/>
      <c r="E234" s="398" t="s">
        <v>328</v>
      </c>
      <c r="F234" s="284"/>
      <c r="G234" s="285" t="s">
        <v>79</v>
      </c>
      <c r="H234" s="251"/>
    </row>
    <row r="235">
      <c r="A235" s="265"/>
      <c r="B235" s="404"/>
      <c r="C235" s="405"/>
      <c r="D235" s="399"/>
      <c r="E235" s="442"/>
      <c r="F235" s="284">
        <v>2100.0</v>
      </c>
      <c r="G235" s="285" t="s">
        <v>1346</v>
      </c>
      <c r="H235" s="251"/>
    </row>
    <row r="236">
      <c r="A236" s="265"/>
      <c r="B236" s="404"/>
      <c r="C236" s="424"/>
      <c r="D236" s="399"/>
      <c r="E236" s="442"/>
      <c r="F236" s="284"/>
      <c r="G236" s="285"/>
      <c r="H236" s="251"/>
    </row>
    <row r="237">
      <c r="A237" s="265"/>
      <c r="B237" s="404"/>
      <c r="C237" s="405"/>
      <c r="D237" s="400"/>
      <c r="E237" s="442"/>
      <c r="F237" s="284"/>
      <c r="G237" s="285"/>
      <c r="H237" s="251"/>
    </row>
    <row r="238">
      <c r="A238" s="265"/>
      <c r="B238" s="404"/>
      <c r="C238" s="424"/>
      <c r="D238" s="400"/>
      <c r="E238" s="442"/>
      <c r="F238" s="284"/>
      <c r="G238" s="285"/>
      <c r="H238" s="251"/>
    </row>
    <row r="239">
      <c r="A239" s="265"/>
      <c r="B239" s="404"/>
      <c r="C239" s="424"/>
      <c r="D239" s="399"/>
      <c r="E239" s="398"/>
      <c r="F239" s="284"/>
      <c r="G239" s="285"/>
      <c r="H239" s="251"/>
    </row>
    <row r="240">
      <c r="A240" s="265"/>
      <c r="B240" s="404"/>
      <c r="C240" s="424"/>
      <c r="D240" s="399"/>
      <c r="E240" s="442"/>
      <c r="F240" s="284"/>
      <c r="G240" s="285"/>
      <c r="H240" s="267"/>
    </row>
    <row r="241">
      <c r="A241" s="265"/>
      <c r="B241" s="477"/>
      <c r="C241" s="424"/>
      <c r="D241" s="399"/>
      <c r="E241" s="442"/>
      <c r="F241" s="284"/>
      <c r="G241" s="285"/>
      <c r="H241" s="251"/>
    </row>
    <row r="242">
      <c r="A242" s="265"/>
      <c r="B242" s="477"/>
      <c r="C242" s="424"/>
      <c r="D242" s="400"/>
      <c r="E242" s="442"/>
      <c r="F242" s="284"/>
      <c r="G242" s="285"/>
      <c r="H242" s="251"/>
    </row>
    <row r="243">
      <c r="A243" s="265"/>
      <c r="B243" s="477"/>
      <c r="C243" s="424"/>
      <c r="D243" s="400"/>
      <c r="E243" s="442"/>
      <c r="F243" s="284"/>
      <c r="G243" s="285"/>
      <c r="H243" s="251"/>
    </row>
    <row r="244">
      <c r="A244" s="270"/>
      <c r="B244" s="478"/>
      <c r="C244" s="471"/>
      <c r="D244" s="472"/>
      <c r="E244" s="473"/>
      <c r="F244" s="474"/>
      <c r="G244" s="475"/>
      <c r="H244" s="261"/>
    </row>
    <row r="245">
      <c r="A245" s="262" t="s">
        <v>577</v>
      </c>
      <c r="B245" s="425">
        <v>120000.0</v>
      </c>
      <c r="C245" s="426"/>
      <c r="D245" s="399"/>
      <c r="E245" s="398" t="s">
        <v>328</v>
      </c>
      <c r="F245" s="284"/>
      <c r="G245" s="285" t="s">
        <v>75</v>
      </c>
      <c r="H245" s="245">
        <v>176.0</v>
      </c>
      <c r="I245" s="2">
        <v>240.0</v>
      </c>
    </row>
    <row r="246">
      <c r="A246" s="265"/>
      <c r="B246" s="404">
        <v>58115.5</v>
      </c>
      <c r="C246" s="405"/>
      <c r="D246" s="399"/>
      <c r="E246" s="398"/>
      <c r="F246" s="284"/>
      <c r="G246" s="285" t="s">
        <v>82</v>
      </c>
      <c r="H246" s="267"/>
    </row>
    <row r="247">
      <c r="A247" s="265"/>
      <c r="B247" s="404"/>
      <c r="C247" s="405">
        <v>168691.17</v>
      </c>
      <c r="D247" s="399"/>
      <c r="E247" s="398"/>
      <c r="F247" s="284"/>
      <c r="G247" s="285" t="s">
        <v>84</v>
      </c>
      <c r="H247" s="251"/>
    </row>
    <row r="248">
      <c r="A248" s="265"/>
      <c r="B248" s="404"/>
      <c r="C248" s="405">
        <f>38573.23+159048.45</f>
        <v>197621.68</v>
      </c>
      <c r="D248" s="399"/>
      <c r="E248" s="442"/>
      <c r="F248" s="284"/>
      <c r="G248" s="285" t="s">
        <v>71</v>
      </c>
      <c r="H248" s="251"/>
    </row>
    <row r="249">
      <c r="A249" s="265"/>
      <c r="B249" s="404"/>
      <c r="C249" s="405"/>
      <c r="D249" s="399"/>
      <c r="E249" s="398"/>
      <c r="F249" s="284">
        <v>3350.0</v>
      </c>
      <c r="G249" s="285" t="s">
        <v>590</v>
      </c>
      <c r="H249" s="251"/>
    </row>
    <row r="250">
      <c r="A250" s="265"/>
      <c r="B250" s="404"/>
      <c r="C250" s="405"/>
      <c r="D250" s="399"/>
      <c r="E250" s="442"/>
      <c r="F250" s="284"/>
      <c r="G250" s="285"/>
      <c r="H250" s="251"/>
    </row>
    <row r="251">
      <c r="A251" s="265"/>
      <c r="B251" s="404"/>
      <c r="C251" s="405"/>
      <c r="D251" s="399"/>
      <c r="E251" s="442"/>
      <c r="F251" s="284"/>
      <c r="G251" s="285"/>
      <c r="H251" s="251"/>
    </row>
    <row r="252">
      <c r="A252" s="265"/>
      <c r="B252" s="404"/>
      <c r="C252" s="405"/>
      <c r="D252" s="399"/>
      <c r="E252" s="442"/>
      <c r="F252" s="284"/>
      <c r="G252" s="285"/>
      <c r="H252" s="251"/>
    </row>
    <row r="253">
      <c r="A253" s="265"/>
      <c r="B253" s="404"/>
      <c r="C253" s="424"/>
      <c r="D253" s="399"/>
      <c r="E253" s="442"/>
      <c r="F253" s="284"/>
      <c r="G253" s="285"/>
      <c r="H253" s="251"/>
    </row>
    <row r="254">
      <c r="A254" s="265"/>
      <c r="B254" s="404"/>
      <c r="C254" s="424"/>
      <c r="D254" s="489"/>
      <c r="E254" s="490"/>
      <c r="F254" s="451"/>
      <c r="G254" s="435"/>
      <c r="H254" s="251"/>
    </row>
    <row r="255">
      <c r="A255" s="265"/>
      <c r="B255" s="404"/>
      <c r="C255" s="424"/>
      <c r="D255" s="400"/>
      <c r="E255" s="442"/>
      <c r="F255" s="284"/>
      <c r="G255" s="285"/>
      <c r="H255" s="251"/>
    </row>
    <row r="256">
      <c r="A256" s="265"/>
      <c r="B256" s="477"/>
      <c r="C256" s="424"/>
      <c r="D256" s="400"/>
      <c r="E256" s="442"/>
      <c r="F256" s="284"/>
      <c r="G256" s="481"/>
      <c r="H256" s="251"/>
    </row>
    <row r="257">
      <c r="A257" s="270"/>
      <c r="B257" s="478"/>
      <c r="C257" s="471"/>
      <c r="D257" s="472"/>
      <c r="E257" s="473"/>
      <c r="F257" s="474"/>
      <c r="G257" s="475"/>
      <c r="H257" s="261"/>
    </row>
    <row r="258">
      <c r="A258" s="262" t="s">
        <v>579</v>
      </c>
      <c r="B258" s="425"/>
      <c r="C258" s="426"/>
      <c r="D258" s="399">
        <v>229054.32</v>
      </c>
      <c r="E258" s="398" t="s">
        <v>328</v>
      </c>
      <c r="F258" s="284"/>
      <c r="G258" s="285" t="s">
        <v>114</v>
      </c>
      <c r="H258" s="245">
        <v>108.0</v>
      </c>
      <c r="I258" s="2">
        <v>130.0</v>
      </c>
    </row>
    <row r="259">
      <c r="A259" s="265"/>
      <c r="B259" s="404"/>
      <c r="C259" s="405"/>
      <c r="D259" s="399">
        <v>148185.67</v>
      </c>
      <c r="E259" s="398" t="s">
        <v>328</v>
      </c>
      <c r="F259" s="284"/>
      <c r="G259" s="285" t="s">
        <v>91</v>
      </c>
      <c r="H259" s="267"/>
    </row>
    <row r="260">
      <c r="A260" s="265"/>
      <c r="B260" s="404">
        <v>32000.0</v>
      </c>
      <c r="C260" s="405"/>
      <c r="D260" s="399"/>
      <c r="E260" s="442"/>
      <c r="F260" s="284"/>
      <c r="G260" s="285" t="s">
        <v>1347</v>
      </c>
      <c r="H260" s="251"/>
    </row>
    <row r="261">
      <c r="A261" s="265"/>
      <c r="B261" s="404"/>
      <c r="C261" s="405"/>
      <c r="D261" s="399"/>
      <c r="E261" s="398"/>
      <c r="F261" s="284">
        <v>1710.0</v>
      </c>
      <c r="G261" s="285" t="s">
        <v>1348</v>
      </c>
      <c r="H261" s="251"/>
    </row>
    <row r="262">
      <c r="A262" s="265"/>
      <c r="B262" s="404"/>
      <c r="C262" s="405"/>
      <c r="D262" s="399"/>
      <c r="E262" s="398"/>
      <c r="F262" s="284"/>
      <c r="G262" s="285"/>
      <c r="H262" s="251"/>
    </row>
    <row r="263">
      <c r="A263" s="265"/>
      <c r="B263" s="404"/>
      <c r="C263" s="405"/>
      <c r="D263" s="399"/>
      <c r="E263" s="442"/>
      <c r="F263" s="284"/>
      <c r="G263" s="285"/>
      <c r="H263" s="251"/>
    </row>
    <row r="264">
      <c r="A264" s="265"/>
      <c r="B264" s="404"/>
      <c r="C264" s="405"/>
      <c r="D264" s="399"/>
      <c r="E264" s="442"/>
      <c r="F264" s="284"/>
      <c r="G264" s="285"/>
      <c r="H264" s="251"/>
    </row>
    <row r="265">
      <c r="A265" s="265"/>
      <c r="B265" s="404"/>
      <c r="C265" s="405"/>
      <c r="D265" s="399"/>
      <c r="E265" s="442"/>
      <c r="F265" s="284"/>
      <c r="G265" s="285"/>
      <c r="H265" s="251"/>
    </row>
    <row r="266">
      <c r="A266" s="265"/>
      <c r="B266" s="404"/>
      <c r="C266" s="424"/>
      <c r="D266" s="399"/>
      <c r="E266" s="442"/>
      <c r="F266" s="284"/>
      <c r="G266" s="285"/>
      <c r="H266" s="251"/>
    </row>
    <row r="267">
      <c r="A267" s="265"/>
      <c r="B267" s="404"/>
      <c r="C267" s="424"/>
      <c r="D267" s="399"/>
      <c r="E267" s="442"/>
      <c r="F267" s="284"/>
      <c r="G267" s="285"/>
      <c r="H267" s="251"/>
    </row>
    <row r="268">
      <c r="A268" s="265"/>
      <c r="B268" s="404"/>
      <c r="C268" s="424"/>
      <c r="D268" s="400"/>
      <c r="E268" s="442"/>
      <c r="F268" s="284"/>
      <c r="G268" s="285"/>
      <c r="H268" s="251"/>
    </row>
    <row r="269">
      <c r="A269" s="265"/>
      <c r="B269" s="477"/>
      <c r="C269" s="424"/>
      <c r="D269" s="400"/>
      <c r="E269" s="442"/>
      <c r="F269" s="284"/>
      <c r="G269" s="285"/>
      <c r="H269" s="251"/>
    </row>
    <row r="270">
      <c r="A270" s="265"/>
      <c r="B270" s="477"/>
      <c r="C270" s="424"/>
      <c r="D270" s="400"/>
      <c r="E270" s="442"/>
      <c r="F270" s="284"/>
      <c r="G270" s="285"/>
      <c r="H270" s="251"/>
    </row>
    <row r="271">
      <c r="A271" s="265"/>
      <c r="B271" s="480"/>
      <c r="C271" s="424"/>
      <c r="D271" s="400"/>
      <c r="E271" s="442"/>
      <c r="F271" s="284"/>
      <c r="G271" s="285"/>
      <c r="H271" s="251"/>
    </row>
    <row r="272">
      <c r="A272" s="265"/>
      <c r="B272" s="480"/>
      <c r="C272" s="424"/>
      <c r="D272" s="400"/>
      <c r="E272" s="442"/>
      <c r="F272" s="463"/>
      <c r="G272" s="481"/>
      <c r="H272" s="251"/>
    </row>
    <row r="273">
      <c r="A273" s="270"/>
      <c r="B273" s="478"/>
      <c r="C273" s="471"/>
      <c r="D273" s="472"/>
      <c r="E273" s="473"/>
      <c r="F273" s="460"/>
      <c r="G273" s="482"/>
      <c r="H273" s="261"/>
    </row>
    <row r="274">
      <c r="A274" s="262" t="s">
        <v>581</v>
      </c>
      <c r="B274" s="425">
        <v>79560.0</v>
      </c>
      <c r="C274" s="426"/>
      <c r="D274" s="401"/>
      <c r="E274" s="402"/>
      <c r="F274" s="403"/>
      <c r="G274" s="436" t="s">
        <v>1085</v>
      </c>
      <c r="H274" s="245">
        <v>70.0</v>
      </c>
      <c r="I274" s="2" t="s">
        <v>1349</v>
      </c>
    </row>
    <row r="275">
      <c r="A275" s="265"/>
      <c r="B275" s="404">
        <v>57113.54</v>
      </c>
      <c r="C275" s="405"/>
      <c r="D275" s="399"/>
      <c r="E275" s="398"/>
      <c r="F275" s="284"/>
      <c r="G275" s="285" t="s">
        <v>82</v>
      </c>
      <c r="H275" s="267"/>
    </row>
    <row r="276">
      <c r="A276" s="265"/>
      <c r="B276" s="404">
        <v>27000.0</v>
      </c>
      <c r="C276" s="405"/>
      <c r="D276" s="399"/>
      <c r="E276" s="442"/>
      <c r="F276" s="284"/>
      <c r="G276" s="285" t="s">
        <v>1264</v>
      </c>
      <c r="H276" s="251"/>
    </row>
    <row r="277">
      <c r="A277" s="265"/>
      <c r="B277" s="404">
        <v>67200.0</v>
      </c>
      <c r="C277" s="405"/>
      <c r="D277" s="399"/>
      <c r="E277" s="398" t="s">
        <v>328</v>
      </c>
      <c r="F277" s="284"/>
      <c r="G277" s="285" t="s">
        <v>75</v>
      </c>
      <c r="H277" s="251"/>
    </row>
    <row r="278">
      <c r="A278" s="265"/>
      <c r="B278" s="404"/>
      <c r="C278" s="424"/>
      <c r="D278" s="399"/>
      <c r="E278" s="398"/>
      <c r="F278" s="284">
        <v>25200.0</v>
      </c>
      <c r="G278" s="285" t="s">
        <v>605</v>
      </c>
      <c r="H278" s="251"/>
    </row>
    <row r="279">
      <c r="A279" s="265"/>
      <c r="B279" s="404"/>
      <c r="C279" s="405"/>
      <c r="D279" s="399"/>
      <c r="E279" s="398"/>
      <c r="F279" s="284">
        <v>5000.0</v>
      </c>
      <c r="G279" s="285" t="s">
        <v>1144</v>
      </c>
      <c r="H279" s="267"/>
    </row>
    <row r="280">
      <c r="A280" s="265"/>
      <c r="B280" s="404">
        <v>184000.0</v>
      </c>
      <c r="C280" s="405"/>
      <c r="D280" s="399"/>
      <c r="E280" s="398" t="s">
        <v>527</v>
      </c>
      <c r="F280" s="284"/>
      <c r="G280" s="285" t="s">
        <v>122</v>
      </c>
      <c r="H280" s="267"/>
    </row>
    <row r="281">
      <c r="A281" s="265"/>
      <c r="B281" s="404">
        <v>100000.0</v>
      </c>
      <c r="C281" s="405"/>
      <c r="D281" s="399"/>
      <c r="E281" s="398"/>
      <c r="F281" s="284"/>
      <c r="G281" s="285" t="s">
        <v>1350</v>
      </c>
      <c r="H281" s="267"/>
    </row>
    <row r="282">
      <c r="A282" s="265"/>
      <c r="B282" s="404"/>
      <c r="C282" s="424"/>
      <c r="D282" s="399"/>
      <c r="E282" s="398"/>
      <c r="F282" s="284"/>
      <c r="G282" s="285"/>
      <c r="H282" s="251"/>
    </row>
    <row r="283">
      <c r="A283" s="265"/>
      <c r="B283" s="477"/>
      <c r="C283" s="424"/>
      <c r="D283" s="399"/>
      <c r="E283" s="442"/>
      <c r="F283" s="284"/>
      <c r="G283" s="285"/>
      <c r="H283" s="267"/>
    </row>
    <row r="284">
      <c r="A284" s="265"/>
      <c r="B284" s="477"/>
      <c r="C284" s="424"/>
      <c r="D284" s="400"/>
      <c r="E284" s="442"/>
      <c r="F284" s="284"/>
      <c r="G284" s="285"/>
      <c r="H284" s="251"/>
    </row>
    <row r="285">
      <c r="A285" s="265"/>
      <c r="B285" s="477"/>
      <c r="C285" s="424"/>
      <c r="D285" s="400"/>
      <c r="E285" s="442"/>
      <c r="F285" s="284"/>
      <c r="G285" s="285"/>
      <c r="H285" s="251"/>
    </row>
    <row r="286">
      <c r="A286" s="265"/>
      <c r="B286" s="477"/>
      <c r="C286" s="424"/>
      <c r="D286" s="400"/>
      <c r="E286" s="442"/>
      <c r="F286" s="284"/>
      <c r="G286" s="285"/>
      <c r="H286" s="251"/>
    </row>
    <row r="287">
      <c r="A287" s="265"/>
      <c r="B287" s="477"/>
      <c r="C287" s="424"/>
      <c r="D287" s="400"/>
      <c r="E287" s="442"/>
      <c r="F287" s="284"/>
      <c r="G287" s="481"/>
      <c r="H287" s="251"/>
    </row>
    <row r="288">
      <c r="A288" s="270"/>
      <c r="B288" s="478"/>
      <c r="C288" s="471"/>
      <c r="D288" s="472"/>
      <c r="E288" s="473"/>
      <c r="F288" s="460"/>
      <c r="G288" s="482"/>
      <c r="H288" s="261"/>
    </row>
    <row r="289">
      <c r="A289" s="262" t="s">
        <v>1351</v>
      </c>
      <c r="B289" s="425">
        <v>48000.0</v>
      </c>
      <c r="C289" s="426"/>
      <c r="D289" s="401"/>
      <c r="E289" s="402"/>
      <c r="F289" s="284"/>
      <c r="G289" s="285" t="s">
        <v>68</v>
      </c>
      <c r="H289" s="245">
        <v>49.0</v>
      </c>
      <c r="I289" s="2" t="s">
        <v>1352</v>
      </c>
    </row>
    <row r="290">
      <c r="A290" s="265"/>
      <c r="B290" s="404"/>
      <c r="C290" s="405">
        <v>179746.9</v>
      </c>
      <c r="D290" s="399"/>
      <c r="E290" s="398"/>
      <c r="F290" s="284"/>
      <c r="G290" s="285" t="s">
        <v>89</v>
      </c>
      <c r="H290" s="267"/>
      <c r="I290" s="2" t="s">
        <v>1353</v>
      </c>
    </row>
    <row r="291">
      <c r="A291" s="265"/>
      <c r="B291" s="404"/>
      <c r="C291" s="405"/>
      <c r="D291" s="399"/>
      <c r="E291" s="398"/>
      <c r="F291" s="284"/>
      <c r="G291" s="285"/>
      <c r="H291" s="251"/>
      <c r="I291" s="491" t="s">
        <v>1354</v>
      </c>
    </row>
    <row r="292">
      <c r="A292" s="265"/>
      <c r="B292" s="404"/>
      <c r="C292" s="405"/>
      <c r="D292" s="399"/>
      <c r="E292" s="398"/>
      <c r="F292" s="284"/>
      <c r="G292" s="285"/>
      <c r="H292" s="251"/>
      <c r="I292" s="2" t="s">
        <v>1259</v>
      </c>
    </row>
    <row r="293">
      <c r="A293" s="265"/>
      <c r="B293" s="404"/>
      <c r="C293" s="405"/>
      <c r="D293" s="399"/>
      <c r="E293" s="398"/>
      <c r="F293" s="284"/>
      <c r="G293" s="285"/>
      <c r="H293" s="267"/>
    </row>
    <row r="294">
      <c r="A294" s="265"/>
      <c r="B294" s="404"/>
      <c r="C294" s="405"/>
      <c r="D294" s="399"/>
      <c r="E294" s="442"/>
      <c r="F294" s="284"/>
      <c r="G294" s="285"/>
      <c r="H294" s="267"/>
    </row>
    <row r="295">
      <c r="A295" s="265"/>
      <c r="B295" s="404"/>
      <c r="C295" s="424"/>
      <c r="D295" s="399"/>
      <c r="E295" s="442"/>
      <c r="F295" s="284"/>
      <c r="G295" s="285"/>
      <c r="H295" s="251"/>
    </row>
    <row r="296">
      <c r="A296" s="265"/>
      <c r="B296" s="404"/>
      <c r="C296" s="405"/>
      <c r="D296" s="399"/>
      <c r="E296" s="442"/>
      <c r="F296" s="284">
        <v>4452.0</v>
      </c>
      <c r="G296" s="285" t="s">
        <v>1355</v>
      </c>
      <c r="H296" s="251"/>
      <c r="I296" s="2" t="s">
        <v>1342</v>
      </c>
    </row>
    <row r="297">
      <c r="A297" s="265"/>
      <c r="B297" s="477"/>
      <c r="C297" s="424"/>
      <c r="D297" s="400"/>
      <c r="E297" s="442"/>
      <c r="F297" s="284"/>
      <c r="G297" s="285"/>
      <c r="H297" s="267">
        <v>100.0</v>
      </c>
    </row>
    <row r="298">
      <c r="A298" s="265"/>
      <c r="B298" s="477"/>
      <c r="C298" s="424"/>
      <c r="D298" s="400"/>
      <c r="E298" s="442"/>
      <c r="F298" s="284"/>
      <c r="G298" s="285"/>
      <c r="H298" s="251"/>
    </row>
    <row r="299">
      <c r="A299" s="265"/>
      <c r="B299" s="404"/>
      <c r="C299" s="424"/>
      <c r="D299" s="400"/>
      <c r="E299" s="442"/>
      <c r="F299" s="284"/>
      <c r="G299" s="285"/>
      <c r="H299" s="251"/>
    </row>
    <row r="300">
      <c r="A300" s="265"/>
      <c r="B300" s="404"/>
      <c r="C300" s="424"/>
      <c r="D300" s="400"/>
      <c r="E300" s="442"/>
      <c r="F300" s="284"/>
      <c r="G300" s="285"/>
      <c r="H300" s="251"/>
    </row>
    <row r="301">
      <c r="A301" s="265"/>
      <c r="B301" s="477"/>
      <c r="C301" s="424"/>
      <c r="D301" s="400"/>
      <c r="E301" s="442"/>
      <c r="F301" s="284"/>
      <c r="G301" s="285"/>
      <c r="H301" s="251"/>
    </row>
    <row r="302">
      <c r="A302" s="265"/>
      <c r="B302" s="477"/>
      <c r="C302" s="424"/>
      <c r="D302" s="400"/>
      <c r="E302" s="442"/>
      <c r="F302" s="284"/>
      <c r="G302" s="481"/>
      <c r="H302" s="251"/>
    </row>
    <row r="303">
      <c r="A303" s="270"/>
      <c r="B303" s="478"/>
      <c r="C303" s="471"/>
      <c r="D303" s="472"/>
      <c r="E303" s="473"/>
      <c r="F303" s="460"/>
      <c r="G303" s="473"/>
      <c r="H303" s="261"/>
    </row>
    <row r="304">
      <c r="A304" s="262" t="s">
        <v>585</v>
      </c>
      <c r="B304" s="425"/>
      <c r="C304" s="426"/>
      <c r="D304" s="401"/>
      <c r="E304" s="402"/>
      <c r="F304" s="403">
        <v>23100.0</v>
      </c>
      <c r="G304" s="402" t="s">
        <v>605</v>
      </c>
      <c r="H304" s="245">
        <v>120.0</v>
      </c>
    </row>
    <row r="305">
      <c r="A305" s="265"/>
      <c r="B305" s="404"/>
      <c r="C305" s="405"/>
      <c r="D305" s="399"/>
      <c r="E305" s="398"/>
      <c r="F305" s="284">
        <v>2390.0</v>
      </c>
      <c r="G305" s="398" t="s">
        <v>1356</v>
      </c>
      <c r="H305" s="267"/>
    </row>
    <row r="306">
      <c r="A306" s="265"/>
      <c r="B306" s="404">
        <v>57556.28</v>
      </c>
      <c r="C306" s="405"/>
      <c r="D306" s="399"/>
      <c r="E306" s="398"/>
      <c r="F306" s="284"/>
      <c r="G306" s="398" t="s">
        <v>82</v>
      </c>
      <c r="H306" s="251"/>
    </row>
    <row r="307">
      <c r="A307" s="265"/>
      <c r="B307" s="404">
        <v>90240.0</v>
      </c>
      <c r="C307" s="405"/>
      <c r="D307" s="399"/>
      <c r="E307" s="398"/>
      <c r="F307" s="284"/>
      <c r="G307" s="398" t="s">
        <v>1357</v>
      </c>
      <c r="H307" s="251"/>
    </row>
    <row r="308">
      <c r="A308" s="265"/>
      <c r="B308" s="404">
        <v>125000.0</v>
      </c>
      <c r="C308" s="405"/>
      <c r="D308" s="399"/>
      <c r="E308" s="398" t="s">
        <v>328</v>
      </c>
      <c r="F308" s="284"/>
      <c r="G308" s="398" t="s">
        <v>75</v>
      </c>
      <c r="H308" s="251"/>
    </row>
    <row r="309">
      <c r="A309" s="265"/>
      <c r="B309" s="404"/>
      <c r="C309" s="405"/>
      <c r="D309" s="399"/>
      <c r="E309" s="442"/>
      <c r="F309" s="284"/>
      <c r="G309" s="398"/>
      <c r="H309" s="251"/>
    </row>
    <row r="310">
      <c r="A310" s="265"/>
      <c r="B310" s="404"/>
      <c r="C310" s="405"/>
      <c r="D310" s="399"/>
      <c r="E310" s="398"/>
      <c r="F310" s="284"/>
      <c r="G310" s="398"/>
      <c r="H310" s="251"/>
    </row>
    <row r="311">
      <c r="A311" s="265"/>
      <c r="B311" s="404"/>
      <c r="C311" s="424"/>
      <c r="D311" s="399"/>
      <c r="E311" s="442"/>
      <c r="F311" s="284"/>
      <c r="G311" s="442"/>
      <c r="H311" s="251"/>
    </row>
    <row r="312">
      <c r="A312" s="265"/>
      <c r="B312" s="404"/>
      <c r="C312" s="424"/>
      <c r="D312" s="400"/>
      <c r="E312" s="442"/>
      <c r="F312" s="284"/>
      <c r="G312" s="442"/>
      <c r="H312" s="251"/>
    </row>
    <row r="313">
      <c r="A313" s="265"/>
      <c r="B313" s="404"/>
      <c r="C313" s="424"/>
      <c r="D313" s="399"/>
      <c r="E313" s="442"/>
      <c r="F313" s="284"/>
      <c r="G313" s="442"/>
      <c r="H313" s="251"/>
    </row>
    <row r="314">
      <c r="A314" s="265"/>
      <c r="B314" s="404"/>
      <c r="C314" s="424"/>
      <c r="D314" s="400"/>
      <c r="E314" s="442"/>
      <c r="F314" s="284"/>
      <c r="G314" s="442"/>
      <c r="H314" s="251"/>
    </row>
    <row r="315">
      <c r="A315" s="265"/>
      <c r="B315" s="404"/>
      <c r="C315" s="424"/>
      <c r="D315" s="400"/>
      <c r="E315" s="442"/>
      <c r="F315" s="284"/>
      <c r="G315" s="442"/>
      <c r="H315" s="251"/>
    </row>
    <row r="316">
      <c r="A316" s="265"/>
      <c r="B316" s="404"/>
      <c r="C316" s="424"/>
      <c r="D316" s="399"/>
      <c r="E316" s="442"/>
      <c r="F316" s="284"/>
      <c r="G316" s="442"/>
      <c r="H316" s="251"/>
    </row>
    <row r="317">
      <c r="A317" s="270"/>
      <c r="B317" s="478"/>
      <c r="C317" s="471"/>
      <c r="D317" s="472"/>
      <c r="E317" s="473"/>
      <c r="F317" s="474"/>
      <c r="G317" s="492"/>
      <c r="H317" s="261"/>
    </row>
    <row r="318">
      <c r="A318" s="262" t="s">
        <v>591</v>
      </c>
      <c r="B318" s="425"/>
      <c r="C318" s="426"/>
      <c r="D318" s="401">
        <v>217483.66</v>
      </c>
      <c r="E318" s="402" t="s">
        <v>328</v>
      </c>
      <c r="F318" s="403"/>
      <c r="G318" s="402" t="s">
        <v>114</v>
      </c>
      <c r="H318" s="245">
        <v>150.0</v>
      </c>
    </row>
    <row r="319">
      <c r="A319" s="265"/>
      <c r="B319" s="404"/>
      <c r="C319" s="405"/>
      <c r="D319" s="399">
        <v>14000.0</v>
      </c>
      <c r="E319" s="398"/>
      <c r="F319" s="284"/>
      <c r="G319" s="398" t="s">
        <v>1358</v>
      </c>
      <c r="H319" s="267"/>
      <c r="I319" s="2" t="s">
        <v>1359</v>
      </c>
    </row>
    <row r="320">
      <c r="A320" s="265"/>
      <c r="B320" s="404">
        <v>234594.0</v>
      </c>
      <c r="C320" s="405"/>
      <c r="D320" s="399"/>
      <c r="E320" s="398"/>
      <c r="F320" s="284"/>
      <c r="G320" s="398" t="s">
        <v>407</v>
      </c>
      <c r="H320" s="267"/>
      <c r="I320" s="2" t="s">
        <v>1360</v>
      </c>
    </row>
    <row r="321">
      <c r="A321" s="265"/>
      <c r="B321" s="404"/>
      <c r="C321" s="405"/>
      <c r="D321" s="399">
        <v>45785.0</v>
      </c>
      <c r="E321" s="398"/>
      <c r="F321" s="284"/>
      <c r="G321" s="398" t="s">
        <v>1361</v>
      </c>
      <c r="H321" s="251"/>
    </row>
    <row r="322">
      <c r="A322" s="265"/>
      <c r="B322" s="404"/>
      <c r="C322" s="405"/>
      <c r="D322" s="399">
        <v>17087.0</v>
      </c>
      <c r="E322" s="398"/>
      <c r="F322" s="284"/>
      <c r="G322" s="398" t="s">
        <v>1335</v>
      </c>
      <c r="H322" s="251"/>
      <c r="I322" s="2" t="s">
        <v>1362</v>
      </c>
    </row>
    <row r="323">
      <c r="A323" s="265"/>
      <c r="B323" s="404">
        <v>38000.0</v>
      </c>
      <c r="C323" s="424"/>
      <c r="D323" s="399"/>
      <c r="E323" s="398"/>
      <c r="F323" s="284"/>
      <c r="G323" s="398" t="s">
        <v>1363</v>
      </c>
      <c r="H323" s="251"/>
    </row>
    <row r="324">
      <c r="A324" s="265"/>
      <c r="B324" s="404"/>
      <c r="C324" s="424"/>
      <c r="D324" s="399"/>
      <c r="E324" s="442"/>
      <c r="F324" s="284">
        <v>3773.0</v>
      </c>
      <c r="G324" s="398" t="s">
        <v>291</v>
      </c>
      <c r="H324" s="251"/>
    </row>
    <row r="325">
      <c r="A325" s="265"/>
      <c r="B325" s="404"/>
      <c r="C325" s="424"/>
      <c r="D325" s="399"/>
      <c r="E325" s="442"/>
      <c r="F325" s="284"/>
      <c r="G325" s="442"/>
      <c r="H325" s="251"/>
    </row>
    <row r="326">
      <c r="A326" s="265"/>
      <c r="B326" s="404"/>
      <c r="C326" s="424"/>
      <c r="D326" s="399"/>
      <c r="E326" s="442"/>
      <c r="F326" s="284"/>
      <c r="G326" s="442"/>
      <c r="H326" s="251"/>
    </row>
    <row r="327">
      <c r="A327" s="265"/>
      <c r="B327" s="404"/>
      <c r="C327" s="424"/>
      <c r="D327" s="400"/>
      <c r="E327" s="442"/>
      <c r="F327" s="284"/>
      <c r="G327" s="442"/>
      <c r="H327" s="251"/>
    </row>
    <row r="328">
      <c r="A328" s="265"/>
      <c r="B328" s="404"/>
      <c r="C328" s="424"/>
      <c r="D328" s="400"/>
      <c r="E328" s="442"/>
      <c r="F328" s="284"/>
      <c r="G328" s="442"/>
      <c r="H328" s="251"/>
    </row>
    <row r="329">
      <c r="A329" s="265"/>
      <c r="B329" s="404"/>
      <c r="C329" s="424"/>
      <c r="D329" s="400"/>
      <c r="E329" s="442"/>
      <c r="F329" s="284"/>
      <c r="G329" s="442"/>
      <c r="H329" s="251"/>
    </row>
    <row r="330">
      <c r="A330" s="265"/>
      <c r="B330" s="477"/>
      <c r="C330" s="424"/>
      <c r="D330" s="400"/>
      <c r="E330" s="442"/>
      <c r="F330" s="284"/>
      <c r="G330" s="442"/>
      <c r="H330" s="251"/>
    </row>
    <row r="331">
      <c r="A331" s="265"/>
      <c r="B331" s="477"/>
      <c r="C331" s="424"/>
      <c r="D331" s="400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65"/>
      <c r="B333" s="477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70"/>
      <c r="B335" s="478"/>
      <c r="C335" s="471"/>
      <c r="D335" s="472"/>
      <c r="E335" s="473"/>
      <c r="F335" s="460"/>
      <c r="G335" s="473"/>
      <c r="H335" s="261"/>
    </row>
    <row r="336">
      <c r="A336" s="262" t="s">
        <v>593</v>
      </c>
      <c r="B336" s="425"/>
      <c r="C336" s="426"/>
      <c r="D336" s="401">
        <v>195062.03</v>
      </c>
      <c r="E336" s="402" t="s">
        <v>328</v>
      </c>
      <c r="F336" s="403"/>
      <c r="G336" s="398" t="s">
        <v>74</v>
      </c>
      <c r="H336" s="245">
        <v>260.0</v>
      </c>
      <c r="I336" s="2" t="s">
        <v>1364</v>
      </c>
    </row>
    <row r="337">
      <c r="A337" s="265"/>
      <c r="B337" s="404"/>
      <c r="C337" s="405"/>
      <c r="D337" s="399">
        <v>51674.44</v>
      </c>
      <c r="E337" s="398" t="s">
        <v>328</v>
      </c>
      <c r="F337" s="284"/>
      <c r="G337" s="398" t="s">
        <v>73</v>
      </c>
      <c r="H337" s="267"/>
    </row>
    <row r="338">
      <c r="A338" s="265"/>
      <c r="B338" s="493"/>
      <c r="C338" s="313"/>
      <c r="D338" s="489">
        <v>526350.0</v>
      </c>
      <c r="E338" s="450" t="s">
        <v>328</v>
      </c>
      <c r="F338" s="494"/>
      <c r="G338" s="495" t="s">
        <v>877</v>
      </c>
      <c r="H338" s="267"/>
      <c r="I338" s="2" t="s">
        <v>1365</v>
      </c>
    </row>
    <row r="339">
      <c r="A339" s="265"/>
      <c r="B339" s="493"/>
      <c r="C339" s="496">
        <v>128174.0</v>
      </c>
      <c r="D339" s="325"/>
      <c r="E339" s="450" t="s">
        <v>328</v>
      </c>
      <c r="F339" s="291"/>
      <c r="G339" s="495" t="s">
        <v>84</v>
      </c>
      <c r="H339" s="267"/>
    </row>
    <row r="340">
      <c r="A340" s="265"/>
      <c r="B340" s="497">
        <v>38370.86</v>
      </c>
      <c r="C340" s="313"/>
      <c r="D340" s="325"/>
      <c r="E340" s="498"/>
      <c r="F340" s="291"/>
      <c r="G340" s="495" t="s">
        <v>82</v>
      </c>
      <c r="H340" s="251"/>
    </row>
    <row r="341">
      <c r="A341" s="265"/>
      <c r="B341" s="493"/>
      <c r="C341" s="499">
        <v>210803.78</v>
      </c>
      <c r="D341" s="314"/>
      <c r="E341" s="450" t="s">
        <v>328</v>
      </c>
      <c r="F341" s="291"/>
      <c r="G341" s="490" t="s">
        <v>71</v>
      </c>
      <c r="H341" s="251"/>
    </row>
    <row r="342">
      <c r="A342" s="265"/>
      <c r="B342" s="404"/>
      <c r="C342" s="424"/>
      <c r="D342" s="399"/>
      <c r="E342" s="442"/>
      <c r="F342" s="284">
        <v>24000.0</v>
      </c>
      <c r="G342" s="398" t="s">
        <v>1366</v>
      </c>
      <c r="H342" s="251"/>
    </row>
    <row r="343">
      <c r="A343" s="265"/>
      <c r="B343" s="404">
        <v>114500.0</v>
      </c>
      <c r="C343" s="424"/>
      <c r="D343" s="399"/>
      <c r="E343" s="398" t="s">
        <v>328</v>
      </c>
      <c r="F343" s="284"/>
      <c r="G343" s="398" t="s">
        <v>75</v>
      </c>
      <c r="H343" s="251"/>
    </row>
    <row r="344">
      <c r="A344" s="265"/>
      <c r="B344" s="477"/>
      <c r="C344" s="424"/>
      <c r="D344" s="400"/>
      <c r="E344" s="442"/>
      <c r="F344" s="284"/>
      <c r="G344" s="442"/>
      <c r="H344" s="251"/>
    </row>
    <row r="345">
      <c r="A345" s="265"/>
      <c r="B345" s="404"/>
      <c r="C345" s="424"/>
      <c r="D345" s="400"/>
      <c r="E345" s="442"/>
      <c r="F345" s="284"/>
      <c r="G345" s="442"/>
      <c r="H345" s="251"/>
    </row>
    <row r="346">
      <c r="A346" s="265"/>
      <c r="B346" s="477"/>
      <c r="C346" s="424"/>
      <c r="D346" s="400"/>
      <c r="E346" s="442"/>
      <c r="F346" s="284"/>
      <c r="G346" s="442"/>
      <c r="H346" s="251"/>
    </row>
    <row r="347">
      <c r="A347" s="270"/>
      <c r="B347" s="478"/>
      <c r="C347" s="471"/>
      <c r="D347" s="472"/>
      <c r="E347" s="473"/>
      <c r="F347" s="460"/>
      <c r="G347" s="473"/>
      <c r="H347" s="261"/>
    </row>
    <row r="348">
      <c r="A348" s="280" t="s">
        <v>596</v>
      </c>
      <c r="B348" s="425">
        <v>32000.0</v>
      </c>
      <c r="C348" s="426"/>
      <c r="D348" s="401"/>
      <c r="E348" s="402" t="s">
        <v>328</v>
      </c>
      <c r="F348" s="403"/>
      <c r="G348" s="398" t="s">
        <v>76</v>
      </c>
      <c r="H348" s="245">
        <v>140.0</v>
      </c>
      <c r="I348" s="2" t="s">
        <v>1367</v>
      </c>
    </row>
    <row r="349">
      <c r="A349" s="265"/>
      <c r="B349" s="404">
        <v>22950.0</v>
      </c>
      <c r="C349" s="405"/>
      <c r="D349" s="399"/>
      <c r="E349" s="398" t="s">
        <v>328</v>
      </c>
      <c r="F349" s="284"/>
      <c r="G349" s="398" t="s">
        <v>291</v>
      </c>
      <c r="H349" s="267"/>
      <c r="I349" s="2" t="s">
        <v>1368</v>
      </c>
    </row>
    <row r="350">
      <c r="A350" s="265"/>
      <c r="B350" s="404"/>
      <c r="C350" s="405"/>
      <c r="D350" s="399"/>
      <c r="E350" s="442"/>
      <c r="F350" s="284">
        <v>26000.0</v>
      </c>
      <c r="G350" s="398" t="s">
        <v>1366</v>
      </c>
      <c r="H350" s="267"/>
    </row>
    <row r="351">
      <c r="A351" s="265"/>
      <c r="B351" s="404"/>
      <c r="C351" s="405"/>
      <c r="D351" s="399"/>
      <c r="E351" s="442"/>
      <c r="F351" s="284"/>
      <c r="G351" s="398"/>
      <c r="H351" s="267"/>
    </row>
    <row r="352">
      <c r="A352" s="265"/>
      <c r="B352" s="404"/>
      <c r="C352" s="405"/>
      <c r="D352" s="399"/>
      <c r="E352" s="442"/>
      <c r="F352" s="284"/>
      <c r="G352" s="398"/>
      <c r="H352" s="267"/>
    </row>
    <row r="353">
      <c r="A353" s="265"/>
      <c r="B353" s="404"/>
      <c r="C353" s="405"/>
      <c r="D353" s="399"/>
      <c r="E353" s="398"/>
      <c r="F353" s="284"/>
      <c r="G353" s="398"/>
      <c r="H353" s="267"/>
    </row>
    <row r="354">
      <c r="A354" s="265"/>
      <c r="B354" s="404"/>
      <c r="C354" s="405"/>
      <c r="D354" s="399"/>
      <c r="E354" s="442"/>
      <c r="F354" s="284"/>
      <c r="G354" s="398"/>
      <c r="H354" s="267"/>
    </row>
    <row r="355">
      <c r="A355" s="265"/>
      <c r="B355" s="404"/>
      <c r="C355" s="405"/>
      <c r="D355" s="399"/>
      <c r="E355" s="442"/>
      <c r="F355" s="284"/>
      <c r="G355" s="398"/>
      <c r="H355" s="267"/>
    </row>
    <row r="356">
      <c r="A356" s="265"/>
      <c r="B356" s="404"/>
      <c r="C356" s="405"/>
      <c r="D356" s="399"/>
      <c r="E356" s="442"/>
      <c r="F356" s="284"/>
      <c r="G356" s="398"/>
      <c r="H356" s="267"/>
    </row>
    <row r="357">
      <c r="A357" s="265"/>
      <c r="B357" s="404"/>
      <c r="C357" s="405"/>
      <c r="D357" s="399"/>
      <c r="E357" s="442"/>
      <c r="F357" s="284"/>
      <c r="G357" s="398"/>
      <c r="H357" s="267"/>
    </row>
    <row r="358">
      <c r="A358" s="270"/>
      <c r="B358" s="404"/>
      <c r="C358" s="405"/>
      <c r="D358" s="399"/>
      <c r="E358" s="442"/>
      <c r="F358" s="284"/>
      <c r="G358" s="398"/>
      <c r="H358" s="267"/>
    </row>
    <row r="359">
      <c r="A359" s="452"/>
      <c r="B359" s="404"/>
      <c r="C359" s="405"/>
      <c r="D359" s="399"/>
      <c r="E359" s="442"/>
      <c r="F359" s="284"/>
      <c r="G359" s="398"/>
      <c r="H359" s="267"/>
    </row>
    <row r="360">
      <c r="A360" s="280" t="s">
        <v>598</v>
      </c>
      <c r="B360" s="425">
        <v>48000.0</v>
      </c>
      <c r="C360" s="426"/>
      <c r="D360" s="401"/>
      <c r="E360" s="402" t="s">
        <v>328</v>
      </c>
      <c r="F360" s="403"/>
      <c r="G360" s="402" t="s">
        <v>68</v>
      </c>
      <c r="H360" s="245">
        <v>113.0</v>
      </c>
    </row>
    <row r="361">
      <c r="A361" s="265"/>
      <c r="B361" s="404">
        <v>66985.86</v>
      </c>
      <c r="C361" s="405"/>
      <c r="D361" s="443"/>
      <c r="E361" s="398" t="s">
        <v>328</v>
      </c>
      <c r="F361" s="284"/>
      <c r="G361" s="398" t="s">
        <v>82</v>
      </c>
      <c r="H361" s="267"/>
    </row>
    <row r="362">
      <c r="A362" s="265"/>
      <c r="B362" s="404">
        <v>59800.0</v>
      </c>
      <c r="C362" s="405"/>
      <c r="D362" s="399"/>
      <c r="E362" s="398" t="s">
        <v>328</v>
      </c>
      <c r="F362" s="284"/>
      <c r="G362" s="398" t="s">
        <v>75</v>
      </c>
      <c r="H362" s="267"/>
    </row>
    <row r="363">
      <c r="A363" s="265"/>
      <c r="B363" s="404">
        <v>124490.7</v>
      </c>
      <c r="C363" s="424"/>
      <c r="D363" s="399"/>
      <c r="E363" s="398" t="s">
        <v>328</v>
      </c>
      <c r="F363" s="284"/>
      <c r="G363" s="398" t="s">
        <v>142</v>
      </c>
      <c r="H363" s="251"/>
    </row>
    <row r="364">
      <c r="A364" s="265"/>
      <c r="B364" s="404">
        <v>7970.0</v>
      </c>
      <c r="C364" s="424"/>
      <c r="D364" s="399"/>
      <c r="E364" s="398"/>
      <c r="F364" s="284"/>
      <c r="G364" s="398" t="s">
        <v>1083</v>
      </c>
      <c r="H364" s="294"/>
    </row>
    <row r="365">
      <c r="A365" s="265"/>
      <c r="B365" s="404"/>
      <c r="C365" s="424"/>
      <c r="D365" s="399"/>
      <c r="E365" s="442"/>
      <c r="F365" s="284">
        <v>20200.0</v>
      </c>
      <c r="G365" s="398" t="s">
        <v>1009</v>
      </c>
      <c r="H365" s="251"/>
    </row>
    <row r="366">
      <c r="A366" s="265"/>
      <c r="B366" s="404">
        <v>26000.0</v>
      </c>
      <c r="C366" s="424"/>
      <c r="D366" s="399"/>
      <c r="E366" s="442"/>
      <c r="F366" s="284"/>
      <c r="G366" s="398" t="s">
        <v>426</v>
      </c>
      <c r="H366" s="251"/>
    </row>
    <row r="367">
      <c r="A367" s="265"/>
      <c r="B367" s="477"/>
      <c r="C367" s="424"/>
      <c r="D367" s="399"/>
      <c r="E367" s="442"/>
      <c r="F367" s="284"/>
      <c r="G367" s="442"/>
      <c r="H367" s="267"/>
    </row>
    <row r="368">
      <c r="A368" s="265"/>
      <c r="B368" s="477"/>
      <c r="C368" s="424"/>
      <c r="D368" s="399"/>
      <c r="E368" s="442"/>
      <c r="F368" s="284"/>
      <c r="G368" s="442"/>
      <c r="H368" s="251"/>
    </row>
    <row r="369">
      <c r="A369" s="265"/>
      <c r="B369" s="404"/>
      <c r="C369" s="424"/>
      <c r="D369" s="399"/>
      <c r="E369" s="442"/>
      <c r="F369" s="284"/>
      <c r="G369" s="442"/>
      <c r="H369" s="267"/>
    </row>
    <row r="370">
      <c r="A370" s="270"/>
      <c r="B370" s="478"/>
      <c r="C370" s="471"/>
      <c r="D370" s="462"/>
      <c r="E370" s="473"/>
      <c r="F370" s="460"/>
      <c r="G370" s="492"/>
      <c r="H370" s="261"/>
    </row>
    <row r="371">
      <c r="A371" s="299" t="s">
        <v>1369</v>
      </c>
      <c r="B371" s="440"/>
      <c r="C371" s="405">
        <v>276271.6</v>
      </c>
      <c r="D371" s="462"/>
      <c r="E371" s="398" t="s">
        <v>328</v>
      </c>
      <c r="F371" s="463"/>
      <c r="G371" s="398" t="s">
        <v>89</v>
      </c>
      <c r="H371" s="267">
        <v>24.0</v>
      </c>
      <c r="I371" s="2" t="s">
        <v>1352</v>
      </c>
    </row>
    <row r="372">
      <c r="B372" s="440"/>
      <c r="C372" s="405"/>
      <c r="D372" s="462"/>
      <c r="E372" s="442"/>
      <c r="F372" s="284">
        <v>55125.0</v>
      </c>
      <c r="G372" s="398" t="s">
        <v>1370</v>
      </c>
      <c r="H372" s="251"/>
      <c r="I372" s="2" t="s">
        <v>1371</v>
      </c>
      <c r="J372" s="417" t="s">
        <v>1372</v>
      </c>
    </row>
    <row r="373">
      <c r="B373" s="440"/>
      <c r="C373" s="424"/>
      <c r="D373" s="462"/>
      <c r="E373" s="398"/>
      <c r="F373" s="284">
        <v>35000.0</v>
      </c>
      <c r="G373" s="398" t="s">
        <v>1373</v>
      </c>
      <c r="H373" s="251"/>
      <c r="J373" s="340" t="s">
        <v>1374</v>
      </c>
      <c r="K373" s="340" t="s">
        <v>1375</v>
      </c>
      <c r="L373" s="341"/>
    </row>
    <row r="374">
      <c r="B374" s="480"/>
      <c r="C374" s="424"/>
      <c r="D374" s="462"/>
      <c r="E374" s="442"/>
      <c r="F374" s="463"/>
      <c r="G374" s="442"/>
      <c r="H374" s="251"/>
      <c r="J374" s="340">
        <v>90.0</v>
      </c>
      <c r="K374" s="340">
        <v>40.0</v>
      </c>
      <c r="L374" s="341"/>
    </row>
    <row r="375">
      <c r="B375" s="480"/>
      <c r="C375" s="424"/>
      <c r="D375" s="462"/>
      <c r="E375" s="442"/>
      <c r="F375" s="463"/>
      <c r="G375" s="442"/>
      <c r="H375" s="251"/>
      <c r="J375" s="340">
        <v>25.3</v>
      </c>
      <c r="K375" s="340">
        <v>16.7</v>
      </c>
      <c r="L375" s="341"/>
    </row>
    <row r="376">
      <c r="B376" s="480"/>
      <c r="C376" s="424"/>
      <c r="D376" s="462"/>
      <c r="E376" s="442"/>
      <c r="F376" s="463"/>
      <c r="G376" s="442"/>
      <c r="H376" s="251"/>
      <c r="J376" s="340">
        <v>100.0</v>
      </c>
      <c r="K376" s="340">
        <v>28.8</v>
      </c>
      <c r="L376" s="341"/>
    </row>
    <row r="377">
      <c r="B377" s="480"/>
      <c r="C377" s="424"/>
      <c r="D377" s="462"/>
      <c r="E377" s="442"/>
      <c r="F377" s="284">
        <v>2732.4</v>
      </c>
      <c r="G377" s="398" t="s">
        <v>1376</v>
      </c>
      <c r="H377" s="267">
        <v>100.0</v>
      </c>
      <c r="I377" s="2" t="s">
        <v>1342</v>
      </c>
      <c r="J377" s="340">
        <v>29.8</v>
      </c>
      <c r="K377" s="341"/>
      <c r="L377" s="341"/>
    </row>
    <row r="378">
      <c r="B378" s="480"/>
      <c r="C378" s="424"/>
      <c r="D378" s="462"/>
      <c r="E378" s="442"/>
      <c r="F378" s="463"/>
      <c r="G378" s="442"/>
      <c r="H378" s="251"/>
      <c r="J378" s="341"/>
      <c r="K378" s="341"/>
      <c r="L378" s="341"/>
    </row>
    <row r="379">
      <c r="B379" s="480"/>
      <c r="C379" s="424"/>
      <c r="D379" s="462"/>
      <c r="E379" s="442"/>
      <c r="F379" s="463"/>
      <c r="G379" s="442"/>
      <c r="H379" s="251"/>
      <c r="J379" s="341">
        <f t="shared" ref="J379:K379" si="1">SUM(J374:J378)</f>
        <v>245.1</v>
      </c>
      <c r="K379" s="341">
        <f t="shared" si="1"/>
        <v>85.5</v>
      </c>
      <c r="L379" s="340" t="s">
        <v>1377</v>
      </c>
    </row>
    <row r="380">
      <c r="B380" s="480"/>
      <c r="C380" s="424"/>
      <c r="D380" s="462"/>
      <c r="E380" s="442"/>
      <c r="F380" s="463"/>
      <c r="G380" s="442"/>
      <c r="H380" s="251"/>
      <c r="J380" s="341"/>
      <c r="K380" s="500">
        <f>J379-K379</f>
        <v>159.6</v>
      </c>
      <c r="L380" s="501" t="s">
        <v>1378</v>
      </c>
    </row>
    <row r="381">
      <c r="B381" s="480"/>
      <c r="C381" s="424"/>
      <c r="D381" s="462"/>
      <c r="E381" s="442"/>
      <c r="F381" s="463"/>
      <c r="G381" s="442"/>
      <c r="H381" s="251"/>
      <c r="J381" s="2" t="s">
        <v>1379</v>
      </c>
    </row>
    <row r="382">
      <c r="A382" s="299"/>
      <c r="B382" s="278"/>
      <c r="C382" s="252"/>
      <c r="D382" s="295"/>
      <c r="F382" s="432"/>
      <c r="G382" s="2"/>
      <c r="H382" s="251"/>
    </row>
    <row r="383">
      <c r="A383" s="299"/>
      <c r="B383" s="278"/>
      <c r="C383" s="252"/>
      <c r="D383" s="295"/>
      <c r="F383" s="432"/>
      <c r="G383" s="2"/>
      <c r="H383" s="251"/>
    </row>
    <row r="384">
      <c r="A384" s="280" t="s">
        <v>187</v>
      </c>
      <c r="B384" s="239"/>
      <c r="C384" s="240"/>
      <c r="D384" s="296"/>
      <c r="E384" s="242"/>
      <c r="F384" s="423"/>
      <c r="G384" s="2" t="s">
        <v>188</v>
      </c>
      <c r="H384" s="297"/>
      <c r="I384" s="2" t="s">
        <v>189</v>
      </c>
    </row>
    <row r="385">
      <c r="A385" s="265"/>
      <c r="B385" s="247"/>
      <c r="C385" s="248"/>
      <c r="D385" s="317"/>
      <c r="E385" s="429"/>
      <c r="F385" s="418"/>
      <c r="G385" s="2" t="s">
        <v>190</v>
      </c>
      <c r="H385" s="294"/>
    </row>
    <row r="386">
      <c r="A386" s="265"/>
      <c r="B386" s="247"/>
      <c r="C386" s="248"/>
      <c r="D386" s="438">
        <v>54571.31</v>
      </c>
      <c r="F386" s="418"/>
      <c r="G386" s="2" t="s">
        <v>191</v>
      </c>
      <c r="H386" s="294">
        <v>45506.0</v>
      </c>
    </row>
    <row r="387">
      <c r="A387" s="265"/>
      <c r="B387" s="268"/>
      <c r="C387" s="252"/>
      <c r="D387" s="298"/>
      <c r="F387" s="418"/>
      <c r="H387" s="294"/>
    </row>
    <row r="388">
      <c r="A388" s="265"/>
      <c r="B388" s="268"/>
      <c r="C388" s="252"/>
      <c r="D388" s="249">
        <v>500000.0</v>
      </c>
      <c r="F388" s="418"/>
      <c r="G388" s="2" t="s">
        <v>192</v>
      </c>
      <c r="H388" s="294">
        <v>45524.0</v>
      </c>
    </row>
    <row r="389">
      <c r="A389" s="265"/>
      <c r="B389" s="268"/>
      <c r="C389" s="252"/>
      <c r="D389" s="253"/>
      <c r="F389" s="284">
        <v>363000.0</v>
      </c>
      <c r="G389" s="2" t="s">
        <v>193</v>
      </c>
      <c r="H389" s="294">
        <v>45517.0</v>
      </c>
    </row>
    <row r="390">
      <c r="A390" s="265"/>
      <c r="B390" s="247"/>
      <c r="C390" s="252"/>
      <c r="D390" s="249"/>
      <c r="F390" s="418"/>
      <c r="G390" s="2" t="s">
        <v>1093</v>
      </c>
      <c r="H390" s="294"/>
    </row>
    <row r="391">
      <c r="A391" s="265"/>
      <c r="B391" s="247"/>
      <c r="C391" s="252"/>
      <c r="D391" s="249">
        <v>102300.0</v>
      </c>
      <c r="F391" s="418"/>
      <c r="G391" s="2" t="s">
        <v>196</v>
      </c>
      <c r="H391" s="294">
        <v>45516.0</v>
      </c>
      <c r="I391" s="318"/>
    </row>
    <row r="392">
      <c r="A392" s="265"/>
      <c r="B392" s="247">
        <v>53552.33</v>
      </c>
      <c r="C392" s="252"/>
      <c r="D392" s="249"/>
      <c r="F392" s="418"/>
      <c r="G392" s="2" t="s">
        <v>197</v>
      </c>
      <c r="H392" s="294"/>
      <c r="I392" s="2" t="s">
        <v>198</v>
      </c>
    </row>
    <row r="393">
      <c r="A393" s="265"/>
      <c r="B393" s="268"/>
      <c r="C393" s="252"/>
      <c r="D393" s="249">
        <v>46860.68</v>
      </c>
      <c r="F393" s="418"/>
      <c r="G393" s="2" t="s">
        <v>199</v>
      </c>
      <c r="H393" s="294"/>
      <c r="I393" s="2" t="s">
        <v>189</v>
      </c>
    </row>
    <row r="394">
      <c r="A394" s="265"/>
      <c r="B394" s="247"/>
      <c r="C394" s="252"/>
      <c r="D394" s="439">
        <v>84396.82</v>
      </c>
      <c r="F394" s="418"/>
      <c r="G394" s="2" t="s">
        <v>200</v>
      </c>
      <c r="H394" s="294"/>
      <c r="I394" s="2" t="s">
        <v>189</v>
      </c>
    </row>
    <row r="395">
      <c r="A395" s="265"/>
      <c r="B395" s="278"/>
      <c r="C395" s="248"/>
      <c r="D395" s="439">
        <v>14284.74</v>
      </c>
      <c r="F395" s="432"/>
      <c r="G395" s="2" t="s">
        <v>201</v>
      </c>
      <c r="H395" s="294"/>
      <c r="I395" s="2" t="s">
        <v>189</v>
      </c>
    </row>
    <row r="396">
      <c r="A396" s="270"/>
      <c r="B396" s="277"/>
      <c r="C396" s="248"/>
      <c r="D396" s="295">
        <v>750000.0</v>
      </c>
      <c r="F396" s="464"/>
      <c r="G396" s="2" t="s">
        <v>1380</v>
      </c>
      <c r="H396" s="294">
        <v>45524.0</v>
      </c>
      <c r="I396" s="2" t="s">
        <v>1381</v>
      </c>
    </row>
    <row r="397">
      <c r="A397" s="299"/>
      <c r="B397" s="278"/>
      <c r="C397" s="248"/>
      <c r="D397" s="295">
        <v>114032.0</v>
      </c>
      <c r="F397" s="432"/>
      <c r="G397" s="2" t="s">
        <v>1380</v>
      </c>
      <c r="H397" s="294">
        <v>45534.0</v>
      </c>
      <c r="I397" s="2" t="s">
        <v>1382</v>
      </c>
    </row>
    <row r="398">
      <c r="A398" s="299"/>
      <c r="B398" s="278"/>
      <c r="C398" s="248"/>
      <c r="D398" s="431"/>
      <c r="E398" s="417"/>
      <c r="F398" s="432"/>
      <c r="G398" s="417" t="s">
        <v>202</v>
      </c>
      <c r="H398" s="301"/>
      <c r="I398" s="2" t="s">
        <v>203</v>
      </c>
    </row>
    <row r="399">
      <c r="A399" s="299"/>
      <c r="B399" s="278"/>
      <c r="C399" s="248"/>
      <c r="D399" s="295"/>
      <c r="F399" s="418"/>
      <c r="G399" s="2" t="s">
        <v>204</v>
      </c>
      <c r="H399" s="301"/>
    </row>
    <row r="400">
      <c r="A400" s="303"/>
      <c r="B400" s="278"/>
      <c r="C400" s="252"/>
      <c r="D400" s="249"/>
      <c r="F400" s="418"/>
      <c r="G400" s="2" t="s">
        <v>205</v>
      </c>
      <c r="H400" s="301"/>
    </row>
    <row r="401">
      <c r="A401" s="303"/>
      <c r="B401" s="268"/>
      <c r="C401" s="252"/>
      <c r="D401" s="249"/>
      <c r="F401" s="418"/>
      <c r="G401" s="2" t="s">
        <v>735</v>
      </c>
      <c r="H401" s="301"/>
    </row>
    <row r="402">
      <c r="A402" s="303"/>
      <c r="B402" s="247"/>
      <c r="C402" s="252"/>
      <c r="D402" s="249"/>
      <c r="F402" s="418"/>
      <c r="G402" s="2" t="s">
        <v>206</v>
      </c>
      <c r="H402" s="294"/>
      <c r="I402" s="2" t="s">
        <v>203</v>
      </c>
    </row>
    <row r="403">
      <c r="A403" s="303"/>
      <c r="B403" s="268"/>
      <c r="C403" s="252"/>
      <c r="D403" s="300">
        <v>142499.15</v>
      </c>
      <c r="F403" s="465"/>
      <c r="G403" s="2" t="s">
        <v>209</v>
      </c>
      <c r="H403" s="294"/>
      <c r="I403" s="2" t="s">
        <v>1273</v>
      </c>
    </row>
    <row r="404">
      <c r="A404" s="303"/>
      <c r="B404" s="247"/>
      <c r="C404" s="252"/>
      <c r="D404" s="249"/>
      <c r="F404" s="418"/>
      <c r="H404" s="294"/>
    </row>
    <row r="405">
      <c r="A405" s="303"/>
      <c r="B405" s="268"/>
      <c r="C405" s="252"/>
      <c r="D405" s="249">
        <v>600000.0</v>
      </c>
      <c r="F405" s="418"/>
      <c r="G405" s="2" t="s">
        <v>1383</v>
      </c>
      <c r="H405" s="294">
        <v>45519.0</v>
      </c>
    </row>
    <row r="406">
      <c r="A406" s="303"/>
      <c r="B406" s="268"/>
      <c r="C406" s="252"/>
      <c r="D406" s="249"/>
      <c r="F406" s="418"/>
      <c r="H406" s="294"/>
    </row>
    <row r="407">
      <c r="A407" s="303"/>
      <c r="B407" s="247">
        <v>95850.0</v>
      </c>
      <c r="C407" s="252"/>
      <c r="D407" s="331"/>
      <c r="F407" s="458"/>
      <c r="G407" s="2" t="s">
        <v>667</v>
      </c>
      <c r="H407" s="294">
        <v>45547.0</v>
      </c>
    </row>
    <row r="408">
      <c r="A408" s="304"/>
      <c r="B408" s="268"/>
      <c r="C408" s="252"/>
      <c r="D408" s="249">
        <v>148000.0</v>
      </c>
      <c r="F408" s="465"/>
      <c r="G408" s="2" t="s">
        <v>1217</v>
      </c>
      <c r="H408" s="294">
        <v>45527.0</v>
      </c>
      <c r="I408" s="2" t="s">
        <v>1384</v>
      </c>
    </row>
    <row r="409">
      <c r="A409" s="305"/>
      <c r="B409" s="406">
        <f>SUM(B384:B408)</f>
        <v>149402.33</v>
      </c>
      <c r="C409" s="272"/>
      <c r="D409" s="392">
        <f>SUM(D384:D408)</f>
        <v>2556944.7</v>
      </c>
      <c r="E409" s="18"/>
      <c r="F409" s="466">
        <f>SUM(F384:F408)</f>
        <v>363000</v>
      </c>
      <c r="G409" s="18"/>
      <c r="H409" s="261"/>
    </row>
    <row r="410">
      <c r="A410" s="265"/>
      <c r="B410" s="306"/>
      <c r="C410" s="240"/>
      <c r="D410" s="241"/>
      <c r="E410" s="242"/>
      <c r="F410" s="423"/>
      <c r="G410" s="244"/>
      <c r="H410" s="307"/>
    </row>
    <row r="411">
      <c r="A411" s="265"/>
      <c r="B411" s="268"/>
      <c r="C411" s="252"/>
      <c r="D411" s="253"/>
      <c r="F411" s="418"/>
      <c r="H411" s="251"/>
    </row>
    <row r="412">
      <c r="A412" s="265"/>
      <c r="B412" s="268"/>
      <c r="C412" s="252"/>
      <c r="D412" s="253"/>
      <c r="F412" s="418"/>
      <c r="H412" s="251"/>
    </row>
    <row r="413">
      <c r="A413" s="265"/>
      <c r="B413" s="268"/>
      <c r="C413" s="252"/>
      <c r="D413" s="253"/>
      <c r="F413" s="418"/>
      <c r="H413" s="251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70"/>
      <c r="B418" s="268"/>
      <c r="C418" s="252"/>
      <c r="D418" s="253"/>
      <c r="F418" s="418"/>
      <c r="H418" s="251"/>
    </row>
    <row r="419">
      <c r="A419" s="305"/>
      <c r="B419" s="271"/>
      <c r="C419" s="272"/>
      <c r="D419" s="273"/>
      <c r="E419" s="18"/>
      <c r="F419" s="456"/>
      <c r="G419" s="18"/>
      <c r="H419" s="261"/>
    </row>
    <row r="420">
      <c r="A420" s="265"/>
      <c r="B420" s="306"/>
      <c r="C420" s="240"/>
      <c r="D420" s="241"/>
      <c r="E420" s="242"/>
      <c r="F420" s="423"/>
      <c r="G420" s="244"/>
      <c r="H420" s="307"/>
    </row>
    <row r="421">
      <c r="A421" s="265"/>
      <c r="B421" s="268"/>
      <c r="C421" s="252"/>
      <c r="D421" s="253"/>
      <c r="F421" s="418"/>
      <c r="H421" s="251"/>
    </row>
    <row r="422">
      <c r="A422" s="265"/>
      <c r="B422" s="268"/>
      <c r="C422" s="252"/>
      <c r="D422" s="253"/>
      <c r="F422" s="418"/>
      <c r="H422" s="251"/>
    </row>
    <row r="423">
      <c r="A423" s="265"/>
      <c r="B423" s="268"/>
      <c r="C423" s="252"/>
      <c r="D423" s="253"/>
      <c r="F423" s="418"/>
      <c r="H423" s="251"/>
    </row>
    <row r="424">
      <c r="A424" s="265"/>
      <c r="B424" s="268"/>
      <c r="C424" s="252"/>
      <c r="D424" s="253"/>
      <c r="F424" s="418"/>
      <c r="H424" s="251"/>
    </row>
    <row r="425">
      <c r="A425" s="265"/>
      <c r="B425" s="268"/>
      <c r="C425" s="252"/>
      <c r="D425" s="253"/>
      <c r="F425" s="418"/>
      <c r="H425" s="251"/>
    </row>
    <row r="426">
      <c r="A426" s="265"/>
      <c r="B426" s="268"/>
      <c r="C426" s="252"/>
      <c r="D426" s="253"/>
      <c r="F426" s="418"/>
      <c r="H426" s="251"/>
    </row>
    <row r="427">
      <c r="A427" s="265"/>
      <c r="B427" s="268"/>
      <c r="C427" s="252"/>
      <c r="D427" s="253"/>
      <c r="F427" s="418"/>
      <c r="H427" s="251"/>
    </row>
    <row r="428">
      <c r="A428" s="270"/>
      <c r="B428" s="268"/>
      <c r="C428" s="252"/>
      <c r="D428" s="253"/>
      <c r="F428" s="418"/>
      <c r="H428" s="251"/>
    </row>
    <row r="429">
      <c r="B429" s="271"/>
      <c r="C429" s="272"/>
      <c r="D429" s="273"/>
      <c r="E429" s="18"/>
      <c r="F429" s="456"/>
      <c r="G429" s="18"/>
      <c r="H429" s="261"/>
    </row>
    <row r="430">
      <c r="B430" s="306"/>
      <c r="C430" s="240"/>
      <c r="D430" s="241"/>
      <c r="E430" s="242"/>
      <c r="F430" s="423"/>
      <c r="G430" s="244"/>
      <c r="H430" s="307"/>
    </row>
    <row r="431">
      <c r="B431" s="268"/>
      <c r="C431" s="252"/>
      <c r="D431" s="253"/>
      <c r="F431" s="418"/>
      <c r="H431" s="251"/>
    </row>
    <row r="432">
      <c r="B432" s="268"/>
      <c r="C432" s="252"/>
      <c r="D432" s="253"/>
      <c r="F432" s="418"/>
      <c r="H432" s="251"/>
    </row>
    <row r="433">
      <c r="B433" s="308"/>
      <c r="C433" s="252"/>
      <c r="D433" s="253"/>
      <c r="F433" s="467"/>
      <c r="H433" s="302"/>
    </row>
    <row r="434">
      <c r="B434" s="308"/>
      <c r="C434" s="252"/>
      <c r="D434" s="253"/>
      <c r="F434" s="467"/>
      <c r="H434" s="302"/>
    </row>
    <row r="435">
      <c r="B435" s="308"/>
      <c r="C435" s="252"/>
      <c r="D435" s="253"/>
      <c r="F435" s="467"/>
      <c r="H435" s="302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</sheetData>
  <mergeCells count="30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2"/>
    <mergeCell ref="A143:A157"/>
    <mergeCell ref="A158:A173"/>
    <mergeCell ref="A174:A188"/>
    <mergeCell ref="A189:A200"/>
    <mergeCell ref="A201:A215"/>
    <mergeCell ref="A216:A229"/>
    <mergeCell ref="A230:A244"/>
    <mergeCell ref="A245:A257"/>
    <mergeCell ref="A258:A273"/>
    <mergeCell ref="A274:A288"/>
    <mergeCell ref="A289:A303"/>
    <mergeCell ref="A409:A418"/>
    <mergeCell ref="A419:A428"/>
    <mergeCell ref="A304:A317"/>
    <mergeCell ref="A318:A335"/>
    <mergeCell ref="A336:A347"/>
    <mergeCell ref="A348:A358"/>
    <mergeCell ref="A360:A370"/>
    <mergeCell ref="A371:A381"/>
    <mergeCell ref="A384:A3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2.5"/>
    <col customWidth="1" min="8" max="8" width="10.13"/>
  </cols>
  <sheetData>
    <row r="1" ht="27.0" customHeight="1">
      <c r="A1" s="407" t="s">
        <v>1385</v>
      </c>
      <c r="B1" s="408" t="s">
        <v>52</v>
      </c>
      <c r="C1" s="409" t="s">
        <v>53</v>
      </c>
      <c r="D1" s="410" t="s">
        <v>54</v>
      </c>
      <c r="E1" s="411"/>
      <c r="F1" s="453" t="s">
        <v>529</v>
      </c>
      <c r="G1" s="411"/>
      <c r="H1" s="413" t="s">
        <v>57</v>
      </c>
    </row>
    <row r="2">
      <c r="A2" s="262" t="s">
        <v>1386</v>
      </c>
      <c r="B2" s="425">
        <v>61360.66</v>
      </c>
      <c r="C2" s="426"/>
      <c r="D2" s="401"/>
      <c r="E2" s="402"/>
      <c r="F2" s="403"/>
      <c r="G2" s="436" t="s">
        <v>58</v>
      </c>
      <c r="H2" s="245">
        <v>110.0</v>
      </c>
    </row>
    <row r="3">
      <c r="A3" s="265"/>
      <c r="B3" s="468">
        <v>84000.0</v>
      </c>
      <c r="C3" s="405"/>
      <c r="D3" s="399"/>
      <c r="E3" s="398" t="s">
        <v>328</v>
      </c>
      <c r="F3" s="284"/>
      <c r="G3" s="398" t="s">
        <v>75</v>
      </c>
      <c r="H3" s="267"/>
    </row>
    <row r="4">
      <c r="A4" s="265"/>
      <c r="B4" s="404"/>
      <c r="C4" s="405"/>
      <c r="D4" s="399"/>
      <c r="E4" s="398"/>
      <c r="F4" s="284">
        <v>30200.0</v>
      </c>
      <c r="G4" s="285" t="s">
        <v>1387</v>
      </c>
      <c r="H4" s="251"/>
    </row>
    <row r="5">
      <c r="A5" s="265"/>
      <c r="B5" s="404"/>
      <c r="C5" s="405"/>
      <c r="D5" s="399">
        <v>184000.0</v>
      </c>
      <c r="E5" s="398" t="s">
        <v>328</v>
      </c>
      <c r="F5" s="284"/>
      <c r="G5" s="285" t="s">
        <v>122</v>
      </c>
      <c r="H5" s="251"/>
    </row>
    <row r="6">
      <c r="A6" s="265"/>
      <c r="B6" s="404"/>
      <c r="C6" s="424"/>
      <c r="D6" s="399"/>
      <c r="E6" s="398"/>
      <c r="F6" s="284"/>
      <c r="G6" s="285" t="s">
        <v>1388</v>
      </c>
      <c r="H6" s="251"/>
    </row>
    <row r="7">
      <c r="A7" s="265"/>
      <c r="B7" s="404">
        <v>100000.0</v>
      </c>
      <c r="C7" s="405"/>
      <c r="D7" s="469"/>
      <c r="E7" s="442"/>
      <c r="F7" s="284"/>
      <c r="G7" s="285" t="s">
        <v>1389</v>
      </c>
      <c r="H7" s="267"/>
    </row>
    <row r="8">
      <c r="A8" s="265"/>
      <c r="B8" s="404">
        <v>63990.0</v>
      </c>
      <c r="C8" s="405"/>
      <c r="D8" s="399"/>
      <c r="E8" s="442"/>
      <c r="F8" s="284"/>
      <c r="G8" s="285" t="s">
        <v>118</v>
      </c>
      <c r="H8" s="251"/>
    </row>
    <row r="9">
      <c r="A9" s="265"/>
      <c r="B9" s="404">
        <v>47600.0</v>
      </c>
      <c r="C9" s="424"/>
      <c r="D9" s="399"/>
      <c r="E9" s="442"/>
      <c r="F9" s="284"/>
      <c r="G9" s="285" t="s">
        <v>863</v>
      </c>
      <c r="H9" s="251"/>
    </row>
    <row r="10">
      <c r="A10" s="265"/>
      <c r="B10" s="404"/>
      <c r="C10" s="405"/>
      <c r="D10" s="400"/>
      <c r="E10" s="442"/>
      <c r="F10" s="284"/>
      <c r="G10" s="285"/>
      <c r="H10" s="251"/>
    </row>
    <row r="11">
      <c r="A11" s="265"/>
      <c r="B11" s="440"/>
      <c r="C11" s="424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70"/>
      <c r="B15" s="470"/>
      <c r="C15" s="471"/>
      <c r="D15" s="472"/>
      <c r="E15" s="473"/>
      <c r="F15" s="474"/>
      <c r="G15" s="475"/>
      <c r="H15" s="261"/>
    </row>
    <row r="16">
      <c r="A16" s="262"/>
      <c r="B16" s="440">
        <v>68607.0</v>
      </c>
      <c r="C16" s="405"/>
      <c r="D16" s="399"/>
      <c r="E16" s="398" t="s">
        <v>328</v>
      </c>
      <c r="F16" s="284"/>
      <c r="G16" s="285" t="s">
        <v>79</v>
      </c>
      <c r="H16" s="267">
        <v>170.0</v>
      </c>
    </row>
    <row r="17">
      <c r="A17" s="280"/>
      <c r="B17" s="440"/>
      <c r="C17" s="405">
        <v>97295.74</v>
      </c>
      <c r="D17" s="399"/>
      <c r="E17" s="442"/>
      <c r="F17" s="284"/>
      <c r="G17" s="398" t="s">
        <v>71</v>
      </c>
      <c r="H17" s="267"/>
      <c r="I17" s="266" t="s">
        <v>1390</v>
      </c>
      <c r="J17" s="309"/>
    </row>
    <row r="18">
      <c r="A18" s="280" t="s">
        <v>1391</v>
      </c>
      <c r="B18" s="404">
        <v>265015.54</v>
      </c>
      <c r="C18" s="405"/>
      <c r="D18" s="476"/>
      <c r="E18" s="398" t="s">
        <v>328</v>
      </c>
      <c r="F18" s="284"/>
      <c r="G18" s="285" t="s">
        <v>1392</v>
      </c>
      <c r="H18" s="251"/>
    </row>
    <row r="19">
      <c r="A19" s="265"/>
      <c r="B19" s="404"/>
      <c r="C19" s="405"/>
      <c r="D19" s="399">
        <v>83500.0</v>
      </c>
      <c r="E19" s="398" t="s">
        <v>328</v>
      </c>
      <c r="F19" s="284"/>
      <c r="G19" s="285" t="s">
        <v>76</v>
      </c>
      <c r="H19" s="251"/>
    </row>
    <row r="20">
      <c r="A20" s="265"/>
      <c r="B20" s="404"/>
      <c r="C20" s="405"/>
      <c r="D20" s="399"/>
      <c r="E20" s="398"/>
      <c r="F20" s="284"/>
      <c r="G20" s="285"/>
      <c r="H20" s="251"/>
    </row>
    <row r="21">
      <c r="A21" s="265"/>
      <c r="B21" s="419"/>
      <c r="C21" s="427"/>
      <c r="D21" s="414"/>
      <c r="E21" s="417"/>
      <c r="F21" s="418"/>
      <c r="G21" s="420"/>
      <c r="H21" s="251"/>
    </row>
    <row r="22">
      <c r="A22" s="265"/>
      <c r="B22" s="404"/>
      <c r="C22" s="405"/>
      <c r="D22" s="399"/>
      <c r="E22" s="442"/>
      <c r="F22" s="284"/>
      <c r="G22" s="285"/>
      <c r="H22" s="267"/>
    </row>
    <row r="23">
      <c r="A23" s="265"/>
      <c r="B23" s="404"/>
      <c r="C23" s="424"/>
      <c r="D23" s="400"/>
      <c r="E23" s="442"/>
      <c r="F23" s="284"/>
      <c r="G23" s="285"/>
      <c r="H23" s="251"/>
    </row>
    <row r="24">
      <c r="A24" s="265"/>
      <c r="B24" s="404"/>
      <c r="C24" s="405"/>
      <c r="D24" s="400"/>
      <c r="E24" s="442"/>
      <c r="F24" s="284"/>
      <c r="G24" s="285"/>
      <c r="H24" s="251"/>
    </row>
    <row r="25">
      <c r="A25" s="265"/>
      <c r="B25" s="477"/>
      <c r="C25" s="405"/>
      <c r="D25" s="400"/>
      <c r="E25" s="442"/>
      <c r="F25" s="284"/>
      <c r="G25" s="285"/>
      <c r="H25" s="251"/>
    </row>
    <row r="26">
      <c r="A26" s="265"/>
      <c r="B26" s="477"/>
      <c r="C26" s="424"/>
      <c r="D26" s="400"/>
      <c r="E26" s="442"/>
      <c r="F26" s="284"/>
      <c r="G26" s="285"/>
      <c r="H26" s="251"/>
    </row>
    <row r="27">
      <c r="A27" s="270"/>
      <c r="B27" s="478"/>
      <c r="C27" s="471"/>
      <c r="D27" s="472"/>
      <c r="E27" s="473"/>
      <c r="F27" s="460"/>
      <c r="G27" s="475"/>
      <c r="H27" s="261"/>
    </row>
    <row r="28">
      <c r="A28" s="262" t="s">
        <v>1393</v>
      </c>
      <c r="B28" s="425">
        <v>65932.0</v>
      </c>
      <c r="C28" s="426"/>
      <c r="D28" s="401"/>
      <c r="E28" s="402"/>
      <c r="F28" s="284"/>
      <c r="G28" s="285" t="s">
        <v>82</v>
      </c>
      <c r="H28" s="245">
        <v>206.0</v>
      </c>
    </row>
    <row r="29">
      <c r="A29" s="265"/>
      <c r="B29" s="404">
        <v>96000.0</v>
      </c>
      <c r="C29" s="405"/>
      <c r="D29" s="399"/>
      <c r="E29" s="398" t="s">
        <v>328</v>
      </c>
      <c r="F29" s="284"/>
      <c r="G29" s="285" t="s">
        <v>75</v>
      </c>
      <c r="H29" s="267"/>
    </row>
    <row r="30">
      <c r="A30" s="265"/>
      <c r="B30" s="479"/>
      <c r="C30" s="405">
        <f>165716.91+16079.09</f>
        <v>181796</v>
      </c>
      <c r="D30" s="399"/>
      <c r="E30" s="398"/>
      <c r="F30" s="284"/>
      <c r="G30" s="285" t="s">
        <v>84</v>
      </c>
      <c r="H30" s="251"/>
    </row>
    <row r="31">
      <c r="A31" s="265"/>
      <c r="B31" s="479">
        <v>82885.0</v>
      </c>
      <c r="C31" s="405"/>
      <c r="D31" s="399"/>
      <c r="E31" s="398"/>
      <c r="F31" s="284"/>
      <c r="G31" s="285" t="s">
        <v>1394</v>
      </c>
      <c r="H31" s="267"/>
    </row>
    <row r="32">
      <c r="A32" s="265"/>
      <c r="B32" s="404"/>
      <c r="C32" s="405"/>
      <c r="D32" s="399">
        <v>400752.0</v>
      </c>
      <c r="E32" s="398" t="s">
        <v>328</v>
      </c>
      <c r="F32" s="284"/>
      <c r="G32" s="285" t="s">
        <v>877</v>
      </c>
      <c r="H32" s="251"/>
    </row>
    <row r="33">
      <c r="A33" s="265"/>
      <c r="B33" s="404"/>
      <c r="C33" s="405"/>
      <c r="D33" s="399"/>
      <c r="E33" s="442"/>
      <c r="F33" s="284">
        <v>3400.0</v>
      </c>
      <c r="G33" s="285" t="s">
        <v>590</v>
      </c>
      <c r="H33" s="251"/>
    </row>
    <row r="34">
      <c r="A34" s="265"/>
      <c r="B34" s="404"/>
      <c r="C34" s="424"/>
      <c r="D34" s="399"/>
      <c r="E34" s="442"/>
      <c r="F34" s="284"/>
      <c r="G34" s="285"/>
      <c r="H34" s="251"/>
    </row>
    <row r="35">
      <c r="A35" s="265"/>
      <c r="B35" s="404"/>
      <c r="C35" s="424"/>
      <c r="D35" s="400"/>
      <c r="E35" s="442"/>
      <c r="F35" s="284"/>
      <c r="G35" s="285"/>
      <c r="H35" s="251"/>
    </row>
    <row r="36">
      <c r="A36" s="265"/>
      <c r="B36" s="404"/>
      <c r="C36" s="405"/>
      <c r="D36" s="400"/>
      <c r="E36" s="442"/>
      <c r="F36" s="284"/>
      <c r="G36" s="285"/>
      <c r="H36" s="251"/>
    </row>
    <row r="37">
      <c r="A37" s="265"/>
      <c r="B37" s="404"/>
      <c r="C37" s="405"/>
      <c r="D37" s="399"/>
      <c r="E37" s="442"/>
      <c r="F37" s="284"/>
      <c r="G37" s="442"/>
      <c r="H37" s="251"/>
    </row>
    <row r="38">
      <c r="A38" s="265"/>
      <c r="B38" s="404"/>
      <c r="C38" s="405"/>
      <c r="D38" s="399"/>
      <c r="E38" s="442"/>
      <c r="F38" s="284"/>
      <c r="G38" s="285"/>
      <c r="H38" s="251"/>
    </row>
    <row r="39">
      <c r="A39" s="265"/>
      <c r="B39" s="477"/>
      <c r="C39" s="405"/>
      <c r="D39" s="399"/>
      <c r="E39" s="442"/>
      <c r="F39" s="284"/>
      <c r="G39" s="285"/>
      <c r="H39" s="251"/>
    </row>
    <row r="40">
      <c r="A40" s="265"/>
      <c r="B40" s="480"/>
      <c r="C40" s="424"/>
      <c r="D40" s="400"/>
      <c r="E40" s="442"/>
      <c r="F40" s="284"/>
      <c r="G40" s="481"/>
      <c r="H40" s="251"/>
    </row>
    <row r="41">
      <c r="A41" s="270"/>
      <c r="B41" s="478"/>
      <c r="C41" s="471"/>
      <c r="D41" s="472"/>
      <c r="E41" s="473"/>
      <c r="F41" s="460"/>
      <c r="G41" s="482"/>
      <c r="H41" s="261"/>
    </row>
    <row r="42">
      <c r="A42" s="262" t="s">
        <v>1395</v>
      </c>
      <c r="B42" s="461"/>
      <c r="C42" s="445"/>
      <c r="D42" s="421"/>
      <c r="E42" s="422"/>
      <c r="F42" s="403">
        <v>4000.0</v>
      </c>
      <c r="G42" s="436" t="s">
        <v>1396</v>
      </c>
      <c r="H42" s="245">
        <v>173.0</v>
      </c>
    </row>
    <row r="43">
      <c r="A43" s="265"/>
      <c r="B43" s="404">
        <v>50000.0</v>
      </c>
      <c r="C43" s="405"/>
      <c r="D43" s="399"/>
      <c r="E43" s="398"/>
      <c r="F43" s="284"/>
      <c r="G43" s="285" t="s">
        <v>68</v>
      </c>
      <c r="H43" s="267"/>
      <c r="I43" s="266" t="s">
        <v>1397</v>
      </c>
      <c r="J43" s="309"/>
    </row>
    <row r="44">
      <c r="A44" s="265"/>
      <c r="B44" s="433"/>
      <c r="C44" s="405"/>
      <c r="D44" s="399"/>
      <c r="E44" s="398"/>
      <c r="F44" s="284">
        <v>2317.5</v>
      </c>
      <c r="G44" s="285" t="s">
        <v>649</v>
      </c>
      <c r="H44" s="310"/>
    </row>
    <row r="45">
      <c r="A45" s="265"/>
      <c r="B45" s="404"/>
      <c r="C45" s="405"/>
      <c r="D45" s="399"/>
      <c r="E45" s="398"/>
      <c r="F45" s="284"/>
      <c r="G45" s="285"/>
      <c r="H45" s="251"/>
      <c r="I45" s="2" t="s">
        <v>1398</v>
      </c>
    </row>
    <row r="46">
      <c r="A46" s="265"/>
      <c r="B46" s="404"/>
      <c r="C46" s="405"/>
      <c r="D46" s="399"/>
      <c r="E46" s="398"/>
      <c r="F46" s="284"/>
      <c r="G46" s="285"/>
      <c r="H46" s="251"/>
    </row>
    <row r="47">
      <c r="A47" s="265"/>
      <c r="B47" s="404"/>
      <c r="C47" s="405"/>
      <c r="D47" s="399"/>
      <c r="E47" s="398"/>
      <c r="F47" s="284"/>
      <c r="G47" s="285"/>
      <c r="H47" s="251"/>
    </row>
    <row r="48">
      <c r="A48" s="265"/>
      <c r="B48" s="404"/>
      <c r="C48" s="424"/>
      <c r="D48" s="399"/>
      <c r="E48" s="442"/>
      <c r="F48" s="284"/>
      <c r="G48" s="285"/>
      <c r="H48" s="251"/>
    </row>
    <row r="49">
      <c r="A49" s="265"/>
      <c r="B49" s="404"/>
      <c r="C49" s="424"/>
      <c r="D49" s="400"/>
      <c r="E49" s="442"/>
      <c r="F49" s="284"/>
      <c r="G49" s="285"/>
      <c r="H49" s="251"/>
    </row>
    <row r="50">
      <c r="A50" s="265"/>
      <c r="B50" s="404"/>
      <c r="C50" s="424"/>
      <c r="D50" s="399"/>
      <c r="E50" s="442"/>
      <c r="F50" s="284"/>
      <c r="G50" s="285"/>
      <c r="H50" s="251"/>
    </row>
    <row r="51">
      <c r="A51" s="265"/>
      <c r="B51" s="440"/>
      <c r="C51" s="424"/>
      <c r="D51" s="400"/>
      <c r="E51" s="442"/>
      <c r="F51" s="284"/>
      <c r="G51" s="285"/>
      <c r="H51" s="251"/>
    </row>
    <row r="52">
      <c r="A52" s="265"/>
      <c r="B52" s="440"/>
      <c r="C52" s="424"/>
      <c r="D52" s="400"/>
      <c r="E52" s="442"/>
      <c r="F52" s="284"/>
      <c r="G52" s="285"/>
      <c r="H52" s="251"/>
    </row>
    <row r="53">
      <c r="A53" s="270"/>
      <c r="B53" s="478"/>
      <c r="C53" s="471"/>
      <c r="D53" s="472"/>
      <c r="E53" s="473"/>
      <c r="F53" s="474"/>
      <c r="G53" s="482"/>
      <c r="H53" s="261"/>
    </row>
    <row r="54">
      <c r="A54" s="262" t="s">
        <v>1399</v>
      </c>
      <c r="B54" s="425"/>
      <c r="C54" s="426"/>
      <c r="D54" s="401"/>
      <c r="E54" s="402"/>
      <c r="F54" s="403">
        <v>3418.0</v>
      </c>
      <c r="G54" s="436" t="s">
        <v>1400</v>
      </c>
      <c r="H54" s="245">
        <v>204.0</v>
      </c>
    </row>
    <row r="55">
      <c r="A55" s="265"/>
      <c r="B55" s="419">
        <v>156500.0</v>
      </c>
      <c r="C55" s="427"/>
      <c r="D55" s="414"/>
      <c r="E55" s="417" t="s">
        <v>306</v>
      </c>
      <c r="F55" s="418"/>
      <c r="G55" s="420" t="s">
        <v>75</v>
      </c>
      <c r="H55" s="267"/>
      <c r="I55" s="266" t="s">
        <v>1401</v>
      </c>
    </row>
    <row r="56">
      <c r="A56" s="265"/>
      <c r="B56" s="404"/>
      <c r="C56" s="405"/>
      <c r="D56" s="399">
        <v>35043.36</v>
      </c>
      <c r="E56" s="398" t="s">
        <v>328</v>
      </c>
      <c r="F56" s="284"/>
      <c r="G56" s="285" t="s">
        <v>73</v>
      </c>
      <c r="H56" s="267"/>
    </row>
    <row r="57">
      <c r="A57" s="265"/>
      <c r="B57" s="404"/>
      <c r="C57" s="405"/>
      <c r="D57" s="399">
        <v>40393.63</v>
      </c>
      <c r="E57" s="398" t="s">
        <v>328</v>
      </c>
      <c r="F57" s="284"/>
      <c r="G57" s="285" t="s">
        <v>74</v>
      </c>
      <c r="H57" s="251"/>
    </row>
    <row r="58">
      <c r="A58" s="265"/>
      <c r="B58" s="457">
        <v>60888.65</v>
      </c>
      <c r="C58" s="405"/>
      <c r="D58" s="399"/>
      <c r="E58" s="398"/>
      <c r="F58" s="284"/>
      <c r="G58" s="285" t="s">
        <v>82</v>
      </c>
      <c r="H58" s="251"/>
    </row>
    <row r="59">
      <c r="A59" s="265"/>
      <c r="B59" s="468"/>
      <c r="C59" s="405">
        <v>215324.0</v>
      </c>
      <c r="D59" s="399"/>
      <c r="E59" s="398" t="s">
        <v>1261</v>
      </c>
      <c r="F59" s="483"/>
      <c r="G59" s="285" t="s">
        <v>89</v>
      </c>
      <c r="H59" s="251"/>
    </row>
    <row r="60">
      <c r="A60" s="265"/>
      <c r="B60" s="468">
        <v>4720.0</v>
      </c>
      <c r="C60" s="405"/>
      <c r="D60" s="399"/>
      <c r="E60" s="442"/>
      <c r="F60" s="284"/>
      <c r="G60" s="285" t="s">
        <v>463</v>
      </c>
      <c r="H60" s="251"/>
    </row>
    <row r="61">
      <c r="A61" s="265"/>
      <c r="B61" s="404">
        <v>172904.0</v>
      </c>
      <c r="C61" s="424"/>
      <c r="D61" s="399"/>
      <c r="E61" s="398"/>
      <c r="F61" s="284"/>
      <c r="G61" s="285" t="s">
        <v>787</v>
      </c>
      <c r="H61" s="251"/>
    </row>
    <row r="62">
      <c r="A62" s="265"/>
      <c r="B62" s="404"/>
      <c r="C62" s="424"/>
      <c r="D62" s="400"/>
      <c r="E62" s="442"/>
      <c r="F62" s="284">
        <v>23100.0</v>
      </c>
      <c r="G62" s="285" t="s">
        <v>605</v>
      </c>
      <c r="H62" s="251"/>
    </row>
    <row r="63">
      <c r="A63" s="265"/>
      <c r="B63" s="404"/>
      <c r="C63" s="424"/>
      <c r="D63" s="399"/>
      <c r="E63" s="442"/>
      <c r="F63" s="284">
        <v>4725.0</v>
      </c>
      <c r="G63" s="285" t="s">
        <v>150</v>
      </c>
      <c r="H63" s="251"/>
    </row>
    <row r="64">
      <c r="A64" s="265"/>
      <c r="B64" s="477"/>
      <c r="C64" s="424"/>
      <c r="D64" s="400"/>
      <c r="E64" s="442"/>
      <c r="F64" s="284"/>
      <c r="G64" s="481"/>
      <c r="H64" s="251"/>
    </row>
    <row r="65">
      <c r="A65" s="265"/>
      <c r="B65" s="404"/>
      <c r="C65" s="424"/>
      <c r="D65" s="400"/>
      <c r="E65" s="442"/>
      <c r="F65" s="284"/>
      <c r="G65" s="481"/>
      <c r="H65" s="251"/>
    </row>
    <row r="66">
      <c r="A66" s="265"/>
      <c r="B66" s="440"/>
      <c r="C66" s="424"/>
      <c r="D66" s="400"/>
      <c r="E66" s="442"/>
      <c r="F66" s="463"/>
      <c r="G66" s="481"/>
      <c r="H66" s="251"/>
    </row>
    <row r="67">
      <c r="A67" s="265"/>
      <c r="B67" s="480"/>
      <c r="C67" s="405"/>
      <c r="D67" s="400"/>
      <c r="E67" s="442"/>
      <c r="F67" s="463"/>
      <c r="G67" s="481"/>
      <c r="H67" s="251"/>
    </row>
    <row r="68">
      <c r="A68" s="265"/>
      <c r="B68" s="480"/>
      <c r="C68" s="424"/>
      <c r="D68" s="400"/>
      <c r="E68" s="442"/>
      <c r="F68" s="284"/>
      <c r="G68" s="481"/>
      <c r="H68" s="251"/>
    </row>
    <row r="69">
      <c r="A69" s="270"/>
      <c r="B69" s="478"/>
      <c r="C69" s="471"/>
      <c r="D69" s="472"/>
      <c r="E69" s="473"/>
      <c r="F69" s="474"/>
      <c r="G69" s="475"/>
      <c r="H69" s="261"/>
    </row>
    <row r="70">
      <c r="A70" s="262" t="s">
        <v>1402</v>
      </c>
      <c r="B70" s="425">
        <v>46545.0</v>
      </c>
      <c r="C70" s="426"/>
      <c r="D70" s="401"/>
      <c r="E70" s="402"/>
      <c r="F70" s="284"/>
      <c r="G70" s="436" t="s">
        <v>291</v>
      </c>
      <c r="H70" s="245">
        <v>170.0</v>
      </c>
    </row>
    <row r="71">
      <c r="A71" s="265"/>
      <c r="B71" s="404"/>
      <c r="C71" s="405"/>
      <c r="D71" s="399"/>
      <c r="E71" s="442"/>
      <c r="F71" s="284"/>
      <c r="G71" s="398"/>
      <c r="H71" s="267"/>
      <c r="I71" s="266" t="s">
        <v>1403</v>
      </c>
      <c r="J71" s="309"/>
    </row>
    <row r="72">
      <c r="A72" s="265"/>
      <c r="B72" s="404"/>
      <c r="C72" s="405"/>
      <c r="D72" s="399"/>
      <c r="E72" s="398"/>
      <c r="F72" s="284"/>
      <c r="G72" s="285"/>
      <c r="H72" s="267"/>
    </row>
    <row r="73">
      <c r="A73" s="265"/>
      <c r="B73" s="404"/>
      <c r="C73" s="405"/>
      <c r="D73" s="399"/>
      <c r="E73" s="398"/>
      <c r="F73" s="284"/>
      <c r="G73" s="285"/>
      <c r="H73" s="251"/>
      <c r="I73" s="340" t="s">
        <v>1404</v>
      </c>
      <c r="J73" s="340" t="s">
        <v>1405</v>
      </c>
      <c r="K73" s="340">
        <v>1260000.0</v>
      </c>
    </row>
    <row r="74">
      <c r="A74" s="265"/>
      <c r="B74" s="484"/>
      <c r="C74" s="485"/>
      <c r="D74" s="449"/>
      <c r="E74" s="450"/>
      <c r="F74" s="451"/>
      <c r="G74" s="435"/>
      <c r="H74" s="251"/>
      <c r="I74" s="502">
        <v>45513.0</v>
      </c>
      <c r="J74" s="340" t="s">
        <v>1406</v>
      </c>
      <c r="K74" s="340">
        <v>390000.0</v>
      </c>
    </row>
    <row r="75">
      <c r="A75" s="265"/>
      <c r="B75" s="404"/>
      <c r="C75" s="405"/>
      <c r="D75" s="399"/>
      <c r="E75" s="442"/>
      <c r="F75" s="284"/>
      <c r="G75" s="285"/>
      <c r="H75" s="267">
        <v>140.0</v>
      </c>
      <c r="I75" s="502">
        <v>45538.0</v>
      </c>
      <c r="J75" s="340" t="s">
        <v>1406</v>
      </c>
      <c r="K75" s="340">
        <v>500000.0</v>
      </c>
    </row>
    <row r="76">
      <c r="A76" s="265"/>
      <c r="B76" s="404"/>
      <c r="C76" s="424"/>
      <c r="D76" s="399"/>
      <c r="E76" s="442"/>
      <c r="F76" s="284"/>
      <c r="G76" s="285"/>
      <c r="H76" s="251"/>
      <c r="I76" s="502">
        <v>45540.0</v>
      </c>
      <c r="J76" s="340" t="s">
        <v>1406</v>
      </c>
      <c r="K76" s="340">
        <v>600000.0</v>
      </c>
    </row>
    <row r="77">
      <c r="A77" s="265"/>
      <c r="B77" s="404"/>
      <c r="C77" s="424"/>
      <c r="D77" s="400"/>
      <c r="E77" s="442"/>
      <c r="F77" s="284"/>
      <c r="G77" s="285"/>
      <c r="H77" s="251"/>
      <c r="I77" s="502">
        <v>45541.0</v>
      </c>
      <c r="J77" s="340" t="s">
        <v>1406</v>
      </c>
      <c r="K77" s="340">
        <v>110000.0</v>
      </c>
    </row>
    <row r="78">
      <c r="A78" s="265"/>
      <c r="B78" s="404"/>
      <c r="C78" s="405"/>
      <c r="D78" s="400"/>
      <c r="E78" s="442"/>
      <c r="F78" s="284"/>
      <c r="G78" s="285"/>
      <c r="H78" s="251"/>
      <c r="I78" s="503" t="s">
        <v>1407</v>
      </c>
      <c r="J78" s="504"/>
      <c r="K78" s="504">
        <f>K73-K74-K75-K76-K77</f>
        <v>-340000</v>
      </c>
      <c r="L78" s="2" t="s">
        <v>1408</v>
      </c>
    </row>
    <row r="79">
      <c r="A79" s="265"/>
      <c r="B79" s="404"/>
      <c r="C79" s="405"/>
      <c r="D79" s="400"/>
      <c r="E79" s="442"/>
      <c r="F79" s="284"/>
      <c r="G79" s="285"/>
      <c r="H79" s="251"/>
      <c r="I79" s="318">
        <v>45542.0</v>
      </c>
      <c r="J79" s="2" t="s">
        <v>1409</v>
      </c>
      <c r="K79" s="2">
        <v>50000.0</v>
      </c>
      <c r="L79" s="2" t="s">
        <v>1410</v>
      </c>
    </row>
    <row r="80">
      <c r="A80" s="265"/>
      <c r="B80" s="440"/>
      <c r="C80" s="405"/>
      <c r="D80" s="400"/>
      <c r="E80" s="442"/>
      <c r="F80" s="463"/>
      <c r="G80" s="285"/>
      <c r="H80" s="251"/>
      <c r="I80" s="318">
        <v>45545.0</v>
      </c>
      <c r="J80" s="2" t="s">
        <v>1409</v>
      </c>
      <c r="K80" s="2">
        <v>319390.28</v>
      </c>
      <c r="L80" s="2" t="s">
        <v>1411</v>
      </c>
    </row>
    <row r="81">
      <c r="A81" s="265"/>
      <c r="B81" s="440"/>
      <c r="C81" s="424"/>
      <c r="D81" s="400"/>
      <c r="E81" s="442"/>
      <c r="F81" s="284"/>
      <c r="G81" s="285"/>
      <c r="H81" s="251"/>
    </row>
    <row r="82">
      <c r="A82" s="265"/>
      <c r="B82" s="440"/>
      <c r="C82" s="424"/>
      <c r="D82" s="400"/>
      <c r="E82" s="442"/>
      <c r="F82" s="463"/>
      <c r="G82" s="285"/>
      <c r="H82" s="251"/>
      <c r="J82" s="2" t="s">
        <v>1412</v>
      </c>
      <c r="K82" s="2">
        <v>29000.0</v>
      </c>
      <c r="L82" s="2" t="s">
        <v>1413</v>
      </c>
    </row>
    <row r="83">
      <c r="A83" s="270"/>
      <c r="B83" s="478"/>
      <c r="C83" s="471"/>
      <c r="D83" s="472"/>
      <c r="E83" s="473"/>
      <c r="F83" s="460"/>
      <c r="G83" s="482"/>
      <c r="H83" s="261"/>
    </row>
    <row r="84">
      <c r="A84" s="262" t="s">
        <v>1414</v>
      </c>
      <c r="B84" s="425"/>
      <c r="C84" s="426"/>
      <c r="D84" s="401"/>
      <c r="E84" s="402"/>
      <c r="F84" s="403">
        <v>5150.0</v>
      </c>
      <c r="G84" s="436" t="s">
        <v>1415</v>
      </c>
      <c r="H84" s="245">
        <v>100.0</v>
      </c>
    </row>
    <row r="85">
      <c r="A85" s="265"/>
      <c r="B85" s="404">
        <v>50000.0</v>
      </c>
      <c r="C85" s="405"/>
      <c r="D85" s="399"/>
      <c r="E85" s="398"/>
      <c r="F85" s="284"/>
      <c r="G85" s="285" t="s">
        <v>68</v>
      </c>
      <c r="H85" s="267"/>
    </row>
    <row r="86">
      <c r="A86" s="265"/>
      <c r="B86" s="404">
        <v>51569.2</v>
      </c>
      <c r="C86" s="405"/>
      <c r="D86" s="399"/>
      <c r="E86" s="398"/>
      <c r="F86" s="284"/>
      <c r="G86" s="195" t="s">
        <v>82</v>
      </c>
      <c r="H86" s="267"/>
    </row>
    <row r="87">
      <c r="A87" s="265"/>
      <c r="B87" s="404"/>
      <c r="C87" s="405"/>
      <c r="D87" s="399">
        <v>97590.0</v>
      </c>
      <c r="E87" s="398" t="s">
        <v>328</v>
      </c>
      <c r="F87" s="284"/>
      <c r="G87" s="285" t="s">
        <v>1416</v>
      </c>
      <c r="H87" s="251"/>
    </row>
    <row r="88">
      <c r="A88" s="265"/>
      <c r="B88" s="404"/>
      <c r="C88" s="405"/>
      <c r="D88" s="399">
        <v>126985.0</v>
      </c>
      <c r="E88" s="398" t="s">
        <v>328</v>
      </c>
      <c r="F88" s="284"/>
      <c r="G88" s="285" t="s">
        <v>114</v>
      </c>
      <c r="H88" s="251"/>
    </row>
    <row r="89">
      <c r="A89" s="265"/>
      <c r="B89" s="404"/>
      <c r="C89" s="405"/>
      <c r="D89" s="399"/>
      <c r="E89" s="398"/>
      <c r="F89" s="284">
        <v>25200.0</v>
      </c>
      <c r="G89" s="285" t="s">
        <v>605</v>
      </c>
      <c r="H89" s="251"/>
    </row>
    <row r="90">
      <c r="A90" s="265"/>
      <c r="B90" s="404">
        <v>19582.0</v>
      </c>
      <c r="C90" s="424"/>
      <c r="D90" s="399"/>
      <c r="E90" s="398"/>
      <c r="F90" s="284"/>
      <c r="G90" s="285" t="s">
        <v>1061</v>
      </c>
      <c r="H90" s="251"/>
    </row>
    <row r="91">
      <c r="A91" s="265"/>
      <c r="B91" s="404">
        <v>100000.0</v>
      </c>
      <c r="C91" s="405"/>
      <c r="D91" s="399"/>
      <c r="E91" s="442"/>
      <c r="F91" s="284"/>
      <c r="G91" s="285" t="s">
        <v>1350</v>
      </c>
      <c r="H91" s="251"/>
    </row>
    <row r="92">
      <c r="A92" s="265"/>
      <c r="B92" s="404">
        <v>115000.0</v>
      </c>
      <c r="C92" s="424"/>
      <c r="D92" s="399"/>
      <c r="E92" s="398" t="s">
        <v>328</v>
      </c>
      <c r="F92" s="418"/>
      <c r="G92" s="285" t="s">
        <v>75</v>
      </c>
      <c r="H92" s="251"/>
    </row>
    <row r="93">
      <c r="A93" s="265"/>
      <c r="B93" s="404">
        <v>63990.0</v>
      </c>
      <c r="C93" s="405"/>
      <c r="D93" s="400"/>
      <c r="E93" s="442"/>
      <c r="F93" s="284"/>
      <c r="G93" s="285" t="s">
        <v>118</v>
      </c>
      <c r="H93" s="251"/>
    </row>
    <row r="94">
      <c r="A94" s="265"/>
      <c r="B94" s="477"/>
      <c r="C94" s="424"/>
      <c r="D94" s="400"/>
      <c r="E94" s="442"/>
      <c r="F94" s="284"/>
      <c r="G94" s="285"/>
      <c r="H94" s="251"/>
    </row>
    <row r="95">
      <c r="A95" s="265"/>
      <c r="B95" s="477"/>
      <c r="C95" s="424"/>
      <c r="D95" s="400"/>
      <c r="E95" s="442"/>
      <c r="F95" s="284"/>
      <c r="G95" s="285"/>
      <c r="H95" s="251"/>
    </row>
    <row r="96">
      <c r="A96" s="265"/>
      <c r="B96" s="477"/>
      <c r="C96" s="424"/>
      <c r="D96" s="400"/>
      <c r="E96" s="442"/>
      <c r="F96" s="284"/>
      <c r="G96" s="481"/>
      <c r="H96" s="251"/>
    </row>
    <row r="97">
      <c r="A97" s="265"/>
      <c r="B97" s="477"/>
      <c r="C97" s="424"/>
      <c r="D97" s="400"/>
      <c r="E97" s="442"/>
      <c r="F97" s="284"/>
      <c r="G97" s="481"/>
      <c r="H97" s="251"/>
    </row>
    <row r="98">
      <c r="A98" s="265"/>
      <c r="B98" s="477"/>
      <c r="C98" s="424"/>
      <c r="D98" s="400"/>
      <c r="E98" s="442"/>
      <c r="F98" s="284"/>
      <c r="G98" s="481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70"/>
      <c r="B101" s="478"/>
      <c r="C101" s="471"/>
      <c r="D101" s="472"/>
      <c r="E101" s="473"/>
      <c r="F101" s="460"/>
      <c r="G101" s="482"/>
      <c r="H101" s="261"/>
    </row>
    <row r="102">
      <c r="A102" s="262" t="s">
        <v>1417</v>
      </c>
      <c r="B102" s="425"/>
      <c r="C102" s="426"/>
      <c r="D102" s="401"/>
      <c r="E102" s="402"/>
      <c r="F102" s="403"/>
      <c r="G102" s="436"/>
      <c r="H102" s="245">
        <v>160.0</v>
      </c>
    </row>
    <row r="103">
      <c r="A103" s="265"/>
      <c r="B103" s="404"/>
      <c r="C103" s="405"/>
      <c r="D103" s="399"/>
      <c r="E103" s="398"/>
      <c r="F103" s="284"/>
      <c r="G103" s="285"/>
      <c r="H103" s="267"/>
    </row>
    <row r="104">
      <c r="A104" s="265"/>
      <c r="B104" s="404"/>
      <c r="C104" s="405"/>
      <c r="D104" s="399"/>
      <c r="E104" s="398"/>
      <c r="F104" s="284"/>
      <c r="G104" s="285"/>
      <c r="H104" s="251"/>
    </row>
    <row r="105">
      <c r="A105" s="265"/>
      <c r="B105" s="425">
        <v>68607.0</v>
      </c>
      <c r="C105" s="426"/>
      <c r="D105" s="401"/>
      <c r="E105" s="402" t="s">
        <v>328</v>
      </c>
      <c r="F105" s="403"/>
      <c r="G105" s="436" t="s">
        <v>931</v>
      </c>
      <c r="H105" s="251"/>
      <c r="I105" s="266"/>
      <c r="J105" s="309"/>
    </row>
    <row r="106">
      <c r="A106" s="265"/>
      <c r="B106" s="404">
        <v>124490.7</v>
      </c>
      <c r="C106" s="424"/>
      <c r="D106" s="399"/>
      <c r="E106" s="398"/>
      <c r="F106" s="284"/>
      <c r="G106" s="285" t="s">
        <v>142</v>
      </c>
      <c r="H106" s="251"/>
    </row>
    <row r="107">
      <c r="A107" s="265"/>
      <c r="B107" s="404"/>
      <c r="C107" s="405">
        <f>73523.85+75485.85+103660.7-9425.9</f>
        <v>243244.5</v>
      </c>
      <c r="D107" s="399"/>
      <c r="E107" s="398"/>
      <c r="F107" s="284"/>
      <c r="G107" s="285" t="s">
        <v>71</v>
      </c>
      <c r="H107" s="251"/>
    </row>
    <row r="108">
      <c r="A108" s="265"/>
      <c r="B108" s="404">
        <v>184000.0</v>
      </c>
      <c r="C108" s="424"/>
      <c r="D108" s="399"/>
      <c r="E108" s="398" t="s">
        <v>328</v>
      </c>
      <c r="F108" s="284"/>
      <c r="G108" s="285" t="s">
        <v>122</v>
      </c>
      <c r="H108" s="251"/>
      <c r="I108" s="417"/>
    </row>
    <row r="109">
      <c r="A109" s="265"/>
      <c r="B109" s="404">
        <v>45750.0</v>
      </c>
      <c r="C109" s="405"/>
      <c r="D109" s="399"/>
      <c r="E109" s="398" t="s">
        <v>328</v>
      </c>
      <c r="F109" s="284"/>
      <c r="G109" s="285" t="s">
        <v>76</v>
      </c>
      <c r="H109" s="251"/>
    </row>
    <row r="110">
      <c r="A110" s="265"/>
      <c r="B110" s="404"/>
      <c r="C110" s="405"/>
      <c r="D110" s="400"/>
      <c r="E110" s="442"/>
      <c r="F110" s="284"/>
      <c r="G110" s="285"/>
      <c r="H110" s="251"/>
    </row>
    <row r="111">
      <c r="A111" s="265"/>
      <c r="B111" s="404"/>
      <c r="C111" s="405"/>
      <c r="D111" s="400"/>
      <c r="E111" s="442"/>
      <c r="F111" s="284"/>
      <c r="G111" s="285"/>
      <c r="H111" s="251"/>
    </row>
    <row r="112">
      <c r="A112" s="265"/>
      <c r="B112" s="404"/>
      <c r="C112" s="424"/>
      <c r="D112" s="399"/>
      <c r="E112" s="442"/>
      <c r="F112" s="284"/>
      <c r="G112" s="285"/>
      <c r="H112" s="251"/>
    </row>
    <row r="113">
      <c r="A113" s="265"/>
      <c r="B113" s="440"/>
      <c r="C113" s="424"/>
      <c r="D113" s="400"/>
      <c r="E113" s="442"/>
      <c r="F113" s="284"/>
      <c r="G113" s="285"/>
      <c r="H113" s="251"/>
    </row>
    <row r="114">
      <c r="A114" s="265"/>
      <c r="B114" s="440"/>
      <c r="C114" s="424"/>
      <c r="D114" s="400"/>
      <c r="E114" s="442"/>
      <c r="F114" s="284"/>
      <c r="G114" s="481"/>
      <c r="H114" s="251"/>
    </row>
    <row r="115">
      <c r="A115" s="265"/>
      <c r="B115" s="480"/>
      <c r="C115" s="424"/>
      <c r="D115" s="400"/>
      <c r="E115" s="442"/>
      <c r="F115" s="284"/>
      <c r="G115" s="481"/>
      <c r="H115" s="251"/>
    </row>
    <row r="116">
      <c r="A116" s="270"/>
      <c r="B116" s="478"/>
      <c r="C116" s="471"/>
      <c r="D116" s="472"/>
      <c r="E116" s="473"/>
      <c r="F116" s="460"/>
      <c r="G116" s="482"/>
      <c r="H116" s="261"/>
    </row>
    <row r="117">
      <c r="A117" s="262" t="s">
        <v>1418</v>
      </c>
      <c r="B117" s="425">
        <v>75000.0</v>
      </c>
      <c r="C117" s="426"/>
      <c r="D117" s="401"/>
      <c r="E117" s="402" t="s">
        <v>328</v>
      </c>
      <c r="F117" s="403"/>
      <c r="G117" s="436" t="s">
        <v>75</v>
      </c>
      <c r="H117" s="245">
        <v>170.0</v>
      </c>
    </row>
    <row r="118">
      <c r="A118" s="265"/>
      <c r="B118" s="404"/>
      <c r="C118" s="405">
        <v>144986.98</v>
      </c>
      <c r="D118" s="399"/>
      <c r="E118" s="398"/>
      <c r="F118" s="284"/>
      <c r="G118" s="285" t="s">
        <v>84</v>
      </c>
      <c r="H118" s="251"/>
    </row>
    <row r="119">
      <c r="A119" s="265"/>
      <c r="B119" s="404"/>
      <c r="C119" s="405"/>
      <c r="D119" s="399">
        <v>338134.5</v>
      </c>
      <c r="E119" s="398" t="s">
        <v>328</v>
      </c>
      <c r="F119" s="284"/>
      <c r="G119" s="285" t="s">
        <v>877</v>
      </c>
      <c r="H119" s="251"/>
    </row>
    <row r="120">
      <c r="A120" s="265"/>
      <c r="B120" s="404">
        <v>40907.1</v>
      </c>
      <c r="C120" s="424"/>
      <c r="D120" s="399"/>
      <c r="E120" s="442"/>
      <c r="F120" s="284"/>
      <c r="G120" s="285" t="s">
        <v>82</v>
      </c>
      <c r="H120" s="251"/>
    </row>
    <row r="121">
      <c r="A121" s="265"/>
      <c r="B121" s="404"/>
      <c r="C121" s="405"/>
      <c r="D121" s="399">
        <v>44200.0</v>
      </c>
      <c r="E121" s="398"/>
      <c r="F121" s="284"/>
      <c r="G121" s="285" t="s">
        <v>1419</v>
      </c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04"/>
      <c r="C123" s="405"/>
      <c r="D123" s="399"/>
      <c r="E123" s="442"/>
      <c r="F123" s="284"/>
      <c r="G123" s="285"/>
      <c r="H123" s="251"/>
    </row>
    <row r="124">
      <c r="A124" s="265"/>
      <c r="B124" s="404"/>
      <c r="C124" s="424"/>
      <c r="D124" s="399"/>
      <c r="E124" s="442"/>
      <c r="F124" s="284"/>
      <c r="G124" s="285"/>
      <c r="H124" s="251"/>
    </row>
    <row r="125">
      <c r="A125" s="265"/>
      <c r="B125" s="477"/>
      <c r="C125" s="405"/>
      <c r="D125" s="399"/>
      <c r="E125" s="442"/>
      <c r="F125" s="284"/>
      <c r="G125" s="285"/>
      <c r="H125" s="251"/>
    </row>
    <row r="126">
      <c r="A126" s="265"/>
      <c r="B126" s="404"/>
      <c r="C126" s="424"/>
      <c r="D126" s="399"/>
      <c r="E126" s="442"/>
      <c r="F126" s="284"/>
      <c r="G126" s="442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40"/>
      <c r="C128" s="424"/>
      <c r="D128" s="400"/>
      <c r="E128" s="442"/>
      <c r="F128" s="284"/>
      <c r="G128" s="285"/>
      <c r="H128" s="251"/>
    </row>
    <row r="129">
      <c r="A129" s="265"/>
      <c r="B129" s="440"/>
      <c r="C129" s="424"/>
      <c r="D129" s="400"/>
      <c r="E129" s="442"/>
      <c r="F129" s="463"/>
      <c r="G129" s="481"/>
      <c r="H129" s="251"/>
    </row>
    <row r="130">
      <c r="A130" s="265"/>
      <c r="B130" s="480"/>
      <c r="C130" s="424"/>
      <c r="D130" s="400"/>
      <c r="E130" s="442"/>
      <c r="F130" s="284"/>
      <c r="G130" s="481"/>
      <c r="H130" s="251"/>
    </row>
    <row r="131">
      <c r="A131" s="270"/>
      <c r="B131" s="478"/>
      <c r="C131" s="471"/>
      <c r="D131" s="472"/>
      <c r="E131" s="473"/>
      <c r="F131" s="474"/>
      <c r="G131" s="475"/>
      <c r="H131" s="261"/>
    </row>
    <row r="132">
      <c r="A132" s="262" t="s">
        <v>1420</v>
      </c>
      <c r="B132" s="425"/>
      <c r="C132" s="426"/>
      <c r="D132" s="401"/>
      <c r="E132" s="402"/>
      <c r="F132" s="403"/>
      <c r="G132" s="436"/>
      <c r="H132" s="245">
        <v>130.0</v>
      </c>
    </row>
    <row r="133">
      <c r="A133" s="265"/>
      <c r="B133" s="404"/>
      <c r="C133" s="405"/>
      <c r="D133" s="399"/>
      <c r="E133" s="398"/>
      <c r="F133" s="284"/>
      <c r="G133" s="285"/>
      <c r="H133" s="267"/>
    </row>
    <row r="134">
      <c r="A134" s="265"/>
      <c r="B134" s="404"/>
      <c r="C134" s="405"/>
      <c r="D134" s="399"/>
      <c r="E134" s="398"/>
      <c r="F134" s="284"/>
      <c r="G134" s="285"/>
      <c r="H134" s="251"/>
    </row>
    <row r="135">
      <c r="A135" s="265"/>
      <c r="B135" s="419"/>
      <c r="C135" s="427"/>
      <c r="D135" s="414"/>
      <c r="E135" s="417"/>
      <c r="F135" s="418"/>
      <c r="G135" s="420"/>
      <c r="H135" s="251"/>
    </row>
    <row r="136">
      <c r="A136" s="265"/>
      <c r="B136" s="404"/>
      <c r="C136" s="405"/>
      <c r="D136" s="399"/>
      <c r="E136" s="398"/>
      <c r="F136" s="284"/>
      <c r="G136" s="285"/>
      <c r="H136" s="251"/>
    </row>
    <row r="137">
      <c r="A137" s="265"/>
      <c r="B137" s="404"/>
      <c r="C137" s="405"/>
      <c r="D137" s="399"/>
      <c r="E137" s="398"/>
      <c r="F137" s="284"/>
      <c r="G137" s="285"/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404"/>
      <c r="C139" s="424"/>
      <c r="D139" s="399"/>
      <c r="E139" s="442"/>
      <c r="F139" s="284"/>
      <c r="G139" s="285"/>
      <c r="H139" s="251"/>
    </row>
    <row r="140">
      <c r="A140" s="265"/>
      <c r="B140" s="404"/>
      <c r="C140" s="424"/>
      <c r="D140" s="399"/>
      <c r="E140" s="398"/>
      <c r="F140" s="284"/>
      <c r="G140" s="285"/>
      <c r="H140" s="251"/>
    </row>
    <row r="141">
      <c r="A141" s="265"/>
      <c r="B141" s="440"/>
      <c r="C141" s="424"/>
      <c r="D141" s="399"/>
      <c r="E141" s="442"/>
      <c r="F141" s="284"/>
      <c r="G141" s="285"/>
      <c r="H141" s="251"/>
    </row>
    <row r="142">
      <c r="A142" s="270"/>
      <c r="B142" s="470"/>
      <c r="C142" s="471"/>
      <c r="D142" s="486"/>
      <c r="E142" s="473"/>
      <c r="F142" s="474"/>
      <c r="G142" s="475"/>
      <c r="H142" s="261"/>
    </row>
    <row r="143">
      <c r="A143" s="262" t="s">
        <v>1421</v>
      </c>
      <c r="B143" s="425">
        <v>50000.0</v>
      </c>
      <c r="C143" s="426"/>
      <c r="D143" s="401"/>
      <c r="E143" s="402"/>
      <c r="F143" s="284"/>
      <c r="G143" s="436" t="s">
        <v>68</v>
      </c>
      <c r="H143" s="245">
        <v>220.0</v>
      </c>
    </row>
    <row r="144">
      <c r="A144" s="265"/>
      <c r="B144" s="404">
        <v>87847.5</v>
      </c>
      <c r="C144" s="487"/>
      <c r="D144" s="399"/>
      <c r="E144" s="398"/>
      <c r="F144" s="284"/>
      <c r="G144" s="285" t="s">
        <v>1110</v>
      </c>
      <c r="H144" s="267"/>
    </row>
    <row r="145">
      <c r="A145" s="265"/>
      <c r="B145" s="404"/>
      <c r="C145" s="405"/>
      <c r="D145" s="399"/>
      <c r="E145" s="398"/>
      <c r="F145" s="284">
        <v>2600.0</v>
      </c>
      <c r="G145" s="285" t="s">
        <v>1422</v>
      </c>
      <c r="H145" s="267"/>
    </row>
    <row r="146">
      <c r="A146" s="265"/>
      <c r="B146" s="404"/>
      <c r="C146" s="405"/>
      <c r="D146" s="399">
        <v>219512.08</v>
      </c>
      <c r="E146" s="398" t="s">
        <v>328</v>
      </c>
      <c r="F146" s="284"/>
      <c r="G146" s="285" t="s">
        <v>114</v>
      </c>
      <c r="H146" s="251"/>
    </row>
    <row r="147">
      <c r="A147" s="265"/>
      <c r="B147" s="404">
        <v>40907.1</v>
      </c>
      <c r="C147" s="405"/>
      <c r="D147" s="399"/>
      <c r="E147" s="285"/>
      <c r="F147" s="284"/>
      <c r="G147" s="285" t="s">
        <v>82</v>
      </c>
      <c r="H147" s="251"/>
      <c r="I147" s="254"/>
    </row>
    <row r="148">
      <c r="A148" s="265"/>
      <c r="B148" s="404"/>
      <c r="C148" s="424"/>
      <c r="D148" s="399"/>
      <c r="E148" s="442"/>
      <c r="F148" s="284">
        <v>15000.0</v>
      </c>
      <c r="G148" s="285" t="s">
        <v>1423</v>
      </c>
      <c r="H148" s="251"/>
    </row>
    <row r="149">
      <c r="A149" s="265"/>
      <c r="B149" s="404">
        <v>95500.0</v>
      </c>
      <c r="C149" s="405"/>
      <c r="D149" s="399"/>
      <c r="E149" s="398" t="s">
        <v>328</v>
      </c>
      <c r="F149" s="284"/>
      <c r="G149" s="285" t="s">
        <v>75</v>
      </c>
      <c r="H149" s="267"/>
    </row>
    <row r="150">
      <c r="A150" s="265"/>
      <c r="B150" s="404"/>
      <c r="C150" s="424"/>
      <c r="D150" s="400"/>
      <c r="E150" s="442"/>
      <c r="F150" s="284"/>
      <c r="G150" s="285"/>
      <c r="H150" s="251"/>
      <c r="I150" s="2" t="s">
        <v>1424</v>
      </c>
    </row>
    <row r="151">
      <c r="A151" s="265"/>
      <c r="B151" s="404"/>
      <c r="C151" s="424"/>
      <c r="D151" s="399"/>
      <c r="E151" s="442"/>
      <c r="F151" s="284"/>
      <c r="G151" s="285"/>
      <c r="H151" s="251"/>
      <c r="I151" s="2" t="s">
        <v>1425</v>
      </c>
    </row>
    <row r="152">
      <c r="A152" s="265"/>
      <c r="B152" s="404"/>
      <c r="C152" s="424"/>
      <c r="D152" s="400"/>
      <c r="E152" s="442"/>
      <c r="F152" s="284"/>
      <c r="G152" s="285"/>
      <c r="H152" s="251"/>
      <c r="I152" s="2" t="s">
        <v>1259</v>
      </c>
    </row>
    <row r="153">
      <c r="A153" s="265"/>
      <c r="B153" s="404"/>
      <c r="C153" s="424"/>
      <c r="D153" s="400"/>
      <c r="E153" s="442"/>
      <c r="F153" s="284"/>
      <c r="G153" s="285"/>
      <c r="H153" s="251"/>
    </row>
    <row r="154">
      <c r="A154" s="265"/>
      <c r="B154" s="404"/>
      <c r="C154" s="424"/>
      <c r="D154" s="400"/>
      <c r="E154" s="442"/>
      <c r="F154" s="284"/>
      <c r="G154" s="285"/>
      <c r="H154" s="251"/>
    </row>
    <row r="155">
      <c r="A155" s="265"/>
      <c r="B155" s="477"/>
      <c r="C155" s="424"/>
      <c r="D155" s="400"/>
      <c r="E155" s="442"/>
      <c r="F155" s="284"/>
      <c r="G155" s="481"/>
      <c r="H155" s="251"/>
    </row>
    <row r="156">
      <c r="A156" s="265"/>
      <c r="B156" s="477"/>
      <c r="C156" s="424"/>
      <c r="D156" s="400"/>
      <c r="E156" s="442"/>
      <c r="F156" s="284"/>
      <c r="G156" s="481"/>
      <c r="H156" s="251"/>
    </row>
    <row r="157">
      <c r="A157" s="270"/>
      <c r="B157" s="478"/>
      <c r="C157" s="471"/>
      <c r="D157" s="472"/>
      <c r="E157" s="473"/>
      <c r="F157" s="474"/>
      <c r="G157" s="475"/>
      <c r="H157" s="261"/>
    </row>
    <row r="158">
      <c r="A158" s="262" t="s">
        <v>1426</v>
      </c>
      <c r="B158" s="419"/>
      <c r="C158" s="427"/>
      <c r="D158" s="414"/>
      <c r="E158" s="417"/>
      <c r="F158" s="418"/>
      <c r="G158" s="420"/>
      <c r="H158" s="286">
        <v>220.0</v>
      </c>
      <c r="I158" s="2" t="s">
        <v>1427</v>
      </c>
    </row>
    <row r="159">
      <c r="A159" s="265"/>
      <c r="B159" s="419"/>
      <c r="C159" s="427"/>
      <c r="D159" s="414"/>
      <c r="E159" s="417"/>
      <c r="F159" s="418"/>
      <c r="G159" s="420"/>
      <c r="H159" s="251"/>
    </row>
    <row r="160">
      <c r="A160" s="265"/>
      <c r="B160" s="404"/>
      <c r="C160" s="405"/>
      <c r="D160" s="399"/>
      <c r="E160" s="398"/>
      <c r="F160" s="284"/>
      <c r="G160" s="285"/>
      <c r="H160" s="267"/>
    </row>
    <row r="161">
      <c r="A161" s="265"/>
      <c r="B161" s="404"/>
      <c r="C161" s="405"/>
      <c r="D161" s="414"/>
      <c r="E161" s="417"/>
      <c r="F161" s="418"/>
      <c r="G161" s="420"/>
      <c r="H161" s="251"/>
    </row>
    <row r="162">
      <c r="A162" s="265"/>
      <c r="B162" s="404"/>
      <c r="C162" s="405"/>
      <c r="D162" s="399"/>
      <c r="E162" s="398"/>
      <c r="F162" s="284"/>
      <c r="G162" s="285"/>
      <c r="H162" s="267"/>
    </row>
    <row r="163">
      <c r="A163" s="265"/>
      <c r="B163" s="404"/>
      <c r="C163" s="424"/>
      <c r="D163" s="399"/>
      <c r="E163" s="442"/>
      <c r="F163" s="284"/>
      <c r="G163" s="285"/>
      <c r="H163" s="251"/>
    </row>
    <row r="164">
      <c r="A164" s="265"/>
      <c r="B164" s="404"/>
      <c r="C164" s="424"/>
      <c r="D164" s="399"/>
      <c r="E164" s="398"/>
      <c r="F164" s="284"/>
      <c r="G164" s="285"/>
      <c r="H164" s="267">
        <v>240.0</v>
      </c>
      <c r="I164" s="2" t="s">
        <v>1428</v>
      </c>
    </row>
    <row r="165">
      <c r="A165" s="265"/>
      <c r="B165" s="404"/>
      <c r="C165" s="424"/>
      <c r="D165" s="399"/>
      <c r="E165" s="442"/>
      <c r="F165" s="284"/>
      <c r="G165" s="285"/>
      <c r="H165" s="251"/>
    </row>
    <row r="166">
      <c r="A166" s="265"/>
      <c r="B166" s="404"/>
      <c r="C166" s="405"/>
      <c r="D166" s="399"/>
      <c r="E166" s="442"/>
      <c r="F166" s="284"/>
      <c r="G166" s="285"/>
      <c r="H166" s="251"/>
    </row>
    <row r="167">
      <c r="A167" s="265"/>
      <c r="B167" s="404"/>
      <c r="C167" s="424"/>
      <c r="D167" s="399"/>
      <c r="E167" s="442"/>
      <c r="F167" s="284"/>
      <c r="G167" s="285"/>
      <c r="H167" s="251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05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24"/>
      <c r="D171" s="399"/>
      <c r="E171" s="442"/>
      <c r="F171" s="284"/>
      <c r="G171" s="285"/>
      <c r="H171" s="251"/>
    </row>
    <row r="172">
      <c r="A172" s="265"/>
      <c r="B172" s="404"/>
      <c r="C172" s="424"/>
      <c r="D172" s="400"/>
      <c r="E172" s="442"/>
      <c r="F172" s="284"/>
      <c r="G172" s="285"/>
      <c r="H172" s="251"/>
    </row>
    <row r="173">
      <c r="A173" s="270"/>
      <c r="B173" s="404"/>
      <c r="C173" s="424"/>
      <c r="D173" s="399"/>
      <c r="E173" s="442"/>
      <c r="F173" s="284"/>
      <c r="G173" s="285"/>
      <c r="H173" s="261"/>
    </row>
    <row r="174">
      <c r="A174" s="262" t="s">
        <v>1429</v>
      </c>
      <c r="B174" s="425">
        <v>76881.81</v>
      </c>
      <c r="C174" s="426"/>
      <c r="D174" s="401"/>
      <c r="E174" s="402"/>
      <c r="F174" s="403"/>
      <c r="G174" s="436" t="s">
        <v>82</v>
      </c>
      <c r="H174" s="245">
        <v>130.0</v>
      </c>
    </row>
    <row r="175">
      <c r="A175" s="265"/>
      <c r="B175" s="404"/>
      <c r="C175" s="405">
        <v>207039.1</v>
      </c>
      <c r="D175" s="399"/>
      <c r="E175" s="442"/>
      <c r="F175" s="284"/>
      <c r="G175" s="285" t="s">
        <v>89</v>
      </c>
      <c r="H175" s="267"/>
    </row>
    <row r="176">
      <c r="A176" s="265"/>
      <c r="B176" s="404">
        <v>14776.0</v>
      </c>
      <c r="C176" s="424"/>
      <c r="D176" s="399"/>
      <c r="E176" s="442"/>
      <c r="F176" s="284"/>
      <c r="G176" s="285" t="s">
        <v>1430</v>
      </c>
      <c r="H176" s="251"/>
      <c r="I176" s="2" t="s">
        <v>1431</v>
      </c>
    </row>
    <row r="177">
      <c r="A177" s="265"/>
      <c r="B177" s="404"/>
      <c r="C177" s="405"/>
      <c r="D177" s="399"/>
      <c r="E177" s="442"/>
      <c r="F177" s="284">
        <v>23100.0</v>
      </c>
      <c r="G177" s="285" t="s">
        <v>605</v>
      </c>
      <c r="H177" s="251"/>
      <c r="I177" s="2" t="s">
        <v>1432</v>
      </c>
    </row>
    <row r="178">
      <c r="A178" s="265"/>
      <c r="B178" s="419">
        <v>145000.0</v>
      </c>
      <c r="C178" s="427"/>
      <c r="D178" s="414"/>
      <c r="E178" s="417" t="s">
        <v>306</v>
      </c>
      <c r="F178" s="418"/>
      <c r="G178" s="420" t="s">
        <v>75</v>
      </c>
      <c r="H178" s="251"/>
      <c r="I178" s="2" t="s">
        <v>1433</v>
      </c>
    </row>
    <row r="179">
      <c r="A179" s="265"/>
      <c r="B179" s="404"/>
      <c r="C179" s="405"/>
      <c r="D179" s="399">
        <v>71059.46</v>
      </c>
      <c r="E179" s="442"/>
      <c r="F179" s="284"/>
      <c r="G179" s="285" t="s">
        <v>1434</v>
      </c>
      <c r="H179" s="267"/>
      <c r="I179" s="2" t="s">
        <v>1435</v>
      </c>
    </row>
    <row r="180">
      <c r="A180" s="265"/>
      <c r="B180" s="404">
        <v>13700.0</v>
      </c>
      <c r="C180" s="405"/>
      <c r="D180" s="399"/>
      <c r="E180" s="442"/>
      <c r="F180" s="284"/>
      <c r="G180" s="488" t="s">
        <v>1436</v>
      </c>
      <c r="H180" s="251"/>
      <c r="I180" s="2" t="s">
        <v>1437</v>
      </c>
    </row>
    <row r="181">
      <c r="A181" s="265"/>
      <c r="B181" s="404"/>
      <c r="C181" s="424"/>
      <c r="D181" s="399"/>
      <c r="E181" s="442"/>
      <c r="F181" s="284">
        <v>2200.0</v>
      </c>
      <c r="G181" s="285" t="s">
        <v>1438</v>
      </c>
      <c r="H181" s="251"/>
      <c r="I181" s="2" t="s">
        <v>1439</v>
      </c>
    </row>
    <row r="182">
      <c r="A182" s="265"/>
      <c r="B182" s="404"/>
      <c r="C182" s="405"/>
      <c r="D182" s="399"/>
      <c r="E182" s="442"/>
      <c r="F182" s="284"/>
      <c r="G182" s="285"/>
      <c r="H182" s="251"/>
    </row>
    <row r="183">
      <c r="A183" s="265"/>
      <c r="B183" s="404"/>
      <c r="C183" s="405"/>
      <c r="D183" s="400"/>
      <c r="E183" s="442"/>
      <c r="F183" s="284"/>
      <c r="G183" s="285"/>
      <c r="H183" s="251"/>
      <c r="I183" s="2" t="s">
        <v>1440</v>
      </c>
    </row>
    <row r="184">
      <c r="A184" s="265"/>
      <c r="B184" s="477"/>
      <c r="C184" s="405"/>
      <c r="D184" s="400"/>
      <c r="E184" s="442"/>
      <c r="F184" s="284"/>
      <c r="G184" s="481"/>
      <c r="H184" s="251"/>
      <c r="I184" s="2" t="s">
        <v>1441</v>
      </c>
    </row>
    <row r="185">
      <c r="A185" s="265"/>
      <c r="B185" s="404"/>
      <c r="C185" s="405"/>
      <c r="D185" s="400"/>
      <c r="E185" s="442"/>
      <c r="F185" s="284"/>
      <c r="G185" s="481"/>
      <c r="H185" s="251"/>
    </row>
    <row r="186">
      <c r="A186" s="265"/>
      <c r="B186" s="480"/>
      <c r="C186" s="424"/>
      <c r="D186" s="400"/>
      <c r="E186" s="442"/>
      <c r="F186" s="284"/>
      <c r="G186" s="481"/>
      <c r="H186" s="251"/>
    </row>
    <row r="187">
      <c r="A187" s="265"/>
      <c r="B187" s="480"/>
      <c r="C187" s="424"/>
      <c r="D187" s="400"/>
      <c r="E187" s="442"/>
      <c r="F187" s="463"/>
      <c r="G187" s="481"/>
      <c r="H187" s="251"/>
    </row>
    <row r="188">
      <c r="A188" s="270"/>
      <c r="B188" s="478"/>
      <c r="C188" s="471"/>
      <c r="D188" s="472"/>
      <c r="E188" s="473"/>
      <c r="F188" s="460"/>
      <c r="G188" s="482"/>
      <c r="H188" s="261"/>
    </row>
    <row r="189">
      <c r="A189" s="262" t="s">
        <v>1442</v>
      </c>
      <c r="B189" s="425"/>
      <c r="C189" s="426"/>
      <c r="D189" s="401">
        <f>36386.76+64413.14</f>
        <v>100799.9</v>
      </c>
      <c r="E189" s="402"/>
      <c r="F189" s="403"/>
      <c r="G189" s="436" t="s">
        <v>71</v>
      </c>
      <c r="H189" s="245">
        <v>210.0</v>
      </c>
    </row>
    <row r="190">
      <c r="A190" s="265"/>
      <c r="B190" s="404"/>
      <c r="C190" s="405"/>
      <c r="D190" s="399"/>
      <c r="E190" s="442"/>
      <c r="F190" s="284">
        <v>3183.0</v>
      </c>
      <c r="G190" s="285" t="s">
        <v>1443</v>
      </c>
      <c r="H190" s="267"/>
    </row>
    <row r="191">
      <c r="A191" s="265"/>
      <c r="B191" s="404">
        <v>80400.0</v>
      </c>
      <c r="C191" s="424"/>
      <c r="D191" s="399"/>
      <c r="E191" s="398"/>
      <c r="F191" s="284"/>
      <c r="G191" s="285" t="s">
        <v>76</v>
      </c>
      <c r="H191" s="251"/>
      <c r="I191" s="2" t="s">
        <v>1444</v>
      </c>
    </row>
    <row r="192">
      <c r="A192" s="265"/>
      <c r="B192" s="404">
        <v>35674.0</v>
      </c>
      <c r="C192" s="405"/>
      <c r="D192" s="399"/>
      <c r="E192" s="398"/>
      <c r="F192" s="284"/>
      <c r="G192" s="285" t="s">
        <v>1434</v>
      </c>
      <c r="H192" s="251"/>
    </row>
    <row r="193">
      <c r="A193" s="265"/>
      <c r="B193" s="404"/>
      <c r="C193" s="405"/>
      <c r="D193" s="399">
        <v>68607.0</v>
      </c>
      <c r="E193" s="398" t="s">
        <v>328</v>
      </c>
      <c r="F193" s="284"/>
      <c r="G193" s="285" t="s">
        <v>1445</v>
      </c>
      <c r="H193" s="251"/>
    </row>
    <row r="194">
      <c r="A194" s="265"/>
      <c r="B194" s="404"/>
      <c r="C194" s="405"/>
      <c r="D194" s="399"/>
      <c r="E194" s="398"/>
      <c r="F194" s="284"/>
      <c r="G194" s="285"/>
      <c r="H194" s="251"/>
    </row>
    <row r="195">
      <c r="A195" s="265"/>
      <c r="B195" s="404"/>
      <c r="C195" s="424"/>
      <c r="D195" s="399"/>
      <c r="E195" s="398"/>
      <c r="F195" s="284"/>
      <c r="G195" s="285"/>
      <c r="H195" s="251"/>
    </row>
    <row r="196">
      <c r="A196" s="265"/>
      <c r="B196" s="404"/>
      <c r="C196" s="424"/>
      <c r="D196" s="400"/>
      <c r="E196" s="398"/>
      <c r="F196" s="284"/>
      <c r="G196" s="285"/>
      <c r="H196" s="251"/>
      <c r="I196" s="269"/>
      <c r="J196" s="269"/>
      <c r="K196" s="269"/>
    </row>
    <row r="197">
      <c r="A197" s="265"/>
      <c r="B197" s="404"/>
      <c r="C197" s="405"/>
      <c r="D197" s="399"/>
      <c r="E197" s="481"/>
      <c r="F197" s="284"/>
      <c r="G197" s="285"/>
      <c r="H197" s="251"/>
      <c r="I197" s="269"/>
      <c r="J197" s="269"/>
      <c r="K197" s="269"/>
    </row>
    <row r="198">
      <c r="A198" s="265"/>
      <c r="B198" s="440"/>
      <c r="C198" s="424"/>
      <c r="D198" s="399"/>
      <c r="E198" s="285"/>
      <c r="F198" s="284"/>
      <c r="G198" s="285"/>
      <c r="H198" s="251"/>
      <c r="I198" s="254"/>
      <c r="J198" s="269"/>
      <c r="K198" s="269"/>
    </row>
    <row r="199">
      <c r="A199" s="265"/>
      <c r="B199" s="440"/>
      <c r="C199" s="424"/>
      <c r="D199" s="400"/>
      <c r="E199" s="481"/>
      <c r="F199" s="463"/>
      <c r="G199" s="285"/>
      <c r="H199" s="251"/>
      <c r="I199" s="269"/>
      <c r="J199" s="269"/>
      <c r="K199" s="269"/>
    </row>
    <row r="200">
      <c r="A200" s="270"/>
      <c r="B200" s="478"/>
      <c r="C200" s="471"/>
      <c r="D200" s="472"/>
      <c r="E200" s="482"/>
      <c r="F200" s="460"/>
      <c r="G200" s="482"/>
      <c r="H200" s="261"/>
      <c r="I200" s="269"/>
      <c r="J200" s="269"/>
      <c r="K200" s="269"/>
    </row>
    <row r="201">
      <c r="A201" s="262" t="s">
        <v>1446</v>
      </c>
      <c r="B201" s="461">
        <f>75500-4500</f>
        <v>71000</v>
      </c>
      <c r="C201" s="445"/>
      <c r="D201" s="421"/>
      <c r="E201" s="422" t="s">
        <v>306</v>
      </c>
      <c r="F201" s="423"/>
      <c r="G201" s="505" t="s">
        <v>1447</v>
      </c>
      <c r="H201" s="245">
        <v>230.0</v>
      </c>
      <c r="I201" s="254"/>
      <c r="J201" s="254"/>
      <c r="K201" s="254"/>
    </row>
    <row r="202">
      <c r="A202" s="265"/>
      <c r="B202" s="404"/>
      <c r="C202" s="405"/>
      <c r="D202" s="399"/>
      <c r="E202" s="442"/>
      <c r="F202" s="284">
        <v>3141.0</v>
      </c>
      <c r="G202" s="285" t="s">
        <v>1448</v>
      </c>
      <c r="H202" s="267"/>
      <c r="I202" s="254"/>
      <c r="J202" s="254"/>
      <c r="K202" s="254"/>
    </row>
    <row r="203">
      <c r="A203" s="265"/>
      <c r="B203" s="404"/>
      <c r="C203" s="405"/>
      <c r="D203" s="399"/>
      <c r="E203" s="398"/>
      <c r="F203" s="284">
        <v>1000.0</v>
      </c>
      <c r="G203" s="285" t="s">
        <v>367</v>
      </c>
      <c r="H203" s="251"/>
      <c r="I203" s="254"/>
      <c r="J203" s="254"/>
      <c r="K203" s="254"/>
    </row>
    <row r="204">
      <c r="A204" s="265"/>
      <c r="B204" s="404">
        <v>51569.2</v>
      </c>
      <c r="C204" s="405"/>
      <c r="D204" s="399"/>
      <c r="E204" s="398"/>
      <c r="F204" s="284"/>
      <c r="G204" s="285" t="s">
        <v>82</v>
      </c>
      <c r="H204" s="267"/>
      <c r="I204" s="254"/>
      <c r="J204" s="269"/>
      <c r="K204" s="269"/>
    </row>
    <row r="205">
      <c r="A205" s="265"/>
      <c r="B205" s="404"/>
      <c r="C205" s="405"/>
      <c r="D205" s="399">
        <v>269705.73</v>
      </c>
      <c r="E205" s="398" t="s">
        <v>328</v>
      </c>
      <c r="F205" s="284"/>
      <c r="G205" s="285" t="s">
        <v>1449</v>
      </c>
      <c r="H205" s="251"/>
      <c r="I205" s="269"/>
      <c r="J205" s="269"/>
      <c r="K205" s="269"/>
    </row>
    <row r="206">
      <c r="A206" s="265"/>
      <c r="B206" s="404"/>
      <c r="C206" s="405">
        <v>143821.08</v>
      </c>
      <c r="D206" s="399"/>
      <c r="E206" s="398"/>
      <c r="F206" s="284"/>
      <c r="G206" s="285" t="s">
        <v>84</v>
      </c>
      <c r="H206" s="251"/>
      <c r="I206" s="269"/>
      <c r="J206" s="269"/>
      <c r="K206" s="269"/>
    </row>
    <row r="207">
      <c r="A207" s="265"/>
      <c r="B207" s="404">
        <v>200000.0</v>
      </c>
      <c r="C207" s="424"/>
      <c r="D207" s="399"/>
      <c r="E207" s="398"/>
      <c r="F207" s="284"/>
      <c r="G207" s="285" t="s">
        <v>1308</v>
      </c>
      <c r="H207" s="267"/>
      <c r="I207" s="254"/>
      <c r="J207" s="269"/>
      <c r="K207" s="269"/>
    </row>
    <row r="208">
      <c r="A208" s="265"/>
      <c r="B208" s="404"/>
      <c r="C208" s="424"/>
      <c r="D208" s="399">
        <v>141395.27</v>
      </c>
      <c r="E208" s="398" t="s">
        <v>328</v>
      </c>
      <c r="F208" s="284"/>
      <c r="G208" s="398" t="s">
        <v>74</v>
      </c>
      <c r="H208" s="251"/>
      <c r="I208" s="254"/>
      <c r="J208" s="269"/>
      <c r="K208" s="269"/>
    </row>
    <row r="209">
      <c r="A209" s="265"/>
      <c r="B209" s="404"/>
      <c r="C209" s="424"/>
      <c r="D209" s="399">
        <v>57745.88</v>
      </c>
      <c r="E209" s="398" t="s">
        <v>328</v>
      </c>
      <c r="F209" s="284"/>
      <c r="G209" s="285" t="s">
        <v>73</v>
      </c>
      <c r="H209" s="251"/>
      <c r="I209" s="269"/>
      <c r="J209" s="269"/>
      <c r="K209" s="269"/>
    </row>
    <row r="210">
      <c r="A210" s="265"/>
      <c r="B210" s="404"/>
      <c r="C210" s="424"/>
      <c r="D210" s="400"/>
      <c r="E210" s="442"/>
      <c r="F210" s="284">
        <v>136500.0</v>
      </c>
      <c r="G210" s="285" t="s">
        <v>1450</v>
      </c>
      <c r="H210" s="251"/>
    </row>
    <row r="211">
      <c r="A211" s="265"/>
      <c r="B211" s="404"/>
      <c r="C211" s="424"/>
      <c r="D211" s="400"/>
      <c r="E211" s="442"/>
      <c r="F211" s="284"/>
      <c r="G211" s="285"/>
      <c r="H211" s="251"/>
    </row>
    <row r="212">
      <c r="A212" s="265"/>
      <c r="B212" s="440"/>
      <c r="C212" s="424"/>
      <c r="D212" s="400"/>
      <c r="E212" s="442"/>
      <c r="F212" s="284"/>
      <c r="G212" s="285"/>
      <c r="H212" s="251"/>
    </row>
    <row r="213">
      <c r="A213" s="265"/>
      <c r="B213" s="480"/>
      <c r="C213" s="424"/>
      <c r="D213" s="400"/>
      <c r="E213" s="442"/>
      <c r="F213" s="463"/>
      <c r="G213" s="481"/>
      <c r="H213" s="251"/>
    </row>
    <row r="214">
      <c r="A214" s="265"/>
      <c r="B214" s="480"/>
      <c r="C214" s="424"/>
      <c r="D214" s="400"/>
      <c r="E214" s="442"/>
      <c r="F214" s="463"/>
      <c r="G214" s="481"/>
      <c r="H214" s="251"/>
    </row>
    <row r="215">
      <c r="A215" s="270"/>
      <c r="B215" s="478"/>
      <c r="C215" s="471"/>
      <c r="D215" s="472"/>
      <c r="E215" s="473"/>
      <c r="F215" s="460"/>
      <c r="G215" s="482"/>
      <c r="H215" s="261"/>
    </row>
    <row r="216">
      <c r="A216" s="262" t="s">
        <v>1451</v>
      </c>
      <c r="B216" s="425"/>
      <c r="C216" s="426"/>
      <c r="D216" s="401"/>
      <c r="E216" s="402"/>
      <c r="F216" s="403">
        <v>8000.0</v>
      </c>
      <c r="G216" s="398" t="s">
        <v>85</v>
      </c>
      <c r="H216" s="245">
        <v>190.0</v>
      </c>
    </row>
    <row r="217">
      <c r="A217" s="265"/>
      <c r="B217" s="404"/>
      <c r="C217" s="405"/>
      <c r="D217" s="399"/>
      <c r="E217" s="398"/>
      <c r="F217" s="284">
        <v>2077.56</v>
      </c>
      <c r="G217" s="285" t="s">
        <v>1112</v>
      </c>
      <c r="H217" s="267"/>
    </row>
    <row r="218">
      <c r="A218" s="265"/>
      <c r="B218" s="419"/>
      <c r="C218" s="427"/>
      <c r="D218" s="399">
        <v>195222.73</v>
      </c>
      <c r="E218" s="398" t="s">
        <v>328</v>
      </c>
      <c r="F218" s="284"/>
      <c r="G218" s="285" t="s">
        <v>100</v>
      </c>
      <c r="H218" s="251"/>
    </row>
    <row r="219">
      <c r="A219" s="265"/>
      <c r="B219" s="404">
        <v>52000.0</v>
      </c>
      <c r="C219" s="405"/>
      <c r="D219" s="399"/>
      <c r="E219" s="398"/>
      <c r="F219" s="284"/>
      <c r="G219" s="285" t="s">
        <v>68</v>
      </c>
      <c r="H219" s="251"/>
    </row>
    <row r="220">
      <c r="A220" s="265"/>
      <c r="B220" s="404"/>
      <c r="C220" s="424"/>
      <c r="D220" s="399"/>
      <c r="E220" s="398"/>
      <c r="F220" s="284">
        <v>2490.0</v>
      </c>
      <c r="G220" s="285" t="s">
        <v>1452</v>
      </c>
      <c r="H220" s="267"/>
    </row>
    <row r="221">
      <c r="A221" s="265"/>
      <c r="B221" s="404">
        <v>60000.0</v>
      </c>
      <c r="C221" s="405"/>
      <c r="D221" s="399"/>
      <c r="E221" s="398"/>
      <c r="F221" s="284"/>
      <c r="G221" s="285" t="s">
        <v>118</v>
      </c>
      <c r="H221" s="267"/>
    </row>
    <row r="222">
      <c r="A222" s="265"/>
      <c r="B222" s="404"/>
      <c r="C222" s="405"/>
      <c r="D222" s="399"/>
      <c r="E222" s="398"/>
      <c r="F222" s="284"/>
      <c r="G222" s="285"/>
      <c r="H222" s="251"/>
    </row>
    <row r="223">
      <c r="A223" s="265"/>
      <c r="B223" s="404"/>
      <c r="C223" s="424"/>
      <c r="D223" s="400"/>
      <c r="E223" s="398"/>
      <c r="F223" s="284"/>
      <c r="G223" s="285"/>
      <c r="H223" s="251"/>
    </row>
    <row r="224">
      <c r="A224" s="265"/>
      <c r="B224" s="404"/>
      <c r="C224" s="424"/>
      <c r="D224" s="399"/>
      <c r="E224" s="398"/>
      <c r="F224" s="284"/>
      <c r="G224" s="285"/>
      <c r="H224" s="251"/>
    </row>
    <row r="225">
      <c r="A225" s="265"/>
      <c r="B225" s="404"/>
      <c r="C225" s="424"/>
      <c r="D225" s="400"/>
      <c r="E225" s="442"/>
      <c r="F225" s="284"/>
      <c r="G225" s="285"/>
      <c r="H225" s="251"/>
    </row>
    <row r="226">
      <c r="A226" s="265"/>
      <c r="B226" s="480"/>
      <c r="C226" s="424"/>
      <c r="D226" s="400"/>
      <c r="E226" s="442"/>
      <c r="F226" s="284"/>
      <c r="G226" s="285"/>
      <c r="H226" s="251"/>
    </row>
    <row r="227">
      <c r="A227" s="265"/>
      <c r="B227" s="480"/>
      <c r="C227" s="424"/>
      <c r="D227" s="400"/>
      <c r="E227" s="442"/>
      <c r="F227" s="284"/>
      <c r="G227" s="481"/>
      <c r="H227" s="251"/>
    </row>
    <row r="228">
      <c r="A228" s="265"/>
      <c r="B228" s="480"/>
      <c r="C228" s="424"/>
      <c r="D228" s="400"/>
      <c r="E228" s="442"/>
      <c r="F228" s="284"/>
      <c r="G228" s="481"/>
      <c r="H228" s="251"/>
    </row>
    <row r="229">
      <c r="A229" s="270"/>
      <c r="B229" s="478"/>
      <c r="C229" s="471"/>
      <c r="D229" s="472"/>
      <c r="E229" s="473"/>
      <c r="F229" s="460"/>
      <c r="G229" s="482"/>
      <c r="H229" s="261"/>
    </row>
    <row r="230">
      <c r="A230" s="262" t="s">
        <v>1453</v>
      </c>
      <c r="B230" s="425"/>
      <c r="C230" s="426"/>
      <c r="D230" s="401">
        <v>191058.74</v>
      </c>
      <c r="E230" s="402"/>
      <c r="F230" s="403"/>
      <c r="G230" s="436" t="s">
        <v>787</v>
      </c>
      <c r="H230" s="245" t="s">
        <v>46</v>
      </c>
    </row>
    <row r="231">
      <c r="A231" s="265"/>
      <c r="B231" s="419">
        <v>49000.0</v>
      </c>
      <c r="C231" s="427"/>
      <c r="D231" s="414"/>
      <c r="E231" s="417" t="s">
        <v>306</v>
      </c>
      <c r="F231" s="418"/>
      <c r="G231" s="420" t="s">
        <v>75</v>
      </c>
      <c r="H231" s="251"/>
      <c r="K231" s="2" t="s">
        <v>1259</v>
      </c>
    </row>
    <row r="232">
      <c r="A232" s="265"/>
      <c r="B232" s="419"/>
      <c r="C232" s="427"/>
      <c r="D232" s="399">
        <v>128570.0</v>
      </c>
      <c r="E232" s="398" t="s">
        <v>328</v>
      </c>
      <c r="F232" s="284"/>
      <c r="G232" s="285" t="s">
        <v>732</v>
      </c>
      <c r="H232" s="267"/>
    </row>
    <row r="233">
      <c r="A233" s="265"/>
      <c r="B233" s="404">
        <v>61360.66</v>
      </c>
      <c r="C233" s="405"/>
      <c r="D233" s="399"/>
      <c r="E233" s="398"/>
      <c r="F233" s="284"/>
      <c r="G233" s="285" t="s">
        <v>82</v>
      </c>
      <c r="H233" s="267"/>
    </row>
    <row r="234">
      <c r="A234" s="265"/>
      <c r="B234" s="404">
        <v>90737.17</v>
      </c>
      <c r="C234" s="405"/>
      <c r="D234" s="399"/>
      <c r="E234" s="398"/>
      <c r="F234" s="284"/>
      <c r="G234" s="285" t="s">
        <v>142</v>
      </c>
      <c r="H234" s="251"/>
    </row>
    <row r="235">
      <c r="A235" s="265"/>
      <c r="B235" s="404"/>
      <c r="C235" s="405"/>
      <c r="D235" s="399"/>
      <c r="E235" s="442"/>
      <c r="F235" s="284">
        <v>5600.0</v>
      </c>
      <c r="G235" s="285" t="s">
        <v>219</v>
      </c>
      <c r="H235" s="251"/>
    </row>
    <row r="236">
      <c r="A236" s="265"/>
      <c r="B236" s="404"/>
      <c r="C236" s="424"/>
      <c r="D236" s="399"/>
      <c r="E236" s="442"/>
      <c r="F236" s="284"/>
      <c r="G236" s="285"/>
      <c r="H236" s="251"/>
    </row>
    <row r="237">
      <c r="A237" s="265"/>
      <c r="B237" s="404"/>
      <c r="C237" s="405"/>
      <c r="D237" s="400"/>
      <c r="E237" s="442"/>
      <c r="F237" s="284"/>
      <c r="G237" s="285"/>
      <c r="H237" s="251"/>
    </row>
    <row r="238">
      <c r="A238" s="265"/>
      <c r="B238" s="404"/>
      <c r="C238" s="424"/>
      <c r="D238" s="400"/>
      <c r="E238" s="442"/>
      <c r="F238" s="284"/>
      <c r="G238" s="285"/>
      <c r="H238" s="251"/>
    </row>
    <row r="239">
      <c r="A239" s="265"/>
      <c r="B239" s="404"/>
      <c r="C239" s="424"/>
      <c r="D239" s="399"/>
      <c r="E239" s="398"/>
      <c r="F239" s="284"/>
      <c r="G239" s="285"/>
      <c r="H239" s="251"/>
    </row>
    <row r="240">
      <c r="A240" s="265"/>
      <c r="B240" s="404"/>
      <c r="C240" s="424"/>
      <c r="D240" s="399"/>
      <c r="E240" s="442"/>
      <c r="F240" s="284"/>
      <c r="G240" s="285"/>
      <c r="H240" s="267"/>
    </row>
    <row r="241">
      <c r="A241" s="265"/>
      <c r="B241" s="477"/>
      <c r="C241" s="424"/>
      <c r="D241" s="399"/>
      <c r="E241" s="442"/>
      <c r="F241" s="284"/>
      <c r="G241" s="285"/>
      <c r="H241" s="251"/>
    </row>
    <row r="242">
      <c r="A242" s="265"/>
      <c r="B242" s="477"/>
      <c r="C242" s="424"/>
      <c r="D242" s="400"/>
      <c r="E242" s="442"/>
      <c r="F242" s="284"/>
      <c r="G242" s="285"/>
      <c r="H242" s="251"/>
    </row>
    <row r="243">
      <c r="A243" s="265"/>
      <c r="B243" s="477"/>
      <c r="C243" s="424"/>
      <c r="D243" s="400"/>
      <c r="E243" s="442"/>
      <c r="F243" s="284"/>
      <c r="G243" s="285"/>
      <c r="H243" s="251"/>
    </row>
    <row r="244">
      <c r="A244" s="270"/>
      <c r="B244" s="478"/>
      <c r="C244" s="471"/>
      <c r="D244" s="472"/>
      <c r="E244" s="473"/>
      <c r="F244" s="474"/>
      <c r="G244" s="475"/>
      <c r="H244" s="261"/>
    </row>
    <row r="245">
      <c r="A245" s="262" t="s">
        <v>1454</v>
      </c>
      <c r="B245" s="425">
        <v>24722.0</v>
      </c>
      <c r="C245" s="426"/>
      <c r="D245" s="399"/>
      <c r="E245" s="398"/>
      <c r="F245" s="284"/>
      <c r="G245" s="285" t="s">
        <v>291</v>
      </c>
      <c r="H245" s="245"/>
      <c r="I245" s="2" t="s">
        <v>1352</v>
      </c>
    </row>
    <row r="246">
      <c r="A246" s="265"/>
      <c r="B246" s="404">
        <v>25000.0</v>
      </c>
      <c r="C246" s="405"/>
      <c r="D246" s="399"/>
      <c r="E246" s="398"/>
      <c r="F246" s="284"/>
      <c r="G246" s="285" t="s">
        <v>1455</v>
      </c>
      <c r="H246" s="267">
        <v>-100.0</v>
      </c>
    </row>
    <row r="247">
      <c r="A247" s="265"/>
      <c r="B247" s="404"/>
      <c r="C247" s="405"/>
      <c r="D247" s="399"/>
      <c r="E247" s="398"/>
      <c r="F247" s="284"/>
      <c r="G247" s="285"/>
      <c r="H247" s="251"/>
    </row>
    <row r="248">
      <c r="A248" s="265"/>
      <c r="B248" s="404"/>
      <c r="C248" s="405"/>
      <c r="D248" s="399"/>
      <c r="E248" s="442"/>
      <c r="F248" s="284"/>
      <c r="G248" s="285"/>
      <c r="H248" s="251"/>
    </row>
    <row r="249">
      <c r="A249" s="265"/>
      <c r="B249" s="404"/>
      <c r="C249" s="405"/>
      <c r="D249" s="399"/>
      <c r="E249" s="398"/>
      <c r="F249" s="284"/>
      <c r="G249" s="285"/>
      <c r="H249" s="251"/>
    </row>
    <row r="250">
      <c r="A250" s="265"/>
      <c r="B250" s="404"/>
      <c r="C250" s="405"/>
      <c r="D250" s="399"/>
      <c r="E250" s="442"/>
      <c r="F250" s="284"/>
      <c r="G250" s="285"/>
      <c r="H250" s="251"/>
    </row>
    <row r="251">
      <c r="A251" s="265"/>
      <c r="B251" s="404"/>
      <c r="C251" s="405"/>
      <c r="D251" s="399"/>
      <c r="E251" s="442"/>
      <c r="F251" s="284"/>
      <c r="G251" s="285"/>
      <c r="H251" s="267">
        <v>40.0</v>
      </c>
      <c r="I251" s="2" t="s">
        <v>1342</v>
      </c>
    </row>
    <row r="252">
      <c r="A252" s="265"/>
      <c r="B252" s="404"/>
      <c r="C252" s="405"/>
      <c r="D252" s="399"/>
      <c r="E252" s="442"/>
      <c r="F252" s="284"/>
      <c r="G252" s="285"/>
      <c r="H252" s="267">
        <v>-100.0</v>
      </c>
      <c r="I252" s="2" t="s">
        <v>1456</v>
      </c>
    </row>
    <row r="253">
      <c r="A253" s="265"/>
      <c r="B253" s="404"/>
      <c r="C253" s="424"/>
      <c r="D253" s="399"/>
      <c r="E253" s="442"/>
      <c r="F253" s="284"/>
      <c r="G253" s="285"/>
      <c r="H253" s="267" t="s">
        <v>1457</v>
      </c>
    </row>
    <row r="254">
      <c r="A254" s="265"/>
      <c r="B254" s="404"/>
      <c r="C254" s="424"/>
      <c r="D254" s="489"/>
      <c r="E254" s="490"/>
      <c r="F254" s="451"/>
      <c r="G254" s="435"/>
      <c r="H254" s="251"/>
    </row>
    <row r="255">
      <c r="A255" s="265"/>
      <c r="B255" s="404"/>
      <c r="C255" s="424"/>
      <c r="D255" s="400"/>
      <c r="E255" s="442"/>
      <c r="F255" s="284"/>
      <c r="G255" s="285"/>
      <c r="H255" s="251"/>
    </row>
    <row r="256">
      <c r="A256" s="265"/>
      <c r="B256" s="477"/>
      <c r="C256" s="424"/>
      <c r="D256" s="400"/>
      <c r="E256" s="442"/>
      <c r="F256" s="284"/>
      <c r="G256" s="481"/>
      <c r="H256" s="251"/>
    </row>
    <row r="257">
      <c r="A257" s="270"/>
      <c r="B257" s="478"/>
      <c r="C257" s="471"/>
      <c r="D257" s="472"/>
      <c r="E257" s="473"/>
      <c r="F257" s="474"/>
      <c r="G257" s="475"/>
      <c r="H257" s="261"/>
    </row>
    <row r="258">
      <c r="A258" s="262" t="s">
        <v>1458</v>
      </c>
      <c r="B258" s="425"/>
      <c r="C258" s="426"/>
      <c r="D258" s="399"/>
      <c r="E258" s="398"/>
      <c r="F258" s="284">
        <v>25200.0</v>
      </c>
      <c r="G258" s="285" t="s">
        <v>605</v>
      </c>
      <c r="H258" s="245">
        <v>70.0</v>
      </c>
    </row>
    <row r="259">
      <c r="A259" s="265"/>
      <c r="B259" s="419">
        <v>125500.0</v>
      </c>
      <c r="C259" s="427"/>
      <c r="D259" s="414"/>
      <c r="E259" s="417" t="s">
        <v>306</v>
      </c>
      <c r="F259" s="418"/>
      <c r="G259" s="420" t="s">
        <v>75</v>
      </c>
      <c r="H259" s="267">
        <v>-100.0</v>
      </c>
      <c r="I259" s="2" t="s">
        <v>1456</v>
      </c>
    </row>
    <row r="260">
      <c r="A260" s="265"/>
      <c r="B260" s="404">
        <v>61360.66</v>
      </c>
      <c r="C260" s="405"/>
      <c r="D260" s="399"/>
      <c r="E260" s="442"/>
      <c r="F260" s="284"/>
      <c r="G260" s="285" t="s">
        <v>82</v>
      </c>
      <c r="H260" s="251"/>
    </row>
    <row r="261">
      <c r="A261" s="265"/>
      <c r="B261" s="404"/>
      <c r="C261" s="405"/>
      <c r="D261" s="399">
        <v>184000.0</v>
      </c>
      <c r="E261" s="398" t="s">
        <v>328</v>
      </c>
      <c r="F261" s="284"/>
      <c r="G261" s="285" t="s">
        <v>122</v>
      </c>
      <c r="H261" s="251"/>
    </row>
    <row r="262">
      <c r="A262" s="265"/>
      <c r="B262" s="404"/>
      <c r="C262" s="405"/>
      <c r="D262" s="399">
        <v>253970.0</v>
      </c>
      <c r="E262" s="398" t="s">
        <v>328</v>
      </c>
      <c r="F262" s="284"/>
      <c r="G262" s="285" t="s">
        <v>114</v>
      </c>
      <c r="H262" s="251"/>
    </row>
    <row r="263">
      <c r="A263" s="265"/>
      <c r="B263" s="404"/>
      <c r="C263" s="405"/>
      <c r="D263" s="399"/>
      <c r="E263" s="442"/>
      <c r="F263" s="284"/>
      <c r="G263" s="285"/>
      <c r="H263" s="251"/>
    </row>
    <row r="264">
      <c r="A264" s="265"/>
      <c r="B264" s="404"/>
      <c r="C264" s="405"/>
      <c r="D264" s="399"/>
      <c r="E264" s="442"/>
      <c r="F264" s="284"/>
      <c r="G264" s="285"/>
      <c r="H264" s="251"/>
    </row>
    <row r="265">
      <c r="A265" s="265"/>
      <c r="B265" s="404"/>
      <c r="C265" s="405"/>
      <c r="D265" s="399"/>
      <c r="E265" s="442"/>
      <c r="F265" s="284"/>
      <c r="G265" s="285"/>
      <c r="H265" s="251"/>
    </row>
    <row r="266">
      <c r="A266" s="265"/>
      <c r="B266" s="404"/>
      <c r="C266" s="424"/>
      <c r="D266" s="399"/>
      <c r="E266" s="442"/>
      <c r="F266" s="284"/>
      <c r="G266" s="285"/>
      <c r="H266" s="251"/>
    </row>
    <row r="267">
      <c r="A267" s="265"/>
      <c r="B267" s="404"/>
      <c r="C267" s="424"/>
      <c r="D267" s="399"/>
      <c r="E267" s="442"/>
      <c r="F267" s="284"/>
      <c r="G267" s="285"/>
      <c r="H267" s="251"/>
    </row>
    <row r="268">
      <c r="A268" s="265"/>
      <c r="B268" s="404"/>
      <c r="C268" s="424"/>
      <c r="D268" s="400"/>
      <c r="E268" s="442"/>
      <c r="F268" s="284"/>
      <c r="G268" s="285"/>
      <c r="H268" s="251"/>
    </row>
    <row r="269">
      <c r="A269" s="265"/>
      <c r="B269" s="477"/>
      <c r="C269" s="424"/>
      <c r="D269" s="400"/>
      <c r="E269" s="442"/>
      <c r="F269" s="284"/>
      <c r="G269" s="285"/>
      <c r="H269" s="251"/>
    </row>
    <row r="270">
      <c r="A270" s="265"/>
      <c r="B270" s="477"/>
      <c r="C270" s="424"/>
      <c r="D270" s="400"/>
      <c r="E270" s="442"/>
      <c r="F270" s="284"/>
      <c r="G270" s="285"/>
      <c r="H270" s="251"/>
    </row>
    <row r="271">
      <c r="A271" s="265"/>
      <c r="B271" s="480"/>
      <c r="C271" s="424"/>
      <c r="D271" s="400"/>
      <c r="E271" s="442"/>
      <c r="F271" s="284"/>
      <c r="G271" s="285"/>
      <c r="H271" s="251"/>
    </row>
    <row r="272">
      <c r="A272" s="265"/>
      <c r="B272" s="480"/>
      <c r="C272" s="424"/>
      <c r="D272" s="400"/>
      <c r="E272" s="442"/>
      <c r="F272" s="463"/>
      <c r="G272" s="481"/>
      <c r="H272" s="251"/>
    </row>
    <row r="273">
      <c r="A273" s="270"/>
      <c r="B273" s="478"/>
      <c r="C273" s="471"/>
      <c r="D273" s="472"/>
      <c r="E273" s="473"/>
      <c r="F273" s="460"/>
      <c r="G273" s="482"/>
      <c r="H273" s="261"/>
    </row>
    <row r="274">
      <c r="A274" s="262" t="s">
        <v>1459</v>
      </c>
      <c r="B274" s="425"/>
      <c r="C274" s="426"/>
      <c r="D274" s="401"/>
      <c r="E274" s="402"/>
      <c r="F274" s="403">
        <v>297.0</v>
      </c>
      <c r="G274" s="436" t="s">
        <v>1460</v>
      </c>
      <c r="H274" s="245">
        <v>30.0</v>
      </c>
    </row>
    <row r="275">
      <c r="A275" s="265"/>
      <c r="B275" s="404">
        <v>55000.0</v>
      </c>
      <c r="C275" s="405"/>
      <c r="D275" s="399"/>
      <c r="E275" s="398"/>
      <c r="F275" s="284"/>
      <c r="G275" s="285" t="s">
        <v>68</v>
      </c>
      <c r="H275" s="267">
        <v>-200.0</v>
      </c>
      <c r="I275" s="2" t="s">
        <v>1456</v>
      </c>
    </row>
    <row r="276">
      <c r="A276" s="265"/>
      <c r="B276" s="404"/>
      <c r="C276" s="405">
        <v>35726.1</v>
      </c>
      <c r="D276" s="399"/>
      <c r="E276" s="398"/>
      <c r="F276" s="284"/>
      <c r="G276" s="285" t="s">
        <v>71</v>
      </c>
      <c r="H276" s="251"/>
    </row>
    <row r="277">
      <c r="A277" s="265"/>
      <c r="B277" s="404">
        <v>137643.73</v>
      </c>
      <c r="C277" s="405"/>
      <c r="D277" s="399"/>
      <c r="E277" s="398"/>
      <c r="F277" s="284"/>
      <c r="G277" s="285" t="s">
        <v>142</v>
      </c>
      <c r="H277" s="251"/>
    </row>
    <row r="278">
      <c r="A278" s="265"/>
      <c r="B278" s="404"/>
      <c r="C278" s="424"/>
      <c r="D278" s="399">
        <v>110238.99</v>
      </c>
      <c r="E278" s="398" t="s">
        <v>328</v>
      </c>
      <c r="F278" s="284"/>
      <c r="G278" s="285" t="s">
        <v>91</v>
      </c>
      <c r="H278" s="251"/>
    </row>
    <row r="279">
      <c r="A279" s="265"/>
      <c r="B279" s="404"/>
      <c r="C279" s="405"/>
      <c r="D279" s="399"/>
      <c r="E279" s="398"/>
      <c r="F279" s="284">
        <v>8000.0</v>
      </c>
      <c r="G279" s="285" t="s">
        <v>1461</v>
      </c>
      <c r="H279" s="267"/>
    </row>
    <row r="280">
      <c r="A280" s="265"/>
      <c r="B280" s="419"/>
      <c r="C280" s="427"/>
      <c r="D280" s="414"/>
      <c r="E280" s="417"/>
      <c r="F280" s="418">
        <v>10000.0</v>
      </c>
      <c r="G280" s="420" t="s">
        <v>1462</v>
      </c>
      <c r="H280" s="267"/>
    </row>
    <row r="281">
      <c r="A281" s="265"/>
      <c r="B281" s="404"/>
      <c r="C281" s="405"/>
      <c r="D281" s="399"/>
      <c r="E281" s="398"/>
      <c r="F281" s="284"/>
      <c r="G281" s="285"/>
      <c r="H281" s="267"/>
    </row>
    <row r="282">
      <c r="A282" s="265"/>
      <c r="B282" s="404"/>
      <c r="C282" s="424"/>
      <c r="D282" s="399"/>
      <c r="E282" s="398"/>
      <c r="F282" s="284"/>
      <c r="G282" s="285"/>
      <c r="H282" s="251"/>
    </row>
    <row r="283">
      <c r="A283" s="265"/>
      <c r="B283" s="477"/>
      <c r="C283" s="424"/>
      <c r="D283" s="399"/>
      <c r="E283" s="442"/>
      <c r="F283" s="284"/>
      <c r="G283" s="285"/>
      <c r="H283" s="267"/>
    </row>
    <row r="284">
      <c r="A284" s="265"/>
      <c r="B284" s="477"/>
      <c r="C284" s="424"/>
      <c r="D284" s="400"/>
      <c r="E284" s="442"/>
      <c r="F284" s="284"/>
      <c r="G284" s="285"/>
      <c r="H284" s="251"/>
    </row>
    <row r="285">
      <c r="A285" s="265"/>
      <c r="B285" s="477"/>
      <c r="C285" s="424"/>
      <c r="D285" s="400"/>
      <c r="E285" s="442"/>
      <c r="F285" s="284"/>
      <c r="G285" s="285"/>
      <c r="H285" s="251"/>
    </row>
    <row r="286">
      <c r="A286" s="265"/>
      <c r="B286" s="477"/>
      <c r="C286" s="424"/>
      <c r="D286" s="400"/>
      <c r="E286" s="442"/>
      <c r="F286" s="284"/>
      <c r="G286" s="285"/>
      <c r="H286" s="251"/>
    </row>
    <row r="287">
      <c r="A287" s="265"/>
      <c r="B287" s="477"/>
      <c r="C287" s="424"/>
      <c r="D287" s="400"/>
      <c r="E287" s="442"/>
      <c r="F287" s="284"/>
      <c r="G287" s="481"/>
      <c r="H287" s="251"/>
    </row>
    <row r="288">
      <c r="A288" s="270"/>
      <c r="B288" s="478"/>
      <c r="C288" s="471"/>
      <c r="D288" s="472"/>
      <c r="E288" s="473"/>
      <c r="F288" s="460"/>
      <c r="G288" s="482"/>
      <c r="H288" s="261"/>
    </row>
    <row r="289">
      <c r="A289" s="262" t="s">
        <v>1463</v>
      </c>
      <c r="B289" s="461">
        <v>64000.0</v>
      </c>
      <c r="C289" s="445"/>
      <c r="D289" s="421"/>
      <c r="E289" s="422" t="s">
        <v>306</v>
      </c>
      <c r="F289" s="418"/>
      <c r="G289" s="420" t="s">
        <v>75</v>
      </c>
      <c r="H289" s="245">
        <v>260.0</v>
      </c>
    </row>
    <row r="290">
      <c r="A290" s="265"/>
      <c r="B290" s="404"/>
      <c r="C290" s="405">
        <v>65505.79</v>
      </c>
      <c r="D290" s="399"/>
      <c r="E290" s="398"/>
      <c r="F290" s="284"/>
      <c r="G290" s="285" t="s">
        <v>84</v>
      </c>
      <c r="H290" s="267"/>
    </row>
    <row r="291">
      <c r="A291" s="265"/>
      <c r="B291" s="404"/>
      <c r="C291" s="405"/>
      <c r="D291" s="399">
        <v>21156.5</v>
      </c>
      <c r="E291" s="398" t="s">
        <v>328</v>
      </c>
      <c r="F291" s="284"/>
      <c r="G291" s="285" t="s">
        <v>74</v>
      </c>
      <c r="H291" s="251"/>
      <c r="I291" s="491"/>
    </row>
    <row r="292">
      <c r="A292" s="265"/>
      <c r="B292" s="404"/>
      <c r="C292" s="405"/>
      <c r="D292" s="399">
        <f>14651.42+14461.99</f>
        <v>29113.41</v>
      </c>
      <c r="E292" s="398" t="s">
        <v>328</v>
      </c>
      <c r="F292" s="284"/>
      <c r="G292" s="285" t="s">
        <v>73</v>
      </c>
      <c r="H292" s="251"/>
    </row>
    <row r="293">
      <c r="A293" s="265"/>
      <c r="B293" s="404"/>
      <c r="C293" s="405">
        <v>221864.8</v>
      </c>
      <c r="D293" s="399"/>
      <c r="E293" s="398"/>
      <c r="F293" s="284"/>
      <c r="G293" s="285" t="s">
        <v>89</v>
      </c>
      <c r="H293" s="267"/>
    </row>
    <row r="294">
      <c r="A294" s="265"/>
      <c r="B294" s="404">
        <v>56900.26</v>
      </c>
      <c r="C294" s="405"/>
      <c r="D294" s="399"/>
      <c r="E294" s="442"/>
      <c r="F294" s="284"/>
      <c r="G294" s="285" t="s">
        <v>82</v>
      </c>
      <c r="H294" s="267"/>
    </row>
    <row r="295">
      <c r="A295" s="265"/>
      <c r="B295" s="404"/>
      <c r="C295" s="424"/>
      <c r="D295" s="399">
        <v>601128.0</v>
      </c>
      <c r="E295" s="398" t="s">
        <v>328</v>
      </c>
      <c r="F295" s="284"/>
      <c r="G295" s="285" t="s">
        <v>877</v>
      </c>
      <c r="H295" s="251"/>
    </row>
    <row r="296">
      <c r="A296" s="265"/>
      <c r="B296" s="404"/>
      <c r="C296" s="405"/>
      <c r="D296" s="399"/>
      <c r="E296" s="442"/>
      <c r="F296" s="284"/>
      <c r="G296" s="285"/>
      <c r="H296" s="251"/>
    </row>
    <row r="297">
      <c r="A297" s="265"/>
      <c r="B297" s="477"/>
      <c r="C297" s="424"/>
      <c r="D297" s="400"/>
      <c r="E297" s="442"/>
      <c r="F297" s="284"/>
      <c r="G297" s="285"/>
      <c r="H297" s="251"/>
    </row>
    <row r="298">
      <c r="A298" s="265"/>
      <c r="B298" s="477"/>
      <c r="C298" s="424"/>
      <c r="D298" s="400"/>
      <c r="E298" s="442"/>
      <c r="F298" s="284"/>
      <c r="G298" s="285"/>
      <c r="H298" s="251"/>
    </row>
    <row r="299">
      <c r="A299" s="265"/>
      <c r="B299" s="404"/>
      <c r="C299" s="424"/>
      <c r="D299" s="400"/>
      <c r="E299" s="442"/>
      <c r="F299" s="284"/>
      <c r="G299" s="285"/>
      <c r="H299" s="251"/>
    </row>
    <row r="300">
      <c r="A300" s="265"/>
      <c r="B300" s="404"/>
      <c r="C300" s="424"/>
      <c r="D300" s="400"/>
      <c r="E300" s="442"/>
      <c r="F300" s="284"/>
      <c r="G300" s="285"/>
      <c r="H300" s="251"/>
    </row>
    <row r="301">
      <c r="A301" s="265"/>
      <c r="B301" s="477"/>
      <c r="C301" s="424"/>
      <c r="D301" s="400"/>
      <c r="E301" s="442"/>
      <c r="F301" s="284"/>
      <c r="G301" s="285"/>
      <c r="H301" s="251"/>
    </row>
    <row r="302">
      <c r="A302" s="265"/>
      <c r="B302" s="477"/>
      <c r="C302" s="424"/>
      <c r="D302" s="400"/>
      <c r="E302" s="442"/>
      <c r="F302" s="284"/>
      <c r="G302" s="481"/>
      <c r="H302" s="251"/>
    </row>
    <row r="303">
      <c r="A303" s="270"/>
      <c r="B303" s="478"/>
      <c r="C303" s="471"/>
      <c r="D303" s="472"/>
      <c r="E303" s="473"/>
      <c r="F303" s="460"/>
      <c r="G303" s="473"/>
      <c r="H303" s="261"/>
    </row>
    <row r="304">
      <c r="A304" s="262" t="s">
        <v>1464</v>
      </c>
      <c r="B304" s="425">
        <v>49200.0</v>
      </c>
      <c r="C304" s="426"/>
      <c r="D304" s="401"/>
      <c r="E304" s="402"/>
      <c r="F304" s="403"/>
      <c r="G304" s="402" t="s">
        <v>76</v>
      </c>
      <c r="H304" s="245">
        <v>120.0</v>
      </c>
    </row>
    <row r="305">
      <c r="A305" s="265"/>
      <c r="B305" s="404">
        <v>29172.0</v>
      </c>
      <c r="C305" s="405"/>
      <c r="D305" s="399"/>
      <c r="E305" s="398"/>
      <c r="F305" s="284"/>
      <c r="G305" s="398" t="s">
        <v>1061</v>
      </c>
      <c r="H305" s="267"/>
    </row>
    <row r="306">
      <c r="A306" s="265"/>
      <c r="B306" s="404"/>
      <c r="C306" s="405"/>
      <c r="D306" s="399"/>
      <c r="E306" s="398"/>
      <c r="F306" s="284">
        <v>50000.0</v>
      </c>
      <c r="G306" s="398" t="s">
        <v>1350</v>
      </c>
      <c r="H306" s="251"/>
    </row>
    <row r="307">
      <c r="A307" s="265"/>
      <c r="B307" s="404"/>
      <c r="C307" s="405"/>
      <c r="D307" s="399"/>
      <c r="E307" s="398"/>
      <c r="F307" s="284"/>
      <c r="G307" s="398"/>
      <c r="H307" s="251"/>
    </row>
    <row r="308">
      <c r="A308" s="265"/>
      <c r="B308" s="419"/>
      <c r="C308" s="427"/>
      <c r="D308" s="414"/>
      <c r="E308" s="417"/>
      <c r="F308" s="418"/>
      <c r="G308" s="417"/>
      <c r="H308" s="251"/>
    </row>
    <row r="309">
      <c r="A309" s="265"/>
      <c r="B309" s="404"/>
      <c r="C309" s="405"/>
      <c r="D309" s="399"/>
      <c r="E309" s="442"/>
      <c r="F309" s="284"/>
      <c r="G309" s="398"/>
      <c r="H309" s="251"/>
    </row>
    <row r="310">
      <c r="A310" s="265"/>
      <c r="B310" s="404"/>
      <c r="C310" s="405"/>
      <c r="D310" s="399"/>
      <c r="E310" s="398"/>
      <c r="F310" s="284"/>
      <c r="G310" s="398"/>
      <c r="H310" s="251"/>
    </row>
    <row r="311">
      <c r="A311" s="265"/>
      <c r="B311" s="404"/>
      <c r="C311" s="424"/>
      <c r="D311" s="399"/>
      <c r="E311" s="442"/>
      <c r="F311" s="284"/>
      <c r="G311" s="442"/>
      <c r="H311" s="251"/>
    </row>
    <row r="312">
      <c r="A312" s="265"/>
      <c r="B312" s="404"/>
      <c r="C312" s="424"/>
      <c r="D312" s="400"/>
      <c r="E312" s="442"/>
      <c r="F312" s="284"/>
      <c r="G312" s="442"/>
      <c r="H312" s="251"/>
    </row>
    <row r="313">
      <c r="A313" s="265"/>
      <c r="B313" s="404"/>
      <c r="C313" s="424"/>
      <c r="D313" s="399"/>
      <c r="E313" s="442"/>
      <c r="F313" s="284"/>
      <c r="G313" s="442"/>
      <c r="H313" s="251"/>
    </row>
    <row r="314">
      <c r="A314" s="265"/>
      <c r="B314" s="404"/>
      <c r="C314" s="424"/>
      <c r="D314" s="400"/>
      <c r="E314" s="442"/>
      <c r="F314" s="284"/>
      <c r="G314" s="442"/>
      <c r="H314" s="251"/>
    </row>
    <row r="315">
      <c r="A315" s="265"/>
      <c r="B315" s="404"/>
      <c r="C315" s="424"/>
      <c r="D315" s="400"/>
      <c r="E315" s="442"/>
      <c r="F315" s="284"/>
      <c r="G315" s="442"/>
      <c r="H315" s="251"/>
    </row>
    <row r="316">
      <c r="A316" s="265"/>
      <c r="B316" s="404"/>
      <c r="C316" s="424"/>
      <c r="D316" s="399"/>
      <c r="E316" s="442"/>
      <c r="F316" s="284"/>
      <c r="G316" s="442"/>
      <c r="H316" s="251"/>
    </row>
    <row r="317">
      <c r="A317" s="270"/>
      <c r="B317" s="478"/>
      <c r="C317" s="471"/>
      <c r="D317" s="472"/>
      <c r="E317" s="473"/>
      <c r="F317" s="474"/>
      <c r="G317" s="492"/>
      <c r="H317" s="261"/>
    </row>
    <row r="318">
      <c r="A318" s="262" t="s">
        <v>1465</v>
      </c>
      <c r="B318" s="425">
        <v>40907.1</v>
      </c>
      <c r="C318" s="426"/>
      <c r="D318" s="421"/>
      <c r="E318" s="422"/>
      <c r="F318" s="423"/>
      <c r="G318" s="402" t="s">
        <v>82</v>
      </c>
      <c r="H318" s="245">
        <v>130.0</v>
      </c>
    </row>
    <row r="319">
      <c r="A319" s="265"/>
      <c r="B319" s="419">
        <v>134300.0</v>
      </c>
      <c r="C319" s="427"/>
      <c r="D319" s="414"/>
      <c r="E319" s="417" t="s">
        <v>306</v>
      </c>
      <c r="F319" s="418"/>
      <c r="G319" s="417" t="s">
        <v>75</v>
      </c>
      <c r="H319" s="267"/>
    </row>
    <row r="320">
      <c r="A320" s="265"/>
      <c r="B320" s="404"/>
      <c r="C320" s="405"/>
      <c r="D320" s="399"/>
      <c r="E320" s="398"/>
      <c r="F320" s="284"/>
      <c r="G320" s="398" t="s">
        <v>605</v>
      </c>
      <c r="H320" s="267"/>
      <c r="I320" s="2" t="s">
        <v>1466</v>
      </c>
    </row>
    <row r="321">
      <c r="A321" s="265"/>
      <c r="B321" s="404">
        <v>100000.0</v>
      </c>
      <c r="C321" s="405"/>
      <c r="D321" s="399"/>
      <c r="E321" s="398"/>
      <c r="F321" s="284"/>
      <c r="G321" s="398" t="s">
        <v>1350</v>
      </c>
      <c r="H321" s="251"/>
    </row>
    <row r="322">
      <c r="A322" s="265"/>
      <c r="B322" s="404"/>
      <c r="C322" s="405"/>
      <c r="D322" s="399"/>
      <c r="E322" s="398"/>
      <c r="F322" s="284">
        <v>50000.0</v>
      </c>
      <c r="G322" s="398" t="s">
        <v>1467</v>
      </c>
      <c r="H322" s="251"/>
    </row>
    <row r="323">
      <c r="A323" s="265"/>
      <c r="B323" s="404"/>
      <c r="C323" s="424"/>
      <c r="D323" s="399"/>
      <c r="E323" s="398"/>
      <c r="F323" s="284">
        <v>25200.0</v>
      </c>
      <c r="G323" s="398" t="s">
        <v>605</v>
      </c>
      <c r="H323" s="251"/>
    </row>
    <row r="324">
      <c r="A324" s="265"/>
      <c r="B324" s="404"/>
      <c r="C324" s="424"/>
      <c r="D324" s="399"/>
      <c r="E324" s="442"/>
      <c r="F324" s="284"/>
      <c r="G324" s="398"/>
      <c r="H324" s="251"/>
    </row>
    <row r="325">
      <c r="A325" s="265"/>
      <c r="B325" s="404"/>
      <c r="C325" s="424"/>
      <c r="D325" s="399"/>
      <c r="E325" s="442"/>
      <c r="F325" s="284"/>
      <c r="G325" s="442"/>
      <c r="H325" s="251"/>
    </row>
    <row r="326">
      <c r="A326" s="265"/>
      <c r="B326" s="404"/>
      <c r="C326" s="424"/>
      <c r="D326" s="399"/>
      <c r="E326" s="442"/>
      <c r="F326" s="284"/>
      <c r="G326" s="442"/>
      <c r="H326" s="251"/>
    </row>
    <row r="327">
      <c r="A327" s="265"/>
      <c r="B327" s="404"/>
      <c r="C327" s="424"/>
      <c r="D327" s="400"/>
      <c r="E327" s="442"/>
      <c r="F327" s="284"/>
      <c r="G327" s="442"/>
      <c r="H327" s="251"/>
    </row>
    <row r="328">
      <c r="A328" s="265"/>
      <c r="B328" s="404"/>
      <c r="C328" s="424"/>
      <c r="D328" s="400"/>
      <c r="E328" s="442"/>
      <c r="F328" s="284"/>
      <c r="G328" s="442"/>
      <c r="H328" s="251"/>
    </row>
    <row r="329">
      <c r="A329" s="265"/>
      <c r="B329" s="404"/>
      <c r="C329" s="424"/>
      <c r="D329" s="400"/>
      <c r="E329" s="442"/>
      <c r="F329" s="284"/>
      <c r="G329" s="442"/>
      <c r="H329" s="251"/>
    </row>
    <row r="330">
      <c r="A330" s="265"/>
      <c r="B330" s="477"/>
      <c r="C330" s="424"/>
      <c r="D330" s="400"/>
      <c r="E330" s="442"/>
      <c r="F330" s="284"/>
      <c r="G330" s="442"/>
      <c r="H330" s="251"/>
    </row>
    <row r="331">
      <c r="A331" s="265"/>
      <c r="B331" s="477"/>
      <c r="C331" s="424"/>
      <c r="D331" s="400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65"/>
      <c r="B333" s="477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70"/>
      <c r="B335" s="478"/>
      <c r="C335" s="471"/>
      <c r="D335" s="472"/>
      <c r="E335" s="473"/>
      <c r="F335" s="460"/>
      <c r="G335" s="473"/>
      <c r="H335" s="261"/>
    </row>
    <row r="336">
      <c r="A336" s="262" t="s">
        <v>1468</v>
      </c>
      <c r="B336" s="425"/>
      <c r="C336" s="426"/>
      <c r="D336" s="401"/>
      <c r="E336" s="402"/>
      <c r="F336" s="403">
        <v>90000.0</v>
      </c>
      <c r="G336" s="398" t="s">
        <v>1469</v>
      </c>
      <c r="H336" s="245"/>
      <c r="I336" s="2" t="s">
        <v>1470</v>
      </c>
    </row>
    <row r="337">
      <c r="A337" s="265"/>
      <c r="B337" s="404"/>
      <c r="C337" s="405"/>
      <c r="D337" s="399"/>
      <c r="E337" s="398"/>
      <c r="F337" s="284">
        <v>50000.0</v>
      </c>
      <c r="G337" s="398" t="s">
        <v>1471</v>
      </c>
      <c r="H337" s="267"/>
      <c r="I337" s="2" t="s">
        <v>1472</v>
      </c>
    </row>
    <row r="338">
      <c r="A338" s="265"/>
      <c r="B338" s="493"/>
      <c r="C338" s="313"/>
      <c r="D338" s="506"/>
      <c r="E338" s="507"/>
      <c r="F338" s="508"/>
      <c r="G338" s="509"/>
      <c r="H338" s="267">
        <v>60.0</v>
      </c>
    </row>
    <row r="339">
      <c r="A339" s="265"/>
      <c r="B339" s="493"/>
      <c r="C339" s="496"/>
      <c r="D339" s="325"/>
      <c r="E339" s="507"/>
      <c r="F339" s="291"/>
      <c r="G339" s="495"/>
      <c r="H339" s="251"/>
    </row>
    <row r="340">
      <c r="A340" s="265"/>
      <c r="B340" s="497"/>
      <c r="C340" s="313"/>
      <c r="D340" s="325"/>
      <c r="E340" s="498"/>
      <c r="F340" s="291"/>
      <c r="G340" s="495"/>
      <c r="H340" s="251"/>
    </row>
    <row r="341">
      <c r="A341" s="265"/>
      <c r="B341" s="493"/>
      <c r="C341" s="499"/>
      <c r="D341" s="314"/>
      <c r="E341" s="507"/>
      <c r="F341" s="291"/>
      <c r="G341" s="490"/>
      <c r="H341" s="251"/>
    </row>
    <row r="342">
      <c r="A342" s="265"/>
      <c r="B342" s="404"/>
      <c r="C342" s="424"/>
      <c r="D342" s="399"/>
      <c r="E342" s="442"/>
      <c r="F342" s="284"/>
      <c r="G342" s="442"/>
      <c r="H342" s="267">
        <v>230.0</v>
      </c>
      <c r="I342" s="2" t="s">
        <v>1473</v>
      </c>
    </row>
    <row r="343">
      <c r="A343" s="265"/>
      <c r="B343" s="477"/>
      <c r="C343" s="424"/>
      <c r="D343" s="399"/>
      <c r="E343" s="442"/>
      <c r="F343" s="284"/>
      <c r="G343" s="442"/>
      <c r="H343" s="251"/>
    </row>
    <row r="344">
      <c r="A344" s="265"/>
      <c r="B344" s="477"/>
      <c r="C344" s="424"/>
      <c r="D344" s="400"/>
      <c r="E344" s="442"/>
      <c r="F344" s="284"/>
      <c r="G344" s="442"/>
      <c r="H344" s="251"/>
    </row>
    <row r="345">
      <c r="A345" s="265"/>
      <c r="B345" s="404"/>
      <c r="C345" s="424"/>
      <c r="D345" s="400"/>
      <c r="E345" s="442"/>
      <c r="F345" s="284"/>
      <c r="G345" s="442"/>
      <c r="H345" s="251"/>
    </row>
    <row r="346">
      <c r="A346" s="265"/>
      <c r="B346" s="477"/>
      <c r="C346" s="424"/>
      <c r="D346" s="400"/>
      <c r="E346" s="442"/>
      <c r="F346" s="284"/>
      <c r="G346" s="442"/>
      <c r="H346" s="251"/>
    </row>
    <row r="347">
      <c r="A347" s="270"/>
      <c r="B347" s="478"/>
      <c r="C347" s="471"/>
      <c r="D347" s="472"/>
      <c r="E347" s="473"/>
      <c r="F347" s="460"/>
      <c r="G347" s="473"/>
      <c r="H347" s="261"/>
    </row>
    <row r="348">
      <c r="A348" s="280" t="s">
        <v>1474</v>
      </c>
      <c r="B348" s="425"/>
      <c r="C348" s="426"/>
      <c r="D348" s="401"/>
      <c r="E348" s="402"/>
      <c r="F348" s="403">
        <v>13000.0</v>
      </c>
      <c r="G348" s="398" t="s">
        <v>1475</v>
      </c>
      <c r="H348" s="245">
        <v>270.0</v>
      </c>
    </row>
    <row r="349">
      <c r="A349" s="265"/>
      <c r="B349" s="419">
        <v>181000.0</v>
      </c>
      <c r="C349" s="427"/>
      <c r="D349" s="414"/>
      <c r="E349" s="417" t="s">
        <v>306</v>
      </c>
      <c r="F349" s="418"/>
      <c r="G349" s="417" t="s">
        <v>75</v>
      </c>
      <c r="H349" s="267"/>
    </row>
    <row r="350">
      <c r="A350" s="265"/>
      <c r="B350" s="404"/>
      <c r="C350" s="405"/>
      <c r="D350" s="399"/>
      <c r="E350" s="442"/>
      <c r="F350" s="284">
        <v>363.0</v>
      </c>
      <c r="G350" s="398" t="s">
        <v>97</v>
      </c>
      <c r="H350" s="267"/>
    </row>
    <row r="351">
      <c r="A351" s="265"/>
      <c r="B351" s="404">
        <v>57000.0</v>
      </c>
      <c r="C351" s="405"/>
      <c r="D351" s="399"/>
      <c r="E351" s="398" t="s">
        <v>527</v>
      </c>
      <c r="F351" s="284"/>
      <c r="G351" s="398" t="s">
        <v>68</v>
      </c>
      <c r="H351" s="267"/>
    </row>
    <row r="352">
      <c r="A352" s="265"/>
      <c r="B352" s="404"/>
      <c r="C352" s="405">
        <v>82195.92</v>
      </c>
      <c r="D352" s="399"/>
      <c r="E352" s="398"/>
      <c r="F352" s="284"/>
      <c r="G352" s="398" t="s">
        <v>71</v>
      </c>
      <c r="H352" s="267"/>
    </row>
    <row r="353">
      <c r="A353" s="265"/>
      <c r="B353" s="404">
        <v>40907.1</v>
      </c>
      <c r="C353" s="405"/>
      <c r="D353" s="399"/>
      <c r="E353" s="398"/>
      <c r="F353" s="284"/>
      <c r="G353" s="398" t="s">
        <v>82</v>
      </c>
      <c r="H353" s="267"/>
    </row>
    <row r="354">
      <c r="A354" s="265"/>
      <c r="B354" s="404"/>
      <c r="C354" s="405"/>
      <c r="D354" s="399">
        <v>298575.39</v>
      </c>
      <c r="E354" s="398" t="s">
        <v>328</v>
      </c>
      <c r="F354" s="284"/>
      <c r="G354" s="398" t="s">
        <v>1476</v>
      </c>
      <c r="H354" s="267"/>
    </row>
    <row r="355">
      <c r="A355" s="265"/>
      <c r="B355" s="404"/>
      <c r="C355" s="405"/>
      <c r="D355" s="399">
        <v>91600.0</v>
      </c>
      <c r="E355" s="398" t="s">
        <v>328</v>
      </c>
      <c r="F355" s="284"/>
      <c r="G355" s="398" t="s">
        <v>1477</v>
      </c>
      <c r="H355" s="267"/>
    </row>
    <row r="356">
      <c r="A356" s="265"/>
      <c r="B356" s="404">
        <v>57000.0</v>
      </c>
      <c r="C356" s="405"/>
      <c r="D356" s="399"/>
      <c r="E356" s="442"/>
      <c r="F356" s="284"/>
      <c r="G356" s="398" t="s">
        <v>1350</v>
      </c>
      <c r="H356" s="267"/>
    </row>
    <row r="357">
      <c r="A357" s="265"/>
      <c r="B357" s="404"/>
      <c r="C357" s="405"/>
      <c r="D357" s="399"/>
      <c r="E357" s="442"/>
      <c r="F357" s="284"/>
      <c r="G357" s="398"/>
      <c r="H357" s="267"/>
    </row>
    <row r="358">
      <c r="A358" s="270"/>
      <c r="B358" s="404"/>
      <c r="C358" s="405"/>
      <c r="D358" s="399"/>
      <c r="E358" s="442"/>
      <c r="F358" s="284"/>
      <c r="G358" s="398"/>
      <c r="H358" s="267"/>
    </row>
    <row r="359">
      <c r="A359" s="452"/>
      <c r="B359" s="404"/>
      <c r="C359" s="405"/>
      <c r="D359" s="399"/>
      <c r="E359" s="442"/>
      <c r="F359" s="284"/>
      <c r="G359" s="398"/>
      <c r="H359" s="267"/>
    </row>
    <row r="360">
      <c r="A360" s="280"/>
      <c r="B360" s="425"/>
      <c r="C360" s="426"/>
      <c r="D360" s="401"/>
      <c r="E360" s="402"/>
      <c r="F360" s="403"/>
      <c r="G360" s="402"/>
      <c r="H360" s="245"/>
    </row>
    <row r="361">
      <c r="A361" s="265"/>
      <c r="B361" s="404"/>
      <c r="C361" s="405"/>
      <c r="D361" s="443"/>
      <c r="E361" s="398"/>
      <c r="F361" s="284"/>
      <c r="G361" s="398"/>
      <c r="H361" s="267"/>
    </row>
    <row r="362">
      <c r="A362" s="265"/>
      <c r="B362" s="419"/>
      <c r="C362" s="427"/>
      <c r="D362" s="414"/>
      <c r="E362" s="417"/>
      <c r="F362" s="418"/>
      <c r="G362" s="417"/>
      <c r="H362" s="267"/>
    </row>
    <row r="363">
      <c r="A363" s="265"/>
      <c r="B363" s="404"/>
      <c r="C363" s="424"/>
      <c r="D363" s="399"/>
      <c r="E363" s="398"/>
      <c r="F363" s="284"/>
      <c r="G363" s="398"/>
      <c r="H363" s="251"/>
    </row>
    <row r="364">
      <c r="A364" s="265"/>
      <c r="B364" s="404"/>
      <c r="C364" s="424"/>
      <c r="D364" s="399"/>
      <c r="E364" s="398"/>
      <c r="F364" s="284"/>
      <c r="G364" s="398"/>
      <c r="H364" s="294"/>
    </row>
    <row r="365">
      <c r="A365" s="265"/>
      <c r="B365" s="404"/>
      <c r="C365" s="424"/>
      <c r="D365" s="399"/>
      <c r="E365" s="442"/>
      <c r="F365" s="284"/>
      <c r="G365" s="442"/>
      <c r="H365" s="251"/>
    </row>
    <row r="366">
      <c r="A366" s="265"/>
      <c r="B366" s="404"/>
      <c r="C366" s="424"/>
      <c r="D366" s="399"/>
      <c r="E366" s="442"/>
      <c r="F366" s="284"/>
      <c r="G366" s="442"/>
      <c r="H366" s="251"/>
    </row>
    <row r="367">
      <c r="A367" s="265"/>
      <c r="B367" s="477"/>
      <c r="C367" s="424"/>
      <c r="D367" s="399"/>
      <c r="E367" s="442"/>
      <c r="F367" s="284"/>
      <c r="G367" s="442"/>
      <c r="H367" s="267"/>
    </row>
    <row r="368">
      <c r="A368" s="265"/>
      <c r="B368" s="477"/>
      <c r="C368" s="424"/>
      <c r="D368" s="399"/>
      <c r="E368" s="442"/>
      <c r="F368" s="284"/>
      <c r="G368" s="442"/>
      <c r="H368" s="251"/>
    </row>
    <row r="369">
      <c r="A369" s="265"/>
      <c r="B369" s="404"/>
      <c r="C369" s="424"/>
      <c r="D369" s="399"/>
      <c r="E369" s="442"/>
      <c r="F369" s="284"/>
      <c r="G369" s="442"/>
      <c r="H369" s="267"/>
    </row>
    <row r="370">
      <c r="A370" s="270"/>
      <c r="B370" s="478"/>
      <c r="C370" s="471"/>
      <c r="D370" s="462"/>
      <c r="E370" s="473"/>
      <c r="F370" s="460"/>
      <c r="G370" s="492"/>
      <c r="H370" s="261"/>
    </row>
    <row r="371">
      <c r="A371" s="299"/>
      <c r="B371" s="440"/>
      <c r="C371" s="424"/>
      <c r="D371" s="462"/>
      <c r="E371" s="442"/>
      <c r="F371" s="463"/>
      <c r="G371" s="442"/>
      <c r="H371" s="251"/>
    </row>
    <row r="372">
      <c r="B372" s="480"/>
      <c r="C372" s="405"/>
      <c r="D372" s="462"/>
      <c r="E372" s="442"/>
      <c r="F372" s="463"/>
      <c r="G372" s="442"/>
      <c r="H372" s="251"/>
    </row>
    <row r="373">
      <c r="B373" s="440"/>
      <c r="C373" s="424"/>
      <c r="D373" s="462"/>
      <c r="E373" s="398"/>
      <c r="F373" s="463"/>
      <c r="G373" s="398"/>
      <c r="H373" s="251"/>
    </row>
    <row r="374">
      <c r="B374" s="480"/>
      <c r="C374" s="424"/>
      <c r="D374" s="462"/>
      <c r="E374" s="442"/>
      <c r="F374" s="463"/>
      <c r="G374" s="442"/>
      <c r="H374" s="251"/>
    </row>
    <row r="375">
      <c r="B375" s="480"/>
      <c r="C375" s="424"/>
      <c r="D375" s="462"/>
      <c r="E375" s="442"/>
      <c r="F375" s="463"/>
      <c r="G375" s="442"/>
      <c r="H375" s="251"/>
    </row>
    <row r="376">
      <c r="B376" s="480"/>
      <c r="C376" s="424"/>
      <c r="D376" s="462"/>
      <c r="E376" s="442"/>
      <c r="F376" s="463"/>
      <c r="G376" s="442"/>
      <c r="H376" s="251"/>
    </row>
    <row r="377">
      <c r="B377" s="480"/>
      <c r="C377" s="424"/>
      <c r="D377" s="462"/>
      <c r="E377" s="442"/>
      <c r="F377" s="463"/>
      <c r="G377" s="442"/>
      <c r="H377" s="251"/>
    </row>
    <row r="378">
      <c r="B378" s="480"/>
      <c r="C378" s="424"/>
      <c r="D378" s="462"/>
      <c r="E378" s="442"/>
      <c r="F378" s="463"/>
      <c r="G378" s="442"/>
      <c r="H378" s="251"/>
    </row>
    <row r="379">
      <c r="B379" s="480"/>
      <c r="C379" s="424"/>
      <c r="D379" s="462"/>
      <c r="E379" s="442"/>
      <c r="F379" s="463"/>
      <c r="G379" s="442"/>
      <c r="H379" s="251"/>
    </row>
    <row r="380">
      <c r="B380" s="480"/>
      <c r="C380" s="424"/>
      <c r="D380" s="462"/>
      <c r="E380" s="442"/>
      <c r="F380" s="463"/>
      <c r="G380" s="442"/>
      <c r="H380" s="251"/>
    </row>
    <row r="381">
      <c r="B381" s="480"/>
      <c r="C381" s="424"/>
      <c r="D381" s="462"/>
      <c r="E381" s="442"/>
      <c r="F381" s="463"/>
      <c r="G381" s="442"/>
      <c r="H381" s="251"/>
    </row>
    <row r="382">
      <c r="A382" s="299"/>
      <c r="B382" s="278"/>
      <c r="C382" s="252"/>
      <c r="D382" s="295"/>
      <c r="F382" s="432"/>
      <c r="H382" s="251"/>
    </row>
    <row r="383">
      <c r="A383" s="299"/>
      <c r="B383" s="278"/>
      <c r="C383" s="252"/>
      <c r="D383" s="295"/>
      <c r="F383" s="432"/>
      <c r="G383" s="2"/>
      <c r="H383" s="251"/>
    </row>
    <row r="384">
      <c r="A384" s="280" t="s">
        <v>187</v>
      </c>
      <c r="B384" s="239"/>
      <c r="C384" s="240"/>
      <c r="D384" s="439">
        <v>331967.9</v>
      </c>
      <c r="E384" s="242"/>
      <c r="F384" s="423"/>
      <c r="G384" s="2" t="s">
        <v>188</v>
      </c>
      <c r="H384" s="297">
        <v>45560.0</v>
      </c>
      <c r="I384" s="2" t="s">
        <v>189</v>
      </c>
    </row>
    <row r="385">
      <c r="A385" s="265"/>
      <c r="B385" s="247"/>
      <c r="C385" s="248"/>
      <c r="D385" s="317">
        <v>189359.28</v>
      </c>
      <c r="E385" s="429"/>
      <c r="F385" s="418"/>
      <c r="G385" s="2" t="s">
        <v>1478</v>
      </c>
      <c r="H385" s="294">
        <v>45545.0</v>
      </c>
    </row>
    <row r="386">
      <c r="A386" s="265"/>
      <c r="B386" s="247"/>
      <c r="C386" s="248"/>
      <c r="D386" s="438">
        <v>265761.0</v>
      </c>
      <c r="F386" s="418"/>
      <c r="G386" s="2" t="s">
        <v>1478</v>
      </c>
      <c r="H386" s="294">
        <v>45552.0</v>
      </c>
    </row>
    <row r="387">
      <c r="A387" s="265"/>
      <c r="B387" s="247"/>
      <c r="C387" s="248"/>
      <c r="D387" s="438">
        <v>57986.22</v>
      </c>
      <c r="F387" s="418"/>
      <c r="G387" s="2" t="s">
        <v>191</v>
      </c>
      <c r="H387" s="294">
        <v>45545.0</v>
      </c>
    </row>
    <row r="388">
      <c r="A388" s="265"/>
      <c r="B388" s="268"/>
      <c r="C388" s="252"/>
      <c r="D388" s="298">
        <v>22304.93</v>
      </c>
      <c r="F388" s="418"/>
      <c r="G388" s="2" t="s">
        <v>1479</v>
      </c>
      <c r="H388" s="294"/>
    </row>
    <row r="389">
      <c r="A389" s="265"/>
      <c r="B389" s="268"/>
      <c r="C389" s="252"/>
      <c r="D389" s="249">
        <v>500000.0</v>
      </c>
      <c r="F389" s="418"/>
      <c r="G389" s="2" t="s">
        <v>192</v>
      </c>
      <c r="H389" s="294">
        <v>45560.0</v>
      </c>
    </row>
    <row r="390">
      <c r="A390" s="265"/>
      <c r="B390" s="268"/>
      <c r="C390" s="252"/>
      <c r="D390" s="253"/>
      <c r="F390" s="284">
        <v>363000.0</v>
      </c>
      <c r="G390" s="2" t="s">
        <v>193</v>
      </c>
      <c r="H390" s="294">
        <v>45547.0</v>
      </c>
    </row>
    <row r="391">
      <c r="A391" s="265"/>
      <c r="B391" s="247"/>
      <c r="C391" s="252"/>
      <c r="D391" s="249">
        <v>150728.0</v>
      </c>
      <c r="F391" s="418"/>
      <c r="G391" s="2" t="s">
        <v>1093</v>
      </c>
      <c r="H391" s="294">
        <v>45553.0</v>
      </c>
    </row>
    <row r="392">
      <c r="A392" s="265"/>
      <c r="B392" s="247"/>
      <c r="C392" s="252"/>
      <c r="D392" s="249">
        <v>102300.0</v>
      </c>
      <c r="F392" s="418"/>
      <c r="G392" s="2" t="s">
        <v>196</v>
      </c>
      <c r="H392" s="294">
        <v>45544.0</v>
      </c>
      <c r="I392" s="318"/>
    </row>
    <row r="393">
      <c r="A393" s="265"/>
      <c r="B393" s="247">
        <v>53552.33</v>
      </c>
      <c r="C393" s="252"/>
      <c r="D393" s="249"/>
      <c r="F393" s="418"/>
      <c r="G393" s="2" t="s">
        <v>197</v>
      </c>
      <c r="H393" s="294"/>
      <c r="I393" s="2" t="s">
        <v>198</v>
      </c>
    </row>
    <row r="394">
      <c r="A394" s="265"/>
      <c r="B394" s="268"/>
      <c r="C394" s="252"/>
      <c r="D394" s="249">
        <v>46860.68</v>
      </c>
      <c r="F394" s="418"/>
      <c r="G394" s="2" t="s">
        <v>199</v>
      </c>
      <c r="H394" s="294"/>
      <c r="I394" s="2" t="s">
        <v>189</v>
      </c>
    </row>
    <row r="395">
      <c r="A395" s="265"/>
      <c r="B395" s="247"/>
      <c r="C395" s="252"/>
      <c r="D395" s="439">
        <v>84396.82</v>
      </c>
      <c r="F395" s="418"/>
      <c r="G395" s="2" t="s">
        <v>200</v>
      </c>
      <c r="H395" s="294"/>
      <c r="I395" s="2" t="s">
        <v>189</v>
      </c>
    </row>
    <row r="396">
      <c r="A396" s="265"/>
      <c r="B396" s="278"/>
      <c r="C396" s="248"/>
      <c r="D396" s="439">
        <v>14284.74</v>
      </c>
      <c r="F396" s="432"/>
      <c r="G396" s="2" t="s">
        <v>201</v>
      </c>
      <c r="H396" s="294"/>
      <c r="I396" s="2" t="s">
        <v>189</v>
      </c>
    </row>
    <row r="397">
      <c r="A397" s="270"/>
      <c r="B397" s="277"/>
      <c r="C397" s="248"/>
      <c r="D397" s="295"/>
      <c r="F397" s="464"/>
      <c r="H397" s="294"/>
    </row>
    <row r="398">
      <c r="A398" s="299"/>
      <c r="B398" s="278"/>
      <c r="C398" s="248"/>
      <c r="D398" s="295"/>
      <c r="F398" s="432"/>
      <c r="H398" s="294"/>
    </row>
    <row r="399">
      <c r="A399" s="299"/>
      <c r="B399" s="278"/>
      <c r="C399" s="248"/>
      <c r="D399" s="431"/>
      <c r="E399" s="417"/>
      <c r="F399" s="432"/>
      <c r="G399" s="417" t="s">
        <v>202</v>
      </c>
      <c r="H399" s="301"/>
      <c r="I399" s="2" t="s">
        <v>203</v>
      </c>
    </row>
    <row r="400">
      <c r="A400" s="299"/>
      <c r="B400" s="278"/>
      <c r="C400" s="248"/>
      <c r="D400" s="295"/>
      <c r="F400" s="418"/>
      <c r="G400" s="2" t="s">
        <v>204</v>
      </c>
      <c r="H400" s="301"/>
    </row>
    <row r="401">
      <c r="A401" s="303"/>
      <c r="B401" s="278"/>
      <c r="C401" s="252"/>
      <c r="D401" s="249"/>
      <c r="F401" s="418"/>
      <c r="G401" s="2" t="s">
        <v>205</v>
      </c>
      <c r="H401" s="301"/>
    </row>
    <row r="402">
      <c r="A402" s="303"/>
      <c r="B402" s="268"/>
      <c r="C402" s="252"/>
      <c r="D402" s="249"/>
      <c r="F402" s="418"/>
      <c r="G402" s="2" t="s">
        <v>735</v>
      </c>
      <c r="H402" s="301"/>
    </row>
    <row r="403">
      <c r="A403" s="303"/>
      <c r="B403" s="247"/>
      <c r="C403" s="252"/>
      <c r="D403" s="249"/>
      <c r="F403" s="418"/>
      <c r="G403" s="2" t="s">
        <v>206</v>
      </c>
      <c r="H403" s="294"/>
      <c r="I403" s="2" t="s">
        <v>203</v>
      </c>
    </row>
    <row r="404">
      <c r="A404" s="303"/>
      <c r="B404" s="268"/>
      <c r="C404" s="252"/>
      <c r="D404" s="300">
        <v>142499.15</v>
      </c>
      <c r="F404" s="465"/>
      <c r="G404" s="2" t="s">
        <v>209</v>
      </c>
      <c r="H404" s="294"/>
      <c r="I404" s="2" t="s">
        <v>1273</v>
      </c>
    </row>
    <row r="405">
      <c r="A405" s="303"/>
      <c r="B405" s="247"/>
      <c r="C405" s="252"/>
      <c r="D405" s="249"/>
      <c r="F405" s="418"/>
      <c r="H405" s="294"/>
    </row>
    <row r="406">
      <c r="A406" s="303"/>
      <c r="B406" s="268"/>
      <c r="C406" s="252"/>
      <c r="D406" s="249"/>
      <c r="F406" s="418"/>
      <c r="H406" s="294"/>
    </row>
    <row r="407">
      <c r="A407" s="303"/>
      <c r="B407" s="268"/>
      <c r="C407" s="252"/>
      <c r="D407" s="249">
        <v>200000.0</v>
      </c>
      <c r="F407" s="418"/>
      <c r="G407" s="2" t="s">
        <v>1217</v>
      </c>
      <c r="H407" s="294">
        <v>45572.0</v>
      </c>
    </row>
    <row r="408">
      <c r="A408" s="303"/>
      <c r="B408" s="247"/>
      <c r="C408" s="252"/>
      <c r="D408" s="331"/>
      <c r="F408" s="458"/>
      <c r="G408" s="2" t="s">
        <v>667</v>
      </c>
      <c r="H408" s="294"/>
    </row>
    <row r="409">
      <c r="A409" s="304"/>
      <c r="B409" s="268"/>
      <c r="C409" s="252"/>
      <c r="D409" s="249"/>
      <c r="F409" s="465"/>
      <c r="H409" s="294"/>
    </row>
    <row r="410">
      <c r="A410" s="305"/>
      <c r="B410" s="406">
        <f>SUM(B384:B409)</f>
        <v>53552.33</v>
      </c>
      <c r="C410" s="272"/>
      <c r="D410" s="392">
        <f>SUM(D384:D409)</f>
        <v>2108448.72</v>
      </c>
      <c r="E410" s="18"/>
      <c r="F410" s="466">
        <f>SUM(F384:F409)</f>
        <v>363000</v>
      </c>
      <c r="G410" s="18"/>
      <c r="H410" s="261"/>
    </row>
    <row r="411">
      <c r="A411" s="265"/>
      <c r="B411" s="306"/>
      <c r="C411" s="240"/>
      <c r="D411" s="241"/>
      <c r="E411" s="242"/>
      <c r="F411" s="423"/>
      <c r="G411" s="244"/>
      <c r="H411" s="307"/>
    </row>
    <row r="412">
      <c r="A412" s="265"/>
      <c r="B412" s="268"/>
      <c r="C412" s="252"/>
      <c r="D412" s="253"/>
      <c r="F412" s="418"/>
      <c r="H412" s="251"/>
    </row>
    <row r="413">
      <c r="A413" s="265"/>
      <c r="B413" s="268"/>
      <c r="C413" s="252"/>
      <c r="D413" s="253"/>
      <c r="F413" s="418"/>
      <c r="H413" s="251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65"/>
      <c r="B418" s="268"/>
      <c r="C418" s="252"/>
      <c r="D418" s="253"/>
      <c r="F418" s="418"/>
      <c r="H418" s="251"/>
    </row>
    <row r="419">
      <c r="A419" s="270"/>
      <c r="B419" s="268"/>
      <c r="C419" s="252"/>
      <c r="D419" s="253"/>
      <c r="F419" s="418"/>
      <c r="H419" s="251"/>
    </row>
    <row r="420">
      <c r="A420" s="305"/>
      <c r="B420" s="271"/>
      <c r="C420" s="272"/>
      <c r="D420" s="273"/>
      <c r="E420" s="18"/>
      <c r="F420" s="456"/>
      <c r="G420" s="18"/>
      <c r="H420" s="261"/>
    </row>
    <row r="421">
      <c r="A421" s="265"/>
      <c r="B421" s="306"/>
      <c r="C421" s="240"/>
      <c r="D421" s="241"/>
      <c r="E421" s="242"/>
      <c r="F421" s="423"/>
      <c r="G421" s="244"/>
      <c r="H421" s="307"/>
    </row>
    <row r="422">
      <c r="A422" s="265"/>
      <c r="B422" s="268"/>
      <c r="C422" s="252"/>
      <c r="D422" s="253"/>
      <c r="F422" s="418"/>
      <c r="H422" s="251"/>
    </row>
    <row r="423">
      <c r="A423" s="265"/>
      <c r="B423" s="268"/>
      <c r="C423" s="252"/>
      <c r="D423" s="253"/>
      <c r="F423" s="418"/>
      <c r="H423" s="251"/>
    </row>
    <row r="424">
      <c r="A424" s="265"/>
      <c r="B424" s="268"/>
      <c r="C424" s="252"/>
      <c r="D424" s="253"/>
      <c r="F424" s="418"/>
      <c r="H424" s="251"/>
    </row>
    <row r="425">
      <c r="A425" s="265"/>
      <c r="B425" s="268"/>
      <c r="C425" s="252"/>
      <c r="D425" s="253"/>
      <c r="F425" s="418"/>
      <c r="H425" s="251"/>
    </row>
    <row r="426">
      <c r="A426" s="265"/>
      <c r="B426" s="268"/>
      <c r="C426" s="252"/>
      <c r="D426" s="253"/>
      <c r="F426" s="418"/>
      <c r="H426" s="251"/>
    </row>
    <row r="427">
      <c r="A427" s="265"/>
      <c r="B427" s="268"/>
      <c r="C427" s="252"/>
      <c r="D427" s="253"/>
      <c r="F427" s="418"/>
      <c r="H427" s="251"/>
    </row>
    <row r="428">
      <c r="A428" s="265"/>
      <c r="B428" s="268"/>
      <c r="C428" s="252"/>
      <c r="D428" s="253"/>
      <c r="F428" s="418"/>
      <c r="H428" s="251"/>
    </row>
    <row r="429">
      <c r="A429" s="270"/>
      <c r="B429" s="268"/>
      <c r="C429" s="252"/>
      <c r="D429" s="253"/>
      <c r="F429" s="418"/>
      <c r="H429" s="251"/>
    </row>
    <row r="430">
      <c r="B430" s="271"/>
      <c r="C430" s="272"/>
      <c r="D430" s="273"/>
      <c r="E430" s="18"/>
      <c r="F430" s="456"/>
      <c r="G430" s="18"/>
      <c r="H430" s="261"/>
    </row>
    <row r="431">
      <c r="B431" s="306"/>
      <c r="C431" s="240"/>
      <c r="D431" s="241"/>
      <c r="E431" s="242"/>
      <c r="F431" s="423"/>
      <c r="G431" s="244"/>
      <c r="H431" s="307"/>
    </row>
    <row r="432">
      <c r="B432" s="268"/>
      <c r="C432" s="252"/>
      <c r="D432" s="253"/>
      <c r="F432" s="418"/>
      <c r="H432" s="251"/>
    </row>
    <row r="433">
      <c r="B433" s="268"/>
      <c r="C433" s="252"/>
      <c r="D433" s="253"/>
      <c r="F433" s="418"/>
      <c r="H433" s="251"/>
    </row>
    <row r="434">
      <c r="B434" s="308"/>
      <c r="C434" s="252"/>
      <c r="D434" s="253"/>
      <c r="F434" s="467"/>
      <c r="H434" s="302"/>
    </row>
    <row r="435">
      <c r="B435" s="308"/>
      <c r="C435" s="252"/>
      <c r="D435" s="253"/>
      <c r="F435" s="467"/>
      <c r="H435" s="302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  <row r="739">
      <c r="B739" s="308"/>
      <c r="C739" s="252"/>
      <c r="D739" s="253"/>
      <c r="F739" s="467"/>
      <c r="H739" s="302"/>
    </row>
  </sheetData>
  <mergeCells count="30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2"/>
    <mergeCell ref="A143:A157"/>
    <mergeCell ref="A158:A173"/>
    <mergeCell ref="A174:A188"/>
    <mergeCell ref="A189:A200"/>
    <mergeCell ref="A201:A215"/>
    <mergeCell ref="A216:A229"/>
    <mergeCell ref="A230:A244"/>
    <mergeCell ref="A245:A257"/>
    <mergeCell ref="A258:A273"/>
    <mergeCell ref="A274:A288"/>
    <mergeCell ref="A289:A303"/>
    <mergeCell ref="A410:A419"/>
    <mergeCell ref="A420:A429"/>
    <mergeCell ref="A304:A317"/>
    <mergeCell ref="A318:A335"/>
    <mergeCell ref="A336:A347"/>
    <mergeCell ref="A348:A358"/>
    <mergeCell ref="A360:A370"/>
    <mergeCell ref="A371:A381"/>
    <mergeCell ref="A384:A3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2.5"/>
    <col customWidth="1" min="8" max="8" width="10.13"/>
    <col customWidth="1" min="9" max="9" width="21.25"/>
  </cols>
  <sheetData>
    <row r="1" ht="27.0" customHeight="1">
      <c r="A1" s="407" t="s">
        <v>1385</v>
      </c>
      <c r="B1" s="408" t="s">
        <v>52</v>
      </c>
      <c r="C1" s="409" t="s">
        <v>53</v>
      </c>
      <c r="D1" s="410" t="s">
        <v>54</v>
      </c>
      <c r="E1" s="411"/>
      <c r="F1" s="453" t="s">
        <v>529</v>
      </c>
      <c r="G1" s="411"/>
      <c r="H1" s="413" t="s">
        <v>57</v>
      </c>
    </row>
    <row r="2">
      <c r="A2" s="262" t="s">
        <v>1480</v>
      </c>
      <c r="B2" s="425"/>
      <c r="C2" s="426"/>
      <c r="D2" s="401"/>
      <c r="E2" s="402"/>
      <c r="F2" s="403"/>
      <c r="G2" s="436"/>
      <c r="H2" s="245">
        <v>290.0</v>
      </c>
      <c r="I2" s="2"/>
    </row>
    <row r="3">
      <c r="A3" s="265"/>
      <c r="B3" s="510"/>
      <c r="C3" s="427"/>
      <c r="D3" s="414"/>
      <c r="E3" s="417"/>
      <c r="F3" s="418"/>
      <c r="G3" s="417"/>
      <c r="H3" s="267"/>
    </row>
    <row r="4">
      <c r="A4" s="265"/>
      <c r="B4" s="404"/>
      <c r="C4" s="405"/>
      <c r="D4" s="399"/>
      <c r="E4" s="398"/>
      <c r="F4" s="284"/>
      <c r="G4" s="285"/>
      <c r="H4" s="251"/>
    </row>
    <row r="5">
      <c r="A5" s="265"/>
      <c r="B5" s="404"/>
      <c r="C5" s="405"/>
      <c r="D5" s="399"/>
      <c r="E5" s="398"/>
      <c r="F5" s="284"/>
      <c r="G5" s="285"/>
      <c r="H5" s="251"/>
    </row>
    <row r="6">
      <c r="A6" s="265"/>
      <c r="B6" s="404"/>
      <c r="C6" s="424"/>
      <c r="D6" s="399"/>
      <c r="E6" s="398"/>
      <c r="F6" s="284"/>
      <c r="G6" s="285"/>
      <c r="H6" s="251"/>
    </row>
    <row r="7">
      <c r="A7" s="265"/>
      <c r="B7" s="404"/>
      <c r="C7" s="405"/>
      <c r="D7" s="469"/>
      <c r="E7" s="442"/>
      <c r="F7" s="284"/>
      <c r="G7" s="285"/>
      <c r="H7" s="267"/>
    </row>
    <row r="8">
      <c r="A8" s="265"/>
      <c r="B8" s="404"/>
      <c r="C8" s="405"/>
      <c r="D8" s="399"/>
      <c r="E8" s="442"/>
      <c r="F8" s="284"/>
      <c r="G8" s="285"/>
      <c r="H8" s="251"/>
    </row>
    <row r="9">
      <c r="A9" s="265"/>
      <c r="B9" s="404"/>
      <c r="C9" s="424"/>
      <c r="D9" s="399"/>
      <c r="E9" s="442"/>
      <c r="F9" s="284"/>
      <c r="G9" s="285"/>
      <c r="H9" s="251"/>
    </row>
    <row r="10">
      <c r="A10" s="265"/>
      <c r="B10" s="404"/>
      <c r="C10" s="405"/>
      <c r="D10" s="400"/>
      <c r="E10" s="442"/>
      <c r="F10" s="284"/>
      <c r="G10" s="285"/>
      <c r="H10" s="251"/>
    </row>
    <row r="11">
      <c r="A11" s="265"/>
      <c r="B11" s="440"/>
      <c r="C11" s="424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70"/>
      <c r="B15" s="470"/>
      <c r="C15" s="471"/>
      <c r="D15" s="472"/>
      <c r="E15" s="473"/>
      <c r="F15" s="474"/>
      <c r="G15" s="475"/>
      <c r="H15" s="261"/>
    </row>
    <row r="16">
      <c r="A16" s="262"/>
      <c r="B16" s="440">
        <f>110000-6500</f>
        <v>103500</v>
      </c>
      <c r="C16" s="405"/>
      <c r="D16" s="399"/>
      <c r="E16" s="398" t="s">
        <v>328</v>
      </c>
      <c r="F16" s="284"/>
      <c r="G16" s="285" t="s">
        <v>1481</v>
      </c>
      <c r="H16" s="267">
        <v>35000.0</v>
      </c>
      <c r="I16" s="2" t="s">
        <v>1482</v>
      </c>
    </row>
    <row r="17">
      <c r="A17" s="280"/>
      <c r="B17" s="440"/>
      <c r="C17" s="405">
        <v>112152.46</v>
      </c>
      <c r="D17" s="399"/>
      <c r="E17" s="442"/>
      <c r="F17" s="284"/>
      <c r="G17" s="398" t="s">
        <v>84</v>
      </c>
      <c r="H17" s="267">
        <v>320.0</v>
      </c>
    </row>
    <row r="18">
      <c r="A18" s="280" t="s">
        <v>1483</v>
      </c>
      <c r="B18" s="404">
        <v>41243.36</v>
      </c>
      <c r="C18" s="405"/>
      <c r="D18" s="476"/>
      <c r="E18" s="398"/>
      <c r="F18" s="284"/>
      <c r="G18" s="285" t="s">
        <v>82</v>
      </c>
      <c r="H18" s="251"/>
    </row>
    <row r="19">
      <c r="A19" s="265"/>
      <c r="B19" s="404">
        <v>38800.0</v>
      </c>
      <c r="C19" s="405"/>
      <c r="D19" s="399"/>
      <c r="E19" s="398"/>
      <c r="F19" s="284"/>
      <c r="G19" s="285" t="s">
        <v>1264</v>
      </c>
      <c r="H19" s="251"/>
    </row>
    <row r="20">
      <c r="A20" s="265"/>
      <c r="B20" s="404">
        <v>155549.99</v>
      </c>
      <c r="C20" s="405"/>
      <c r="D20" s="399"/>
      <c r="E20" s="398"/>
      <c r="F20" s="284"/>
      <c r="G20" s="285" t="s">
        <v>1484</v>
      </c>
      <c r="H20" s="251"/>
    </row>
    <row r="21">
      <c r="A21" s="265"/>
      <c r="B21" s="419"/>
      <c r="C21" s="427"/>
      <c r="D21" s="414"/>
      <c r="E21" s="417"/>
      <c r="F21" s="284">
        <v>2000.0</v>
      </c>
      <c r="G21" s="285" t="s">
        <v>260</v>
      </c>
      <c r="H21" s="511"/>
    </row>
    <row r="22">
      <c r="A22" s="265"/>
      <c r="B22" s="404"/>
      <c r="C22" s="405"/>
      <c r="D22" s="399">
        <v>388470.5</v>
      </c>
      <c r="E22" s="398" t="s">
        <v>328</v>
      </c>
      <c r="F22" s="284"/>
      <c r="G22" s="285" t="s">
        <v>877</v>
      </c>
      <c r="H22" s="267"/>
    </row>
    <row r="23">
      <c r="A23" s="265"/>
      <c r="B23" s="404"/>
      <c r="C23" s="424"/>
      <c r="D23" s="399">
        <v>37964.2</v>
      </c>
      <c r="E23" s="442"/>
      <c r="F23" s="284"/>
      <c r="G23" s="285" t="s">
        <v>479</v>
      </c>
      <c r="H23" s="251"/>
    </row>
    <row r="24">
      <c r="A24" s="265"/>
      <c r="B24" s="404">
        <v>32500.0</v>
      </c>
      <c r="C24" s="405"/>
      <c r="D24" s="400"/>
      <c r="E24" s="442"/>
      <c r="F24" s="284"/>
      <c r="G24" s="285" t="s">
        <v>1485</v>
      </c>
      <c r="H24" s="251"/>
    </row>
    <row r="25">
      <c r="A25" s="265"/>
      <c r="B25" s="404">
        <v>12667.0</v>
      </c>
      <c r="C25" s="405"/>
      <c r="D25" s="400"/>
      <c r="E25" s="442"/>
      <c r="F25" s="284"/>
      <c r="G25" s="285" t="s">
        <v>267</v>
      </c>
      <c r="H25" s="251"/>
    </row>
    <row r="26">
      <c r="A26" s="265"/>
      <c r="B26" s="404">
        <v>27100.0</v>
      </c>
      <c r="C26" s="424"/>
      <c r="D26" s="400"/>
      <c r="E26" s="442"/>
      <c r="F26" s="284"/>
      <c r="G26" s="285" t="s">
        <v>426</v>
      </c>
      <c r="H26" s="251"/>
    </row>
    <row r="27">
      <c r="A27" s="270"/>
      <c r="B27" s="478"/>
      <c r="C27" s="471"/>
      <c r="D27" s="472"/>
      <c r="E27" s="473"/>
      <c r="F27" s="460"/>
      <c r="G27" s="475"/>
      <c r="H27" s="261"/>
    </row>
    <row r="28">
      <c r="A28" s="262" t="s">
        <v>1486</v>
      </c>
      <c r="B28" s="425">
        <v>8000.0</v>
      </c>
      <c r="C28" s="426"/>
      <c r="D28" s="401"/>
      <c r="E28" s="402"/>
      <c r="F28" s="284"/>
      <c r="G28" s="285" t="s">
        <v>85</v>
      </c>
      <c r="H28" s="245">
        <v>250.0</v>
      </c>
    </row>
    <row r="29">
      <c r="A29" s="265"/>
      <c r="B29" s="404">
        <v>47600.0</v>
      </c>
      <c r="C29" s="405"/>
      <c r="D29" s="399"/>
      <c r="E29" s="398"/>
      <c r="F29" s="284"/>
      <c r="G29" s="285" t="s">
        <v>863</v>
      </c>
      <c r="H29" s="267"/>
    </row>
    <row r="30">
      <c r="A30" s="265"/>
      <c r="B30" s="479"/>
      <c r="C30" s="405"/>
      <c r="D30" s="399"/>
      <c r="E30" s="398"/>
      <c r="F30" s="284"/>
      <c r="G30" s="285"/>
      <c r="H30" s="251"/>
    </row>
    <row r="31">
      <c r="A31" s="265"/>
      <c r="B31" s="479"/>
      <c r="C31" s="405"/>
      <c r="D31" s="399"/>
      <c r="E31" s="398"/>
      <c r="F31" s="284"/>
      <c r="G31" s="285"/>
      <c r="H31" s="267"/>
    </row>
    <row r="32">
      <c r="A32" s="265"/>
      <c r="B32" s="404"/>
      <c r="C32" s="405"/>
      <c r="D32" s="399"/>
      <c r="E32" s="398"/>
      <c r="F32" s="284"/>
      <c r="G32" s="285"/>
      <c r="H32" s="251"/>
    </row>
    <row r="33">
      <c r="A33" s="265"/>
      <c r="B33" s="404"/>
      <c r="C33" s="405"/>
      <c r="D33" s="399"/>
      <c r="E33" s="442"/>
      <c r="F33" s="284"/>
      <c r="G33" s="285"/>
      <c r="H33" s="251"/>
    </row>
    <row r="34">
      <c r="A34" s="265"/>
      <c r="B34" s="404"/>
      <c r="C34" s="424"/>
      <c r="D34" s="399"/>
      <c r="E34" s="442"/>
      <c r="F34" s="284"/>
      <c r="G34" s="285"/>
      <c r="H34" s="251"/>
    </row>
    <row r="35">
      <c r="A35" s="265"/>
      <c r="B35" s="404"/>
      <c r="C35" s="424"/>
      <c r="D35" s="400"/>
      <c r="E35" s="442"/>
      <c r="F35" s="284"/>
      <c r="G35" s="285"/>
      <c r="H35" s="251"/>
    </row>
    <row r="36">
      <c r="A36" s="265"/>
      <c r="B36" s="404"/>
      <c r="C36" s="405"/>
      <c r="D36" s="400"/>
      <c r="E36" s="442"/>
      <c r="F36" s="284"/>
      <c r="G36" s="285"/>
      <c r="H36" s="251"/>
    </row>
    <row r="37">
      <c r="A37" s="265"/>
      <c r="B37" s="404"/>
      <c r="C37" s="405"/>
      <c r="D37" s="399"/>
      <c r="E37" s="442"/>
      <c r="F37" s="284"/>
      <c r="G37" s="442"/>
      <c r="H37" s="251"/>
    </row>
    <row r="38">
      <c r="A38" s="265"/>
      <c r="B38" s="404"/>
      <c r="C38" s="405"/>
      <c r="D38" s="399"/>
      <c r="E38" s="442"/>
      <c r="F38" s="284"/>
      <c r="G38" s="285"/>
      <c r="H38" s="251"/>
    </row>
    <row r="39">
      <c r="A39" s="265"/>
      <c r="B39" s="477"/>
      <c r="C39" s="405"/>
      <c r="D39" s="399"/>
      <c r="E39" s="442"/>
      <c r="F39" s="284"/>
      <c r="G39" s="285"/>
      <c r="H39" s="251"/>
    </row>
    <row r="40">
      <c r="A40" s="265"/>
      <c r="B40" s="480"/>
      <c r="C40" s="424"/>
      <c r="D40" s="400"/>
      <c r="E40" s="442"/>
      <c r="F40" s="284"/>
      <c r="G40" s="481"/>
      <c r="H40" s="251"/>
    </row>
    <row r="41">
      <c r="A41" s="270"/>
      <c r="B41" s="478"/>
      <c r="C41" s="471"/>
      <c r="D41" s="472"/>
      <c r="E41" s="473"/>
      <c r="F41" s="460"/>
      <c r="G41" s="482"/>
      <c r="H41" s="261"/>
    </row>
    <row r="42">
      <c r="A42" s="262" t="s">
        <v>1487</v>
      </c>
      <c r="B42" s="425">
        <v>123500.0</v>
      </c>
      <c r="C42" s="426"/>
      <c r="D42" s="401"/>
      <c r="E42" s="402" t="s">
        <v>328</v>
      </c>
      <c r="F42" s="403"/>
      <c r="G42" s="436" t="s">
        <v>75</v>
      </c>
      <c r="H42" s="245">
        <v>180.0</v>
      </c>
    </row>
    <row r="43">
      <c r="A43" s="265"/>
      <c r="B43" s="404"/>
      <c r="C43" s="405"/>
      <c r="D43" s="399"/>
      <c r="E43" s="398"/>
      <c r="F43" s="284">
        <v>2990.0</v>
      </c>
      <c r="G43" s="285" t="s">
        <v>1488</v>
      </c>
      <c r="H43" s="267"/>
      <c r="I43" s="2" t="s">
        <v>1489</v>
      </c>
    </row>
    <row r="44">
      <c r="A44" s="265"/>
      <c r="B44" s="433">
        <v>53239.86</v>
      </c>
      <c r="C44" s="405"/>
      <c r="D44" s="399"/>
      <c r="E44" s="398"/>
      <c r="F44" s="284"/>
      <c r="G44" s="285" t="s">
        <v>82</v>
      </c>
      <c r="H44" s="310"/>
      <c r="I44" s="2" t="s">
        <v>1490</v>
      </c>
    </row>
    <row r="45">
      <c r="A45" s="265"/>
      <c r="B45" s="404"/>
      <c r="C45" s="405">
        <v>214168.6</v>
      </c>
      <c r="D45" s="399"/>
      <c r="E45" s="398"/>
      <c r="F45" s="284"/>
      <c r="G45" s="285" t="s">
        <v>89</v>
      </c>
      <c r="H45" s="251"/>
    </row>
    <row r="46">
      <c r="A46" s="265"/>
      <c r="B46" s="404">
        <v>46800.0</v>
      </c>
      <c r="C46" s="405"/>
      <c r="D46" s="399"/>
      <c r="E46" s="398"/>
      <c r="F46" s="284"/>
      <c r="G46" s="285" t="s">
        <v>76</v>
      </c>
      <c r="H46" s="251"/>
    </row>
    <row r="47">
      <c r="A47" s="265"/>
      <c r="B47" s="404">
        <v>51356.66</v>
      </c>
      <c r="C47" s="405"/>
      <c r="D47" s="399"/>
      <c r="E47" s="398"/>
      <c r="F47" s="284"/>
      <c r="G47" s="285" t="s">
        <v>142</v>
      </c>
      <c r="H47" s="251"/>
    </row>
    <row r="48">
      <c r="A48" s="265"/>
      <c r="B48" s="479">
        <v>5268.0</v>
      </c>
      <c r="C48" s="405"/>
      <c r="D48" s="399"/>
      <c r="E48" s="398"/>
      <c r="F48" s="284"/>
      <c r="G48" s="285" t="s">
        <v>102</v>
      </c>
      <c r="H48" s="251"/>
    </row>
    <row r="49">
      <c r="A49" s="265"/>
      <c r="B49" s="404">
        <v>100000.0</v>
      </c>
      <c r="C49" s="424"/>
      <c r="D49" s="400"/>
      <c r="E49" s="442"/>
      <c r="F49" s="284"/>
      <c r="G49" s="285" t="s">
        <v>1350</v>
      </c>
      <c r="H49" s="251"/>
    </row>
    <row r="50">
      <c r="A50" s="265"/>
      <c r="B50" s="404"/>
      <c r="C50" s="424"/>
      <c r="D50" s="399"/>
      <c r="E50" s="442"/>
      <c r="F50" s="284">
        <v>3400.0</v>
      </c>
      <c r="G50" s="285" t="s">
        <v>1111</v>
      </c>
      <c r="H50" s="251"/>
    </row>
    <row r="51">
      <c r="A51" s="265"/>
      <c r="B51" s="440"/>
      <c r="C51" s="424"/>
      <c r="D51" s="400"/>
      <c r="E51" s="442"/>
      <c r="F51" s="284"/>
      <c r="G51" s="285"/>
      <c r="H51" s="251"/>
    </row>
    <row r="52">
      <c r="A52" s="265"/>
      <c r="B52" s="440"/>
      <c r="C52" s="424"/>
      <c r="D52" s="400"/>
      <c r="E52" s="442"/>
      <c r="F52" s="284"/>
      <c r="G52" s="285"/>
      <c r="H52" s="251"/>
    </row>
    <row r="53">
      <c r="A53" s="270"/>
      <c r="B53" s="478"/>
      <c r="C53" s="471"/>
      <c r="D53" s="472"/>
      <c r="E53" s="473"/>
      <c r="F53" s="474"/>
      <c r="G53" s="482"/>
      <c r="H53" s="261"/>
    </row>
    <row r="54">
      <c r="A54" s="262" t="s">
        <v>1491</v>
      </c>
      <c r="B54" s="425">
        <v>23925.0</v>
      </c>
      <c r="C54" s="426"/>
      <c r="D54" s="401"/>
      <c r="E54" s="402"/>
      <c r="F54" s="403"/>
      <c r="G54" s="436" t="s">
        <v>291</v>
      </c>
      <c r="H54" s="245">
        <v>250.0</v>
      </c>
      <c r="I54" s="2" t="s">
        <v>1352</v>
      </c>
    </row>
    <row r="55">
      <c r="A55" s="265"/>
      <c r="B55" s="404">
        <v>57000.0</v>
      </c>
      <c r="C55" s="405"/>
      <c r="D55" s="399"/>
      <c r="E55" s="398"/>
      <c r="F55" s="284"/>
      <c r="G55" s="285" t="s">
        <v>68</v>
      </c>
      <c r="H55" s="267"/>
      <c r="I55" s="2"/>
    </row>
    <row r="56">
      <c r="A56" s="265"/>
      <c r="B56" s="404"/>
      <c r="C56" s="405"/>
      <c r="D56" s="399">
        <v>262565.34</v>
      </c>
      <c r="E56" s="398" t="s">
        <v>328</v>
      </c>
      <c r="F56" s="284"/>
      <c r="G56" s="285" t="s">
        <v>114</v>
      </c>
      <c r="H56" s="267"/>
    </row>
    <row r="57">
      <c r="A57" s="265"/>
      <c r="B57" s="404"/>
      <c r="C57" s="405"/>
      <c r="D57" s="399"/>
      <c r="E57" s="398"/>
      <c r="F57" s="284"/>
      <c r="G57" s="285"/>
      <c r="H57" s="251"/>
    </row>
    <row r="58">
      <c r="A58" s="265"/>
      <c r="B58" s="457"/>
      <c r="C58" s="405"/>
      <c r="D58" s="399"/>
      <c r="E58" s="398"/>
      <c r="F58" s="284"/>
      <c r="G58" s="285"/>
      <c r="H58" s="251"/>
    </row>
    <row r="59">
      <c r="A59" s="265"/>
      <c r="B59" s="468"/>
      <c r="C59" s="405"/>
      <c r="D59" s="399"/>
      <c r="E59" s="398"/>
      <c r="F59" s="483"/>
      <c r="G59" s="285"/>
      <c r="H59" s="251"/>
    </row>
    <row r="60">
      <c r="A60" s="265"/>
      <c r="B60" s="468"/>
      <c r="C60" s="405"/>
      <c r="D60" s="399"/>
      <c r="E60" s="442"/>
      <c r="F60" s="284"/>
      <c r="G60" s="285"/>
      <c r="H60" s="267">
        <v>70.0</v>
      </c>
      <c r="I60" s="2" t="s">
        <v>1342</v>
      </c>
    </row>
    <row r="61">
      <c r="A61" s="265"/>
      <c r="B61" s="404"/>
      <c r="C61" s="424"/>
      <c r="D61" s="399"/>
      <c r="E61" s="398"/>
      <c r="F61" s="284"/>
      <c r="G61" s="285"/>
      <c r="H61" s="251"/>
    </row>
    <row r="62">
      <c r="A62" s="265"/>
      <c r="B62" s="404"/>
      <c r="C62" s="424"/>
      <c r="D62" s="400"/>
      <c r="E62" s="442"/>
      <c r="F62" s="284"/>
      <c r="G62" s="285"/>
      <c r="H62" s="251"/>
    </row>
    <row r="63">
      <c r="A63" s="265"/>
      <c r="B63" s="404"/>
      <c r="C63" s="424"/>
      <c r="D63" s="399"/>
      <c r="E63" s="442"/>
      <c r="F63" s="284"/>
      <c r="G63" s="285"/>
      <c r="H63" s="251"/>
    </row>
    <row r="64">
      <c r="A64" s="265"/>
      <c r="B64" s="477"/>
      <c r="C64" s="424"/>
      <c r="D64" s="400"/>
      <c r="E64" s="442"/>
      <c r="F64" s="284"/>
      <c r="G64" s="481"/>
      <c r="H64" s="251"/>
    </row>
    <row r="65">
      <c r="A65" s="265"/>
      <c r="B65" s="404"/>
      <c r="C65" s="424"/>
      <c r="D65" s="400"/>
      <c r="E65" s="442"/>
      <c r="F65" s="284"/>
      <c r="G65" s="481"/>
      <c r="H65" s="251"/>
    </row>
    <row r="66">
      <c r="A66" s="265"/>
      <c r="B66" s="440"/>
      <c r="C66" s="424"/>
      <c r="D66" s="400"/>
      <c r="E66" s="442"/>
      <c r="F66" s="463"/>
      <c r="G66" s="481"/>
      <c r="H66" s="251"/>
    </row>
    <row r="67">
      <c r="A67" s="265"/>
      <c r="B67" s="480"/>
      <c r="C67" s="405"/>
      <c r="D67" s="400"/>
      <c r="E67" s="442"/>
      <c r="F67" s="463"/>
      <c r="G67" s="481"/>
      <c r="H67" s="251"/>
    </row>
    <row r="68">
      <c r="A68" s="265"/>
      <c r="B68" s="480"/>
      <c r="C68" s="424"/>
      <c r="D68" s="400"/>
      <c r="E68" s="442"/>
      <c r="F68" s="284"/>
      <c r="G68" s="481"/>
      <c r="H68" s="251"/>
    </row>
    <row r="69">
      <c r="A69" s="270"/>
      <c r="B69" s="478"/>
      <c r="C69" s="471"/>
      <c r="D69" s="472"/>
      <c r="E69" s="473"/>
      <c r="F69" s="474"/>
      <c r="G69" s="475"/>
      <c r="H69" s="261"/>
    </row>
    <row r="70">
      <c r="A70" s="262" t="s">
        <v>1492</v>
      </c>
      <c r="B70" s="425">
        <f>71000-4000</f>
        <v>67000</v>
      </c>
      <c r="C70" s="426"/>
      <c r="D70" s="401"/>
      <c r="E70" s="402" t="s">
        <v>328</v>
      </c>
      <c r="F70" s="284"/>
      <c r="G70" s="436" t="s">
        <v>1493</v>
      </c>
      <c r="H70" s="286">
        <v>220.0</v>
      </c>
    </row>
    <row r="71">
      <c r="A71" s="265"/>
      <c r="B71" s="404"/>
      <c r="C71" s="405"/>
      <c r="D71" s="399"/>
      <c r="E71" s="442"/>
      <c r="F71" s="284">
        <v>3129.0</v>
      </c>
      <c r="G71" s="398" t="s">
        <v>122</v>
      </c>
      <c r="H71" s="82"/>
      <c r="I71" s="2"/>
    </row>
    <row r="72">
      <c r="A72" s="265"/>
      <c r="B72" s="404">
        <v>62587.2</v>
      </c>
      <c r="C72" s="405"/>
      <c r="D72" s="399"/>
      <c r="E72" s="398"/>
      <c r="F72" s="284"/>
      <c r="G72" s="285" t="s">
        <v>82</v>
      </c>
      <c r="H72" s="82"/>
    </row>
    <row r="73">
      <c r="A73" s="265"/>
      <c r="B73" s="404">
        <v>57000.0</v>
      </c>
      <c r="C73" s="405"/>
      <c r="D73" s="399"/>
      <c r="E73" s="398" t="s">
        <v>328</v>
      </c>
      <c r="F73" s="284"/>
      <c r="G73" s="285" t="s">
        <v>68</v>
      </c>
      <c r="H73" s="302"/>
      <c r="I73" s="2"/>
      <c r="J73" s="2"/>
      <c r="K73" s="2"/>
    </row>
    <row r="74">
      <c r="A74" s="265"/>
      <c r="B74" s="484"/>
      <c r="C74" s="485">
        <v>152462.78</v>
      </c>
      <c r="D74" s="449"/>
      <c r="E74" s="450"/>
      <c r="F74" s="451"/>
      <c r="G74" s="435" t="s">
        <v>71</v>
      </c>
      <c r="H74" s="302"/>
      <c r="I74" s="318"/>
      <c r="J74" s="2"/>
      <c r="K74" s="2"/>
    </row>
    <row r="75">
      <c r="A75" s="265"/>
      <c r="B75" s="404"/>
      <c r="C75" s="405"/>
      <c r="D75" s="399">
        <v>45785.0</v>
      </c>
      <c r="E75" s="442"/>
      <c r="F75" s="284"/>
      <c r="G75" s="285" t="s">
        <v>1494</v>
      </c>
      <c r="H75" s="82"/>
      <c r="I75" s="318"/>
      <c r="J75" s="2"/>
      <c r="K75" s="2"/>
    </row>
    <row r="76">
      <c r="A76" s="265"/>
      <c r="B76" s="404">
        <v>97500.0</v>
      </c>
      <c r="C76" s="424"/>
      <c r="D76" s="399"/>
      <c r="E76" s="442"/>
      <c r="F76" s="284"/>
      <c r="G76" s="285" t="s">
        <v>1495</v>
      </c>
      <c r="H76" s="302"/>
      <c r="I76" s="318"/>
      <c r="J76" s="2"/>
      <c r="K76" s="2"/>
    </row>
    <row r="77">
      <c r="A77" s="265"/>
      <c r="B77" s="404">
        <v>34400.0</v>
      </c>
      <c r="C77" s="424"/>
      <c r="D77" s="400"/>
      <c r="E77" s="442"/>
      <c r="F77" s="284"/>
      <c r="G77" s="285" t="s">
        <v>1496</v>
      </c>
      <c r="H77" s="302"/>
      <c r="I77" s="318"/>
      <c r="J77" s="2"/>
      <c r="K77" s="2"/>
    </row>
    <row r="78">
      <c r="A78" s="265"/>
      <c r="B78" s="404"/>
      <c r="C78" s="405"/>
      <c r="D78" s="400"/>
      <c r="E78" s="442"/>
      <c r="F78" s="284"/>
      <c r="G78" s="285"/>
      <c r="H78" s="302"/>
      <c r="I78" s="2"/>
    </row>
    <row r="79">
      <c r="A79" s="265"/>
      <c r="B79" s="404"/>
      <c r="C79" s="405"/>
      <c r="D79" s="400"/>
      <c r="E79" s="442"/>
      <c r="F79" s="284"/>
      <c r="G79" s="285"/>
      <c r="H79" s="251"/>
      <c r="I79" s="318"/>
    </row>
    <row r="80">
      <c r="A80" s="265"/>
      <c r="B80" s="440"/>
      <c r="C80" s="405"/>
      <c r="D80" s="400"/>
      <c r="E80" s="442"/>
      <c r="F80" s="463"/>
      <c r="G80" s="285"/>
      <c r="H80" s="251"/>
      <c r="I80" s="318"/>
    </row>
    <row r="81">
      <c r="A81" s="265"/>
      <c r="B81" s="440"/>
      <c r="C81" s="424"/>
      <c r="D81" s="400"/>
      <c r="E81" s="442"/>
      <c r="F81" s="284"/>
      <c r="G81" s="285"/>
      <c r="H81" s="251"/>
    </row>
    <row r="82">
      <c r="A82" s="265"/>
      <c r="B82" s="440"/>
      <c r="C82" s="424"/>
      <c r="D82" s="400"/>
      <c r="E82" s="442"/>
      <c r="F82" s="463"/>
      <c r="G82" s="285"/>
      <c r="H82" s="251"/>
    </row>
    <row r="83">
      <c r="A83" s="270"/>
      <c r="B83" s="478"/>
      <c r="C83" s="471"/>
      <c r="D83" s="472"/>
      <c r="E83" s="473"/>
      <c r="F83" s="460"/>
      <c r="G83" s="482"/>
      <c r="H83" s="261"/>
    </row>
    <row r="84">
      <c r="A84" s="262" t="s">
        <v>1497</v>
      </c>
      <c r="B84" s="425"/>
      <c r="C84" s="426"/>
      <c r="D84" s="401"/>
      <c r="E84" s="402"/>
      <c r="F84" s="403">
        <v>765.0</v>
      </c>
      <c r="G84" s="436" t="s">
        <v>1498</v>
      </c>
      <c r="H84" s="245">
        <v>300.0</v>
      </c>
    </row>
    <row r="85">
      <c r="A85" s="265"/>
      <c r="B85" s="404"/>
      <c r="C85" s="405">
        <v>49888.94</v>
      </c>
      <c r="D85" s="399"/>
      <c r="E85" s="398"/>
      <c r="F85" s="284"/>
      <c r="G85" s="285" t="s">
        <v>84</v>
      </c>
      <c r="H85" s="267"/>
    </row>
    <row r="86">
      <c r="A86" s="265"/>
      <c r="B86" s="404">
        <v>132748.51</v>
      </c>
      <c r="C86" s="405"/>
      <c r="D86" s="399"/>
      <c r="E86" s="398"/>
      <c r="F86" s="284"/>
      <c r="G86" s="195" t="s">
        <v>91</v>
      </c>
      <c r="H86" s="267"/>
      <c r="I86" s="2" t="s">
        <v>1499</v>
      </c>
    </row>
    <row r="87">
      <c r="A87" s="265"/>
      <c r="B87" s="404">
        <v>47000.0</v>
      </c>
      <c r="C87" s="405"/>
      <c r="D87" s="399"/>
      <c r="E87" s="398"/>
      <c r="F87" s="284"/>
      <c r="G87" s="285" t="s">
        <v>1500</v>
      </c>
      <c r="H87" s="251"/>
      <c r="I87" s="2" t="s">
        <v>1501</v>
      </c>
    </row>
    <row r="88">
      <c r="A88" s="265"/>
      <c r="B88" s="404"/>
      <c r="C88" s="405"/>
      <c r="D88" s="399">
        <v>218400.0</v>
      </c>
      <c r="E88" s="398" t="s">
        <v>328</v>
      </c>
      <c r="F88" s="284"/>
      <c r="G88" s="285" t="s">
        <v>1502</v>
      </c>
      <c r="H88" s="251"/>
      <c r="I88" s="2">
        <v>43800.0</v>
      </c>
      <c r="J88" s="2" t="s">
        <v>1503</v>
      </c>
    </row>
    <row r="89">
      <c r="A89" s="265"/>
      <c r="B89" s="404"/>
      <c r="C89" s="405"/>
      <c r="D89" s="399"/>
      <c r="E89" s="398"/>
      <c r="F89" s="284"/>
      <c r="G89" s="285"/>
      <c r="H89" s="251"/>
      <c r="I89" s="2">
        <v>4400.0</v>
      </c>
      <c r="J89" s="2" t="s">
        <v>1503</v>
      </c>
    </row>
    <row r="90">
      <c r="A90" s="265"/>
      <c r="B90" s="404"/>
      <c r="C90" s="424"/>
      <c r="D90" s="399"/>
      <c r="E90" s="398"/>
      <c r="F90" s="284"/>
      <c r="G90" s="285"/>
      <c r="H90" s="251"/>
      <c r="I90" s="2">
        <v>36015.0</v>
      </c>
      <c r="J90" s="2" t="s">
        <v>1503</v>
      </c>
    </row>
    <row r="91">
      <c r="A91" s="265"/>
      <c r="B91" s="404"/>
      <c r="C91" s="405"/>
      <c r="D91" s="399"/>
      <c r="E91" s="442"/>
      <c r="F91" s="284"/>
      <c r="G91" s="285"/>
      <c r="H91" s="251"/>
      <c r="I91" s="2" t="s">
        <v>1504</v>
      </c>
    </row>
    <row r="92">
      <c r="A92" s="265"/>
      <c r="B92" s="419"/>
      <c r="C92" s="434"/>
      <c r="D92" s="414"/>
      <c r="E92" s="417"/>
      <c r="F92" s="418"/>
      <c r="G92" s="420"/>
      <c r="H92" s="251"/>
      <c r="J92" s="2" t="s">
        <v>1505</v>
      </c>
    </row>
    <row r="93">
      <c r="A93" s="265"/>
      <c r="B93" s="404"/>
      <c r="C93" s="405"/>
      <c r="D93" s="400"/>
      <c r="E93" s="442"/>
      <c r="F93" s="284"/>
      <c r="G93" s="285"/>
      <c r="H93" s="251"/>
    </row>
    <row r="94">
      <c r="A94" s="265"/>
      <c r="B94" s="477"/>
      <c r="C94" s="424"/>
      <c r="D94" s="400"/>
      <c r="E94" s="442"/>
      <c r="F94" s="284"/>
      <c r="G94" s="285"/>
      <c r="H94" s="251"/>
    </row>
    <row r="95">
      <c r="A95" s="265"/>
      <c r="B95" s="477"/>
      <c r="C95" s="424"/>
      <c r="D95" s="400"/>
      <c r="E95" s="442"/>
      <c r="F95" s="284"/>
      <c r="G95" s="285"/>
      <c r="H95" s="251"/>
    </row>
    <row r="96">
      <c r="A96" s="265"/>
      <c r="B96" s="477"/>
      <c r="C96" s="424"/>
      <c r="D96" s="400"/>
      <c r="E96" s="442"/>
      <c r="F96" s="284"/>
      <c r="G96" s="481"/>
      <c r="H96" s="251"/>
    </row>
    <row r="97">
      <c r="A97" s="265"/>
      <c r="B97" s="477"/>
      <c r="C97" s="424"/>
      <c r="D97" s="400"/>
      <c r="E97" s="442"/>
      <c r="F97" s="284"/>
      <c r="G97" s="481"/>
      <c r="H97" s="251"/>
    </row>
    <row r="98">
      <c r="A98" s="265"/>
      <c r="B98" s="477"/>
      <c r="C98" s="424"/>
      <c r="D98" s="400"/>
      <c r="E98" s="442"/>
      <c r="F98" s="284"/>
      <c r="G98" s="481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70"/>
      <c r="B101" s="478"/>
      <c r="C101" s="471"/>
      <c r="D101" s="472"/>
      <c r="E101" s="473"/>
      <c r="F101" s="460"/>
      <c r="G101" s="482"/>
      <c r="H101" s="261"/>
    </row>
    <row r="102">
      <c r="A102" s="262" t="s">
        <v>1506</v>
      </c>
      <c r="B102" s="425"/>
      <c r="C102" s="426"/>
      <c r="D102" s="401"/>
      <c r="E102" s="402"/>
      <c r="F102" s="403"/>
      <c r="G102" s="436"/>
      <c r="H102" s="245">
        <v>290.0</v>
      </c>
    </row>
    <row r="103">
      <c r="A103" s="265"/>
      <c r="B103" s="404"/>
      <c r="C103" s="405"/>
      <c r="D103" s="399"/>
      <c r="E103" s="398"/>
      <c r="F103" s="284"/>
      <c r="G103" s="285"/>
      <c r="H103" s="267"/>
    </row>
    <row r="104">
      <c r="A104" s="265"/>
      <c r="B104" s="404"/>
      <c r="C104" s="405"/>
      <c r="D104" s="399"/>
      <c r="E104" s="398"/>
      <c r="F104" s="284"/>
      <c r="G104" s="285"/>
      <c r="H104" s="251"/>
    </row>
    <row r="105">
      <c r="A105" s="265"/>
      <c r="B105" s="425">
        <v>68607.0</v>
      </c>
      <c r="C105" s="426"/>
      <c r="D105" s="401"/>
      <c r="E105" s="402" t="s">
        <v>328</v>
      </c>
      <c r="F105" s="403"/>
      <c r="G105" s="436" t="s">
        <v>79</v>
      </c>
      <c r="H105" s="251"/>
      <c r="I105" s="2"/>
    </row>
    <row r="106">
      <c r="A106" s="265"/>
      <c r="B106" s="404">
        <v>126000.0</v>
      </c>
      <c r="C106" s="424"/>
      <c r="D106" s="399"/>
      <c r="E106" s="398" t="s">
        <v>527</v>
      </c>
      <c r="F106" s="284"/>
      <c r="G106" s="285" t="s">
        <v>75</v>
      </c>
      <c r="H106" s="251"/>
    </row>
    <row r="107">
      <c r="A107" s="265"/>
      <c r="B107" s="404">
        <v>67250.0</v>
      </c>
      <c r="C107" s="405"/>
      <c r="D107" s="399"/>
      <c r="E107" s="398"/>
      <c r="F107" s="284"/>
      <c r="G107" s="285" t="s">
        <v>82</v>
      </c>
      <c r="H107" s="251"/>
    </row>
    <row r="108">
      <c r="A108" s="265"/>
      <c r="B108" s="404">
        <v>14651.42</v>
      </c>
      <c r="C108" s="424"/>
      <c r="D108" s="399"/>
      <c r="E108" s="398"/>
      <c r="F108" s="284"/>
      <c r="G108" s="285" t="s">
        <v>73</v>
      </c>
      <c r="H108" s="251"/>
      <c r="I108" s="417"/>
    </row>
    <row r="109">
      <c r="A109" s="265"/>
      <c r="B109" s="404">
        <v>96479.5</v>
      </c>
      <c r="C109" s="405"/>
      <c r="D109" s="399"/>
      <c r="E109" s="398"/>
      <c r="F109" s="284"/>
      <c r="G109" s="285" t="s">
        <v>74</v>
      </c>
      <c r="H109" s="251"/>
    </row>
    <row r="110">
      <c r="A110" s="265"/>
      <c r="B110" s="404"/>
      <c r="C110" s="405"/>
      <c r="D110" s="399">
        <f>186100+14400</f>
        <v>200500</v>
      </c>
      <c r="E110" s="398" t="s">
        <v>328</v>
      </c>
      <c r="F110" s="284"/>
      <c r="G110" s="285" t="s">
        <v>893</v>
      </c>
      <c r="H110" s="251"/>
    </row>
    <row r="111">
      <c r="A111" s="265"/>
      <c r="B111" s="404"/>
      <c r="C111" s="405"/>
      <c r="D111" s="400"/>
      <c r="E111" s="442"/>
      <c r="F111" s="284"/>
      <c r="G111" s="285"/>
      <c r="H111" s="251"/>
    </row>
    <row r="112">
      <c r="A112" s="265"/>
      <c r="B112" s="404"/>
      <c r="C112" s="424"/>
      <c r="D112" s="399"/>
      <c r="E112" s="442"/>
      <c r="F112" s="284"/>
      <c r="G112" s="285"/>
      <c r="H112" s="251"/>
    </row>
    <row r="113">
      <c r="A113" s="265"/>
      <c r="B113" s="440"/>
      <c r="C113" s="424"/>
      <c r="D113" s="400"/>
      <c r="E113" s="442"/>
      <c r="F113" s="284"/>
      <c r="G113" s="285"/>
      <c r="H113" s="251"/>
    </row>
    <row r="114">
      <c r="A114" s="265"/>
      <c r="B114" s="440"/>
      <c r="C114" s="424"/>
      <c r="D114" s="400"/>
      <c r="E114" s="442"/>
      <c r="F114" s="284"/>
      <c r="G114" s="481"/>
      <c r="H114" s="251"/>
    </row>
    <row r="115">
      <c r="A115" s="265"/>
      <c r="B115" s="480"/>
      <c r="C115" s="424"/>
      <c r="D115" s="400"/>
      <c r="E115" s="442"/>
      <c r="F115" s="284"/>
      <c r="G115" s="481"/>
      <c r="H115" s="251"/>
    </row>
    <row r="116">
      <c r="A116" s="270"/>
      <c r="B116" s="478"/>
      <c r="C116" s="471"/>
      <c r="D116" s="472"/>
      <c r="E116" s="473"/>
      <c r="F116" s="460"/>
      <c r="G116" s="482"/>
      <c r="H116" s="261"/>
    </row>
    <row r="117">
      <c r="A117" s="262" t="s">
        <v>1507</v>
      </c>
      <c r="B117" s="425">
        <v>48200.0</v>
      </c>
      <c r="C117" s="426"/>
      <c r="D117" s="401"/>
      <c r="E117" s="402"/>
      <c r="F117" s="403"/>
      <c r="G117" s="436" t="s">
        <v>76</v>
      </c>
      <c r="H117" s="245">
        <v>190.0</v>
      </c>
    </row>
    <row r="118">
      <c r="A118" s="265"/>
      <c r="B118" s="404"/>
      <c r="C118" s="405">
        <v>211504.0</v>
      </c>
      <c r="D118" s="399"/>
      <c r="E118" s="398" t="s">
        <v>328</v>
      </c>
      <c r="F118" s="284"/>
      <c r="G118" s="285" t="s">
        <v>89</v>
      </c>
      <c r="H118" s="251"/>
    </row>
    <row r="119">
      <c r="A119" s="265"/>
      <c r="B119" s="404">
        <v>63990.0</v>
      </c>
      <c r="C119" s="405"/>
      <c r="D119" s="399"/>
      <c r="E119" s="398"/>
      <c r="F119" s="284"/>
      <c r="G119" s="285" t="s">
        <v>118</v>
      </c>
      <c r="H119" s="251"/>
    </row>
    <row r="120">
      <c r="A120" s="265"/>
      <c r="B120" s="404"/>
      <c r="C120" s="424"/>
      <c r="D120" s="399"/>
      <c r="E120" s="442"/>
      <c r="F120" s="284"/>
      <c r="G120" s="285"/>
      <c r="H120" s="251"/>
    </row>
    <row r="121">
      <c r="A121" s="265"/>
      <c r="B121" s="404"/>
      <c r="C121" s="405"/>
      <c r="D121" s="399"/>
      <c r="E121" s="398"/>
      <c r="F121" s="284"/>
      <c r="G121" s="285"/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04"/>
      <c r="C123" s="405"/>
      <c r="D123" s="399"/>
      <c r="E123" s="442"/>
      <c r="F123" s="284"/>
      <c r="G123" s="285"/>
      <c r="H123" s="251"/>
    </row>
    <row r="124">
      <c r="A124" s="265"/>
      <c r="B124" s="404"/>
      <c r="C124" s="424"/>
      <c r="D124" s="399"/>
      <c r="E124" s="442"/>
      <c r="F124" s="284"/>
      <c r="G124" s="285"/>
      <c r="H124" s="251"/>
    </row>
    <row r="125">
      <c r="A125" s="265"/>
      <c r="B125" s="477"/>
      <c r="C125" s="405"/>
      <c r="D125" s="399"/>
      <c r="E125" s="442"/>
      <c r="F125" s="284"/>
      <c r="G125" s="285"/>
      <c r="H125" s="251"/>
    </row>
    <row r="126">
      <c r="A126" s="265"/>
      <c r="B126" s="404"/>
      <c r="C126" s="424"/>
      <c r="D126" s="399"/>
      <c r="E126" s="442"/>
      <c r="F126" s="284"/>
      <c r="G126" s="442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40"/>
      <c r="C128" s="424"/>
      <c r="D128" s="400"/>
      <c r="E128" s="442"/>
      <c r="F128" s="284"/>
      <c r="G128" s="285"/>
      <c r="H128" s="251"/>
    </row>
    <row r="129">
      <c r="A129" s="265"/>
      <c r="B129" s="440"/>
      <c r="C129" s="424"/>
      <c r="D129" s="400"/>
      <c r="E129" s="442"/>
      <c r="F129" s="463"/>
      <c r="G129" s="481"/>
      <c r="H129" s="251"/>
    </row>
    <row r="130">
      <c r="A130" s="265"/>
      <c r="B130" s="480"/>
      <c r="C130" s="424"/>
      <c r="D130" s="400"/>
      <c r="E130" s="442"/>
      <c r="F130" s="284"/>
      <c r="G130" s="481"/>
      <c r="H130" s="251"/>
    </row>
    <row r="131">
      <c r="A131" s="270"/>
      <c r="B131" s="478"/>
      <c r="C131" s="471"/>
      <c r="D131" s="472"/>
      <c r="E131" s="473"/>
      <c r="F131" s="474"/>
      <c r="G131" s="475"/>
      <c r="H131" s="261"/>
    </row>
    <row r="132">
      <c r="A132" s="262" t="s">
        <v>1508</v>
      </c>
      <c r="B132" s="425">
        <v>116625.0</v>
      </c>
      <c r="C132" s="426"/>
      <c r="D132" s="401"/>
      <c r="E132" s="402"/>
      <c r="F132" s="403"/>
      <c r="G132" s="436" t="s">
        <v>142</v>
      </c>
      <c r="H132" s="245">
        <v>310.0</v>
      </c>
    </row>
    <row r="133">
      <c r="A133" s="265"/>
      <c r="B133" s="404">
        <v>62105.0</v>
      </c>
      <c r="C133" s="405"/>
      <c r="D133" s="399"/>
      <c r="E133" s="398"/>
      <c r="F133" s="284"/>
      <c r="G133" s="285" t="s">
        <v>82</v>
      </c>
      <c r="H133" s="267"/>
    </row>
    <row r="134">
      <c r="A134" s="265"/>
      <c r="B134" s="404">
        <v>71000.0</v>
      </c>
      <c r="C134" s="405"/>
      <c r="D134" s="399"/>
      <c r="E134" s="398" t="s">
        <v>328</v>
      </c>
      <c r="F134" s="284"/>
      <c r="G134" s="285" t="s">
        <v>75</v>
      </c>
      <c r="H134" s="251"/>
    </row>
    <row r="135">
      <c r="A135" s="265"/>
      <c r="B135" s="419"/>
      <c r="C135" s="427"/>
      <c r="D135" s="414"/>
      <c r="E135" s="417"/>
      <c r="F135" s="418"/>
      <c r="G135" s="420"/>
      <c r="H135" s="251"/>
    </row>
    <row r="136">
      <c r="A136" s="265"/>
      <c r="B136" s="404"/>
      <c r="C136" s="405"/>
      <c r="D136" s="399"/>
      <c r="E136" s="398"/>
      <c r="F136" s="284"/>
      <c r="G136" s="285"/>
      <c r="H136" s="251"/>
    </row>
    <row r="137">
      <c r="A137" s="265"/>
      <c r="B137" s="404"/>
      <c r="C137" s="405"/>
      <c r="D137" s="399"/>
      <c r="E137" s="398"/>
      <c r="F137" s="284"/>
      <c r="G137" s="285"/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404"/>
      <c r="C139" s="424"/>
      <c r="D139" s="399"/>
      <c r="E139" s="442"/>
      <c r="F139" s="284"/>
      <c r="G139" s="285"/>
      <c r="H139" s="251"/>
    </row>
    <row r="140">
      <c r="A140" s="265"/>
      <c r="B140" s="404"/>
      <c r="C140" s="424"/>
      <c r="D140" s="399"/>
      <c r="E140" s="398"/>
      <c r="F140" s="284"/>
      <c r="G140" s="285"/>
      <c r="H140" s="251"/>
    </row>
    <row r="141">
      <c r="A141" s="265"/>
      <c r="B141" s="440"/>
      <c r="C141" s="424"/>
      <c r="D141" s="399"/>
      <c r="E141" s="442"/>
      <c r="F141" s="284"/>
      <c r="G141" s="285"/>
      <c r="H141" s="251"/>
    </row>
    <row r="142">
      <c r="A142" s="270"/>
      <c r="B142" s="470"/>
      <c r="C142" s="471"/>
      <c r="D142" s="486"/>
      <c r="E142" s="473"/>
      <c r="F142" s="474"/>
      <c r="G142" s="475"/>
      <c r="H142" s="261"/>
    </row>
    <row r="143">
      <c r="A143" s="262" t="s">
        <v>1509</v>
      </c>
      <c r="B143" s="425">
        <v>24316.2</v>
      </c>
      <c r="C143" s="426"/>
      <c r="D143" s="401"/>
      <c r="E143" s="402"/>
      <c r="F143" s="284"/>
      <c r="G143" s="436" t="s">
        <v>291</v>
      </c>
      <c r="H143" s="245">
        <v>170.0</v>
      </c>
      <c r="I143" s="2" t="s">
        <v>1352</v>
      </c>
    </row>
    <row r="144">
      <c r="A144" s="265"/>
      <c r="B144" s="404"/>
      <c r="C144" s="487"/>
      <c r="D144" s="399">
        <v>260494.0</v>
      </c>
      <c r="E144" s="398" t="s">
        <v>328</v>
      </c>
      <c r="F144" s="284"/>
      <c r="G144" s="285" t="s">
        <v>114</v>
      </c>
      <c r="H144" s="267">
        <v>40.0</v>
      </c>
      <c r="I144" s="2" t="s">
        <v>1510</v>
      </c>
    </row>
    <row r="145">
      <c r="A145" s="265"/>
      <c r="B145" s="404"/>
      <c r="C145" s="405"/>
      <c r="D145" s="399"/>
      <c r="E145" s="398"/>
      <c r="F145" s="284"/>
      <c r="G145" s="285"/>
      <c r="H145" s="267"/>
      <c r="I145" s="2" t="s">
        <v>1511</v>
      </c>
    </row>
    <row r="146">
      <c r="A146" s="265"/>
      <c r="B146" s="404"/>
      <c r="C146" s="405"/>
      <c r="D146" s="399"/>
      <c r="E146" s="398"/>
      <c r="F146" s="284"/>
      <c r="G146" s="285"/>
      <c r="H146" s="251">
        <f>SUM(H143:H145)</f>
        <v>210</v>
      </c>
      <c r="I146" s="2" t="s">
        <v>1512</v>
      </c>
    </row>
    <row r="147">
      <c r="A147" s="265"/>
      <c r="B147" s="404"/>
      <c r="C147" s="405"/>
      <c r="D147" s="399"/>
      <c r="E147" s="285"/>
      <c r="F147" s="284"/>
      <c r="G147" s="285"/>
      <c r="H147" s="251"/>
      <c r="I147" s="254"/>
    </row>
    <row r="148">
      <c r="A148" s="265"/>
      <c r="B148" s="404"/>
      <c r="C148" s="424"/>
      <c r="D148" s="399"/>
      <c r="E148" s="442"/>
      <c r="F148" s="284"/>
      <c r="G148" s="285"/>
      <c r="H148" s="251"/>
    </row>
    <row r="149">
      <c r="A149" s="265"/>
      <c r="B149" s="419"/>
      <c r="C149" s="427"/>
      <c r="D149" s="414"/>
      <c r="E149" s="417"/>
      <c r="F149" s="418"/>
      <c r="G149" s="420"/>
      <c r="H149" s="267">
        <v>196.0</v>
      </c>
      <c r="I149" s="2" t="s">
        <v>1342</v>
      </c>
    </row>
    <row r="150">
      <c r="A150" s="265"/>
      <c r="B150" s="404"/>
      <c r="C150" s="424"/>
      <c r="D150" s="400"/>
      <c r="E150" s="442"/>
      <c r="F150" s="284"/>
      <c r="G150" s="285"/>
      <c r="H150" s="251"/>
    </row>
    <row r="151">
      <c r="A151" s="265"/>
      <c r="B151" s="404"/>
      <c r="C151" s="424"/>
      <c r="D151" s="399"/>
      <c r="E151" s="442"/>
      <c r="F151" s="284"/>
      <c r="G151" s="285"/>
      <c r="H151" s="251"/>
    </row>
    <row r="152">
      <c r="A152" s="265"/>
      <c r="B152" s="404"/>
      <c r="C152" s="424"/>
      <c r="D152" s="400"/>
      <c r="E152" s="442"/>
      <c r="F152" s="284"/>
      <c r="G152" s="285"/>
      <c r="H152" s="251"/>
    </row>
    <row r="153">
      <c r="A153" s="265"/>
      <c r="B153" s="404"/>
      <c r="C153" s="424"/>
      <c r="D153" s="400"/>
      <c r="E153" s="442"/>
      <c r="F153" s="284"/>
      <c r="G153" s="285"/>
      <c r="H153" s="251"/>
    </row>
    <row r="154">
      <c r="A154" s="265"/>
      <c r="B154" s="404"/>
      <c r="C154" s="424"/>
      <c r="D154" s="400"/>
      <c r="E154" s="442"/>
      <c r="F154" s="284"/>
      <c r="G154" s="285"/>
      <c r="H154" s="251"/>
    </row>
    <row r="155">
      <c r="A155" s="265"/>
      <c r="B155" s="477"/>
      <c r="C155" s="424"/>
      <c r="D155" s="400"/>
      <c r="E155" s="442"/>
      <c r="F155" s="284"/>
      <c r="G155" s="481"/>
      <c r="H155" s="251"/>
    </row>
    <row r="156">
      <c r="A156" s="265"/>
      <c r="B156" s="477"/>
      <c r="C156" s="424"/>
      <c r="D156" s="400"/>
      <c r="E156" s="442"/>
      <c r="F156" s="284"/>
      <c r="G156" s="481"/>
      <c r="H156" s="251"/>
    </row>
    <row r="157">
      <c r="A157" s="270"/>
      <c r="B157" s="478"/>
      <c r="C157" s="471"/>
      <c r="D157" s="472"/>
      <c r="E157" s="473"/>
      <c r="F157" s="474"/>
      <c r="G157" s="475"/>
      <c r="H157" s="261"/>
    </row>
    <row r="158">
      <c r="A158" s="262" t="s">
        <v>1513</v>
      </c>
      <c r="B158" s="404">
        <v>85500.0</v>
      </c>
      <c r="C158" s="405"/>
      <c r="D158" s="399"/>
      <c r="E158" s="398" t="s">
        <v>328</v>
      </c>
      <c r="F158" s="284"/>
      <c r="G158" s="285" t="s">
        <v>75</v>
      </c>
      <c r="H158" s="286">
        <v>140.0</v>
      </c>
    </row>
    <row r="159">
      <c r="A159" s="265"/>
      <c r="B159" s="404">
        <v>65898.43</v>
      </c>
      <c r="C159" s="405"/>
      <c r="D159" s="399"/>
      <c r="E159" s="398"/>
      <c r="F159" s="284"/>
      <c r="G159" s="285" t="s">
        <v>1514</v>
      </c>
      <c r="H159" s="251"/>
    </row>
    <row r="160">
      <c r="A160" s="265"/>
      <c r="B160" s="404"/>
      <c r="C160" s="405"/>
      <c r="D160" s="399"/>
      <c r="E160" s="398"/>
      <c r="F160" s="284"/>
      <c r="G160" s="285"/>
      <c r="H160" s="267"/>
    </row>
    <row r="161">
      <c r="A161" s="265"/>
      <c r="B161" s="404"/>
      <c r="C161" s="405"/>
      <c r="D161" s="414"/>
      <c r="E161" s="417"/>
      <c r="F161" s="418"/>
      <c r="G161" s="420"/>
      <c r="H161" s="251"/>
    </row>
    <row r="162">
      <c r="A162" s="265"/>
      <c r="B162" s="404"/>
      <c r="C162" s="405"/>
      <c r="D162" s="399"/>
      <c r="E162" s="398"/>
      <c r="F162" s="284"/>
      <c r="G162" s="285"/>
      <c r="H162" s="267"/>
    </row>
    <row r="163">
      <c r="A163" s="265"/>
      <c r="B163" s="404"/>
      <c r="C163" s="424"/>
      <c r="D163" s="399"/>
      <c r="E163" s="442"/>
      <c r="F163" s="284"/>
      <c r="G163" s="285"/>
      <c r="H163" s="251"/>
    </row>
    <row r="164">
      <c r="A164" s="265"/>
      <c r="B164" s="404"/>
      <c r="C164" s="424"/>
      <c r="D164" s="399"/>
      <c r="E164" s="398"/>
      <c r="F164" s="284"/>
      <c r="G164" s="285"/>
      <c r="H164" s="267"/>
    </row>
    <row r="165">
      <c r="A165" s="265"/>
      <c r="B165" s="404"/>
      <c r="C165" s="424"/>
      <c r="D165" s="399"/>
      <c r="E165" s="442"/>
      <c r="F165" s="284"/>
      <c r="G165" s="285"/>
      <c r="H165" s="251"/>
    </row>
    <row r="166">
      <c r="A166" s="265"/>
      <c r="B166" s="404"/>
      <c r="C166" s="405"/>
      <c r="D166" s="399"/>
      <c r="E166" s="442"/>
      <c r="F166" s="284"/>
      <c r="G166" s="285"/>
      <c r="H166" s="251"/>
    </row>
    <row r="167">
      <c r="A167" s="265"/>
      <c r="B167" s="404"/>
      <c r="C167" s="424"/>
      <c r="D167" s="399"/>
      <c r="E167" s="442"/>
      <c r="F167" s="284"/>
      <c r="G167" s="285"/>
      <c r="H167" s="251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05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24"/>
      <c r="D171" s="399"/>
      <c r="E171" s="442"/>
      <c r="F171" s="284"/>
      <c r="G171" s="285"/>
      <c r="H171" s="251"/>
    </row>
    <row r="172">
      <c r="A172" s="265"/>
      <c r="B172" s="404"/>
      <c r="C172" s="424"/>
      <c r="D172" s="400"/>
      <c r="E172" s="442"/>
      <c r="F172" s="284"/>
      <c r="G172" s="285"/>
      <c r="H172" s="251"/>
    </row>
    <row r="173">
      <c r="A173" s="270"/>
      <c r="B173" s="404"/>
      <c r="C173" s="424"/>
      <c r="D173" s="399"/>
      <c r="E173" s="442"/>
      <c r="F173" s="284"/>
      <c r="G173" s="285"/>
      <c r="H173" s="261"/>
    </row>
    <row r="174">
      <c r="A174" s="262" t="s">
        <v>1515</v>
      </c>
      <c r="B174" s="425"/>
      <c r="C174" s="426"/>
      <c r="D174" s="401">
        <v>55157.85</v>
      </c>
      <c r="E174" s="402"/>
      <c r="F174" s="403"/>
      <c r="G174" s="436" t="s">
        <v>71</v>
      </c>
      <c r="H174" s="245">
        <v>290.0</v>
      </c>
    </row>
    <row r="175">
      <c r="A175" s="265"/>
      <c r="B175" s="404">
        <v>85930.0</v>
      </c>
      <c r="C175" s="405"/>
      <c r="D175" s="399"/>
      <c r="E175" s="442"/>
      <c r="F175" s="284"/>
      <c r="G175" s="285" t="s">
        <v>142</v>
      </c>
      <c r="H175" s="267"/>
    </row>
    <row r="176">
      <c r="A176" s="265"/>
      <c r="B176" s="404">
        <v>87847.5</v>
      </c>
      <c r="C176" s="424"/>
      <c r="D176" s="399"/>
      <c r="E176" s="442"/>
      <c r="F176" s="284"/>
      <c r="G176" s="285" t="s">
        <v>377</v>
      </c>
      <c r="H176" s="251"/>
    </row>
    <row r="177">
      <c r="A177" s="265"/>
      <c r="B177" s="404"/>
      <c r="C177" s="405"/>
      <c r="D177" s="399">
        <v>69802.39</v>
      </c>
      <c r="E177" s="398" t="s">
        <v>328</v>
      </c>
      <c r="F177" s="284"/>
      <c r="G177" s="285" t="s">
        <v>114</v>
      </c>
      <c r="H177" s="251"/>
    </row>
    <row r="178">
      <c r="A178" s="265"/>
      <c r="B178" s="419"/>
      <c r="C178" s="427"/>
      <c r="D178" s="399">
        <v>150700.0</v>
      </c>
      <c r="E178" s="398" t="s">
        <v>328</v>
      </c>
      <c r="F178" s="284"/>
      <c r="G178" s="285" t="s">
        <v>1477</v>
      </c>
      <c r="H178" s="251"/>
      <c r="I178" s="2" t="s">
        <v>1516</v>
      </c>
    </row>
    <row r="179">
      <c r="A179" s="265"/>
      <c r="B179" s="404">
        <v>8250.0</v>
      </c>
      <c r="C179" s="405"/>
      <c r="D179" s="399"/>
      <c r="E179" s="442"/>
      <c r="F179" s="284"/>
      <c r="G179" s="285" t="s">
        <v>420</v>
      </c>
      <c r="H179" s="267"/>
      <c r="I179" s="2">
        <v>106669.0</v>
      </c>
      <c r="J179" s="2" t="s">
        <v>1517</v>
      </c>
    </row>
    <row r="180">
      <c r="A180" s="265"/>
      <c r="B180" s="404">
        <v>10300.0</v>
      </c>
      <c r="C180" s="405"/>
      <c r="D180" s="399"/>
      <c r="E180" s="442"/>
      <c r="F180" s="284"/>
      <c r="G180" s="488" t="s">
        <v>1518</v>
      </c>
      <c r="H180" s="251"/>
      <c r="I180" s="2">
        <v>22883.0</v>
      </c>
      <c r="J180" s="2" t="s">
        <v>1519</v>
      </c>
    </row>
    <row r="181">
      <c r="A181" s="265"/>
      <c r="B181" s="404">
        <v>39000.0</v>
      </c>
      <c r="C181" s="424"/>
      <c r="D181" s="399"/>
      <c r="E181" s="442"/>
      <c r="F181" s="284"/>
      <c r="G181" s="285" t="s">
        <v>1061</v>
      </c>
      <c r="H181" s="251"/>
      <c r="I181" s="2">
        <v>129552.0</v>
      </c>
      <c r="J181" s="2" t="s">
        <v>1520</v>
      </c>
    </row>
    <row r="182">
      <c r="A182" s="265"/>
      <c r="B182" s="404"/>
      <c r="C182" s="405"/>
      <c r="D182" s="399"/>
      <c r="E182" s="442"/>
      <c r="F182" s="284"/>
      <c r="G182" s="285"/>
      <c r="H182" s="251"/>
    </row>
    <row r="183">
      <c r="A183" s="265"/>
      <c r="B183" s="404"/>
      <c r="C183" s="405"/>
      <c r="D183" s="400"/>
      <c r="E183" s="442"/>
      <c r="F183" s="284"/>
      <c r="G183" s="285"/>
      <c r="H183" s="251"/>
    </row>
    <row r="184">
      <c r="A184" s="265"/>
      <c r="B184" s="477"/>
      <c r="C184" s="405"/>
      <c r="D184" s="400"/>
      <c r="E184" s="442"/>
      <c r="F184" s="284"/>
      <c r="G184" s="481"/>
      <c r="H184" s="251"/>
    </row>
    <row r="185">
      <c r="A185" s="265"/>
      <c r="B185" s="404"/>
      <c r="C185" s="405"/>
      <c r="D185" s="400"/>
      <c r="E185" s="442"/>
      <c r="F185" s="284"/>
      <c r="G185" s="481"/>
      <c r="H185" s="251"/>
    </row>
    <row r="186">
      <c r="A186" s="265"/>
      <c r="B186" s="480"/>
      <c r="C186" s="424"/>
      <c r="D186" s="400"/>
      <c r="E186" s="442"/>
      <c r="F186" s="284"/>
      <c r="G186" s="481"/>
      <c r="H186" s="251"/>
    </row>
    <row r="187">
      <c r="A187" s="265"/>
      <c r="B187" s="480"/>
      <c r="C187" s="424"/>
      <c r="D187" s="400"/>
      <c r="E187" s="442"/>
      <c r="F187" s="463"/>
      <c r="G187" s="481"/>
      <c r="H187" s="251"/>
    </row>
    <row r="188">
      <c r="A188" s="270"/>
      <c r="B188" s="478"/>
      <c r="C188" s="471"/>
      <c r="D188" s="472"/>
      <c r="E188" s="473"/>
      <c r="F188" s="460"/>
      <c r="G188" s="482"/>
      <c r="H188" s="261"/>
    </row>
    <row r="189">
      <c r="A189" s="262" t="s">
        <v>1521</v>
      </c>
      <c r="B189" s="425">
        <v>83000.0</v>
      </c>
      <c r="C189" s="426"/>
      <c r="D189" s="401"/>
      <c r="E189" s="402" t="s">
        <v>328</v>
      </c>
      <c r="F189" s="403"/>
      <c r="G189" s="436" t="s">
        <v>75</v>
      </c>
      <c r="H189" s="245">
        <v>169.0</v>
      </c>
    </row>
    <row r="190">
      <c r="A190" s="265"/>
      <c r="B190" s="419"/>
      <c r="C190" s="427"/>
      <c r="D190" s="399">
        <v>613954.0</v>
      </c>
      <c r="E190" s="398" t="s">
        <v>328</v>
      </c>
      <c r="F190" s="284"/>
      <c r="G190" s="285" t="s">
        <v>877</v>
      </c>
      <c r="H190" s="267"/>
    </row>
    <row r="191">
      <c r="A191" s="265"/>
      <c r="B191" s="404"/>
      <c r="C191" s="424"/>
      <c r="D191" s="399"/>
      <c r="E191" s="398"/>
      <c r="F191" s="284">
        <v>2300.0</v>
      </c>
      <c r="G191" s="285" t="s">
        <v>85</v>
      </c>
      <c r="H191" s="251"/>
    </row>
    <row r="192">
      <c r="A192" s="265"/>
      <c r="B192" s="404">
        <v>57000.0</v>
      </c>
      <c r="C192" s="405"/>
      <c r="D192" s="399"/>
      <c r="E192" s="398" t="s">
        <v>328</v>
      </c>
      <c r="F192" s="284"/>
      <c r="G192" s="285" t="s">
        <v>68</v>
      </c>
      <c r="H192" s="251"/>
    </row>
    <row r="193">
      <c r="A193" s="265"/>
      <c r="B193" s="404">
        <v>25525.24</v>
      </c>
      <c r="C193" s="405"/>
      <c r="D193" s="399"/>
      <c r="E193" s="398"/>
      <c r="F193" s="284"/>
      <c r="G193" s="285" t="s">
        <v>82</v>
      </c>
      <c r="H193" s="251"/>
    </row>
    <row r="194">
      <c r="A194" s="265"/>
      <c r="B194" s="404"/>
      <c r="C194" s="405">
        <v>138773.29</v>
      </c>
      <c r="D194" s="399"/>
      <c r="E194" s="398"/>
      <c r="F194" s="284"/>
      <c r="G194" s="285" t="s">
        <v>84</v>
      </c>
      <c r="H194" s="251"/>
    </row>
    <row r="195">
      <c r="A195" s="265"/>
      <c r="B195" s="404"/>
      <c r="C195" s="424"/>
      <c r="D195" s="399">
        <v>128852.68</v>
      </c>
      <c r="E195" s="398" t="s">
        <v>328</v>
      </c>
      <c r="F195" s="284"/>
      <c r="G195" s="285" t="s">
        <v>1522</v>
      </c>
      <c r="H195" s="251"/>
    </row>
    <row r="196">
      <c r="A196" s="265"/>
      <c r="B196" s="404"/>
      <c r="C196" s="424"/>
      <c r="D196" s="400"/>
      <c r="E196" s="398"/>
      <c r="F196" s="284"/>
      <c r="G196" s="285"/>
      <c r="H196" s="251"/>
      <c r="I196" s="269"/>
      <c r="J196" s="269"/>
      <c r="K196" s="269"/>
    </row>
    <row r="197">
      <c r="A197" s="265"/>
      <c r="B197" s="404"/>
      <c r="C197" s="405"/>
      <c r="D197" s="399"/>
      <c r="E197" s="481"/>
      <c r="F197" s="284"/>
      <c r="G197" s="285"/>
      <c r="H197" s="251"/>
      <c r="I197" s="269"/>
      <c r="J197" s="269"/>
      <c r="K197" s="269"/>
    </row>
    <row r="198">
      <c r="A198" s="265"/>
      <c r="B198" s="440"/>
      <c r="C198" s="424"/>
      <c r="D198" s="399"/>
      <c r="E198" s="285"/>
      <c r="F198" s="284"/>
      <c r="G198" s="285"/>
      <c r="H198" s="251"/>
      <c r="I198" s="254"/>
      <c r="J198" s="269"/>
      <c r="K198" s="269"/>
    </row>
    <row r="199">
      <c r="A199" s="265"/>
      <c r="B199" s="440"/>
      <c r="C199" s="424"/>
      <c r="D199" s="400"/>
      <c r="E199" s="481"/>
      <c r="F199" s="463"/>
      <c r="G199" s="285"/>
      <c r="H199" s="251"/>
      <c r="I199" s="269"/>
      <c r="J199" s="269"/>
      <c r="K199" s="269"/>
    </row>
    <row r="200">
      <c r="A200" s="270"/>
      <c r="B200" s="478"/>
      <c r="C200" s="471"/>
      <c r="D200" s="472"/>
      <c r="E200" s="482"/>
      <c r="F200" s="460"/>
      <c r="G200" s="482"/>
      <c r="H200" s="261"/>
      <c r="I200" s="269"/>
      <c r="J200" s="269"/>
      <c r="K200" s="269"/>
    </row>
    <row r="201">
      <c r="A201" s="262" t="s">
        <v>1523</v>
      </c>
      <c r="B201" s="461"/>
      <c r="C201" s="445"/>
      <c r="D201" s="421"/>
      <c r="E201" s="422"/>
      <c r="F201" s="403">
        <v>8000.0</v>
      </c>
      <c r="G201" s="436" t="s">
        <v>85</v>
      </c>
      <c r="H201" s="245">
        <v>386.5</v>
      </c>
      <c r="I201" s="254"/>
      <c r="J201" s="254"/>
      <c r="K201" s="254"/>
    </row>
    <row r="202">
      <c r="A202" s="265"/>
      <c r="B202" s="404">
        <v>47700.0</v>
      </c>
      <c r="C202" s="405"/>
      <c r="D202" s="399"/>
      <c r="E202" s="398" t="s">
        <v>328</v>
      </c>
      <c r="F202" s="284"/>
      <c r="G202" s="285" t="s">
        <v>76</v>
      </c>
      <c r="H202" s="267"/>
      <c r="I202" s="254"/>
      <c r="J202" s="254"/>
      <c r="K202" s="254"/>
    </row>
    <row r="203">
      <c r="A203" s="265"/>
      <c r="B203" s="404"/>
      <c r="C203" s="405"/>
      <c r="D203" s="399"/>
      <c r="E203" s="398"/>
      <c r="F203" s="284"/>
      <c r="G203" s="285"/>
      <c r="H203" s="251"/>
      <c r="I203" s="254"/>
      <c r="J203" s="254"/>
      <c r="K203" s="254"/>
    </row>
    <row r="204">
      <c r="A204" s="265"/>
      <c r="B204" s="404"/>
      <c r="C204" s="405"/>
      <c r="D204" s="399">
        <v>100000.0</v>
      </c>
      <c r="E204" s="398"/>
      <c r="F204" s="284"/>
      <c r="G204" s="285" t="s">
        <v>1524</v>
      </c>
      <c r="H204" s="267"/>
      <c r="I204" s="254"/>
      <c r="J204" s="269"/>
      <c r="K204" s="269"/>
    </row>
    <row r="205">
      <c r="A205" s="265"/>
      <c r="B205" s="404"/>
      <c r="C205" s="405"/>
      <c r="D205" s="399"/>
      <c r="E205" s="398"/>
      <c r="F205" s="284"/>
      <c r="G205" s="285" t="s">
        <v>1525</v>
      </c>
      <c r="H205" s="251"/>
      <c r="I205" s="269"/>
      <c r="J205" s="269"/>
      <c r="K205" s="269"/>
    </row>
    <row r="206">
      <c r="A206" s="265"/>
      <c r="B206" s="404"/>
      <c r="C206" s="405"/>
      <c r="D206" s="399"/>
      <c r="E206" s="398"/>
      <c r="F206" s="284"/>
      <c r="G206" s="285"/>
      <c r="H206" s="251"/>
      <c r="I206" s="269"/>
      <c r="J206" s="269"/>
      <c r="K206" s="269"/>
    </row>
    <row r="207">
      <c r="A207" s="265"/>
      <c r="B207" s="404"/>
      <c r="C207" s="424"/>
      <c r="D207" s="399"/>
      <c r="E207" s="398"/>
      <c r="F207" s="284"/>
      <c r="G207" s="285"/>
      <c r="H207" s="267"/>
      <c r="I207" s="254"/>
      <c r="J207" s="269"/>
      <c r="K207" s="269"/>
    </row>
    <row r="208">
      <c r="A208" s="265"/>
      <c r="B208" s="404"/>
      <c r="C208" s="424"/>
      <c r="D208" s="399"/>
      <c r="E208" s="398"/>
      <c r="F208" s="284"/>
      <c r="G208" s="398"/>
      <c r="H208" s="251"/>
      <c r="I208" s="254"/>
      <c r="J208" s="269"/>
      <c r="K208" s="269"/>
    </row>
    <row r="209">
      <c r="A209" s="265"/>
      <c r="B209" s="404"/>
      <c r="C209" s="424"/>
      <c r="D209" s="399"/>
      <c r="E209" s="398"/>
      <c r="F209" s="284"/>
      <c r="G209" s="285"/>
      <c r="H209" s="251"/>
      <c r="I209" s="269"/>
      <c r="J209" s="269"/>
      <c r="K209" s="269"/>
    </row>
    <row r="210">
      <c r="A210" s="265"/>
      <c r="B210" s="404"/>
      <c r="C210" s="424"/>
      <c r="D210" s="400"/>
      <c r="E210" s="442"/>
      <c r="F210" s="284"/>
      <c r="G210" s="285"/>
      <c r="H210" s="251"/>
    </row>
    <row r="211">
      <c r="A211" s="265"/>
      <c r="B211" s="404"/>
      <c r="C211" s="424"/>
      <c r="D211" s="400"/>
      <c r="E211" s="442"/>
      <c r="F211" s="284"/>
      <c r="G211" s="285"/>
      <c r="H211" s="251"/>
    </row>
    <row r="212">
      <c r="A212" s="265"/>
      <c r="B212" s="440"/>
      <c r="C212" s="424"/>
      <c r="D212" s="400"/>
      <c r="E212" s="442"/>
      <c r="F212" s="284"/>
      <c r="G212" s="285"/>
      <c r="H212" s="251"/>
    </row>
    <row r="213">
      <c r="A213" s="265"/>
      <c r="B213" s="480"/>
      <c r="C213" s="424"/>
      <c r="D213" s="400"/>
      <c r="E213" s="442"/>
      <c r="F213" s="463"/>
      <c r="G213" s="481"/>
      <c r="H213" s="251"/>
    </row>
    <row r="214">
      <c r="A214" s="265"/>
      <c r="B214" s="480"/>
      <c r="C214" s="424"/>
      <c r="D214" s="400"/>
      <c r="E214" s="442"/>
      <c r="F214" s="463"/>
      <c r="G214" s="481"/>
      <c r="H214" s="251"/>
    </row>
    <row r="215">
      <c r="A215" s="270"/>
      <c r="B215" s="478"/>
      <c r="C215" s="471"/>
      <c r="D215" s="472"/>
      <c r="E215" s="473"/>
      <c r="F215" s="460"/>
      <c r="G215" s="482"/>
      <c r="H215" s="261"/>
    </row>
    <row r="216">
      <c r="A216" s="262" t="s">
        <v>1526</v>
      </c>
      <c r="B216" s="425">
        <v>127000.0</v>
      </c>
      <c r="C216" s="426"/>
      <c r="D216" s="401"/>
      <c r="E216" s="402" t="s">
        <v>328</v>
      </c>
      <c r="F216" s="403"/>
      <c r="G216" s="398" t="s">
        <v>75</v>
      </c>
      <c r="H216" s="245">
        <v>286.0</v>
      </c>
    </row>
    <row r="217">
      <c r="A217" s="265"/>
      <c r="B217" s="404"/>
      <c r="C217" s="405"/>
      <c r="D217" s="399"/>
      <c r="E217" s="398"/>
      <c r="F217" s="284">
        <v>3060.0</v>
      </c>
      <c r="G217" s="285" t="s">
        <v>1527</v>
      </c>
      <c r="H217" s="267"/>
    </row>
    <row r="218">
      <c r="A218" s="265"/>
      <c r="B218" s="404">
        <v>85516.67</v>
      </c>
      <c r="C218" s="427"/>
      <c r="D218" s="399"/>
      <c r="E218" s="398"/>
      <c r="F218" s="284"/>
      <c r="G218" s="285" t="s">
        <v>82</v>
      </c>
      <c r="H218" s="251"/>
    </row>
    <row r="219">
      <c r="A219" s="265"/>
      <c r="B219" s="404"/>
      <c r="C219" s="405"/>
      <c r="D219" s="399"/>
      <c r="E219" s="398"/>
      <c r="F219" s="284">
        <v>20000.0</v>
      </c>
      <c r="G219" s="285" t="s">
        <v>1528</v>
      </c>
      <c r="H219" s="251"/>
    </row>
    <row r="220">
      <c r="A220" s="265"/>
      <c r="B220" s="404"/>
      <c r="C220" s="424"/>
      <c r="D220" s="399"/>
      <c r="E220" s="398"/>
      <c r="F220" s="284">
        <v>7000.0</v>
      </c>
      <c r="G220" s="285" t="s">
        <v>1529</v>
      </c>
      <c r="H220" s="267"/>
    </row>
    <row r="221">
      <c r="A221" s="265"/>
      <c r="B221" s="404"/>
      <c r="C221" s="405"/>
      <c r="D221" s="399"/>
      <c r="E221" s="398"/>
      <c r="F221" s="284"/>
      <c r="G221" s="285"/>
      <c r="H221" s="267"/>
    </row>
    <row r="222">
      <c r="A222" s="265"/>
      <c r="B222" s="404"/>
      <c r="C222" s="405"/>
      <c r="D222" s="399"/>
      <c r="E222" s="512">
        <v>1857314.67</v>
      </c>
      <c r="F222" s="513"/>
      <c r="G222" s="514" t="s">
        <v>1530</v>
      </c>
      <c r="H222" s="251"/>
    </row>
    <row r="223">
      <c r="A223" s="265"/>
      <c r="B223" s="404"/>
      <c r="C223" s="424"/>
      <c r="D223" s="400"/>
      <c r="E223" s="512"/>
      <c r="F223" s="513"/>
      <c r="G223" s="514" t="s">
        <v>1531</v>
      </c>
      <c r="H223" s="251"/>
    </row>
    <row r="224">
      <c r="A224" s="265"/>
      <c r="B224" s="404"/>
      <c r="C224" s="424"/>
      <c r="D224" s="399"/>
      <c r="E224" s="398"/>
      <c r="F224" s="284"/>
      <c r="G224" s="285"/>
      <c r="H224" s="251"/>
    </row>
    <row r="225">
      <c r="A225" s="265"/>
      <c r="B225" s="404"/>
      <c r="C225" s="424"/>
      <c r="D225" s="400"/>
      <c r="E225" s="442"/>
      <c r="F225" s="284"/>
      <c r="G225" s="285"/>
      <c r="H225" s="251"/>
    </row>
    <row r="226">
      <c r="A226" s="265"/>
      <c r="B226" s="480"/>
      <c r="C226" s="424"/>
      <c r="D226" s="400"/>
      <c r="E226" s="442"/>
      <c r="F226" s="284"/>
      <c r="G226" s="285"/>
      <c r="H226" s="251"/>
    </row>
    <row r="227">
      <c r="A227" s="265"/>
      <c r="B227" s="480"/>
      <c r="C227" s="424"/>
      <c r="D227" s="400"/>
      <c r="E227" s="442"/>
      <c r="F227" s="284"/>
      <c r="G227" s="481"/>
      <c r="H227" s="251"/>
    </row>
    <row r="228">
      <c r="A228" s="265"/>
      <c r="B228" s="480"/>
      <c r="C228" s="424"/>
      <c r="D228" s="400"/>
      <c r="E228" s="442"/>
      <c r="F228" s="284"/>
      <c r="G228" s="481"/>
      <c r="H228" s="251"/>
    </row>
    <row r="229">
      <c r="A229" s="270"/>
      <c r="B229" s="478"/>
      <c r="C229" s="471"/>
      <c r="D229" s="472"/>
      <c r="E229" s="473"/>
      <c r="F229" s="460"/>
      <c r="G229" s="482"/>
      <c r="H229" s="261"/>
    </row>
    <row r="230">
      <c r="A230" s="262" t="s">
        <v>1532</v>
      </c>
      <c r="B230" s="425"/>
      <c r="C230" s="426"/>
      <c r="D230" s="401">
        <v>216935.6</v>
      </c>
      <c r="E230" s="402" t="s">
        <v>328</v>
      </c>
      <c r="F230" s="403"/>
      <c r="G230" s="436" t="s">
        <v>89</v>
      </c>
      <c r="H230" s="245"/>
      <c r="I230" s="2" t="s">
        <v>1352</v>
      </c>
    </row>
    <row r="231">
      <c r="A231" s="265"/>
      <c r="B231" s="419"/>
      <c r="C231" s="427"/>
      <c r="D231" s="399">
        <v>118711.5</v>
      </c>
      <c r="E231" s="398" t="s">
        <v>328</v>
      </c>
      <c r="F231" s="284"/>
      <c r="G231" s="285" t="s">
        <v>877</v>
      </c>
      <c r="H231" s="251"/>
      <c r="I231" s="2" t="s">
        <v>1533</v>
      </c>
    </row>
    <row r="232">
      <c r="A232" s="265"/>
      <c r="B232" s="404">
        <v>25696.8</v>
      </c>
      <c r="C232" s="427"/>
      <c r="D232" s="399"/>
      <c r="E232" s="398"/>
      <c r="F232" s="284"/>
      <c r="G232" s="285" t="s">
        <v>1534</v>
      </c>
      <c r="H232" s="267"/>
      <c r="I232" s="2" t="s">
        <v>1535</v>
      </c>
    </row>
    <row r="233">
      <c r="A233" s="265"/>
      <c r="B233" s="404"/>
      <c r="C233" s="405"/>
      <c r="D233" s="399"/>
      <c r="E233" s="398"/>
      <c r="F233" s="284">
        <v>12000.0</v>
      </c>
      <c r="G233" s="285" t="s">
        <v>344</v>
      </c>
      <c r="H233" s="267"/>
    </row>
    <row r="234">
      <c r="A234" s="265"/>
      <c r="B234" s="404"/>
      <c r="C234" s="405"/>
      <c r="D234" s="399"/>
      <c r="E234" s="398"/>
      <c r="F234" s="284"/>
      <c r="G234" s="285"/>
      <c r="H234" s="251"/>
    </row>
    <row r="235">
      <c r="A235" s="265"/>
      <c r="B235" s="404"/>
      <c r="C235" s="405"/>
      <c r="D235" s="399"/>
      <c r="E235" s="442"/>
      <c r="F235" s="284"/>
      <c r="G235" s="285"/>
      <c r="H235" s="251"/>
    </row>
    <row r="236">
      <c r="A236" s="265"/>
      <c r="B236" s="404"/>
      <c r="C236" s="424"/>
      <c r="D236" s="399"/>
      <c r="E236" s="442"/>
      <c r="F236" s="284"/>
      <c r="G236" s="285"/>
      <c r="H236" s="251"/>
    </row>
    <row r="237">
      <c r="A237" s="265"/>
      <c r="B237" s="404"/>
      <c r="C237" s="405"/>
      <c r="D237" s="400"/>
      <c r="E237" s="442"/>
      <c r="F237" s="284"/>
      <c r="G237" s="285"/>
      <c r="H237" s="267">
        <v>160.0</v>
      </c>
      <c r="I237" s="2" t="s">
        <v>1342</v>
      </c>
    </row>
    <row r="238">
      <c r="A238" s="265"/>
      <c r="B238" s="404"/>
      <c r="C238" s="424"/>
      <c r="D238" s="400"/>
      <c r="E238" s="442"/>
      <c r="F238" s="284">
        <v>981.0</v>
      </c>
      <c r="G238" s="285" t="s">
        <v>303</v>
      </c>
      <c r="H238" s="251"/>
    </row>
    <row r="239">
      <c r="A239" s="265"/>
      <c r="B239" s="404"/>
      <c r="C239" s="424"/>
      <c r="D239" s="399"/>
      <c r="E239" s="398"/>
      <c r="F239" s="284">
        <v>12714.0</v>
      </c>
      <c r="G239" s="285" t="s">
        <v>1536</v>
      </c>
      <c r="H239" s="251"/>
    </row>
    <row r="240">
      <c r="A240" s="265"/>
      <c r="B240" s="404"/>
      <c r="C240" s="424"/>
      <c r="D240" s="399"/>
      <c r="E240" s="442"/>
      <c r="F240" s="284"/>
      <c r="G240" s="285"/>
      <c r="H240" s="267"/>
    </row>
    <row r="241">
      <c r="A241" s="265"/>
      <c r="B241" s="477"/>
      <c r="C241" s="424"/>
      <c r="D241" s="399"/>
      <c r="E241" s="442"/>
      <c r="F241" s="284"/>
      <c r="G241" s="285"/>
      <c r="H241" s="251"/>
    </row>
    <row r="242">
      <c r="A242" s="265"/>
      <c r="B242" s="477"/>
      <c r="C242" s="424"/>
      <c r="D242" s="400"/>
      <c r="E242" s="442"/>
      <c r="F242" s="284"/>
      <c r="G242" s="285"/>
      <c r="H242" s="251"/>
    </row>
    <row r="243">
      <c r="A243" s="265"/>
      <c r="B243" s="477"/>
      <c r="C243" s="424"/>
      <c r="D243" s="400"/>
      <c r="E243" s="442"/>
      <c r="F243" s="284"/>
      <c r="G243" s="285"/>
      <c r="H243" s="251"/>
    </row>
    <row r="244">
      <c r="A244" s="270"/>
      <c r="B244" s="478"/>
      <c r="C244" s="471"/>
      <c r="D244" s="472"/>
      <c r="E244" s="473"/>
      <c r="F244" s="474"/>
      <c r="G244" s="475"/>
      <c r="H244" s="261"/>
    </row>
    <row r="245">
      <c r="A245" s="262" t="s">
        <v>1537</v>
      </c>
      <c r="B245" s="425">
        <v>79000.0</v>
      </c>
      <c r="C245" s="426"/>
      <c r="D245" s="399"/>
      <c r="E245" s="398" t="s">
        <v>328</v>
      </c>
      <c r="F245" s="284"/>
      <c r="G245" s="285" t="s">
        <v>75</v>
      </c>
      <c r="H245" s="245">
        <v>310.0</v>
      </c>
    </row>
    <row r="246">
      <c r="A246" s="265"/>
      <c r="B246" s="404">
        <v>85617.32</v>
      </c>
      <c r="C246" s="405"/>
      <c r="D246" s="399"/>
      <c r="E246" s="398"/>
      <c r="F246" s="284"/>
      <c r="G246" s="285" t="s">
        <v>82</v>
      </c>
      <c r="H246" s="267"/>
    </row>
    <row r="247">
      <c r="A247" s="265"/>
      <c r="B247" s="404"/>
      <c r="C247" s="405"/>
      <c r="D247" s="399"/>
      <c r="E247" s="398"/>
      <c r="F247" s="284">
        <v>981.0</v>
      </c>
      <c r="G247" s="285" t="s">
        <v>303</v>
      </c>
      <c r="H247" s="251"/>
    </row>
    <row r="248">
      <c r="A248" s="265"/>
      <c r="B248" s="404">
        <v>120000.0</v>
      </c>
      <c r="C248" s="405"/>
      <c r="D248" s="399"/>
      <c r="E248" s="442"/>
      <c r="F248" s="284"/>
      <c r="G248" s="285" t="s">
        <v>1538</v>
      </c>
      <c r="H248" s="251"/>
    </row>
    <row r="249">
      <c r="A249" s="265"/>
      <c r="B249" s="404"/>
      <c r="C249" s="405"/>
      <c r="D249" s="399"/>
      <c r="E249" s="398"/>
      <c r="F249" s="284"/>
      <c r="G249" s="285"/>
      <c r="H249" s="251"/>
    </row>
    <row r="250">
      <c r="A250" s="265"/>
      <c r="B250" s="404"/>
      <c r="C250" s="405"/>
      <c r="D250" s="399"/>
      <c r="E250" s="442"/>
      <c r="F250" s="284"/>
      <c r="G250" s="285"/>
      <c r="H250" s="251"/>
    </row>
    <row r="251">
      <c r="A251" s="265"/>
      <c r="B251" s="404"/>
      <c r="C251" s="405"/>
      <c r="D251" s="399"/>
      <c r="E251" s="442"/>
      <c r="F251" s="284"/>
      <c r="G251" s="285"/>
      <c r="H251" s="267"/>
    </row>
    <row r="252">
      <c r="A252" s="265"/>
      <c r="B252" s="404"/>
      <c r="C252" s="405"/>
      <c r="D252" s="399"/>
      <c r="E252" s="442"/>
      <c r="F252" s="284"/>
      <c r="G252" s="285"/>
      <c r="H252" s="267"/>
    </row>
    <row r="253">
      <c r="A253" s="265"/>
      <c r="B253" s="404"/>
      <c r="C253" s="424"/>
      <c r="D253" s="399"/>
      <c r="E253" s="442"/>
      <c r="F253" s="284"/>
      <c r="G253" s="285"/>
      <c r="H253" s="267"/>
    </row>
    <row r="254">
      <c r="A254" s="265"/>
      <c r="B254" s="404"/>
      <c r="C254" s="424"/>
      <c r="D254" s="489"/>
      <c r="E254" s="490"/>
      <c r="F254" s="451"/>
      <c r="G254" s="435"/>
      <c r="H254" s="251"/>
    </row>
    <row r="255">
      <c r="A255" s="265"/>
      <c r="B255" s="404"/>
      <c r="C255" s="424"/>
      <c r="D255" s="400"/>
      <c r="E255" s="442"/>
      <c r="F255" s="284"/>
      <c r="G255" s="285"/>
      <c r="H255" s="251"/>
    </row>
    <row r="256">
      <c r="A256" s="265"/>
      <c r="B256" s="477"/>
      <c r="C256" s="424"/>
      <c r="D256" s="400"/>
      <c r="E256" s="442"/>
      <c r="F256" s="284"/>
      <c r="G256" s="481"/>
      <c r="H256" s="251"/>
    </row>
    <row r="257">
      <c r="A257" s="270"/>
      <c r="B257" s="478"/>
      <c r="C257" s="471"/>
      <c r="D257" s="472"/>
      <c r="E257" s="473"/>
      <c r="F257" s="474"/>
      <c r="G257" s="475"/>
      <c r="H257" s="261"/>
    </row>
    <row r="258">
      <c r="A258" s="262" t="s">
        <v>1539</v>
      </c>
      <c r="B258" s="425">
        <v>57000.0</v>
      </c>
      <c r="C258" s="426"/>
      <c r="D258" s="399"/>
      <c r="E258" s="398"/>
      <c r="F258" s="284"/>
      <c r="G258" s="285" t="s">
        <v>68</v>
      </c>
      <c r="H258" s="245" t="s">
        <v>1540</v>
      </c>
    </row>
    <row r="259">
      <c r="A259" s="265"/>
      <c r="B259" s="419"/>
      <c r="C259" s="427"/>
      <c r="D259" s="399">
        <v>62684.61</v>
      </c>
      <c r="E259" s="398" t="s">
        <v>328</v>
      </c>
      <c r="F259" s="284"/>
      <c r="G259" s="285" t="s">
        <v>1541</v>
      </c>
      <c r="H259" s="267"/>
    </row>
    <row r="260">
      <c r="A260" s="265"/>
      <c r="B260" s="404">
        <v>63990.0</v>
      </c>
      <c r="C260" s="405"/>
      <c r="D260" s="399"/>
      <c r="E260" s="442"/>
      <c r="F260" s="284"/>
      <c r="G260" s="285" t="s">
        <v>1190</v>
      </c>
      <c r="H260" s="251"/>
    </row>
    <row r="261">
      <c r="A261" s="265"/>
      <c r="B261" s="404"/>
      <c r="C261" s="405"/>
      <c r="D261" s="414"/>
      <c r="E261" s="417"/>
      <c r="F261" s="284">
        <v>8000.0</v>
      </c>
      <c r="G261" s="285" t="s">
        <v>85</v>
      </c>
      <c r="H261" s="251"/>
    </row>
    <row r="262">
      <c r="A262" s="265"/>
      <c r="B262" s="404"/>
      <c r="C262" s="405"/>
      <c r="D262" s="414"/>
      <c r="E262" s="417"/>
      <c r="F262" s="284">
        <v>4353.0</v>
      </c>
      <c r="G262" s="285" t="s">
        <v>97</v>
      </c>
      <c r="H262" s="251"/>
    </row>
    <row r="263">
      <c r="A263" s="265"/>
      <c r="B263" s="404">
        <v>245369.84</v>
      </c>
      <c r="C263" s="405"/>
      <c r="D263" s="399"/>
      <c r="E263" s="398" t="s">
        <v>328</v>
      </c>
      <c r="F263" s="284"/>
      <c r="G263" s="285" t="s">
        <v>114</v>
      </c>
      <c r="H263" s="251"/>
    </row>
    <row r="264">
      <c r="A264" s="265"/>
      <c r="B264" s="404">
        <v>330000.0</v>
      </c>
      <c r="C264" s="405"/>
      <c r="D264" s="399"/>
      <c r="E264" s="398" t="s">
        <v>328</v>
      </c>
      <c r="F264" s="284"/>
      <c r="G264" s="285" t="s">
        <v>1542</v>
      </c>
      <c r="H264" s="251"/>
    </row>
    <row r="265">
      <c r="A265" s="265"/>
      <c r="B265" s="404">
        <v>87097.38</v>
      </c>
      <c r="C265" s="405"/>
      <c r="D265" s="399"/>
      <c r="E265" s="442"/>
      <c r="F265" s="284"/>
      <c r="G265" s="285" t="s">
        <v>142</v>
      </c>
      <c r="H265" s="251"/>
    </row>
    <row r="266">
      <c r="A266" s="265"/>
      <c r="B266" s="404"/>
      <c r="C266" s="424"/>
      <c r="D266" s="399"/>
      <c r="E266" s="442"/>
      <c r="F266" s="284"/>
      <c r="G266" s="285"/>
      <c r="H266" s="251"/>
    </row>
    <row r="267">
      <c r="A267" s="265"/>
      <c r="B267" s="404"/>
      <c r="C267" s="424"/>
      <c r="D267" s="399"/>
      <c r="E267" s="442"/>
      <c r="F267" s="284"/>
      <c r="G267" s="285"/>
      <c r="H267" s="251"/>
    </row>
    <row r="268">
      <c r="A268" s="265"/>
      <c r="B268" s="404"/>
      <c r="C268" s="424"/>
      <c r="D268" s="400"/>
      <c r="E268" s="442"/>
      <c r="F268" s="284"/>
      <c r="G268" s="285"/>
      <c r="H268" s="251"/>
    </row>
    <row r="269">
      <c r="A269" s="265"/>
      <c r="B269" s="477"/>
      <c r="C269" s="424"/>
      <c r="D269" s="400"/>
      <c r="E269" s="442"/>
      <c r="F269" s="284"/>
      <c r="G269" s="285"/>
      <c r="H269" s="251"/>
    </row>
    <row r="270">
      <c r="A270" s="265"/>
      <c r="B270" s="477"/>
      <c r="C270" s="424"/>
      <c r="D270" s="400"/>
      <c r="E270" s="442"/>
      <c r="F270" s="284"/>
      <c r="G270" s="285"/>
      <c r="H270" s="251"/>
    </row>
    <row r="271">
      <c r="A271" s="265"/>
      <c r="B271" s="480"/>
      <c r="C271" s="424"/>
      <c r="D271" s="400"/>
      <c r="E271" s="442"/>
      <c r="F271" s="284"/>
      <c r="G271" s="285"/>
      <c r="H271" s="251"/>
    </row>
    <row r="272">
      <c r="A272" s="265"/>
      <c r="B272" s="480"/>
      <c r="C272" s="424"/>
      <c r="D272" s="400"/>
      <c r="E272" s="442"/>
      <c r="F272" s="463"/>
      <c r="G272" s="481"/>
      <c r="H272" s="251"/>
    </row>
    <row r="273">
      <c r="A273" s="270"/>
      <c r="B273" s="478"/>
      <c r="C273" s="471"/>
      <c r="D273" s="472"/>
      <c r="E273" s="473"/>
      <c r="F273" s="460"/>
      <c r="G273" s="482"/>
      <c r="H273" s="261"/>
    </row>
    <row r="274">
      <c r="A274" s="262" t="s">
        <v>1543</v>
      </c>
      <c r="B274" s="425">
        <v>101415.25</v>
      </c>
      <c r="C274" s="426"/>
      <c r="D274" s="401"/>
      <c r="E274" s="402" t="s">
        <v>328</v>
      </c>
      <c r="F274" s="403"/>
      <c r="G274" s="436" t="s">
        <v>84</v>
      </c>
      <c r="H274" s="245">
        <v>170.0</v>
      </c>
    </row>
    <row r="275">
      <c r="A275" s="265"/>
      <c r="B275" s="404">
        <v>62105.76</v>
      </c>
      <c r="C275" s="405"/>
      <c r="D275" s="399"/>
      <c r="E275" s="398"/>
      <c r="F275" s="284"/>
      <c r="G275" s="285" t="s">
        <v>82</v>
      </c>
      <c r="H275" s="267"/>
    </row>
    <row r="276">
      <c r="A276" s="265"/>
      <c r="B276" s="247">
        <v>338134.5</v>
      </c>
      <c r="C276" s="427"/>
      <c r="D276" s="414"/>
      <c r="E276" s="2" t="s">
        <v>628</v>
      </c>
      <c r="F276" s="418"/>
      <c r="G276" s="254" t="s">
        <v>877</v>
      </c>
      <c r="H276" s="251"/>
    </row>
    <row r="277">
      <c r="A277" s="265"/>
      <c r="B277" s="419"/>
      <c r="C277" s="427"/>
      <c r="D277" s="414"/>
      <c r="E277" s="417"/>
      <c r="F277" s="418"/>
      <c r="G277" s="515"/>
      <c r="H277" s="251"/>
    </row>
    <row r="278">
      <c r="A278" s="265"/>
      <c r="B278" s="404"/>
      <c r="C278" s="405"/>
      <c r="D278" s="399"/>
      <c r="E278" s="398"/>
      <c r="F278" s="284">
        <v>98000.0</v>
      </c>
      <c r="G278" s="285" t="s">
        <v>1544</v>
      </c>
      <c r="H278" s="251"/>
    </row>
    <row r="279">
      <c r="A279" s="265"/>
      <c r="B279" s="419">
        <v>121500.0</v>
      </c>
      <c r="C279" s="434"/>
      <c r="D279" s="414"/>
      <c r="E279" s="417" t="s">
        <v>306</v>
      </c>
      <c r="F279" s="418"/>
      <c r="G279" s="420" t="s">
        <v>75</v>
      </c>
      <c r="H279" s="251"/>
    </row>
    <row r="280">
      <c r="A280" s="265"/>
      <c r="B280" s="404"/>
      <c r="C280" s="405"/>
      <c r="D280" s="399"/>
      <c r="E280" s="398"/>
      <c r="F280" s="284"/>
      <c r="G280" s="285"/>
      <c r="H280" s="267"/>
    </row>
    <row r="281">
      <c r="A281" s="265"/>
      <c r="B281" s="419"/>
      <c r="C281" s="427"/>
      <c r="D281" s="414"/>
      <c r="E281" s="417"/>
      <c r="F281" s="418"/>
      <c r="G281" s="420"/>
      <c r="H281" s="267"/>
    </row>
    <row r="282">
      <c r="A282" s="265"/>
      <c r="B282" s="404"/>
      <c r="C282" s="405"/>
      <c r="D282" s="399"/>
      <c r="E282" s="398"/>
      <c r="F282" s="284"/>
      <c r="G282" s="285"/>
      <c r="H282" s="267"/>
    </row>
    <row r="283">
      <c r="A283" s="265"/>
      <c r="B283" s="404"/>
      <c r="C283" s="424"/>
      <c r="D283" s="399"/>
      <c r="E283" s="398"/>
      <c r="F283" s="284"/>
      <c r="G283" s="285"/>
      <c r="H283" s="251"/>
    </row>
    <row r="284">
      <c r="A284" s="265"/>
      <c r="B284" s="477"/>
      <c r="C284" s="424"/>
      <c r="D284" s="399"/>
      <c r="E284" s="442"/>
      <c r="F284" s="284"/>
      <c r="G284" s="285"/>
      <c r="H284" s="267"/>
    </row>
    <row r="285">
      <c r="A285" s="265"/>
      <c r="B285" s="477"/>
      <c r="C285" s="424"/>
      <c r="D285" s="400"/>
      <c r="E285" s="442"/>
      <c r="F285" s="284"/>
      <c r="G285" s="285"/>
      <c r="H285" s="251"/>
    </row>
    <row r="286">
      <c r="A286" s="265"/>
      <c r="B286" s="477"/>
      <c r="C286" s="424"/>
      <c r="D286" s="400"/>
      <c r="E286" s="442"/>
      <c r="F286" s="284"/>
      <c r="G286" s="285"/>
      <c r="H286" s="251"/>
    </row>
    <row r="287">
      <c r="A287" s="265"/>
      <c r="B287" s="477"/>
      <c r="C287" s="424"/>
      <c r="D287" s="400"/>
      <c r="E287" s="442"/>
      <c r="F287" s="284"/>
      <c r="G287" s="285"/>
      <c r="H287" s="251"/>
    </row>
    <row r="288">
      <c r="A288" s="265"/>
      <c r="B288" s="477"/>
      <c r="C288" s="424"/>
      <c r="D288" s="400"/>
      <c r="E288" s="442"/>
      <c r="F288" s="284"/>
      <c r="G288" s="481"/>
      <c r="H288" s="251"/>
    </row>
    <row r="289">
      <c r="A289" s="270"/>
      <c r="B289" s="478"/>
      <c r="C289" s="471"/>
      <c r="D289" s="472"/>
      <c r="E289" s="473"/>
      <c r="F289" s="460"/>
      <c r="G289" s="482"/>
      <c r="H289" s="261"/>
    </row>
    <row r="290">
      <c r="A290" s="262" t="s">
        <v>1545</v>
      </c>
      <c r="B290" s="461"/>
      <c r="C290" s="445"/>
      <c r="D290" s="401">
        <v>191800.0</v>
      </c>
      <c r="E290" s="402" t="s">
        <v>328</v>
      </c>
      <c r="F290" s="284"/>
      <c r="G290" s="285" t="s">
        <v>89</v>
      </c>
      <c r="H290" s="245">
        <v>158.0</v>
      </c>
    </row>
    <row r="291">
      <c r="A291" s="265"/>
      <c r="B291" s="404">
        <v>129435.92</v>
      </c>
      <c r="C291" s="405"/>
      <c r="D291" s="399"/>
      <c r="E291" s="398" t="s">
        <v>328</v>
      </c>
      <c r="F291" s="284"/>
      <c r="G291" s="285" t="s">
        <v>91</v>
      </c>
      <c r="H291" s="267"/>
    </row>
    <row r="292">
      <c r="A292" s="265"/>
      <c r="B292" s="404">
        <v>6250.0</v>
      </c>
      <c r="C292" s="405"/>
      <c r="D292" s="399"/>
      <c r="E292" s="398"/>
      <c r="F292" s="284"/>
      <c r="G292" s="285" t="s">
        <v>1546</v>
      </c>
      <c r="H292" s="251"/>
      <c r="I292" s="491"/>
    </row>
    <row r="293">
      <c r="A293" s="265"/>
      <c r="B293" s="404">
        <v>4600.0</v>
      </c>
      <c r="C293" s="405"/>
      <c r="D293" s="399"/>
      <c r="E293" s="398"/>
      <c r="F293" s="284"/>
      <c r="G293" s="285" t="s">
        <v>464</v>
      </c>
      <c r="H293" s="251"/>
    </row>
    <row r="294">
      <c r="A294" s="265"/>
      <c r="B294" s="404"/>
      <c r="C294" s="405"/>
      <c r="D294" s="399"/>
      <c r="E294" s="398"/>
      <c r="F294" s="284">
        <v>1390.0</v>
      </c>
      <c r="G294" s="285" t="s">
        <v>1547</v>
      </c>
      <c r="H294" s="267"/>
    </row>
    <row r="295">
      <c r="A295" s="265"/>
      <c r="B295" s="404"/>
      <c r="C295" s="405"/>
      <c r="D295" s="399"/>
      <c r="E295" s="442"/>
      <c r="F295" s="284">
        <v>8805.0</v>
      </c>
      <c r="G295" s="285" t="s">
        <v>227</v>
      </c>
      <c r="H295" s="267"/>
    </row>
    <row r="296">
      <c r="A296" s="265"/>
      <c r="B296" s="404">
        <v>46800.0</v>
      </c>
      <c r="C296" s="424"/>
      <c r="D296" s="399"/>
      <c r="E296" s="398" t="s">
        <v>328</v>
      </c>
      <c r="F296" s="284"/>
      <c r="G296" s="285" t="s">
        <v>76</v>
      </c>
      <c r="H296" s="251"/>
    </row>
    <row r="297">
      <c r="A297" s="265"/>
      <c r="B297" s="404">
        <v>150987.17</v>
      </c>
      <c r="C297" s="405"/>
      <c r="D297" s="399"/>
      <c r="E297" s="398" t="s">
        <v>328</v>
      </c>
      <c r="F297" s="284"/>
      <c r="G297" s="285" t="s">
        <v>114</v>
      </c>
      <c r="H297" s="251"/>
    </row>
    <row r="298">
      <c r="A298" s="265"/>
      <c r="B298" s="477"/>
      <c r="C298" s="424"/>
      <c r="D298" s="400"/>
      <c r="E298" s="442"/>
      <c r="F298" s="284"/>
      <c r="G298" s="285"/>
      <c r="H298" s="251"/>
    </row>
    <row r="299">
      <c r="A299" s="265"/>
      <c r="B299" s="477"/>
      <c r="C299" s="424"/>
      <c r="D299" s="400"/>
      <c r="E299" s="442"/>
      <c r="F299" s="284"/>
      <c r="G299" s="285"/>
      <c r="H299" s="251"/>
    </row>
    <row r="300">
      <c r="A300" s="265"/>
      <c r="B300" s="404"/>
      <c r="C300" s="424"/>
      <c r="D300" s="400"/>
      <c r="E300" s="442"/>
      <c r="F300" s="284"/>
      <c r="G300" s="285"/>
      <c r="H300" s="251"/>
    </row>
    <row r="301">
      <c r="A301" s="265"/>
      <c r="B301" s="404"/>
      <c r="C301" s="424"/>
      <c r="D301" s="400"/>
      <c r="E301" s="442"/>
      <c r="F301" s="284"/>
      <c r="G301" s="285"/>
      <c r="H301" s="251"/>
    </row>
    <row r="302">
      <c r="A302" s="265"/>
      <c r="B302" s="477"/>
      <c r="C302" s="424"/>
      <c r="D302" s="400"/>
      <c r="E302" s="442"/>
      <c r="F302" s="284"/>
      <c r="G302" s="285"/>
      <c r="H302" s="251"/>
    </row>
    <row r="303">
      <c r="A303" s="265"/>
      <c r="B303" s="477"/>
      <c r="C303" s="424"/>
      <c r="D303" s="400"/>
      <c r="E303" s="442"/>
      <c r="F303" s="284"/>
      <c r="G303" s="481"/>
      <c r="H303" s="251"/>
    </row>
    <row r="304">
      <c r="A304" s="270"/>
      <c r="B304" s="478"/>
      <c r="C304" s="471"/>
      <c r="D304" s="472"/>
      <c r="E304" s="473"/>
      <c r="F304" s="460"/>
      <c r="G304" s="473"/>
      <c r="H304" s="261"/>
    </row>
    <row r="305">
      <c r="A305" s="262" t="s">
        <v>1548</v>
      </c>
      <c r="B305" s="425">
        <v>19000.0</v>
      </c>
      <c r="C305" s="426"/>
      <c r="D305" s="401"/>
      <c r="E305" s="402" t="s">
        <v>328</v>
      </c>
      <c r="F305" s="403"/>
      <c r="G305" s="402" t="s">
        <v>75</v>
      </c>
      <c r="H305" s="245">
        <v>320.0</v>
      </c>
    </row>
    <row r="306">
      <c r="A306" s="265"/>
      <c r="B306" s="404"/>
      <c r="C306" s="405"/>
      <c r="D306" s="399"/>
      <c r="E306" s="398"/>
      <c r="F306" s="284">
        <v>2458.0</v>
      </c>
      <c r="G306" s="398" t="s">
        <v>227</v>
      </c>
      <c r="H306" s="267"/>
    </row>
    <row r="307">
      <c r="A307" s="265"/>
      <c r="B307" s="404"/>
      <c r="C307" s="405"/>
      <c r="D307" s="399"/>
      <c r="E307" s="398"/>
      <c r="F307" s="284">
        <v>2490.0</v>
      </c>
      <c r="G307" s="398" t="s">
        <v>227</v>
      </c>
      <c r="H307" s="251"/>
    </row>
    <row r="308">
      <c r="A308" s="265"/>
      <c r="B308" s="404">
        <v>41724.8</v>
      </c>
      <c r="C308" s="405"/>
      <c r="D308" s="399"/>
      <c r="E308" s="398"/>
      <c r="F308" s="284"/>
      <c r="G308" s="398" t="s">
        <v>82</v>
      </c>
      <c r="H308" s="251"/>
    </row>
    <row r="309">
      <c r="A309" s="265"/>
      <c r="B309" s="404">
        <v>57000.0</v>
      </c>
      <c r="C309" s="405"/>
      <c r="D309" s="399"/>
      <c r="E309" s="398" t="s">
        <v>328</v>
      </c>
      <c r="F309" s="284"/>
      <c r="G309" s="398" t="s">
        <v>68</v>
      </c>
      <c r="H309" s="251"/>
    </row>
    <row r="310">
      <c r="A310" s="265"/>
      <c r="B310" s="404">
        <v>84430.0</v>
      </c>
      <c r="C310" s="405"/>
      <c r="D310" s="399"/>
      <c r="E310" s="398" t="s">
        <v>328</v>
      </c>
      <c r="F310" s="284"/>
      <c r="G310" s="398" t="s">
        <v>825</v>
      </c>
      <c r="H310" s="251"/>
    </row>
    <row r="311">
      <c r="A311" s="265"/>
      <c r="B311" s="419"/>
      <c r="C311" s="427"/>
      <c r="D311" s="414"/>
      <c r="E311" s="417"/>
      <c r="F311" s="418"/>
      <c r="G311" s="417" t="s">
        <v>1549</v>
      </c>
      <c r="H311" s="251"/>
    </row>
    <row r="312">
      <c r="A312" s="265"/>
      <c r="B312" s="404">
        <v>139545.17</v>
      </c>
      <c r="C312" s="424"/>
      <c r="D312" s="399"/>
      <c r="E312" s="398" t="s">
        <v>328</v>
      </c>
      <c r="F312" s="284"/>
      <c r="G312" s="398" t="s">
        <v>1522</v>
      </c>
      <c r="H312" s="251"/>
    </row>
    <row r="313">
      <c r="A313" s="265"/>
      <c r="B313" s="404"/>
      <c r="C313" s="424"/>
      <c r="D313" s="400"/>
      <c r="E313" s="442"/>
      <c r="F313" s="284"/>
      <c r="G313" s="442"/>
      <c r="H313" s="251"/>
    </row>
    <row r="314">
      <c r="A314" s="265"/>
      <c r="B314" s="404"/>
      <c r="C314" s="424"/>
      <c r="D314" s="399"/>
      <c r="E314" s="442"/>
      <c r="F314" s="284"/>
      <c r="G314" s="442"/>
      <c r="H314" s="251"/>
    </row>
    <row r="315">
      <c r="A315" s="265"/>
      <c r="B315" s="404"/>
      <c r="C315" s="424"/>
      <c r="D315" s="400"/>
      <c r="E315" s="442"/>
      <c r="F315" s="284"/>
      <c r="G315" s="442"/>
      <c r="H315" s="251"/>
    </row>
    <row r="316">
      <c r="A316" s="265"/>
      <c r="B316" s="404"/>
      <c r="C316" s="424"/>
      <c r="D316" s="400"/>
      <c r="E316" s="442"/>
      <c r="F316" s="284"/>
      <c r="G316" s="442"/>
      <c r="H316" s="251"/>
    </row>
    <row r="317">
      <c r="A317" s="265"/>
      <c r="B317" s="404"/>
      <c r="C317" s="424"/>
      <c r="D317" s="399"/>
      <c r="E317" s="442"/>
      <c r="F317" s="284"/>
      <c r="G317" s="442"/>
      <c r="H317" s="251"/>
    </row>
    <row r="318">
      <c r="A318" s="270"/>
      <c r="B318" s="478"/>
      <c r="C318" s="471"/>
      <c r="D318" s="472"/>
      <c r="E318" s="473"/>
      <c r="F318" s="474"/>
      <c r="G318" s="492"/>
      <c r="H318" s="261"/>
    </row>
    <row r="319">
      <c r="A319" s="262" t="s">
        <v>1550</v>
      </c>
      <c r="B319" s="425">
        <v>47600.0</v>
      </c>
      <c r="C319" s="426"/>
      <c r="D319" s="421"/>
      <c r="E319" s="422"/>
      <c r="F319" s="423"/>
      <c r="G319" s="402" t="s">
        <v>926</v>
      </c>
      <c r="H319" s="245">
        <v>300.0</v>
      </c>
      <c r="I319" s="2" t="s">
        <v>1352</v>
      </c>
    </row>
    <row r="320">
      <c r="A320" s="265"/>
      <c r="B320" s="404">
        <v>24764.0</v>
      </c>
      <c r="C320" s="405"/>
      <c r="D320" s="399"/>
      <c r="E320" s="398"/>
      <c r="F320" s="284"/>
      <c r="G320" s="398" t="s">
        <v>291</v>
      </c>
      <c r="H320" s="267"/>
    </row>
    <row r="321">
      <c r="A321" s="265"/>
      <c r="B321" s="404"/>
      <c r="C321" s="405"/>
      <c r="D321" s="399"/>
      <c r="E321" s="398"/>
      <c r="F321" s="284"/>
      <c r="G321" s="398"/>
      <c r="H321" s="267"/>
    </row>
    <row r="322">
      <c r="A322" s="265"/>
      <c r="B322" s="404"/>
      <c r="C322" s="405"/>
      <c r="D322" s="399"/>
      <c r="E322" s="398"/>
      <c r="F322" s="284"/>
      <c r="G322" s="398"/>
      <c r="H322" s="251"/>
    </row>
    <row r="323">
      <c r="A323" s="265"/>
      <c r="B323" s="404"/>
      <c r="C323" s="405"/>
      <c r="D323" s="399"/>
      <c r="E323" s="398"/>
      <c r="F323" s="284"/>
      <c r="G323" s="398"/>
      <c r="H323" s="251"/>
    </row>
    <row r="324">
      <c r="A324" s="265"/>
      <c r="B324" s="404"/>
      <c r="C324" s="424"/>
      <c r="D324" s="399"/>
      <c r="E324" s="398"/>
      <c r="F324" s="284"/>
      <c r="G324" s="398"/>
      <c r="H324" s="251"/>
    </row>
    <row r="325">
      <c r="A325" s="265"/>
      <c r="B325" s="404"/>
      <c r="C325" s="424"/>
      <c r="D325" s="399"/>
      <c r="E325" s="442"/>
      <c r="F325" s="284"/>
      <c r="G325" s="398"/>
      <c r="H325" s="251"/>
    </row>
    <row r="326">
      <c r="A326" s="265"/>
      <c r="B326" s="404"/>
      <c r="C326" s="424"/>
      <c r="D326" s="399"/>
      <c r="E326" s="442"/>
      <c r="F326" s="284"/>
      <c r="G326" s="442"/>
      <c r="H326" s="267">
        <v>143.0</v>
      </c>
      <c r="I326" s="2" t="s">
        <v>1342</v>
      </c>
    </row>
    <row r="327">
      <c r="A327" s="265"/>
      <c r="B327" s="404"/>
      <c r="C327" s="424"/>
      <c r="D327" s="399"/>
      <c r="E327" s="442"/>
      <c r="F327" s="284"/>
      <c r="G327" s="442"/>
      <c r="H327" s="251"/>
    </row>
    <row r="328">
      <c r="A328" s="265"/>
      <c r="B328" s="404"/>
      <c r="C328" s="424"/>
      <c r="D328" s="400"/>
      <c r="E328" s="442"/>
      <c r="F328" s="284"/>
      <c r="G328" s="442"/>
      <c r="H328" s="251"/>
    </row>
    <row r="329">
      <c r="A329" s="265"/>
      <c r="B329" s="404"/>
      <c r="C329" s="424"/>
      <c r="D329" s="400"/>
      <c r="E329" s="442"/>
      <c r="F329" s="284"/>
      <c r="G329" s="442"/>
      <c r="H329" s="251"/>
    </row>
    <row r="330">
      <c r="A330" s="265"/>
      <c r="B330" s="404"/>
      <c r="C330" s="424"/>
      <c r="D330" s="400"/>
      <c r="E330" s="442"/>
      <c r="F330" s="284"/>
      <c r="G330" s="442"/>
      <c r="H330" s="251"/>
    </row>
    <row r="331">
      <c r="A331" s="265"/>
      <c r="B331" s="477"/>
      <c r="C331" s="424"/>
      <c r="D331" s="400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65"/>
      <c r="B333" s="477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65"/>
      <c r="B335" s="477"/>
      <c r="C335" s="424"/>
      <c r="D335" s="400"/>
      <c r="E335" s="442"/>
      <c r="F335" s="284"/>
      <c r="G335" s="442"/>
      <c r="H335" s="251"/>
    </row>
    <row r="336">
      <c r="A336" s="270"/>
      <c r="B336" s="478"/>
      <c r="C336" s="471"/>
      <c r="D336" s="472"/>
      <c r="E336" s="473"/>
      <c r="F336" s="460"/>
      <c r="G336" s="473"/>
      <c r="H336" s="261"/>
    </row>
    <row r="337">
      <c r="A337" s="262" t="s">
        <v>1551</v>
      </c>
      <c r="B337" s="461">
        <v>147500.0</v>
      </c>
      <c r="C337" s="445"/>
      <c r="D337" s="421"/>
      <c r="E337" s="422" t="s">
        <v>306</v>
      </c>
      <c r="F337" s="423"/>
      <c r="G337" s="417" t="s">
        <v>75</v>
      </c>
      <c r="H337" s="245">
        <v>110.0</v>
      </c>
      <c r="I337" s="2" t="s">
        <v>1552</v>
      </c>
    </row>
    <row r="338">
      <c r="A338" s="265"/>
      <c r="B338" s="404">
        <v>62587.2</v>
      </c>
      <c r="C338" s="405"/>
      <c r="D338" s="399"/>
      <c r="E338" s="398"/>
      <c r="F338" s="284"/>
      <c r="G338" s="398" t="s">
        <v>82</v>
      </c>
      <c r="H338" s="267"/>
    </row>
    <row r="339">
      <c r="A339" s="265"/>
      <c r="B339" s="493"/>
      <c r="C339" s="313"/>
      <c r="D339" s="506"/>
      <c r="E339" s="507"/>
      <c r="F339" s="451">
        <v>10000.0</v>
      </c>
      <c r="G339" s="450" t="s">
        <v>1553</v>
      </c>
      <c r="H339" s="267"/>
    </row>
    <row r="340">
      <c r="A340" s="265"/>
      <c r="B340" s="516">
        <v>63990.0</v>
      </c>
      <c r="C340" s="496"/>
      <c r="D340" s="325"/>
      <c r="E340" s="507"/>
      <c r="F340" s="291"/>
      <c r="G340" s="450" t="s">
        <v>118</v>
      </c>
      <c r="H340" s="251"/>
    </row>
    <row r="341">
      <c r="A341" s="265"/>
      <c r="B341" s="497"/>
      <c r="C341" s="313"/>
      <c r="D341" s="325"/>
      <c r="E341" s="498"/>
      <c r="F341" s="291"/>
      <c r="G341" s="495"/>
      <c r="H341" s="251"/>
    </row>
    <row r="342">
      <c r="A342" s="265"/>
      <c r="B342" s="493"/>
      <c r="C342" s="499"/>
      <c r="D342" s="314"/>
      <c r="E342" s="507"/>
      <c r="F342" s="291"/>
      <c r="G342" s="490"/>
      <c r="H342" s="251"/>
    </row>
    <row r="343">
      <c r="A343" s="265"/>
      <c r="B343" s="404"/>
      <c r="C343" s="424"/>
      <c r="D343" s="399"/>
      <c r="E343" s="442"/>
      <c r="F343" s="284"/>
      <c r="G343" s="442"/>
      <c r="H343" s="251"/>
    </row>
    <row r="344">
      <c r="A344" s="265"/>
      <c r="B344" s="477"/>
      <c r="C344" s="424"/>
      <c r="D344" s="399"/>
      <c r="E344" s="442"/>
      <c r="F344" s="284"/>
      <c r="G344" s="442"/>
      <c r="H344" s="251"/>
    </row>
    <row r="345">
      <c r="A345" s="265"/>
      <c r="B345" s="477"/>
      <c r="C345" s="424"/>
      <c r="D345" s="400"/>
      <c r="E345" s="442"/>
      <c r="F345" s="284"/>
      <c r="G345" s="442"/>
      <c r="H345" s="251"/>
    </row>
    <row r="346">
      <c r="A346" s="265"/>
      <c r="B346" s="404"/>
      <c r="C346" s="424"/>
      <c r="D346" s="400"/>
      <c r="E346" s="442"/>
      <c r="F346" s="284"/>
      <c r="G346" s="442"/>
      <c r="H346" s="251"/>
    </row>
    <row r="347">
      <c r="A347" s="265"/>
      <c r="B347" s="477"/>
      <c r="C347" s="424"/>
      <c r="D347" s="400"/>
      <c r="E347" s="442"/>
      <c r="F347" s="284"/>
      <c r="G347" s="442"/>
      <c r="H347" s="251"/>
    </row>
    <row r="348">
      <c r="A348" s="270"/>
      <c r="B348" s="478"/>
      <c r="C348" s="471"/>
      <c r="D348" s="472"/>
      <c r="E348" s="473"/>
      <c r="F348" s="460"/>
      <c r="G348" s="473"/>
      <c r="H348" s="261"/>
    </row>
    <row r="349">
      <c r="A349" s="280" t="s">
        <v>1554</v>
      </c>
      <c r="B349" s="425">
        <v>198807.36</v>
      </c>
      <c r="C349" s="426"/>
      <c r="D349" s="401"/>
      <c r="E349" s="402" t="s">
        <v>328</v>
      </c>
      <c r="F349" s="403"/>
      <c r="G349" s="398" t="s">
        <v>1555</v>
      </c>
      <c r="H349" s="245">
        <v>290.0</v>
      </c>
    </row>
    <row r="350">
      <c r="A350" s="265"/>
      <c r="B350" s="404">
        <v>229662.48</v>
      </c>
      <c r="C350" s="405"/>
      <c r="D350" s="399"/>
      <c r="E350" s="398" t="s">
        <v>328</v>
      </c>
      <c r="F350" s="284"/>
      <c r="G350" s="398" t="s">
        <v>114</v>
      </c>
      <c r="H350" s="267"/>
    </row>
    <row r="351">
      <c r="A351" s="265"/>
      <c r="B351" s="404"/>
      <c r="C351" s="405"/>
      <c r="D351" s="399"/>
      <c r="E351" s="442"/>
      <c r="F351" s="284">
        <v>3555.0</v>
      </c>
      <c r="G351" s="398" t="s">
        <v>1556</v>
      </c>
      <c r="H351" s="267"/>
    </row>
    <row r="352">
      <c r="A352" s="265"/>
      <c r="B352" s="404"/>
      <c r="C352" s="405"/>
      <c r="D352" s="399"/>
      <c r="E352" s="398"/>
      <c r="F352" s="284">
        <v>40000.0</v>
      </c>
      <c r="G352" s="398" t="s">
        <v>1557</v>
      </c>
      <c r="H352" s="267"/>
    </row>
    <row r="353">
      <c r="A353" s="265"/>
      <c r="B353" s="404">
        <v>160000.0</v>
      </c>
      <c r="C353" s="405"/>
      <c r="D353" s="399"/>
      <c r="E353" s="398"/>
      <c r="F353" s="284"/>
      <c r="G353" s="398" t="s">
        <v>1558</v>
      </c>
      <c r="H353" s="267"/>
    </row>
    <row r="354">
      <c r="A354" s="265"/>
      <c r="B354" s="404">
        <v>45785.0</v>
      </c>
      <c r="C354" s="405"/>
      <c r="D354" s="399"/>
      <c r="E354" s="398"/>
      <c r="F354" s="284"/>
      <c r="G354" s="398" t="s">
        <v>352</v>
      </c>
      <c r="H354" s="267"/>
    </row>
    <row r="355">
      <c r="A355" s="265"/>
      <c r="B355" s="404">
        <v>4400.0</v>
      </c>
      <c r="C355" s="405"/>
      <c r="D355" s="399"/>
      <c r="E355" s="398"/>
      <c r="F355" s="284"/>
      <c r="G355" s="398" t="s">
        <v>1559</v>
      </c>
      <c r="H355" s="267"/>
    </row>
    <row r="356">
      <c r="A356" s="265"/>
      <c r="B356" s="404"/>
      <c r="C356" s="405"/>
      <c r="D356" s="399"/>
      <c r="E356" s="398"/>
      <c r="F356" s="284"/>
      <c r="G356" s="398"/>
      <c r="H356" s="267"/>
    </row>
    <row r="357">
      <c r="A357" s="265"/>
      <c r="B357" s="404"/>
      <c r="C357" s="405"/>
      <c r="D357" s="399"/>
      <c r="E357" s="442"/>
      <c r="F357" s="284"/>
      <c r="G357" s="398"/>
      <c r="H357" s="267"/>
    </row>
    <row r="358">
      <c r="A358" s="265"/>
      <c r="B358" s="404"/>
      <c r="C358" s="405"/>
      <c r="D358" s="399"/>
      <c r="E358" s="442"/>
      <c r="F358" s="284"/>
      <c r="G358" s="398"/>
      <c r="H358" s="267"/>
    </row>
    <row r="359">
      <c r="A359" s="270"/>
      <c r="B359" s="404"/>
      <c r="C359" s="405"/>
      <c r="D359" s="399"/>
      <c r="E359" s="442"/>
      <c r="F359" s="284"/>
      <c r="G359" s="398"/>
      <c r="H359" s="267"/>
    </row>
    <row r="360">
      <c r="A360" s="452"/>
      <c r="B360" s="404"/>
      <c r="C360" s="405"/>
      <c r="D360" s="399"/>
      <c r="E360" s="442"/>
      <c r="F360" s="284"/>
      <c r="G360" s="398"/>
      <c r="H360" s="267"/>
    </row>
    <row r="361">
      <c r="A361" s="280" t="s">
        <v>1560</v>
      </c>
      <c r="B361" s="425">
        <v>462885.5</v>
      </c>
      <c r="C361" s="426"/>
      <c r="D361" s="401"/>
      <c r="E361" s="402" t="s">
        <v>328</v>
      </c>
      <c r="F361" s="403"/>
      <c r="G361" s="402" t="s">
        <v>877</v>
      </c>
      <c r="H361" s="245">
        <v>300.0</v>
      </c>
    </row>
    <row r="362">
      <c r="A362" s="265"/>
      <c r="B362" s="404">
        <v>57000.0</v>
      </c>
      <c r="C362" s="405"/>
      <c r="D362" s="443"/>
      <c r="E362" s="398" t="s">
        <v>328</v>
      </c>
      <c r="F362" s="284"/>
      <c r="G362" s="398" t="s">
        <v>68</v>
      </c>
      <c r="H362" s="267"/>
    </row>
    <row r="363">
      <c r="A363" s="265"/>
      <c r="B363" s="419"/>
      <c r="C363" s="427"/>
      <c r="D363" s="414"/>
      <c r="E363" s="417"/>
      <c r="F363" s="284">
        <v>2600.0</v>
      </c>
      <c r="G363" s="398" t="s">
        <v>85</v>
      </c>
      <c r="H363" s="267"/>
    </row>
    <row r="364">
      <c r="A364" s="265"/>
      <c r="B364" s="404">
        <v>81791.32</v>
      </c>
      <c r="C364" s="424"/>
      <c r="D364" s="399"/>
      <c r="E364" s="398" t="s">
        <v>328</v>
      </c>
      <c r="F364" s="284"/>
      <c r="G364" s="398" t="s">
        <v>1561</v>
      </c>
      <c r="H364" s="251"/>
    </row>
    <row r="365">
      <c r="A365" s="265"/>
      <c r="B365" s="404">
        <v>96837.21</v>
      </c>
      <c r="C365" s="424"/>
      <c r="D365" s="399"/>
      <c r="E365" s="398" t="s">
        <v>328</v>
      </c>
      <c r="F365" s="284"/>
      <c r="G365" s="398" t="s">
        <v>74</v>
      </c>
      <c r="H365" s="294"/>
    </row>
    <row r="366">
      <c r="A366" s="265"/>
      <c r="B366" s="404">
        <v>30903.22</v>
      </c>
      <c r="C366" s="424"/>
      <c r="D366" s="399"/>
      <c r="E366" s="398" t="s">
        <v>328</v>
      </c>
      <c r="F366" s="284"/>
      <c r="G366" s="398" t="s">
        <v>73</v>
      </c>
      <c r="H366" s="251"/>
    </row>
    <row r="367">
      <c r="A367" s="265"/>
      <c r="B367" s="404">
        <v>73000.0</v>
      </c>
      <c r="C367" s="424"/>
      <c r="D367" s="399"/>
      <c r="E367" s="398" t="s">
        <v>328</v>
      </c>
      <c r="F367" s="284"/>
      <c r="G367" s="398" t="s">
        <v>75</v>
      </c>
      <c r="H367" s="251"/>
    </row>
    <row r="368">
      <c r="A368" s="265"/>
      <c r="B368" s="477"/>
      <c r="C368" s="424"/>
      <c r="D368" s="399"/>
      <c r="E368" s="442"/>
      <c r="F368" s="284">
        <v>1715.0</v>
      </c>
      <c r="G368" s="398" t="s">
        <v>288</v>
      </c>
      <c r="H368" s="267"/>
    </row>
    <row r="369">
      <c r="A369" s="265"/>
      <c r="B369" s="477"/>
      <c r="C369" s="424"/>
      <c r="D369" s="399"/>
      <c r="E369" s="442"/>
      <c r="F369" s="284"/>
      <c r="G369" s="442"/>
      <c r="H369" s="251"/>
    </row>
    <row r="370">
      <c r="A370" s="265"/>
      <c r="B370" s="404"/>
      <c r="C370" s="424"/>
      <c r="D370" s="399"/>
      <c r="E370" s="442"/>
      <c r="F370" s="284"/>
      <c r="G370" s="442"/>
      <c r="H370" s="267"/>
    </row>
    <row r="371">
      <c r="A371" s="270"/>
      <c r="B371" s="478"/>
      <c r="C371" s="471"/>
      <c r="D371" s="462"/>
      <c r="E371" s="473"/>
      <c r="F371" s="460"/>
      <c r="G371" s="492"/>
      <c r="H371" s="261"/>
    </row>
    <row r="372">
      <c r="A372" s="299" t="s">
        <v>1562</v>
      </c>
      <c r="B372" s="440">
        <v>4000.0</v>
      </c>
      <c r="C372" s="424"/>
      <c r="D372" s="462"/>
      <c r="E372" s="442"/>
      <c r="F372" s="463"/>
      <c r="G372" s="398" t="s">
        <v>85</v>
      </c>
      <c r="H372" s="267">
        <v>200.0</v>
      </c>
    </row>
    <row r="373">
      <c r="B373" s="480"/>
      <c r="C373" s="405"/>
      <c r="D373" s="462">
        <v>130859.75</v>
      </c>
      <c r="E373" s="398" t="s">
        <v>328</v>
      </c>
      <c r="F373" s="463"/>
      <c r="G373" s="398" t="s">
        <v>89</v>
      </c>
      <c r="H373" s="251"/>
    </row>
    <row r="374">
      <c r="B374" s="440">
        <v>103985.06</v>
      </c>
      <c r="C374" s="424"/>
      <c r="D374" s="462"/>
      <c r="E374" s="398" t="s">
        <v>328</v>
      </c>
      <c r="F374" s="463"/>
      <c r="G374" s="398" t="s">
        <v>77</v>
      </c>
      <c r="H374" s="251"/>
    </row>
    <row r="375">
      <c r="B375" s="440">
        <v>50200.0</v>
      </c>
      <c r="C375" s="424"/>
      <c r="D375" s="462"/>
      <c r="E375" s="442"/>
      <c r="F375" s="463"/>
      <c r="G375" s="398" t="s">
        <v>76</v>
      </c>
      <c r="H375" s="251"/>
    </row>
    <row r="376">
      <c r="B376" s="440">
        <v>36675.1</v>
      </c>
      <c r="C376" s="424"/>
      <c r="D376" s="462"/>
      <c r="E376" s="398" t="s">
        <v>328</v>
      </c>
      <c r="F376" s="463"/>
      <c r="G376" s="398" t="s">
        <v>73</v>
      </c>
      <c r="H376" s="251"/>
    </row>
    <row r="377">
      <c r="B377" s="440">
        <v>15012.77</v>
      </c>
      <c r="C377" s="424"/>
      <c r="D377" s="462"/>
      <c r="E377" s="398" t="s">
        <v>328</v>
      </c>
      <c r="F377" s="463"/>
      <c r="G377" s="398" t="s">
        <v>74</v>
      </c>
      <c r="H377" s="251"/>
    </row>
    <row r="378">
      <c r="B378" s="480"/>
      <c r="C378" s="424"/>
      <c r="D378" s="462"/>
      <c r="E378" s="442"/>
      <c r="F378" s="284">
        <v>14000.0</v>
      </c>
      <c r="G378" s="398" t="s">
        <v>1563</v>
      </c>
      <c r="H378" s="251"/>
    </row>
    <row r="379">
      <c r="B379" s="480"/>
      <c r="C379" s="424"/>
      <c r="D379" s="462"/>
      <c r="E379" s="442"/>
      <c r="F379" s="463"/>
      <c r="G379" s="442"/>
      <c r="H379" s="251"/>
    </row>
    <row r="380">
      <c r="B380" s="480"/>
      <c r="C380" s="424"/>
      <c r="D380" s="462"/>
      <c r="E380" s="442"/>
      <c r="F380" s="463"/>
      <c r="G380" s="442"/>
      <c r="H380" s="251"/>
    </row>
    <row r="381">
      <c r="B381" s="480"/>
      <c r="C381" s="424"/>
      <c r="D381" s="462"/>
      <c r="E381" s="442"/>
      <c r="F381" s="463"/>
      <c r="G381" s="442"/>
      <c r="H381" s="251"/>
    </row>
    <row r="382">
      <c r="B382" s="480"/>
      <c r="C382" s="424"/>
      <c r="D382" s="462"/>
      <c r="E382" s="442"/>
      <c r="F382" s="463"/>
      <c r="G382" s="442"/>
      <c r="H382" s="251"/>
    </row>
    <row r="383">
      <c r="A383" s="299"/>
      <c r="B383" s="278"/>
      <c r="C383" s="252"/>
      <c r="D383" s="295"/>
      <c r="F383" s="432"/>
      <c r="H383" s="251"/>
    </row>
    <row r="384">
      <c r="A384" s="299"/>
      <c r="B384" s="278"/>
      <c r="C384" s="252"/>
      <c r="D384" s="295"/>
      <c r="F384" s="432"/>
      <c r="G384" s="2"/>
      <c r="H384" s="251"/>
      <c r="J384" s="2" t="s">
        <v>1564</v>
      </c>
    </row>
    <row r="385">
      <c r="A385" s="280" t="s">
        <v>187</v>
      </c>
      <c r="B385" s="239"/>
      <c r="C385" s="240"/>
      <c r="D385" s="439"/>
      <c r="E385" s="242"/>
      <c r="F385" s="423"/>
      <c r="G385" s="2" t="s">
        <v>188</v>
      </c>
      <c r="H385" s="297"/>
      <c r="I385" s="2" t="s">
        <v>189</v>
      </c>
      <c r="J385" s="2" t="s">
        <v>1565</v>
      </c>
    </row>
    <row r="386">
      <c r="A386" s="265"/>
      <c r="B386" s="247"/>
      <c r="C386" s="248"/>
      <c r="D386" s="317"/>
      <c r="E386" s="429"/>
      <c r="F386" s="418"/>
      <c r="G386" s="2" t="s">
        <v>190</v>
      </c>
      <c r="H386" s="294"/>
      <c r="J386" s="2" t="s">
        <v>1566</v>
      </c>
    </row>
    <row r="387">
      <c r="A387" s="265"/>
      <c r="B387" s="247">
        <v>303988.0</v>
      </c>
      <c r="C387" s="248"/>
      <c r="D387" s="438"/>
      <c r="F387" s="418"/>
      <c r="G387" s="2" t="s">
        <v>1567</v>
      </c>
      <c r="H387" s="294">
        <v>45587.0</v>
      </c>
    </row>
    <row r="388">
      <c r="A388" s="265"/>
      <c r="B388" s="517">
        <v>116793.83</v>
      </c>
      <c r="C388" s="248"/>
      <c r="D388" s="438"/>
      <c r="F388" s="418"/>
      <c r="G388" s="2" t="s">
        <v>191</v>
      </c>
      <c r="H388" s="294">
        <v>45594.0</v>
      </c>
      <c r="I388" s="2" t="s">
        <v>1568</v>
      </c>
      <c r="J388" s="2" t="s">
        <v>1569</v>
      </c>
    </row>
    <row r="389">
      <c r="A389" s="265"/>
      <c r="B389" s="268"/>
      <c r="C389" s="252"/>
      <c r="D389" s="298"/>
      <c r="F389" s="418"/>
      <c r="H389" s="294"/>
    </row>
    <row r="390">
      <c r="A390" s="265"/>
      <c r="B390" s="268"/>
      <c r="C390" s="252"/>
      <c r="D390" s="249">
        <v>363000.0</v>
      </c>
      <c r="F390" s="418"/>
      <c r="G390" s="2" t="s">
        <v>192</v>
      </c>
      <c r="H390" s="294">
        <v>45576.0</v>
      </c>
    </row>
    <row r="391">
      <c r="A391" s="265"/>
      <c r="B391" s="268"/>
      <c r="C391" s="252"/>
      <c r="D391" s="253"/>
      <c r="F391" s="284">
        <v>638000.0</v>
      </c>
      <c r="G391" s="2" t="s">
        <v>193</v>
      </c>
      <c r="H391" s="294">
        <v>45586.0</v>
      </c>
    </row>
    <row r="392">
      <c r="A392" s="265"/>
      <c r="B392" s="247"/>
      <c r="C392" s="252"/>
      <c r="D392" s="249"/>
      <c r="F392" s="418"/>
      <c r="G392" s="2" t="s">
        <v>1093</v>
      </c>
      <c r="H392" s="294"/>
    </row>
    <row r="393">
      <c r="A393" s="265"/>
      <c r="B393" s="247"/>
      <c r="C393" s="252"/>
      <c r="D393" s="249">
        <v>122760.0</v>
      </c>
      <c r="F393" s="418"/>
      <c r="G393" s="2" t="s">
        <v>196</v>
      </c>
      <c r="H393" s="294">
        <v>45569.0</v>
      </c>
      <c r="I393" s="318"/>
    </row>
    <row r="394">
      <c r="A394" s="265"/>
      <c r="B394" s="247">
        <v>53552.33</v>
      </c>
      <c r="C394" s="252"/>
      <c r="D394" s="249"/>
      <c r="F394" s="418"/>
      <c r="G394" s="2" t="s">
        <v>197</v>
      </c>
      <c r="H394" s="294"/>
      <c r="I394" s="2" t="s">
        <v>198</v>
      </c>
      <c r="J394" s="2" t="s">
        <v>1566</v>
      </c>
    </row>
    <row r="395">
      <c r="A395" s="265"/>
      <c r="B395" s="268"/>
      <c r="C395" s="252"/>
      <c r="D395" s="249">
        <v>46860.68</v>
      </c>
      <c r="F395" s="418"/>
      <c r="G395" s="2" t="s">
        <v>199</v>
      </c>
      <c r="H395" s="294"/>
      <c r="I395" s="2" t="s">
        <v>189</v>
      </c>
      <c r="J395" s="2" t="s">
        <v>1570</v>
      </c>
    </row>
    <row r="396">
      <c r="A396" s="265"/>
      <c r="B396" s="247"/>
      <c r="C396" s="252"/>
      <c r="D396" s="439">
        <v>84396.82</v>
      </c>
      <c r="F396" s="418"/>
      <c r="G396" s="2" t="s">
        <v>200</v>
      </c>
      <c r="H396" s="294"/>
      <c r="I396" s="2" t="s">
        <v>189</v>
      </c>
      <c r="J396" s="2" t="s">
        <v>1571</v>
      </c>
    </row>
    <row r="397">
      <c r="A397" s="265"/>
      <c r="B397" s="278"/>
      <c r="C397" s="248"/>
      <c r="D397" s="439">
        <v>85642.84</v>
      </c>
      <c r="F397" s="432"/>
      <c r="G397" s="2" t="s">
        <v>201</v>
      </c>
      <c r="H397" s="294"/>
      <c r="I397" s="2" t="s">
        <v>189</v>
      </c>
    </row>
    <row r="398">
      <c r="A398" s="270"/>
      <c r="B398" s="277"/>
      <c r="C398" s="248"/>
      <c r="D398" s="295"/>
      <c r="F398" s="464"/>
      <c r="H398" s="294"/>
    </row>
    <row r="399">
      <c r="A399" s="299"/>
      <c r="B399" s="278"/>
      <c r="C399" s="248"/>
      <c r="D399" s="295"/>
      <c r="F399" s="432"/>
      <c r="H399" s="294"/>
    </row>
    <row r="400">
      <c r="A400" s="299"/>
      <c r="B400" s="278"/>
      <c r="C400" s="248"/>
      <c r="D400" s="431"/>
      <c r="E400" s="417"/>
      <c r="F400" s="432"/>
      <c r="G400" s="417" t="s">
        <v>202</v>
      </c>
      <c r="H400" s="301"/>
      <c r="I400" s="2" t="s">
        <v>203</v>
      </c>
    </row>
    <row r="401">
      <c r="A401" s="299"/>
      <c r="B401" s="278"/>
      <c r="C401" s="248"/>
      <c r="D401" s="295"/>
      <c r="F401" s="418"/>
      <c r="G401" s="2" t="s">
        <v>204</v>
      </c>
      <c r="H401" s="301"/>
    </row>
    <row r="402">
      <c r="A402" s="303"/>
      <c r="B402" s="278"/>
      <c r="C402" s="252"/>
      <c r="D402" s="249"/>
      <c r="F402" s="418"/>
      <c r="G402" s="2" t="s">
        <v>205</v>
      </c>
      <c r="H402" s="301"/>
    </row>
    <row r="403">
      <c r="A403" s="303"/>
      <c r="B403" s="268"/>
      <c r="C403" s="252"/>
      <c r="D403" s="249"/>
      <c r="F403" s="418"/>
      <c r="G403" s="2" t="s">
        <v>735</v>
      </c>
      <c r="H403" s="301"/>
    </row>
    <row r="404">
      <c r="A404" s="303"/>
      <c r="B404" s="247"/>
      <c r="C404" s="252"/>
      <c r="D404" s="249"/>
      <c r="F404" s="418"/>
      <c r="G404" s="2" t="s">
        <v>206</v>
      </c>
      <c r="H404" s="294"/>
      <c r="I404" s="2" t="s">
        <v>203</v>
      </c>
    </row>
    <row r="405">
      <c r="A405" s="303"/>
      <c r="B405" s="268"/>
      <c r="C405" s="252"/>
      <c r="D405" s="300">
        <v>142499.15</v>
      </c>
      <c r="F405" s="465"/>
      <c r="G405" s="2" t="s">
        <v>209</v>
      </c>
      <c r="H405" s="294"/>
      <c r="I405" s="2" t="s">
        <v>1273</v>
      </c>
      <c r="J405" s="2" t="s">
        <v>1566</v>
      </c>
    </row>
    <row r="406">
      <c r="A406" s="303"/>
      <c r="B406" s="247"/>
      <c r="C406" s="252"/>
      <c r="D406" s="249"/>
      <c r="E406" s="2">
        <v>952310.0</v>
      </c>
      <c r="F406" s="418" t="s">
        <v>306</v>
      </c>
      <c r="G406" s="2" t="s">
        <v>1572</v>
      </c>
      <c r="H406" s="294"/>
    </row>
    <row r="407">
      <c r="A407" s="303"/>
      <c r="B407" s="268"/>
      <c r="C407" s="252"/>
      <c r="D407" s="249">
        <v>568205.64</v>
      </c>
      <c r="F407" s="418"/>
      <c r="G407" s="2" t="s">
        <v>1573</v>
      </c>
      <c r="H407" s="294"/>
    </row>
    <row r="408">
      <c r="A408" s="303"/>
      <c r="B408" s="268"/>
      <c r="C408" s="252"/>
      <c r="D408" s="249"/>
      <c r="F408" s="418"/>
      <c r="G408" s="2" t="s">
        <v>1217</v>
      </c>
      <c r="H408" s="294"/>
    </row>
    <row r="409">
      <c r="A409" s="303"/>
      <c r="B409" s="247"/>
      <c r="C409" s="252"/>
      <c r="D409" s="331"/>
      <c r="F409" s="458"/>
      <c r="G409" s="2" t="s">
        <v>667</v>
      </c>
      <c r="H409" s="294"/>
    </row>
    <row r="410">
      <c r="A410" s="304"/>
      <c r="B410" s="268"/>
      <c r="C410" s="252"/>
      <c r="D410" s="249"/>
      <c r="F410" s="465"/>
      <c r="H410" s="294"/>
    </row>
    <row r="411">
      <c r="A411" s="305"/>
      <c r="B411" s="406">
        <f>SUM(B385:B410)</f>
        <v>474334.16</v>
      </c>
      <c r="C411" s="272"/>
      <c r="D411" s="392">
        <f>SUM(D385:D410)</f>
        <v>1413365.13</v>
      </c>
      <c r="E411" s="18"/>
      <c r="F411" s="466">
        <f>SUM(F385:F410)</f>
        <v>638000</v>
      </c>
      <c r="G411" s="18"/>
      <c r="H411" s="261"/>
    </row>
    <row r="412">
      <c r="A412" s="265"/>
      <c r="B412" s="306"/>
      <c r="C412" s="240"/>
      <c r="D412" s="241"/>
      <c r="E412" s="242"/>
      <c r="F412" s="423"/>
      <c r="G412" s="244"/>
      <c r="H412" s="307"/>
    </row>
    <row r="413">
      <c r="A413" s="265"/>
      <c r="B413" s="268"/>
      <c r="C413" s="252"/>
      <c r="D413" s="253"/>
      <c r="F413" s="418"/>
      <c r="H413" s="251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65"/>
      <c r="B418" s="268"/>
      <c r="C418" s="252"/>
      <c r="D418" s="253"/>
      <c r="F418" s="418"/>
      <c r="H418" s="251"/>
    </row>
    <row r="419">
      <c r="A419" s="265"/>
      <c r="B419" s="268"/>
      <c r="C419" s="252"/>
      <c r="D419" s="253"/>
      <c r="F419" s="418"/>
      <c r="H419" s="251"/>
    </row>
    <row r="420">
      <c r="A420" s="270"/>
      <c r="B420" s="268"/>
      <c r="C420" s="252"/>
      <c r="D420" s="253"/>
      <c r="F420" s="418"/>
      <c r="H420" s="251"/>
    </row>
    <row r="421">
      <c r="A421" s="305"/>
      <c r="B421" s="271"/>
      <c r="C421" s="272"/>
      <c r="D421" s="273"/>
      <c r="E421" s="18"/>
      <c r="F421" s="456"/>
      <c r="G421" s="18"/>
      <c r="H421" s="261"/>
    </row>
    <row r="422">
      <c r="A422" s="265"/>
      <c r="B422" s="306"/>
      <c r="C422" s="240"/>
      <c r="D422" s="241"/>
      <c r="E422" s="242"/>
      <c r="F422" s="423"/>
      <c r="G422" s="244"/>
      <c r="H422" s="307"/>
    </row>
    <row r="423">
      <c r="A423" s="265"/>
      <c r="B423" s="268"/>
      <c r="C423" s="252"/>
      <c r="D423" s="253"/>
      <c r="F423" s="418"/>
      <c r="H423" s="251"/>
    </row>
    <row r="424">
      <c r="A424" s="265"/>
      <c r="B424" s="268"/>
      <c r="C424" s="252"/>
      <c r="D424" s="253"/>
      <c r="F424" s="418"/>
      <c r="H424" s="251"/>
    </row>
    <row r="425">
      <c r="A425" s="265"/>
      <c r="B425" s="268"/>
      <c r="C425" s="252"/>
      <c r="D425" s="253"/>
      <c r="F425" s="418"/>
      <c r="H425" s="251"/>
    </row>
    <row r="426">
      <c r="A426" s="265"/>
      <c r="B426" s="268"/>
      <c r="C426" s="252"/>
      <c r="D426" s="253"/>
      <c r="F426" s="418"/>
      <c r="H426" s="251"/>
    </row>
    <row r="427">
      <c r="A427" s="265"/>
      <c r="B427" s="268"/>
      <c r="C427" s="252"/>
      <c r="D427" s="253"/>
      <c r="F427" s="418"/>
      <c r="H427" s="251"/>
    </row>
    <row r="428">
      <c r="A428" s="265"/>
      <c r="B428" s="268"/>
      <c r="C428" s="252"/>
      <c r="D428" s="253"/>
      <c r="F428" s="418"/>
      <c r="H428" s="251"/>
    </row>
    <row r="429">
      <c r="A429" s="265"/>
      <c r="B429" s="268"/>
      <c r="C429" s="252"/>
      <c r="D429" s="253"/>
      <c r="F429" s="418"/>
      <c r="H429" s="251"/>
    </row>
    <row r="430">
      <c r="A430" s="270"/>
      <c r="B430" s="268"/>
      <c r="C430" s="252"/>
      <c r="D430" s="253"/>
      <c r="F430" s="418"/>
      <c r="H430" s="251"/>
    </row>
    <row r="431">
      <c r="B431" s="271"/>
      <c r="C431" s="272"/>
      <c r="D431" s="273"/>
      <c r="E431" s="18"/>
      <c r="F431" s="456"/>
      <c r="G431" s="18"/>
      <c r="H431" s="261"/>
    </row>
    <row r="432">
      <c r="B432" s="306"/>
      <c r="C432" s="240"/>
      <c r="D432" s="241"/>
      <c r="E432" s="242"/>
      <c r="F432" s="423"/>
      <c r="G432" s="244"/>
      <c r="H432" s="307"/>
    </row>
    <row r="433">
      <c r="B433" s="268"/>
      <c r="C433" s="252"/>
      <c r="D433" s="253"/>
      <c r="F433" s="418"/>
      <c r="H433" s="251"/>
    </row>
    <row r="434">
      <c r="B434" s="268"/>
      <c r="C434" s="252"/>
      <c r="D434" s="253"/>
      <c r="F434" s="418"/>
      <c r="H434" s="251"/>
    </row>
    <row r="435">
      <c r="B435" s="308"/>
      <c r="C435" s="252"/>
      <c r="D435" s="253"/>
      <c r="F435" s="467"/>
      <c r="H435" s="302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  <row r="739">
      <c r="B739" s="308"/>
      <c r="C739" s="252"/>
      <c r="D739" s="253"/>
      <c r="F739" s="467"/>
      <c r="H739" s="302"/>
    </row>
    <row r="740">
      <c r="B740" s="308"/>
      <c r="C740" s="252"/>
      <c r="D740" s="253"/>
      <c r="F740" s="467"/>
      <c r="H740" s="302"/>
    </row>
  </sheetData>
  <mergeCells count="30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2"/>
    <mergeCell ref="A143:A157"/>
    <mergeCell ref="A158:A173"/>
    <mergeCell ref="A174:A188"/>
    <mergeCell ref="A189:A200"/>
    <mergeCell ref="A201:A215"/>
    <mergeCell ref="A216:A229"/>
    <mergeCell ref="A230:A244"/>
    <mergeCell ref="A245:A257"/>
    <mergeCell ref="A258:A273"/>
    <mergeCell ref="A274:A289"/>
    <mergeCell ref="A290:A304"/>
    <mergeCell ref="A411:A420"/>
    <mergeCell ref="A421:A430"/>
    <mergeCell ref="A305:A318"/>
    <mergeCell ref="A319:A336"/>
    <mergeCell ref="A337:A348"/>
    <mergeCell ref="A349:A359"/>
    <mergeCell ref="A361:A371"/>
    <mergeCell ref="A372:A382"/>
    <mergeCell ref="A385:A3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9.25"/>
    <col customWidth="1" min="8" max="8" width="10.13"/>
    <col customWidth="1" min="9" max="9" width="21.25"/>
  </cols>
  <sheetData>
    <row r="1" ht="27.0" customHeight="1">
      <c r="A1" s="407" t="s">
        <v>1385</v>
      </c>
      <c r="B1" s="408" t="s">
        <v>52</v>
      </c>
      <c r="C1" s="409" t="s">
        <v>53</v>
      </c>
      <c r="D1" s="410" t="s">
        <v>54</v>
      </c>
      <c r="E1" s="411"/>
      <c r="F1" s="453" t="s">
        <v>529</v>
      </c>
      <c r="G1" s="411"/>
      <c r="H1" s="413" t="s">
        <v>57</v>
      </c>
    </row>
    <row r="2">
      <c r="A2" s="262" t="s">
        <v>942</v>
      </c>
      <c r="B2" s="425"/>
      <c r="C2" s="426"/>
      <c r="D2" s="401"/>
      <c r="E2" s="402"/>
      <c r="F2" s="403">
        <v>20000.0</v>
      </c>
      <c r="G2" s="436" t="s">
        <v>1574</v>
      </c>
      <c r="H2" s="245">
        <v>284.0</v>
      </c>
    </row>
    <row r="3">
      <c r="A3" s="265"/>
      <c r="B3" s="510"/>
      <c r="C3" s="427"/>
      <c r="D3" s="399">
        <v>205200.0</v>
      </c>
      <c r="E3" s="398" t="s">
        <v>328</v>
      </c>
      <c r="F3" s="284"/>
      <c r="G3" s="398" t="s">
        <v>122</v>
      </c>
      <c r="H3" s="267"/>
    </row>
    <row r="4">
      <c r="A4" s="265"/>
      <c r="B4" s="419">
        <v>33000.0</v>
      </c>
      <c r="C4" s="427"/>
      <c r="D4" s="414"/>
      <c r="E4" s="417" t="s">
        <v>306</v>
      </c>
      <c r="F4" s="418"/>
      <c r="G4" s="420" t="s">
        <v>75</v>
      </c>
      <c r="H4" s="251"/>
    </row>
    <row r="5">
      <c r="A5" s="265"/>
      <c r="B5" s="404">
        <v>42479.78</v>
      </c>
      <c r="C5" s="405"/>
      <c r="D5" s="399"/>
      <c r="E5" s="398"/>
      <c r="F5" s="284"/>
      <c r="G5" s="285" t="s">
        <v>82</v>
      </c>
      <c r="H5" s="251"/>
    </row>
    <row r="6">
      <c r="A6" s="265"/>
      <c r="B6" s="404">
        <v>136471.9</v>
      </c>
      <c r="C6" s="424"/>
      <c r="D6" s="399"/>
      <c r="E6" s="398"/>
      <c r="F6" s="284"/>
      <c r="G6" s="285" t="s">
        <v>142</v>
      </c>
      <c r="H6" s="251"/>
    </row>
    <row r="7">
      <c r="A7" s="265"/>
      <c r="B7" s="404"/>
      <c r="C7" s="405"/>
      <c r="D7" s="469"/>
      <c r="E7" s="442"/>
      <c r="F7" s="284"/>
      <c r="G7" s="285"/>
      <c r="H7" s="267"/>
    </row>
    <row r="8">
      <c r="A8" s="265"/>
      <c r="B8" s="404"/>
      <c r="C8" s="405"/>
      <c r="D8" s="399"/>
      <c r="E8" s="442"/>
      <c r="F8" s="284"/>
      <c r="G8" s="285"/>
      <c r="H8" s="251"/>
    </row>
    <row r="9">
      <c r="A9" s="265"/>
      <c r="B9" s="404"/>
      <c r="C9" s="424"/>
      <c r="D9" s="399"/>
      <c r="E9" s="442"/>
      <c r="F9" s="284"/>
      <c r="G9" s="285"/>
      <c r="H9" s="251"/>
    </row>
    <row r="10">
      <c r="A10" s="265"/>
      <c r="B10" s="404"/>
      <c r="C10" s="405"/>
      <c r="D10" s="400"/>
      <c r="E10" s="442"/>
      <c r="F10" s="284"/>
      <c r="G10" s="285"/>
      <c r="H10" s="251"/>
    </row>
    <row r="11">
      <c r="A11" s="265"/>
      <c r="B11" s="440"/>
      <c r="C11" s="424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70"/>
      <c r="B15" s="470"/>
      <c r="C15" s="471"/>
      <c r="D15" s="472"/>
      <c r="E15" s="473"/>
      <c r="F15" s="474"/>
      <c r="G15" s="475"/>
      <c r="H15" s="261"/>
    </row>
    <row r="16">
      <c r="A16" s="262"/>
      <c r="B16" s="518"/>
      <c r="C16" s="427"/>
      <c r="D16" s="414"/>
      <c r="E16" s="417"/>
      <c r="F16" s="284"/>
      <c r="G16" s="285"/>
      <c r="H16" s="267">
        <v>214.5</v>
      </c>
      <c r="I16" s="2" t="s">
        <v>1352</v>
      </c>
    </row>
    <row r="17">
      <c r="A17" s="280"/>
      <c r="B17" s="518"/>
      <c r="C17" s="427"/>
      <c r="D17" s="414"/>
      <c r="E17" s="417"/>
      <c r="F17" s="418"/>
      <c r="G17" s="417"/>
      <c r="H17" s="267"/>
    </row>
    <row r="18">
      <c r="A18" s="280" t="s">
        <v>1575</v>
      </c>
      <c r="B18" s="419"/>
      <c r="C18" s="427"/>
      <c r="D18" s="431"/>
      <c r="E18" s="417"/>
      <c r="F18" s="418"/>
      <c r="G18" s="420"/>
      <c r="H18" s="251"/>
    </row>
    <row r="19">
      <c r="A19" s="265"/>
      <c r="B19" s="419"/>
      <c r="C19" s="427"/>
      <c r="D19" s="414"/>
      <c r="E19" s="417"/>
      <c r="F19" s="418"/>
      <c r="G19" s="420"/>
      <c r="H19" s="251"/>
    </row>
    <row r="20">
      <c r="A20" s="265"/>
      <c r="B20" s="404"/>
      <c r="C20" s="405"/>
      <c r="D20" s="399"/>
      <c r="E20" s="398"/>
      <c r="F20" s="284"/>
      <c r="G20" s="285"/>
      <c r="H20" s="251"/>
    </row>
    <row r="21">
      <c r="A21" s="265"/>
      <c r="B21" s="419"/>
      <c r="C21" s="427"/>
      <c r="D21" s="414"/>
      <c r="E21" s="417"/>
      <c r="F21" s="284"/>
      <c r="G21" s="285"/>
      <c r="H21" s="519">
        <v>130.0</v>
      </c>
      <c r="I21" s="2" t="s">
        <v>1342</v>
      </c>
    </row>
    <row r="22">
      <c r="A22" s="265"/>
      <c r="B22" s="404"/>
      <c r="C22" s="405"/>
      <c r="D22" s="399"/>
      <c r="E22" s="398"/>
      <c r="F22" s="284"/>
      <c r="G22" s="285"/>
      <c r="H22" s="267"/>
    </row>
    <row r="23">
      <c r="A23" s="265"/>
      <c r="B23" s="404"/>
      <c r="C23" s="424"/>
      <c r="D23" s="399"/>
      <c r="E23" s="442"/>
      <c r="F23" s="284"/>
      <c r="G23" s="285"/>
      <c r="H23" s="251"/>
    </row>
    <row r="24">
      <c r="A24" s="265"/>
      <c r="B24" s="404"/>
      <c r="C24" s="405"/>
      <c r="D24" s="400"/>
      <c r="E24" s="442"/>
      <c r="F24" s="284"/>
      <c r="G24" s="285"/>
      <c r="H24" s="251"/>
    </row>
    <row r="25">
      <c r="A25" s="265"/>
      <c r="B25" s="404"/>
      <c r="C25" s="405"/>
      <c r="D25" s="400"/>
      <c r="E25" s="442"/>
      <c r="F25" s="284"/>
      <c r="G25" s="285"/>
      <c r="H25" s="251"/>
    </row>
    <row r="26">
      <c r="A26" s="265"/>
      <c r="B26" s="404"/>
      <c r="C26" s="424"/>
      <c r="D26" s="400"/>
      <c r="E26" s="442"/>
      <c r="F26" s="284"/>
      <c r="G26" s="285"/>
      <c r="H26" s="251"/>
    </row>
    <row r="27">
      <c r="A27" s="270"/>
      <c r="B27" s="478"/>
      <c r="C27" s="471"/>
      <c r="D27" s="472"/>
      <c r="E27" s="473"/>
      <c r="F27" s="460"/>
      <c r="G27" s="475"/>
      <c r="H27" s="261"/>
    </row>
    <row r="28">
      <c r="A28" s="262" t="s">
        <v>947</v>
      </c>
      <c r="B28" s="461">
        <v>111800.0</v>
      </c>
      <c r="C28" s="445"/>
      <c r="D28" s="421"/>
      <c r="E28" s="422" t="s">
        <v>306</v>
      </c>
      <c r="F28" s="418"/>
      <c r="G28" s="420" t="s">
        <v>75</v>
      </c>
      <c r="H28" s="245">
        <v>326.0</v>
      </c>
    </row>
    <row r="29">
      <c r="A29" s="265"/>
      <c r="B29" s="404">
        <v>57000.0</v>
      </c>
      <c r="C29" s="405"/>
      <c r="D29" s="399"/>
      <c r="E29" s="398"/>
      <c r="F29" s="284"/>
      <c r="G29" s="285" t="s">
        <v>68</v>
      </c>
      <c r="H29" s="267"/>
    </row>
    <row r="30">
      <c r="A30" s="265"/>
      <c r="B30" s="479">
        <v>79864.9</v>
      </c>
      <c r="C30" s="405"/>
      <c r="D30" s="399"/>
      <c r="E30" s="398"/>
      <c r="F30" s="284"/>
      <c r="G30" s="285" t="s">
        <v>82</v>
      </c>
      <c r="H30" s="251"/>
    </row>
    <row r="31">
      <c r="A31" s="265"/>
      <c r="B31" s="479"/>
      <c r="C31" s="405"/>
      <c r="D31" s="399"/>
      <c r="E31" s="398"/>
      <c r="F31" s="284">
        <v>5346.0</v>
      </c>
      <c r="G31" s="285" t="s">
        <v>344</v>
      </c>
      <c r="H31" s="267"/>
    </row>
    <row r="32">
      <c r="A32" s="265"/>
      <c r="B32" s="404"/>
      <c r="C32" s="405"/>
      <c r="D32" s="399"/>
      <c r="E32" s="398"/>
      <c r="F32" s="284">
        <v>4000.0</v>
      </c>
      <c r="G32" s="285" t="s">
        <v>85</v>
      </c>
      <c r="H32" s="251"/>
    </row>
    <row r="33">
      <c r="A33" s="265"/>
      <c r="B33" s="404">
        <v>68607.0</v>
      </c>
      <c r="C33" s="405"/>
      <c r="D33" s="399"/>
      <c r="E33" s="398" t="s">
        <v>328</v>
      </c>
      <c r="F33" s="284"/>
      <c r="G33" s="285" t="s">
        <v>931</v>
      </c>
      <c r="H33" s="251"/>
    </row>
    <row r="34">
      <c r="A34" s="265"/>
      <c r="B34" s="404"/>
      <c r="C34" s="424"/>
      <c r="D34" s="399"/>
      <c r="E34" s="442"/>
      <c r="F34" s="284"/>
      <c r="G34" s="285"/>
      <c r="H34" s="251"/>
    </row>
    <row r="35">
      <c r="A35" s="265"/>
      <c r="B35" s="404"/>
      <c r="C35" s="424"/>
      <c r="D35" s="400"/>
      <c r="E35" s="442"/>
      <c r="F35" s="284"/>
      <c r="G35" s="285"/>
      <c r="H35" s="251"/>
    </row>
    <row r="36">
      <c r="A36" s="265"/>
      <c r="B36" s="404"/>
      <c r="C36" s="405"/>
      <c r="D36" s="400"/>
      <c r="E36" s="442"/>
      <c r="F36" s="284"/>
      <c r="G36" s="285"/>
      <c r="H36" s="251"/>
    </row>
    <row r="37">
      <c r="A37" s="265"/>
      <c r="B37" s="404"/>
      <c r="C37" s="405"/>
      <c r="D37" s="399"/>
      <c r="E37" s="442"/>
      <c r="F37" s="284"/>
      <c r="G37" s="442"/>
      <c r="H37" s="251"/>
    </row>
    <row r="38">
      <c r="A38" s="265"/>
      <c r="B38" s="404"/>
      <c r="C38" s="405"/>
      <c r="D38" s="399"/>
      <c r="E38" s="442"/>
      <c r="F38" s="284"/>
      <c r="G38" s="285"/>
      <c r="H38" s="251"/>
    </row>
    <row r="39">
      <c r="A39" s="265"/>
      <c r="B39" s="477"/>
      <c r="C39" s="405"/>
      <c r="D39" s="399"/>
      <c r="E39" s="442"/>
      <c r="F39" s="284"/>
      <c r="G39" s="285"/>
      <c r="H39" s="251"/>
    </row>
    <row r="40">
      <c r="A40" s="265"/>
      <c r="B40" s="480"/>
      <c r="C40" s="424"/>
      <c r="D40" s="400"/>
      <c r="E40" s="442"/>
      <c r="F40" s="284"/>
      <c r="G40" s="481"/>
      <c r="H40" s="251"/>
    </row>
    <row r="41">
      <c r="A41" s="270"/>
      <c r="B41" s="478"/>
      <c r="C41" s="471"/>
      <c r="D41" s="472"/>
      <c r="E41" s="473"/>
      <c r="F41" s="460"/>
      <c r="G41" s="482"/>
      <c r="H41" s="261"/>
    </row>
    <row r="42">
      <c r="A42" s="262" t="s">
        <v>952</v>
      </c>
      <c r="B42" s="518"/>
      <c r="C42" s="427"/>
      <c r="D42" s="414"/>
      <c r="E42" s="417"/>
      <c r="F42" s="284">
        <v>4000.0</v>
      </c>
      <c r="G42" s="285" t="s">
        <v>85</v>
      </c>
      <c r="H42" s="245">
        <v>208.0</v>
      </c>
    </row>
    <row r="43">
      <c r="A43" s="265"/>
      <c r="B43" s="440">
        <v>166251.05</v>
      </c>
      <c r="C43" s="405"/>
      <c r="D43" s="399"/>
      <c r="E43" s="398" t="s">
        <v>328</v>
      </c>
      <c r="F43" s="284"/>
      <c r="G43" s="398" t="s">
        <v>1576</v>
      </c>
      <c r="H43" s="267"/>
      <c r="I43" s="417" t="s">
        <v>1577</v>
      </c>
    </row>
    <row r="44">
      <c r="A44" s="265"/>
      <c r="B44" s="404">
        <f>44147.72+5808</f>
        <v>49955.72</v>
      </c>
      <c r="C44" s="405"/>
      <c r="D44" s="476"/>
      <c r="E44" s="398" t="s">
        <v>328</v>
      </c>
      <c r="F44" s="284"/>
      <c r="G44" s="285" t="s">
        <v>74</v>
      </c>
      <c r="H44" s="310"/>
    </row>
    <row r="45">
      <c r="A45" s="265"/>
      <c r="B45" s="404">
        <v>143116.44</v>
      </c>
      <c r="C45" s="405"/>
      <c r="D45" s="399"/>
      <c r="E45" s="398" t="s">
        <v>328</v>
      </c>
      <c r="F45" s="284"/>
      <c r="G45" s="285" t="s">
        <v>73</v>
      </c>
      <c r="H45" s="251"/>
      <c r="I45" s="2" t="s">
        <v>1578</v>
      </c>
    </row>
    <row r="46">
      <c r="A46" s="265"/>
      <c r="B46" s="404">
        <v>4500.0</v>
      </c>
      <c r="C46" s="405"/>
      <c r="D46" s="399"/>
      <c r="E46" s="398"/>
      <c r="F46" s="284"/>
      <c r="G46" s="285" t="s">
        <v>1579</v>
      </c>
      <c r="H46" s="251"/>
    </row>
    <row r="47">
      <c r="A47" s="265"/>
      <c r="B47" s="404">
        <v>28000.0</v>
      </c>
      <c r="C47" s="405"/>
      <c r="D47" s="399"/>
      <c r="E47" s="398"/>
      <c r="F47" s="284"/>
      <c r="G47" s="285" t="s">
        <v>426</v>
      </c>
      <c r="H47" s="251"/>
    </row>
    <row r="48">
      <c r="A48" s="265"/>
      <c r="B48" s="479"/>
      <c r="C48" s="405"/>
      <c r="D48" s="399"/>
      <c r="E48" s="398"/>
      <c r="F48" s="284"/>
      <c r="G48" s="285"/>
      <c r="H48" s="251"/>
    </row>
    <row r="49">
      <c r="A49" s="265"/>
      <c r="B49" s="404"/>
      <c r="C49" s="424"/>
      <c r="D49" s="400"/>
      <c r="E49" s="442"/>
      <c r="F49" s="284"/>
      <c r="G49" s="285"/>
      <c r="H49" s="251"/>
    </row>
    <row r="50">
      <c r="A50" s="265"/>
      <c r="B50" s="404"/>
      <c r="C50" s="424"/>
      <c r="D50" s="399"/>
      <c r="E50" s="442"/>
      <c r="F50" s="284"/>
      <c r="G50" s="285"/>
      <c r="H50" s="251"/>
    </row>
    <row r="51">
      <c r="A51" s="265"/>
      <c r="B51" s="440"/>
      <c r="C51" s="424"/>
      <c r="D51" s="400"/>
      <c r="E51" s="442"/>
      <c r="F51" s="284"/>
      <c r="G51" s="285"/>
      <c r="H51" s="251"/>
    </row>
    <row r="52">
      <c r="A52" s="265"/>
      <c r="B52" s="440"/>
      <c r="C52" s="424"/>
      <c r="D52" s="400"/>
      <c r="E52" s="442"/>
      <c r="F52" s="284"/>
      <c r="G52" s="285"/>
      <c r="H52" s="251"/>
    </row>
    <row r="53">
      <c r="A53" s="270"/>
      <c r="B53" s="478"/>
      <c r="C53" s="471"/>
      <c r="D53" s="472"/>
      <c r="E53" s="473"/>
      <c r="F53" s="474"/>
      <c r="G53" s="482"/>
      <c r="H53" s="261"/>
    </row>
    <row r="54">
      <c r="A54" s="262" t="s">
        <v>953</v>
      </c>
      <c r="B54" s="461">
        <v>127000.0</v>
      </c>
      <c r="C54" s="445"/>
      <c r="D54" s="421"/>
      <c r="E54" s="422" t="s">
        <v>306</v>
      </c>
      <c r="F54" s="423"/>
      <c r="G54" s="505" t="s">
        <v>75</v>
      </c>
      <c r="H54" s="245">
        <v>460.0</v>
      </c>
    </row>
    <row r="55">
      <c r="A55" s="265"/>
      <c r="B55" s="404">
        <v>42479.78</v>
      </c>
      <c r="C55" s="405"/>
      <c r="D55" s="399"/>
      <c r="E55" s="398"/>
      <c r="F55" s="284"/>
      <c r="G55" s="285" t="s">
        <v>82</v>
      </c>
      <c r="H55" s="267"/>
      <c r="I55" s="2" t="s">
        <v>1580</v>
      </c>
    </row>
    <row r="56">
      <c r="A56" s="265"/>
      <c r="B56" s="404">
        <v>68316.37</v>
      </c>
      <c r="C56" s="405"/>
      <c r="D56" s="399"/>
      <c r="E56" s="398" t="s">
        <v>328</v>
      </c>
      <c r="F56" s="284"/>
      <c r="G56" s="285" t="s">
        <v>1581</v>
      </c>
      <c r="H56" s="267"/>
    </row>
    <row r="57">
      <c r="A57" s="265"/>
      <c r="B57" s="404">
        <v>63990.0</v>
      </c>
      <c r="C57" s="405"/>
      <c r="D57" s="399"/>
      <c r="E57" s="398"/>
      <c r="F57" s="284"/>
      <c r="G57" s="285" t="s">
        <v>1582</v>
      </c>
      <c r="H57" s="251"/>
      <c r="I57" s="2" t="s">
        <v>1583</v>
      </c>
    </row>
    <row r="58">
      <c r="A58" s="265"/>
      <c r="B58" s="457"/>
      <c r="C58" s="405"/>
      <c r="D58" s="399"/>
      <c r="E58" s="398"/>
      <c r="F58" s="284"/>
      <c r="G58" s="285"/>
      <c r="H58" s="251"/>
      <c r="I58" s="2" t="s">
        <v>1584</v>
      </c>
    </row>
    <row r="59">
      <c r="A59" s="265"/>
      <c r="B59" s="468"/>
      <c r="C59" s="405"/>
      <c r="D59" s="399"/>
      <c r="E59" s="398"/>
      <c r="F59" s="483"/>
      <c r="G59" s="285" t="s">
        <v>1585</v>
      </c>
      <c r="H59" s="251"/>
    </row>
    <row r="60">
      <c r="A60" s="265"/>
      <c r="B60" s="468"/>
      <c r="C60" s="405"/>
      <c r="D60" s="399"/>
      <c r="E60" s="442"/>
      <c r="F60" s="284"/>
      <c r="G60" s="285"/>
      <c r="H60" s="267"/>
      <c r="I60" s="2" t="s">
        <v>1586</v>
      </c>
    </row>
    <row r="61">
      <c r="A61" s="265"/>
      <c r="B61" s="404">
        <v>137088.0</v>
      </c>
      <c r="C61" s="424"/>
      <c r="D61" s="399"/>
      <c r="E61" s="398" t="s">
        <v>527</v>
      </c>
      <c r="F61" s="284"/>
      <c r="G61" s="285" t="s">
        <v>1522</v>
      </c>
      <c r="H61" s="251"/>
    </row>
    <row r="62">
      <c r="A62" s="265"/>
      <c r="B62" s="404">
        <v>14650.0</v>
      </c>
      <c r="C62" s="424"/>
      <c r="D62" s="400"/>
      <c r="E62" s="442"/>
      <c r="F62" s="284"/>
      <c r="G62" s="285" t="s">
        <v>552</v>
      </c>
      <c r="H62" s="251"/>
    </row>
    <row r="63">
      <c r="A63" s="265"/>
      <c r="B63" s="404"/>
      <c r="C63" s="424"/>
      <c r="D63" s="399">
        <v>470387.5</v>
      </c>
      <c r="E63" s="398" t="s">
        <v>328</v>
      </c>
      <c r="F63" s="284"/>
      <c r="G63" s="285" t="s">
        <v>877</v>
      </c>
      <c r="H63" s="251"/>
    </row>
    <row r="64">
      <c r="A64" s="265"/>
      <c r="B64" s="477"/>
      <c r="C64" s="424"/>
      <c r="D64" s="400"/>
      <c r="E64" s="442"/>
      <c r="F64" s="284"/>
      <c r="G64" s="481"/>
      <c r="H64" s="251"/>
    </row>
    <row r="65">
      <c r="A65" s="265"/>
      <c r="B65" s="404"/>
      <c r="C65" s="424"/>
      <c r="D65" s="400"/>
      <c r="E65" s="442"/>
      <c r="F65" s="284"/>
      <c r="G65" s="481"/>
      <c r="H65" s="251"/>
    </row>
    <row r="66">
      <c r="A66" s="265"/>
      <c r="B66" s="440"/>
      <c r="C66" s="424"/>
      <c r="D66" s="400"/>
      <c r="E66" s="442"/>
      <c r="F66" s="463"/>
      <c r="G66" s="481"/>
      <c r="H66" s="251"/>
    </row>
    <row r="67">
      <c r="A67" s="265"/>
      <c r="B67" s="480"/>
      <c r="C67" s="405"/>
      <c r="D67" s="400"/>
      <c r="E67" s="442"/>
      <c r="F67" s="463"/>
      <c r="G67" s="481"/>
      <c r="H67" s="251"/>
    </row>
    <row r="68">
      <c r="A68" s="265"/>
      <c r="B68" s="480"/>
      <c r="C68" s="424"/>
      <c r="D68" s="400"/>
      <c r="E68" s="442"/>
      <c r="F68" s="284"/>
      <c r="G68" s="481"/>
      <c r="H68" s="251"/>
    </row>
    <row r="69">
      <c r="A69" s="270"/>
      <c r="B69" s="478"/>
      <c r="C69" s="471"/>
      <c r="D69" s="472"/>
      <c r="E69" s="473"/>
      <c r="F69" s="474"/>
      <c r="G69" s="475"/>
      <c r="H69" s="261"/>
    </row>
    <row r="70">
      <c r="A70" s="262" t="s">
        <v>959</v>
      </c>
      <c r="B70" s="461"/>
      <c r="C70" s="445"/>
      <c r="D70" s="421"/>
      <c r="E70" s="422"/>
      <c r="F70" s="284">
        <v>4400.0</v>
      </c>
      <c r="G70" s="436" t="s">
        <v>97</v>
      </c>
      <c r="H70" s="286">
        <v>189.0</v>
      </c>
    </row>
    <row r="71">
      <c r="A71" s="265"/>
      <c r="B71" s="404"/>
      <c r="C71" s="405"/>
      <c r="D71" s="399"/>
      <c r="E71" s="442"/>
      <c r="F71" s="284">
        <v>1229.0</v>
      </c>
      <c r="G71" s="398" t="s">
        <v>1587</v>
      </c>
      <c r="H71" s="82"/>
    </row>
    <row r="72">
      <c r="A72" s="265"/>
      <c r="B72" s="404"/>
      <c r="C72" s="405"/>
      <c r="D72" s="399">
        <v>227235.27</v>
      </c>
      <c r="E72" s="398" t="s">
        <v>328</v>
      </c>
      <c r="F72" s="284"/>
      <c r="G72" s="285" t="s">
        <v>114</v>
      </c>
      <c r="H72" s="82"/>
    </row>
    <row r="73">
      <c r="A73" s="265"/>
      <c r="B73" s="404">
        <v>23953.5</v>
      </c>
      <c r="C73" s="405"/>
      <c r="D73" s="399"/>
      <c r="E73" s="398"/>
      <c r="F73" s="284"/>
      <c r="G73" s="285" t="s">
        <v>291</v>
      </c>
      <c r="H73" s="302"/>
      <c r="K73" s="2"/>
    </row>
    <row r="74">
      <c r="A74" s="265"/>
      <c r="B74" s="484">
        <v>46800.0</v>
      </c>
      <c r="C74" s="485"/>
      <c r="D74" s="449"/>
      <c r="E74" s="450" t="s">
        <v>328</v>
      </c>
      <c r="F74" s="451"/>
      <c r="G74" s="435" t="s">
        <v>76</v>
      </c>
      <c r="H74" s="302"/>
      <c r="I74" s="318"/>
      <c r="K74" s="2"/>
    </row>
    <row r="75">
      <c r="A75" s="265"/>
      <c r="B75" s="404"/>
      <c r="C75" s="405"/>
      <c r="D75" s="399"/>
      <c r="E75" s="442"/>
      <c r="F75" s="284"/>
      <c r="G75" s="285"/>
      <c r="H75" s="82"/>
      <c r="I75" s="318"/>
      <c r="K75" s="2"/>
    </row>
    <row r="76">
      <c r="A76" s="265"/>
      <c r="B76" s="404"/>
      <c r="C76" s="424"/>
      <c r="D76" s="399"/>
      <c r="E76" s="442"/>
      <c r="F76" s="284"/>
      <c r="G76" s="285"/>
      <c r="H76" s="302"/>
      <c r="I76" s="318"/>
      <c r="K76" s="2"/>
    </row>
    <row r="77">
      <c r="A77" s="265"/>
      <c r="B77" s="404"/>
      <c r="C77" s="424"/>
      <c r="D77" s="400"/>
      <c r="E77" s="442"/>
      <c r="F77" s="284"/>
      <c r="G77" s="285"/>
      <c r="H77" s="302"/>
      <c r="I77" s="318"/>
      <c r="K77" s="2"/>
    </row>
    <row r="78">
      <c r="A78" s="265"/>
      <c r="B78" s="404"/>
      <c r="C78" s="405"/>
      <c r="D78" s="400"/>
      <c r="E78" s="442"/>
      <c r="F78" s="284"/>
      <c r="G78" s="285"/>
      <c r="H78" s="302"/>
    </row>
    <row r="79">
      <c r="A79" s="265"/>
      <c r="B79" s="404"/>
      <c r="C79" s="405"/>
      <c r="D79" s="400"/>
      <c r="E79" s="442"/>
      <c r="F79" s="284"/>
      <c r="G79" s="285"/>
      <c r="H79" s="251"/>
      <c r="I79" s="318"/>
    </row>
    <row r="80">
      <c r="A80" s="265"/>
      <c r="B80" s="440"/>
      <c r="C80" s="405"/>
      <c r="D80" s="400"/>
      <c r="E80" s="442"/>
      <c r="F80" s="463"/>
      <c r="G80" s="285"/>
      <c r="H80" s="251"/>
      <c r="I80" s="318"/>
    </row>
    <row r="81">
      <c r="A81" s="265"/>
      <c r="B81" s="440"/>
      <c r="C81" s="424"/>
      <c r="D81" s="400"/>
      <c r="E81" s="442"/>
      <c r="F81" s="284"/>
      <c r="G81" s="285"/>
      <c r="H81" s="251"/>
    </row>
    <row r="82">
      <c r="A82" s="265"/>
      <c r="B82" s="440"/>
      <c r="C82" s="424"/>
      <c r="D82" s="400"/>
      <c r="E82" s="442"/>
      <c r="F82" s="463"/>
      <c r="G82" s="285"/>
      <c r="H82" s="251"/>
    </row>
    <row r="83">
      <c r="A83" s="270"/>
      <c r="B83" s="478"/>
      <c r="C83" s="471"/>
      <c r="D83" s="472"/>
      <c r="E83" s="473"/>
      <c r="F83" s="460"/>
      <c r="G83" s="482"/>
      <c r="H83" s="261"/>
    </row>
    <row r="84">
      <c r="A84" s="262" t="s">
        <v>963</v>
      </c>
      <c r="B84" s="425">
        <v>88500.0</v>
      </c>
      <c r="C84" s="426"/>
      <c r="D84" s="401"/>
      <c r="E84" s="402" t="s">
        <v>306</v>
      </c>
      <c r="F84" s="403"/>
      <c r="G84" s="436" t="s">
        <v>75</v>
      </c>
      <c r="H84" s="245">
        <f>190+36</f>
        <v>226</v>
      </c>
    </row>
    <row r="85">
      <c r="A85" s="265"/>
      <c r="B85" s="404"/>
      <c r="C85" s="405"/>
      <c r="D85" s="399"/>
      <c r="E85" s="398"/>
      <c r="F85" s="284">
        <v>5630.0</v>
      </c>
      <c r="G85" s="285" t="s">
        <v>549</v>
      </c>
      <c r="H85" s="267"/>
    </row>
    <row r="86">
      <c r="A86" s="265"/>
      <c r="B86" s="404">
        <v>42975.0</v>
      </c>
      <c r="C86" s="405"/>
      <c r="D86" s="399"/>
      <c r="E86" s="398"/>
      <c r="F86" s="284"/>
      <c r="G86" s="195" t="s">
        <v>82</v>
      </c>
      <c r="H86" s="267"/>
    </row>
    <row r="87">
      <c r="A87" s="265"/>
      <c r="B87" s="404"/>
      <c r="C87" s="405"/>
      <c r="D87" s="399"/>
      <c r="E87" s="398"/>
      <c r="F87" s="284"/>
      <c r="G87" s="285"/>
      <c r="H87" s="251"/>
    </row>
    <row r="88">
      <c r="A88" s="265"/>
      <c r="B88" s="404"/>
      <c r="C88" s="405"/>
      <c r="D88" s="399"/>
      <c r="E88" s="398"/>
      <c r="F88" s="284"/>
      <c r="G88" s="285"/>
      <c r="H88" s="251"/>
    </row>
    <row r="89">
      <c r="A89" s="265"/>
      <c r="B89" s="404"/>
      <c r="C89" s="405"/>
      <c r="D89" s="399"/>
      <c r="E89" s="398"/>
      <c r="F89" s="284"/>
      <c r="G89" s="285"/>
      <c r="H89" s="251"/>
    </row>
    <row r="90">
      <c r="A90" s="265"/>
      <c r="B90" s="404"/>
      <c r="C90" s="424"/>
      <c r="D90" s="399"/>
      <c r="E90" s="398"/>
      <c r="F90" s="284"/>
      <c r="G90" s="285"/>
      <c r="H90" s="251"/>
    </row>
    <row r="91">
      <c r="A91" s="265"/>
      <c r="B91" s="404"/>
      <c r="C91" s="405"/>
      <c r="D91" s="399"/>
      <c r="E91" s="442"/>
      <c r="F91" s="284"/>
      <c r="G91" s="285"/>
      <c r="H91" s="251"/>
    </row>
    <row r="92">
      <c r="A92" s="265"/>
      <c r="B92" s="419"/>
      <c r="C92" s="434"/>
      <c r="D92" s="414"/>
      <c r="E92" s="417"/>
      <c r="F92" s="418"/>
      <c r="G92" s="420"/>
      <c r="H92" s="251"/>
    </row>
    <row r="93">
      <c r="A93" s="265"/>
      <c r="B93" s="404"/>
      <c r="C93" s="405"/>
      <c r="D93" s="400"/>
      <c r="E93" s="442"/>
      <c r="F93" s="284"/>
      <c r="G93" s="285"/>
      <c r="H93" s="251"/>
    </row>
    <row r="94">
      <c r="A94" s="265"/>
      <c r="B94" s="477"/>
      <c r="C94" s="424"/>
      <c r="D94" s="400"/>
      <c r="E94" s="442"/>
      <c r="F94" s="284"/>
      <c r="G94" s="285"/>
      <c r="H94" s="251"/>
    </row>
    <row r="95">
      <c r="A95" s="265"/>
      <c r="B95" s="477"/>
      <c r="C95" s="424"/>
      <c r="D95" s="400"/>
      <c r="E95" s="442"/>
      <c r="F95" s="284"/>
      <c r="G95" s="285"/>
      <c r="H95" s="251"/>
    </row>
    <row r="96">
      <c r="A96" s="265"/>
      <c r="B96" s="477"/>
      <c r="C96" s="424"/>
      <c r="D96" s="400"/>
      <c r="E96" s="442"/>
      <c r="F96" s="284"/>
      <c r="G96" s="481"/>
      <c r="H96" s="251"/>
    </row>
    <row r="97">
      <c r="A97" s="265"/>
      <c r="B97" s="477"/>
      <c r="C97" s="424"/>
      <c r="D97" s="400"/>
      <c r="E97" s="442"/>
      <c r="F97" s="284"/>
      <c r="G97" s="481"/>
      <c r="H97" s="251"/>
    </row>
    <row r="98">
      <c r="A98" s="265"/>
      <c r="B98" s="477"/>
      <c r="C98" s="424"/>
      <c r="D98" s="400"/>
      <c r="E98" s="442"/>
      <c r="F98" s="284"/>
      <c r="G98" s="481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70"/>
      <c r="B101" s="478"/>
      <c r="C101" s="471"/>
      <c r="D101" s="472"/>
      <c r="E101" s="473"/>
      <c r="F101" s="460"/>
      <c r="G101" s="482"/>
      <c r="H101" s="261"/>
    </row>
    <row r="102">
      <c r="A102" s="262" t="s">
        <v>1588</v>
      </c>
      <c r="B102" s="425"/>
      <c r="C102" s="426"/>
      <c r="D102" s="401"/>
      <c r="E102" s="402"/>
      <c r="F102" s="403"/>
      <c r="G102" s="436"/>
      <c r="H102" s="245"/>
    </row>
    <row r="103">
      <c r="A103" s="265"/>
      <c r="B103" s="404"/>
      <c r="C103" s="405"/>
      <c r="D103" s="399"/>
      <c r="E103" s="398"/>
      <c r="F103" s="284"/>
      <c r="G103" s="285"/>
      <c r="H103" s="267"/>
    </row>
    <row r="104">
      <c r="A104" s="265"/>
      <c r="B104" s="404"/>
      <c r="C104" s="405"/>
      <c r="D104" s="399"/>
      <c r="E104" s="398"/>
      <c r="F104" s="284"/>
      <c r="G104" s="285"/>
      <c r="H104" s="251"/>
    </row>
    <row r="105">
      <c r="A105" s="265"/>
      <c r="B105" s="425">
        <v>57000.0</v>
      </c>
      <c r="C105" s="426"/>
      <c r="D105" s="401"/>
      <c r="E105" s="402"/>
      <c r="F105" s="403"/>
      <c r="G105" s="436" t="s">
        <v>68</v>
      </c>
      <c r="H105" s="267">
        <v>260.0</v>
      </c>
      <c r="I105" s="2" t="s">
        <v>1352</v>
      </c>
    </row>
    <row r="106">
      <c r="A106" s="265"/>
      <c r="B106" s="419"/>
      <c r="C106" s="434"/>
      <c r="D106" s="414"/>
      <c r="E106" s="417"/>
      <c r="F106" s="284">
        <v>1390.0</v>
      </c>
      <c r="G106" s="285" t="s">
        <v>227</v>
      </c>
      <c r="H106" s="251"/>
    </row>
    <row r="107">
      <c r="A107" s="265"/>
      <c r="B107" s="404"/>
      <c r="C107" s="405"/>
      <c r="D107" s="399"/>
      <c r="E107" s="398"/>
      <c r="F107" s="284"/>
      <c r="G107" s="285"/>
      <c r="H107" s="251"/>
    </row>
    <row r="108">
      <c r="A108" s="265"/>
      <c r="B108" s="404"/>
      <c r="C108" s="424"/>
      <c r="D108" s="399"/>
      <c r="E108" s="398"/>
      <c r="F108" s="284"/>
      <c r="G108" s="285"/>
      <c r="H108" s="251"/>
      <c r="I108" s="417"/>
    </row>
    <row r="109">
      <c r="A109" s="265"/>
      <c r="B109" s="404"/>
      <c r="C109" s="405"/>
      <c r="D109" s="399"/>
      <c r="E109" s="398"/>
      <c r="F109" s="284"/>
      <c r="G109" s="285"/>
      <c r="H109" s="251"/>
    </row>
    <row r="110">
      <c r="A110" s="265"/>
      <c r="B110" s="404"/>
      <c r="C110" s="405"/>
      <c r="D110" s="399"/>
      <c r="E110" s="398"/>
      <c r="F110" s="284"/>
      <c r="G110" s="285"/>
      <c r="H110" s="251"/>
    </row>
    <row r="111">
      <c r="A111" s="265"/>
      <c r="B111" s="404"/>
      <c r="C111" s="405"/>
      <c r="D111" s="400"/>
      <c r="E111" s="442"/>
      <c r="F111" s="284"/>
      <c r="G111" s="285"/>
      <c r="H111" s="267">
        <v>172.0</v>
      </c>
      <c r="I111" s="2" t="s">
        <v>1342</v>
      </c>
    </row>
    <row r="112">
      <c r="A112" s="265"/>
      <c r="B112" s="404"/>
      <c r="C112" s="424"/>
      <c r="D112" s="399"/>
      <c r="E112" s="442"/>
      <c r="F112" s="284"/>
      <c r="G112" s="285"/>
      <c r="H112" s="251"/>
    </row>
    <row r="113">
      <c r="A113" s="265"/>
      <c r="B113" s="440"/>
      <c r="C113" s="424"/>
      <c r="D113" s="400"/>
      <c r="E113" s="442"/>
      <c r="F113" s="284"/>
      <c r="G113" s="285"/>
      <c r="H113" s="251"/>
    </row>
    <row r="114">
      <c r="A114" s="265"/>
      <c r="B114" s="440"/>
      <c r="C114" s="424"/>
      <c r="D114" s="400"/>
      <c r="E114" s="442"/>
      <c r="F114" s="284"/>
      <c r="G114" s="481"/>
      <c r="H114" s="251"/>
    </row>
    <row r="115">
      <c r="A115" s="265"/>
      <c r="B115" s="480"/>
      <c r="C115" s="424"/>
      <c r="D115" s="400"/>
      <c r="E115" s="442"/>
      <c r="F115" s="284"/>
      <c r="G115" s="481"/>
      <c r="H115" s="251"/>
    </row>
    <row r="116">
      <c r="A116" s="270"/>
      <c r="B116" s="478"/>
      <c r="C116" s="471"/>
      <c r="D116" s="472"/>
      <c r="E116" s="473"/>
      <c r="F116" s="460"/>
      <c r="G116" s="482"/>
      <c r="H116" s="261"/>
    </row>
    <row r="117">
      <c r="A117" s="262" t="s">
        <v>965</v>
      </c>
      <c r="B117" s="425"/>
      <c r="C117" s="426"/>
      <c r="D117" s="401"/>
      <c r="E117" s="402"/>
      <c r="F117" s="403">
        <v>1390.0</v>
      </c>
      <c r="G117" s="436" t="s">
        <v>1547</v>
      </c>
      <c r="H117" s="245">
        <v>200.0</v>
      </c>
    </row>
    <row r="118">
      <c r="A118" s="265"/>
      <c r="B118" s="404">
        <v>68768.98</v>
      </c>
      <c r="C118" s="405"/>
      <c r="D118" s="399"/>
      <c r="E118" s="398"/>
      <c r="F118" s="284"/>
      <c r="G118" s="285" t="s">
        <v>82</v>
      </c>
      <c r="H118" s="251"/>
    </row>
    <row r="119">
      <c r="A119" s="265"/>
      <c r="B119" s="404"/>
      <c r="C119" s="405"/>
      <c r="D119" s="399">
        <v>334012.83</v>
      </c>
      <c r="E119" s="398" t="s">
        <v>328</v>
      </c>
      <c r="F119" s="284"/>
      <c r="G119" s="285" t="s">
        <v>114</v>
      </c>
      <c r="H119" s="251"/>
    </row>
    <row r="120">
      <c r="A120" s="265"/>
      <c r="B120" s="419">
        <v>139000.0</v>
      </c>
      <c r="C120" s="434"/>
      <c r="D120" s="414"/>
      <c r="E120" s="417" t="s">
        <v>306</v>
      </c>
      <c r="F120" s="418"/>
      <c r="G120" s="420" t="s">
        <v>75</v>
      </c>
      <c r="H120" s="251"/>
    </row>
    <row r="121">
      <c r="A121" s="265"/>
      <c r="B121" s="404"/>
      <c r="C121" s="405"/>
      <c r="D121" s="399"/>
      <c r="E121" s="398"/>
      <c r="F121" s="284"/>
      <c r="G121" s="285"/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04"/>
      <c r="C123" s="405"/>
      <c r="D123" s="399"/>
      <c r="E123" s="442"/>
      <c r="F123" s="284"/>
      <c r="G123" s="285"/>
      <c r="H123" s="251"/>
    </row>
    <row r="124">
      <c r="A124" s="265"/>
      <c r="B124" s="404"/>
      <c r="C124" s="424"/>
      <c r="D124" s="399"/>
      <c r="E124" s="442"/>
      <c r="F124" s="284"/>
      <c r="G124" s="285"/>
      <c r="H124" s="251"/>
    </row>
    <row r="125">
      <c r="A125" s="265"/>
      <c r="B125" s="477"/>
      <c r="C125" s="405"/>
      <c r="D125" s="399"/>
      <c r="E125" s="442"/>
      <c r="F125" s="284"/>
      <c r="G125" s="285"/>
      <c r="H125" s="251"/>
    </row>
    <row r="126">
      <c r="A126" s="265"/>
      <c r="B126" s="404"/>
      <c r="C126" s="424"/>
      <c r="D126" s="399"/>
      <c r="E126" s="442"/>
      <c r="F126" s="284"/>
      <c r="G126" s="442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40"/>
      <c r="C128" s="424"/>
      <c r="D128" s="400"/>
      <c r="E128" s="442"/>
      <c r="F128" s="284"/>
      <c r="G128" s="285"/>
      <c r="H128" s="251"/>
    </row>
    <row r="129">
      <c r="A129" s="265"/>
      <c r="B129" s="440"/>
      <c r="C129" s="424"/>
      <c r="D129" s="400"/>
      <c r="E129" s="442"/>
      <c r="F129" s="463"/>
      <c r="G129" s="481"/>
      <c r="H129" s="251"/>
    </row>
    <row r="130">
      <c r="A130" s="265"/>
      <c r="B130" s="480"/>
      <c r="C130" s="424"/>
      <c r="D130" s="400"/>
      <c r="E130" s="442"/>
      <c r="F130" s="284"/>
      <c r="G130" s="481"/>
      <c r="H130" s="251"/>
    </row>
    <row r="131">
      <c r="A131" s="270"/>
      <c r="B131" s="478"/>
      <c r="C131" s="471"/>
      <c r="D131" s="472"/>
      <c r="E131" s="473"/>
      <c r="F131" s="474"/>
      <c r="G131" s="475"/>
      <c r="H131" s="261"/>
    </row>
    <row r="132">
      <c r="A132" s="262" t="s">
        <v>966</v>
      </c>
      <c r="B132" s="425"/>
      <c r="C132" s="426"/>
      <c r="D132" s="401">
        <f>79632.44+25990.8</f>
        <v>105623.24</v>
      </c>
      <c r="E132" s="402" t="s">
        <v>328</v>
      </c>
      <c r="F132" s="403"/>
      <c r="G132" s="436" t="s">
        <v>1589</v>
      </c>
      <c r="H132" s="245">
        <v>300.0</v>
      </c>
    </row>
    <row r="133">
      <c r="A133" s="265"/>
      <c r="B133" s="404"/>
      <c r="C133" s="405"/>
      <c r="D133" s="399">
        <v>147622.46</v>
      </c>
      <c r="E133" s="398" t="s">
        <v>328</v>
      </c>
      <c r="F133" s="284"/>
      <c r="G133" s="285" t="s">
        <v>73</v>
      </c>
      <c r="H133" s="267"/>
    </row>
    <row r="134">
      <c r="A134" s="265"/>
      <c r="B134" s="419"/>
      <c r="C134" s="427"/>
      <c r="D134" s="399">
        <v>10840.91</v>
      </c>
      <c r="E134" s="398" t="s">
        <v>328</v>
      </c>
      <c r="F134" s="284"/>
      <c r="G134" s="285" t="s">
        <v>74</v>
      </c>
      <c r="H134" s="251"/>
    </row>
    <row r="135">
      <c r="A135" s="265"/>
      <c r="B135" s="419"/>
      <c r="C135" s="427"/>
      <c r="D135" s="399">
        <v>103400.0</v>
      </c>
      <c r="E135" s="398" t="s">
        <v>328</v>
      </c>
      <c r="F135" s="284"/>
      <c r="G135" s="285" t="s">
        <v>893</v>
      </c>
      <c r="H135" s="251"/>
    </row>
    <row r="136">
      <c r="A136" s="265"/>
      <c r="B136" s="404"/>
      <c r="C136" s="405"/>
      <c r="D136" s="399"/>
      <c r="E136" s="398"/>
      <c r="F136" s="284"/>
      <c r="G136" s="285"/>
      <c r="H136" s="251"/>
    </row>
    <row r="137">
      <c r="A137" s="265"/>
      <c r="B137" s="404"/>
      <c r="C137" s="405"/>
      <c r="D137" s="399"/>
      <c r="E137" s="398"/>
      <c r="F137" s="284"/>
      <c r="G137" s="285"/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404"/>
      <c r="C139" s="424"/>
      <c r="D139" s="399"/>
      <c r="E139" s="442"/>
      <c r="F139" s="284"/>
      <c r="G139" s="285"/>
      <c r="H139" s="251"/>
    </row>
    <row r="140">
      <c r="A140" s="265"/>
      <c r="B140" s="404"/>
      <c r="C140" s="424"/>
      <c r="D140" s="399"/>
      <c r="E140" s="398"/>
      <c r="F140" s="284"/>
      <c r="G140" s="285"/>
      <c r="H140" s="251"/>
    </row>
    <row r="141">
      <c r="A141" s="265"/>
      <c r="B141" s="440"/>
      <c r="C141" s="424"/>
      <c r="D141" s="399"/>
      <c r="E141" s="442"/>
      <c r="F141" s="284"/>
      <c r="G141" s="285"/>
      <c r="H141" s="251"/>
    </row>
    <row r="142">
      <c r="A142" s="270"/>
      <c r="B142" s="470"/>
      <c r="C142" s="471"/>
      <c r="D142" s="486"/>
      <c r="E142" s="473"/>
      <c r="F142" s="474"/>
      <c r="G142" s="475"/>
      <c r="H142" s="261"/>
    </row>
    <row r="143">
      <c r="A143" s="262" t="s">
        <v>969</v>
      </c>
      <c r="B143" s="461">
        <f>89500-3000</f>
        <v>86500</v>
      </c>
      <c r="C143" s="445"/>
      <c r="D143" s="421"/>
      <c r="E143" s="422" t="s">
        <v>306</v>
      </c>
      <c r="F143" s="423"/>
      <c r="G143" s="505" t="s">
        <v>75</v>
      </c>
      <c r="H143" s="245">
        <v>300.0</v>
      </c>
    </row>
    <row r="144">
      <c r="A144" s="265"/>
      <c r="B144" s="404">
        <v>42975.66</v>
      </c>
      <c r="C144" s="487"/>
      <c r="D144" s="414"/>
      <c r="E144" s="417"/>
      <c r="F144" s="418"/>
      <c r="G144" s="285" t="s">
        <v>82</v>
      </c>
      <c r="H144" s="267"/>
    </row>
    <row r="145">
      <c r="A145" s="265"/>
      <c r="B145" s="404">
        <v>51356.66</v>
      </c>
      <c r="C145" s="405"/>
      <c r="D145" s="399"/>
      <c r="E145" s="398"/>
      <c r="F145" s="284"/>
      <c r="G145" s="285" t="s">
        <v>142</v>
      </c>
      <c r="H145" s="267"/>
    </row>
    <row r="146">
      <c r="A146" s="265"/>
      <c r="B146" s="404"/>
      <c r="C146" s="405"/>
      <c r="D146" s="399">
        <f>148477.48-15879.52</f>
        <v>132597.96</v>
      </c>
      <c r="E146" s="398" t="s">
        <v>328</v>
      </c>
      <c r="F146" s="284"/>
      <c r="G146" s="285" t="s">
        <v>1590</v>
      </c>
      <c r="H146" s="251"/>
    </row>
    <row r="147">
      <c r="A147" s="265"/>
      <c r="B147" s="404">
        <v>65990.0</v>
      </c>
      <c r="C147" s="405"/>
      <c r="D147" s="399"/>
      <c r="E147" s="285"/>
      <c r="F147" s="284"/>
      <c r="G147" s="285" t="s">
        <v>118</v>
      </c>
      <c r="H147" s="251"/>
      <c r="I147" s="254"/>
    </row>
    <row r="148">
      <c r="A148" s="265"/>
      <c r="B148" s="404">
        <v>44793.0</v>
      </c>
      <c r="C148" s="424"/>
      <c r="D148" s="399"/>
      <c r="E148" s="442"/>
      <c r="F148" s="284"/>
      <c r="G148" s="285" t="s">
        <v>1591</v>
      </c>
      <c r="H148" s="251"/>
    </row>
    <row r="149">
      <c r="A149" s="265"/>
      <c r="B149" s="404">
        <v>220000.0</v>
      </c>
      <c r="C149" s="405"/>
      <c r="D149" s="399"/>
      <c r="E149" s="398" t="s">
        <v>328</v>
      </c>
      <c r="F149" s="284"/>
      <c r="G149" s="285" t="s">
        <v>122</v>
      </c>
      <c r="H149" s="267"/>
    </row>
    <row r="150">
      <c r="A150" s="265"/>
      <c r="B150" s="404">
        <v>514734.0</v>
      </c>
      <c r="C150" s="424"/>
      <c r="D150" s="400"/>
      <c r="E150" s="398" t="s">
        <v>527</v>
      </c>
      <c r="F150" s="284"/>
      <c r="G150" s="285" t="s">
        <v>877</v>
      </c>
      <c r="H150" s="251"/>
    </row>
    <row r="151">
      <c r="A151" s="265"/>
      <c r="B151" s="404">
        <v>50000.0</v>
      </c>
      <c r="C151" s="424"/>
      <c r="D151" s="399"/>
      <c r="E151" s="442"/>
      <c r="F151" s="284"/>
      <c r="G151" s="285" t="s">
        <v>863</v>
      </c>
      <c r="H151" s="251"/>
    </row>
    <row r="152">
      <c r="A152" s="265"/>
      <c r="B152" s="404"/>
      <c r="C152" s="424"/>
      <c r="D152" s="400"/>
      <c r="E152" s="442"/>
      <c r="F152" s="284"/>
      <c r="G152" s="285"/>
      <c r="H152" s="251"/>
    </row>
    <row r="153">
      <c r="A153" s="265"/>
      <c r="B153" s="404"/>
      <c r="C153" s="424"/>
      <c r="D153" s="400"/>
      <c r="E153" s="442"/>
      <c r="F153" s="284"/>
      <c r="G153" s="285"/>
      <c r="H153" s="251"/>
    </row>
    <row r="154">
      <c r="A154" s="265"/>
      <c r="B154" s="404"/>
      <c r="C154" s="424"/>
      <c r="D154" s="400"/>
      <c r="E154" s="442"/>
      <c r="F154" s="284"/>
      <c r="G154" s="285"/>
      <c r="H154" s="251"/>
    </row>
    <row r="155">
      <c r="A155" s="265"/>
      <c r="B155" s="477"/>
      <c r="C155" s="424"/>
      <c r="D155" s="400"/>
      <c r="E155" s="442"/>
      <c r="F155" s="284"/>
      <c r="G155" s="481"/>
      <c r="H155" s="251"/>
    </row>
    <row r="156">
      <c r="A156" s="265"/>
      <c r="B156" s="477"/>
      <c r="C156" s="424"/>
      <c r="D156" s="400"/>
      <c r="E156" s="442"/>
      <c r="F156" s="284"/>
      <c r="G156" s="481"/>
      <c r="H156" s="251"/>
    </row>
    <row r="157">
      <c r="A157" s="270"/>
      <c r="B157" s="478"/>
      <c r="C157" s="471"/>
      <c r="D157" s="472"/>
      <c r="E157" s="473"/>
      <c r="F157" s="474"/>
      <c r="G157" s="475"/>
      <c r="H157" s="261"/>
    </row>
    <row r="158">
      <c r="A158" s="262" t="s">
        <v>970</v>
      </c>
      <c r="B158" s="404">
        <v>62901.7</v>
      </c>
      <c r="C158" s="405"/>
      <c r="D158" s="399"/>
      <c r="E158" s="398" t="s">
        <v>328</v>
      </c>
      <c r="F158" s="284"/>
      <c r="G158" s="285" t="s">
        <v>91</v>
      </c>
      <c r="H158" s="286">
        <v>280.0</v>
      </c>
    </row>
    <row r="159">
      <c r="A159" s="265"/>
      <c r="B159" s="404"/>
      <c r="C159" s="405"/>
      <c r="D159" s="399">
        <v>102500.0</v>
      </c>
      <c r="E159" s="398"/>
      <c r="F159" s="284"/>
      <c r="G159" s="285" t="s">
        <v>1592</v>
      </c>
      <c r="H159" s="251"/>
    </row>
    <row r="160">
      <c r="A160" s="265"/>
      <c r="B160" s="404">
        <v>57000.0</v>
      </c>
      <c r="C160" s="405"/>
      <c r="D160" s="399"/>
      <c r="E160" s="398"/>
      <c r="F160" s="284"/>
      <c r="G160" s="285" t="s">
        <v>68</v>
      </c>
      <c r="H160" s="267"/>
    </row>
    <row r="161">
      <c r="A161" s="265"/>
      <c r="B161" s="404">
        <v>46800.0</v>
      </c>
      <c r="C161" s="405"/>
      <c r="D161" s="399"/>
      <c r="E161" s="398" t="s">
        <v>328</v>
      </c>
      <c r="F161" s="284"/>
      <c r="G161" s="285" t="s">
        <v>76</v>
      </c>
      <c r="H161" s="251"/>
    </row>
    <row r="162">
      <c r="A162" s="265"/>
      <c r="B162" s="404"/>
      <c r="C162" s="405"/>
      <c r="D162" s="399"/>
      <c r="E162" s="398"/>
      <c r="F162" s="284"/>
      <c r="G162" s="285"/>
      <c r="H162" s="267"/>
    </row>
    <row r="163">
      <c r="A163" s="265"/>
      <c r="B163" s="404"/>
      <c r="C163" s="424"/>
      <c r="D163" s="399"/>
      <c r="E163" s="442"/>
      <c r="F163" s="284"/>
      <c r="G163" s="285"/>
      <c r="H163" s="251"/>
    </row>
    <row r="164">
      <c r="A164" s="265"/>
      <c r="B164" s="404"/>
      <c r="C164" s="424"/>
      <c r="D164" s="399"/>
      <c r="E164" s="398"/>
      <c r="F164" s="284"/>
      <c r="G164" s="285"/>
      <c r="H164" s="267"/>
    </row>
    <row r="165">
      <c r="A165" s="265"/>
      <c r="B165" s="404"/>
      <c r="C165" s="424"/>
      <c r="D165" s="399"/>
      <c r="E165" s="442"/>
      <c r="F165" s="284"/>
      <c r="G165" s="285"/>
      <c r="H165" s="251"/>
    </row>
    <row r="166">
      <c r="A166" s="265"/>
      <c r="B166" s="404"/>
      <c r="C166" s="405"/>
      <c r="D166" s="399"/>
      <c r="E166" s="442"/>
      <c r="F166" s="284"/>
      <c r="G166" s="285"/>
      <c r="H166" s="251"/>
    </row>
    <row r="167">
      <c r="A167" s="265"/>
      <c r="B167" s="404"/>
      <c r="C167" s="424"/>
      <c r="D167" s="399"/>
      <c r="E167" s="442"/>
      <c r="F167" s="284"/>
      <c r="G167" s="285"/>
      <c r="H167" s="251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05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24"/>
      <c r="D171" s="399"/>
      <c r="E171" s="442"/>
      <c r="F171" s="284"/>
      <c r="G171" s="285"/>
      <c r="H171" s="251"/>
    </row>
    <row r="172">
      <c r="A172" s="265"/>
      <c r="B172" s="404"/>
      <c r="C172" s="424"/>
      <c r="D172" s="400"/>
      <c r="E172" s="442"/>
      <c r="F172" s="284"/>
      <c r="G172" s="285"/>
      <c r="H172" s="251"/>
    </row>
    <row r="173">
      <c r="A173" s="270"/>
      <c r="B173" s="404"/>
      <c r="C173" s="424"/>
      <c r="D173" s="399"/>
      <c r="E173" s="442"/>
      <c r="F173" s="284"/>
      <c r="G173" s="285"/>
      <c r="H173" s="261"/>
    </row>
    <row r="174">
      <c r="A174" s="262" t="s">
        <v>971</v>
      </c>
      <c r="B174" s="425">
        <v>88439.0</v>
      </c>
      <c r="C174" s="426"/>
      <c r="D174" s="401"/>
      <c r="E174" s="402" t="s">
        <v>1593</v>
      </c>
      <c r="F174" s="403"/>
      <c r="G174" s="436" t="s">
        <v>1594</v>
      </c>
      <c r="H174" s="245">
        <v>169.0</v>
      </c>
      <c r="I174" s="2" t="s">
        <v>1595</v>
      </c>
    </row>
    <row r="175">
      <c r="A175" s="265"/>
      <c r="B175" s="404"/>
      <c r="C175" s="405"/>
      <c r="D175" s="399"/>
      <c r="E175" s="442"/>
      <c r="F175" s="284">
        <v>10000.0</v>
      </c>
      <c r="G175" s="285" t="s">
        <v>85</v>
      </c>
      <c r="H175" s="267" t="s">
        <v>46</v>
      </c>
    </row>
    <row r="176">
      <c r="A176" s="265"/>
      <c r="B176" s="419">
        <v>113500.0</v>
      </c>
      <c r="C176" s="434"/>
      <c r="D176" s="414"/>
      <c r="E176" s="417" t="s">
        <v>306</v>
      </c>
      <c r="F176" s="418"/>
      <c r="G176" s="420" t="s">
        <v>75</v>
      </c>
      <c r="H176" s="251"/>
    </row>
    <row r="177">
      <c r="A177" s="265"/>
      <c r="B177" s="404">
        <v>196096.0</v>
      </c>
      <c r="C177" s="405"/>
      <c r="D177" s="399"/>
      <c r="E177" s="398" t="s">
        <v>328</v>
      </c>
      <c r="F177" s="284"/>
      <c r="G177" s="285" t="s">
        <v>100</v>
      </c>
      <c r="H177" s="251"/>
    </row>
    <row r="178">
      <c r="A178" s="265"/>
      <c r="B178" s="404">
        <v>143667.0</v>
      </c>
      <c r="C178" s="405"/>
      <c r="D178" s="399"/>
      <c r="E178" s="398" t="s">
        <v>328</v>
      </c>
      <c r="F178" s="284"/>
      <c r="G178" s="285" t="s">
        <v>1522</v>
      </c>
      <c r="H178" s="251"/>
    </row>
    <row r="179">
      <c r="A179" s="265"/>
      <c r="B179" s="404"/>
      <c r="C179" s="405"/>
      <c r="D179" s="399"/>
      <c r="E179" s="442"/>
      <c r="F179" s="284"/>
      <c r="G179" s="285"/>
      <c r="H179" s="267"/>
    </row>
    <row r="180">
      <c r="A180" s="265"/>
      <c r="B180" s="404"/>
      <c r="C180" s="405"/>
      <c r="D180" s="399"/>
      <c r="E180" s="442"/>
      <c r="F180" s="284"/>
      <c r="G180" s="488"/>
      <c r="H180" s="251"/>
    </row>
    <row r="181">
      <c r="A181" s="265"/>
      <c r="B181" s="404"/>
      <c r="C181" s="424"/>
      <c r="D181" s="399"/>
      <c r="E181" s="442"/>
      <c r="F181" s="284"/>
      <c r="G181" s="285"/>
      <c r="H181" s="251"/>
    </row>
    <row r="182">
      <c r="A182" s="265"/>
      <c r="B182" s="404"/>
      <c r="C182" s="405"/>
      <c r="D182" s="399"/>
      <c r="E182" s="442"/>
      <c r="F182" s="284"/>
      <c r="G182" s="285"/>
      <c r="H182" s="251"/>
    </row>
    <row r="183">
      <c r="A183" s="265"/>
      <c r="B183" s="404"/>
      <c r="C183" s="405"/>
      <c r="D183" s="400"/>
      <c r="E183" s="442"/>
      <c r="F183" s="284"/>
      <c r="G183" s="285"/>
      <c r="H183" s="251"/>
    </row>
    <row r="184">
      <c r="A184" s="265"/>
      <c r="B184" s="477"/>
      <c r="C184" s="405"/>
      <c r="D184" s="400"/>
      <c r="E184" s="442"/>
      <c r="F184" s="284"/>
      <c r="G184" s="481"/>
      <c r="H184" s="251"/>
    </row>
    <row r="185">
      <c r="A185" s="265"/>
      <c r="B185" s="404"/>
      <c r="C185" s="405"/>
      <c r="D185" s="400"/>
      <c r="E185" s="442"/>
      <c r="F185" s="284"/>
      <c r="G185" s="481"/>
      <c r="H185" s="251"/>
    </row>
    <row r="186">
      <c r="A186" s="265"/>
      <c r="B186" s="480"/>
      <c r="C186" s="424"/>
      <c r="D186" s="400"/>
      <c r="E186" s="442"/>
      <c r="F186" s="284"/>
      <c r="G186" s="481"/>
      <c r="H186" s="251"/>
    </row>
    <row r="187">
      <c r="A187" s="265"/>
      <c r="B187" s="480"/>
      <c r="C187" s="424"/>
      <c r="D187" s="400"/>
      <c r="E187" s="442"/>
      <c r="F187" s="463"/>
      <c r="G187" s="481"/>
      <c r="H187" s="251"/>
    </row>
    <row r="188">
      <c r="A188" s="270"/>
      <c r="B188" s="478"/>
      <c r="C188" s="471"/>
      <c r="D188" s="472"/>
      <c r="E188" s="473"/>
      <c r="F188" s="460"/>
      <c r="G188" s="482"/>
      <c r="H188" s="261"/>
    </row>
    <row r="189">
      <c r="A189" s="262" t="s">
        <v>1596</v>
      </c>
      <c r="B189" s="425">
        <v>53194.0</v>
      </c>
      <c r="C189" s="426"/>
      <c r="D189" s="401"/>
      <c r="E189" s="402"/>
      <c r="F189" s="403"/>
      <c r="G189" s="436" t="s">
        <v>291</v>
      </c>
      <c r="H189" s="245">
        <v>290.0</v>
      </c>
      <c r="I189" s="2" t="s">
        <v>1349</v>
      </c>
    </row>
    <row r="190">
      <c r="A190" s="265"/>
      <c r="B190" s="404">
        <v>18917.53</v>
      </c>
      <c r="C190" s="405"/>
      <c r="D190" s="399"/>
      <c r="E190" s="398" t="s">
        <v>527</v>
      </c>
      <c r="F190" s="284"/>
      <c r="G190" s="285" t="s">
        <v>74</v>
      </c>
      <c r="H190" s="267"/>
    </row>
    <row r="191">
      <c r="A191" s="265"/>
      <c r="B191" s="404">
        <v>65225.84</v>
      </c>
      <c r="C191" s="424"/>
      <c r="D191" s="399"/>
      <c r="E191" s="398" t="s">
        <v>527</v>
      </c>
      <c r="F191" s="284"/>
      <c r="G191" s="285" t="s">
        <v>73</v>
      </c>
      <c r="H191" s="251"/>
    </row>
    <row r="192">
      <c r="A192" s="265"/>
      <c r="B192" s="404"/>
      <c r="C192" s="405"/>
      <c r="D192" s="399"/>
      <c r="E192" s="398"/>
      <c r="F192" s="284">
        <v>6800.0</v>
      </c>
      <c r="G192" s="285" t="s">
        <v>1597</v>
      </c>
      <c r="H192" s="267">
        <v>140.0</v>
      </c>
      <c r="I192" s="2" t="s">
        <v>1349</v>
      </c>
    </row>
    <row r="193">
      <c r="A193" s="265"/>
      <c r="B193" s="404"/>
      <c r="C193" s="405"/>
      <c r="D193" s="399"/>
      <c r="E193" s="398"/>
      <c r="F193" s="284">
        <v>32500.0</v>
      </c>
      <c r="G193" s="285" t="s">
        <v>1598</v>
      </c>
      <c r="H193" s="251"/>
    </row>
    <row r="194">
      <c r="A194" s="265"/>
      <c r="B194" s="404"/>
      <c r="C194" s="405"/>
      <c r="D194" s="399"/>
      <c r="E194" s="398"/>
      <c r="F194" s="284"/>
      <c r="G194" s="285"/>
      <c r="H194" s="251"/>
    </row>
    <row r="195">
      <c r="A195" s="265"/>
      <c r="B195" s="404"/>
      <c r="C195" s="424"/>
      <c r="D195" s="399"/>
      <c r="E195" s="398"/>
      <c r="F195" s="284"/>
      <c r="G195" s="285"/>
      <c r="H195" s="251"/>
    </row>
    <row r="196">
      <c r="A196" s="265"/>
      <c r="B196" s="404"/>
      <c r="C196" s="424"/>
      <c r="D196" s="400"/>
      <c r="E196" s="398"/>
      <c r="F196" s="284"/>
      <c r="G196" s="285"/>
      <c r="H196" s="251"/>
      <c r="I196" s="269"/>
      <c r="J196" s="269"/>
      <c r="K196" s="269"/>
    </row>
    <row r="197">
      <c r="A197" s="265"/>
      <c r="B197" s="404"/>
      <c r="C197" s="405"/>
      <c r="D197" s="399"/>
      <c r="E197" s="481"/>
      <c r="F197" s="284"/>
      <c r="G197" s="285"/>
      <c r="H197" s="251"/>
      <c r="I197" s="269"/>
      <c r="J197" s="269"/>
      <c r="K197" s="269"/>
    </row>
    <row r="198">
      <c r="A198" s="265"/>
      <c r="B198" s="440"/>
      <c r="C198" s="424"/>
      <c r="D198" s="399"/>
      <c r="E198" s="285"/>
      <c r="F198" s="284"/>
      <c r="G198" s="285"/>
      <c r="H198" s="251"/>
      <c r="I198" s="254"/>
      <c r="J198" s="269"/>
      <c r="K198" s="269"/>
    </row>
    <row r="199">
      <c r="A199" s="265"/>
      <c r="B199" s="440"/>
      <c r="C199" s="424"/>
      <c r="D199" s="400"/>
      <c r="E199" s="481"/>
      <c r="F199" s="463"/>
      <c r="G199" s="285"/>
      <c r="H199" s="251"/>
      <c r="I199" s="269"/>
      <c r="J199" s="269"/>
      <c r="K199" s="269"/>
    </row>
    <row r="200">
      <c r="A200" s="270"/>
      <c r="B200" s="478"/>
      <c r="C200" s="471"/>
      <c r="D200" s="472"/>
      <c r="E200" s="482"/>
      <c r="F200" s="460"/>
      <c r="G200" s="482"/>
      <c r="H200" s="261"/>
      <c r="I200" s="269"/>
      <c r="J200" s="269"/>
      <c r="K200" s="269"/>
    </row>
    <row r="201">
      <c r="A201" s="262" t="s">
        <v>975</v>
      </c>
      <c r="B201" s="461"/>
      <c r="C201" s="445"/>
      <c r="D201" s="421"/>
      <c r="E201" s="422"/>
      <c r="F201" s="403"/>
      <c r="G201" s="436"/>
      <c r="H201" s="245">
        <v>66.0</v>
      </c>
      <c r="I201" s="254" t="s">
        <v>1599</v>
      </c>
      <c r="J201" s="254"/>
      <c r="K201" s="254"/>
    </row>
    <row r="202">
      <c r="A202" s="265"/>
      <c r="B202" s="404"/>
      <c r="C202" s="405"/>
      <c r="D202" s="399"/>
      <c r="E202" s="398"/>
      <c r="F202" s="284"/>
      <c r="G202" s="285"/>
      <c r="H202" s="267"/>
      <c r="I202" s="420" t="s">
        <v>1600</v>
      </c>
      <c r="J202" s="254"/>
      <c r="K202" s="254"/>
    </row>
    <row r="203">
      <c r="A203" s="265"/>
      <c r="B203" s="404"/>
      <c r="C203" s="405"/>
      <c r="D203" s="399"/>
      <c r="E203" s="398"/>
      <c r="F203" s="284"/>
      <c r="G203" s="285"/>
      <c r="H203" s="251"/>
      <c r="I203" s="254"/>
      <c r="J203" s="254"/>
      <c r="K203" s="254"/>
    </row>
    <row r="204">
      <c r="A204" s="265"/>
      <c r="B204" s="404"/>
      <c r="C204" s="405"/>
      <c r="D204" s="414"/>
      <c r="E204" s="417"/>
      <c r="F204" s="418"/>
      <c r="G204" s="420"/>
      <c r="H204" s="267"/>
      <c r="I204" s="254" t="s">
        <v>1601</v>
      </c>
      <c r="J204" s="269"/>
      <c r="K204" s="269"/>
    </row>
    <row r="205">
      <c r="A205" s="265"/>
      <c r="B205" s="404"/>
      <c r="C205" s="405"/>
      <c r="D205" s="399"/>
      <c r="E205" s="398"/>
      <c r="F205" s="284"/>
      <c r="G205" s="285"/>
      <c r="H205" s="251"/>
      <c r="I205" s="269"/>
      <c r="J205" s="269"/>
      <c r="K205" s="269"/>
    </row>
    <row r="206">
      <c r="A206" s="265"/>
      <c r="B206" s="404"/>
      <c r="C206" s="405"/>
      <c r="D206" s="399"/>
      <c r="E206" s="398"/>
      <c r="F206" s="284"/>
      <c r="G206" s="285"/>
      <c r="H206" s="251"/>
      <c r="I206" s="269"/>
      <c r="J206" s="269"/>
      <c r="K206" s="269"/>
    </row>
    <row r="207">
      <c r="A207" s="265"/>
      <c r="B207" s="404"/>
      <c r="C207" s="424"/>
      <c r="D207" s="399"/>
      <c r="E207" s="398"/>
      <c r="F207" s="284"/>
      <c r="G207" s="285"/>
      <c r="H207" s="267"/>
      <c r="I207" s="254"/>
      <c r="J207" s="269"/>
      <c r="K207" s="269"/>
    </row>
    <row r="208">
      <c r="A208" s="265"/>
      <c r="B208" s="404"/>
      <c r="C208" s="424"/>
      <c r="D208" s="399"/>
      <c r="E208" s="398"/>
      <c r="F208" s="284"/>
      <c r="G208" s="398"/>
      <c r="H208" s="251"/>
      <c r="I208" s="254"/>
      <c r="J208" s="269"/>
      <c r="K208" s="269"/>
    </row>
    <row r="209">
      <c r="A209" s="265"/>
      <c r="B209" s="404"/>
      <c r="C209" s="424"/>
      <c r="D209" s="399"/>
      <c r="E209" s="398"/>
      <c r="F209" s="284"/>
      <c r="G209" s="285"/>
      <c r="H209" s="251"/>
      <c r="I209" s="269"/>
      <c r="J209" s="269"/>
      <c r="K209" s="269"/>
    </row>
    <row r="210">
      <c r="A210" s="265"/>
      <c r="B210" s="404"/>
      <c r="C210" s="424"/>
      <c r="D210" s="400"/>
      <c r="E210" s="442"/>
      <c r="F210" s="284"/>
      <c r="G210" s="285"/>
      <c r="H210" s="251"/>
    </row>
    <row r="211">
      <c r="A211" s="265"/>
      <c r="B211" s="404"/>
      <c r="C211" s="424"/>
      <c r="D211" s="400"/>
      <c r="E211" s="442"/>
      <c r="F211" s="284"/>
      <c r="G211" s="285"/>
      <c r="H211" s="251"/>
    </row>
    <row r="212">
      <c r="A212" s="265"/>
      <c r="B212" s="440"/>
      <c r="C212" s="424"/>
      <c r="D212" s="400"/>
      <c r="E212" s="442"/>
      <c r="F212" s="284"/>
      <c r="G212" s="285"/>
      <c r="H212" s="251"/>
    </row>
    <row r="213">
      <c r="A213" s="265"/>
      <c r="B213" s="480"/>
      <c r="C213" s="424"/>
      <c r="D213" s="400"/>
      <c r="E213" s="442"/>
      <c r="F213" s="463"/>
      <c r="G213" s="481"/>
      <c r="H213" s="251"/>
    </row>
    <row r="214">
      <c r="A214" s="265"/>
      <c r="B214" s="480"/>
      <c r="C214" s="424"/>
      <c r="D214" s="400"/>
      <c r="E214" s="442"/>
      <c r="F214" s="463"/>
      <c r="G214" s="481"/>
      <c r="H214" s="251"/>
    </row>
    <row r="215">
      <c r="A215" s="270"/>
      <c r="B215" s="478"/>
      <c r="C215" s="471"/>
      <c r="D215" s="472"/>
      <c r="E215" s="473"/>
      <c r="F215" s="460"/>
      <c r="G215" s="482"/>
      <c r="H215" s="261"/>
    </row>
    <row r="216">
      <c r="A216" s="262" t="s">
        <v>977</v>
      </c>
      <c r="B216" s="461"/>
      <c r="C216" s="445"/>
      <c r="D216" s="421"/>
      <c r="E216" s="422"/>
      <c r="F216" s="403">
        <v>4716.0</v>
      </c>
      <c r="G216" s="398" t="s">
        <v>97</v>
      </c>
      <c r="H216" s="245">
        <v>350.0</v>
      </c>
      <c r="I216" s="2" t="s">
        <v>1349</v>
      </c>
    </row>
    <row r="217">
      <c r="A217" s="265"/>
      <c r="B217" s="404"/>
      <c r="C217" s="405"/>
      <c r="D217" s="399">
        <v>84195.92</v>
      </c>
      <c r="E217" s="398"/>
      <c r="F217" s="284"/>
      <c r="G217" s="285" t="s">
        <v>1602</v>
      </c>
      <c r="H217" s="267"/>
    </row>
    <row r="218">
      <c r="A218" s="265"/>
      <c r="B218" s="404"/>
      <c r="C218" s="427"/>
      <c r="D218" s="399">
        <v>84195.92</v>
      </c>
      <c r="E218" s="398"/>
      <c r="F218" s="284"/>
      <c r="G218" s="285" t="s">
        <v>1603</v>
      </c>
      <c r="H218" s="251"/>
    </row>
    <row r="219">
      <c r="A219" s="265"/>
      <c r="B219" s="404">
        <v>68607.0</v>
      </c>
      <c r="C219" s="405"/>
      <c r="D219" s="399"/>
      <c r="E219" s="398" t="s">
        <v>328</v>
      </c>
      <c r="F219" s="284"/>
      <c r="G219" s="285" t="s">
        <v>931</v>
      </c>
      <c r="H219" s="251"/>
    </row>
    <row r="220">
      <c r="A220" s="265"/>
      <c r="B220" s="404"/>
      <c r="C220" s="424"/>
      <c r="D220" s="399"/>
      <c r="E220" s="398"/>
      <c r="F220" s="284">
        <v>2979.0</v>
      </c>
      <c r="G220" s="285" t="s">
        <v>288</v>
      </c>
      <c r="H220" s="267"/>
    </row>
    <row r="221">
      <c r="A221" s="265"/>
      <c r="B221" s="404"/>
      <c r="C221" s="405"/>
      <c r="D221" s="399"/>
      <c r="E221" s="398"/>
      <c r="F221" s="284">
        <v>4468.0</v>
      </c>
      <c r="G221" s="285" t="s">
        <v>1604</v>
      </c>
      <c r="H221" s="267"/>
    </row>
    <row r="222">
      <c r="A222" s="265"/>
      <c r="B222" s="404"/>
      <c r="C222" s="405"/>
      <c r="D222" s="399">
        <v>167532.06</v>
      </c>
      <c r="E222" s="520" t="s">
        <v>328</v>
      </c>
      <c r="F222" s="521"/>
      <c r="G222" s="285" t="s">
        <v>1605</v>
      </c>
      <c r="H222" s="251"/>
    </row>
    <row r="223">
      <c r="A223" s="265"/>
      <c r="B223" s="404"/>
      <c r="C223" s="424"/>
      <c r="D223" s="400"/>
      <c r="E223" s="512"/>
      <c r="F223" s="513"/>
      <c r="G223" s="285"/>
      <c r="H223" s="251"/>
    </row>
    <row r="224">
      <c r="A224" s="265"/>
      <c r="B224" s="404"/>
      <c r="C224" s="424"/>
      <c r="D224" s="399"/>
      <c r="E224" s="398"/>
      <c r="F224" s="284"/>
      <c r="G224" s="285"/>
      <c r="H224" s="251"/>
    </row>
    <row r="225">
      <c r="A225" s="265"/>
      <c r="B225" s="404"/>
      <c r="C225" s="424"/>
      <c r="D225" s="400"/>
      <c r="E225" s="442"/>
      <c r="F225" s="284"/>
      <c r="G225" s="285"/>
      <c r="H225" s="251"/>
    </row>
    <row r="226">
      <c r="A226" s="265"/>
      <c r="B226" s="480"/>
      <c r="C226" s="424"/>
      <c r="D226" s="400"/>
      <c r="E226" s="442"/>
      <c r="F226" s="284"/>
      <c r="G226" s="285"/>
      <c r="H226" s="251"/>
    </row>
    <row r="227">
      <c r="A227" s="265"/>
      <c r="B227" s="480"/>
      <c r="C227" s="424"/>
      <c r="D227" s="400"/>
      <c r="E227" s="442"/>
      <c r="F227" s="284"/>
      <c r="G227" s="481"/>
      <c r="H227" s="251"/>
    </row>
    <row r="228">
      <c r="A228" s="265"/>
      <c r="B228" s="480"/>
      <c r="C228" s="424"/>
      <c r="D228" s="400"/>
      <c r="E228" s="442"/>
      <c r="F228" s="284"/>
      <c r="G228" s="481"/>
      <c r="H228" s="251"/>
    </row>
    <row r="229">
      <c r="A229" s="270"/>
      <c r="B229" s="478"/>
      <c r="C229" s="471"/>
      <c r="D229" s="472"/>
      <c r="E229" s="473"/>
      <c r="F229" s="460"/>
      <c r="G229" s="482"/>
      <c r="H229" s="261"/>
    </row>
    <row r="230">
      <c r="A230" s="262" t="s">
        <v>978</v>
      </c>
      <c r="B230" s="425">
        <v>57000.0</v>
      </c>
      <c r="C230" s="426"/>
      <c r="D230" s="421"/>
      <c r="E230" s="402" t="s">
        <v>328</v>
      </c>
      <c r="F230" s="403"/>
      <c r="G230" s="436" t="s">
        <v>68</v>
      </c>
      <c r="H230" s="245">
        <v>356.0</v>
      </c>
      <c r="I230" s="2" t="s">
        <v>1349</v>
      </c>
    </row>
    <row r="231">
      <c r="A231" s="265"/>
      <c r="B231" s="419">
        <f>115000-4000</f>
        <v>111000</v>
      </c>
      <c r="C231" s="427"/>
      <c r="D231" s="414"/>
      <c r="E231" s="417" t="s">
        <v>306</v>
      </c>
      <c r="F231" s="418"/>
      <c r="G231" s="420" t="s">
        <v>1606</v>
      </c>
      <c r="H231" s="251"/>
    </row>
    <row r="232">
      <c r="A232" s="265"/>
      <c r="B232" s="404">
        <f>57170.51+19000</f>
        <v>76170.51</v>
      </c>
      <c r="C232" s="427"/>
      <c r="D232" s="399"/>
      <c r="E232" s="398" t="s">
        <v>1607</v>
      </c>
      <c r="F232" s="284"/>
      <c r="G232" s="285" t="s">
        <v>82</v>
      </c>
      <c r="H232" s="267"/>
    </row>
    <row r="233">
      <c r="A233" s="265"/>
      <c r="B233" s="404">
        <v>55933.13</v>
      </c>
      <c r="C233" s="405"/>
      <c r="D233" s="399"/>
      <c r="E233" s="398" t="s">
        <v>328</v>
      </c>
      <c r="F233" s="284"/>
      <c r="G233" s="285" t="s">
        <v>1608</v>
      </c>
      <c r="H233" s="267"/>
    </row>
    <row r="234">
      <c r="A234" s="265"/>
      <c r="B234" s="404">
        <v>244509.36</v>
      </c>
      <c r="C234" s="405"/>
      <c r="D234" s="399"/>
      <c r="E234" s="398" t="s">
        <v>328</v>
      </c>
      <c r="F234" s="284"/>
      <c r="G234" s="285" t="s">
        <v>114</v>
      </c>
      <c r="H234" s="251"/>
    </row>
    <row r="235">
      <c r="A235" s="265"/>
      <c r="B235" s="404"/>
      <c r="C235" s="405"/>
      <c r="D235" s="399"/>
      <c r="E235" s="442"/>
      <c r="F235" s="284"/>
      <c r="G235" s="285"/>
      <c r="H235" s="251"/>
    </row>
    <row r="236">
      <c r="A236" s="265"/>
      <c r="B236" s="404"/>
      <c r="C236" s="424"/>
      <c r="D236" s="399"/>
      <c r="E236" s="442"/>
      <c r="F236" s="284"/>
      <c r="G236" s="285"/>
      <c r="H236" s="251"/>
    </row>
    <row r="237">
      <c r="A237" s="265"/>
      <c r="B237" s="404"/>
      <c r="C237" s="405"/>
      <c r="D237" s="400"/>
      <c r="E237" s="442"/>
      <c r="F237" s="284"/>
      <c r="G237" s="285"/>
      <c r="H237" s="267"/>
    </row>
    <row r="238">
      <c r="A238" s="265"/>
      <c r="B238" s="404"/>
      <c r="C238" s="424"/>
      <c r="D238" s="400"/>
      <c r="E238" s="442"/>
      <c r="F238" s="284"/>
      <c r="G238" s="285"/>
      <c r="H238" s="251"/>
    </row>
    <row r="239">
      <c r="A239" s="265"/>
      <c r="B239" s="404"/>
      <c r="C239" s="424"/>
      <c r="D239" s="399"/>
      <c r="E239" s="398"/>
      <c r="F239" s="284"/>
      <c r="G239" s="285"/>
      <c r="H239" s="251"/>
    </row>
    <row r="240">
      <c r="A240" s="265"/>
      <c r="B240" s="404"/>
      <c r="C240" s="424"/>
      <c r="D240" s="399"/>
      <c r="E240" s="442"/>
      <c r="F240" s="284"/>
      <c r="G240" s="285"/>
      <c r="H240" s="267"/>
    </row>
    <row r="241">
      <c r="A241" s="265"/>
      <c r="B241" s="477"/>
      <c r="C241" s="424"/>
      <c r="D241" s="399"/>
      <c r="E241" s="442"/>
      <c r="F241" s="284"/>
      <c r="G241" s="285"/>
      <c r="H241" s="251"/>
    </row>
    <row r="242">
      <c r="A242" s="265"/>
      <c r="B242" s="477"/>
      <c r="C242" s="424"/>
      <c r="D242" s="400"/>
      <c r="E242" s="442"/>
      <c r="F242" s="284"/>
      <c r="G242" s="285"/>
      <c r="H242" s="251"/>
    </row>
    <row r="243">
      <c r="A243" s="265"/>
      <c r="B243" s="477"/>
      <c r="C243" s="424"/>
      <c r="D243" s="400"/>
      <c r="E243" s="442"/>
      <c r="F243" s="284"/>
      <c r="G243" s="285"/>
      <c r="H243" s="251"/>
    </row>
    <row r="244">
      <c r="A244" s="270"/>
      <c r="B244" s="478"/>
      <c r="C244" s="471"/>
      <c r="D244" s="472"/>
      <c r="E244" s="473"/>
      <c r="F244" s="474"/>
      <c r="G244" s="475"/>
      <c r="H244" s="261"/>
    </row>
    <row r="245">
      <c r="A245" s="262" t="s">
        <v>1115</v>
      </c>
      <c r="B245" s="425">
        <v>50000.0</v>
      </c>
      <c r="C245" s="426"/>
      <c r="D245" s="399"/>
      <c r="E245" s="398"/>
      <c r="F245" s="284"/>
      <c r="G245" s="285" t="s">
        <v>1185</v>
      </c>
      <c r="H245" s="245">
        <v>320.0</v>
      </c>
      <c r="I245" s="2" t="s">
        <v>1349</v>
      </c>
    </row>
    <row r="246">
      <c r="A246" s="265"/>
      <c r="B246" s="404"/>
      <c r="C246" s="405"/>
      <c r="D246" s="399"/>
      <c r="E246" s="398"/>
      <c r="F246" s="284">
        <v>6000.0</v>
      </c>
      <c r="G246" s="285" t="s">
        <v>1144</v>
      </c>
      <c r="H246" s="267"/>
    </row>
    <row r="247">
      <c r="A247" s="265"/>
      <c r="B247" s="404">
        <v>49200.0</v>
      </c>
      <c r="C247" s="405"/>
      <c r="D247" s="399"/>
      <c r="E247" s="398" t="s">
        <v>328</v>
      </c>
      <c r="F247" s="284"/>
      <c r="G247" s="285" t="s">
        <v>76</v>
      </c>
      <c r="H247" s="251"/>
    </row>
    <row r="248">
      <c r="A248" s="265"/>
      <c r="B248" s="404"/>
      <c r="C248" s="405"/>
      <c r="D248" s="399"/>
      <c r="E248" s="442"/>
      <c r="F248" s="284"/>
      <c r="G248" s="285"/>
      <c r="H248" s="251"/>
    </row>
    <row r="249">
      <c r="A249" s="265"/>
      <c r="B249" s="404"/>
      <c r="C249" s="405"/>
      <c r="D249" s="399"/>
      <c r="E249" s="398"/>
      <c r="F249" s="284"/>
      <c r="G249" s="285"/>
      <c r="H249" s="251"/>
    </row>
    <row r="250">
      <c r="A250" s="265"/>
      <c r="B250" s="404"/>
      <c r="C250" s="405"/>
      <c r="D250" s="399"/>
      <c r="E250" s="442"/>
      <c r="F250" s="284"/>
      <c r="G250" s="285"/>
      <c r="H250" s="251"/>
    </row>
    <row r="251">
      <c r="A251" s="265"/>
      <c r="B251" s="404"/>
      <c r="C251" s="405"/>
      <c r="D251" s="399"/>
      <c r="E251" s="442"/>
      <c r="F251" s="284"/>
      <c r="G251" s="285"/>
      <c r="H251" s="267"/>
    </row>
    <row r="252">
      <c r="A252" s="265"/>
      <c r="B252" s="404"/>
      <c r="C252" s="405"/>
      <c r="D252" s="399"/>
      <c r="E252" s="442"/>
      <c r="F252" s="284"/>
      <c r="G252" s="285"/>
      <c r="H252" s="267"/>
    </row>
    <row r="253">
      <c r="A253" s="265"/>
      <c r="B253" s="404"/>
      <c r="C253" s="424"/>
      <c r="D253" s="399"/>
      <c r="E253" s="442"/>
      <c r="F253" s="284"/>
      <c r="G253" s="285"/>
      <c r="H253" s="267"/>
    </row>
    <row r="254">
      <c r="A254" s="265"/>
      <c r="B254" s="404"/>
      <c r="C254" s="424"/>
      <c r="D254" s="489"/>
      <c r="E254" s="490"/>
      <c r="F254" s="451"/>
      <c r="G254" s="435"/>
      <c r="H254" s="251"/>
    </row>
    <row r="255">
      <c r="A255" s="265"/>
      <c r="B255" s="404"/>
      <c r="C255" s="424"/>
      <c r="D255" s="400"/>
      <c r="E255" s="442"/>
      <c r="F255" s="284"/>
      <c r="G255" s="285"/>
      <c r="H255" s="251"/>
    </row>
    <row r="256">
      <c r="A256" s="265"/>
      <c r="B256" s="477"/>
      <c r="C256" s="424"/>
      <c r="D256" s="400"/>
      <c r="E256" s="442"/>
      <c r="F256" s="284"/>
      <c r="G256" s="481"/>
      <c r="H256" s="251"/>
    </row>
    <row r="257">
      <c r="A257" s="270"/>
      <c r="B257" s="478"/>
      <c r="C257" s="471"/>
      <c r="D257" s="472"/>
      <c r="E257" s="473"/>
      <c r="F257" s="474"/>
      <c r="G257" s="475"/>
      <c r="H257" s="261"/>
    </row>
    <row r="258">
      <c r="A258" s="262" t="s">
        <v>980</v>
      </c>
      <c r="B258" s="461">
        <v>38000.0</v>
      </c>
      <c r="C258" s="445"/>
      <c r="D258" s="414"/>
      <c r="E258" s="417" t="s">
        <v>306</v>
      </c>
      <c r="F258" s="418"/>
      <c r="G258" s="420" t="s">
        <v>75</v>
      </c>
      <c r="H258" s="245">
        <v>220.0</v>
      </c>
      <c r="I258" s="2" t="s">
        <v>1609</v>
      </c>
    </row>
    <row r="259">
      <c r="A259" s="265"/>
      <c r="B259" s="404">
        <v>51492.56</v>
      </c>
      <c r="C259" s="405"/>
      <c r="D259" s="399"/>
      <c r="E259" s="398"/>
      <c r="F259" s="284"/>
      <c r="G259" s="285" t="s">
        <v>82</v>
      </c>
      <c r="H259" s="267"/>
      <c r="I259" s="417" t="s">
        <v>1610</v>
      </c>
    </row>
    <row r="260">
      <c r="A260" s="265"/>
      <c r="B260" s="404">
        <v>130622.8</v>
      </c>
      <c r="C260" s="405"/>
      <c r="D260" s="399"/>
      <c r="E260" s="442"/>
      <c r="F260" s="284"/>
      <c r="G260" s="285" t="s">
        <v>1611</v>
      </c>
      <c r="H260" s="267"/>
    </row>
    <row r="261">
      <c r="A261" s="265"/>
      <c r="B261" s="404"/>
      <c r="C261" s="405"/>
      <c r="D261" s="414"/>
      <c r="E261" s="417"/>
      <c r="F261" s="284"/>
      <c r="G261" s="285"/>
      <c r="H261" s="251"/>
      <c r="I261" s="417" t="s">
        <v>1612</v>
      </c>
    </row>
    <row r="262">
      <c r="A262" s="265"/>
      <c r="B262" s="404"/>
      <c r="C262" s="405"/>
      <c r="D262" s="414"/>
      <c r="E262" s="417"/>
      <c r="F262" s="284"/>
      <c r="G262" s="285"/>
      <c r="H262" s="251"/>
    </row>
    <row r="263">
      <c r="A263" s="265"/>
      <c r="B263" s="404"/>
      <c r="C263" s="405"/>
      <c r="D263" s="399"/>
      <c r="E263" s="398"/>
      <c r="F263" s="284"/>
      <c r="G263" s="285"/>
      <c r="H263" s="251"/>
    </row>
    <row r="264">
      <c r="A264" s="265"/>
      <c r="B264" s="419"/>
      <c r="C264" s="427"/>
      <c r="D264" s="414"/>
      <c r="E264" s="417"/>
      <c r="F264" s="418"/>
      <c r="G264" s="420"/>
      <c r="H264" s="251"/>
      <c r="I264" s="4" t="s">
        <v>1613</v>
      </c>
    </row>
    <row r="265">
      <c r="A265" s="265"/>
      <c r="B265" s="404"/>
      <c r="C265" s="405"/>
      <c r="D265" s="399"/>
      <c r="E265" s="442"/>
      <c r="F265" s="284"/>
      <c r="G265" s="285"/>
      <c r="H265" s="251"/>
      <c r="I265" s="4" t="s">
        <v>1614</v>
      </c>
      <c r="J265" s="4" t="s">
        <v>1615</v>
      </c>
      <c r="K265" s="4" t="s">
        <v>1106</v>
      </c>
    </row>
    <row r="266">
      <c r="A266" s="265"/>
      <c r="B266" s="404"/>
      <c r="C266" s="424"/>
      <c r="D266" s="399"/>
      <c r="E266" s="442"/>
      <c r="F266" s="284"/>
      <c r="G266" s="285"/>
      <c r="H266" s="251"/>
      <c r="I266" s="2">
        <v>330.0</v>
      </c>
      <c r="J266" s="2">
        <v>660.0</v>
      </c>
    </row>
    <row r="267">
      <c r="A267" s="265"/>
      <c r="B267" s="404"/>
      <c r="C267" s="424"/>
      <c r="D267" s="399"/>
      <c r="E267" s="442"/>
      <c r="F267" s="284"/>
      <c r="G267" s="285"/>
      <c r="H267" s="251"/>
      <c r="I267" s="2">
        <v>55.0</v>
      </c>
    </row>
    <row r="268">
      <c r="A268" s="265"/>
      <c r="B268" s="404"/>
      <c r="C268" s="424"/>
      <c r="D268" s="400"/>
      <c r="E268" s="442"/>
      <c r="F268" s="284"/>
      <c r="G268" s="285"/>
      <c r="H268" s="251"/>
      <c r="I268" s="2">
        <v>351.0</v>
      </c>
    </row>
    <row r="269">
      <c r="A269" s="265"/>
      <c r="B269" s="477"/>
      <c r="C269" s="424"/>
      <c r="D269" s="400"/>
      <c r="E269" s="442"/>
      <c r="F269" s="284"/>
      <c r="G269" s="285"/>
      <c r="H269" s="251"/>
      <c r="I269" s="2">
        <v>150.0</v>
      </c>
    </row>
    <row r="270">
      <c r="A270" s="265"/>
      <c r="B270" s="477"/>
      <c r="C270" s="424"/>
      <c r="D270" s="400"/>
      <c r="E270" s="442"/>
      <c r="F270" s="284"/>
      <c r="G270" s="285"/>
      <c r="H270" s="251"/>
    </row>
    <row r="271">
      <c r="A271" s="265"/>
      <c r="B271" s="480"/>
      <c r="C271" s="424"/>
      <c r="D271" s="400"/>
      <c r="E271" s="442"/>
      <c r="F271" s="284"/>
      <c r="G271" s="285"/>
      <c r="H271" s="251"/>
      <c r="I271" s="2" t="s">
        <v>28</v>
      </c>
    </row>
    <row r="272">
      <c r="A272" s="265"/>
      <c r="B272" s="480"/>
      <c r="C272" s="424"/>
      <c r="D272" s="400"/>
      <c r="E272" s="442"/>
      <c r="F272" s="463"/>
      <c r="G272" s="481"/>
      <c r="H272" s="251"/>
      <c r="I272">
        <f>SUM(I266:I270)</f>
        <v>886</v>
      </c>
      <c r="J272" s="2">
        <v>660.0</v>
      </c>
      <c r="K272">
        <f>I272-J272</f>
        <v>226</v>
      </c>
      <c r="M272" s="2" t="s">
        <v>1616</v>
      </c>
    </row>
    <row r="273">
      <c r="A273" s="270"/>
      <c r="B273" s="478"/>
      <c r="C273" s="471"/>
      <c r="D273" s="472"/>
      <c r="E273" s="473"/>
      <c r="F273" s="460"/>
      <c r="G273" s="482"/>
      <c r="H273" s="261"/>
    </row>
    <row r="274">
      <c r="A274" s="262" t="s">
        <v>1617</v>
      </c>
      <c r="B274" s="425">
        <v>23493.0</v>
      </c>
      <c r="C274" s="426"/>
      <c r="D274" s="401"/>
      <c r="E274" s="402"/>
      <c r="F274" s="403"/>
      <c r="G274" s="436" t="s">
        <v>291</v>
      </c>
      <c r="H274" s="245">
        <v>354.0</v>
      </c>
      <c r="I274" s="2" t="s">
        <v>1618</v>
      </c>
    </row>
    <row r="275">
      <c r="A275" s="265"/>
      <c r="B275" s="404"/>
      <c r="C275" s="405"/>
      <c r="D275" s="399"/>
      <c r="E275" s="398"/>
      <c r="F275" s="284">
        <v>4500.0</v>
      </c>
      <c r="G275" s="285" t="s">
        <v>864</v>
      </c>
      <c r="H275" s="267"/>
    </row>
    <row r="276">
      <c r="A276" s="265"/>
      <c r="B276" s="419"/>
      <c r="C276" s="427"/>
      <c r="D276" s="414"/>
      <c r="E276" s="417"/>
      <c r="F276" s="284">
        <v>891.0</v>
      </c>
      <c r="G276" s="285" t="s">
        <v>1619</v>
      </c>
      <c r="H276" s="251"/>
    </row>
    <row r="277">
      <c r="A277" s="265"/>
      <c r="B277" s="404"/>
      <c r="C277" s="405"/>
      <c r="D277" s="399"/>
      <c r="E277" s="398"/>
      <c r="F277" s="284"/>
      <c r="G277" s="285"/>
      <c r="H277" s="251"/>
      <c r="I277" s="2" t="s">
        <v>1352</v>
      </c>
    </row>
    <row r="278">
      <c r="A278" s="265"/>
      <c r="B278" s="419"/>
      <c r="C278" s="434"/>
      <c r="D278" s="414"/>
      <c r="E278" s="417"/>
      <c r="F278" s="418"/>
      <c r="G278" s="420"/>
      <c r="H278" s="251"/>
    </row>
    <row r="279">
      <c r="A279" s="265"/>
      <c r="B279" s="404"/>
      <c r="C279" s="405"/>
      <c r="D279" s="399"/>
      <c r="E279" s="398"/>
      <c r="F279" s="284"/>
      <c r="G279" s="285"/>
      <c r="H279" s="267"/>
    </row>
    <row r="280">
      <c r="A280" s="265"/>
      <c r="B280" s="419"/>
      <c r="C280" s="427"/>
      <c r="D280" s="414"/>
      <c r="E280" s="417"/>
      <c r="F280" s="418"/>
      <c r="G280" s="420"/>
      <c r="H280" s="267"/>
    </row>
    <row r="281">
      <c r="A281" s="265"/>
      <c r="B281" s="404"/>
      <c r="C281" s="405"/>
      <c r="D281" s="399"/>
      <c r="E281" s="398"/>
      <c r="F281" s="284"/>
      <c r="G281" s="285"/>
      <c r="H281" s="267"/>
    </row>
    <row r="282">
      <c r="A282" s="265"/>
      <c r="B282" s="404"/>
      <c r="C282" s="424"/>
      <c r="D282" s="399"/>
      <c r="E282" s="398"/>
      <c r="F282" s="284"/>
      <c r="G282" s="285"/>
      <c r="H282" s="267">
        <v>80.0</v>
      </c>
      <c r="I282" s="2" t="s">
        <v>1342</v>
      </c>
    </row>
    <row r="283">
      <c r="A283" s="265"/>
      <c r="B283" s="477"/>
      <c r="C283" s="424"/>
      <c r="D283" s="399"/>
      <c r="E283" s="442"/>
      <c r="F283" s="284"/>
      <c r="G283" s="285"/>
      <c r="H283" s="267"/>
    </row>
    <row r="284">
      <c r="A284" s="265"/>
      <c r="B284" s="477"/>
      <c r="C284" s="424"/>
      <c r="D284" s="400"/>
      <c r="E284" s="442"/>
      <c r="F284" s="284"/>
      <c r="G284" s="285"/>
      <c r="H284" s="251"/>
    </row>
    <row r="285">
      <c r="A285" s="265"/>
      <c r="B285" s="477"/>
      <c r="C285" s="424"/>
      <c r="D285" s="400"/>
      <c r="E285" s="442"/>
      <c r="F285" s="284"/>
      <c r="G285" s="285"/>
      <c r="H285" s="251"/>
    </row>
    <row r="286">
      <c r="A286" s="265"/>
      <c r="B286" s="477"/>
      <c r="C286" s="424"/>
      <c r="D286" s="400"/>
      <c r="E286" s="442"/>
      <c r="F286" s="284"/>
      <c r="G286" s="285"/>
      <c r="H286" s="251"/>
    </row>
    <row r="287">
      <c r="A287" s="265"/>
      <c r="B287" s="477"/>
      <c r="C287" s="424"/>
      <c r="D287" s="400"/>
      <c r="E287" s="442"/>
      <c r="F287" s="284"/>
      <c r="G287" s="481"/>
      <c r="H287" s="251"/>
    </row>
    <row r="288">
      <c r="A288" s="270"/>
      <c r="B288" s="478"/>
      <c r="C288" s="471"/>
      <c r="D288" s="472"/>
      <c r="E288" s="473"/>
      <c r="F288" s="460"/>
      <c r="G288" s="482"/>
      <c r="H288" s="261"/>
    </row>
    <row r="289">
      <c r="A289" s="262" t="s">
        <v>984</v>
      </c>
      <c r="B289" s="461">
        <v>174500.0</v>
      </c>
      <c r="C289" s="445"/>
      <c r="D289" s="421"/>
      <c r="E289" s="422" t="s">
        <v>306</v>
      </c>
      <c r="F289" s="418"/>
      <c r="G289" s="420" t="s">
        <v>75</v>
      </c>
      <c r="H289" s="245">
        <v>330.0</v>
      </c>
    </row>
    <row r="290">
      <c r="A290" s="265"/>
      <c r="B290" s="404"/>
      <c r="C290" s="405"/>
      <c r="D290" s="399"/>
      <c r="E290" s="398"/>
      <c r="F290" s="284">
        <v>3955.0</v>
      </c>
      <c r="G290" s="285" t="s">
        <v>1620</v>
      </c>
      <c r="H290" s="267"/>
    </row>
    <row r="291">
      <c r="A291" s="265"/>
      <c r="B291" s="404">
        <v>42479.78</v>
      </c>
      <c r="C291" s="405"/>
      <c r="D291" s="399"/>
      <c r="E291" s="398"/>
      <c r="F291" s="284"/>
      <c r="G291" s="285" t="s">
        <v>82</v>
      </c>
      <c r="H291" s="251"/>
      <c r="I291" s="491"/>
    </row>
    <row r="292">
      <c r="A292" s="265"/>
      <c r="B292" s="404">
        <v>67803.96</v>
      </c>
      <c r="C292" s="405"/>
      <c r="D292" s="399"/>
      <c r="E292" s="398" t="s">
        <v>527</v>
      </c>
      <c r="F292" s="284"/>
      <c r="G292" s="285" t="s">
        <v>114</v>
      </c>
      <c r="H292" s="251"/>
    </row>
    <row r="293">
      <c r="A293" s="265"/>
      <c r="B293" s="404">
        <v>65990.0</v>
      </c>
      <c r="C293" s="405"/>
      <c r="D293" s="399"/>
      <c r="E293" s="398"/>
      <c r="F293" s="284"/>
      <c r="G293" s="285" t="s">
        <v>118</v>
      </c>
      <c r="H293" s="267"/>
    </row>
    <row r="294">
      <c r="A294" s="265"/>
      <c r="B294" s="404">
        <v>39036.0</v>
      </c>
      <c r="C294" s="405"/>
      <c r="D294" s="399"/>
      <c r="E294" s="442"/>
      <c r="F294" s="284"/>
      <c r="G294" s="285" t="s">
        <v>1061</v>
      </c>
      <c r="H294" s="267"/>
    </row>
    <row r="295">
      <c r="A295" s="265"/>
      <c r="B295" s="404"/>
      <c r="C295" s="424"/>
      <c r="D295" s="399"/>
      <c r="E295" s="398"/>
      <c r="F295" s="284"/>
      <c r="G295" s="285"/>
      <c r="H295" s="251"/>
    </row>
    <row r="296">
      <c r="A296" s="265"/>
      <c r="B296" s="419"/>
      <c r="C296" s="427"/>
      <c r="D296" s="414"/>
      <c r="E296" s="417"/>
      <c r="F296" s="418"/>
      <c r="G296" s="420"/>
      <c r="H296" s="251"/>
    </row>
    <row r="297">
      <c r="A297" s="265"/>
      <c r="B297" s="477"/>
      <c r="C297" s="424"/>
      <c r="D297" s="400"/>
      <c r="E297" s="442"/>
      <c r="F297" s="284"/>
      <c r="G297" s="285"/>
      <c r="H297" s="251"/>
    </row>
    <row r="298">
      <c r="A298" s="265"/>
      <c r="B298" s="477"/>
      <c r="C298" s="424"/>
      <c r="D298" s="400"/>
      <c r="E298" s="442"/>
      <c r="F298" s="284"/>
      <c r="G298" s="285"/>
      <c r="H298" s="251"/>
    </row>
    <row r="299">
      <c r="A299" s="265"/>
      <c r="B299" s="404"/>
      <c r="C299" s="424"/>
      <c r="D299" s="400"/>
      <c r="E299" s="442"/>
      <c r="F299" s="284"/>
      <c r="G299" s="285"/>
      <c r="H299" s="251"/>
    </row>
    <row r="300">
      <c r="A300" s="265"/>
      <c r="B300" s="404"/>
      <c r="C300" s="424"/>
      <c r="D300" s="400"/>
      <c r="E300" s="442"/>
      <c r="F300" s="284"/>
      <c r="G300" s="285"/>
      <c r="H300" s="251"/>
    </row>
    <row r="301">
      <c r="A301" s="265"/>
      <c r="B301" s="477"/>
      <c r="C301" s="424"/>
      <c r="D301" s="400"/>
      <c r="E301" s="442"/>
      <c r="F301" s="284"/>
      <c r="G301" s="285"/>
      <c r="H301" s="251"/>
    </row>
    <row r="302">
      <c r="A302" s="265"/>
      <c r="B302" s="477"/>
      <c r="C302" s="424"/>
      <c r="D302" s="400"/>
      <c r="E302" s="442"/>
      <c r="F302" s="284"/>
      <c r="G302" s="481"/>
      <c r="H302" s="251"/>
    </row>
    <row r="303">
      <c r="A303" s="270"/>
      <c r="B303" s="478"/>
      <c r="C303" s="471"/>
      <c r="D303" s="472"/>
      <c r="E303" s="473"/>
      <c r="F303" s="460"/>
      <c r="G303" s="473"/>
      <c r="H303" s="261"/>
    </row>
    <row r="304">
      <c r="A304" s="262" t="s">
        <v>985</v>
      </c>
      <c r="B304" s="425">
        <v>87847.5</v>
      </c>
      <c r="C304" s="426"/>
      <c r="D304" s="401"/>
      <c r="E304" s="402"/>
      <c r="F304" s="403"/>
      <c r="G304" s="402" t="s">
        <v>214</v>
      </c>
      <c r="H304" s="245">
        <v>330.0</v>
      </c>
    </row>
    <row r="305">
      <c r="A305" s="265"/>
      <c r="B305" s="404">
        <v>55157.85</v>
      </c>
      <c r="C305" s="405"/>
      <c r="D305" s="399"/>
      <c r="E305" s="398"/>
      <c r="F305" s="284"/>
      <c r="G305" s="398" t="s">
        <v>1621</v>
      </c>
      <c r="H305" s="267"/>
    </row>
    <row r="306">
      <c r="A306" s="265"/>
      <c r="B306" s="404">
        <v>138230.12</v>
      </c>
      <c r="C306" s="405"/>
      <c r="D306" s="399"/>
      <c r="E306" s="398" t="s">
        <v>328</v>
      </c>
      <c r="F306" s="284"/>
      <c r="G306" s="398" t="s">
        <v>1622</v>
      </c>
      <c r="H306" s="251"/>
    </row>
    <row r="307">
      <c r="A307" s="265"/>
      <c r="B307" s="404">
        <v>269814.0</v>
      </c>
      <c r="C307" s="405"/>
      <c r="D307" s="399"/>
      <c r="E307" s="398" t="s">
        <v>527</v>
      </c>
      <c r="F307" s="284"/>
      <c r="G307" s="398" t="s">
        <v>114</v>
      </c>
      <c r="H307" s="251"/>
    </row>
    <row r="308">
      <c r="A308" s="265"/>
      <c r="B308" s="404"/>
      <c r="C308" s="405"/>
      <c r="D308" s="399"/>
      <c r="E308" s="398"/>
      <c r="F308" s="284">
        <v>10000.0</v>
      </c>
      <c r="G308" s="398" t="s">
        <v>85</v>
      </c>
      <c r="H308" s="251"/>
    </row>
    <row r="309">
      <c r="A309" s="265"/>
      <c r="B309" s="404">
        <v>135441.54</v>
      </c>
      <c r="C309" s="405"/>
      <c r="D309" s="399"/>
      <c r="E309" s="398" t="s">
        <v>328</v>
      </c>
      <c r="F309" s="284"/>
      <c r="G309" s="398" t="s">
        <v>1522</v>
      </c>
      <c r="H309" s="251"/>
    </row>
    <row r="310">
      <c r="A310" s="265"/>
      <c r="B310" s="404">
        <v>149100.0</v>
      </c>
      <c r="C310" s="405"/>
      <c r="D310" s="399"/>
      <c r="E310" s="398" t="s">
        <v>328</v>
      </c>
      <c r="F310" s="284"/>
      <c r="G310" s="398" t="s">
        <v>893</v>
      </c>
      <c r="H310" s="251"/>
    </row>
    <row r="311">
      <c r="A311" s="265"/>
      <c r="B311" s="404">
        <f>5808+43130.32</f>
        <v>48938.32</v>
      </c>
      <c r="C311" s="424"/>
      <c r="D311" s="399"/>
      <c r="E311" s="398" t="s">
        <v>328</v>
      </c>
      <c r="F311" s="284"/>
      <c r="G311" s="398" t="s">
        <v>74</v>
      </c>
      <c r="H311" s="251"/>
    </row>
    <row r="312">
      <c r="A312" s="265"/>
      <c r="B312" s="404">
        <v>189101.65</v>
      </c>
      <c r="C312" s="424"/>
      <c r="D312" s="400"/>
      <c r="E312" s="398" t="s">
        <v>328</v>
      </c>
      <c r="F312" s="284"/>
      <c r="G312" s="398" t="s">
        <v>73</v>
      </c>
      <c r="H312" s="251"/>
    </row>
    <row r="313">
      <c r="A313" s="265"/>
      <c r="B313" s="404"/>
      <c r="C313" s="424"/>
      <c r="D313" s="399"/>
      <c r="E313" s="442"/>
      <c r="F313" s="284"/>
      <c r="G313" s="442"/>
      <c r="H313" s="251"/>
    </row>
    <row r="314">
      <c r="A314" s="265"/>
      <c r="B314" s="404"/>
      <c r="C314" s="424"/>
      <c r="D314" s="400"/>
      <c r="E314" s="442"/>
      <c r="F314" s="284"/>
      <c r="G314" s="442"/>
      <c r="H314" s="251"/>
    </row>
    <row r="315">
      <c r="A315" s="265"/>
      <c r="B315" s="404"/>
      <c r="C315" s="424"/>
      <c r="D315" s="400"/>
      <c r="E315" s="442"/>
      <c r="F315" s="284"/>
      <c r="G315" s="442"/>
      <c r="H315" s="251"/>
    </row>
    <row r="316">
      <c r="A316" s="265"/>
      <c r="B316" s="404"/>
      <c r="C316" s="424"/>
      <c r="D316" s="399"/>
      <c r="E316" s="442"/>
      <c r="F316" s="284"/>
      <c r="G316" s="442"/>
      <c r="H316" s="251"/>
    </row>
    <row r="317">
      <c r="A317" s="270"/>
      <c r="B317" s="478"/>
      <c r="C317" s="471"/>
      <c r="D317" s="472"/>
      <c r="E317" s="473"/>
      <c r="F317" s="474"/>
      <c r="G317" s="492"/>
      <c r="H317" s="261"/>
    </row>
    <row r="318">
      <c r="A318" s="262" t="s">
        <v>988</v>
      </c>
      <c r="B318" s="425">
        <v>42975.6</v>
      </c>
      <c r="C318" s="426"/>
      <c r="D318" s="421"/>
      <c r="E318" s="422"/>
      <c r="F318" s="423"/>
      <c r="G318" s="402" t="s">
        <v>82</v>
      </c>
      <c r="H318" s="245">
        <v>320.0</v>
      </c>
    </row>
    <row r="319">
      <c r="A319" s="265"/>
      <c r="B319" s="404"/>
      <c r="C319" s="405"/>
      <c r="D319" s="399"/>
      <c r="E319" s="398"/>
      <c r="F319" s="284">
        <v>1700.0</v>
      </c>
      <c r="G319" s="398" t="s">
        <v>1111</v>
      </c>
      <c r="H319" s="267"/>
    </row>
    <row r="320">
      <c r="A320" s="265"/>
      <c r="B320" s="404"/>
      <c r="C320" s="405"/>
      <c r="D320" s="399"/>
      <c r="E320" s="398"/>
      <c r="F320" s="284">
        <v>765.0</v>
      </c>
      <c r="G320" s="398" t="s">
        <v>1623</v>
      </c>
      <c r="H320" s="267"/>
    </row>
    <row r="321">
      <c r="A321" s="265"/>
      <c r="B321" s="404">
        <v>114780.04</v>
      </c>
      <c r="C321" s="405"/>
      <c r="D321" s="399"/>
      <c r="E321" s="398" t="s">
        <v>328</v>
      </c>
      <c r="F321" s="284"/>
      <c r="G321" s="398" t="s">
        <v>1624</v>
      </c>
      <c r="H321" s="251"/>
    </row>
    <row r="322">
      <c r="A322" s="265"/>
      <c r="B322" s="404">
        <f>71000-3000-12000</f>
        <v>56000</v>
      </c>
      <c r="C322" s="405"/>
      <c r="D322" s="399"/>
      <c r="E322" s="398"/>
      <c r="F322" s="284"/>
      <c r="G322" s="398" t="s">
        <v>1625</v>
      </c>
      <c r="H322" s="251"/>
    </row>
    <row r="323">
      <c r="A323" s="265"/>
      <c r="B323" s="404"/>
      <c r="C323" s="424"/>
      <c r="D323" s="399"/>
      <c r="E323" s="398"/>
      <c r="F323" s="284"/>
      <c r="G323" s="398"/>
      <c r="H323" s="251"/>
    </row>
    <row r="324">
      <c r="A324" s="265"/>
      <c r="B324" s="404"/>
      <c r="C324" s="424"/>
      <c r="D324" s="399"/>
      <c r="E324" s="442"/>
      <c r="F324" s="284"/>
      <c r="G324" s="398"/>
      <c r="H324" s="251"/>
    </row>
    <row r="325">
      <c r="A325" s="265"/>
      <c r="B325" s="404"/>
      <c r="C325" s="424"/>
      <c r="D325" s="399"/>
      <c r="E325" s="442"/>
      <c r="F325" s="284"/>
      <c r="G325" s="442"/>
      <c r="H325" s="267"/>
    </row>
    <row r="326">
      <c r="A326" s="265"/>
      <c r="B326" s="404"/>
      <c r="C326" s="424"/>
      <c r="D326" s="399"/>
      <c r="E326" s="442"/>
      <c r="F326" s="284"/>
      <c r="G326" s="442"/>
      <c r="H326" s="251"/>
    </row>
    <row r="327">
      <c r="A327" s="265"/>
      <c r="B327" s="404"/>
      <c r="C327" s="424"/>
      <c r="D327" s="400"/>
      <c r="E327" s="442"/>
      <c r="F327" s="284"/>
      <c r="G327" s="442"/>
      <c r="H327" s="251"/>
    </row>
    <row r="328">
      <c r="A328" s="265"/>
      <c r="B328" s="404"/>
      <c r="C328" s="424"/>
      <c r="D328" s="400"/>
      <c r="E328" s="442"/>
      <c r="F328" s="284"/>
      <c r="G328" s="442"/>
      <c r="H328" s="251"/>
    </row>
    <row r="329">
      <c r="A329" s="265"/>
      <c r="B329" s="404"/>
      <c r="C329" s="424"/>
      <c r="D329" s="400"/>
      <c r="E329" s="442"/>
      <c r="F329" s="284"/>
      <c r="G329" s="442"/>
      <c r="H329" s="251"/>
    </row>
    <row r="330">
      <c r="A330" s="265"/>
      <c r="B330" s="477"/>
      <c r="C330" s="424"/>
      <c r="D330" s="400"/>
      <c r="E330" s="442"/>
      <c r="F330" s="284"/>
      <c r="G330" s="442"/>
      <c r="H330" s="251"/>
    </row>
    <row r="331">
      <c r="A331" s="265"/>
      <c r="B331" s="477"/>
      <c r="C331" s="424"/>
      <c r="D331" s="400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65"/>
      <c r="B333" s="477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70"/>
      <c r="B335" s="478"/>
      <c r="C335" s="471"/>
      <c r="D335" s="472"/>
      <c r="E335" s="473"/>
      <c r="F335" s="460"/>
      <c r="G335" s="473"/>
      <c r="H335" s="261"/>
    </row>
    <row r="336">
      <c r="A336" s="262" t="s">
        <v>990</v>
      </c>
      <c r="B336" s="425">
        <v>57000.0</v>
      </c>
      <c r="C336" s="426"/>
      <c r="D336" s="401"/>
      <c r="E336" s="402" t="s">
        <v>328</v>
      </c>
      <c r="F336" s="403"/>
      <c r="G336" s="398" t="s">
        <v>68</v>
      </c>
      <c r="H336" s="245">
        <v>360.0</v>
      </c>
    </row>
    <row r="337">
      <c r="A337" s="265"/>
      <c r="B337" s="404">
        <v>31200.0</v>
      </c>
      <c r="C337" s="405"/>
      <c r="D337" s="399"/>
      <c r="E337" s="398" t="s">
        <v>328</v>
      </c>
      <c r="F337" s="284"/>
      <c r="G337" s="398" t="s">
        <v>76</v>
      </c>
      <c r="H337" s="267"/>
    </row>
    <row r="338">
      <c r="A338" s="265"/>
      <c r="B338" s="493"/>
      <c r="C338" s="313"/>
      <c r="D338" s="506"/>
      <c r="E338" s="507"/>
      <c r="F338" s="451"/>
      <c r="G338" s="450"/>
      <c r="H338" s="267"/>
    </row>
    <row r="339">
      <c r="A339" s="265"/>
      <c r="B339" s="516"/>
      <c r="C339" s="496"/>
      <c r="D339" s="325"/>
      <c r="E339" s="507"/>
      <c r="F339" s="291"/>
      <c r="G339" s="450"/>
      <c r="H339" s="251"/>
    </row>
    <row r="340">
      <c r="A340" s="265"/>
      <c r="B340" s="497"/>
      <c r="C340" s="313"/>
      <c r="D340" s="325"/>
      <c r="E340" s="498"/>
      <c r="F340" s="291"/>
      <c r="G340" s="495"/>
      <c r="H340" s="251"/>
    </row>
    <row r="341">
      <c r="A341" s="265"/>
      <c r="B341" s="493"/>
      <c r="C341" s="499"/>
      <c r="D341" s="314"/>
      <c r="E341" s="507"/>
      <c r="F341" s="291"/>
      <c r="G341" s="490"/>
      <c r="H341" s="251"/>
    </row>
    <row r="342">
      <c r="A342" s="265"/>
      <c r="B342" s="404"/>
      <c r="C342" s="424"/>
      <c r="D342" s="399"/>
      <c r="E342" s="442"/>
      <c r="F342" s="284"/>
      <c r="G342" s="442"/>
      <c r="H342" s="251"/>
    </row>
    <row r="343">
      <c r="A343" s="265"/>
      <c r="B343" s="477"/>
      <c r="C343" s="424"/>
      <c r="D343" s="399"/>
      <c r="E343" s="442"/>
      <c r="F343" s="284"/>
      <c r="G343" s="442"/>
      <c r="H343" s="251"/>
    </row>
    <row r="344">
      <c r="A344" s="265"/>
      <c r="B344" s="477"/>
      <c r="C344" s="424"/>
      <c r="D344" s="400"/>
      <c r="E344" s="442"/>
      <c r="F344" s="284"/>
      <c r="G344" s="442"/>
      <c r="H344" s="251"/>
    </row>
    <row r="345">
      <c r="A345" s="265"/>
      <c r="B345" s="404"/>
      <c r="C345" s="424"/>
      <c r="D345" s="400"/>
      <c r="E345" s="442"/>
      <c r="F345" s="284"/>
      <c r="G345" s="442"/>
      <c r="H345" s="251"/>
    </row>
    <row r="346">
      <c r="A346" s="265"/>
      <c r="B346" s="477"/>
      <c r="C346" s="424"/>
      <c r="D346" s="400"/>
      <c r="E346" s="442"/>
      <c r="F346" s="284"/>
      <c r="G346" s="442"/>
      <c r="H346" s="251"/>
    </row>
    <row r="347">
      <c r="A347" s="270"/>
      <c r="B347" s="478"/>
      <c r="C347" s="471"/>
      <c r="D347" s="472"/>
      <c r="E347" s="473"/>
      <c r="F347" s="460"/>
      <c r="G347" s="473"/>
      <c r="H347" s="261"/>
    </row>
    <row r="348">
      <c r="A348" s="280" t="s">
        <v>992</v>
      </c>
      <c r="B348" s="461">
        <f>63000-3000</f>
        <v>60000</v>
      </c>
      <c r="C348" s="445"/>
      <c r="D348" s="421"/>
      <c r="E348" s="422" t="s">
        <v>306</v>
      </c>
      <c r="F348" s="423"/>
      <c r="G348" s="417" t="s">
        <v>1626</v>
      </c>
      <c r="H348" s="245"/>
    </row>
    <row r="349">
      <c r="A349" s="265"/>
      <c r="B349" s="404">
        <v>42975.66</v>
      </c>
      <c r="C349" s="405"/>
      <c r="D349" s="399"/>
      <c r="E349" s="398"/>
      <c r="F349" s="284"/>
      <c r="G349" s="398" t="s">
        <v>82</v>
      </c>
      <c r="H349" s="267">
        <v>280.0</v>
      </c>
    </row>
    <row r="350">
      <c r="A350" s="265"/>
      <c r="B350" s="404">
        <v>85134.16</v>
      </c>
      <c r="C350" s="405"/>
      <c r="D350" s="399"/>
      <c r="E350" s="442"/>
      <c r="F350" s="284"/>
      <c r="G350" s="398" t="s">
        <v>142</v>
      </c>
      <c r="H350" s="267"/>
    </row>
    <row r="351">
      <c r="A351" s="265"/>
      <c r="B351" s="419"/>
      <c r="C351" s="427"/>
      <c r="D351" s="414"/>
      <c r="E351" s="417"/>
      <c r="F351" s="418"/>
      <c r="G351" s="417"/>
      <c r="H351" s="267"/>
    </row>
    <row r="352">
      <c r="A352" s="265"/>
      <c r="B352" s="404"/>
      <c r="C352" s="405"/>
      <c r="D352" s="399"/>
      <c r="E352" s="398"/>
      <c r="F352" s="284"/>
      <c r="G352" s="398"/>
      <c r="H352" s="267"/>
    </row>
    <row r="353">
      <c r="A353" s="265"/>
      <c r="B353" s="404"/>
      <c r="C353" s="405"/>
      <c r="D353" s="399"/>
      <c r="E353" s="398"/>
      <c r="F353" s="284"/>
      <c r="G353" s="398"/>
      <c r="H353" s="267"/>
    </row>
    <row r="354">
      <c r="A354" s="265"/>
      <c r="B354" s="404"/>
      <c r="C354" s="405"/>
      <c r="D354" s="399"/>
      <c r="E354" s="398"/>
      <c r="F354" s="284"/>
      <c r="G354" s="398"/>
      <c r="H354" s="267"/>
    </row>
    <row r="355">
      <c r="A355" s="265"/>
      <c r="B355" s="404"/>
      <c r="C355" s="405"/>
      <c r="D355" s="399"/>
      <c r="E355" s="398"/>
      <c r="F355" s="284"/>
      <c r="G355" s="398"/>
      <c r="H355" s="267"/>
    </row>
    <row r="356">
      <c r="A356" s="265"/>
      <c r="B356" s="404"/>
      <c r="C356" s="405"/>
      <c r="D356" s="399"/>
      <c r="E356" s="442"/>
      <c r="F356" s="284"/>
      <c r="G356" s="398"/>
      <c r="H356" s="267"/>
    </row>
    <row r="357">
      <c r="A357" s="265"/>
      <c r="B357" s="404"/>
      <c r="C357" s="405"/>
      <c r="D357" s="399"/>
      <c r="E357" s="442"/>
      <c r="F357" s="284"/>
      <c r="G357" s="398"/>
      <c r="H357" s="267"/>
    </row>
    <row r="358">
      <c r="A358" s="270"/>
      <c r="B358" s="404"/>
      <c r="C358" s="405"/>
      <c r="D358" s="399"/>
      <c r="E358" s="442"/>
      <c r="F358" s="284"/>
      <c r="G358" s="398"/>
      <c r="H358" s="267"/>
    </row>
    <row r="359">
      <c r="A359" s="452"/>
      <c r="B359" s="404"/>
      <c r="C359" s="405"/>
      <c r="D359" s="399"/>
      <c r="E359" s="442"/>
      <c r="F359" s="284"/>
      <c r="G359" s="398"/>
      <c r="H359" s="267"/>
    </row>
    <row r="360">
      <c r="A360" s="280" t="s">
        <v>993</v>
      </c>
      <c r="B360" s="425">
        <v>27317.5</v>
      </c>
      <c r="C360" s="426"/>
      <c r="D360" s="401"/>
      <c r="E360" s="402"/>
      <c r="F360" s="403"/>
      <c r="G360" s="402" t="s">
        <v>291</v>
      </c>
      <c r="H360" s="245"/>
    </row>
    <row r="361">
      <c r="A361" s="265"/>
      <c r="B361" s="404">
        <v>184976.78</v>
      </c>
      <c r="C361" s="405"/>
      <c r="D361" s="443"/>
      <c r="E361" s="398" t="s">
        <v>527</v>
      </c>
      <c r="F361" s="284"/>
      <c r="G361" s="398" t="s">
        <v>114</v>
      </c>
      <c r="H361" s="267"/>
      <c r="I361" s="417" t="s">
        <v>1627</v>
      </c>
    </row>
    <row r="362">
      <c r="A362" s="265"/>
      <c r="B362" s="419"/>
      <c r="C362" s="427"/>
      <c r="D362" s="414"/>
      <c r="E362" s="417"/>
      <c r="F362" s="284"/>
      <c r="G362" s="398"/>
      <c r="H362" s="267"/>
      <c r="I362" s="417" t="s">
        <v>1628</v>
      </c>
    </row>
    <row r="363">
      <c r="A363" s="265"/>
      <c r="B363" s="419"/>
      <c r="C363" s="434"/>
      <c r="D363" s="414"/>
      <c r="E363" s="417"/>
      <c r="F363" s="418"/>
      <c r="G363" s="417"/>
      <c r="H363" s="251"/>
      <c r="I363" s="417" t="s">
        <v>1629</v>
      </c>
    </row>
    <row r="364">
      <c r="A364" s="265"/>
      <c r="B364" s="404"/>
      <c r="C364" s="424"/>
      <c r="D364" s="399"/>
      <c r="E364" s="398"/>
      <c r="F364" s="284"/>
      <c r="G364" s="398"/>
      <c r="H364" s="294"/>
    </row>
    <row r="365">
      <c r="A365" s="265"/>
      <c r="B365" s="404"/>
      <c r="C365" s="424"/>
      <c r="D365" s="399"/>
      <c r="E365" s="398"/>
      <c r="F365" s="284"/>
      <c r="G365" s="398"/>
      <c r="H365" s="251"/>
      <c r="I365" s="2" t="s">
        <v>1630</v>
      </c>
    </row>
    <row r="366">
      <c r="A366" s="265"/>
      <c r="B366" s="419"/>
      <c r="C366" s="434"/>
      <c r="D366" s="414"/>
      <c r="E366" s="417"/>
      <c r="F366" s="418"/>
      <c r="G366" s="417"/>
      <c r="H366" s="251"/>
    </row>
    <row r="367">
      <c r="A367" s="265"/>
      <c r="B367" s="477"/>
      <c r="C367" s="424"/>
      <c r="D367" s="399"/>
      <c r="E367" s="442"/>
      <c r="F367" s="284"/>
      <c r="G367" s="398"/>
      <c r="H367" s="267"/>
    </row>
    <row r="368">
      <c r="A368" s="265"/>
      <c r="B368" s="477"/>
      <c r="C368" s="424"/>
      <c r="D368" s="399"/>
      <c r="E368" s="442"/>
      <c r="F368" s="284"/>
      <c r="G368" s="442"/>
      <c r="H368" s="251"/>
    </row>
    <row r="369">
      <c r="A369" s="265"/>
      <c r="B369" s="404"/>
      <c r="C369" s="424"/>
      <c r="D369" s="399"/>
      <c r="E369" s="442"/>
      <c r="F369" s="284"/>
      <c r="G369" s="442"/>
      <c r="H369" s="267"/>
    </row>
    <row r="370">
      <c r="A370" s="270"/>
      <c r="B370" s="478"/>
      <c r="C370" s="471"/>
      <c r="D370" s="462"/>
      <c r="E370" s="473"/>
      <c r="F370" s="460"/>
      <c r="G370" s="492"/>
      <c r="H370" s="261"/>
    </row>
    <row r="371">
      <c r="A371" s="299"/>
      <c r="B371" s="440"/>
      <c r="C371" s="424"/>
      <c r="D371" s="462"/>
      <c r="E371" s="442"/>
      <c r="F371" s="463"/>
      <c r="G371" s="398"/>
      <c r="H371" s="251"/>
    </row>
    <row r="372">
      <c r="B372" s="480"/>
      <c r="C372" s="405"/>
      <c r="D372" s="522"/>
      <c r="E372" s="417"/>
      <c r="F372" s="432"/>
      <c r="G372" s="417"/>
      <c r="H372" s="251"/>
    </row>
    <row r="373">
      <c r="B373" s="440"/>
      <c r="C373" s="424"/>
      <c r="D373" s="522"/>
      <c r="E373" s="417"/>
      <c r="F373" s="432"/>
      <c r="G373" s="417"/>
      <c r="H373" s="251"/>
    </row>
    <row r="374">
      <c r="B374" s="440"/>
      <c r="C374" s="424"/>
      <c r="D374" s="462"/>
      <c r="E374" s="442"/>
      <c r="F374" s="463"/>
      <c r="G374" s="398"/>
      <c r="H374" s="251"/>
    </row>
    <row r="375">
      <c r="B375" s="518"/>
      <c r="C375" s="434"/>
      <c r="D375" s="522"/>
      <c r="E375" s="417"/>
      <c r="F375" s="432"/>
      <c r="G375" s="417"/>
      <c r="H375" s="251"/>
    </row>
    <row r="376">
      <c r="B376" s="518"/>
      <c r="C376" s="434"/>
      <c r="D376" s="522"/>
      <c r="E376" s="417"/>
      <c r="F376" s="432"/>
      <c r="G376" s="417"/>
      <c r="H376" s="251"/>
    </row>
    <row r="377">
      <c r="B377" s="480"/>
      <c r="C377" s="424"/>
      <c r="D377" s="462"/>
      <c r="E377" s="442"/>
      <c r="F377" s="463"/>
      <c r="G377" s="442"/>
      <c r="H377" s="251"/>
    </row>
    <row r="378">
      <c r="B378" s="480"/>
      <c r="C378" s="424"/>
      <c r="D378" s="462"/>
      <c r="E378" s="442"/>
      <c r="F378" s="463"/>
      <c r="G378" s="442"/>
      <c r="H378" s="251"/>
    </row>
    <row r="379">
      <c r="B379" s="480"/>
      <c r="C379" s="424"/>
      <c r="D379" s="462"/>
      <c r="E379" s="442"/>
      <c r="F379" s="463"/>
      <c r="G379" s="442"/>
      <c r="H379" s="251"/>
    </row>
    <row r="380">
      <c r="B380" s="480"/>
      <c r="C380" s="424"/>
      <c r="D380" s="462"/>
      <c r="E380" s="442"/>
      <c r="F380" s="463"/>
      <c r="G380" s="442"/>
      <c r="H380" s="251"/>
    </row>
    <row r="381">
      <c r="B381" s="480"/>
      <c r="C381" s="424"/>
      <c r="D381" s="462"/>
      <c r="E381" s="442"/>
      <c r="F381" s="463"/>
      <c r="G381" s="442"/>
      <c r="H381" s="251"/>
    </row>
    <row r="382">
      <c r="A382" s="299"/>
      <c r="B382" s="278"/>
      <c r="C382" s="252"/>
      <c r="D382" s="295"/>
      <c r="F382" s="432"/>
      <c r="H382" s="251"/>
    </row>
    <row r="383">
      <c r="A383" s="299"/>
      <c r="B383" s="278"/>
      <c r="C383" s="252"/>
      <c r="D383" s="295"/>
      <c r="F383" s="432"/>
      <c r="G383" s="2"/>
      <c r="H383" s="251"/>
    </row>
    <row r="384">
      <c r="A384" s="280" t="s">
        <v>187</v>
      </c>
      <c r="B384" s="239"/>
      <c r="C384" s="240"/>
      <c r="D384" s="439"/>
      <c r="E384" s="242"/>
      <c r="F384" s="423"/>
      <c r="G384" s="2" t="s">
        <v>188</v>
      </c>
      <c r="H384" s="297"/>
      <c r="I384" s="2" t="s">
        <v>189</v>
      </c>
      <c r="J384" s="2" t="s">
        <v>1565</v>
      </c>
      <c r="K384" s="2" t="s">
        <v>1349</v>
      </c>
    </row>
    <row r="385">
      <c r="A385" s="265"/>
      <c r="B385" s="247"/>
      <c r="C385" s="248"/>
      <c r="D385" s="317"/>
      <c r="E385" s="429"/>
      <c r="F385" s="418"/>
      <c r="G385" s="2" t="s">
        <v>190</v>
      </c>
      <c r="H385" s="294"/>
      <c r="J385" s="2" t="s">
        <v>1566</v>
      </c>
      <c r="K385" s="2" t="s">
        <v>1349</v>
      </c>
    </row>
    <row r="386">
      <c r="A386" s="265"/>
      <c r="B386" s="247"/>
      <c r="C386" s="248"/>
      <c r="D386" s="438"/>
      <c r="F386" s="418"/>
      <c r="H386" s="294"/>
    </row>
    <row r="387">
      <c r="A387" s="265"/>
      <c r="B387" s="517"/>
      <c r="C387" s="248"/>
      <c r="D387" s="438">
        <v>60732.5</v>
      </c>
      <c r="F387" s="418"/>
      <c r="G387" s="2" t="s">
        <v>191</v>
      </c>
      <c r="H387" s="294">
        <v>45610.0</v>
      </c>
      <c r="J387" s="2" t="s">
        <v>1566</v>
      </c>
      <c r="K387" s="2" t="s">
        <v>1349</v>
      </c>
    </row>
    <row r="388">
      <c r="A388" s="265"/>
      <c r="B388" s="268"/>
      <c r="C388" s="252"/>
      <c r="D388" s="298"/>
      <c r="F388" s="418"/>
      <c r="H388" s="294"/>
    </row>
    <row r="389">
      <c r="A389" s="265"/>
      <c r="B389" s="268"/>
      <c r="C389" s="252"/>
      <c r="D389" s="249">
        <v>363000.0</v>
      </c>
      <c r="F389" s="418"/>
      <c r="G389" s="2" t="s">
        <v>192</v>
      </c>
      <c r="H389" s="294">
        <v>45612.0</v>
      </c>
    </row>
    <row r="390">
      <c r="A390" s="265"/>
      <c r="B390" s="268"/>
      <c r="C390" s="252"/>
      <c r="D390" s="253"/>
      <c r="F390" s="284">
        <v>638000.0</v>
      </c>
      <c r="G390" s="2" t="s">
        <v>193</v>
      </c>
      <c r="H390" s="294">
        <v>45618.0</v>
      </c>
      <c r="I390" s="2" t="s">
        <v>1631</v>
      </c>
    </row>
    <row r="391">
      <c r="A391" s="265"/>
      <c r="B391" s="247"/>
      <c r="C391" s="252"/>
      <c r="D391" s="249"/>
      <c r="F391" s="418"/>
      <c r="G391" s="2" t="s">
        <v>1093</v>
      </c>
      <c r="H391" s="294"/>
    </row>
    <row r="392">
      <c r="A392" s="265"/>
      <c r="B392" s="247"/>
      <c r="C392" s="252"/>
      <c r="D392" s="249">
        <v>122760.0</v>
      </c>
      <c r="F392" s="418"/>
      <c r="G392" s="2" t="s">
        <v>196</v>
      </c>
      <c r="H392" s="294">
        <v>45609.0</v>
      </c>
      <c r="I392" s="318"/>
    </row>
    <row r="393">
      <c r="A393" s="265"/>
      <c r="B393" s="247"/>
      <c r="C393" s="252"/>
      <c r="D393" s="249">
        <v>100000.0</v>
      </c>
      <c r="F393" s="418"/>
      <c r="G393" s="2" t="s">
        <v>1632</v>
      </c>
      <c r="H393" s="294">
        <v>45617.0</v>
      </c>
      <c r="I393" s="2"/>
      <c r="J393" s="2"/>
    </row>
    <row r="394">
      <c r="A394" s="265"/>
      <c r="B394" s="247">
        <v>67117.42</v>
      </c>
      <c r="C394" s="252"/>
      <c r="D394" s="249"/>
      <c r="F394" s="418"/>
      <c r="G394" s="2" t="s">
        <v>197</v>
      </c>
      <c r="H394" s="294">
        <v>45618.0</v>
      </c>
      <c r="I394" s="2" t="s">
        <v>198</v>
      </c>
      <c r="J394" s="2" t="s">
        <v>1633</v>
      </c>
    </row>
    <row r="395">
      <c r="A395" s="265"/>
      <c r="B395" s="268"/>
      <c r="C395" s="252"/>
      <c r="D395" s="249">
        <v>46860.68</v>
      </c>
      <c r="F395" s="418"/>
      <c r="G395" s="2" t="s">
        <v>199</v>
      </c>
      <c r="H395" s="294"/>
      <c r="I395" s="2" t="s">
        <v>189</v>
      </c>
      <c r="J395" s="2" t="s">
        <v>1570</v>
      </c>
    </row>
    <row r="396">
      <c r="A396" s="265"/>
      <c r="B396" s="247"/>
      <c r="C396" s="252"/>
      <c r="D396" s="439">
        <v>106761.99</v>
      </c>
      <c r="F396" s="418"/>
      <c r="G396" s="2" t="s">
        <v>200</v>
      </c>
      <c r="H396" s="294">
        <v>45607.0</v>
      </c>
      <c r="I396" s="2" t="s">
        <v>189</v>
      </c>
      <c r="J396" s="2" t="s">
        <v>1571</v>
      </c>
      <c r="K396" s="2" t="s">
        <v>1634</v>
      </c>
    </row>
    <row r="397">
      <c r="A397" s="265"/>
      <c r="B397" s="278"/>
      <c r="C397" s="248"/>
      <c r="D397" s="439">
        <v>85642.84</v>
      </c>
      <c r="F397" s="432"/>
      <c r="G397" s="2" t="s">
        <v>201</v>
      </c>
      <c r="H397" s="294"/>
      <c r="I397" s="2" t="s">
        <v>189</v>
      </c>
    </row>
    <row r="398">
      <c r="A398" s="270"/>
      <c r="B398" s="277"/>
      <c r="C398" s="248"/>
      <c r="D398" s="295"/>
      <c r="F398" s="464"/>
      <c r="H398" s="294"/>
    </row>
    <row r="399">
      <c r="A399" s="299"/>
      <c r="B399" s="278"/>
      <c r="C399" s="248"/>
      <c r="D399" s="295"/>
      <c r="F399" s="432"/>
      <c r="H399" s="294"/>
    </row>
    <row r="400">
      <c r="A400" s="299"/>
      <c r="B400" s="278"/>
      <c r="C400" s="248"/>
      <c r="D400" s="431"/>
      <c r="E400" s="417"/>
      <c r="F400" s="432"/>
      <c r="G400" s="417" t="s">
        <v>202</v>
      </c>
      <c r="H400" s="301"/>
      <c r="I400" s="2" t="s">
        <v>203</v>
      </c>
    </row>
    <row r="401">
      <c r="A401" s="299"/>
      <c r="B401" s="278"/>
      <c r="C401" s="248"/>
      <c r="D401" s="295"/>
      <c r="F401" s="418"/>
      <c r="G401" s="2" t="s">
        <v>204</v>
      </c>
      <c r="H401" s="301"/>
    </row>
    <row r="402">
      <c r="A402" s="303"/>
      <c r="B402" s="278"/>
      <c r="C402" s="252"/>
      <c r="D402" s="249"/>
      <c r="F402" s="418"/>
      <c r="G402" s="2" t="s">
        <v>205</v>
      </c>
      <c r="H402" s="301"/>
    </row>
    <row r="403">
      <c r="A403" s="303"/>
      <c r="B403" s="268"/>
      <c r="C403" s="252"/>
      <c r="D403" s="249"/>
      <c r="F403" s="418"/>
      <c r="G403" s="2" t="s">
        <v>735</v>
      </c>
      <c r="H403" s="301"/>
    </row>
    <row r="404">
      <c r="A404" s="303"/>
      <c r="B404" s="247"/>
      <c r="C404" s="252"/>
      <c r="D404" s="249"/>
      <c r="F404" s="418"/>
      <c r="G404" s="2" t="s">
        <v>206</v>
      </c>
      <c r="H404" s="294"/>
      <c r="I404" s="2" t="s">
        <v>203</v>
      </c>
    </row>
    <row r="405">
      <c r="A405" s="303"/>
      <c r="B405" s="268"/>
      <c r="C405" s="252"/>
      <c r="D405" s="300">
        <v>142499.15</v>
      </c>
      <c r="F405" s="465"/>
      <c r="G405" s="2" t="s">
        <v>209</v>
      </c>
      <c r="H405" s="294"/>
      <c r="I405" s="2" t="s">
        <v>1273</v>
      </c>
      <c r="J405" s="2" t="s">
        <v>1566</v>
      </c>
    </row>
    <row r="406">
      <c r="A406" s="303"/>
      <c r="B406" s="247"/>
      <c r="C406" s="252"/>
      <c r="D406" s="249"/>
      <c r="E406" s="2">
        <v>952310.0</v>
      </c>
      <c r="F406" s="418" t="s">
        <v>306</v>
      </c>
      <c r="G406" s="2" t="s">
        <v>1572</v>
      </c>
      <c r="H406" s="294"/>
    </row>
    <row r="407">
      <c r="A407" s="303"/>
      <c r="B407" s="268"/>
      <c r="C407" s="252"/>
      <c r="D407" s="249">
        <v>568205.64</v>
      </c>
      <c r="F407" s="418"/>
      <c r="G407" s="2" t="s">
        <v>1573</v>
      </c>
      <c r="H407" s="294"/>
    </row>
    <row r="408">
      <c r="A408" s="303"/>
      <c r="B408" s="268"/>
      <c r="C408" s="252"/>
      <c r="D408" s="249"/>
      <c r="F408" s="418"/>
      <c r="G408" s="2" t="s">
        <v>1217</v>
      </c>
      <c r="H408" s="294"/>
    </row>
    <row r="409">
      <c r="A409" s="303"/>
      <c r="B409" s="247"/>
      <c r="C409" s="252"/>
      <c r="D409" s="331"/>
      <c r="F409" s="458"/>
      <c r="G409" s="2" t="s">
        <v>667</v>
      </c>
      <c r="H409" s="294"/>
    </row>
    <row r="410">
      <c r="A410" s="304"/>
      <c r="B410" s="268"/>
      <c r="C410" s="252"/>
      <c r="D410" s="249"/>
      <c r="F410" s="465"/>
      <c r="H410" s="294"/>
    </row>
    <row r="411">
      <c r="A411" s="305"/>
      <c r="B411" s="406">
        <f>SUM(B384:B410)</f>
        <v>67117.42</v>
      </c>
      <c r="C411" s="272"/>
      <c r="D411" s="392">
        <f>SUM(D384:D410)</f>
        <v>1596462.8</v>
      </c>
      <c r="E411" s="18"/>
      <c r="F411" s="466">
        <f>SUM(F384:F410)</f>
        <v>638000</v>
      </c>
      <c r="G411" s="18"/>
      <c r="H411" s="261"/>
    </row>
    <row r="412">
      <c r="A412" s="265"/>
      <c r="B412" s="306"/>
      <c r="C412" s="240"/>
      <c r="D412" s="241"/>
      <c r="E412" s="242"/>
      <c r="F412" s="423"/>
      <c r="G412" s="244"/>
      <c r="H412" s="307"/>
    </row>
    <row r="413">
      <c r="A413" s="265"/>
      <c r="B413" s="268"/>
      <c r="C413" s="252"/>
      <c r="D413" s="253"/>
      <c r="F413" s="418"/>
      <c r="H413" s="251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65"/>
      <c r="B418" s="268"/>
      <c r="C418" s="252"/>
      <c r="D418" s="253"/>
      <c r="F418" s="418"/>
      <c r="H418" s="251"/>
    </row>
    <row r="419">
      <c r="A419" s="265"/>
      <c r="B419" s="268"/>
      <c r="C419" s="252"/>
      <c r="D419" s="253"/>
      <c r="F419" s="418"/>
      <c r="H419" s="251"/>
    </row>
    <row r="420">
      <c r="A420" s="270"/>
      <c r="B420" s="268"/>
      <c r="C420" s="252"/>
      <c r="D420" s="253"/>
      <c r="F420" s="418"/>
      <c r="H420" s="251"/>
    </row>
    <row r="421">
      <c r="A421" s="305"/>
      <c r="B421" s="271"/>
      <c r="C421" s="272"/>
      <c r="D421" s="273"/>
      <c r="E421" s="18"/>
      <c r="F421" s="456"/>
      <c r="G421" s="18"/>
      <c r="H421" s="261"/>
    </row>
    <row r="422">
      <c r="A422" s="265"/>
      <c r="B422" s="306"/>
      <c r="C422" s="240"/>
      <c r="D422" s="241"/>
      <c r="E422" s="242"/>
      <c r="F422" s="423"/>
      <c r="G422" s="244"/>
      <c r="H422" s="307"/>
    </row>
    <row r="423">
      <c r="A423" s="265"/>
      <c r="B423" s="268"/>
      <c r="C423" s="252"/>
      <c r="D423" s="253"/>
      <c r="F423" s="418"/>
      <c r="H423" s="251"/>
    </row>
    <row r="424">
      <c r="A424" s="265"/>
      <c r="B424" s="268"/>
      <c r="C424" s="252"/>
      <c r="D424" s="253"/>
      <c r="F424" s="418"/>
      <c r="H424" s="251"/>
    </row>
    <row r="425">
      <c r="A425" s="265"/>
      <c r="B425" s="268"/>
      <c r="C425" s="252"/>
      <c r="D425" s="253"/>
      <c r="F425" s="418"/>
      <c r="H425" s="251"/>
    </row>
    <row r="426">
      <c r="A426" s="265"/>
      <c r="B426" s="268"/>
      <c r="C426" s="252"/>
      <c r="D426" s="253"/>
      <c r="F426" s="418"/>
      <c r="H426" s="251"/>
    </row>
    <row r="427">
      <c r="A427" s="265"/>
      <c r="B427" s="268"/>
      <c r="C427" s="252"/>
      <c r="D427" s="253"/>
      <c r="F427" s="418"/>
      <c r="H427" s="251"/>
    </row>
    <row r="428">
      <c r="A428" s="265"/>
      <c r="B428" s="268"/>
      <c r="C428" s="252"/>
      <c r="D428" s="253"/>
      <c r="F428" s="418"/>
      <c r="H428" s="251"/>
    </row>
    <row r="429">
      <c r="A429" s="265"/>
      <c r="B429" s="268"/>
      <c r="C429" s="252"/>
      <c r="D429" s="253"/>
      <c r="F429" s="418"/>
      <c r="H429" s="251"/>
    </row>
    <row r="430">
      <c r="A430" s="270"/>
      <c r="B430" s="268"/>
      <c r="C430" s="252"/>
      <c r="D430" s="253"/>
      <c r="F430" s="418"/>
      <c r="H430" s="251"/>
    </row>
    <row r="431">
      <c r="B431" s="271"/>
      <c r="C431" s="272"/>
      <c r="D431" s="273"/>
      <c r="E431" s="18"/>
      <c r="F431" s="456"/>
      <c r="G431" s="18"/>
      <c r="H431" s="261"/>
    </row>
    <row r="432">
      <c r="B432" s="306"/>
      <c r="C432" s="240"/>
      <c r="D432" s="241"/>
      <c r="E432" s="242"/>
      <c r="F432" s="423"/>
      <c r="G432" s="244"/>
      <c r="H432" s="307"/>
    </row>
    <row r="433">
      <c r="B433" s="268"/>
      <c r="C433" s="252"/>
      <c r="D433" s="253"/>
      <c r="F433" s="418"/>
      <c r="H433" s="251"/>
    </row>
    <row r="434">
      <c r="B434" s="268"/>
      <c r="C434" s="252"/>
      <c r="D434" s="253"/>
      <c r="F434" s="418"/>
      <c r="H434" s="251"/>
    </row>
    <row r="435">
      <c r="B435" s="308"/>
      <c r="C435" s="252"/>
      <c r="D435" s="253"/>
      <c r="F435" s="467"/>
      <c r="H435" s="302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  <row r="739">
      <c r="B739" s="308"/>
      <c r="C739" s="252"/>
      <c r="D739" s="253"/>
      <c r="F739" s="467"/>
      <c r="H739" s="302"/>
    </row>
    <row r="740">
      <c r="B740" s="308"/>
      <c r="C740" s="252"/>
      <c r="D740" s="253"/>
      <c r="F740" s="467"/>
      <c r="H740" s="302"/>
    </row>
  </sheetData>
  <mergeCells count="30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2"/>
    <mergeCell ref="A143:A157"/>
    <mergeCell ref="A158:A173"/>
    <mergeCell ref="A174:A188"/>
    <mergeCell ref="A189:A200"/>
    <mergeCell ref="A201:A215"/>
    <mergeCell ref="A216:A229"/>
    <mergeCell ref="A230:A244"/>
    <mergeCell ref="A245:A257"/>
    <mergeCell ref="A258:A273"/>
    <mergeCell ref="A274:A288"/>
    <mergeCell ref="A289:A303"/>
    <mergeCell ref="A411:A420"/>
    <mergeCell ref="A421:A430"/>
    <mergeCell ref="A304:A317"/>
    <mergeCell ref="A318:A335"/>
    <mergeCell ref="A336:A347"/>
    <mergeCell ref="A348:A358"/>
    <mergeCell ref="A360:A370"/>
    <mergeCell ref="A371:A381"/>
    <mergeCell ref="A384:A3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9.25"/>
    <col customWidth="1" min="8" max="8" width="10.13"/>
    <col customWidth="1" min="9" max="9" width="21.25"/>
  </cols>
  <sheetData>
    <row r="1" ht="27.0" customHeight="1">
      <c r="A1" s="407" t="s">
        <v>1635</v>
      </c>
      <c r="B1" s="408" t="s">
        <v>52</v>
      </c>
      <c r="C1" s="409" t="s">
        <v>53</v>
      </c>
      <c r="D1" s="410" t="s">
        <v>54</v>
      </c>
      <c r="E1" s="411"/>
      <c r="F1" s="453" t="s">
        <v>529</v>
      </c>
      <c r="G1" s="411"/>
      <c r="H1" s="413" t="s">
        <v>57</v>
      </c>
    </row>
    <row r="2">
      <c r="A2" s="262" t="s">
        <v>1636</v>
      </c>
      <c r="B2" s="425"/>
      <c r="C2" s="426"/>
      <c r="D2" s="401"/>
      <c r="E2" s="402"/>
      <c r="F2" s="403">
        <v>1340.0</v>
      </c>
      <c r="G2" s="436" t="s">
        <v>708</v>
      </c>
      <c r="H2" s="245">
        <v>280.0</v>
      </c>
      <c r="I2" s="2" t="s">
        <v>1352</v>
      </c>
    </row>
    <row r="3">
      <c r="A3" s="265"/>
      <c r="B3" s="510"/>
      <c r="C3" s="427"/>
      <c r="D3" s="399"/>
      <c r="E3" s="398"/>
      <c r="F3" s="284"/>
      <c r="G3" s="398"/>
      <c r="H3" s="267"/>
    </row>
    <row r="4">
      <c r="A4" s="265"/>
      <c r="B4" s="419"/>
      <c r="C4" s="427"/>
      <c r="D4" s="414"/>
      <c r="E4" s="417"/>
      <c r="F4" s="418"/>
      <c r="G4" s="420"/>
      <c r="H4" s="251"/>
    </row>
    <row r="5">
      <c r="A5" s="265"/>
      <c r="B5" s="404"/>
      <c r="C5" s="405"/>
      <c r="D5" s="399"/>
      <c r="E5" s="398"/>
      <c r="F5" s="284"/>
      <c r="G5" s="285"/>
      <c r="H5" s="251"/>
    </row>
    <row r="6">
      <c r="A6" s="265"/>
      <c r="B6" s="404"/>
      <c r="C6" s="424"/>
      <c r="D6" s="399"/>
      <c r="E6" s="398"/>
      <c r="F6" s="284"/>
      <c r="G6" s="285"/>
      <c r="H6" s="251"/>
    </row>
    <row r="7">
      <c r="A7" s="265"/>
      <c r="B7" s="404"/>
      <c r="C7" s="405"/>
      <c r="D7" s="469"/>
      <c r="E7" s="442"/>
      <c r="F7" s="284"/>
      <c r="G7" s="285"/>
      <c r="H7" s="267"/>
    </row>
    <row r="8">
      <c r="A8" s="265"/>
      <c r="B8" s="404"/>
      <c r="C8" s="405"/>
      <c r="D8" s="399"/>
      <c r="E8" s="442"/>
      <c r="F8" s="284"/>
      <c r="G8" s="285"/>
      <c r="H8" s="267">
        <v>200.0</v>
      </c>
      <c r="I8" s="2" t="s">
        <v>1342</v>
      </c>
    </row>
    <row r="9">
      <c r="A9" s="265"/>
      <c r="B9" s="404"/>
      <c r="C9" s="424"/>
      <c r="D9" s="399"/>
      <c r="E9" s="442"/>
      <c r="F9" s="284"/>
      <c r="G9" s="285"/>
      <c r="H9" s="251"/>
    </row>
    <row r="10">
      <c r="A10" s="265"/>
      <c r="B10" s="404"/>
      <c r="C10" s="405"/>
      <c r="D10" s="400"/>
      <c r="E10" s="442"/>
      <c r="F10" s="284"/>
      <c r="G10" s="285"/>
      <c r="H10" s="251"/>
    </row>
    <row r="11">
      <c r="A11" s="265"/>
      <c r="B11" s="440"/>
      <c r="C11" s="424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70"/>
      <c r="B15" s="470"/>
      <c r="C15" s="471"/>
      <c r="D15" s="472"/>
      <c r="E15" s="473"/>
      <c r="F15" s="474"/>
      <c r="G15" s="475"/>
      <c r="H15" s="261"/>
    </row>
    <row r="16">
      <c r="A16" s="262"/>
      <c r="B16" s="518">
        <v>125000.0</v>
      </c>
      <c r="C16" s="427"/>
      <c r="D16" s="414"/>
      <c r="E16" s="417" t="s">
        <v>306</v>
      </c>
      <c r="F16" s="284"/>
      <c r="G16" s="420" t="s">
        <v>75</v>
      </c>
      <c r="H16" s="267">
        <v>290.0</v>
      </c>
    </row>
    <row r="17">
      <c r="A17" s="280"/>
      <c r="B17" s="440">
        <v>38729.87</v>
      </c>
      <c r="C17" s="405"/>
      <c r="D17" s="399"/>
      <c r="E17" s="398"/>
      <c r="F17" s="284"/>
      <c r="G17" s="398" t="s">
        <v>82</v>
      </c>
      <c r="H17" s="267"/>
    </row>
    <row r="18">
      <c r="A18" s="280" t="s">
        <v>1386</v>
      </c>
      <c r="B18" s="404">
        <v>212800.0</v>
      </c>
      <c r="C18" s="405"/>
      <c r="D18" s="399"/>
      <c r="E18" s="398" t="s">
        <v>527</v>
      </c>
      <c r="F18" s="284"/>
      <c r="G18" s="398" t="s">
        <v>1637</v>
      </c>
      <c r="H18" s="251"/>
    </row>
    <row r="19">
      <c r="A19" s="265"/>
      <c r="B19" s="419"/>
      <c r="C19" s="427"/>
      <c r="D19" s="414"/>
      <c r="E19" s="417"/>
      <c r="F19" s="418"/>
      <c r="G19" s="420"/>
      <c r="H19" s="251"/>
    </row>
    <row r="20">
      <c r="A20" s="265"/>
      <c r="B20" s="404"/>
      <c r="C20" s="405"/>
      <c r="D20" s="399"/>
      <c r="E20" s="398"/>
      <c r="F20" s="284"/>
      <c r="G20" s="285"/>
      <c r="H20" s="251"/>
    </row>
    <row r="21">
      <c r="A21" s="265"/>
      <c r="B21" s="419"/>
      <c r="C21" s="427"/>
      <c r="D21" s="414"/>
      <c r="E21" s="417"/>
      <c r="F21" s="284"/>
      <c r="G21" s="285"/>
      <c r="H21" s="519"/>
    </row>
    <row r="22">
      <c r="A22" s="265"/>
      <c r="B22" s="404"/>
      <c r="C22" s="405"/>
      <c r="D22" s="399"/>
      <c r="E22" s="398"/>
      <c r="F22" s="284"/>
      <c r="G22" s="285"/>
      <c r="H22" s="267"/>
    </row>
    <row r="23">
      <c r="A23" s="265"/>
      <c r="B23" s="404"/>
      <c r="C23" s="424"/>
      <c r="D23" s="399"/>
      <c r="E23" s="442"/>
      <c r="F23" s="284"/>
      <c r="G23" s="285"/>
      <c r="H23" s="251"/>
    </row>
    <row r="24">
      <c r="A24" s="265"/>
      <c r="B24" s="404"/>
      <c r="C24" s="405"/>
      <c r="D24" s="400"/>
      <c r="E24" s="442"/>
      <c r="F24" s="284"/>
      <c r="G24" s="285"/>
      <c r="H24" s="251"/>
    </row>
    <row r="25">
      <c r="A25" s="265"/>
      <c r="B25" s="404"/>
      <c r="C25" s="405"/>
      <c r="D25" s="400"/>
      <c r="E25" s="442"/>
      <c r="F25" s="284"/>
      <c r="G25" s="285"/>
      <c r="H25" s="251"/>
    </row>
    <row r="26">
      <c r="A26" s="265"/>
      <c r="B26" s="404"/>
      <c r="C26" s="424"/>
      <c r="D26" s="400"/>
      <c r="E26" s="442"/>
      <c r="F26" s="284"/>
      <c r="G26" s="285"/>
      <c r="H26" s="251"/>
    </row>
    <row r="27">
      <c r="A27" s="270"/>
      <c r="B27" s="478"/>
      <c r="C27" s="471"/>
      <c r="D27" s="472"/>
      <c r="E27" s="473"/>
      <c r="F27" s="460"/>
      <c r="G27" s="475"/>
      <c r="H27" s="261"/>
    </row>
    <row r="28">
      <c r="A28" s="262" t="s">
        <v>1391</v>
      </c>
      <c r="B28" s="425">
        <v>65990.0</v>
      </c>
      <c r="C28" s="426"/>
      <c r="D28" s="401"/>
      <c r="E28" s="402"/>
      <c r="F28" s="284"/>
      <c r="G28" s="285" t="s">
        <v>118</v>
      </c>
      <c r="H28" s="245">
        <v>280.0</v>
      </c>
    </row>
    <row r="29">
      <c r="A29" s="265"/>
      <c r="B29" s="404">
        <v>57000.0</v>
      </c>
      <c r="C29" s="405"/>
      <c r="D29" s="399"/>
      <c r="E29" s="398"/>
      <c r="F29" s="284"/>
      <c r="G29" s="285" t="s">
        <v>68</v>
      </c>
      <c r="H29" s="267"/>
    </row>
    <row r="30">
      <c r="A30" s="265"/>
      <c r="B30" s="479">
        <v>185271.45</v>
      </c>
      <c r="C30" s="405"/>
      <c r="D30" s="399"/>
      <c r="E30" s="398" t="s">
        <v>328</v>
      </c>
      <c r="F30" s="284"/>
      <c r="G30" s="285" t="s">
        <v>1638</v>
      </c>
      <c r="H30" s="251"/>
    </row>
    <row r="31">
      <c r="A31" s="265"/>
      <c r="B31" s="479">
        <v>91660.42</v>
      </c>
      <c r="C31" s="405"/>
      <c r="D31" s="399"/>
      <c r="E31" s="398" t="s">
        <v>328</v>
      </c>
      <c r="F31" s="284"/>
      <c r="G31" s="285" t="s">
        <v>1639</v>
      </c>
      <c r="H31" s="267"/>
    </row>
    <row r="32">
      <c r="A32" s="265"/>
      <c r="B32" s="404">
        <v>450846.0</v>
      </c>
      <c r="C32" s="405"/>
      <c r="D32" s="399"/>
      <c r="E32" s="398" t="s">
        <v>328</v>
      </c>
      <c r="F32" s="284"/>
      <c r="G32" s="285" t="s">
        <v>877</v>
      </c>
      <c r="H32" s="251"/>
    </row>
    <row r="33">
      <c r="A33" s="265"/>
      <c r="B33" s="404"/>
      <c r="C33" s="405"/>
      <c r="D33" s="399"/>
      <c r="E33" s="398"/>
      <c r="F33" s="284"/>
      <c r="G33" s="285"/>
      <c r="H33" s="251"/>
    </row>
    <row r="34">
      <c r="A34" s="265"/>
      <c r="B34" s="404"/>
      <c r="C34" s="424"/>
      <c r="D34" s="399"/>
      <c r="E34" s="442"/>
      <c r="F34" s="284"/>
      <c r="G34" s="285"/>
      <c r="H34" s="251"/>
    </row>
    <row r="35">
      <c r="A35" s="265"/>
      <c r="B35" s="404"/>
      <c r="C35" s="424"/>
      <c r="D35" s="400"/>
      <c r="E35" s="442"/>
      <c r="F35" s="284"/>
      <c r="G35" s="285"/>
      <c r="H35" s="251"/>
    </row>
    <row r="36">
      <c r="A36" s="265"/>
      <c r="B36" s="404"/>
      <c r="C36" s="405"/>
      <c r="D36" s="400"/>
      <c r="E36" s="442"/>
      <c r="F36" s="284"/>
      <c r="G36" s="285"/>
      <c r="H36" s="251"/>
    </row>
    <row r="37">
      <c r="A37" s="265"/>
      <c r="B37" s="404"/>
      <c r="C37" s="405"/>
      <c r="D37" s="399"/>
      <c r="E37" s="442"/>
      <c r="F37" s="284"/>
      <c r="G37" s="442"/>
      <c r="H37" s="251"/>
    </row>
    <row r="38">
      <c r="A38" s="265"/>
      <c r="B38" s="404"/>
      <c r="C38" s="405"/>
      <c r="D38" s="399"/>
      <c r="E38" s="442"/>
      <c r="F38" s="284"/>
      <c r="G38" s="285"/>
      <c r="H38" s="251"/>
    </row>
    <row r="39">
      <c r="A39" s="265"/>
      <c r="B39" s="477"/>
      <c r="C39" s="405"/>
      <c r="D39" s="399"/>
      <c r="E39" s="442"/>
      <c r="F39" s="284"/>
      <c r="G39" s="285"/>
      <c r="H39" s="251"/>
    </row>
    <row r="40">
      <c r="A40" s="265"/>
      <c r="B40" s="480"/>
      <c r="C40" s="424"/>
      <c r="D40" s="400"/>
      <c r="E40" s="442"/>
      <c r="F40" s="284"/>
      <c r="G40" s="481"/>
      <c r="H40" s="251"/>
    </row>
    <row r="41">
      <c r="A41" s="270"/>
      <c r="B41" s="478"/>
      <c r="C41" s="471"/>
      <c r="D41" s="472"/>
      <c r="E41" s="473"/>
      <c r="F41" s="460"/>
      <c r="G41" s="482"/>
      <c r="H41" s="261"/>
    </row>
    <row r="42">
      <c r="A42" s="262" t="s">
        <v>1393</v>
      </c>
      <c r="B42" s="518">
        <v>91000.0</v>
      </c>
      <c r="C42" s="427"/>
      <c r="D42" s="414"/>
      <c r="E42" s="417" t="s">
        <v>306</v>
      </c>
      <c r="F42" s="284"/>
      <c r="G42" s="420" t="s">
        <v>75</v>
      </c>
      <c r="H42" s="245">
        <v>300.0</v>
      </c>
    </row>
    <row r="43">
      <c r="A43" s="265"/>
      <c r="B43" s="518"/>
      <c r="C43" s="427"/>
      <c r="D43" s="414"/>
      <c r="E43" s="417"/>
      <c r="F43" s="284">
        <v>6030.0</v>
      </c>
      <c r="G43" s="398" t="s">
        <v>1546</v>
      </c>
      <c r="H43" s="267"/>
      <c r="I43" s="417"/>
    </row>
    <row r="44">
      <c r="A44" s="265"/>
      <c r="B44" s="404">
        <v>38729.87</v>
      </c>
      <c r="C44" s="405"/>
      <c r="D44" s="476"/>
      <c r="E44" s="398"/>
      <c r="F44" s="284"/>
      <c r="G44" s="285" t="s">
        <v>82</v>
      </c>
      <c r="H44" s="310"/>
    </row>
    <row r="45">
      <c r="A45" s="265"/>
      <c r="B45" s="404">
        <f>5952+44848.13</f>
        <v>50800.13</v>
      </c>
      <c r="C45" s="405"/>
      <c r="D45" s="399"/>
      <c r="E45" s="398" t="s">
        <v>328</v>
      </c>
      <c r="F45" s="284"/>
      <c r="G45" s="285" t="s">
        <v>74</v>
      </c>
      <c r="H45" s="251"/>
    </row>
    <row r="46">
      <c r="A46" s="265"/>
      <c r="B46" s="404">
        <v>196061.56</v>
      </c>
      <c r="C46" s="405"/>
      <c r="D46" s="399"/>
      <c r="E46" s="398" t="s">
        <v>328</v>
      </c>
      <c r="F46" s="284"/>
      <c r="G46" s="285" t="s">
        <v>73</v>
      </c>
      <c r="H46" s="251"/>
    </row>
    <row r="47">
      <c r="A47" s="265"/>
      <c r="B47" s="404">
        <v>52000.0</v>
      </c>
      <c r="C47" s="405"/>
      <c r="D47" s="399"/>
      <c r="E47" s="398"/>
      <c r="F47" s="284"/>
      <c r="G47" s="285" t="s">
        <v>1640</v>
      </c>
      <c r="H47" s="251"/>
    </row>
    <row r="48">
      <c r="A48" s="265"/>
      <c r="B48" s="479">
        <v>68607.0</v>
      </c>
      <c r="C48" s="405"/>
      <c r="D48" s="399"/>
      <c r="E48" s="398"/>
      <c r="F48" s="284"/>
      <c r="G48" s="285" t="s">
        <v>79</v>
      </c>
      <c r="H48" s="251"/>
    </row>
    <row r="49">
      <c r="A49" s="265"/>
      <c r="B49" s="404"/>
      <c r="C49" s="424"/>
      <c r="D49" s="400"/>
      <c r="E49" s="442"/>
      <c r="F49" s="284"/>
      <c r="G49" s="285"/>
      <c r="H49" s="251"/>
    </row>
    <row r="50">
      <c r="A50" s="265"/>
      <c r="B50" s="404"/>
      <c r="C50" s="424"/>
      <c r="D50" s="399"/>
      <c r="E50" s="442"/>
      <c r="F50" s="284"/>
      <c r="G50" s="285"/>
      <c r="H50" s="251"/>
    </row>
    <row r="51">
      <c r="A51" s="265"/>
      <c r="B51" s="440"/>
      <c r="C51" s="424"/>
      <c r="D51" s="400"/>
      <c r="E51" s="442"/>
      <c r="F51" s="284"/>
      <c r="G51" s="285"/>
      <c r="H51" s="251"/>
    </row>
    <row r="52">
      <c r="A52" s="265"/>
      <c r="B52" s="440"/>
      <c r="C52" s="424"/>
      <c r="D52" s="400"/>
      <c r="E52" s="442"/>
      <c r="F52" s="284"/>
      <c r="G52" s="285"/>
      <c r="H52" s="251"/>
    </row>
    <row r="53">
      <c r="A53" s="270"/>
      <c r="B53" s="478"/>
      <c r="C53" s="471"/>
      <c r="D53" s="472"/>
      <c r="E53" s="473"/>
      <c r="F53" s="474"/>
      <c r="G53" s="482"/>
      <c r="H53" s="261"/>
    </row>
    <row r="54">
      <c r="A54" s="262" t="s">
        <v>1395</v>
      </c>
      <c r="B54" s="425">
        <v>30000.0</v>
      </c>
      <c r="C54" s="426"/>
      <c r="D54" s="401"/>
      <c r="E54" s="402" t="s">
        <v>328</v>
      </c>
      <c r="F54" s="403"/>
      <c r="G54" s="436" t="s">
        <v>76</v>
      </c>
      <c r="H54" s="245">
        <v>340.0</v>
      </c>
    </row>
    <row r="55">
      <c r="A55" s="265"/>
      <c r="B55" s="404"/>
      <c r="C55" s="405"/>
      <c r="D55" s="399"/>
      <c r="E55" s="398"/>
      <c r="F55" s="284"/>
      <c r="G55" s="285"/>
      <c r="H55" s="267"/>
    </row>
    <row r="56">
      <c r="A56" s="265"/>
      <c r="B56" s="404"/>
      <c r="C56" s="405"/>
      <c r="D56" s="399"/>
      <c r="E56" s="398"/>
      <c r="F56" s="284"/>
      <c r="G56" s="285"/>
      <c r="H56" s="267"/>
    </row>
    <row r="57">
      <c r="A57" s="265"/>
      <c r="B57" s="404"/>
      <c r="C57" s="405"/>
      <c r="D57" s="399"/>
      <c r="E57" s="398"/>
      <c r="F57" s="284"/>
      <c r="G57" s="285"/>
      <c r="H57" s="251"/>
    </row>
    <row r="58">
      <c r="A58" s="265"/>
      <c r="B58" s="457"/>
      <c r="C58" s="405"/>
      <c r="D58" s="399"/>
      <c r="E58" s="398"/>
      <c r="F58" s="284"/>
      <c r="G58" s="285"/>
      <c r="H58" s="251"/>
    </row>
    <row r="59">
      <c r="A59" s="265"/>
      <c r="B59" s="468"/>
      <c r="C59" s="405"/>
      <c r="D59" s="399"/>
      <c r="E59" s="398"/>
      <c r="F59" s="483"/>
      <c r="G59" s="285"/>
      <c r="H59" s="251"/>
    </row>
    <row r="60">
      <c r="A60" s="265"/>
      <c r="B60" s="468"/>
      <c r="C60" s="405"/>
      <c r="D60" s="399"/>
      <c r="E60" s="442"/>
      <c r="F60" s="284"/>
      <c r="G60" s="285"/>
      <c r="H60" s="267"/>
    </row>
    <row r="61">
      <c r="A61" s="265"/>
      <c r="B61" s="404"/>
      <c r="C61" s="424"/>
      <c r="D61" s="399"/>
      <c r="E61" s="398"/>
      <c r="F61" s="284"/>
      <c r="G61" s="285"/>
      <c r="H61" s="251"/>
    </row>
    <row r="62">
      <c r="A62" s="265"/>
      <c r="B62" s="404"/>
      <c r="C62" s="424"/>
      <c r="D62" s="400"/>
      <c r="E62" s="442"/>
      <c r="F62" s="284"/>
      <c r="G62" s="285"/>
      <c r="H62" s="251"/>
    </row>
    <row r="63">
      <c r="A63" s="265"/>
      <c r="B63" s="404"/>
      <c r="C63" s="424"/>
      <c r="D63" s="414"/>
      <c r="E63" s="417"/>
      <c r="F63" s="418"/>
      <c r="G63" s="420"/>
      <c r="H63" s="251"/>
    </row>
    <row r="64">
      <c r="A64" s="265"/>
      <c r="B64" s="477"/>
      <c r="C64" s="424"/>
      <c r="D64" s="400"/>
      <c r="E64" s="442"/>
      <c r="F64" s="284"/>
      <c r="G64" s="481"/>
      <c r="H64" s="251"/>
    </row>
    <row r="65">
      <c r="A65" s="265"/>
      <c r="B65" s="404"/>
      <c r="C65" s="424"/>
      <c r="D65" s="400"/>
      <c r="E65" s="442"/>
      <c r="F65" s="284"/>
      <c r="G65" s="481"/>
      <c r="H65" s="251"/>
    </row>
    <row r="66">
      <c r="A66" s="265"/>
      <c r="B66" s="440"/>
      <c r="C66" s="424"/>
      <c r="D66" s="400"/>
      <c r="E66" s="442"/>
      <c r="F66" s="463"/>
      <c r="G66" s="481"/>
      <c r="H66" s="251"/>
    </row>
    <row r="67">
      <c r="A67" s="265"/>
      <c r="B67" s="480"/>
      <c r="C67" s="405"/>
      <c r="D67" s="400"/>
      <c r="E67" s="442"/>
      <c r="F67" s="463"/>
      <c r="G67" s="481"/>
      <c r="H67" s="251"/>
    </row>
    <row r="68">
      <c r="A68" s="265"/>
      <c r="B68" s="480"/>
      <c r="C68" s="424"/>
      <c r="D68" s="400"/>
      <c r="E68" s="442"/>
      <c r="F68" s="284"/>
      <c r="G68" s="481"/>
      <c r="H68" s="251"/>
    </row>
    <row r="69">
      <c r="A69" s="270"/>
      <c r="B69" s="478"/>
      <c r="C69" s="471"/>
      <c r="D69" s="472"/>
      <c r="E69" s="473"/>
      <c r="F69" s="474"/>
      <c r="G69" s="475"/>
      <c r="H69" s="261"/>
    </row>
    <row r="70">
      <c r="A70" s="262" t="s">
        <v>1399</v>
      </c>
      <c r="B70" s="461"/>
      <c r="C70" s="445"/>
      <c r="D70" s="421"/>
      <c r="E70" s="422"/>
      <c r="F70" s="284">
        <v>10000.0</v>
      </c>
      <c r="G70" s="436" t="s">
        <v>85</v>
      </c>
      <c r="H70" s="286">
        <v>330.0</v>
      </c>
    </row>
    <row r="71">
      <c r="A71" s="265"/>
      <c r="B71" s="419">
        <v>50500.0</v>
      </c>
      <c r="C71" s="427"/>
      <c r="D71" s="414"/>
      <c r="E71" s="417" t="s">
        <v>306</v>
      </c>
      <c r="F71" s="418"/>
      <c r="G71" s="417" t="s">
        <v>75</v>
      </c>
      <c r="H71" s="82"/>
    </row>
    <row r="72">
      <c r="A72" s="265"/>
      <c r="B72" s="404">
        <v>100671.0</v>
      </c>
      <c r="C72" s="405"/>
      <c r="D72" s="399"/>
      <c r="E72" s="398"/>
      <c r="F72" s="284"/>
      <c r="G72" s="285" t="s">
        <v>415</v>
      </c>
      <c r="H72" s="82"/>
      <c r="I72" s="2" t="s">
        <v>1641</v>
      </c>
    </row>
    <row r="73">
      <c r="A73" s="265"/>
      <c r="B73" s="404"/>
      <c r="C73" s="405"/>
      <c r="D73" s="399"/>
      <c r="E73" s="398"/>
      <c r="F73" s="284"/>
      <c r="G73" s="285"/>
      <c r="H73" s="302"/>
      <c r="K73" s="2"/>
    </row>
    <row r="74">
      <c r="A74" s="265"/>
      <c r="B74" s="484"/>
      <c r="C74" s="485"/>
      <c r="D74" s="449"/>
      <c r="E74" s="450"/>
      <c r="F74" s="451"/>
      <c r="G74" s="435"/>
      <c r="H74" s="302"/>
      <c r="I74" s="318"/>
      <c r="K74" s="2"/>
    </row>
    <row r="75">
      <c r="A75" s="265"/>
      <c r="B75" s="404"/>
      <c r="C75" s="405"/>
      <c r="D75" s="399"/>
      <c r="E75" s="442"/>
      <c r="F75" s="284"/>
      <c r="G75" s="285"/>
      <c r="H75" s="82"/>
      <c r="I75" s="318"/>
      <c r="K75" s="2"/>
    </row>
    <row r="76">
      <c r="A76" s="265"/>
      <c r="B76" s="404"/>
      <c r="C76" s="424"/>
      <c r="D76" s="399"/>
      <c r="E76" s="442"/>
      <c r="F76" s="284"/>
      <c r="G76" s="285"/>
      <c r="H76" s="302"/>
      <c r="I76" s="318"/>
      <c r="K76" s="2"/>
    </row>
    <row r="77">
      <c r="A77" s="265"/>
      <c r="B77" s="404"/>
      <c r="C77" s="424"/>
      <c r="D77" s="400"/>
      <c r="E77" s="442"/>
      <c r="F77" s="284"/>
      <c r="G77" s="285"/>
      <c r="H77" s="302"/>
      <c r="I77" s="318"/>
      <c r="K77" s="2"/>
    </row>
    <row r="78">
      <c r="A78" s="265"/>
      <c r="B78" s="404"/>
      <c r="C78" s="405"/>
      <c r="D78" s="400"/>
      <c r="E78" s="442"/>
      <c r="F78" s="284"/>
      <c r="G78" s="285"/>
      <c r="H78" s="302"/>
    </row>
    <row r="79">
      <c r="A79" s="265"/>
      <c r="B79" s="404"/>
      <c r="C79" s="405"/>
      <c r="D79" s="400"/>
      <c r="E79" s="442"/>
      <c r="F79" s="284"/>
      <c r="G79" s="285"/>
      <c r="H79" s="251"/>
      <c r="I79" s="318"/>
    </row>
    <row r="80">
      <c r="A80" s="265"/>
      <c r="B80" s="440"/>
      <c r="C80" s="405"/>
      <c r="D80" s="400"/>
      <c r="E80" s="442"/>
      <c r="F80" s="463"/>
      <c r="G80" s="285"/>
      <c r="H80" s="251"/>
      <c r="I80" s="318"/>
    </row>
    <row r="81">
      <c r="A81" s="265"/>
      <c r="B81" s="440"/>
      <c r="C81" s="424"/>
      <c r="D81" s="400"/>
      <c r="E81" s="442"/>
      <c r="F81" s="284"/>
      <c r="G81" s="285"/>
      <c r="H81" s="251"/>
    </row>
    <row r="82">
      <c r="A82" s="265"/>
      <c r="B82" s="440"/>
      <c r="C82" s="424"/>
      <c r="D82" s="400"/>
      <c r="E82" s="442"/>
      <c r="F82" s="463"/>
      <c r="G82" s="285"/>
      <c r="H82" s="251"/>
    </row>
    <row r="83">
      <c r="A83" s="270"/>
      <c r="B83" s="478"/>
      <c r="C83" s="471"/>
      <c r="D83" s="472"/>
      <c r="E83" s="473"/>
      <c r="F83" s="460"/>
      <c r="G83" s="482"/>
      <c r="H83" s="261"/>
    </row>
    <row r="84">
      <c r="A84" s="262" t="s">
        <v>1642</v>
      </c>
      <c r="B84" s="425">
        <v>50732.5</v>
      </c>
      <c r="C84" s="426"/>
      <c r="D84" s="401"/>
      <c r="E84" s="402"/>
      <c r="F84" s="403"/>
      <c r="G84" s="436" t="s">
        <v>291</v>
      </c>
      <c r="H84" s="245">
        <v>336.0</v>
      </c>
    </row>
    <row r="85">
      <c r="A85" s="265"/>
      <c r="B85" s="404">
        <v>321361.39</v>
      </c>
      <c r="C85" s="405"/>
      <c r="D85" s="399"/>
      <c r="E85" s="398" t="s">
        <v>328</v>
      </c>
      <c r="F85" s="284"/>
      <c r="G85" s="285" t="s">
        <v>114</v>
      </c>
      <c r="H85" s="267"/>
    </row>
    <row r="86">
      <c r="A86" s="265"/>
      <c r="B86" s="404"/>
      <c r="C86" s="405"/>
      <c r="D86" s="399"/>
      <c r="E86" s="398"/>
      <c r="F86" s="284"/>
      <c r="G86" s="195"/>
      <c r="H86" s="267"/>
    </row>
    <row r="87">
      <c r="A87" s="265"/>
      <c r="B87" s="404"/>
      <c r="C87" s="405"/>
      <c r="D87" s="399"/>
      <c r="E87" s="398"/>
      <c r="F87" s="284"/>
      <c r="G87" s="285"/>
      <c r="H87" s="251"/>
    </row>
    <row r="88">
      <c r="A88" s="265"/>
      <c r="B88" s="404"/>
      <c r="C88" s="405"/>
      <c r="D88" s="399"/>
      <c r="E88" s="398"/>
      <c r="F88" s="284"/>
      <c r="G88" s="285"/>
      <c r="H88" s="251"/>
    </row>
    <row r="89">
      <c r="A89" s="265"/>
      <c r="B89" s="404"/>
      <c r="C89" s="405"/>
      <c r="D89" s="399"/>
      <c r="E89" s="398"/>
      <c r="F89" s="284"/>
      <c r="G89" s="285"/>
      <c r="H89" s="251"/>
    </row>
    <row r="90">
      <c r="A90" s="265"/>
      <c r="B90" s="404"/>
      <c r="C90" s="424"/>
      <c r="D90" s="399"/>
      <c r="E90" s="398"/>
      <c r="F90" s="284"/>
      <c r="G90" s="285"/>
      <c r="H90" s="251"/>
    </row>
    <row r="91">
      <c r="A91" s="265"/>
      <c r="B91" s="404"/>
      <c r="C91" s="405"/>
      <c r="D91" s="399"/>
      <c r="E91" s="442"/>
      <c r="F91" s="284"/>
      <c r="G91" s="285"/>
      <c r="H91" s="251"/>
    </row>
    <row r="92">
      <c r="A92" s="265"/>
      <c r="B92" s="419"/>
      <c r="C92" s="434"/>
      <c r="D92" s="414"/>
      <c r="E92" s="417"/>
      <c r="F92" s="418"/>
      <c r="G92" s="420"/>
      <c r="H92" s="251"/>
    </row>
    <row r="93">
      <c r="A93" s="265"/>
      <c r="B93" s="404"/>
      <c r="C93" s="405"/>
      <c r="D93" s="400"/>
      <c r="E93" s="442"/>
      <c r="F93" s="284"/>
      <c r="G93" s="285"/>
      <c r="H93" s="251"/>
    </row>
    <row r="94">
      <c r="A94" s="265"/>
      <c r="B94" s="477"/>
      <c r="C94" s="424"/>
      <c r="D94" s="400"/>
      <c r="E94" s="442"/>
      <c r="F94" s="284"/>
      <c r="G94" s="285"/>
      <c r="H94" s="251"/>
    </row>
    <row r="95">
      <c r="A95" s="265"/>
      <c r="B95" s="477"/>
      <c r="C95" s="424"/>
      <c r="D95" s="400"/>
      <c r="E95" s="442"/>
      <c r="F95" s="284"/>
      <c r="G95" s="285"/>
      <c r="H95" s="251"/>
    </row>
    <row r="96">
      <c r="A96" s="265"/>
      <c r="B96" s="477"/>
      <c r="C96" s="424"/>
      <c r="D96" s="400"/>
      <c r="E96" s="442"/>
      <c r="F96" s="284"/>
      <c r="G96" s="481"/>
      <c r="H96" s="251"/>
    </row>
    <row r="97">
      <c r="A97" s="265"/>
      <c r="B97" s="477"/>
      <c r="C97" s="424"/>
      <c r="D97" s="400"/>
      <c r="E97" s="442"/>
      <c r="F97" s="284"/>
      <c r="G97" s="481"/>
      <c r="H97" s="251"/>
    </row>
    <row r="98">
      <c r="A98" s="265"/>
      <c r="B98" s="477"/>
      <c r="C98" s="424"/>
      <c r="D98" s="400"/>
      <c r="E98" s="442"/>
      <c r="F98" s="284"/>
      <c r="G98" s="481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70"/>
      <c r="B101" s="478"/>
      <c r="C101" s="471"/>
      <c r="D101" s="472"/>
      <c r="E101" s="473"/>
      <c r="F101" s="460"/>
      <c r="G101" s="482"/>
      <c r="H101" s="261"/>
    </row>
    <row r="102">
      <c r="A102" s="262" t="s">
        <v>1414</v>
      </c>
      <c r="B102" s="425"/>
      <c r="C102" s="426"/>
      <c r="D102" s="401"/>
      <c r="E102" s="402"/>
      <c r="F102" s="403"/>
      <c r="G102" s="436"/>
      <c r="H102" s="245">
        <v>244.0</v>
      </c>
    </row>
    <row r="103">
      <c r="A103" s="265"/>
      <c r="B103" s="404"/>
      <c r="C103" s="405"/>
      <c r="D103" s="399"/>
      <c r="E103" s="398"/>
      <c r="F103" s="284"/>
      <c r="G103" s="285"/>
      <c r="H103" s="267"/>
    </row>
    <row r="104">
      <c r="A104" s="265"/>
      <c r="B104" s="404"/>
      <c r="C104" s="405"/>
      <c r="D104" s="399"/>
      <c r="E104" s="398"/>
      <c r="F104" s="284"/>
      <c r="G104" s="285"/>
      <c r="H104" s="251"/>
    </row>
    <row r="105">
      <c r="A105" s="265"/>
      <c r="B105" s="425">
        <v>77460.0</v>
      </c>
      <c r="C105" s="426"/>
      <c r="D105" s="401"/>
      <c r="E105" s="402"/>
      <c r="F105" s="403"/>
      <c r="G105" s="436" t="s">
        <v>82</v>
      </c>
      <c r="H105" s="267"/>
    </row>
    <row r="106">
      <c r="A106" s="265"/>
      <c r="B106" s="419">
        <v>130000.0</v>
      </c>
      <c r="C106" s="434"/>
      <c r="D106" s="414"/>
      <c r="E106" s="417" t="s">
        <v>306</v>
      </c>
      <c r="F106" s="284"/>
      <c r="G106" s="420" t="s">
        <v>75</v>
      </c>
      <c r="H106" s="251"/>
    </row>
    <row r="107">
      <c r="A107" s="265"/>
      <c r="B107" s="404">
        <v>121278.57</v>
      </c>
      <c r="C107" s="405"/>
      <c r="D107" s="399"/>
      <c r="E107" s="398" t="s">
        <v>527</v>
      </c>
      <c r="F107" s="284"/>
      <c r="G107" s="285" t="s">
        <v>1522</v>
      </c>
      <c r="H107" s="251"/>
    </row>
    <row r="108">
      <c r="A108" s="265"/>
      <c r="B108" s="404"/>
      <c r="C108" s="424"/>
      <c r="D108" s="399"/>
      <c r="E108" s="398"/>
      <c r="F108" s="284"/>
      <c r="G108" s="285"/>
      <c r="H108" s="251"/>
      <c r="I108" s="417"/>
    </row>
    <row r="109">
      <c r="A109" s="265"/>
      <c r="B109" s="404"/>
      <c r="C109" s="405"/>
      <c r="D109" s="399"/>
      <c r="E109" s="398"/>
      <c r="F109" s="284"/>
      <c r="G109" s="285"/>
      <c r="H109" s="251"/>
    </row>
    <row r="110">
      <c r="A110" s="265"/>
      <c r="B110" s="404"/>
      <c r="C110" s="405"/>
      <c r="D110" s="399"/>
      <c r="E110" s="398"/>
      <c r="F110" s="284"/>
      <c r="G110" s="285"/>
      <c r="H110" s="251"/>
    </row>
    <row r="111">
      <c r="A111" s="265"/>
      <c r="B111" s="404"/>
      <c r="C111" s="405"/>
      <c r="D111" s="400"/>
      <c r="E111" s="442"/>
      <c r="F111" s="284"/>
      <c r="G111" s="285"/>
      <c r="H111" s="267"/>
    </row>
    <row r="112">
      <c r="A112" s="265"/>
      <c r="B112" s="404"/>
      <c r="C112" s="424"/>
      <c r="D112" s="399"/>
      <c r="E112" s="442"/>
      <c r="F112" s="284"/>
      <c r="G112" s="285"/>
      <c r="H112" s="251"/>
    </row>
    <row r="113">
      <c r="A113" s="265"/>
      <c r="B113" s="440"/>
      <c r="C113" s="424"/>
      <c r="D113" s="400"/>
      <c r="E113" s="442"/>
      <c r="F113" s="284"/>
      <c r="G113" s="285"/>
      <c r="H113" s="251"/>
    </row>
    <row r="114">
      <c r="A114" s="265"/>
      <c r="B114" s="440"/>
      <c r="C114" s="424"/>
      <c r="D114" s="400"/>
      <c r="E114" s="442"/>
      <c r="F114" s="284"/>
      <c r="G114" s="481"/>
      <c r="H114" s="251"/>
    </row>
    <row r="115">
      <c r="A115" s="265"/>
      <c r="B115" s="480"/>
      <c r="C115" s="424"/>
      <c r="D115" s="400"/>
      <c r="E115" s="442"/>
      <c r="F115" s="284"/>
      <c r="G115" s="481"/>
      <c r="H115" s="251"/>
    </row>
    <row r="116">
      <c r="A116" s="270"/>
      <c r="B116" s="478"/>
      <c r="C116" s="471"/>
      <c r="D116" s="472"/>
      <c r="E116" s="473"/>
      <c r="F116" s="460"/>
      <c r="G116" s="482"/>
      <c r="H116" s="261"/>
    </row>
    <row r="117">
      <c r="A117" s="262" t="s">
        <v>1417</v>
      </c>
      <c r="B117" s="425"/>
      <c r="C117" s="426"/>
      <c r="D117" s="401"/>
      <c r="E117" s="402"/>
      <c r="F117" s="403">
        <v>1300.0</v>
      </c>
      <c r="G117" s="436" t="s">
        <v>99</v>
      </c>
      <c r="H117" s="245">
        <v>430.0</v>
      </c>
    </row>
    <row r="118">
      <c r="A118" s="265"/>
      <c r="B118" s="404">
        <v>57000.0</v>
      </c>
      <c r="C118" s="405"/>
      <c r="D118" s="399"/>
      <c r="E118" s="398" t="s">
        <v>328</v>
      </c>
      <c r="F118" s="284"/>
      <c r="G118" s="285" t="s">
        <v>68</v>
      </c>
      <c r="H118" s="251"/>
    </row>
    <row r="119">
      <c r="A119" s="265"/>
      <c r="B119" s="404"/>
      <c r="C119" s="405"/>
      <c r="D119" s="399"/>
      <c r="E119" s="398"/>
      <c r="F119" s="284">
        <v>2421.0</v>
      </c>
      <c r="G119" s="285" t="s">
        <v>344</v>
      </c>
      <c r="H119" s="251"/>
    </row>
    <row r="120">
      <c r="A120" s="265"/>
      <c r="B120" s="404">
        <v>456835.5</v>
      </c>
      <c r="C120" s="405"/>
      <c r="D120" s="399"/>
      <c r="E120" s="398" t="s">
        <v>328</v>
      </c>
      <c r="F120" s="284"/>
      <c r="G120" s="285" t="s">
        <v>877</v>
      </c>
      <c r="H120" s="251"/>
    </row>
    <row r="121">
      <c r="A121" s="265"/>
      <c r="B121" s="404"/>
      <c r="C121" s="405"/>
      <c r="D121" s="399"/>
      <c r="E121" s="398"/>
      <c r="F121" s="284"/>
      <c r="G121" s="285"/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04"/>
      <c r="C123" s="405"/>
      <c r="D123" s="399"/>
      <c r="E123" s="442"/>
      <c r="F123" s="284"/>
      <c r="G123" s="285"/>
      <c r="H123" s="251"/>
    </row>
    <row r="124">
      <c r="A124" s="265"/>
      <c r="B124" s="404"/>
      <c r="C124" s="424"/>
      <c r="D124" s="399"/>
      <c r="E124" s="442"/>
      <c r="F124" s="284"/>
      <c r="G124" s="285"/>
      <c r="H124" s="251"/>
    </row>
    <row r="125">
      <c r="A125" s="265"/>
      <c r="B125" s="477"/>
      <c r="C125" s="405"/>
      <c r="D125" s="399"/>
      <c r="E125" s="442"/>
      <c r="F125" s="284"/>
      <c r="G125" s="285"/>
      <c r="H125" s="251"/>
    </row>
    <row r="126">
      <c r="A126" s="265"/>
      <c r="B126" s="404"/>
      <c r="C126" s="424"/>
      <c r="D126" s="399"/>
      <c r="E126" s="442"/>
      <c r="F126" s="284"/>
      <c r="G126" s="442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40"/>
      <c r="C128" s="424"/>
      <c r="D128" s="400"/>
      <c r="E128" s="442"/>
      <c r="F128" s="284"/>
      <c r="G128" s="285"/>
      <c r="H128" s="251"/>
    </row>
    <row r="129">
      <c r="A129" s="265"/>
      <c r="B129" s="440"/>
      <c r="C129" s="424"/>
      <c r="D129" s="400"/>
      <c r="E129" s="442"/>
      <c r="F129" s="463"/>
      <c r="G129" s="481"/>
      <c r="H129" s="251"/>
    </row>
    <row r="130">
      <c r="A130" s="265"/>
      <c r="B130" s="480"/>
      <c r="C130" s="424"/>
      <c r="D130" s="400"/>
      <c r="E130" s="442"/>
      <c r="F130" s="284"/>
      <c r="G130" s="481"/>
      <c r="H130" s="251"/>
    </row>
    <row r="131">
      <c r="A131" s="270"/>
      <c r="B131" s="478"/>
      <c r="C131" s="471"/>
      <c r="D131" s="472"/>
      <c r="E131" s="473"/>
      <c r="F131" s="474"/>
      <c r="G131" s="475"/>
      <c r="H131" s="261"/>
    </row>
    <row r="132">
      <c r="A132" s="262" t="s">
        <v>1418</v>
      </c>
      <c r="B132" s="425">
        <v>54191.0</v>
      </c>
      <c r="C132" s="426"/>
      <c r="D132" s="421"/>
      <c r="E132" s="422"/>
      <c r="F132" s="403">
        <v>10575.0</v>
      </c>
      <c r="G132" s="436" t="s">
        <v>82</v>
      </c>
      <c r="H132" s="245">
        <f>290+32</f>
        <v>322</v>
      </c>
    </row>
    <row r="133">
      <c r="A133" s="265"/>
      <c r="B133" s="419">
        <v>140000.0</v>
      </c>
      <c r="C133" s="427"/>
      <c r="D133" s="414"/>
      <c r="E133" s="417" t="s">
        <v>306</v>
      </c>
      <c r="F133" s="418"/>
      <c r="G133" s="420" t="s">
        <v>75</v>
      </c>
      <c r="H133" s="267"/>
    </row>
    <row r="134">
      <c r="A134" s="265"/>
      <c r="B134" s="404">
        <v>54191.09</v>
      </c>
      <c r="C134" s="427"/>
      <c r="D134" s="399"/>
      <c r="E134" s="398"/>
      <c r="F134" s="284"/>
      <c r="G134" s="285" t="s">
        <v>82</v>
      </c>
      <c r="H134" s="251"/>
    </row>
    <row r="135">
      <c r="A135" s="265"/>
      <c r="B135" s="404">
        <v>154629.14</v>
      </c>
      <c r="C135" s="405"/>
      <c r="D135" s="399"/>
      <c r="E135" s="398" t="s">
        <v>328</v>
      </c>
      <c r="F135" s="284"/>
      <c r="G135" s="285" t="s">
        <v>1643</v>
      </c>
      <c r="H135" s="251"/>
    </row>
    <row r="136">
      <c r="A136" s="265"/>
      <c r="B136" s="404">
        <v>97703.35</v>
      </c>
      <c r="C136" s="405"/>
      <c r="D136" s="399"/>
      <c r="E136" s="398" t="s">
        <v>328</v>
      </c>
      <c r="F136" s="284"/>
      <c r="G136" s="285" t="s">
        <v>1644</v>
      </c>
      <c r="H136" s="251"/>
    </row>
    <row r="137">
      <c r="A137" s="265"/>
      <c r="B137" s="419"/>
      <c r="C137" s="427"/>
      <c r="D137" s="414"/>
      <c r="E137" s="417"/>
      <c r="F137" s="418"/>
      <c r="G137" s="420"/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404"/>
      <c r="C139" s="424"/>
      <c r="D139" s="399"/>
      <c r="E139" s="442"/>
      <c r="F139" s="284"/>
      <c r="G139" s="285"/>
      <c r="H139" s="251"/>
    </row>
    <row r="140">
      <c r="A140" s="265"/>
      <c r="B140" s="404"/>
      <c r="C140" s="424"/>
      <c r="D140" s="399"/>
      <c r="E140" s="398"/>
      <c r="F140" s="284"/>
      <c r="G140" s="285"/>
      <c r="H140" s="251"/>
    </row>
    <row r="141">
      <c r="A141" s="265"/>
      <c r="B141" s="440"/>
      <c r="C141" s="424"/>
      <c r="D141" s="399"/>
      <c r="E141" s="442"/>
      <c r="F141" s="284"/>
      <c r="G141" s="285"/>
      <c r="H141" s="251"/>
    </row>
    <row r="142">
      <c r="A142" s="270"/>
      <c r="B142" s="470"/>
      <c r="C142" s="471"/>
      <c r="D142" s="486"/>
      <c r="E142" s="473"/>
      <c r="F142" s="474"/>
      <c r="G142" s="475"/>
      <c r="H142" s="261"/>
    </row>
    <row r="143">
      <c r="A143" s="262" t="s">
        <v>1420</v>
      </c>
      <c r="B143" s="461"/>
      <c r="C143" s="445"/>
      <c r="D143" s="421"/>
      <c r="E143" s="422"/>
      <c r="F143" s="403">
        <v>5000.0</v>
      </c>
      <c r="G143" s="436" t="s">
        <v>85</v>
      </c>
      <c r="H143" s="245">
        <f>280+109</f>
        <v>389</v>
      </c>
    </row>
    <row r="144">
      <c r="A144" s="265"/>
      <c r="B144" s="404">
        <v>18376.91</v>
      </c>
      <c r="C144" s="487"/>
      <c r="D144" s="399"/>
      <c r="E144" s="398" t="s">
        <v>328</v>
      </c>
      <c r="F144" s="284"/>
      <c r="G144" s="285" t="s">
        <v>74</v>
      </c>
      <c r="H144" s="267"/>
    </row>
    <row r="145">
      <c r="A145" s="265"/>
      <c r="B145" s="404">
        <v>216771.96</v>
      </c>
      <c r="C145" s="405"/>
      <c r="D145" s="399"/>
      <c r="E145" s="398" t="s">
        <v>328</v>
      </c>
      <c r="F145" s="284"/>
      <c r="G145" s="285" t="s">
        <v>73</v>
      </c>
      <c r="H145" s="267"/>
    </row>
    <row r="146">
      <c r="A146" s="265"/>
      <c r="B146" s="404">
        <v>45000.0</v>
      </c>
      <c r="C146" s="405"/>
      <c r="D146" s="414"/>
      <c r="E146" s="417"/>
      <c r="F146" s="418"/>
      <c r="G146" s="285" t="s">
        <v>76</v>
      </c>
      <c r="H146" s="251"/>
    </row>
    <row r="147">
      <c r="A147" s="265"/>
      <c r="B147" s="404">
        <v>22004.99</v>
      </c>
      <c r="C147" s="405"/>
      <c r="D147" s="399"/>
      <c r="E147" s="285"/>
      <c r="F147" s="284"/>
      <c r="G147" s="285" t="s">
        <v>1645</v>
      </c>
      <c r="H147" s="251"/>
      <c r="I147" s="254"/>
    </row>
    <row r="148">
      <c r="A148" s="265"/>
      <c r="B148" s="404"/>
      <c r="C148" s="424"/>
      <c r="D148" s="399"/>
      <c r="E148" s="442"/>
      <c r="F148" s="284">
        <v>1600.0</v>
      </c>
      <c r="G148" s="285" t="s">
        <v>260</v>
      </c>
      <c r="H148" s="251"/>
    </row>
    <row r="149">
      <c r="A149" s="265"/>
      <c r="B149" s="404">
        <v>6500.0</v>
      </c>
      <c r="C149" s="405"/>
      <c r="D149" s="399"/>
      <c r="E149" s="398"/>
      <c r="F149" s="284"/>
      <c r="G149" s="285" t="s">
        <v>260</v>
      </c>
      <c r="H149" s="267"/>
    </row>
    <row r="150">
      <c r="A150" s="265"/>
      <c r="B150" s="419"/>
      <c r="C150" s="434"/>
      <c r="D150" s="523"/>
      <c r="E150" s="417"/>
      <c r="F150" s="418"/>
      <c r="G150" s="420"/>
      <c r="H150" s="251"/>
    </row>
    <row r="151">
      <c r="A151" s="265"/>
      <c r="B151" s="404"/>
      <c r="C151" s="424"/>
      <c r="D151" s="399"/>
      <c r="E151" s="442"/>
      <c r="F151" s="284"/>
      <c r="G151" s="285"/>
      <c r="H151" s="251"/>
    </row>
    <row r="152">
      <c r="A152" s="265"/>
      <c r="B152" s="404"/>
      <c r="C152" s="424"/>
      <c r="D152" s="400"/>
      <c r="E152" s="442"/>
      <c r="F152" s="284"/>
      <c r="G152" s="285"/>
      <c r="H152" s="251"/>
    </row>
    <row r="153">
      <c r="A153" s="265"/>
      <c r="B153" s="404"/>
      <c r="C153" s="424"/>
      <c r="D153" s="400"/>
      <c r="E153" s="442"/>
      <c r="F153" s="284"/>
      <c r="G153" s="285"/>
      <c r="H153" s="251"/>
    </row>
    <row r="154">
      <c r="A154" s="265"/>
      <c r="B154" s="404"/>
      <c r="C154" s="424"/>
      <c r="D154" s="400"/>
      <c r="E154" s="442"/>
      <c r="F154" s="284"/>
      <c r="G154" s="285"/>
      <c r="H154" s="251"/>
    </row>
    <row r="155">
      <c r="A155" s="265"/>
      <c r="B155" s="477"/>
      <c r="C155" s="424"/>
      <c r="D155" s="400"/>
      <c r="E155" s="442"/>
      <c r="F155" s="284"/>
      <c r="G155" s="481"/>
      <c r="H155" s="251"/>
    </row>
    <row r="156">
      <c r="A156" s="265"/>
      <c r="B156" s="477"/>
      <c r="C156" s="424"/>
      <c r="D156" s="400"/>
      <c r="E156" s="442"/>
      <c r="F156" s="284"/>
      <c r="G156" s="481"/>
      <c r="H156" s="251"/>
    </row>
    <row r="157">
      <c r="A157" s="270"/>
      <c r="B157" s="478"/>
      <c r="C157" s="471"/>
      <c r="D157" s="472"/>
      <c r="E157" s="473"/>
      <c r="F157" s="474"/>
      <c r="G157" s="475"/>
      <c r="H157" s="261"/>
    </row>
    <row r="158">
      <c r="A158" s="262" t="s">
        <v>1421</v>
      </c>
      <c r="B158" s="419">
        <v>50500.0</v>
      </c>
      <c r="C158" s="427"/>
      <c r="D158" s="414"/>
      <c r="E158" s="417" t="s">
        <v>306</v>
      </c>
      <c r="F158" s="418"/>
      <c r="G158" s="420" t="s">
        <v>75</v>
      </c>
      <c r="H158" s="286">
        <f>260+78</f>
        <v>338</v>
      </c>
    </row>
    <row r="159">
      <c r="A159" s="265"/>
      <c r="B159" s="404">
        <v>38729.87</v>
      </c>
      <c r="C159" s="405"/>
      <c r="D159" s="399"/>
      <c r="E159" s="398"/>
      <c r="F159" s="284"/>
      <c r="G159" s="285" t="s">
        <v>82</v>
      </c>
      <c r="H159" s="251"/>
    </row>
    <row r="160">
      <c r="A160" s="265"/>
      <c r="B160" s="404">
        <v>53687.7</v>
      </c>
      <c r="C160" s="405"/>
      <c r="D160" s="399"/>
      <c r="E160" s="398"/>
      <c r="F160" s="284"/>
      <c r="G160" s="285" t="s">
        <v>100</v>
      </c>
      <c r="H160" s="267"/>
      <c r="I160" s="2" t="s">
        <v>1646</v>
      </c>
    </row>
    <row r="161">
      <c r="A161" s="265"/>
      <c r="B161" s="404"/>
      <c r="C161" s="405"/>
      <c r="D161" s="399"/>
      <c r="E161" s="398"/>
      <c r="F161" s="284"/>
      <c r="G161" s="285"/>
      <c r="H161" s="251"/>
      <c r="I161" s="2" t="s">
        <v>1647</v>
      </c>
    </row>
    <row r="162">
      <c r="A162" s="265"/>
      <c r="B162" s="404"/>
      <c r="C162" s="405"/>
      <c r="D162" s="399"/>
      <c r="E162" s="398"/>
      <c r="F162" s="284"/>
      <c r="G162" s="285"/>
      <c r="H162" s="267"/>
    </row>
    <row r="163">
      <c r="A163" s="265"/>
      <c r="B163" s="404"/>
      <c r="C163" s="424"/>
      <c r="D163" s="399"/>
      <c r="E163" s="442"/>
      <c r="F163" s="284"/>
      <c r="G163" s="285"/>
      <c r="H163" s="251"/>
    </row>
    <row r="164">
      <c r="A164" s="265"/>
      <c r="B164" s="404"/>
      <c r="C164" s="424"/>
      <c r="D164" s="399"/>
      <c r="E164" s="398"/>
      <c r="F164" s="284"/>
      <c r="G164" s="285"/>
      <c r="H164" s="267"/>
    </row>
    <row r="165">
      <c r="A165" s="265"/>
      <c r="B165" s="404"/>
      <c r="C165" s="424"/>
      <c r="D165" s="399"/>
      <c r="E165" s="442"/>
      <c r="F165" s="284"/>
      <c r="G165" s="285"/>
      <c r="H165" s="251"/>
    </row>
    <row r="166">
      <c r="A166" s="265"/>
      <c r="B166" s="404"/>
      <c r="C166" s="405"/>
      <c r="D166" s="399"/>
      <c r="E166" s="442"/>
      <c r="F166" s="284"/>
      <c r="G166" s="285"/>
      <c r="H166" s="251"/>
    </row>
    <row r="167">
      <c r="A167" s="265"/>
      <c r="B167" s="404"/>
      <c r="C167" s="424"/>
      <c r="D167" s="399"/>
      <c r="E167" s="442"/>
      <c r="F167" s="284"/>
      <c r="G167" s="285"/>
      <c r="H167" s="251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05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24"/>
      <c r="D171" s="399"/>
      <c r="E171" s="442"/>
      <c r="F171" s="284"/>
      <c r="G171" s="285"/>
      <c r="H171" s="251"/>
    </row>
    <row r="172">
      <c r="A172" s="265"/>
      <c r="B172" s="404"/>
      <c r="C172" s="424"/>
      <c r="D172" s="400"/>
      <c r="E172" s="442"/>
      <c r="F172" s="284"/>
      <c r="G172" s="285"/>
      <c r="H172" s="251"/>
    </row>
    <row r="173">
      <c r="A173" s="270"/>
      <c r="B173" s="404"/>
      <c r="C173" s="424"/>
      <c r="D173" s="399"/>
      <c r="E173" s="442"/>
      <c r="F173" s="284"/>
      <c r="G173" s="285"/>
      <c r="H173" s="261"/>
    </row>
    <row r="174">
      <c r="A174" s="262" t="s">
        <v>1648</v>
      </c>
      <c r="B174" s="425">
        <v>197221.17</v>
      </c>
      <c r="C174" s="426"/>
      <c r="D174" s="401"/>
      <c r="E174" s="402" t="s">
        <v>328</v>
      </c>
      <c r="F174" s="403"/>
      <c r="G174" s="436" t="s">
        <v>114</v>
      </c>
      <c r="H174" s="245">
        <f>260+120</f>
        <v>380</v>
      </c>
    </row>
    <row r="175">
      <c r="A175" s="265"/>
      <c r="B175" s="404">
        <v>10890.0</v>
      </c>
      <c r="C175" s="405"/>
      <c r="D175" s="399"/>
      <c r="E175" s="442"/>
      <c r="F175" s="284"/>
      <c r="G175" s="285" t="s">
        <v>267</v>
      </c>
      <c r="H175" s="267"/>
    </row>
    <row r="176">
      <c r="A176" s="265"/>
      <c r="B176" s="419"/>
      <c r="C176" s="434"/>
      <c r="D176" s="414"/>
      <c r="E176" s="417"/>
      <c r="F176" s="418"/>
      <c r="G176" s="420"/>
      <c r="H176" s="251"/>
    </row>
    <row r="177">
      <c r="A177" s="265"/>
      <c r="B177" s="404"/>
      <c r="C177" s="405"/>
      <c r="D177" s="399"/>
      <c r="E177" s="398"/>
      <c r="F177" s="284"/>
      <c r="G177" s="285"/>
      <c r="H177" s="251"/>
    </row>
    <row r="178">
      <c r="A178" s="265"/>
      <c r="B178" s="404"/>
      <c r="C178" s="405"/>
      <c r="D178" s="399"/>
      <c r="E178" s="398"/>
      <c r="F178" s="284"/>
      <c r="G178" s="285"/>
      <c r="H178" s="251"/>
    </row>
    <row r="179">
      <c r="A179" s="265"/>
      <c r="B179" s="404"/>
      <c r="C179" s="405"/>
      <c r="D179" s="399"/>
      <c r="E179" s="442"/>
      <c r="F179" s="284"/>
      <c r="G179" s="285"/>
      <c r="H179" s="267"/>
    </row>
    <row r="180">
      <c r="A180" s="265"/>
      <c r="B180" s="404"/>
      <c r="C180" s="405"/>
      <c r="D180" s="399"/>
      <c r="E180" s="442"/>
      <c r="F180" s="284"/>
      <c r="G180" s="488"/>
      <c r="H180" s="251"/>
    </row>
    <row r="181">
      <c r="A181" s="265"/>
      <c r="B181" s="404"/>
      <c r="C181" s="424"/>
      <c r="D181" s="399"/>
      <c r="E181" s="442"/>
      <c r="F181" s="284"/>
      <c r="G181" s="285"/>
      <c r="H181" s="251"/>
    </row>
    <row r="182">
      <c r="A182" s="265"/>
      <c r="B182" s="404"/>
      <c r="C182" s="405"/>
      <c r="D182" s="399"/>
      <c r="E182" s="442"/>
      <c r="F182" s="284"/>
      <c r="G182" s="285"/>
      <c r="H182" s="251"/>
    </row>
    <row r="183">
      <c r="A183" s="265"/>
      <c r="B183" s="404"/>
      <c r="C183" s="405"/>
      <c r="D183" s="400"/>
      <c r="E183" s="442"/>
      <c r="F183" s="284"/>
      <c r="G183" s="285"/>
      <c r="H183" s="251"/>
    </row>
    <row r="184">
      <c r="A184" s="265"/>
      <c r="B184" s="477"/>
      <c r="C184" s="405"/>
      <c r="D184" s="400"/>
      <c r="E184" s="442"/>
      <c r="F184" s="284"/>
      <c r="G184" s="481"/>
      <c r="H184" s="251"/>
    </row>
    <row r="185">
      <c r="A185" s="265"/>
      <c r="B185" s="404"/>
      <c r="C185" s="405"/>
      <c r="D185" s="400"/>
      <c r="E185" s="442"/>
      <c r="F185" s="284"/>
      <c r="G185" s="481"/>
      <c r="H185" s="251"/>
    </row>
    <row r="186">
      <c r="A186" s="265"/>
      <c r="B186" s="480"/>
      <c r="C186" s="424"/>
      <c r="D186" s="400"/>
      <c r="E186" s="442"/>
      <c r="F186" s="284"/>
      <c r="G186" s="481"/>
      <c r="H186" s="251"/>
    </row>
    <row r="187">
      <c r="A187" s="265"/>
      <c r="B187" s="480"/>
      <c r="C187" s="424"/>
      <c r="D187" s="400"/>
      <c r="E187" s="442"/>
      <c r="F187" s="463"/>
      <c r="G187" s="481"/>
      <c r="H187" s="251"/>
    </row>
    <row r="188">
      <c r="A188" s="270"/>
      <c r="B188" s="478"/>
      <c r="C188" s="471"/>
      <c r="D188" s="472"/>
      <c r="E188" s="473"/>
      <c r="F188" s="460"/>
      <c r="G188" s="482"/>
      <c r="H188" s="261"/>
    </row>
    <row r="189">
      <c r="A189" s="262" t="s">
        <v>1429</v>
      </c>
      <c r="B189" s="425"/>
      <c r="C189" s="426"/>
      <c r="D189" s="401"/>
      <c r="E189" s="402"/>
      <c r="F189" s="403">
        <v>1490.0</v>
      </c>
      <c r="G189" s="436" t="s">
        <v>1547</v>
      </c>
      <c r="H189" s="245">
        <v>340.0</v>
      </c>
    </row>
    <row r="190">
      <c r="A190" s="265"/>
      <c r="B190" s="404">
        <v>57000.0</v>
      </c>
      <c r="C190" s="405"/>
      <c r="D190" s="399"/>
      <c r="E190" s="398"/>
      <c r="F190" s="284"/>
      <c r="G190" s="285" t="s">
        <v>68</v>
      </c>
      <c r="H190" s="267"/>
    </row>
    <row r="191">
      <c r="A191" s="265"/>
      <c r="B191" s="419">
        <v>94000.0</v>
      </c>
      <c r="C191" s="434"/>
      <c r="D191" s="414"/>
      <c r="E191" s="417" t="s">
        <v>306</v>
      </c>
      <c r="F191" s="418"/>
      <c r="G191" s="420" t="s">
        <v>75</v>
      </c>
      <c r="H191" s="251"/>
    </row>
    <row r="192">
      <c r="A192" s="265"/>
      <c r="B192" s="404">
        <v>38729.87</v>
      </c>
      <c r="C192" s="405"/>
      <c r="D192" s="399"/>
      <c r="E192" s="398"/>
      <c r="F192" s="284"/>
      <c r="G192" s="285" t="s">
        <v>82</v>
      </c>
      <c r="H192" s="267"/>
    </row>
    <row r="193">
      <c r="A193" s="265"/>
      <c r="B193" s="404"/>
      <c r="C193" s="405"/>
      <c r="D193" s="399"/>
      <c r="E193" s="398"/>
      <c r="F193" s="284"/>
      <c r="G193" s="285"/>
      <c r="H193" s="251"/>
    </row>
    <row r="194">
      <c r="A194" s="265"/>
      <c r="B194" s="404"/>
      <c r="C194" s="405"/>
      <c r="D194" s="399"/>
      <c r="E194" s="398"/>
      <c r="F194" s="284"/>
      <c r="G194" s="285"/>
      <c r="H194" s="251"/>
    </row>
    <row r="195">
      <c r="A195" s="265"/>
      <c r="B195" s="404"/>
      <c r="C195" s="424"/>
      <c r="D195" s="399"/>
      <c r="E195" s="398"/>
      <c r="F195" s="284"/>
      <c r="G195" s="285"/>
      <c r="H195" s="251"/>
    </row>
    <row r="196">
      <c r="A196" s="265"/>
      <c r="B196" s="404"/>
      <c r="C196" s="424"/>
      <c r="D196" s="400"/>
      <c r="E196" s="398"/>
      <c r="F196" s="284"/>
      <c r="G196" s="285"/>
      <c r="H196" s="251"/>
      <c r="I196" s="269"/>
      <c r="J196" s="269"/>
      <c r="K196" s="269"/>
    </row>
    <row r="197">
      <c r="A197" s="265"/>
      <c r="B197" s="404"/>
      <c r="C197" s="405"/>
      <c r="D197" s="399"/>
      <c r="E197" s="481"/>
      <c r="F197" s="284"/>
      <c r="G197" s="285"/>
      <c r="H197" s="251"/>
      <c r="I197" s="269"/>
      <c r="J197" s="269"/>
      <c r="K197" s="269"/>
    </row>
    <row r="198">
      <c r="A198" s="265"/>
      <c r="B198" s="440"/>
      <c r="C198" s="424"/>
      <c r="D198" s="399"/>
      <c r="E198" s="285"/>
      <c r="F198" s="284"/>
      <c r="G198" s="285"/>
      <c r="H198" s="251"/>
      <c r="I198" s="254"/>
      <c r="J198" s="269"/>
      <c r="K198" s="269"/>
    </row>
    <row r="199">
      <c r="A199" s="265"/>
      <c r="B199" s="440"/>
      <c r="C199" s="424"/>
      <c r="D199" s="400"/>
      <c r="E199" s="481"/>
      <c r="F199" s="463"/>
      <c r="G199" s="285"/>
      <c r="H199" s="251"/>
      <c r="I199" s="269"/>
      <c r="J199" s="269"/>
      <c r="K199" s="269"/>
    </row>
    <row r="200">
      <c r="A200" s="270"/>
      <c r="B200" s="478"/>
      <c r="C200" s="471"/>
      <c r="D200" s="472"/>
      <c r="E200" s="482"/>
      <c r="F200" s="460"/>
      <c r="G200" s="482"/>
      <c r="H200" s="261"/>
      <c r="I200" s="269"/>
      <c r="J200" s="269"/>
      <c r="K200" s="269"/>
    </row>
    <row r="201">
      <c r="A201" s="262" t="s">
        <v>1442</v>
      </c>
      <c r="B201" s="461"/>
      <c r="C201" s="445"/>
      <c r="D201" s="421"/>
      <c r="E201" s="422"/>
      <c r="F201" s="403">
        <v>1700.0</v>
      </c>
      <c r="G201" s="436" t="s">
        <v>1452</v>
      </c>
      <c r="H201" s="245">
        <v>174.0</v>
      </c>
      <c r="I201" s="254"/>
      <c r="J201" s="254"/>
      <c r="K201" s="254"/>
    </row>
    <row r="202">
      <c r="A202" s="265"/>
      <c r="B202" s="404">
        <v>142979.0</v>
      </c>
      <c r="C202" s="405"/>
      <c r="D202" s="399"/>
      <c r="E202" s="398"/>
      <c r="F202" s="284"/>
      <c r="G202" s="285" t="s">
        <v>142</v>
      </c>
      <c r="H202" s="267"/>
      <c r="I202" s="420"/>
      <c r="J202" s="254"/>
      <c r="K202" s="254"/>
    </row>
    <row r="203">
      <c r="A203" s="265"/>
      <c r="B203" s="419">
        <v>286200.05</v>
      </c>
      <c r="C203" s="427"/>
      <c r="D203" s="414"/>
      <c r="E203" s="417" t="s">
        <v>306</v>
      </c>
      <c r="F203" s="418"/>
      <c r="G203" s="420" t="s">
        <v>122</v>
      </c>
      <c r="H203" s="251"/>
      <c r="I203" s="254"/>
      <c r="J203" s="254"/>
      <c r="K203" s="254"/>
    </row>
    <row r="204">
      <c r="A204" s="265"/>
      <c r="B204" s="404">
        <v>338134.5</v>
      </c>
      <c r="C204" s="424"/>
      <c r="D204" s="399"/>
      <c r="E204" s="398" t="s">
        <v>328</v>
      </c>
      <c r="F204" s="284"/>
      <c r="G204" s="285" t="s">
        <v>877</v>
      </c>
      <c r="H204" s="267"/>
      <c r="I204" s="254"/>
      <c r="J204" s="269"/>
      <c r="K204" s="269"/>
    </row>
    <row r="205">
      <c r="A205" s="265"/>
      <c r="B205" s="404"/>
      <c r="C205" s="405"/>
      <c r="D205" s="399"/>
      <c r="E205" s="398"/>
      <c r="F205" s="284"/>
      <c r="G205" s="285"/>
      <c r="H205" s="251"/>
      <c r="I205" s="269"/>
      <c r="J205" s="269"/>
      <c r="K205" s="269"/>
    </row>
    <row r="206">
      <c r="A206" s="265"/>
      <c r="B206" s="404"/>
      <c r="C206" s="405"/>
      <c r="D206" s="399"/>
      <c r="E206" s="398"/>
      <c r="F206" s="284"/>
      <c r="G206" s="285"/>
      <c r="H206" s="251"/>
      <c r="I206" s="269"/>
      <c r="J206" s="269"/>
      <c r="K206" s="269"/>
    </row>
    <row r="207">
      <c r="A207" s="265"/>
      <c r="B207" s="404"/>
      <c r="C207" s="424"/>
      <c r="D207" s="399"/>
      <c r="E207" s="398"/>
      <c r="F207" s="284"/>
      <c r="G207" s="285"/>
      <c r="H207" s="267"/>
      <c r="I207" s="254"/>
      <c r="J207" s="269"/>
      <c r="K207" s="269"/>
    </row>
    <row r="208">
      <c r="A208" s="265"/>
      <c r="B208" s="404"/>
      <c r="C208" s="424"/>
      <c r="D208" s="399"/>
      <c r="E208" s="398"/>
      <c r="F208" s="284"/>
      <c r="G208" s="398"/>
      <c r="H208" s="251"/>
      <c r="I208" s="254"/>
      <c r="J208" s="269"/>
      <c r="K208" s="269"/>
    </row>
    <row r="209">
      <c r="A209" s="265"/>
      <c r="B209" s="404"/>
      <c r="C209" s="424"/>
      <c r="D209" s="399"/>
      <c r="E209" s="398"/>
      <c r="F209" s="284"/>
      <c r="G209" s="285"/>
      <c r="H209" s="251"/>
      <c r="I209" s="269"/>
      <c r="J209" s="269"/>
      <c r="K209" s="269"/>
    </row>
    <row r="210">
      <c r="A210" s="265"/>
      <c r="B210" s="404"/>
      <c r="C210" s="424"/>
      <c r="D210" s="400"/>
      <c r="E210" s="442"/>
      <c r="F210" s="284"/>
      <c r="G210" s="285"/>
      <c r="H210" s="251"/>
    </row>
    <row r="211">
      <c r="A211" s="265"/>
      <c r="B211" s="404"/>
      <c r="C211" s="424"/>
      <c r="D211" s="400"/>
      <c r="E211" s="442"/>
      <c r="F211" s="284"/>
      <c r="G211" s="285"/>
      <c r="H211" s="251"/>
    </row>
    <row r="212">
      <c r="A212" s="265"/>
      <c r="B212" s="440"/>
      <c r="C212" s="424"/>
      <c r="D212" s="400"/>
      <c r="E212" s="442"/>
      <c r="F212" s="284"/>
      <c r="G212" s="285"/>
      <c r="H212" s="251"/>
    </row>
    <row r="213">
      <c r="A213" s="265"/>
      <c r="B213" s="480"/>
      <c r="C213" s="424"/>
      <c r="D213" s="400"/>
      <c r="E213" s="442"/>
      <c r="F213" s="463"/>
      <c r="G213" s="481"/>
      <c r="H213" s="251"/>
    </row>
    <row r="214">
      <c r="A214" s="265"/>
      <c r="B214" s="480"/>
      <c r="C214" s="424"/>
      <c r="D214" s="400"/>
      <c r="E214" s="442"/>
      <c r="F214" s="463"/>
      <c r="G214" s="481"/>
      <c r="H214" s="251"/>
    </row>
    <row r="215">
      <c r="A215" s="270"/>
      <c r="B215" s="478"/>
      <c r="C215" s="471"/>
      <c r="D215" s="472"/>
      <c r="E215" s="473"/>
      <c r="F215" s="460"/>
      <c r="G215" s="482"/>
      <c r="H215" s="261"/>
    </row>
    <row r="216">
      <c r="A216" s="262" t="s">
        <v>1446</v>
      </c>
      <c r="B216" s="425">
        <v>64199.71</v>
      </c>
      <c r="C216" s="445"/>
      <c r="D216" s="421"/>
      <c r="E216" s="422"/>
      <c r="F216" s="403"/>
      <c r="G216" s="398" t="s">
        <v>82</v>
      </c>
      <c r="H216" s="245">
        <v>350.0</v>
      </c>
    </row>
    <row r="217">
      <c r="A217" s="265"/>
      <c r="B217" s="247">
        <v>158800.0</v>
      </c>
      <c r="C217" s="248"/>
      <c r="D217" s="249"/>
      <c r="E217" s="2" t="s">
        <v>1649</v>
      </c>
      <c r="F217" s="250"/>
      <c r="G217" s="254" t="s">
        <v>893</v>
      </c>
      <c r="H217" s="267"/>
    </row>
    <row r="218">
      <c r="A218" s="265"/>
      <c r="B218" s="404">
        <v>101192.65</v>
      </c>
      <c r="C218" s="405"/>
      <c r="D218" s="399"/>
      <c r="E218" s="398" t="s">
        <v>328</v>
      </c>
      <c r="F218" s="284"/>
      <c r="G218" s="285" t="s">
        <v>1650</v>
      </c>
      <c r="H218" s="251"/>
      <c r="I218" s="2" t="s">
        <v>1651</v>
      </c>
    </row>
    <row r="219">
      <c r="A219" s="265"/>
      <c r="B219" s="419">
        <v>144000.0</v>
      </c>
      <c r="C219" s="427"/>
      <c r="D219" s="414"/>
      <c r="E219" s="417" t="s">
        <v>306</v>
      </c>
      <c r="F219" s="418"/>
      <c r="G219" s="420" t="s">
        <v>75</v>
      </c>
      <c r="H219" s="251"/>
      <c r="I219" s="2" t="s">
        <v>1652</v>
      </c>
    </row>
    <row r="220">
      <c r="A220" s="265"/>
      <c r="B220" s="419"/>
      <c r="C220" s="434"/>
      <c r="D220" s="414"/>
      <c r="E220" s="417"/>
      <c r="F220" s="418"/>
      <c r="G220" s="420"/>
      <c r="H220" s="267"/>
      <c r="I220" s="2">
        <v>487807.35</v>
      </c>
      <c r="J220" s="2" t="s">
        <v>28</v>
      </c>
    </row>
    <row r="221">
      <c r="A221" s="265"/>
      <c r="B221" s="404"/>
      <c r="C221" s="405"/>
      <c r="D221" s="399"/>
      <c r="E221" s="398"/>
      <c r="F221" s="284"/>
      <c r="G221" s="285"/>
      <c r="H221" s="267"/>
      <c r="I221" s="2">
        <v>100000.0</v>
      </c>
      <c r="J221" s="318">
        <v>45661.0</v>
      </c>
    </row>
    <row r="222">
      <c r="A222" s="265"/>
      <c r="B222" s="404"/>
      <c r="C222" s="424"/>
      <c r="D222" s="400"/>
      <c r="E222" s="512"/>
      <c r="F222" s="513"/>
      <c r="G222" s="285"/>
      <c r="H222" s="251"/>
      <c r="I222" s="2">
        <v>61000.0</v>
      </c>
      <c r="J222" s="318">
        <v>45689.0</v>
      </c>
    </row>
    <row r="223">
      <c r="A223" s="265"/>
      <c r="B223" s="404"/>
      <c r="C223" s="424"/>
      <c r="D223" s="400"/>
      <c r="E223" s="442"/>
      <c r="F223" s="284"/>
      <c r="G223" s="285"/>
      <c r="H223" s="251"/>
      <c r="I223" s="2">
        <v>101350.0</v>
      </c>
      <c r="J223" s="318">
        <v>45698.0</v>
      </c>
    </row>
    <row r="224">
      <c r="A224" s="265"/>
      <c r="B224" s="480"/>
      <c r="C224" s="424"/>
      <c r="D224" s="400"/>
      <c r="E224" s="442"/>
      <c r="F224" s="284"/>
      <c r="G224" s="285"/>
      <c r="H224" s="251"/>
      <c r="I224" s="2">
        <v>100000.0</v>
      </c>
      <c r="J224" s="318">
        <v>45702.0</v>
      </c>
    </row>
    <row r="225">
      <c r="A225" s="265"/>
      <c r="B225" s="480"/>
      <c r="C225" s="424"/>
      <c r="D225" s="400"/>
      <c r="E225" s="442"/>
      <c r="F225" s="284"/>
      <c r="G225" s="481"/>
      <c r="H225" s="251"/>
      <c r="I225" s="2">
        <v>110000.0</v>
      </c>
      <c r="J225" s="318">
        <v>45708.0</v>
      </c>
    </row>
    <row r="226">
      <c r="A226" s="265"/>
      <c r="B226" s="480"/>
      <c r="C226" s="424"/>
      <c r="D226" s="400"/>
      <c r="E226" s="442"/>
      <c r="F226" s="284"/>
      <c r="G226" s="481"/>
      <c r="H226" s="251"/>
    </row>
    <row r="227">
      <c r="A227" s="270"/>
      <c r="B227" s="478"/>
      <c r="C227" s="471"/>
      <c r="D227" s="472"/>
      <c r="E227" s="473"/>
      <c r="F227" s="460"/>
      <c r="G227" s="482"/>
      <c r="H227" s="261"/>
      <c r="I227">
        <f>I220-I221-I222-I223-I224-I225</f>
        <v>15457.35</v>
      </c>
      <c r="J227" s="2" t="s">
        <v>1653</v>
      </c>
      <c r="K227" s="417" t="s">
        <v>1654</v>
      </c>
    </row>
    <row r="228">
      <c r="A228" s="262" t="s">
        <v>1451</v>
      </c>
      <c r="B228" s="425">
        <v>48400.0</v>
      </c>
      <c r="C228" s="426"/>
      <c r="D228" s="421"/>
      <c r="E228" s="402"/>
      <c r="F228" s="403"/>
      <c r="G228" s="436" t="s">
        <v>1655</v>
      </c>
      <c r="H228" s="245">
        <v>350.0</v>
      </c>
      <c r="I228" s="2" t="s">
        <v>1656</v>
      </c>
    </row>
    <row r="229">
      <c r="A229" s="265"/>
      <c r="B229" s="419"/>
      <c r="C229" s="427"/>
      <c r="D229" s="414"/>
      <c r="E229" s="417"/>
      <c r="F229" s="418"/>
      <c r="G229" s="420"/>
      <c r="H229" s="251"/>
    </row>
    <row r="230">
      <c r="A230" s="265"/>
      <c r="B230" s="404"/>
      <c r="C230" s="427"/>
      <c r="D230" s="399"/>
      <c r="E230" s="398"/>
      <c r="F230" s="284"/>
      <c r="G230" s="285"/>
      <c r="H230" s="267"/>
      <c r="I230" s="2">
        <v>-101355.0</v>
      </c>
      <c r="J230" s="318">
        <v>45709.0</v>
      </c>
    </row>
    <row r="231">
      <c r="A231" s="265"/>
      <c r="B231" s="419"/>
      <c r="C231" s="427"/>
      <c r="D231" s="414"/>
      <c r="E231" s="417"/>
      <c r="F231" s="418"/>
      <c r="G231" s="420"/>
      <c r="H231" s="267"/>
      <c r="I231" s="2">
        <v>-60000.0</v>
      </c>
      <c r="J231" s="318">
        <v>45714.0</v>
      </c>
    </row>
    <row r="232">
      <c r="A232" s="265"/>
      <c r="B232" s="419"/>
      <c r="C232" s="427"/>
      <c r="D232" s="414"/>
      <c r="E232" s="417"/>
      <c r="F232" s="418"/>
      <c r="G232" s="420"/>
      <c r="H232" s="251"/>
    </row>
    <row r="233">
      <c r="A233" s="265"/>
      <c r="B233" s="404"/>
      <c r="C233" s="405"/>
      <c r="D233" s="399"/>
      <c r="E233" s="442"/>
      <c r="F233" s="284"/>
      <c r="G233" s="285"/>
      <c r="H233" s="251"/>
    </row>
    <row r="234">
      <c r="A234" s="265"/>
      <c r="B234" s="404"/>
      <c r="C234" s="424"/>
      <c r="D234" s="399"/>
      <c r="E234" s="442"/>
      <c r="F234" s="284"/>
      <c r="G234" s="285"/>
      <c r="H234" s="251"/>
    </row>
    <row r="235">
      <c r="A235" s="265"/>
      <c r="B235" s="404"/>
      <c r="C235" s="405"/>
      <c r="D235" s="400"/>
      <c r="E235" s="442"/>
      <c r="F235" s="284"/>
      <c r="G235" s="285"/>
      <c r="H235" s="267"/>
    </row>
    <row r="236">
      <c r="A236" s="265"/>
      <c r="B236" s="404"/>
      <c r="C236" s="424"/>
      <c r="D236" s="400"/>
      <c r="E236" s="442"/>
      <c r="F236" s="284"/>
      <c r="G236" s="285"/>
      <c r="H236" s="251"/>
    </row>
    <row r="237">
      <c r="A237" s="265"/>
      <c r="B237" s="404"/>
      <c r="C237" s="424"/>
      <c r="D237" s="399"/>
      <c r="E237" s="398"/>
      <c r="F237" s="284"/>
      <c r="G237" s="285"/>
      <c r="H237" s="251"/>
    </row>
    <row r="238">
      <c r="A238" s="265"/>
      <c r="B238" s="404"/>
      <c r="C238" s="424"/>
      <c r="D238" s="399"/>
      <c r="E238" s="442"/>
      <c r="F238" s="284"/>
      <c r="G238" s="285"/>
      <c r="H238" s="267"/>
    </row>
    <row r="239">
      <c r="A239" s="265"/>
      <c r="B239" s="477"/>
      <c r="C239" s="424"/>
      <c r="D239" s="399"/>
      <c r="E239" s="442"/>
      <c r="F239" s="284"/>
      <c r="G239" s="285"/>
      <c r="H239" s="251"/>
    </row>
    <row r="240">
      <c r="A240" s="265"/>
      <c r="B240" s="477"/>
      <c r="C240" s="424"/>
      <c r="D240" s="400"/>
      <c r="E240" s="442"/>
      <c r="F240" s="284"/>
      <c r="G240" s="285"/>
      <c r="H240" s="251"/>
    </row>
    <row r="241">
      <c r="A241" s="265"/>
      <c r="B241" s="477"/>
      <c r="C241" s="424"/>
      <c r="D241" s="400"/>
      <c r="E241" s="442"/>
      <c r="F241" s="284"/>
      <c r="G241" s="285"/>
      <c r="H241" s="251"/>
    </row>
    <row r="242">
      <c r="A242" s="270"/>
      <c r="B242" s="478"/>
      <c r="C242" s="471"/>
      <c r="D242" s="472"/>
      <c r="E242" s="473"/>
      <c r="F242" s="474"/>
      <c r="G242" s="475"/>
      <c r="H242" s="261"/>
    </row>
    <row r="243">
      <c r="A243" s="262" t="s">
        <v>1453</v>
      </c>
      <c r="B243" s="425">
        <v>63629.16</v>
      </c>
      <c r="C243" s="426"/>
      <c r="D243" s="399"/>
      <c r="E243" s="398"/>
      <c r="F243" s="284"/>
      <c r="G243" s="285" t="s">
        <v>58</v>
      </c>
      <c r="H243" s="245"/>
    </row>
    <row r="244">
      <c r="A244" s="265"/>
      <c r="B244" s="404">
        <v>70664.0</v>
      </c>
      <c r="C244" s="405"/>
      <c r="D244" s="399"/>
      <c r="E244" s="398" t="s">
        <v>328</v>
      </c>
      <c r="F244" s="284"/>
      <c r="G244" s="420" t="s">
        <v>1657</v>
      </c>
      <c r="H244" s="267"/>
    </row>
    <row r="245">
      <c r="A245" s="265"/>
      <c r="B245" s="404"/>
      <c r="C245" s="405"/>
      <c r="D245" s="399"/>
      <c r="E245" s="398"/>
      <c r="F245" s="284">
        <v>4680.0</v>
      </c>
      <c r="G245" s="285" t="s">
        <v>97</v>
      </c>
      <c r="H245" s="251"/>
    </row>
    <row r="246">
      <c r="A246" s="265"/>
      <c r="B246" s="404">
        <v>143830.36</v>
      </c>
      <c r="C246" s="405"/>
      <c r="D246" s="399"/>
      <c r="E246" s="398" t="s">
        <v>328</v>
      </c>
      <c r="F246" s="284"/>
      <c r="G246" s="285" t="s">
        <v>1522</v>
      </c>
      <c r="H246" s="251"/>
    </row>
    <row r="247">
      <c r="A247" s="265"/>
      <c r="B247" s="404"/>
      <c r="C247" s="405"/>
      <c r="D247" s="399"/>
      <c r="E247" s="398"/>
      <c r="F247" s="284"/>
      <c r="G247" s="285"/>
      <c r="H247" s="251"/>
    </row>
    <row r="248">
      <c r="A248" s="265"/>
      <c r="B248" s="404"/>
      <c r="C248" s="405"/>
      <c r="D248" s="399"/>
      <c r="E248" s="442"/>
      <c r="F248" s="284"/>
      <c r="G248" s="285"/>
      <c r="H248" s="251"/>
    </row>
    <row r="249">
      <c r="A249" s="265"/>
      <c r="B249" s="404"/>
      <c r="C249" s="405"/>
      <c r="D249" s="399"/>
      <c r="E249" s="442"/>
      <c r="F249" s="284"/>
      <c r="G249" s="285"/>
      <c r="H249" s="267"/>
    </row>
    <row r="250">
      <c r="A250" s="265"/>
      <c r="B250" s="404"/>
      <c r="C250" s="405"/>
      <c r="D250" s="399"/>
      <c r="E250" s="442"/>
      <c r="F250" s="284"/>
      <c r="G250" s="285"/>
      <c r="H250" s="267"/>
    </row>
    <row r="251">
      <c r="A251" s="265"/>
      <c r="B251" s="404"/>
      <c r="C251" s="424"/>
      <c r="D251" s="399"/>
      <c r="E251" s="442"/>
      <c r="F251" s="284"/>
      <c r="G251" s="285"/>
      <c r="H251" s="267"/>
    </row>
    <row r="252">
      <c r="A252" s="265"/>
      <c r="B252" s="404"/>
      <c r="C252" s="424"/>
      <c r="D252" s="489"/>
      <c r="E252" s="490"/>
      <c r="F252" s="451"/>
      <c r="G252" s="435"/>
      <c r="H252" s="251"/>
    </row>
    <row r="253">
      <c r="A253" s="265"/>
      <c r="B253" s="404"/>
      <c r="C253" s="424"/>
      <c r="D253" s="400"/>
      <c r="E253" s="442"/>
      <c r="F253" s="284"/>
      <c r="G253" s="285"/>
      <c r="H253" s="251"/>
    </row>
    <row r="254">
      <c r="A254" s="265"/>
      <c r="B254" s="477"/>
      <c r="C254" s="424"/>
      <c r="D254" s="400"/>
      <c r="E254" s="442"/>
      <c r="F254" s="284"/>
      <c r="G254" s="481"/>
      <c r="H254" s="251"/>
    </row>
    <row r="255">
      <c r="A255" s="270"/>
      <c r="B255" s="478"/>
      <c r="C255" s="471"/>
      <c r="D255" s="472"/>
      <c r="E255" s="473"/>
      <c r="F255" s="474"/>
      <c r="G255" s="475"/>
      <c r="H255" s="261"/>
    </row>
    <row r="256">
      <c r="A256" s="262" t="s">
        <v>1658</v>
      </c>
      <c r="B256" s="461"/>
      <c r="C256" s="445"/>
      <c r="D256" s="414"/>
      <c r="E256" s="417"/>
      <c r="F256" s="418"/>
      <c r="G256" s="420"/>
      <c r="H256" s="245">
        <v>243.0</v>
      </c>
    </row>
    <row r="257">
      <c r="A257" s="265"/>
      <c r="B257" s="404"/>
      <c r="C257" s="405"/>
      <c r="D257" s="399"/>
      <c r="E257" s="398"/>
      <c r="F257" s="284"/>
      <c r="G257" s="285"/>
      <c r="H257" s="267"/>
      <c r="I257" s="417"/>
    </row>
    <row r="258">
      <c r="A258" s="265"/>
      <c r="B258" s="404"/>
      <c r="C258" s="405"/>
      <c r="D258" s="399"/>
      <c r="E258" s="442"/>
      <c r="F258" s="284"/>
      <c r="G258" s="285"/>
      <c r="H258" s="267"/>
    </row>
    <row r="259">
      <c r="A259" s="265"/>
      <c r="B259" s="404"/>
      <c r="C259" s="405"/>
      <c r="D259" s="414"/>
      <c r="E259" s="417"/>
      <c r="F259" s="284"/>
      <c r="G259" s="285"/>
      <c r="H259" s="251"/>
      <c r="I259" s="417"/>
    </row>
    <row r="260">
      <c r="A260" s="265"/>
      <c r="B260" s="404"/>
      <c r="C260" s="405"/>
      <c r="D260" s="414"/>
      <c r="E260" s="417"/>
      <c r="F260" s="284"/>
      <c r="G260" s="285"/>
      <c r="H260" s="251"/>
    </row>
    <row r="261">
      <c r="A261" s="265"/>
      <c r="B261" s="404"/>
      <c r="C261" s="405"/>
      <c r="D261" s="399"/>
      <c r="E261" s="398"/>
      <c r="F261" s="284"/>
      <c r="G261" s="285"/>
      <c r="H261" s="251"/>
    </row>
    <row r="262">
      <c r="A262" s="265"/>
      <c r="B262" s="419"/>
      <c r="C262" s="427"/>
      <c r="D262" s="414"/>
      <c r="E262" s="417"/>
      <c r="F262" s="418"/>
      <c r="G262" s="420"/>
      <c r="H262" s="251"/>
      <c r="I262" s="4"/>
    </row>
    <row r="263">
      <c r="A263" s="265"/>
      <c r="B263" s="404"/>
      <c r="C263" s="405"/>
      <c r="D263" s="399"/>
      <c r="E263" s="442"/>
      <c r="F263" s="284"/>
      <c r="G263" s="285"/>
      <c r="H263" s="251"/>
      <c r="I263" s="4"/>
      <c r="J263" s="4"/>
      <c r="K263" s="4"/>
    </row>
    <row r="264">
      <c r="A264" s="265"/>
      <c r="B264" s="404"/>
      <c r="C264" s="424"/>
      <c r="D264" s="399"/>
      <c r="E264" s="442"/>
      <c r="F264" s="284"/>
      <c r="G264" s="285"/>
      <c r="H264" s="251"/>
    </row>
    <row r="265">
      <c r="A265" s="265"/>
      <c r="B265" s="404"/>
      <c r="C265" s="424"/>
      <c r="D265" s="399"/>
      <c r="E265" s="442"/>
      <c r="F265" s="284"/>
      <c r="G265" s="285"/>
      <c r="H265" s="251"/>
    </row>
    <row r="266">
      <c r="A266" s="265"/>
      <c r="B266" s="404"/>
      <c r="C266" s="424"/>
      <c r="D266" s="400"/>
      <c r="E266" s="442"/>
      <c r="F266" s="284"/>
      <c r="G266" s="285"/>
      <c r="H266" s="251"/>
    </row>
    <row r="267">
      <c r="A267" s="265"/>
      <c r="B267" s="477"/>
      <c r="C267" s="424"/>
      <c r="D267" s="400"/>
      <c r="E267" s="442"/>
      <c r="F267" s="284"/>
      <c r="G267" s="285"/>
      <c r="H267" s="251"/>
    </row>
    <row r="268">
      <c r="A268" s="265"/>
      <c r="B268" s="477"/>
      <c r="C268" s="424"/>
      <c r="D268" s="400"/>
      <c r="E268" s="442"/>
      <c r="F268" s="284"/>
      <c r="G268" s="285"/>
      <c r="H268" s="251"/>
    </row>
    <row r="269">
      <c r="A269" s="265"/>
      <c r="B269" s="480"/>
      <c r="C269" s="424"/>
      <c r="D269" s="400"/>
      <c r="E269" s="442"/>
      <c r="F269" s="284"/>
      <c r="G269" s="285"/>
      <c r="H269" s="251"/>
    </row>
    <row r="270">
      <c r="A270" s="265"/>
      <c r="B270" s="480"/>
      <c r="C270" s="424"/>
      <c r="D270" s="400"/>
      <c r="E270" s="442"/>
      <c r="F270" s="463"/>
      <c r="G270" s="481"/>
      <c r="H270" s="251"/>
    </row>
    <row r="271">
      <c r="A271" s="270"/>
      <c r="B271" s="478"/>
      <c r="C271" s="471"/>
      <c r="D271" s="472"/>
      <c r="E271" s="473"/>
      <c r="F271" s="460"/>
      <c r="G271" s="482"/>
      <c r="H271" s="261"/>
    </row>
    <row r="272">
      <c r="A272" s="262" t="s">
        <v>1458</v>
      </c>
      <c r="B272" s="425"/>
      <c r="C272" s="426"/>
      <c r="D272" s="401"/>
      <c r="E272" s="402"/>
      <c r="F272" s="403">
        <v>2700.0</v>
      </c>
      <c r="G272" s="436" t="s">
        <v>1099</v>
      </c>
      <c r="H272" s="245">
        <f>270+21</f>
        <v>291</v>
      </c>
    </row>
    <row r="273">
      <c r="A273" s="265"/>
      <c r="B273" s="404"/>
      <c r="C273" s="405"/>
      <c r="D273" s="399"/>
      <c r="E273" s="398"/>
      <c r="F273" s="284">
        <v>5000.0</v>
      </c>
      <c r="G273" s="285" t="s">
        <v>85</v>
      </c>
      <c r="H273" s="267"/>
    </row>
    <row r="274">
      <c r="A274" s="265"/>
      <c r="B274" s="404">
        <v>67646.0</v>
      </c>
      <c r="C274" s="427"/>
      <c r="D274" s="414"/>
      <c r="E274" s="417"/>
      <c r="F274" s="284"/>
      <c r="G274" s="285" t="s">
        <v>82</v>
      </c>
      <c r="H274" s="251"/>
    </row>
    <row r="275">
      <c r="A275" s="265"/>
      <c r="B275" s="419">
        <f>104500-4000</f>
        <v>100500</v>
      </c>
      <c r="C275" s="427"/>
      <c r="D275" s="414"/>
      <c r="E275" s="417" t="s">
        <v>306</v>
      </c>
      <c r="F275" s="418"/>
      <c r="G275" s="420" t="s">
        <v>1659</v>
      </c>
      <c r="H275" s="251"/>
    </row>
    <row r="276">
      <c r="A276" s="265"/>
      <c r="B276" s="404">
        <v>129984.13</v>
      </c>
      <c r="C276" s="424"/>
      <c r="D276" s="399"/>
      <c r="E276" s="398" t="s">
        <v>328</v>
      </c>
      <c r="F276" s="284"/>
      <c r="G276" s="285" t="s">
        <v>1660</v>
      </c>
      <c r="H276" s="251"/>
    </row>
    <row r="277">
      <c r="A277" s="265"/>
      <c r="B277" s="404">
        <v>57000.0</v>
      </c>
      <c r="C277" s="405"/>
      <c r="D277" s="399"/>
      <c r="E277" s="398"/>
      <c r="F277" s="284"/>
      <c r="G277" s="285" t="s">
        <v>1661</v>
      </c>
      <c r="H277" s="267"/>
    </row>
    <row r="278">
      <c r="A278" s="265"/>
      <c r="B278" s="419"/>
      <c r="C278" s="427"/>
      <c r="D278" s="414"/>
      <c r="E278" s="417"/>
      <c r="F278" s="418"/>
      <c r="G278" s="420"/>
      <c r="H278" s="267"/>
    </row>
    <row r="279">
      <c r="A279" s="265"/>
      <c r="B279" s="404"/>
      <c r="C279" s="405"/>
      <c r="D279" s="399"/>
      <c r="E279" s="398"/>
      <c r="F279" s="284"/>
      <c r="G279" s="285"/>
      <c r="H279" s="267"/>
    </row>
    <row r="280">
      <c r="A280" s="265"/>
      <c r="B280" s="404"/>
      <c r="C280" s="424"/>
      <c r="D280" s="399"/>
      <c r="E280" s="398"/>
      <c r="F280" s="284"/>
      <c r="G280" s="285"/>
      <c r="H280" s="267"/>
    </row>
    <row r="281">
      <c r="A281" s="265"/>
      <c r="B281" s="477"/>
      <c r="C281" s="424"/>
      <c r="D281" s="399"/>
      <c r="E281" s="442"/>
      <c r="F281" s="284"/>
      <c r="G281" s="285"/>
      <c r="H281" s="267"/>
    </row>
    <row r="282">
      <c r="A282" s="265"/>
      <c r="B282" s="477"/>
      <c r="C282" s="424"/>
      <c r="D282" s="400"/>
      <c r="E282" s="442"/>
      <c r="F282" s="284"/>
      <c r="G282" s="285"/>
      <c r="H282" s="251"/>
    </row>
    <row r="283">
      <c r="A283" s="265"/>
      <c r="B283" s="477"/>
      <c r="C283" s="424"/>
      <c r="D283" s="400"/>
      <c r="E283" s="442"/>
      <c r="F283" s="284"/>
      <c r="G283" s="285"/>
      <c r="H283" s="251"/>
    </row>
    <row r="284">
      <c r="A284" s="265"/>
      <c r="B284" s="477"/>
      <c r="C284" s="424"/>
      <c r="D284" s="400"/>
      <c r="E284" s="442"/>
      <c r="F284" s="284"/>
      <c r="G284" s="285"/>
      <c r="H284" s="251"/>
    </row>
    <row r="285">
      <c r="A285" s="265"/>
      <c r="B285" s="477"/>
      <c r="C285" s="424"/>
      <c r="D285" s="400"/>
      <c r="E285" s="442"/>
      <c r="F285" s="284"/>
      <c r="G285" s="481"/>
      <c r="H285" s="251"/>
    </row>
    <row r="286">
      <c r="A286" s="270"/>
      <c r="B286" s="478"/>
      <c r="C286" s="471"/>
      <c r="D286" s="472"/>
      <c r="E286" s="473"/>
      <c r="F286" s="460"/>
      <c r="G286" s="482"/>
      <c r="H286" s="261"/>
    </row>
    <row r="287">
      <c r="A287" s="262" t="s">
        <v>1459</v>
      </c>
      <c r="B287" s="425">
        <v>128850.71</v>
      </c>
      <c r="C287" s="426"/>
      <c r="D287" s="401"/>
      <c r="E287" s="402" t="s">
        <v>328</v>
      </c>
      <c r="F287" s="284"/>
      <c r="G287" s="285" t="s">
        <v>74</v>
      </c>
      <c r="H287" s="245">
        <v>144.0</v>
      </c>
    </row>
    <row r="288">
      <c r="A288" s="265"/>
      <c r="B288" s="404">
        <v>191236.83</v>
      </c>
      <c r="C288" s="405"/>
      <c r="D288" s="399"/>
      <c r="E288" s="398" t="s">
        <v>328</v>
      </c>
      <c r="F288" s="284"/>
      <c r="G288" s="285" t="s">
        <v>73</v>
      </c>
      <c r="H288" s="267"/>
    </row>
    <row r="289">
      <c r="A289" s="265"/>
      <c r="B289" s="404">
        <v>78162.03</v>
      </c>
      <c r="C289" s="405"/>
      <c r="D289" s="399"/>
      <c r="E289" s="398" t="s">
        <v>328</v>
      </c>
      <c r="F289" s="284"/>
      <c r="G289" s="285" t="s">
        <v>1662</v>
      </c>
      <c r="H289" s="251"/>
      <c r="I289" s="491"/>
    </row>
    <row r="290">
      <c r="A290" s="265"/>
      <c r="B290" s="419"/>
      <c r="C290" s="427"/>
      <c r="D290" s="414"/>
      <c r="E290" s="417"/>
      <c r="F290" s="418"/>
      <c r="G290" s="420"/>
      <c r="H290" s="251"/>
    </row>
    <row r="291">
      <c r="A291" s="265"/>
      <c r="B291" s="404">
        <v>65488.1</v>
      </c>
      <c r="C291" s="405"/>
      <c r="D291" s="399"/>
      <c r="E291" s="398" t="s">
        <v>328</v>
      </c>
      <c r="F291" s="284"/>
      <c r="G291" s="285" t="s">
        <v>114</v>
      </c>
      <c r="H291" s="267"/>
    </row>
    <row r="292">
      <c r="A292" s="265"/>
      <c r="B292" s="404"/>
      <c r="C292" s="405"/>
      <c r="D292" s="399"/>
      <c r="E292" s="442"/>
      <c r="F292" s="284"/>
      <c r="G292" s="285"/>
      <c r="H292" s="267"/>
    </row>
    <row r="293">
      <c r="A293" s="265"/>
      <c r="B293" s="404"/>
      <c r="C293" s="424"/>
      <c r="D293" s="399"/>
      <c r="E293" s="398"/>
      <c r="F293" s="284"/>
      <c r="G293" s="285"/>
      <c r="H293" s="251"/>
    </row>
    <row r="294">
      <c r="A294" s="265"/>
      <c r="B294" s="419"/>
      <c r="C294" s="427"/>
      <c r="D294" s="414"/>
      <c r="E294" s="417"/>
      <c r="F294" s="418"/>
      <c r="G294" s="420"/>
      <c r="H294" s="251"/>
    </row>
    <row r="295">
      <c r="A295" s="265"/>
      <c r="B295" s="477"/>
      <c r="C295" s="424"/>
      <c r="D295" s="400"/>
      <c r="E295" s="442"/>
      <c r="F295" s="284"/>
      <c r="G295" s="285"/>
      <c r="H295" s="251"/>
    </row>
    <row r="296">
      <c r="A296" s="265"/>
      <c r="B296" s="477"/>
      <c r="C296" s="424"/>
      <c r="D296" s="400"/>
      <c r="E296" s="442"/>
      <c r="F296" s="284"/>
      <c r="G296" s="285"/>
      <c r="H296" s="251"/>
    </row>
    <row r="297">
      <c r="A297" s="265"/>
      <c r="B297" s="404"/>
      <c r="C297" s="424"/>
      <c r="D297" s="400"/>
      <c r="E297" s="442"/>
      <c r="F297" s="284"/>
      <c r="G297" s="285"/>
      <c r="H297" s="251"/>
    </row>
    <row r="298">
      <c r="A298" s="265"/>
      <c r="B298" s="404"/>
      <c r="C298" s="424"/>
      <c r="D298" s="400"/>
      <c r="E298" s="442"/>
      <c r="F298" s="284"/>
      <c r="G298" s="285"/>
      <c r="H298" s="251"/>
    </row>
    <row r="299">
      <c r="A299" s="265"/>
      <c r="B299" s="477"/>
      <c r="C299" s="424"/>
      <c r="D299" s="400"/>
      <c r="E299" s="442"/>
      <c r="F299" s="284"/>
      <c r="G299" s="285"/>
      <c r="H299" s="251"/>
    </row>
    <row r="300">
      <c r="A300" s="265"/>
      <c r="B300" s="477"/>
      <c r="C300" s="424"/>
      <c r="D300" s="400"/>
      <c r="E300" s="442"/>
      <c r="F300" s="284"/>
      <c r="G300" s="481"/>
      <c r="H300" s="251"/>
    </row>
    <row r="301">
      <c r="A301" s="270"/>
      <c r="B301" s="478"/>
      <c r="C301" s="471"/>
      <c r="D301" s="472"/>
      <c r="E301" s="473"/>
      <c r="F301" s="460"/>
      <c r="G301" s="473"/>
      <c r="H301" s="261"/>
    </row>
    <row r="302">
      <c r="A302" s="262" t="s">
        <v>1463</v>
      </c>
      <c r="B302" s="425"/>
      <c r="C302" s="426"/>
      <c r="D302" s="401"/>
      <c r="E302" s="402"/>
      <c r="F302" s="403"/>
      <c r="G302" s="402"/>
      <c r="H302" s="245"/>
    </row>
    <row r="303">
      <c r="A303" s="265"/>
      <c r="B303" s="404"/>
      <c r="C303" s="405"/>
      <c r="D303" s="399"/>
      <c r="E303" s="398"/>
      <c r="F303" s="284"/>
      <c r="G303" s="398"/>
      <c r="H303" s="267"/>
    </row>
    <row r="304">
      <c r="A304" s="265"/>
      <c r="B304" s="419"/>
      <c r="C304" s="427"/>
      <c r="D304" s="414"/>
      <c r="E304" s="417"/>
      <c r="F304" s="418"/>
      <c r="G304" s="417"/>
      <c r="H304" s="251"/>
    </row>
    <row r="305">
      <c r="A305" s="265"/>
      <c r="B305" s="419"/>
      <c r="C305" s="427"/>
      <c r="D305" s="414"/>
      <c r="E305" s="417"/>
      <c r="F305" s="418"/>
      <c r="G305" s="417"/>
      <c r="H305" s="251"/>
    </row>
    <row r="306">
      <c r="A306" s="265"/>
      <c r="B306" s="404"/>
      <c r="C306" s="405"/>
      <c r="D306" s="399"/>
      <c r="E306" s="398"/>
      <c r="F306" s="284"/>
      <c r="G306" s="398"/>
      <c r="H306" s="251"/>
    </row>
    <row r="307">
      <c r="A307" s="265"/>
      <c r="B307" s="419"/>
      <c r="C307" s="427"/>
      <c r="D307" s="414"/>
      <c r="E307" s="417"/>
      <c r="F307" s="418"/>
      <c r="G307" s="417"/>
      <c r="H307" s="251"/>
    </row>
    <row r="308">
      <c r="A308" s="265"/>
      <c r="B308" s="419"/>
      <c r="C308" s="427"/>
      <c r="D308" s="414"/>
      <c r="E308" s="417"/>
      <c r="F308" s="418"/>
      <c r="G308" s="417"/>
      <c r="H308" s="251"/>
    </row>
    <row r="309">
      <c r="A309" s="265"/>
      <c r="B309" s="419"/>
      <c r="C309" s="434"/>
      <c r="D309" s="414"/>
      <c r="E309" s="417"/>
      <c r="F309" s="418"/>
      <c r="G309" s="417"/>
      <c r="H309" s="251"/>
    </row>
    <row r="310">
      <c r="A310" s="265"/>
      <c r="B310" s="419"/>
      <c r="C310" s="434"/>
      <c r="D310" s="523"/>
      <c r="E310" s="417"/>
      <c r="F310" s="418"/>
      <c r="G310" s="417"/>
      <c r="H310" s="251"/>
    </row>
    <row r="311">
      <c r="A311" s="265"/>
      <c r="B311" s="404"/>
      <c r="C311" s="424"/>
      <c r="D311" s="399"/>
      <c r="E311" s="442"/>
      <c r="F311" s="284"/>
      <c r="G311" s="442"/>
      <c r="H311" s="251"/>
    </row>
    <row r="312">
      <c r="A312" s="265"/>
      <c r="B312" s="404"/>
      <c r="C312" s="424"/>
      <c r="D312" s="400"/>
      <c r="E312" s="442"/>
      <c r="F312" s="284"/>
      <c r="G312" s="442"/>
      <c r="H312" s="251"/>
    </row>
    <row r="313">
      <c r="A313" s="265"/>
      <c r="B313" s="404"/>
      <c r="C313" s="424"/>
      <c r="D313" s="400"/>
      <c r="E313" s="442"/>
      <c r="F313" s="284"/>
      <c r="G313" s="442"/>
      <c r="H313" s="251"/>
    </row>
    <row r="314">
      <c r="A314" s="265"/>
      <c r="B314" s="404"/>
      <c r="C314" s="424"/>
      <c r="D314" s="399"/>
      <c r="E314" s="442"/>
      <c r="F314" s="284"/>
      <c r="G314" s="442"/>
      <c r="H314" s="251"/>
    </row>
    <row r="315">
      <c r="A315" s="270"/>
      <c r="B315" s="478"/>
      <c r="C315" s="471"/>
      <c r="D315" s="472"/>
      <c r="E315" s="473"/>
      <c r="F315" s="474"/>
      <c r="G315" s="492"/>
      <c r="H315" s="261"/>
    </row>
    <row r="316">
      <c r="A316" s="262" t="s">
        <v>1464</v>
      </c>
      <c r="B316" s="425">
        <v>64500.0</v>
      </c>
      <c r="C316" s="426"/>
      <c r="D316" s="401"/>
      <c r="E316" s="402" t="s">
        <v>328</v>
      </c>
      <c r="F316" s="403"/>
      <c r="G316" s="402" t="s">
        <v>76</v>
      </c>
      <c r="H316" s="245">
        <f>340+30</f>
        <v>370</v>
      </c>
    </row>
    <row r="317">
      <c r="A317" s="265"/>
      <c r="B317" s="404">
        <v>9667.0</v>
      </c>
      <c r="C317" s="405"/>
      <c r="D317" s="399"/>
      <c r="E317" s="398"/>
      <c r="F317" s="284"/>
      <c r="G317" s="398" t="s">
        <v>267</v>
      </c>
      <c r="H317" s="267"/>
    </row>
    <row r="318">
      <c r="A318" s="265"/>
      <c r="B318" s="404"/>
      <c r="C318" s="405"/>
      <c r="D318" s="399"/>
      <c r="E318" s="398"/>
      <c r="F318" s="284">
        <v>1400.0</v>
      </c>
      <c r="G318" s="398" t="s">
        <v>137</v>
      </c>
      <c r="H318" s="267"/>
    </row>
    <row r="319">
      <c r="A319" s="265"/>
      <c r="B319" s="419"/>
      <c r="C319" s="427"/>
      <c r="D319" s="414"/>
      <c r="E319" s="417"/>
      <c r="F319" s="418"/>
      <c r="G319" s="417"/>
      <c r="H319" s="251"/>
    </row>
    <row r="320">
      <c r="A320" s="265"/>
      <c r="B320" s="404"/>
      <c r="C320" s="405"/>
      <c r="D320" s="399"/>
      <c r="E320" s="398"/>
      <c r="F320" s="284"/>
      <c r="G320" s="398"/>
      <c r="H320" s="251"/>
    </row>
    <row r="321">
      <c r="A321" s="265"/>
      <c r="B321" s="404"/>
      <c r="C321" s="424"/>
      <c r="D321" s="399"/>
      <c r="E321" s="398"/>
      <c r="F321" s="284"/>
      <c r="G321" s="398"/>
      <c r="H321" s="251"/>
    </row>
    <row r="322">
      <c r="A322" s="265"/>
      <c r="B322" s="404"/>
      <c r="C322" s="424"/>
      <c r="D322" s="399"/>
      <c r="E322" s="442"/>
      <c r="F322" s="284"/>
      <c r="G322" s="398"/>
      <c r="H322" s="251"/>
    </row>
    <row r="323">
      <c r="A323" s="265"/>
      <c r="B323" s="404"/>
      <c r="C323" s="424"/>
      <c r="D323" s="399"/>
      <c r="E323" s="442"/>
      <c r="F323" s="284"/>
      <c r="G323" s="442"/>
      <c r="H323" s="267"/>
    </row>
    <row r="324">
      <c r="A324" s="265"/>
      <c r="B324" s="404"/>
      <c r="C324" s="424"/>
      <c r="D324" s="399"/>
      <c r="E324" s="442"/>
      <c r="F324" s="284"/>
      <c r="G324" s="442"/>
      <c r="H324" s="251"/>
    </row>
    <row r="325">
      <c r="A325" s="265"/>
      <c r="B325" s="404"/>
      <c r="C325" s="424"/>
      <c r="D325" s="400"/>
      <c r="E325" s="442"/>
      <c r="F325" s="284"/>
      <c r="G325" s="442"/>
      <c r="H325" s="251"/>
    </row>
    <row r="326">
      <c r="A326" s="265"/>
      <c r="B326" s="404"/>
      <c r="C326" s="424"/>
      <c r="D326" s="400"/>
      <c r="E326" s="442"/>
      <c r="F326" s="284"/>
      <c r="G326" s="442"/>
      <c r="H326" s="251"/>
    </row>
    <row r="327">
      <c r="A327" s="265"/>
      <c r="B327" s="404"/>
      <c r="C327" s="424"/>
      <c r="D327" s="400"/>
      <c r="E327" s="442"/>
      <c r="F327" s="284"/>
      <c r="G327" s="442"/>
      <c r="H327" s="251"/>
    </row>
    <row r="328">
      <c r="A328" s="265"/>
      <c r="B328" s="477"/>
      <c r="C328" s="424"/>
      <c r="D328" s="400"/>
      <c r="E328" s="442"/>
      <c r="F328" s="284"/>
      <c r="G328" s="442"/>
      <c r="H328" s="251"/>
    </row>
    <row r="329">
      <c r="A329" s="265"/>
      <c r="B329" s="477"/>
      <c r="C329" s="424"/>
      <c r="D329" s="400"/>
      <c r="E329" s="442"/>
      <c r="F329" s="284"/>
      <c r="G329" s="442"/>
      <c r="H329" s="251"/>
    </row>
    <row r="330">
      <c r="A330" s="265"/>
      <c r="B330" s="477"/>
      <c r="C330" s="424"/>
      <c r="D330" s="400"/>
      <c r="E330" s="442"/>
      <c r="F330" s="284"/>
      <c r="G330" s="442"/>
      <c r="H330" s="251"/>
    </row>
    <row r="331">
      <c r="A331" s="265"/>
      <c r="B331" s="477"/>
      <c r="C331" s="424"/>
      <c r="D331" s="400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70"/>
      <c r="B333" s="478"/>
      <c r="C333" s="471"/>
      <c r="D333" s="472"/>
      <c r="E333" s="473"/>
      <c r="F333" s="460"/>
      <c r="G333" s="473"/>
      <c r="H333" s="261"/>
    </row>
    <row r="334">
      <c r="A334" s="262" t="s">
        <v>1465</v>
      </c>
      <c r="B334" s="461">
        <v>86500.0</v>
      </c>
      <c r="C334" s="445"/>
      <c r="D334" s="421"/>
      <c r="E334" s="422" t="s">
        <v>306</v>
      </c>
      <c r="F334" s="423"/>
      <c r="G334" s="417" t="s">
        <v>662</v>
      </c>
      <c r="H334" s="245">
        <v>250.0</v>
      </c>
    </row>
    <row r="335">
      <c r="A335" s="265"/>
      <c r="B335" s="404">
        <v>19364.94</v>
      </c>
      <c r="C335" s="405"/>
      <c r="D335" s="399"/>
      <c r="E335" s="398"/>
      <c r="F335" s="284"/>
      <c r="G335" s="398" t="s">
        <v>82</v>
      </c>
      <c r="H335" s="267" t="s">
        <v>46</v>
      </c>
    </row>
    <row r="336">
      <c r="A336" s="265"/>
      <c r="B336" s="524">
        <v>185483.67</v>
      </c>
      <c r="C336" s="525"/>
      <c r="D336" s="489"/>
      <c r="E336" s="450" t="s">
        <v>328</v>
      </c>
      <c r="F336" s="451"/>
      <c r="G336" s="450" t="s">
        <v>114</v>
      </c>
      <c r="H336" s="267"/>
    </row>
    <row r="337">
      <c r="A337" s="265"/>
      <c r="B337" s="516">
        <v>43371.39</v>
      </c>
      <c r="C337" s="496"/>
      <c r="D337" s="325"/>
      <c r="E337" s="507"/>
      <c r="F337" s="291"/>
      <c r="G337" s="450" t="s">
        <v>142</v>
      </c>
      <c r="H337" s="251"/>
    </row>
    <row r="338">
      <c r="A338" s="265"/>
      <c r="B338" s="425">
        <v>450846.0</v>
      </c>
      <c r="C338" s="426"/>
      <c r="D338" s="401"/>
      <c r="E338" s="402" t="s">
        <v>328</v>
      </c>
      <c r="F338" s="403"/>
      <c r="G338" s="402" t="s">
        <v>877</v>
      </c>
      <c r="H338" s="251"/>
    </row>
    <row r="339">
      <c r="A339" s="265"/>
      <c r="B339" s="493"/>
      <c r="C339" s="499"/>
      <c r="D339" s="314"/>
      <c r="E339" s="507"/>
      <c r="F339" s="291"/>
      <c r="G339" s="490"/>
      <c r="H339" s="251"/>
    </row>
    <row r="340">
      <c r="A340" s="265"/>
      <c r="B340" s="404"/>
      <c r="C340" s="424"/>
      <c r="D340" s="399"/>
      <c r="E340" s="442"/>
      <c r="F340" s="284"/>
      <c r="G340" s="442"/>
      <c r="H340" s="251"/>
    </row>
    <row r="341">
      <c r="A341" s="265"/>
      <c r="B341" s="477"/>
      <c r="C341" s="424"/>
      <c r="D341" s="399"/>
      <c r="E341" s="442"/>
      <c r="F341" s="284"/>
      <c r="G341" s="442"/>
      <c r="H341" s="251"/>
    </row>
    <row r="342">
      <c r="A342" s="265"/>
      <c r="B342" s="477"/>
      <c r="C342" s="424"/>
      <c r="D342" s="400"/>
      <c r="E342" s="442"/>
      <c r="F342" s="284"/>
      <c r="G342" s="442"/>
      <c r="H342" s="251"/>
    </row>
    <row r="343">
      <c r="A343" s="265"/>
      <c r="B343" s="404"/>
      <c r="C343" s="424"/>
      <c r="D343" s="400"/>
      <c r="E343" s="442"/>
      <c r="F343" s="284"/>
      <c r="G343" s="442"/>
      <c r="H343" s="251"/>
    </row>
    <row r="344">
      <c r="A344" s="265"/>
      <c r="B344" s="477"/>
      <c r="C344" s="424"/>
      <c r="D344" s="400"/>
      <c r="E344" s="442"/>
      <c r="F344" s="284"/>
      <c r="G344" s="442"/>
      <c r="H344" s="251"/>
    </row>
    <row r="345">
      <c r="A345" s="270"/>
      <c r="B345" s="478"/>
      <c r="C345" s="471"/>
      <c r="D345" s="472"/>
      <c r="E345" s="473"/>
      <c r="F345" s="460"/>
      <c r="G345" s="473"/>
      <c r="H345" s="261"/>
    </row>
    <row r="346">
      <c r="A346" s="280" t="s">
        <v>1663</v>
      </c>
      <c r="B346" s="461"/>
      <c r="C346" s="445"/>
      <c r="D346" s="421"/>
      <c r="E346" s="422"/>
      <c r="F346" s="423"/>
      <c r="G346" s="417"/>
      <c r="H346" s="245">
        <v>200.0</v>
      </c>
    </row>
    <row r="347">
      <c r="A347" s="265"/>
      <c r="B347" s="404"/>
      <c r="C347" s="405"/>
      <c r="D347" s="399"/>
      <c r="E347" s="398"/>
      <c r="F347" s="284"/>
      <c r="G347" s="398"/>
      <c r="H347" s="267"/>
    </row>
    <row r="348">
      <c r="A348" s="265"/>
      <c r="B348" s="404"/>
      <c r="C348" s="405"/>
      <c r="D348" s="399"/>
      <c r="E348" s="442"/>
      <c r="F348" s="284"/>
      <c r="G348" s="398"/>
      <c r="H348" s="267"/>
    </row>
    <row r="349">
      <c r="A349" s="265"/>
      <c r="B349" s="419"/>
      <c r="C349" s="427"/>
      <c r="D349" s="414"/>
      <c r="E349" s="417"/>
      <c r="F349" s="418"/>
      <c r="G349" s="417"/>
      <c r="H349" s="267"/>
    </row>
    <row r="350">
      <c r="A350" s="265"/>
      <c r="B350" s="404"/>
      <c r="C350" s="405"/>
      <c r="D350" s="399"/>
      <c r="E350" s="398"/>
      <c r="F350" s="284"/>
      <c r="G350" s="398"/>
      <c r="H350" s="267"/>
    </row>
    <row r="351">
      <c r="A351" s="265"/>
      <c r="B351" s="404"/>
      <c r="C351" s="405"/>
      <c r="D351" s="399"/>
      <c r="E351" s="398"/>
      <c r="F351" s="284"/>
      <c r="G351" s="398"/>
      <c r="H351" s="267"/>
    </row>
    <row r="352">
      <c r="A352" s="265"/>
      <c r="B352" s="404"/>
      <c r="C352" s="405"/>
      <c r="D352" s="399"/>
      <c r="E352" s="398"/>
      <c r="F352" s="284"/>
      <c r="G352" s="398"/>
      <c r="H352" s="267"/>
    </row>
    <row r="353">
      <c r="A353" s="265"/>
      <c r="B353" s="404"/>
      <c r="C353" s="405"/>
      <c r="D353" s="399"/>
      <c r="E353" s="398"/>
      <c r="F353" s="284"/>
      <c r="G353" s="398"/>
      <c r="H353" s="267"/>
    </row>
    <row r="354">
      <c r="A354" s="265"/>
      <c r="B354" s="404"/>
      <c r="C354" s="405"/>
      <c r="D354" s="399"/>
      <c r="E354" s="442"/>
      <c r="F354" s="284"/>
      <c r="G354" s="398"/>
      <c r="H354" s="267"/>
    </row>
    <row r="355">
      <c r="A355" s="265"/>
      <c r="B355" s="404"/>
      <c r="C355" s="405"/>
      <c r="D355" s="399"/>
      <c r="E355" s="442"/>
      <c r="F355" s="284"/>
      <c r="G355" s="398"/>
      <c r="H355" s="267"/>
    </row>
    <row r="356">
      <c r="A356" s="270"/>
      <c r="B356" s="404"/>
      <c r="C356" s="405"/>
      <c r="D356" s="399"/>
      <c r="E356" s="442"/>
      <c r="F356" s="284"/>
      <c r="G356" s="398"/>
      <c r="H356" s="267"/>
    </row>
    <row r="357">
      <c r="A357" s="452"/>
      <c r="B357" s="404"/>
      <c r="C357" s="405"/>
      <c r="D357" s="399"/>
      <c r="E357" s="442"/>
      <c r="F357" s="284"/>
      <c r="G357" s="398"/>
      <c r="H357" s="267"/>
    </row>
    <row r="358">
      <c r="A358" s="280" t="s">
        <v>1474</v>
      </c>
      <c r="B358" s="461"/>
      <c r="C358" s="445"/>
      <c r="D358" s="421"/>
      <c r="E358" s="422"/>
      <c r="F358" s="423"/>
      <c r="G358" s="422"/>
      <c r="H358" s="245">
        <v>390.0</v>
      </c>
    </row>
    <row r="359">
      <c r="A359" s="265"/>
      <c r="B359" s="404">
        <v>57000.0</v>
      </c>
      <c r="C359" s="405"/>
      <c r="D359" s="443"/>
      <c r="E359" s="398"/>
      <c r="F359" s="284"/>
      <c r="G359" s="398" t="s">
        <v>68</v>
      </c>
      <c r="H359" s="267"/>
      <c r="I359" s="417"/>
    </row>
    <row r="360">
      <c r="A360" s="265"/>
      <c r="B360" s="404">
        <v>19364.94</v>
      </c>
      <c r="C360" s="405"/>
      <c r="D360" s="399"/>
      <c r="E360" s="398"/>
      <c r="F360" s="284"/>
      <c r="G360" s="398" t="s">
        <v>82</v>
      </c>
      <c r="H360" s="267"/>
      <c r="I360" s="417"/>
    </row>
    <row r="361">
      <c r="A361" s="265"/>
      <c r="B361" s="419">
        <v>33500.0</v>
      </c>
      <c r="C361" s="434"/>
      <c r="D361" s="414"/>
      <c r="E361" s="417" t="s">
        <v>306</v>
      </c>
      <c r="F361" s="418"/>
      <c r="G361" s="417" t="s">
        <v>75</v>
      </c>
      <c r="H361" s="251"/>
    </row>
    <row r="362">
      <c r="A362" s="265"/>
      <c r="B362" s="404"/>
      <c r="C362" s="424"/>
      <c r="D362" s="399"/>
      <c r="E362" s="398"/>
      <c r="F362" s="284">
        <v>10000.0</v>
      </c>
      <c r="G362" s="398" t="s">
        <v>291</v>
      </c>
      <c r="H362" s="294"/>
    </row>
    <row r="363">
      <c r="A363" s="265"/>
      <c r="B363" s="404">
        <f>159703.99+83890.83</f>
        <v>243594.82</v>
      </c>
      <c r="C363" s="424"/>
      <c r="D363" s="399"/>
      <c r="E363" s="398" t="s">
        <v>328</v>
      </c>
      <c r="F363" s="284"/>
      <c r="G363" s="398" t="s">
        <v>1664</v>
      </c>
      <c r="H363" s="251"/>
    </row>
    <row r="364">
      <c r="A364" s="265"/>
      <c r="B364" s="419"/>
      <c r="C364" s="434"/>
      <c r="D364" s="414"/>
      <c r="E364" s="417"/>
      <c r="F364" s="418"/>
      <c r="G364" s="417"/>
      <c r="H364" s="251"/>
    </row>
    <row r="365">
      <c r="A365" s="265"/>
      <c r="B365" s="477"/>
      <c r="C365" s="424"/>
      <c r="D365" s="399"/>
      <c r="E365" s="442"/>
      <c r="F365" s="284"/>
      <c r="G365" s="398"/>
      <c r="H365" s="267"/>
    </row>
    <row r="366">
      <c r="A366" s="265"/>
      <c r="B366" s="477"/>
      <c r="C366" s="424"/>
      <c r="D366" s="399"/>
      <c r="E366" s="442"/>
      <c r="F366" s="284"/>
      <c r="G366" s="442"/>
      <c r="H366" s="251"/>
    </row>
    <row r="367">
      <c r="A367" s="265"/>
      <c r="B367" s="404"/>
      <c r="C367" s="424"/>
      <c r="D367" s="399"/>
      <c r="E367" s="442"/>
      <c r="F367" s="284"/>
      <c r="G367" s="442"/>
      <c r="H367" s="267"/>
    </row>
    <row r="368">
      <c r="A368" s="270"/>
      <c r="B368" s="478"/>
      <c r="C368" s="471"/>
      <c r="D368" s="462"/>
      <c r="E368" s="473"/>
      <c r="F368" s="460"/>
      <c r="G368" s="492"/>
      <c r="H368" s="261"/>
    </row>
    <row r="369">
      <c r="A369" s="299" t="s">
        <v>1665</v>
      </c>
      <c r="B369" s="440"/>
      <c r="C369" s="424"/>
      <c r="D369" s="462"/>
      <c r="E369" s="442"/>
      <c r="F369" s="463"/>
      <c r="G369" s="398"/>
      <c r="H369" s="267">
        <v>70.0</v>
      </c>
    </row>
    <row r="370">
      <c r="B370" s="480"/>
      <c r="C370" s="405"/>
      <c r="D370" s="522"/>
      <c r="E370" s="417"/>
      <c r="F370" s="432"/>
      <c r="G370" s="417"/>
      <c r="H370" s="251"/>
    </row>
    <row r="371">
      <c r="B371" s="440"/>
      <c r="C371" s="424"/>
      <c r="D371" s="522"/>
      <c r="E371" s="417"/>
      <c r="F371" s="432"/>
      <c r="G371" s="417"/>
      <c r="H371" s="251"/>
    </row>
    <row r="372">
      <c r="B372" s="440"/>
      <c r="C372" s="424"/>
      <c r="D372" s="462"/>
      <c r="E372" s="442"/>
      <c r="F372" s="463"/>
      <c r="G372" s="398"/>
      <c r="H372" s="251"/>
    </row>
    <row r="373">
      <c r="B373" s="518"/>
      <c r="C373" s="434"/>
      <c r="D373" s="522"/>
      <c r="E373" s="417"/>
      <c r="F373" s="432"/>
      <c r="G373" s="417"/>
      <c r="H373" s="251"/>
    </row>
    <row r="374">
      <c r="B374" s="518"/>
      <c r="C374" s="434"/>
      <c r="D374" s="522"/>
      <c r="E374" s="417"/>
      <c r="F374" s="432"/>
      <c r="G374" s="417"/>
      <c r="H374" s="251"/>
    </row>
    <row r="375">
      <c r="B375" s="480"/>
      <c r="C375" s="424"/>
      <c r="D375" s="462"/>
      <c r="E375" s="442"/>
      <c r="F375" s="463"/>
      <c r="G375" s="442"/>
      <c r="H375" s="251"/>
    </row>
    <row r="376">
      <c r="B376" s="480"/>
      <c r="C376" s="424"/>
      <c r="D376" s="462"/>
      <c r="E376" s="442"/>
      <c r="F376" s="463"/>
      <c r="G376" s="442"/>
      <c r="H376" s="251"/>
    </row>
    <row r="377">
      <c r="B377" s="480"/>
      <c r="C377" s="424"/>
      <c r="D377" s="462"/>
      <c r="E377" s="442"/>
      <c r="F377" s="463"/>
      <c r="G377" s="442"/>
      <c r="H377" s="251"/>
    </row>
    <row r="378">
      <c r="B378" s="480"/>
      <c r="C378" s="424"/>
      <c r="D378" s="462"/>
      <c r="E378" s="442"/>
      <c r="F378" s="463"/>
      <c r="G378" s="442"/>
      <c r="H378" s="251"/>
    </row>
    <row r="379">
      <c r="B379" s="480"/>
      <c r="C379" s="424"/>
      <c r="D379" s="462"/>
      <c r="E379" s="442"/>
      <c r="F379" s="463"/>
      <c r="G379" s="442"/>
      <c r="H379" s="251"/>
    </row>
    <row r="380">
      <c r="A380" s="299"/>
      <c r="B380" s="278"/>
      <c r="C380" s="252"/>
      <c r="D380" s="295"/>
      <c r="F380" s="432"/>
      <c r="H380" s="251"/>
    </row>
    <row r="381">
      <c r="A381" s="299"/>
      <c r="B381" s="278"/>
      <c r="C381" s="252"/>
      <c r="D381" s="295"/>
      <c r="F381" s="432"/>
      <c r="G381" s="2"/>
      <c r="H381" s="251"/>
    </row>
    <row r="382">
      <c r="A382" s="280" t="s">
        <v>187</v>
      </c>
      <c r="B382" s="239"/>
      <c r="C382" s="240"/>
      <c r="D382" s="439"/>
      <c r="E382" s="242"/>
      <c r="F382" s="423"/>
      <c r="G382" s="2" t="s">
        <v>188</v>
      </c>
      <c r="H382" s="297"/>
      <c r="I382" s="2" t="s">
        <v>189</v>
      </c>
      <c r="J382" s="2" t="s">
        <v>1565</v>
      </c>
      <c r="K382" s="2" t="s">
        <v>1349</v>
      </c>
    </row>
    <row r="383">
      <c r="A383" s="265"/>
      <c r="B383" s="247"/>
      <c r="C383" s="248"/>
      <c r="D383" s="317"/>
      <c r="E383" s="429"/>
      <c r="F383" s="418"/>
      <c r="G383" s="2" t="s">
        <v>190</v>
      </c>
      <c r="H383" s="294"/>
      <c r="J383" s="2" t="s">
        <v>1566</v>
      </c>
      <c r="K383" s="2" t="s">
        <v>1349</v>
      </c>
    </row>
    <row r="384">
      <c r="A384" s="265"/>
      <c r="B384" s="247"/>
      <c r="C384" s="248"/>
      <c r="D384" s="438">
        <v>113781.82</v>
      </c>
      <c r="F384" s="418"/>
      <c r="G384" s="2" t="s">
        <v>1666</v>
      </c>
      <c r="H384" s="294"/>
      <c r="I384" s="2" t="s">
        <v>1667</v>
      </c>
    </row>
    <row r="385">
      <c r="A385" s="265"/>
      <c r="B385" s="517"/>
      <c r="C385" s="248"/>
      <c r="D385" s="438"/>
      <c r="F385" s="418"/>
      <c r="G385" s="2" t="s">
        <v>191</v>
      </c>
      <c r="H385" s="294"/>
      <c r="J385" s="2" t="s">
        <v>1566</v>
      </c>
      <c r="K385" s="2" t="s">
        <v>1349</v>
      </c>
    </row>
    <row r="386">
      <c r="A386" s="265"/>
      <c r="B386" s="268"/>
      <c r="C386" s="252"/>
      <c r="D386" s="298"/>
      <c r="F386" s="418"/>
      <c r="H386" s="294"/>
    </row>
    <row r="387">
      <c r="A387" s="265"/>
      <c r="B387" s="268"/>
      <c r="C387" s="252"/>
      <c r="D387" s="249">
        <v>363000.0</v>
      </c>
      <c r="F387" s="418"/>
      <c r="G387" s="2" t="s">
        <v>192</v>
      </c>
      <c r="H387" s="294">
        <v>45646.0</v>
      </c>
    </row>
    <row r="388">
      <c r="A388" s="265"/>
      <c r="B388" s="268"/>
      <c r="C388" s="252"/>
      <c r="D388" s="253"/>
      <c r="F388" s="284">
        <v>600000.0</v>
      </c>
      <c r="G388" s="2" t="s">
        <v>193</v>
      </c>
      <c r="H388" s="294">
        <v>45646.0</v>
      </c>
    </row>
    <row r="389">
      <c r="A389" s="265"/>
      <c r="B389" s="247"/>
      <c r="C389" s="252"/>
      <c r="D389" s="249"/>
      <c r="F389" s="418"/>
      <c r="G389" s="2" t="s">
        <v>1093</v>
      </c>
      <c r="H389" s="294"/>
    </row>
    <row r="390">
      <c r="A390" s="265"/>
      <c r="B390" s="247"/>
      <c r="C390" s="252"/>
      <c r="D390" s="249">
        <v>122760.0</v>
      </c>
      <c r="F390" s="418"/>
      <c r="G390" s="2" t="s">
        <v>196</v>
      </c>
      <c r="H390" s="294">
        <v>45630.0</v>
      </c>
      <c r="I390" s="318"/>
    </row>
    <row r="391">
      <c r="A391" s="265"/>
      <c r="B391" s="247"/>
      <c r="C391" s="252"/>
      <c r="D391" s="249"/>
      <c r="F391" s="418"/>
      <c r="H391" s="294"/>
      <c r="I391" s="2"/>
      <c r="J391" s="2"/>
    </row>
    <row r="392">
      <c r="A392" s="265"/>
      <c r="B392" s="247">
        <v>69033.0</v>
      </c>
      <c r="C392" s="252"/>
      <c r="D392" s="249"/>
      <c r="F392" s="418"/>
      <c r="G392" s="2" t="s">
        <v>197</v>
      </c>
      <c r="H392" s="294">
        <v>45654.0</v>
      </c>
      <c r="I392" s="2" t="s">
        <v>198</v>
      </c>
      <c r="J392" s="2" t="s">
        <v>1633</v>
      </c>
    </row>
    <row r="393">
      <c r="A393" s="265"/>
      <c r="B393" s="268"/>
      <c r="C393" s="252"/>
      <c r="D393" s="249">
        <v>104967.92</v>
      </c>
      <c r="F393" s="418"/>
      <c r="G393" s="2" t="s">
        <v>199</v>
      </c>
      <c r="H393" s="294">
        <v>45644.0</v>
      </c>
      <c r="I393" s="2" t="s">
        <v>189</v>
      </c>
      <c r="J393" s="2" t="s">
        <v>1570</v>
      </c>
      <c r="K393" s="2" t="s">
        <v>1668</v>
      </c>
    </row>
    <row r="394">
      <c r="A394" s="265"/>
      <c r="B394" s="247"/>
      <c r="C394" s="252"/>
      <c r="D394" s="439">
        <v>106761.99</v>
      </c>
      <c r="F394" s="418"/>
      <c r="G394" s="2" t="s">
        <v>200</v>
      </c>
      <c r="H394" s="294"/>
      <c r="I394" s="2" t="s">
        <v>189</v>
      </c>
      <c r="J394" s="2" t="s">
        <v>1669</v>
      </c>
    </row>
    <row r="395">
      <c r="A395" s="265"/>
      <c r="B395" s="278"/>
      <c r="C395" s="248"/>
      <c r="D395" s="439">
        <v>85642.84</v>
      </c>
      <c r="F395" s="432"/>
      <c r="G395" s="2" t="s">
        <v>201</v>
      </c>
      <c r="H395" s="294"/>
      <c r="I395" s="2" t="s">
        <v>189</v>
      </c>
    </row>
    <row r="396">
      <c r="A396" s="270"/>
      <c r="B396" s="277"/>
      <c r="C396" s="248"/>
      <c r="D396" s="295">
        <v>45409.0</v>
      </c>
      <c r="F396" s="464"/>
      <c r="G396" s="2" t="s">
        <v>1670</v>
      </c>
      <c r="H396" s="294">
        <v>45643.0</v>
      </c>
    </row>
    <row r="397">
      <c r="A397" s="299"/>
      <c r="B397" s="278"/>
      <c r="C397" s="248"/>
      <c r="D397" s="295">
        <v>103831.33</v>
      </c>
      <c r="F397" s="432"/>
      <c r="G397" s="2" t="s">
        <v>1671</v>
      </c>
      <c r="H397" s="294">
        <v>45643.0</v>
      </c>
    </row>
    <row r="398">
      <c r="A398" s="299"/>
      <c r="B398" s="278"/>
      <c r="C398" s="248"/>
      <c r="D398" s="476">
        <v>1251623.84</v>
      </c>
      <c r="E398" s="417"/>
      <c r="F398" s="432"/>
      <c r="G398" s="398" t="s">
        <v>1672</v>
      </c>
      <c r="H398" s="301">
        <v>45643.0</v>
      </c>
    </row>
    <row r="399">
      <c r="A399" s="299"/>
      <c r="B399" s="278"/>
      <c r="C399" s="248"/>
      <c r="D399" s="295"/>
      <c r="F399" s="418"/>
      <c r="G399" s="2" t="s">
        <v>204</v>
      </c>
      <c r="H399" s="301"/>
    </row>
    <row r="400">
      <c r="A400" s="303"/>
      <c r="B400" s="278"/>
      <c r="C400" s="252"/>
      <c r="D400" s="249"/>
      <c r="F400" s="418"/>
      <c r="G400" s="2" t="s">
        <v>205</v>
      </c>
      <c r="H400" s="301"/>
    </row>
    <row r="401">
      <c r="A401" s="303"/>
      <c r="B401" s="268"/>
      <c r="C401" s="252"/>
      <c r="D401" s="249"/>
      <c r="F401" s="418"/>
      <c r="G401" s="2" t="s">
        <v>735</v>
      </c>
      <c r="H401" s="301"/>
    </row>
    <row r="402">
      <c r="A402" s="303"/>
      <c r="B402" s="247"/>
      <c r="C402" s="252"/>
      <c r="D402" s="249"/>
      <c r="F402" s="418"/>
      <c r="G402" s="2" t="s">
        <v>206</v>
      </c>
      <c r="H402" s="294"/>
      <c r="I402" s="2" t="s">
        <v>203</v>
      </c>
    </row>
    <row r="403">
      <c r="A403" s="303"/>
      <c r="B403" s="268"/>
      <c r="C403" s="252"/>
      <c r="D403" s="300">
        <v>142499.15</v>
      </c>
      <c r="F403" s="465"/>
      <c r="G403" s="2" t="s">
        <v>209</v>
      </c>
      <c r="H403" s="294">
        <v>45636.0</v>
      </c>
      <c r="I403" s="2" t="s">
        <v>1273</v>
      </c>
      <c r="J403" s="2" t="s">
        <v>1566</v>
      </c>
      <c r="K403" s="2" t="s">
        <v>1673</v>
      </c>
    </row>
    <row r="404">
      <c r="A404" s="303"/>
      <c r="B404" s="247"/>
      <c r="C404" s="252"/>
      <c r="D404" s="249"/>
      <c r="F404" s="418"/>
      <c r="H404" s="294"/>
    </row>
    <row r="405">
      <c r="A405" s="303"/>
      <c r="B405" s="268"/>
      <c r="C405" s="252"/>
      <c r="D405" s="249">
        <v>568205.64</v>
      </c>
      <c r="F405" s="418"/>
      <c r="G405" s="2" t="s">
        <v>1573</v>
      </c>
      <c r="H405" s="294"/>
    </row>
    <row r="406">
      <c r="A406" s="303"/>
      <c r="B406" s="268"/>
      <c r="C406" s="252"/>
      <c r="D406" s="249"/>
      <c r="F406" s="418"/>
      <c r="G406" s="2" t="s">
        <v>1217</v>
      </c>
      <c r="H406" s="294"/>
    </row>
    <row r="407">
      <c r="A407" s="303"/>
      <c r="B407" s="247"/>
      <c r="C407" s="252"/>
      <c r="D407" s="331"/>
      <c r="F407" s="458"/>
      <c r="G407" s="2" t="s">
        <v>667</v>
      </c>
      <c r="H407" s="294"/>
    </row>
    <row r="408">
      <c r="A408" s="304"/>
      <c r="B408" s="268"/>
      <c r="C408" s="252"/>
      <c r="D408" s="249"/>
      <c r="F408" s="465"/>
      <c r="H408" s="294"/>
    </row>
    <row r="409">
      <c r="A409" s="305"/>
      <c r="B409" s="406">
        <f>SUM(B382:B408)</f>
        <v>69033</v>
      </c>
      <c r="C409" s="272"/>
      <c r="D409" s="392">
        <f>SUM(D382:D408)</f>
        <v>3008483.53</v>
      </c>
      <c r="E409" s="18"/>
      <c r="F409" s="466">
        <f>SUM(F382:F408)</f>
        <v>600000</v>
      </c>
      <c r="G409" s="18"/>
      <c r="H409" s="261"/>
    </row>
    <row r="410">
      <c r="A410" s="265"/>
      <c r="B410" s="306"/>
      <c r="C410" s="240"/>
      <c r="D410" s="241"/>
      <c r="E410" s="242"/>
      <c r="F410" s="423"/>
      <c r="G410" s="244"/>
      <c r="H410" s="307"/>
    </row>
    <row r="411">
      <c r="A411" s="265"/>
      <c r="B411" s="268"/>
      <c r="C411" s="252"/>
      <c r="D411" s="253"/>
      <c r="F411" s="418"/>
      <c r="H411" s="251"/>
    </row>
    <row r="412">
      <c r="A412" s="265"/>
      <c r="B412" s="268"/>
      <c r="C412" s="252"/>
      <c r="D412" s="253"/>
      <c r="F412" s="418"/>
      <c r="H412" s="251"/>
    </row>
    <row r="413">
      <c r="A413" s="265"/>
      <c r="B413" s="268"/>
      <c r="C413" s="252"/>
      <c r="D413" s="253"/>
      <c r="F413" s="418"/>
      <c r="H413" s="251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70"/>
      <c r="B418" s="268"/>
      <c r="C418" s="252"/>
      <c r="D418" s="253"/>
      <c r="F418" s="418"/>
      <c r="H418" s="251"/>
    </row>
    <row r="419">
      <c r="A419" s="305"/>
      <c r="B419" s="271"/>
      <c r="C419" s="272"/>
      <c r="D419" s="273"/>
      <c r="E419" s="18"/>
      <c r="F419" s="456"/>
      <c r="G419" s="18"/>
      <c r="H419" s="261"/>
    </row>
    <row r="420">
      <c r="A420" s="265"/>
      <c r="B420" s="306"/>
      <c r="C420" s="240"/>
      <c r="D420" s="241"/>
      <c r="E420" s="242"/>
      <c r="F420" s="423"/>
      <c r="G420" s="244"/>
      <c r="H420" s="307"/>
    </row>
    <row r="421">
      <c r="A421" s="265"/>
      <c r="B421" s="268"/>
      <c r="C421" s="252"/>
      <c r="D421" s="253"/>
      <c r="F421" s="418"/>
      <c r="H421" s="251"/>
    </row>
    <row r="422">
      <c r="A422" s="265"/>
      <c r="B422" s="268"/>
      <c r="C422" s="252"/>
      <c r="D422" s="253"/>
      <c r="F422" s="418"/>
      <c r="H422" s="251"/>
    </row>
    <row r="423">
      <c r="A423" s="265"/>
      <c r="B423" s="268"/>
      <c r="C423" s="252"/>
      <c r="D423" s="253"/>
      <c r="F423" s="418"/>
      <c r="H423" s="251"/>
    </row>
    <row r="424">
      <c r="A424" s="265"/>
      <c r="B424" s="268"/>
      <c r="C424" s="252"/>
      <c r="D424" s="253"/>
      <c r="F424" s="418"/>
      <c r="H424" s="251"/>
    </row>
    <row r="425">
      <c r="A425" s="265"/>
      <c r="B425" s="268"/>
      <c r="C425" s="252"/>
      <c r="D425" s="253"/>
      <c r="F425" s="418"/>
      <c r="H425" s="251"/>
    </row>
    <row r="426">
      <c r="A426" s="265"/>
      <c r="B426" s="268"/>
      <c r="C426" s="252"/>
      <c r="D426" s="253"/>
      <c r="F426" s="418"/>
      <c r="H426" s="251"/>
    </row>
    <row r="427">
      <c r="A427" s="265"/>
      <c r="B427" s="268"/>
      <c r="C427" s="252"/>
      <c r="D427" s="253"/>
      <c r="F427" s="418"/>
      <c r="H427" s="251"/>
    </row>
    <row r="428">
      <c r="A428" s="270"/>
      <c r="B428" s="268"/>
      <c r="C428" s="252"/>
      <c r="D428" s="253"/>
      <c r="F428" s="418"/>
      <c r="H428" s="251"/>
    </row>
    <row r="429">
      <c r="B429" s="271"/>
      <c r="C429" s="272"/>
      <c r="D429" s="273"/>
      <c r="E429" s="18"/>
      <c r="F429" s="456"/>
      <c r="G429" s="18"/>
      <c r="H429" s="261"/>
    </row>
    <row r="430">
      <c r="B430" s="306"/>
      <c r="C430" s="240"/>
      <c r="D430" s="241"/>
      <c r="E430" s="242"/>
      <c r="F430" s="423"/>
      <c r="G430" s="244"/>
      <c r="H430" s="307"/>
    </row>
    <row r="431">
      <c r="B431" s="268"/>
      <c r="C431" s="252"/>
      <c r="D431" s="253"/>
      <c r="F431" s="418"/>
      <c r="H431" s="251"/>
    </row>
    <row r="432">
      <c r="B432" s="268"/>
      <c r="C432" s="252"/>
      <c r="D432" s="253"/>
      <c r="F432" s="418"/>
      <c r="H432" s="251"/>
    </row>
    <row r="433">
      <c r="B433" s="308"/>
      <c r="C433" s="252"/>
      <c r="D433" s="253"/>
      <c r="F433" s="467"/>
      <c r="H433" s="302"/>
    </row>
    <row r="434">
      <c r="B434" s="308"/>
      <c r="C434" s="252"/>
      <c r="D434" s="253"/>
      <c r="F434" s="467"/>
      <c r="H434" s="302"/>
    </row>
    <row r="435">
      <c r="B435" s="308"/>
      <c r="C435" s="252"/>
      <c r="D435" s="253"/>
      <c r="F435" s="467"/>
      <c r="H435" s="302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</sheetData>
  <mergeCells count="30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2"/>
    <mergeCell ref="A143:A157"/>
    <mergeCell ref="A158:A173"/>
    <mergeCell ref="A174:A188"/>
    <mergeCell ref="A189:A200"/>
    <mergeCell ref="A201:A215"/>
    <mergeCell ref="A216:A227"/>
    <mergeCell ref="A228:A242"/>
    <mergeCell ref="A243:A255"/>
    <mergeCell ref="A256:A271"/>
    <mergeCell ref="A272:A286"/>
    <mergeCell ref="A287:A301"/>
    <mergeCell ref="A409:A418"/>
    <mergeCell ref="A419:A428"/>
    <mergeCell ref="A302:A315"/>
    <mergeCell ref="A316:A333"/>
    <mergeCell ref="A334:A345"/>
    <mergeCell ref="A346:A356"/>
    <mergeCell ref="A358:A368"/>
    <mergeCell ref="A369:A379"/>
    <mergeCell ref="A382:A3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9.25"/>
    <col customWidth="1" min="8" max="8" width="13.25"/>
    <col customWidth="1" min="9" max="9" width="21.25"/>
  </cols>
  <sheetData>
    <row r="1" ht="27.0" customHeight="1">
      <c r="A1" s="407"/>
      <c r="B1" s="408" t="s">
        <v>52</v>
      </c>
      <c r="C1" s="409" t="s">
        <v>53</v>
      </c>
      <c r="D1" s="410" t="s">
        <v>54</v>
      </c>
      <c r="E1" s="411" t="s">
        <v>55</v>
      </c>
      <c r="F1" s="453" t="s">
        <v>529</v>
      </c>
      <c r="G1" s="411"/>
      <c r="H1" s="413" t="s">
        <v>57</v>
      </c>
    </row>
    <row r="2">
      <c r="A2" s="262" t="s">
        <v>878</v>
      </c>
      <c r="B2" s="425"/>
      <c r="C2" s="426"/>
      <c r="D2" s="421"/>
      <c r="E2" s="422"/>
      <c r="F2" s="423"/>
      <c r="G2" s="505"/>
      <c r="H2" s="245">
        <v>320.0</v>
      </c>
      <c r="I2" s="2" t="s">
        <v>1674</v>
      </c>
    </row>
    <row r="3">
      <c r="A3" s="265"/>
      <c r="B3" s="510"/>
      <c r="C3" s="427"/>
      <c r="D3" s="399">
        <v>87470.17</v>
      </c>
      <c r="E3" s="398" t="s">
        <v>328</v>
      </c>
      <c r="F3" s="284"/>
      <c r="G3" s="398" t="s">
        <v>91</v>
      </c>
      <c r="H3" s="267"/>
    </row>
    <row r="4">
      <c r="A4" s="265"/>
      <c r="B4" s="419"/>
      <c r="C4" s="427"/>
      <c r="D4" s="414"/>
      <c r="E4" s="417"/>
      <c r="F4" s="284">
        <v>1703.65</v>
      </c>
      <c r="G4" s="285" t="s">
        <v>97</v>
      </c>
      <c r="H4" s="251"/>
    </row>
    <row r="5">
      <c r="A5" s="265"/>
      <c r="B5" s="404">
        <v>55600.0</v>
      </c>
      <c r="C5" s="405"/>
      <c r="D5" s="399"/>
      <c r="E5" s="398"/>
      <c r="F5" s="284"/>
      <c r="G5" s="285" t="s">
        <v>1675</v>
      </c>
      <c r="H5" s="251"/>
    </row>
    <row r="6">
      <c r="A6" s="265"/>
      <c r="B6" s="404">
        <v>69490.0</v>
      </c>
      <c r="C6" s="424"/>
      <c r="D6" s="399"/>
      <c r="E6" s="398"/>
      <c r="F6" s="284"/>
      <c r="G6" s="285" t="s">
        <v>118</v>
      </c>
      <c r="H6" s="251"/>
    </row>
    <row r="7">
      <c r="A7" s="265"/>
      <c r="B7" s="404"/>
      <c r="C7" s="405"/>
      <c r="D7" s="469"/>
      <c r="E7" s="442"/>
      <c r="F7" s="284"/>
      <c r="G7" s="285"/>
      <c r="H7" s="267"/>
    </row>
    <row r="8">
      <c r="A8" s="265"/>
      <c r="B8" s="404"/>
      <c r="C8" s="405"/>
      <c r="D8" s="399"/>
      <c r="E8" s="442"/>
      <c r="F8" s="284"/>
      <c r="G8" s="285"/>
      <c r="H8" s="267"/>
    </row>
    <row r="9">
      <c r="A9" s="265"/>
      <c r="B9" s="404"/>
      <c r="C9" s="424"/>
      <c r="D9" s="399"/>
      <c r="E9" s="442"/>
      <c r="F9" s="284"/>
      <c r="G9" s="285"/>
      <c r="H9" s="251"/>
    </row>
    <row r="10">
      <c r="A10" s="265"/>
      <c r="B10" s="404"/>
      <c r="C10" s="405"/>
      <c r="D10" s="400"/>
      <c r="E10" s="442"/>
      <c r="F10" s="284"/>
      <c r="G10" s="285"/>
      <c r="H10" s="251"/>
    </row>
    <row r="11">
      <c r="A11" s="265"/>
      <c r="B11" s="440"/>
      <c r="C11" s="424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70"/>
      <c r="B15" s="470"/>
      <c r="C15" s="471"/>
      <c r="D15" s="472"/>
      <c r="E15" s="473"/>
      <c r="F15" s="474"/>
      <c r="G15" s="475"/>
      <c r="H15" s="261"/>
    </row>
    <row r="16">
      <c r="A16" s="262"/>
      <c r="B16" s="518"/>
      <c r="C16" s="427"/>
      <c r="D16" s="414"/>
      <c r="E16" s="417"/>
      <c r="F16" s="284">
        <v>5000.0</v>
      </c>
      <c r="G16" s="285" t="s">
        <v>85</v>
      </c>
      <c r="H16" s="267">
        <v>340.0</v>
      </c>
    </row>
    <row r="17">
      <c r="A17" s="280"/>
      <c r="B17" s="518">
        <v>141500.0</v>
      </c>
      <c r="C17" s="427"/>
      <c r="D17" s="414"/>
      <c r="E17" s="417" t="s">
        <v>306</v>
      </c>
      <c r="F17" s="418"/>
      <c r="G17" s="417" t="s">
        <v>75</v>
      </c>
      <c r="H17" s="267"/>
    </row>
    <row r="18">
      <c r="A18" s="280" t="s">
        <v>879</v>
      </c>
      <c r="B18" s="404">
        <v>19364.94</v>
      </c>
      <c r="C18" s="405"/>
      <c r="D18" s="476"/>
      <c r="E18" s="398"/>
      <c r="F18" s="284"/>
      <c r="G18" s="285" t="s">
        <v>82</v>
      </c>
      <c r="H18" s="251"/>
    </row>
    <row r="19">
      <c r="A19" s="265"/>
      <c r="B19" s="419"/>
      <c r="C19" s="427"/>
      <c r="D19" s="414"/>
      <c r="E19" s="417"/>
      <c r="F19" s="418"/>
      <c r="G19" s="420"/>
      <c r="H19" s="251"/>
    </row>
    <row r="20">
      <c r="A20" s="265"/>
      <c r="B20" s="404"/>
      <c r="C20" s="405"/>
      <c r="D20" s="399"/>
      <c r="E20" s="398"/>
      <c r="F20" s="284"/>
      <c r="G20" s="285"/>
      <c r="H20" s="251"/>
    </row>
    <row r="21">
      <c r="A21" s="265"/>
      <c r="B21" s="419"/>
      <c r="C21" s="427"/>
      <c r="D21" s="414"/>
      <c r="E21" s="417"/>
      <c r="F21" s="284"/>
      <c r="G21" s="285"/>
      <c r="H21" s="519"/>
    </row>
    <row r="22">
      <c r="A22" s="265"/>
      <c r="B22" s="404"/>
      <c r="C22" s="405"/>
      <c r="D22" s="399"/>
      <c r="E22" s="398"/>
      <c r="F22" s="284"/>
      <c r="G22" s="285"/>
      <c r="H22" s="267"/>
    </row>
    <row r="23">
      <c r="A23" s="265"/>
      <c r="B23" s="404"/>
      <c r="C23" s="424"/>
      <c r="D23" s="399"/>
      <c r="E23" s="442"/>
      <c r="F23" s="284"/>
      <c r="G23" s="285"/>
      <c r="H23" s="251"/>
    </row>
    <row r="24">
      <c r="A24" s="265"/>
      <c r="B24" s="404"/>
      <c r="C24" s="405"/>
      <c r="D24" s="400"/>
      <c r="E24" s="442"/>
      <c r="F24" s="284"/>
      <c r="G24" s="285"/>
      <c r="H24" s="251"/>
    </row>
    <row r="25">
      <c r="A25" s="265"/>
      <c r="B25" s="404"/>
      <c r="C25" s="405"/>
      <c r="D25" s="400"/>
      <c r="E25" s="442"/>
      <c r="F25" s="284"/>
      <c r="G25" s="285"/>
      <c r="H25" s="251"/>
    </row>
    <row r="26">
      <c r="A26" s="265"/>
      <c r="B26" s="404"/>
      <c r="C26" s="424"/>
      <c r="D26" s="400"/>
      <c r="E26" s="442"/>
      <c r="F26" s="284"/>
      <c r="G26" s="285"/>
      <c r="H26" s="251"/>
    </row>
    <row r="27">
      <c r="A27" s="270"/>
      <c r="B27" s="478"/>
      <c r="C27" s="471"/>
      <c r="D27" s="472"/>
      <c r="E27" s="473"/>
      <c r="F27" s="460"/>
      <c r="G27" s="475"/>
      <c r="H27" s="261"/>
    </row>
    <row r="28">
      <c r="A28" s="262" t="s">
        <v>882</v>
      </c>
      <c r="B28" s="425"/>
      <c r="C28" s="426"/>
      <c r="D28" s="401">
        <v>200864.0</v>
      </c>
      <c r="E28" s="402" t="s">
        <v>328</v>
      </c>
      <c r="F28" s="284"/>
      <c r="G28" s="285" t="s">
        <v>114</v>
      </c>
      <c r="H28" s="245">
        <v>300.0</v>
      </c>
    </row>
    <row r="29">
      <c r="A29" s="265"/>
      <c r="B29" s="404"/>
      <c r="C29" s="405"/>
      <c r="D29" s="399"/>
      <c r="E29" s="398"/>
      <c r="F29" s="284">
        <v>15945.0</v>
      </c>
      <c r="G29" s="285" t="s">
        <v>61</v>
      </c>
      <c r="H29" s="267"/>
    </row>
    <row r="30">
      <c r="A30" s="265"/>
      <c r="B30" s="526"/>
      <c r="C30" s="427"/>
      <c r="D30" s="414"/>
      <c r="E30" s="417"/>
      <c r="F30" s="418"/>
      <c r="G30" s="420"/>
      <c r="H30" s="251"/>
    </row>
    <row r="31">
      <c r="A31" s="265"/>
      <c r="B31" s="479"/>
      <c r="C31" s="405"/>
      <c r="D31" s="399"/>
      <c r="E31" s="398"/>
      <c r="F31" s="284"/>
      <c r="G31" s="285"/>
      <c r="H31" s="267"/>
    </row>
    <row r="32">
      <c r="A32" s="265"/>
      <c r="B32" s="419"/>
      <c r="C32" s="427"/>
      <c r="D32" s="414"/>
      <c r="E32" s="417"/>
      <c r="F32" s="418"/>
      <c r="G32" s="420"/>
      <c r="H32" s="251"/>
    </row>
    <row r="33">
      <c r="A33" s="265"/>
      <c r="B33" s="404"/>
      <c r="C33" s="405"/>
      <c r="D33" s="399"/>
      <c r="E33" s="398"/>
      <c r="F33" s="284"/>
      <c r="G33" s="285"/>
      <c r="H33" s="251"/>
    </row>
    <row r="34">
      <c r="A34" s="265"/>
      <c r="B34" s="404"/>
      <c r="C34" s="424"/>
      <c r="D34" s="399"/>
      <c r="E34" s="442"/>
      <c r="F34" s="284"/>
      <c r="G34" s="285"/>
      <c r="H34" s="251"/>
    </row>
    <row r="35">
      <c r="A35" s="265"/>
      <c r="B35" s="404"/>
      <c r="C35" s="424"/>
      <c r="D35" s="400"/>
      <c r="E35" s="442"/>
      <c r="F35" s="284"/>
      <c r="G35" s="285"/>
      <c r="H35" s="251"/>
    </row>
    <row r="36">
      <c r="A36" s="265"/>
      <c r="B36" s="404"/>
      <c r="C36" s="405"/>
      <c r="D36" s="400"/>
      <c r="E36" s="442"/>
      <c r="F36" s="284"/>
      <c r="G36" s="285"/>
      <c r="H36" s="251"/>
    </row>
    <row r="37">
      <c r="A37" s="265"/>
      <c r="B37" s="404"/>
      <c r="C37" s="405"/>
      <c r="D37" s="399"/>
      <c r="E37" s="442"/>
      <c r="F37" s="284"/>
      <c r="G37" s="442"/>
      <c r="H37" s="251"/>
    </row>
    <row r="38">
      <c r="A38" s="265"/>
      <c r="B38" s="404"/>
      <c r="C38" s="405"/>
      <c r="D38" s="399"/>
      <c r="E38" s="442"/>
      <c r="F38" s="284"/>
      <c r="G38" s="285"/>
      <c r="H38" s="251"/>
    </row>
    <row r="39">
      <c r="A39" s="265"/>
      <c r="B39" s="477"/>
      <c r="C39" s="405"/>
      <c r="D39" s="399"/>
      <c r="E39" s="442"/>
      <c r="F39" s="284"/>
      <c r="G39" s="285"/>
      <c r="H39" s="251"/>
    </row>
    <row r="40">
      <c r="A40" s="265"/>
      <c r="B40" s="480"/>
      <c r="C40" s="424"/>
      <c r="D40" s="400"/>
      <c r="E40" s="442"/>
      <c r="F40" s="284"/>
      <c r="G40" s="481"/>
      <c r="H40" s="251"/>
    </row>
    <row r="41">
      <c r="A41" s="270"/>
      <c r="B41" s="478"/>
      <c r="C41" s="471"/>
      <c r="D41" s="472"/>
      <c r="E41" s="473"/>
      <c r="F41" s="460"/>
      <c r="G41" s="482"/>
      <c r="H41" s="261"/>
    </row>
    <row r="42">
      <c r="A42" s="262" t="s">
        <v>883</v>
      </c>
      <c r="B42" s="518">
        <v>67500.0</v>
      </c>
      <c r="C42" s="427"/>
      <c r="D42" s="414"/>
      <c r="E42" s="417" t="s">
        <v>306</v>
      </c>
      <c r="F42" s="284"/>
      <c r="G42" s="420" t="s">
        <v>75</v>
      </c>
      <c r="H42" s="245">
        <v>320.0</v>
      </c>
    </row>
    <row r="43">
      <c r="A43" s="265"/>
      <c r="B43" s="440">
        <v>38729.0</v>
      </c>
      <c r="C43" s="427"/>
      <c r="D43" s="414"/>
      <c r="E43" s="417"/>
      <c r="F43" s="284"/>
      <c r="G43" s="398" t="s">
        <v>82</v>
      </c>
      <c r="H43" s="267"/>
      <c r="I43" s="417"/>
    </row>
    <row r="44">
      <c r="A44" s="265"/>
      <c r="B44" s="404">
        <v>191600.0</v>
      </c>
      <c r="C44" s="405"/>
      <c r="D44" s="476"/>
      <c r="E44" s="398" t="s">
        <v>328</v>
      </c>
      <c r="F44" s="284"/>
      <c r="G44" s="285" t="s">
        <v>122</v>
      </c>
      <c r="H44" s="310"/>
    </row>
    <row r="45">
      <c r="A45" s="265"/>
      <c r="B45" s="404"/>
      <c r="C45" s="405"/>
      <c r="D45" s="399"/>
      <c r="E45" s="398"/>
      <c r="F45" s="284">
        <v>1690.0</v>
      </c>
      <c r="G45" s="285" t="s">
        <v>1676</v>
      </c>
      <c r="H45" s="251"/>
    </row>
    <row r="46">
      <c r="A46" s="265"/>
      <c r="B46" s="404"/>
      <c r="C46" s="405"/>
      <c r="D46" s="399"/>
      <c r="E46" s="398"/>
      <c r="F46" s="284"/>
      <c r="G46" s="285"/>
      <c r="H46" s="251"/>
    </row>
    <row r="47">
      <c r="A47" s="265"/>
      <c r="B47" s="404"/>
      <c r="C47" s="405"/>
      <c r="D47" s="399"/>
      <c r="E47" s="398"/>
      <c r="F47" s="284"/>
      <c r="G47" s="285"/>
      <c r="H47" s="251"/>
    </row>
    <row r="48">
      <c r="A48" s="265"/>
      <c r="B48" s="479"/>
      <c r="C48" s="405"/>
      <c r="D48" s="399"/>
      <c r="E48" s="398"/>
      <c r="F48" s="284"/>
      <c r="G48" s="285"/>
      <c r="H48" s="251"/>
    </row>
    <row r="49">
      <c r="A49" s="265"/>
      <c r="B49" s="404"/>
      <c r="C49" s="424"/>
      <c r="D49" s="400"/>
      <c r="E49" s="442"/>
      <c r="F49" s="284"/>
      <c r="G49" s="285"/>
      <c r="H49" s="251"/>
    </row>
    <row r="50">
      <c r="A50" s="265"/>
      <c r="B50" s="404"/>
      <c r="C50" s="424"/>
      <c r="D50" s="399"/>
      <c r="E50" s="442"/>
      <c r="F50" s="284"/>
      <c r="G50" s="285"/>
      <c r="H50" s="251"/>
    </row>
    <row r="51">
      <c r="A51" s="265"/>
      <c r="B51" s="440"/>
      <c r="C51" s="424"/>
      <c r="D51" s="400"/>
      <c r="E51" s="442"/>
      <c r="F51" s="284"/>
      <c r="G51" s="285"/>
      <c r="H51" s="251"/>
    </row>
    <row r="52">
      <c r="A52" s="265"/>
      <c r="B52" s="440"/>
      <c r="C52" s="424"/>
      <c r="D52" s="400"/>
      <c r="E52" s="442"/>
      <c r="F52" s="284"/>
      <c r="G52" s="285"/>
      <c r="H52" s="251"/>
    </row>
    <row r="53">
      <c r="A53" s="270"/>
      <c r="B53" s="478"/>
      <c r="C53" s="471"/>
      <c r="D53" s="472"/>
      <c r="E53" s="473"/>
      <c r="F53" s="474"/>
      <c r="G53" s="482"/>
      <c r="H53" s="261"/>
    </row>
    <row r="54">
      <c r="A54" s="262" t="s">
        <v>1677</v>
      </c>
      <c r="B54" s="425">
        <v>44100.0</v>
      </c>
      <c r="C54" s="426"/>
      <c r="D54" s="401"/>
      <c r="E54" s="402" t="s">
        <v>328</v>
      </c>
      <c r="F54" s="403"/>
      <c r="G54" s="436" t="s">
        <v>612</v>
      </c>
      <c r="H54" s="245">
        <v>310.0</v>
      </c>
    </row>
    <row r="55">
      <c r="A55" s="265"/>
      <c r="B55" s="419">
        <v>152448.32</v>
      </c>
      <c r="C55" s="427"/>
      <c r="D55" s="414"/>
      <c r="E55" s="417" t="s">
        <v>306</v>
      </c>
      <c r="F55" s="418"/>
      <c r="G55" s="420" t="s">
        <v>1678</v>
      </c>
      <c r="H55" s="267"/>
    </row>
    <row r="56">
      <c r="A56" s="265"/>
      <c r="B56" s="404">
        <v>57000.0</v>
      </c>
      <c r="C56" s="405"/>
      <c r="D56" s="399"/>
      <c r="E56" s="398" t="s">
        <v>328</v>
      </c>
      <c r="F56" s="284"/>
      <c r="G56" s="285" t="s">
        <v>68</v>
      </c>
      <c r="H56" s="267"/>
    </row>
    <row r="57">
      <c r="A57" s="265"/>
      <c r="B57" s="404">
        <v>113419.0</v>
      </c>
      <c r="C57" s="405"/>
      <c r="D57" s="399"/>
      <c r="E57" s="398"/>
      <c r="F57" s="284"/>
      <c r="G57" s="285" t="s">
        <v>142</v>
      </c>
      <c r="H57" s="251"/>
    </row>
    <row r="58">
      <c r="A58" s="265"/>
      <c r="B58" s="457"/>
      <c r="C58" s="405"/>
      <c r="D58" s="399"/>
      <c r="E58" s="398"/>
      <c r="F58" s="284"/>
      <c r="G58" s="285"/>
      <c r="H58" s="251"/>
    </row>
    <row r="59">
      <c r="A59" s="265"/>
      <c r="B59" s="468"/>
      <c r="C59" s="405"/>
      <c r="D59" s="399"/>
      <c r="E59" s="398"/>
      <c r="F59" s="483"/>
      <c r="G59" s="285"/>
      <c r="H59" s="251"/>
    </row>
    <row r="60">
      <c r="A60" s="265"/>
      <c r="B60" s="468"/>
      <c r="C60" s="405"/>
      <c r="D60" s="399"/>
      <c r="E60" s="442"/>
      <c r="F60" s="284"/>
      <c r="G60" s="285"/>
      <c r="H60" s="267"/>
    </row>
    <row r="61">
      <c r="A61" s="265"/>
      <c r="B61" s="404"/>
      <c r="C61" s="424"/>
      <c r="D61" s="399"/>
      <c r="E61" s="398"/>
      <c r="F61" s="284"/>
      <c r="G61" s="285"/>
      <c r="H61" s="251"/>
    </row>
    <row r="62">
      <c r="A62" s="265"/>
      <c r="B62" s="404"/>
      <c r="C62" s="424"/>
      <c r="D62" s="400"/>
      <c r="E62" s="442"/>
      <c r="F62" s="284"/>
      <c r="G62" s="285"/>
      <c r="H62" s="251"/>
    </row>
    <row r="63">
      <c r="A63" s="265"/>
      <c r="B63" s="404"/>
      <c r="C63" s="424"/>
      <c r="D63" s="414"/>
      <c r="E63" s="417"/>
      <c r="F63" s="418"/>
      <c r="G63" s="420"/>
      <c r="H63" s="251"/>
    </row>
    <row r="64">
      <c r="A64" s="265"/>
      <c r="B64" s="477"/>
      <c r="C64" s="424"/>
      <c r="D64" s="400"/>
      <c r="E64" s="442"/>
      <c r="F64" s="284"/>
      <c r="G64" s="481"/>
      <c r="H64" s="251"/>
    </row>
    <row r="65">
      <c r="A65" s="265"/>
      <c r="B65" s="404"/>
      <c r="C65" s="424"/>
      <c r="D65" s="400"/>
      <c r="E65" s="442"/>
      <c r="F65" s="284"/>
      <c r="G65" s="481"/>
      <c r="H65" s="251"/>
    </row>
    <row r="66">
      <c r="A66" s="265"/>
      <c r="B66" s="440"/>
      <c r="C66" s="424"/>
      <c r="D66" s="400"/>
      <c r="E66" s="442"/>
      <c r="F66" s="463"/>
      <c r="G66" s="481"/>
      <c r="H66" s="251"/>
    </row>
    <row r="67">
      <c r="A67" s="265"/>
      <c r="B67" s="480"/>
      <c r="C67" s="405"/>
      <c r="D67" s="400"/>
      <c r="E67" s="442"/>
      <c r="F67" s="463"/>
      <c r="G67" s="481"/>
      <c r="H67" s="251"/>
    </row>
    <row r="68">
      <c r="A68" s="265"/>
      <c r="B68" s="480"/>
      <c r="C68" s="424"/>
      <c r="D68" s="400"/>
      <c r="E68" s="442"/>
      <c r="F68" s="284"/>
      <c r="G68" s="481"/>
      <c r="H68" s="251"/>
    </row>
    <row r="69">
      <c r="A69" s="270"/>
      <c r="B69" s="478"/>
      <c r="C69" s="471"/>
      <c r="D69" s="472"/>
      <c r="E69" s="473"/>
      <c r="F69" s="474"/>
      <c r="G69" s="475"/>
      <c r="H69" s="261"/>
    </row>
    <row r="70">
      <c r="A70" s="262" t="s">
        <v>887</v>
      </c>
      <c r="B70" s="425">
        <v>38272.0</v>
      </c>
      <c r="C70" s="445"/>
      <c r="D70" s="421"/>
      <c r="E70" s="422"/>
      <c r="F70" s="284"/>
      <c r="G70" s="436" t="s">
        <v>82</v>
      </c>
      <c r="H70" s="286">
        <v>290.0</v>
      </c>
    </row>
    <row r="71">
      <c r="A71" s="265"/>
      <c r="B71" s="419"/>
      <c r="C71" s="427"/>
      <c r="D71" s="414"/>
      <c r="E71" s="417"/>
      <c r="F71" s="250">
        <v>1690.0</v>
      </c>
      <c r="G71" s="2" t="s">
        <v>1676</v>
      </c>
      <c r="H71" s="82"/>
    </row>
    <row r="72">
      <c r="A72" s="265"/>
      <c r="B72" s="419">
        <v>68500.0</v>
      </c>
      <c r="C72" s="427"/>
      <c r="D72" s="414"/>
      <c r="E72" s="417" t="s">
        <v>960</v>
      </c>
      <c r="F72" s="418"/>
      <c r="G72" s="420" t="s">
        <v>839</v>
      </c>
      <c r="H72" s="82"/>
    </row>
    <row r="73">
      <c r="A73" s="265"/>
      <c r="B73" s="404"/>
      <c r="C73" s="405"/>
      <c r="D73" s="399"/>
      <c r="E73" s="398"/>
      <c r="F73" s="284">
        <v>4600.0</v>
      </c>
      <c r="G73" s="285" t="s">
        <v>1679</v>
      </c>
      <c r="H73" s="302"/>
    </row>
    <row r="74">
      <c r="A74" s="265"/>
      <c r="B74" s="484"/>
      <c r="C74" s="485">
        <v>61555.93</v>
      </c>
      <c r="D74" s="449"/>
      <c r="E74" s="450" t="s">
        <v>328</v>
      </c>
      <c r="F74" s="451"/>
      <c r="G74" s="435" t="s">
        <v>1680</v>
      </c>
      <c r="H74" s="527"/>
      <c r="I74" s="318"/>
    </row>
    <row r="75">
      <c r="A75" s="265"/>
      <c r="B75" s="404"/>
      <c r="C75" s="405"/>
      <c r="D75" s="399"/>
      <c r="E75" s="442"/>
      <c r="F75" s="284"/>
      <c r="G75" s="285"/>
      <c r="H75" s="82"/>
      <c r="I75" s="318"/>
    </row>
    <row r="76">
      <c r="A76" s="265"/>
      <c r="B76" s="404"/>
      <c r="C76" s="424"/>
      <c r="D76" s="399"/>
      <c r="E76" s="442"/>
      <c r="F76" s="284"/>
      <c r="G76" s="285"/>
      <c r="H76" s="302"/>
      <c r="I76" s="318"/>
    </row>
    <row r="77">
      <c r="A77" s="265"/>
      <c r="B77" s="404"/>
      <c r="C77" s="424"/>
      <c r="D77" s="400"/>
      <c r="E77" s="442"/>
      <c r="F77" s="284"/>
      <c r="G77" s="285"/>
      <c r="H77" s="302"/>
      <c r="I77" s="318"/>
    </row>
    <row r="78">
      <c r="A78" s="265"/>
      <c r="B78" s="404"/>
      <c r="C78" s="405"/>
      <c r="D78" s="400"/>
      <c r="E78" s="442"/>
      <c r="F78" s="284"/>
      <c r="G78" s="285"/>
      <c r="H78" s="302"/>
    </row>
    <row r="79">
      <c r="A79" s="265"/>
      <c r="B79" s="404"/>
      <c r="C79" s="405"/>
      <c r="D79" s="400"/>
      <c r="E79" s="442"/>
      <c r="F79" s="284"/>
      <c r="G79" s="285"/>
      <c r="H79" s="251"/>
      <c r="I79" s="318"/>
    </row>
    <row r="80">
      <c r="A80" s="265"/>
      <c r="B80" s="440"/>
      <c r="C80" s="405"/>
      <c r="D80" s="400"/>
      <c r="E80" s="442"/>
      <c r="F80" s="463"/>
      <c r="G80" s="285"/>
      <c r="H80" s="251"/>
      <c r="I80" s="318"/>
    </row>
    <row r="81">
      <c r="A81" s="265"/>
      <c r="B81" s="440"/>
      <c r="C81" s="424"/>
      <c r="D81" s="400"/>
      <c r="E81" s="442"/>
      <c r="F81" s="284"/>
      <c r="G81" s="285"/>
      <c r="H81" s="251"/>
    </row>
    <row r="82">
      <c r="A82" s="265"/>
      <c r="B82" s="440"/>
      <c r="C82" s="424"/>
      <c r="D82" s="400"/>
      <c r="E82" s="442"/>
      <c r="F82" s="463"/>
      <c r="G82" s="285"/>
      <c r="H82" s="251"/>
    </row>
    <row r="83">
      <c r="A83" s="270"/>
      <c r="B83" s="478"/>
      <c r="C83" s="471"/>
      <c r="D83" s="472"/>
      <c r="E83" s="473"/>
      <c r="F83" s="460"/>
      <c r="G83" s="482"/>
      <c r="H83" s="261"/>
    </row>
    <row r="84">
      <c r="A84" s="262" t="s">
        <v>888</v>
      </c>
      <c r="B84" s="425"/>
      <c r="C84" s="426"/>
      <c r="D84" s="401"/>
      <c r="E84" s="402"/>
      <c r="F84" s="403">
        <v>7000.0</v>
      </c>
      <c r="G84" s="436" t="s">
        <v>1681</v>
      </c>
      <c r="H84" s="245">
        <v>250.0</v>
      </c>
    </row>
    <row r="85">
      <c r="A85" s="265"/>
      <c r="B85" s="419"/>
      <c r="C85" s="248">
        <v>87847.5</v>
      </c>
      <c r="D85" s="249"/>
      <c r="E85" s="2" t="s">
        <v>328</v>
      </c>
      <c r="F85" s="250"/>
      <c r="G85" s="254" t="s">
        <v>1682</v>
      </c>
      <c r="H85" s="267"/>
    </row>
    <row r="86">
      <c r="A86" s="265"/>
      <c r="B86" s="404"/>
      <c r="C86" s="405"/>
      <c r="D86" s="399"/>
      <c r="E86" s="398"/>
      <c r="F86" s="284"/>
      <c r="G86" s="195"/>
      <c r="H86" s="267"/>
    </row>
    <row r="87">
      <c r="A87" s="265"/>
      <c r="B87" s="404"/>
      <c r="C87" s="405"/>
      <c r="D87" s="399"/>
      <c r="E87" s="398"/>
      <c r="F87" s="284"/>
      <c r="G87" s="285"/>
      <c r="H87" s="251"/>
    </row>
    <row r="88">
      <c r="A88" s="265"/>
      <c r="B88" s="404"/>
      <c r="C88" s="405"/>
      <c r="D88" s="399"/>
      <c r="E88" s="398"/>
      <c r="F88" s="284"/>
      <c r="G88" s="285"/>
      <c r="H88" s="251"/>
    </row>
    <row r="89">
      <c r="A89" s="265"/>
      <c r="B89" s="404"/>
      <c r="C89" s="405"/>
      <c r="D89" s="399"/>
      <c r="E89" s="398"/>
      <c r="F89" s="284"/>
      <c r="G89" s="285"/>
      <c r="H89" s="251"/>
    </row>
    <row r="90">
      <c r="A90" s="265"/>
      <c r="B90" s="404"/>
      <c r="C90" s="424"/>
      <c r="D90" s="399"/>
      <c r="E90" s="398"/>
      <c r="F90" s="284"/>
      <c r="G90" s="285"/>
      <c r="H90" s="251"/>
    </row>
    <row r="91">
      <c r="A91" s="265"/>
      <c r="B91" s="404"/>
      <c r="C91" s="405"/>
      <c r="D91" s="399"/>
      <c r="E91" s="442"/>
      <c r="F91" s="284"/>
      <c r="G91" s="285"/>
      <c r="H91" s="251"/>
    </row>
    <row r="92">
      <c r="A92" s="265"/>
      <c r="B92" s="419"/>
      <c r="C92" s="434"/>
      <c r="D92" s="414"/>
      <c r="E92" s="417"/>
      <c r="F92" s="418"/>
      <c r="G92" s="420"/>
      <c r="H92" s="251"/>
    </row>
    <row r="93">
      <c r="A93" s="265"/>
      <c r="B93" s="404"/>
      <c r="C93" s="405"/>
      <c r="D93" s="400"/>
      <c r="E93" s="442"/>
      <c r="F93" s="284"/>
      <c r="G93" s="285"/>
      <c r="H93" s="251"/>
    </row>
    <row r="94">
      <c r="A94" s="265"/>
      <c r="B94" s="477"/>
      <c r="C94" s="424"/>
      <c r="D94" s="400"/>
      <c r="E94" s="442"/>
      <c r="F94" s="284"/>
      <c r="G94" s="285"/>
      <c r="H94" s="251"/>
    </row>
    <row r="95">
      <c r="A95" s="265"/>
      <c r="B95" s="477"/>
      <c r="C95" s="424"/>
      <c r="D95" s="400"/>
      <c r="E95" s="442"/>
      <c r="F95" s="284"/>
      <c r="G95" s="285"/>
      <c r="H95" s="251"/>
    </row>
    <row r="96">
      <c r="A96" s="265"/>
      <c r="B96" s="477"/>
      <c r="C96" s="424"/>
      <c r="D96" s="400"/>
      <c r="E96" s="442"/>
      <c r="F96" s="284"/>
      <c r="G96" s="481"/>
      <c r="H96" s="251"/>
    </row>
    <row r="97">
      <c r="A97" s="265"/>
      <c r="B97" s="477"/>
      <c r="C97" s="424"/>
      <c r="D97" s="400"/>
      <c r="E97" s="442"/>
      <c r="F97" s="284"/>
      <c r="G97" s="481"/>
      <c r="H97" s="251"/>
    </row>
    <row r="98">
      <c r="A98" s="265"/>
      <c r="B98" s="477"/>
      <c r="C98" s="424"/>
      <c r="D98" s="400"/>
      <c r="E98" s="442"/>
      <c r="F98" s="284"/>
      <c r="G98" s="481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70"/>
      <c r="B101" s="478"/>
      <c r="C101" s="471"/>
      <c r="D101" s="472"/>
      <c r="E101" s="473"/>
      <c r="F101" s="460"/>
      <c r="G101" s="482"/>
      <c r="H101" s="261"/>
    </row>
    <row r="102">
      <c r="A102" s="262" t="s">
        <v>890</v>
      </c>
      <c r="B102" s="425"/>
      <c r="C102" s="426"/>
      <c r="D102" s="401"/>
      <c r="E102" s="402"/>
      <c r="F102" s="403"/>
      <c r="G102" s="436"/>
      <c r="H102" s="245">
        <v>197.0</v>
      </c>
    </row>
    <row r="103">
      <c r="A103" s="265"/>
      <c r="B103" s="404"/>
      <c r="C103" s="405"/>
      <c r="D103" s="399"/>
      <c r="E103" s="398"/>
      <c r="F103" s="284"/>
      <c r="G103" s="285"/>
      <c r="H103" s="267"/>
    </row>
    <row r="104">
      <c r="A104" s="265"/>
      <c r="B104" s="404"/>
      <c r="C104" s="405"/>
      <c r="D104" s="399"/>
      <c r="E104" s="398"/>
      <c r="F104" s="284"/>
      <c r="G104" s="285"/>
      <c r="H104" s="251"/>
    </row>
    <row r="105">
      <c r="A105" s="265"/>
      <c r="B105" s="461">
        <v>75000.0</v>
      </c>
      <c r="C105" s="445"/>
      <c r="D105" s="421"/>
      <c r="E105" s="422" t="s">
        <v>306</v>
      </c>
      <c r="F105" s="423"/>
      <c r="G105" s="505" t="s">
        <v>75</v>
      </c>
      <c r="H105" s="267"/>
    </row>
    <row r="106">
      <c r="A106" s="265"/>
      <c r="B106" s="419"/>
      <c r="C106" s="434"/>
      <c r="D106" s="414"/>
      <c r="E106" s="417"/>
      <c r="F106" s="284">
        <v>10000.0</v>
      </c>
      <c r="G106" s="285" t="s">
        <v>85</v>
      </c>
      <c r="H106" s="251"/>
    </row>
    <row r="107">
      <c r="A107" s="265"/>
      <c r="B107" s="404">
        <v>125460.0</v>
      </c>
      <c r="C107" s="405"/>
      <c r="D107" s="399"/>
      <c r="E107" s="398" t="s">
        <v>328</v>
      </c>
      <c r="F107" s="284"/>
      <c r="G107" s="285" t="s">
        <v>1522</v>
      </c>
      <c r="H107" s="251"/>
    </row>
    <row r="108">
      <c r="A108" s="265"/>
      <c r="B108" s="404">
        <v>85240.0</v>
      </c>
      <c r="C108" s="424"/>
      <c r="D108" s="399"/>
      <c r="E108" s="398" t="s">
        <v>328</v>
      </c>
      <c r="F108" s="284"/>
      <c r="G108" s="285" t="s">
        <v>1416</v>
      </c>
      <c r="H108" s="251"/>
      <c r="I108" s="417"/>
    </row>
    <row r="109">
      <c r="A109" s="265"/>
      <c r="B109" s="404">
        <v>51464.77</v>
      </c>
      <c r="C109" s="405"/>
      <c r="D109" s="399"/>
      <c r="E109" s="398"/>
      <c r="F109" s="284"/>
      <c r="G109" s="285" t="s">
        <v>82</v>
      </c>
      <c r="H109" s="251"/>
    </row>
    <row r="110">
      <c r="A110" s="265"/>
      <c r="B110" s="404"/>
      <c r="C110" s="405"/>
      <c r="D110" s="399"/>
      <c r="E110" s="398"/>
      <c r="F110" s="284">
        <v>10000.0</v>
      </c>
      <c r="G110" s="285" t="s">
        <v>291</v>
      </c>
      <c r="H110" s="251"/>
    </row>
    <row r="111">
      <c r="A111" s="265"/>
      <c r="B111" s="404"/>
      <c r="C111" s="405"/>
      <c r="D111" s="400"/>
      <c r="E111" s="442"/>
      <c r="F111" s="284"/>
      <c r="G111" s="285"/>
      <c r="H111" s="267"/>
    </row>
    <row r="112">
      <c r="A112" s="265"/>
      <c r="B112" s="404"/>
      <c r="C112" s="424"/>
      <c r="D112" s="399"/>
      <c r="E112" s="442"/>
      <c r="F112" s="284"/>
      <c r="G112" s="285"/>
      <c r="H112" s="251"/>
    </row>
    <row r="113">
      <c r="A113" s="265"/>
      <c r="B113" s="440"/>
      <c r="C113" s="424"/>
      <c r="D113" s="400"/>
      <c r="E113" s="442"/>
      <c r="F113" s="284"/>
      <c r="G113" s="285"/>
      <c r="H113" s="251"/>
    </row>
    <row r="114">
      <c r="A114" s="265"/>
      <c r="B114" s="440"/>
      <c r="C114" s="424"/>
      <c r="D114" s="400"/>
      <c r="E114" s="442"/>
      <c r="F114" s="284"/>
      <c r="G114" s="481"/>
      <c r="H114" s="251"/>
    </row>
    <row r="115">
      <c r="A115" s="265"/>
      <c r="B115" s="480"/>
      <c r="C115" s="424"/>
      <c r="D115" s="400"/>
      <c r="E115" s="442"/>
      <c r="F115" s="284"/>
      <c r="G115" s="481"/>
      <c r="H115" s="251"/>
    </row>
    <row r="116">
      <c r="A116" s="270"/>
      <c r="B116" s="478"/>
      <c r="C116" s="471"/>
      <c r="D116" s="472"/>
      <c r="E116" s="473"/>
      <c r="F116" s="460"/>
      <c r="G116" s="482"/>
      <c r="H116" s="261"/>
    </row>
    <row r="117">
      <c r="A117" s="262" t="s">
        <v>896</v>
      </c>
      <c r="B117" s="425">
        <v>264682.0</v>
      </c>
      <c r="C117" s="426"/>
      <c r="D117" s="401"/>
      <c r="E117" s="402" t="s">
        <v>328</v>
      </c>
      <c r="F117" s="403"/>
      <c r="G117" s="436" t="s">
        <v>114</v>
      </c>
      <c r="H117" s="245">
        <v>270.0</v>
      </c>
    </row>
    <row r="118">
      <c r="A118" s="265"/>
      <c r="B118" s="404"/>
      <c r="C118" s="405"/>
      <c r="D118" s="399"/>
      <c r="E118" s="398"/>
      <c r="F118" s="284"/>
      <c r="G118" s="285"/>
      <c r="H118" s="251"/>
    </row>
    <row r="119">
      <c r="A119" s="265"/>
      <c r="B119" s="404"/>
      <c r="C119" s="405"/>
      <c r="D119" s="399"/>
      <c r="E119" s="398"/>
      <c r="F119" s="284"/>
      <c r="G119" s="285"/>
      <c r="H119" s="251"/>
    </row>
    <row r="120">
      <c r="A120" s="265"/>
      <c r="B120" s="419"/>
      <c r="C120" s="434"/>
      <c r="D120" s="414"/>
      <c r="E120" s="417"/>
      <c r="F120" s="418"/>
      <c r="G120" s="420"/>
      <c r="H120" s="251"/>
    </row>
    <row r="121">
      <c r="A121" s="265"/>
      <c r="B121" s="404"/>
      <c r="C121" s="405"/>
      <c r="D121" s="399"/>
      <c r="E121" s="398"/>
      <c r="F121" s="284"/>
      <c r="G121" s="285"/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04"/>
      <c r="C123" s="405"/>
      <c r="D123" s="399"/>
      <c r="E123" s="442"/>
      <c r="F123" s="284"/>
      <c r="G123" s="285"/>
      <c r="H123" s="251"/>
    </row>
    <row r="124">
      <c r="A124" s="265"/>
      <c r="B124" s="404"/>
      <c r="C124" s="424"/>
      <c r="D124" s="399"/>
      <c r="E124" s="442"/>
      <c r="F124" s="284"/>
      <c r="G124" s="285"/>
      <c r="H124" s="251"/>
    </row>
    <row r="125">
      <c r="A125" s="265"/>
      <c r="B125" s="477"/>
      <c r="C125" s="405"/>
      <c r="D125" s="399"/>
      <c r="E125" s="442"/>
      <c r="F125" s="284"/>
      <c r="G125" s="285"/>
      <c r="H125" s="251"/>
    </row>
    <row r="126">
      <c r="A126" s="265"/>
      <c r="B126" s="404"/>
      <c r="C126" s="424"/>
      <c r="D126" s="399"/>
      <c r="E126" s="442"/>
      <c r="F126" s="284"/>
      <c r="G126" s="442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40"/>
      <c r="C128" s="424"/>
      <c r="D128" s="400"/>
      <c r="E128" s="442"/>
      <c r="F128" s="284"/>
      <c r="G128" s="285"/>
      <c r="H128" s="251"/>
    </row>
    <row r="129">
      <c r="A129" s="265"/>
      <c r="B129" s="440"/>
      <c r="C129" s="424"/>
      <c r="D129" s="400"/>
      <c r="E129" s="442"/>
      <c r="F129" s="463"/>
      <c r="G129" s="481"/>
      <c r="H129" s="251"/>
    </row>
    <row r="130">
      <c r="A130" s="265"/>
      <c r="B130" s="480"/>
      <c r="C130" s="424"/>
      <c r="D130" s="400"/>
      <c r="E130" s="442"/>
      <c r="F130" s="284"/>
      <c r="G130" s="481"/>
      <c r="H130" s="251"/>
    </row>
    <row r="131">
      <c r="A131" s="270"/>
      <c r="B131" s="478"/>
      <c r="C131" s="471"/>
      <c r="D131" s="472"/>
      <c r="E131" s="473"/>
      <c r="F131" s="474"/>
      <c r="G131" s="475"/>
      <c r="H131" s="261"/>
    </row>
    <row r="132">
      <c r="A132" s="262" t="s">
        <v>900</v>
      </c>
      <c r="B132" s="425"/>
      <c r="C132" s="426"/>
      <c r="D132" s="421"/>
      <c r="E132" s="422"/>
      <c r="F132" s="403">
        <v>4752.0</v>
      </c>
      <c r="G132" s="436" t="s">
        <v>1683</v>
      </c>
      <c r="H132" s="245">
        <v>230.0</v>
      </c>
    </row>
    <row r="133">
      <c r="A133" s="265"/>
      <c r="B133" s="404">
        <v>19364.94</v>
      </c>
      <c r="C133" s="405"/>
      <c r="D133" s="399"/>
      <c r="E133" s="398"/>
      <c r="F133" s="284"/>
      <c r="G133" s="285" t="s">
        <v>82</v>
      </c>
      <c r="H133" s="267"/>
    </row>
    <row r="134">
      <c r="A134" s="265"/>
      <c r="B134" s="404"/>
      <c r="C134" s="427"/>
      <c r="D134" s="399"/>
      <c r="E134" s="398"/>
      <c r="F134" s="284"/>
      <c r="G134" s="285"/>
      <c r="H134" s="251"/>
    </row>
    <row r="135">
      <c r="A135" s="265"/>
      <c r="B135" s="404"/>
      <c r="C135" s="405"/>
      <c r="D135" s="399"/>
      <c r="E135" s="398"/>
      <c r="F135" s="284"/>
      <c r="G135" s="285"/>
      <c r="H135" s="251"/>
    </row>
    <row r="136">
      <c r="A136" s="265"/>
      <c r="B136" s="419"/>
      <c r="C136" s="427"/>
      <c r="D136" s="414"/>
      <c r="E136" s="417"/>
      <c r="F136" s="418"/>
      <c r="G136" s="420"/>
      <c r="H136" s="251"/>
    </row>
    <row r="137">
      <c r="A137" s="265"/>
      <c r="B137" s="419"/>
      <c r="C137" s="427"/>
      <c r="D137" s="414"/>
      <c r="E137" s="417"/>
      <c r="F137" s="418"/>
      <c r="G137" s="420"/>
      <c r="H137" s="251"/>
    </row>
    <row r="138">
      <c r="A138" s="265"/>
      <c r="B138" s="404"/>
      <c r="C138" s="405"/>
      <c r="D138" s="399"/>
      <c r="E138" s="398"/>
      <c r="F138" s="284"/>
      <c r="G138" s="285"/>
      <c r="H138" s="251"/>
    </row>
    <row r="139">
      <c r="A139" s="265"/>
      <c r="B139" s="404"/>
      <c r="C139" s="424"/>
      <c r="D139" s="399"/>
      <c r="E139" s="442"/>
      <c r="F139" s="284"/>
      <c r="G139" s="285"/>
      <c r="H139" s="251"/>
    </row>
    <row r="140">
      <c r="A140" s="265"/>
      <c r="B140" s="404"/>
      <c r="C140" s="424"/>
      <c r="D140" s="399"/>
      <c r="E140" s="398"/>
      <c r="F140" s="284"/>
      <c r="G140" s="285"/>
      <c r="H140" s="251"/>
    </row>
    <row r="141">
      <c r="A141" s="265"/>
      <c r="B141" s="440"/>
      <c r="C141" s="424"/>
      <c r="D141" s="399"/>
      <c r="E141" s="442"/>
      <c r="F141" s="284"/>
      <c r="G141" s="285"/>
      <c r="H141" s="251"/>
    </row>
    <row r="142">
      <c r="A142" s="270"/>
      <c r="B142" s="470"/>
      <c r="C142" s="471"/>
      <c r="D142" s="486"/>
      <c r="E142" s="473"/>
      <c r="F142" s="474"/>
      <c r="G142" s="475"/>
      <c r="H142" s="261"/>
    </row>
    <row r="143">
      <c r="A143" s="262" t="s">
        <v>901</v>
      </c>
      <c r="B143" s="461"/>
      <c r="C143" s="445"/>
      <c r="D143" s="421"/>
      <c r="E143" s="422"/>
      <c r="F143" s="403">
        <v>2359.0</v>
      </c>
      <c r="G143" s="436" t="s">
        <v>374</v>
      </c>
      <c r="H143" s="245">
        <v>212.0</v>
      </c>
    </row>
    <row r="144">
      <c r="A144" s="265"/>
      <c r="B144" s="404"/>
      <c r="C144" s="487"/>
      <c r="D144" s="399"/>
      <c r="E144" s="398"/>
      <c r="F144" s="284">
        <v>7864.56</v>
      </c>
      <c r="G144" s="285" t="s">
        <v>313</v>
      </c>
      <c r="H144" s="267"/>
    </row>
    <row r="145">
      <c r="A145" s="265"/>
      <c r="B145" s="404">
        <v>57000.0</v>
      </c>
      <c r="C145" s="405"/>
      <c r="D145" s="399"/>
      <c r="E145" s="398"/>
      <c r="F145" s="284"/>
      <c r="G145" s="285" t="s">
        <v>68</v>
      </c>
      <c r="H145" s="267"/>
    </row>
    <row r="146">
      <c r="A146" s="265"/>
      <c r="B146" s="419">
        <v>117500.0</v>
      </c>
      <c r="C146" s="427"/>
      <c r="D146" s="414"/>
      <c r="E146" s="417" t="s">
        <v>306</v>
      </c>
      <c r="F146" s="418"/>
      <c r="G146" s="420" t="s">
        <v>75</v>
      </c>
      <c r="H146" s="251"/>
    </row>
    <row r="147">
      <c r="A147" s="265"/>
      <c r="B147" s="404">
        <v>46600.0</v>
      </c>
      <c r="C147" s="405"/>
      <c r="D147" s="399"/>
      <c r="E147" s="285" t="s">
        <v>328</v>
      </c>
      <c r="F147" s="284"/>
      <c r="G147" s="285" t="s">
        <v>122</v>
      </c>
      <c r="H147" s="251"/>
      <c r="I147" s="254"/>
    </row>
    <row r="148">
      <c r="A148" s="265"/>
      <c r="B148" s="404"/>
      <c r="C148" s="424"/>
      <c r="D148" s="399">
        <v>101631.16</v>
      </c>
      <c r="E148" s="398" t="s">
        <v>328</v>
      </c>
      <c r="F148" s="284"/>
      <c r="G148" s="285" t="s">
        <v>1684</v>
      </c>
      <c r="H148" s="251"/>
    </row>
    <row r="149">
      <c r="A149" s="265"/>
      <c r="B149" s="404">
        <v>69490.0</v>
      </c>
      <c r="C149" s="405"/>
      <c r="D149" s="399"/>
      <c r="E149" s="398"/>
      <c r="F149" s="284"/>
      <c r="G149" s="285" t="s">
        <v>118</v>
      </c>
      <c r="H149" s="267"/>
    </row>
    <row r="150">
      <c r="A150" s="265"/>
      <c r="B150" s="404">
        <v>18126.0</v>
      </c>
      <c r="C150" s="424"/>
      <c r="D150" s="400"/>
      <c r="E150" s="398"/>
      <c r="F150" s="284"/>
      <c r="G150" s="285" t="s">
        <v>1061</v>
      </c>
      <c r="H150" s="251"/>
    </row>
    <row r="151">
      <c r="A151" s="265"/>
      <c r="B151" s="419">
        <v>70664.0</v>
      </c>
      <c r="C151" s="434"/>
      <c r="D151" s="414"/>
      <c r="E151" s="417" t="s">
        <v>306</v>
      </c>
      <c r="F151" s="418"/>
      <c r="G151" s="420" t="s">
        <v>79</v>
      </c>
      <c r="H151" s="251"/>
    </row>
    <row r="152">
      <c r="A152" s="265"/>
      <c r="B152" s="419">
        <v>370804.5</v>
      </c>
      <c r="C152" s="434"/>
      <c r="D152" s="523"/>
      <c r="E152" s="417" t="s">
        <v>306</v>
      </c>
      <c r="F152" s="418"/>
      <c r="G152" s="420" t="s">
        <v>877</v>
      </c>
      <c r="H152" s="251"/>
    </row>
    <row r="153">
      <c r="A153" s="265"/>
      <c r="B153" s="404"/>
      <c r="C153" s="424"/>
      <c r="D153" s="400"/>
      <c r="E153" s="442"/>
      <c r="F153" s="284"/>
      <c r="G153" s="285"/>
      <c r="H153" s="251"/>
    </row>
    <row r="154">
      <c r="A154" s="265"/>
      <c r="B154" s="404"/>
      <c r="C154" s="424"/>
      <c r="D154" s="400"/>
      <c r="E154" s="442"/>
      <c r="F154" s="284"/>
      <c r="G154" s="285"/>
      <c r="H154" s="251"/>
    </row>
    <row r="155">
      <c r="A155" s="265"/>
      <c r="B155" s="477"/>
      <c r="C155" s="424"/>
      <c r="D155" s="400"/>
      <c r="E155" s="442"/>
      <c r="F155" s="284"/>
      <c r="G155" s="481"/>
      <c r="H155" s="251"/>
    </row>
    <row r="156">
      <c r="A156" s="265"/>
      <c r="B156" s="477"/>
      <c r="C156" s="424"/>
      <c r="D156" s="400"/>
      <c r="E156" s="442"/>
      <c r="F156" s="284"/>
      <c r="G156" s="481"/>
      <c r="H156" s="251"/>
    </row>
    <row r="157">
      <c r="A157" s="270"/>
      <c r="B157" s="478"/>
      <c r="C157" s="471"/>
      <c r="D157" s="472"/>
      <c r="E157" s="473"/>
      <c r="F157" s="474"/>
      <c r="G157" s="475"/>
      <c r="H157" s="261"/>
    </row>
    <row r="158">
      <c r="A158" s="262" t="s">
        <v>904</v>
      </c>
      <c r="B158" s="404">
        <v>44500.0</v>
      </c>
      <c r="C158" s="405"/>
      <c r="D158" s="399"/>
      <c r="E158" s="398" t="s">
        <v>328</v>
      </c>
      <c r="F158" s="284"/>
      <c r="G158" s="285" t="s">
        <v>75</v>
      </c>
      <c r="H158" s="286">
        <v>295.0</v>
      </c>
    </row>
    <row r="159">
      <c r="A159" s="265"/>
      <c r="B159" s="404">
        <v>54648.53</v>
      </c>
      <c r="C159" s="405"/>
      <c r="D159" s="399"/>
      <c r="E159" s="398"/>
      <c r="F159" s="284"/>
      <c r="G159" s="285" t="s">
        <v>82</v>
      </c>
      <c r="H159" s="251"/>
    </row>
    <row r="160">
      <c r="A160" s="265"/>
      <c r="B160" s="404">
        <v>176461.44</v>
      </c>
      <c r="C160" s="405"/>
      <c r="D160" s="399"/>
      <c r="E160" s="398" t="s">
        <v>1685</v>
      </c>
      <c r="F160" s="284"/>
      <c r="G160" s="285" t="s">
        <v>100</v>
      </c>
      <c r="H160" s="267"/>
    </row>
    <row r="161">
      <c r="A161" s="265"/>
      <c r="B161" s="404">
        <v>58445.95</v>
      </c>
      <c r="C161" s="405"/>
      <c r="D161" s="399"/>
      <c r="E161" s="398"/>
      <c r="F161" s="284"/>
      <c r="G161" s="285" t="s">
        <v>142</v>
      </c>
      <c r="H161" s="251"/>
    </row>
    <row r="162">
      <c r="A162" s="265"/>
      <c r="B162" s="404">
        <v>253391.16</v>
      </c>
      <c r="C162" s="405"/>
      <c r="D162" s="399"/>
      <c r="E162" s="398" t="s">
        <v>328</v>
      </c>
      <c r="F162" s="284"/>
      <c r="G162" s="285" t="s">
        <v>1686</v>
      </c>
      <c r="H162" s="267"/>
    </row>
    <row r="163">
      <c r="A163" s="265"/>
      <c r="B163" s="404"/>
      <c r="C163" s="424"/>
      <c r="D163" s="399"/>
      <c r="E163" s="442"/>
      <c r="F163" s="284">
        <v>2000.0</v>
      </c>
      <c r="G163" s="285" t="s">
        <v>367</v>
      </c>
      <c r="H163" s="251"/>
    </row>
    <row r="164">
      <c r="A164" s="265"/>
      <c r="B164" s="404"/>
      <c r="C164" s="424"/>
      <c r="D164" s="399"/>
      <c r="E164" s="398"/>
      <c r="F164" s="284"/>
      <c r="G164" s="285"/>
      <c r="H164" s="267"/>
    </row>
    <row r="165">
      <c r="A165" s="265"/>
      <c r="B165" s="404"/>
      <c r="C165" s="424"/>
      <c r="D165" s="399"/>
      <c r="E165" s="442"/>
      <c r="F165" s="284"/>
      <c r="G165" s="285"/>
      <c r="H165" s="251"/>
    </row>
    <row r="166">
      <c r="A166" s="265"/>
      <c r="B166" s="404"/>
      <c r="C166" s="405"/>
      <c r="D166" s="399"/>
      <c r="E166" s="442"/>
      <c r="F166" s="284"/>
      <c r="G166" s="285"/>
      <c r="H166" s="251"/>
    </row>
    <row r="167">
      <c r="A167" s="265"/>
      <c r="B167" s="404"/>
      <c r="C167" s="424"/>
      <c r="D167" s="399"/>
      <c r="E167" s="442"/>
      <c r="F167" s="284"/>
      <c r="G167" s="285"/>
      <c r="H167" s="251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05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24"/>
      <c r="D171" s="399"/>
      <c r="E171" s="442"/>
      <c r="F171" s="284"/>
      <c r="G171" s="285"/>
      <c r="H171" s="251"/>
    </row>
    <row r="172">
      <c r="A172" s="265"/>
      <c r="B172" s="404"/>
      <c r="C172" s="424"/>
      <c r="D172" s="400"/>
      <c r="E172" s="442"/>
      <c r="F172" s="284"/>
      <c r="G172" s="285"/>
      <c r="H172" s="251"/>
    </row>
    <row r="173">
      <c r="A173" s="270"/>
      <c r="B173" s="404"/>
      <c r="C173" s="424"/>
      <c r="D173" s="399"/>
      <c r="E173" s="442"/>
      <c r="F173" s="284"/>
      <c r="G173" s="285"/>
      <c r="H173" s="261"/>
    </row>
    <row r="174">
      <c r="A174" s="262" t="s">
        <v>905</v>
      </c>
      <c r="B174" s="425"/>
      <c r="C174" s="426"/>
      <c r="D174" s="401"/>
      <c r="E174" s="402"/>
      <c r="F174" s="403">
        <v>4917.65</v>
      </c>
      <c r="G174" s="436" t="s">
        <v>97</v>
      </c>
      <c r="H174" s="245">
        <v>180.0</v>
      </c>
      <c r="I174" s="2" t="s">
        <v>1687</v>
      </c>
    </row>
    <row r="175">
      <c r="A175" s="265"/>
      <c r="B175" s="404">
        <v>30000.0</v>
      </c>
      <c r="C175" s="405"/>
      <c r="D175" s="399"/>
      <c r="E175" s="442"/>
      <c r="F175" s="284"/>
      <c r="G175" s="285" t="s">
        <v>76</v>
      </c>
      <c r="H175" s="267"/>
    </row>
    <row r="176">
      <c r="A176" s="265"/>
      <c r="B176" s="419">
        <v>163904.33</v>
      </c>
      <c r="C176" s="434"/>
      <c r="D176" s="414"/>
      <c r="E176" s="417" t="s">
        <v>306</v>
      </c>
      <c r="F176" s="418"/>
      <c r="G176" s="420" t="s">
        <v>1688</v>
      </c>
      <c r="H176" s="251"/>
    </row>
    <row r="177">
      <c r="A177" s="265"/>
      <c r="B177" s="404">
        <v>10000.0</v>
      </c>
      <c r="C177" s="405"/>
      <c r="D177" s="399"/>
      <c r="E177" s="398"/>
      <c r="F177" s="284"/>
      <c r="G177" s="285" t="s">
        <v>85</v>
      </c>
      <c r="H177" s="251"/>
    </row>
    <row r="178">
      <c r="A178" s="265"/>
      <c r="B178" s="404"/>
      <c r="C178" s="405"/>
      <c r="D178" s="399"/>
      <c r="E178" s="398"/>
      <c r="F178" s="284"/>
      <c r="G178" s="285" t="s">
        <v>588</v>
      </c>
      <c r="H178" s="251"/>
    </row>
    <row r="179">
      <c r="A179" s="265"/>
      <c r="B179" s="404"/>
      <c r="C179" s="405"/>
      <c r="D179" s="399"/>
      <c r="E179" s="442"/>
      <c r="F179" s="284"/>
      <c r="G179" s="285" t="s">
        <v>696</v>
      </c>
      <c r="H179" s="267"/>
    </row>
    <row r="180">
      <c r="A180" s="265"/>
      <c r="B180" s="404"/>
      <c r="C180" s="405"/>
      <c r="D180" s="399"/>
      <c r="E180" s="442"/>
      <c r="F180" s="284">
        <f>3639+1000</f>
        <v>4639</v>
      </c>
      <c r="G180" s="488" t="s">
        <v>1689</v>
      </c>
      <c r="H180" s="251"/>
    </row>
    <row r="181">
      <c r="A181" s="265"/>
      <c r="B181" s="404"/>
      <c r="C181" s="424"/>
      <c r="D181" s="399"/>
      <c r="E181" s="442"/>
      <c r="F181" s="284">
        <v>4900.0</v>
      </c>
      <c r="G181" s="285" t="s">
        <v>313</v>
      </c>
      <c r="H181" s="251"/>
    </row>
    <row r="182">
      <c r="A182" s="265"/>
      <c r="B182" s="404"/>
      <c r="C182" s="405"/>
      <c r="D182" s="399"/>
      <c r="E182" s="442"/>
      <c r="F182" s="284"/>
      <c r="G182" s="285"/>
      <c r="H182" s="251"/>
    </row>
    <row r="183">
      <c r="A183" s="265"/>
      <c r="B183" s="404"/>
      <c r="C183" s="405"/>
      <c r="D183" s="400"/>
      <c r="E183" s="442"/>
      <c r="F183" s="284"/>
      <c r="G183" s="285"/>
      <c r="H183" s="251"/>
    </row>
    <row r="184">
      <c r="A184" s="265"/>
      <c r="B184" s="477"/>
      <c r="C184" s="405"/>
      <c r="D184" s="400"/>
      <c r="E184" s="442"/>
      <c r="F184" s="284"/>
      <c r="G184" s="481"/>
      <c r="H184" s="251"/>
    </row>
    <row r="185">
      <c r="A185" s="265"/>
      <c r="B185" s="404"/>
      <c r="C185" s="405"/>
      <c r="D185" s="400"/>
      <c r="E185" s="442"/>
      <c r="F185" s="284"/>
      <c r="G185" s="481"/>
      <c r="H185" s="251"/>
    </row>
    <row r="186">
      <c r="A186" s="265"/>
      <c r="B186" s="480"/>
      <c r="C186" s="424"/>
      <c r="D186" s="400"/>
      <c r="E186" s="442"/>
      <c r="F186" s="284"/>
      <c r="G186" s="481"/>
      <c r="H186" s="251"/>
    </row>
    <row r="187">
      <c r="A187" s="265"/>
      <c r="B187" s="480"/>
      <c r="C187" s="424"/>
      <c r="D187" s="400"/>
      <c r="E187" s="442"/>
      <c r="F187" s="463"/>
      <c r="G187" s="481"/>
      <c r="H187" s="251"/>
    </row>
    <row r="188">
      <c r="A188" s="270"/>
      <c r="B188" s="478"/>
      <c r="C188" s="471"/>
      <c r="D188" s="472"/>
      <c r="E188" s="473"/>
      <c r="F188" s="460"/>
      <c r="G188" s="482"/>
      <c r="H188" s="261"/>
    </row>
    <row r="189">
      <c r="A189" s="262" t="s">
        <v>906</v>
      </c>
      <c r="B189" s="461">
        <v>112500.0</v>
      </c>
      <c r="C189" s="445"/>
      <c r="D189" s="421"/>
      <c r="E189" s="422" t="s">
        <v>306</v>
      </c>
      <c r="F189" s="423"/>
      <c r="G189" s="505" t="s">
        <v>75</v>
      </c>
      <c r="H189" s="245">
        <f>118+70</f>
        <v>188</v>
      </c>
      <c r="I189" s="2" t="s">
        <v>1690</v>
      </c>
    </row>
    <row r="190">
      <c r="A190" s="265"/>
      <c r="B190" s="404"/>
      <c r="C190" s="405"/>
      <c r="D190" s="399"/>
      <c r="E190" s="398"/>
      <c r="F190" s="284">
        <v>2850.0</v>
      </c>
      <c r="G190" s="285" t="s">
        <v>549</v>
      </c>
      <c r="H190" s="267"/>
    </row>
    <row r="191">
      <c r="A191" s="265"/>
      <c r="B191" s="404">
        <v>51464.77</v>
      </c>
      <c r="C191" s="424"/>
      <c r="D191" s="399"/>
      <c r="E191" s="398"/>
      <c r="F191" s="284"/>
      <c r="G191" s="285" t="s">
        <v>82</v>
      </c>
      <c r="H191" s="251"/>
    </row>
    <row r="192">
      <c r="A192" s="265"/>
      <c r="B192" s="404">
        <v>71910.0</v>
      </c>
      <c r="C192" s="405"/>
      <c r="D192" s="399"/>
      <c r="E192" s="398" t="s">
        <v>328</v>
      </c>
      <c r="F192" s="284"/>
      <c r="G192" s="285" t="s">
        <v>1522</v>
      </c>
      <c r="H192" s="267"/>
    </row>
    <row r="193">
      <c r="A193" s="265"/>
      <c r="B193" s="404"/>
      <c r="C193" s="405"/>
      <c r="D193" s="399"/>
      <c r="E193" s="398"/>
      <c r="F193" s="284"/>
      <c r="G193" s="285"/>
      <c r="H193" s="251"/>
    </row>
    <row r="194">
      <c r="A194" s="265"/>
      <c r="B194" s="404"/>
      <c r="C194" s="405"/>
      <c r="D194" s="399"/>
      <c r="E194" s="398"/>
      <c r="F194" s="284"/>
      <c r="G194" s="285"/>
      <c r="H194" s="251"/>
    </row>
    <row r="195">
      <c r="A195" s="265"/>
      <c r="B195" s="404"/>
      <c r="C195" s="424"/>
      <c r="D195" s="399"/>
      <c r="E195" s="398"/>
      <c r="F195" s="284"/>
      <c r="G195" s="285"/>
      <c r="H195" s="251"/>
    </row>
    <row r="196">
      <c r="A196" s="265"/>
      <c r="B196" s="404"/>
      <c r="C196" s="424"/>
      <c r="D196" s="400"/>
      <c r="E196" s="398"/>
      <c r="F196" s="284"/>
      <c r="G196" s="285"/>
      <c r="H196" s="251"/>
      <c r="I196" s="269"/>
      <c r="J196" s="269"/>
      <c r="K196" s="269"/>
    </row>
    <row r="197">
      <c r="A197" s="265"/>
      <c r="B197" s="404"/>
      <c r="C197" s="405"/>
      <c r="D197" s="399"/>
      <c r="E197" s="481"/>
      <c r="F197" s="284"/>
      <c r="G197" s="285"/>
      <c r="H197" s="251"/>
      <c r="I197" s="269"/>
      <c r="J197" s="269"/>
      <c r="K197" s="269"/>
    </row>
    <row r="198">
      <c r="A198" s="265"/>
      <c r="B198" s="440"/>
      <c r="C198" s="424"/>
      <c r="D198" s="399"/>
      <c r="E198" s="285"/>
      <c r="F198" s="284"/>
      <c r="G198" s="285"/>
      <c r="H198" s="251"/>
      <c r="I198" s="254"/>
      <c r="J198" s="269"/>
      <c r="K198" s="269"/>
    </row>
    <row r="199">
      <c r="A199" s="265"/>
      <c r="B199" s="440"/>
      <c r="C199" s="424"/>
      <c r="D199" s="400"/>
      <c r="E199" s="481"/>
      <c r="F199" s="463"/>
      <c r="G199" s="285"/>
      <c r="H199" s="251"/>
      <c r="I199" s="269"/>
      <c r="J199" s="269"/>
      <c r="K199" s="269"/>
    </row>
    <row r="200">
      <c r="A200" s="270"/>
      <c r="B200" s="478"/>
      <c r="C200" s="471"/>
      <c r="D200" s="472"/>
      <c r="E200" s="482"/>
      <c r="F200" s="460"/>
      <c r="G200" s="482"/>
      <c r="H200" s="261"/>
      <c r="I200" s="269"/>
      <c r="J200" s="269"/>
      <c r="K200" s="269"/>
    </row>
    <row r="201">
      <c r="A201" s="262" t="s">
        <v>908</v>
      </c>
      <c r="B201" s="461"/>
      <c r="C201" s="445"/>
      <c r="D201" s="421"/>
      <c r="E201" s="422"/>
      <c r="F201" s="403"/>
      <c r="G201" s="436"/>
      <c r="H201" s="245">
        <f>145+80</f>
        <v>225</v>
      </c>
      <c r="I201" s="254"/>
      <c r="J201" s="254"/>
      <c r="K201" s="254"/>
    </row>
    <row r="202">
      <c r="A202" s="265"/>
      <c r="B202" s="404"/>
      <c r="C202" s="405"/>
      <c r="D202" s="399"/>
      <c r="E202" s="398"/>
      <c r="F202" s="284"/>
      <c r="G202" s="285"/>
      <c r="H202" s="267"/>
      <c r="I202" s="285" t="s">
        <v>1691</v>
      </c>
      <c r="J202" s="254"/>
      <c r="K202" s="254"/>
    </row>
    <row r="203">
      <c r="A203" s="265"/>
      <c r="B203" s="419"/>
      <c r="C203" s="427"/>
      <c r="D203" s="414"/>
      <c r="E203" s="417"/>
      <c r="F203" s="418"/>
      <c r="G203" s="420"/>
      <c r="H203" s="251"/>
      <c r="I203" s="254"/>
      <c r="J203" s="254"/>
      <c r="K203" s="254"/>
    </row>
    <row r="204">
      <c r="A204" s="265"/>
      <c r="B204" s="404"/>
      <c r="C204" s="405"/>
      <c r="D204" s="414"/>
      <c r="E204" s="417"/>
      <c r="F204" s="418"/>
      <c r="G204" s="420"/>
      <c r="H204" s="267"/>
      <c r="I204" s="254"/>
      <c r="J204" s="269"/>
      <c r="K204" s="269"/>
    </row>
    <row r="205">
      <c r="A205" s="265"/>
      <c r="B205" s="404"/>
      <c r="C205" s="405"/>
      <c r="D205" s="399"/>
      <c r="E205" s="398"/>
      <c r="F205" s="284"/>
      <c r="G205" s="285"/>
      <c r="H205" s="251"/>
      <c r="I205" s="269"/>
      <c r="J205" s="269"/>
      <c r="K205" s="269"/>
    </row>
    <row r="206">
      <c r="A206" s="265"/>
      <c r="B206" s="404"/>
      <c r="C206" s="405"/>
      <c r="D206" s="399"/>
      <c r="E206" s="398"/>
      <c r="F206" s="284"/>
      <c r="G206" s="285"/>
      <c r="H206" s="251"/>
      <c r="I206" s="269"/>
      <c r="J206" s="269"/>
      <c r="K206" s="269"/>
    </row>
    <row r="207">
      <c r="A207" s="265"/>
      <c r="B207" s="404"/>
      <c r="C207" s="424"/>
      <c r="D207" s="399"/>
      <c r="E207" s="398"/>
      <c r="F207" s="284"/>
      <c r="G207" s="285"/>
      <c r="H207" s="267"/>
      <c r="I207" s="254"/>
      <c r="J207" s="269"/>
      <c r="K207" s="269"/>
    </row>
    <row r="208">
      <c r="A208" s="265"/>
      <c r="B208" s="404"/>
      <c r="C208" s="424"/>
      <c r="D208" s="399"/>
      <c r="E208" s="398"/>
      <c r="F208" s="284"/>
      <c r="G208" s="398"/>
      <c r="H208" s="251"/>
      <c r="I208" s="254"/>
      <c r="J208" s="269"/>
      <c r="K208" s="269"/>
    </row>
    <row r="209">
      <c r="A209" s="265"/>
      <c r="B209" s="404"/>
      <c r="C209" s="424"/>
      <c r="D209" s="399"/>
      <c r="E209" s="398"/>
      <c r="F209" s="284"/>
      <c r="G209" s="285"/>
      <c r="H209" s="251"/>
      <c r="I209" s="269"/>
      <c r="J209" s="269"/>
      <c r="K209" s="269"/>
    </row>
    <row r="210">
      <c r="A210" s="265"/>
      <c r="B210" s="404"/>
      <c r="C210" s="424"/>
      <c r="D210" s="400"/>
      <c r="E210" s="442"/>
      <c r="F210" s="284"/>
      <c r="G210" s="285"/>
      <c r="H210" s="251"/>
    </row>
    <row r="211">
      <c r="A211" s="265"/>
      <c r="B211" s="404"/>
      <c r="C211" s="424"/>
      <c r="D211" s="400"/>
      <c r="E211" s="442"/>
      <c r="F211" s="284"/>
      <c r="G211" s="285"/>
      <c r="H211" s="251"/>
    </row>
    <row r="212">
      <c r="A212" s="265"/>
      <c r="B212" s="440"/>
      <c r="C212" s="424"/>
      <c r="D212" s="400"/>
      <c r="E212" s="442"/>
      <c r="F212" s="284"/>
      <c r="G212" s="285"/>
      <c r="H212" s="251"/>
    </row>
    <row r="213">
      <c r="A213" s="265"/>
      <c r="B213" s="480"/>
      <c r="C213" s="424"/>
      <c r="D213" s="400"/>
      <c r="E213" s="442"/>
      <c r="F213" s="463"/>
      <c r="G213" s="481"/>
      <c r="H213" s="251"/>
    </row>
    <row r="214">
      <c r="A214" s="265"/>
      <c r="B214" s="480"/>
      <c r="C214" s="424"/>
      <c r="D214" s="400"/>
      <c r="E214" s="442"/>
      <c r="F214" s="463"/>
      <c r="G214" s="481"/>
      <c r="H214" s="251"/>
    </row>
    <row r="215">
      <c r="A215" s="270"/>
      <c r="B215" s="478"/>
      <c r="C215" s="471"/>
      <c r="D215" s="472"/>
      <c r="E215" s="473"/>
      <c r="F215" s="460"/>
      <c r="G215" s="482"/>
      <c r="H215" s="261"/>
    </row>
    <row r="216">
      <c r="A216" s="262" t="s">
        <v>909</v>
      </c>
      <c r="B216" s="461">
        <f>93000</f>
        <v>93000</v>
      </c>
      <c r="C216" s="445"/>
      <c r="D216" s="421"/>
      <c r="E216" s="422" t="s">
        <v>306</v>
      </c>
      <c r="F216" s="423"/>
      <c r="G216" s="417" t="s">
        <v>1692</v>
      </c>
      <c r="H216" s="245">
        <v>468.0</v>
      </c>
    </row>
    <row r="217">
      <c r="A217" s="265"/>
      <c r="B217" s="404">
        <v>57000.0</v>
      </c>
      <c r="C217" s="405"/>
      <c r="D217" s="399"/>
      <c r="E217" s="398"/>
      <c r="F217" s="284"/>
      <c r="G217" s="285" t="s">
        <v>68</v>
      </c>
      <c r="H217" s="267"/>
    </row>
    <row r="218">
      <c r="A218" s="265"/>
      <c r="B218" s="404">
        <v>19364.94</v>
      </c>
      <c r="C218" s="405"/>
      <c r="D218" s="399"/>
      <c r="E218" s="398"/>
      <c r="F218" s="284"/>
      <c r="G218" s="285" t="s">
        <v>82</v>
      </c>
      <c r="H218" s="251"/>
    </row>
    <row r="219">
      <c r="A219" s="265"/>
      <c r="B219" s="404">
        <v>79203.8</v>
      </c>
      <c r="C219" s="405"/>
      <c r="D219" s="399"/>
      <c r="E219" s="398" t="s">
        <v>328</v>
      </c>
      <c r="F219" s="284"/>
      <c r="G219" s="285" t="s">
        <v>1693</v>
      </c>
      <c r="H219" s="251"/>
    </row>
    <row r="220">
      <c r="A220" s="265"/>
      <c r="B220" s="419"/>
      <c r="C220" s="434"/>
      <c r="D220" s="414"/>
      <c r="E220" s="417"/>
      <c r="F220" s="284">
        <f>16031.35+7374.51</f>
        <v>23405.86</v>
      </c>
      <c r="G220" s="285" t="s">
        <v>97</v>
      </c>
      <c r="H220" s="267"/>
    </row>
    <row r="221">
      <c r="A221" s="265"/>
      <c r="B221" s="404"/>
      <c r="C221" s="405"/>
      <c r="D221" s="399"/>
      <c r="E221" s="398"/>
      <c r="F221" s="284">
        <v>8600.0</v>
      </c>
      <c r="G221" s="285" t="s">
        <v>1694</v>
      </c>
      <c r="H221" s="267"/>
    </row>
    <row r="222">
      <c r="A222" s="265"/>
      <c r="B222" s="404"/>
      <c r="C222" s="405"/>
      <c r="D222" s="414"/>
      <c r="E222" s="528"/>
      <c r="F222" s="529"/>
      <c r="G222" s="420"/>
      <c r="H222" s="251"/>
    </row>
    <row r="223">
      <c r="A223" s="265"/>
      <c r="B223" s="404"/>
      <c r="C223" s="424"/>
      <c r="D223" s="400"/>
      <c r="E223" s="512"/>
      <c r="F223" s="513"/>
      <c r="G223" s="285"/>
      <c r="H223" s="251"/>
    </row>
    <row r="224">
      <c r="A224" s="265"/>
      <c r="B224" s="404"/>
      <c r="C224" s="424"/>
      <c r="D224" s="399"/>
      <c r="E224" s="398"/>
      <c r="F224" s="284"/>
      <c r="G224" s="285"/>
      <c r="H224" s="251"/>
    </row>
    <row r="225">
      <c r="A225" s="265"/>
      <c r="B225" s="404"/>
      <c r="C225" s="424"/>
      <c r="D225" s="400"/>
      <c r="E225" s="442"/>
      <c r="F225" s="284"/>
      <c r="G225" s="285"/>
      <c r="H225" s="251"/>
    </row>
    <row r="226">
      <c r="A226" s="265"/>
      <c r="B226" s="480"/>
      <c r="C226" s="424"/>
      <c r="D226" s="400"/>
      <c r="E226" s="442"/>
      <c r="F226" s="284"/>
      <c r="G226" s="285"/>
      <c r="H226" s="251"/>
    </row>
    <row r="227">
      <c r="A227" s="265"/>
      <c r="B227" s="480"/>
      <c r="C227" s="424"/>
      <c r="D227" s="400"/>
      <c r="E227" s="442"/>
      <c r="F227" s="284"/>
      <c r="G227" s="481"/>
      <c r="H227" s="251"/>
    </row>
    <row r="228">
      <c r="A228" s="265"/>
      <c r="B228" s="480"/>
      <c r="C228" s="424"/>
      <c r="D228" s="400"/>
      <c r="E228" s="442"/>
      <c r="F228" s="284"/>
      <c r="G228" s="481"/>
      <c r="H228" s="251"/>
    </row>
    <row r="229">
      <c r="A229" s="270"/>
      <c r="B229" s="478"/>
      <c r="C229" s="471"/>
      <c r="D229" s="472"/>
      <c r="E229" s="473"/>
      <c r="F229" s="460"/>
      <c r="G229" s="482"/>
      <c r="H229" s="261"/>
    </row>
    <row r="230">
      <c r="A230" s="262" t="s">
        <v>911</v>
      </c>
      <c r="B230" s="425"/>
      <c r="C230" s="426"/>
      <c r="D230" s="421"/>
      <c r="E230" s="402"/>
      <c r="F230" s="403">
        <v>5548.0</v>
      </c>
      <c r="G230" s="436" t="s">
        <v>97</v>
      </c>
      <c r="H230" s="245">
        <v>360.0</v>
      </c>
    </row>
    <row r="231">
      <c r="A231" s="265"/>
      <c r="B231" s="404">
        <v>55600.0</v>
      </c>
      <c r="C231" s="405"/>
      <c r="D231" s="399"/>
      <c r="E231" s="398" t="s">
        <v>328</v>
      </c>
      <c r="F231" s="284"/>
      <c r="G231" s="285" t="s">
        <v>128</v>
      </c>
      <c r="H231" s="251"/>
    </row>
    <row r="232">
      <c r="A232" s="265"/>
      <c r="B232" s="404">
        <v>20726.0</v>
      </c>
      <c r="C232" s="427"/>
      <c r="D232" s="399"/>
      <c r="E232" s="398"/>
      <c r="F232" s="284"/>
      <c r="G232" s="285" t="s">
        <v>81</v>
      </c>
      <c r="H232" s="267"/>
    </row>
    <row r="233">
      <c r="A233" s="265"/>
      <c r="B233" s="419"/>
      <c r="C233" s="427"/>
      <c r="D233" s="414"/>
      <c r="E233" s="417"/>
      <c r="F233" s="418"/>
      <c r="G233" s="420"/>
      <c r="H233" s="267"/>
    </row>
    <row r="234">
      <c r="A234" s="265"/>
      <c r="B234" s="419"/>
      <c r="C234" s="427"/>
      <c r="D234" s="414"/>
      <c r="E234" s="417"/>
      <c r="F234" s="418"/>
      <c r="G234" s="420"/>
      <c r="H234" s="251"/>
    </row>
    <row r="235">
      <c r="A235" s="265"/>
      <c r="B235" s="404"/>
      <c r="C235" s="405"/>
      <c r="D235" s="399"/>
      <c r="E235" s="442"/>
      <c r="F235" s="284"/>
      <c r="G235" s="285"/>
      <c r="H235" s="251"/>
    </row>
    <row r="236">
      <c r="A236" s="265"/>
      <c r="B236" s="404"/>
      <c r="C236" s="424"/>
      <c r="D236" s="399"/>
      <c r="E236" s="442"/>
      <c r="F236" s="284"/>
      <c r="G236" s="285"/>
      <c r="H236" s="251"/>
    </row>
    <row r="237">
      <c r="A237" s="265"/>
      <c r="B237" s="404"/>
      <c r="C237" s="405"/>
      <c r="D237" s="400"/>
      <c r="E237" s="442"/>
      <c r="F237" s="284"/>
      <c r="G237" s="285"/>
      <c r="H237" s="267"/>
    </row>
    <row r="238">
      <c r="A238" s="265"/>
      <c r="B238" s="404"/>
      <c r="C238" s="424"/>
      <c r="D238" s="400"/>
      <c r="E238" s="442"/>
      <c r="F238" s="284"/>
      <c r="G238" s="285"/>
      <c r="H238" s="251"/>
    </row>
    <row r="239">
      <c r="A239" s="265"/>
      <c r="B239" s="404"/>
      <c r="C239" s="424"/>
      <c r="D239" s="399"/>
      <c r="E239" s="398"/>
      <c r="F239" s="284"/>
      <c r="G239" s="285"/>
      <c r="H239" s="251"/>
    </row>
    <row r="240">
      <c r="A240" s="265"/>
      <c r="B240" s="404"/>
      <c r="C240" s="424"/>
      <c r="D240" s="399"/>
      <c r="E240" s="442"/>
      <c r="F240" s="284"/>
      <c r="G240" s="285"/>
      <c r="H240" s="267"/>
    </row>
    <row r="241">
      <c r="A241" s="265"/>
      <c r="B241" s="477"/>
      <c r="C241" s="424"/>
      <c r="D241" s="399"/>
      <c r="E241" s="442"/>
      <c r="F241" s="284"/>
      <c r="G241" s="285"/>
      <c r="H241" s="251"/>
    </row>
    <row r="242">
      <c r="A242" s="265"/>
      <c r="B242" s="477"/>
      <c r="C242" s="424"/>
      <c r="D242" s="400"/>
      <c r="E242" s="442"/>
      <c r="F242" s="284"/>
      <c r="G242" s="285"/>
      <c r="H242" s="251"/>
    </row>
    <row r="243">
      <c r="A243" s="265"/>
      <c r="B243" s="477"/>
      <c r="C243" s="424"/>
      <c r="D243" s="400"/>
      <c r="E243" s="442"/>
      <c r="F243" s="284"/>
      <c r="G243" s="285"/>
      <c r="H243" s="251"/>
    </row>
    <row r="244">
      <c r="A244" s="270"/>
      <c r="B244" s="478"/>
      <c r="C244" s="471"/>
      <c r="D244" s="472"/>
      <c r="E244" s="473"/>
      <c r="F244" s="474"/>
      <c r="G244" s="475"/>
      <c r="H244" s="261"/>
    </row>
    <row r="245">
      <c r="A245" s="262" t="s">
        <v>917</v>
      </c>
      <c r="B245" s="461">
        <f>58500-13000</f>
        <v>45500</v>
      </c>
      <c r="C245" s="445"/>
      <c r="D245" s="414"/>
      <c r="E245" s="417" t="s">
        <v>306</v>
      </c>
      <c r="F245" s="418"/>
      <c r="G245" s="420" t="s">
        <v>1695</v>
      </c>
      <c r="H245" s="245">
        <v>32.0</v>
      </c>
      <c r="I245" s="2" t="s">
        <v>1696</v>
      </c>
    </row>
    <row r="246">
      <c r="A246" s="265"/>
      <c r="B246" s="419">
        <v>462401.5</v>
      </c>
      <c r="C246" s="427"/>
      <c r="D246" s="414"/>
      <c r="E246" s="417" t="s">
        <v>306</v>
      </c>
      <c r="F246" s="418"/>
      <c r="G246" s="420" t="s">
        <v>877</v>
      </c>
      <c r="H246" s="267"/>
    </row>
    <row r="247">
      <c r="A247" s="265"/>
      <c r="B247" s="404">
        <v>207858.83</v>
      </c>
      <c r="C247" s="405"/>
      <c r="D247" s="399"/>
      <c r="E247" s="398" t="s">
        <v>328</v>
      </c>
      <c r="F247" s="284"/>
      <c r="G247" s="285" t="s">
        <v>114</v>
      </c>
      <c r="H247" s="251"/>
    </row>
    <row r="248">
      <c r="A248" s="265"/>
      <c r="B248" s="404"/>
      <c r="C248" s="405"/>
      <c r="D248" s="399"/>
      <c r="E248" s="398"/>
      <c r="F248" s="284">
        <v>1620.0</v>
      </c>
      <c r="G248" s="285" t="s">
        <v>97</v>
      </c>
      <c r="H248" s="251"/>
    </row>
    <row r="249">
      <c r="A249" s="265"/>
      <c r="B249" s="404">
        <v>59266.0</v>
      </c>
      <c r="C249" s="405"/>
      <c r="D249" s="399"/>
      <c r="E249" s="398"/>
      <c r="F249" s="284"/>
      <c r="G249" s="285" t="s">
        <v>1697</v>
      </c>
      <c r="H249" s="251"/>
    </row>
    <row r="250">
      <c r="A250" s="265"/>
      <c r="B250" s="404">
        <v>69490.0</v>
      </c>
      <c r="C250" s="405"/>
      <c r="D250" s="399"/>
      <c r="E250" s="442"/>
      <c r="F250" s="284"/>
      <c r="G250" s="285" t="s">
        <v>118</v>
      </c>
      <c r="H250" s="251"/>
    </row>
    <row r="251">
      <c r="A251" s="265"/>
      <c r="B251" s="404"/>
      <c r="C251" s="405"/>
      <c r="D251" s="399"/>
      <c r="E251" s="442"/>
      <c r="F251" s="284"/>
      <c r="G251" s="285"/>
      <c r="H251" s="267"/>
    </row>
    <row r="252">
      <c r="A252" s="265"/>
      <c r="B252" s="404"/>
      <c r="C252" s="405"/>
      <c r="D252" s="399"/>
      <c r="E252" s="442"/>
      <c r="F252" s="284"/>
      <c r="G252" s="285"/>
      <c r="H252" s="267"/>
    </row>
    <row r="253">
      <c r="A253" s="265"/>
      <c r="B253" s="404"/>
      <c r="C253" s="424"/>
      <c r="D253" s="399"/>
      <c r="E253" s="442"/>
      <c r="F253" s="284"/>
      <c r="G253" s="285"/>
      <c r="H253" s="267"/>
    </row>
    <row r="254">
      <c r="A254" s="265"/>
      <c r="B254" s="404"/>
      <c r="C254" s="424"/>
      <c r="D254" s="489"/>
      <c r="E254" s="490"/>
      <c r="F254" s="451"/>
      <c r="G254" s="435"/>
      <c r="H254" s="251"/>
    </row>
    <row r="255">
      <c r="A255" s="265"/>
      <c r="B255" s="404"/>
      <c r="C255" s="424"/>
      <c r="D255" s="400"/>
      <c r="E255" s="442"/>
      <c r="F255" s="284"/>
      <c r="G255" s="285"/>
      <c r="H255" s="251"/>
    </row>
    <row r="256">
      <c r="A256" s="265"/>
      <c r="B256" s="477"/>
      <c r="C256" s="424"/>
      <c r="D256" s="400"/>
      <c r="E256" s="442"/>
      <c r="F256" s="284"/>
      <c r="G256" s="481"/>
      <c r="H256" s="251"/>
    </row>
    <row r="257">
      <c r="A257" s="270"/>
      <c r="B257" s="478"/>
      <c r="C257" s="471"/>
      <c r="D257" s="472"/>
      <c r="E257" s="473"/>
      <c r="F257" s="474"/>
      <c r="G257" s="475"/>
      <c r="H257" s="261"/>
    </row>
    <row r="258">
      <c r="A258" s="262" t="s">
        <v>921</v>
      </c>
      <c r="B258" s="461"/>
      <c r="C258" s="445"/>
      <c r="D258" s="414"/>
      <c r="E258" s="417"/>
      <c r="F258" s="284">
        <v>1620.0</v>
      </c>
      <c r="G258" s="285" t="s">
        <v>1348</v>
      </c>
      <c r="H258" s="245">
        <f>140+170</f>
        <v>310</v>
      </c>
    </row>
    <row r="259">
      <c r="A259" s="265"/>
      <c r="B259" s="404">
        <v>30000.0</v>
      </c>
      <c r="C259" s="405"/>
      <c r="D259" s="399"/>
      <c r="E259" s="398"/>
      <c r="F259" s="284"/>
      <c r="G259" s="285" t="s">
        <v>612</v>
      </c>
      <c r="H259" s="267"/>
      <c r="I259" s="417"/>
    </row>
    <row r="260">
      <c r="A260" s="265"/>
      <c r="B260" s="419">
        <f>189067.46+108280.35</f>
        <v>297347.81</v>
      </c>
      <c r="C260" s="427"/>
      <c r="D260" s="414"/>
      <c r="E260" s="417" t="s">
        <v>306</v>
      </c>
      <c r="F260" s="418"/>
      <c r="G260" s="420" t="s">
        <v>1698</v>
      </c>
      <c r="H260" s="267"/>
    </row>
    <row r="261">
      <c r="A261" s="265"/>
      <c r="B261" s="404"/>
      <c r="C261" s="405"/>
      <c r="D261" s="414"/>
      <c r="E261" s="417"/>
      <c r="F261" s="284">
        <v>7000.0</v>
      </c>
      <c r="G261" s="285" t="s">
        <v>1699</v>
      </c>
      <c r="H261" s="251"/>
      <c r="I261" s="417"/>
    </row>
    <row r="262">
      <c r="A262" s="265"/>
      <c r="B262" s="404">
        <v>50000.0</v>
      </c>
      <c r="C262" s="405"/>
      <c r="D262" s="414"/>
      <c r="E262" s="417"/>
      <c r="F262" s="284"/>
      <c r="G262" s="285" t="s">
        <v>776</v>
      </c>
      <c r="H262" s="251"/>
    </row>
    <row r="263">
      <c r="A263" s="265"/>
      <c r="B263" s="404"/>
      <c r="C263" s="405"/>
      <c r="D263" s="399"/>
      <c r="E263" s="398"/>
      <c r="F263" s="284">
        <v>8000.0</v>
      </c>
      <c r="G263" s="285" t="s">
        <v>1700</v>
      </c>
      <c r="H263" s="251"/>
    </row>
    <row r="264">
      <c r="A264" s="265"/>
      <c r="B264" s="419"/>
      <c r="C264" s="427"/>
      <c r="D264" s="414"/>
      <c r="E264" s="417"/>
      <c r="F264" s="418"/>
      <c r="G264" s="420"/>
      <c r="H264" s="251"/>
      <c r="I264" s="4"/>
    </row>
    <row r="265">
      <c r="A265" s="265"/>
      <c r="B265" s="404"/>
      <c r="C265" s="405"/>
      <c r="D265" s="399"/>
      <c r="E265" s="442"/>
      <c r="F265" s="284"/>
      <c r="G265" s="285"/>
      <c r="H265" s="251"/>
      <c r="I265" s="4"/>
      <c r="J265" s="4"/>
      <c r="K265" s="4"/>
    </row>
    <row r="266">
      <c r="A266" s="265"/>
      <c r="B266" s="404"/>
      <c r="C266" s="424"/>
      <c r="D266" s="399"/>
      <c r="E266" s="442"/>
      <c r="F266" s="284"/>
      <c r="G266" s="285"/>
      <c r="H266" s="251"/>
    </row>
    <row r="267">
      <c r="A267" s="265"/>
      <c r="B267" s="404"/>
      <c r="C267" s="424"/>
      <c r="D267" s="399"/>
      <c r="E267" s="442"/>
      <c r="F267" s="284"/>
      <c r="G267" s="285"/>
      <c r="H267" s="251"/>
    </row>
    <row r="268">
      <c r="A268" s="265"/>
      <c r="B268" s="404"/>
      <c r="C268" s="424"/>
      <c r="D268" s="400"/>
      <c r="E268" s="442"/>
      <c r="F268" s="284"/>
      <c r="G268" s="285"/>
      <c r="H268" s="251"/>
    </row>
    <row r="269">
      <c r="A269" s="265"/>
      <c r="B269" s="477"/>
      <c r="C269" s="424"/>
      <c r="D269" s="400"/>
      <c r="E269" s="442"/>
      <c r="F269" s="284"/>
      <c r="G269" s="285"/>
      <c r="H269" s="251"/>
    </row>
    <row r="270">
      <c r="A270" s="265"/>
      <c r="B270" s="477"/>
      <c r="C270" s="424"/>
      <c r="D270" s="400"/>
      <c r="E270" s="442"/>
      <c r="F270" s="284"/>
      <c r="G270" s="285"/>
      <c r="H270" s="251"/>
    </row>
    <row r="271">
      <c r="A271" s="265"/>
      <c r="B271" s="480"/>
      <c r="C271" s="424"/>
      <c r="D271" s="400"/>
      <c r="E271" s="442"/>
      <c r="F271" s="284"/>
      <c r="G271" s="285"/>
      <c r="H271" s="251"/>
    </row>
    <row r="272">
      <c r="A272" s="265"/>
      <c r="B272" s="480"/>
      <c r="C272" s="424"/>
      <c r="D272" s="400"/>
      <c r="E272" s="442"/>
      <c r="F272" s="463"/>
      <c r="G272" s="481"/>
      <c r="H272" s="251"/>
    </row>
    <row r="273">
      <c r="A273" s="270"/>
      <c r="B273" s="478"/>
      <c r="C273" s="471"/>
      <c r="D273" s="472"/>
      <c r="E273" s="473"/>
      <c r="F273" s="460"/>
      <c r="G273" s="482"/>
      <c r="H273" s="261"/>
    </row>
    <row r="274">
      <c r="A274" s="262" t="s">
        <v>922</v>
      </c>
      <c r="B274" s="461">
        <v>204600.0</v>
      </c>
      <c r="C274" s="445"/>
      <c r="D274" s="421"/>
      <c r="E274" s="422" t="s">
        <v>306</v>
      </c>
      <c r="F274" s="423"/>
      <c r="G274" s="505" t="s">
        <v>122</v>
      </c>
      <c r="H274" s="245">
        <v>110.0</v>
      </c>
      <c r="I274" s="2" t="s">
        <v>1145</v>
      </c>
    </row>
    <row r="275">
      <c r="A275" s="265"/>
      <c r="B275" s="419">
        <v>55000.0</v>
      </c>
      <c r="C275" s="427"/>
      <c r="D275" s="414"/>
      <c r="E275" s="417" t="s">
        <v>306</v>
      </c>
      <c r="F275" s="418"/>
      <c r="G275" s="420" t="s">
        <v>75</v>
      </c>
      <c r="H275" s="267"/>
    </row>
    <row r="276">
      <c r="A276" s="265"/>
      <c r="B276" s="404">
        <f>38272.43+38729.87</f>
        <v>77002.3</v>
      </c>
      <c r="C276" s="427"/>
      <c r="D276" s="414"/>
      <c r="E276" s="417"/>
      <c r="F276" s="284"/>
      <c r="G276" s="285" t="s">
        <v>1701</v>
      </c>
      <c r="H276" s="251"/>
    </row>
    <row r="277">
      <c r="A277" s="265"/>
      <c r="B277" s="419"/>
      <c r="C277" s="427"/>
      <c r="D277" s="414"/>
      <c r="E277" s="417"/>
      <c r="F277" s="418"/>
      <c r="G277" s="420"/>
      <c r="H277" s="251"/>
    </row>
    <row r="278">
      <c r="A278" s="265"/>
      <c r="B278" s="419"/>
      <c r="C278" s="434"/>
      <c r="D278" s="414"/>
      <c r="E278" s="417"/>
      <c r="F278" s="418"/>
      <c r="G278" s="420"/>
      <c r="H278" s="251"/>
    </row>
    <row r="279">
      <c r="A279" s="265"/>
      <c r="B279" s="404"/>
      <c r="C279" s="405"/>
      <c r="D279" s="399"/>
      <c r="E279" s="398"/>
      <c r="F279" s="284"/>
      <c r="G279" s="285"/>
      <c r="H279" s="267"/>
    </row>
    <row r="280">
      <c r="A280" s="265"/>
      <c r="B280" s="419"/>
      <c r="C280" s="427"/>
      <c r="D280" s="414"/>
      <c r="E280" s="417"/>
      <c r="F280" s="418"/>
      <c r="G280" s="420"/>
      <c r="H280" s="267"/>
    </row>
    <row r="281">
      <c r="A281" s="265"/>
      <c r="B281" s="404"/>
      <c r="C281" s="405"/>
      <c r="D281" s="399"/>
      <c r="E281" s="398"/>
      <c r="F281" s="284"/>
      <c r="G281" s="285"/>
      <c r="H281" s="267"/>
    </row>
    <row r="282">
      <c r="A282" s="265"/>
      <c r="B282" s="404"/>
      <c r="C282" s="424"/>
      <c r="D282" s="399"/>
      <c r="E282" s="398"/>
      <c r="F282" s="284"/>
      <c r="G282" s="285"/>
      <c r="H282" s="267"/>
    </row>
    <row r="283">
      <c r="A283" s="265"/>
      <c r="B283" s="477"/>
      <c r="C283" s="424"/>
      <c r="D283" s="399"/>
      <c r="E283" s="442"/>
      <c r="F283" s="284"/>
      <c r="G283" s="285"/>
      <c r="H283" s="267"/>
    </row>
    <row r="284">
      <c r="A284" s="265"/>
      <c r="B284" s="477"/>
      <c r="C284" s="424"/>
      <c r="D284" s="400"/>
      <c r="E284" s="442"/>
      <c r="F284" s="284"/>
      <c r="G284" s="285"/>
      <c r="H284" s="251"/>
    </row>
    <row r="285">
      <c r="A285" s="265"/>
      <c r="B285" s="477"/>
      <c r="C285" s="424"/>
      <c r="D285" s="400"/>
      <c r="E285" s="442"/>
      <c r="F285" s="284"/>
      <c r="G285" s="285"/>
      <c r="H285" s="251"/>
    </row>
    <row r="286">
      <c r="A286" s="265"/>
      <c r="B286" s="477"/>
      <c r="C286" s="424"/>
      <c r="D286" s="400"/>
      <c r="E286" s="442"/>
      <c r="F286" s="284"/>
      <c r="G286" s="285"/>
      <c r="H286" s="251"/>
    </row>
    <row r="287">
      <c r="A287" s="265"/>
      <c r="B287" s="477"/>
      <c r="C287" s="424"/>
      <c r="D287" s="400"/>
      <c r="E287" s="442"/>
      <c r="F287" s="284"/>
      <c r="G287" s="481"/>
      <c r="H287" s="251"/>
    </row>
    <row r="288">
      <c r="A288" s="270"/>
      <c r="B288" s="478"/>
      <c r="C288" s="471"/>
      <c r="D288" s="472"/>
      <c r="E288" s="473"/>
      <c r="F288" s="460"/>
      <c r="G288" s="482"/>
      <c r="H288" s="261"/>
    </row>
    <row r="289">
      <c r="A289" s="262" t="s">
        <v>925</v>
      </c>
      <c r="B289" s="461"/>
      <c r="C289" s="445"/>
      <c r="D289" s="421"/>
      <c r="E289" s="422"/>
      <c r="F289" s="418"/>
      <c r="G289" s="420"/>
      <c r="H289" s="245">
        <v>242.0</v>
      </c>
      <c r="I289" s="2" t="s">
        <v>1145</v>
      </c>
    </row>
    <row r="290">
      <c r="A290" s="265"/>
      <c r="B290" s="419"/>
      <c r="C290" s="427"/>
      <c r="D290" s="414"/>
      <c r="E290" s="417"/>
      <c r="F290" s="418"/>
      <c r="G290" s="420"/>
      <c r="H290" s="267"/>
    </row>
    <row r="291">
      <c r="A291" s="265"/>
      <c r="B291" s="419"/>
      <c r="C291" s="427"/>
      <c r="D291" s="414"/>
      <c r="E291" s="417"/>
      <c r="F291" s="418"/>
      <c r="G291" s="420"/>
      <c r="H291" s="251"/>
      <c r="I291" s="491"/>
    </row>
    <row r="292">
      <c r="A292" s="265"/>
      <c r="B292" s="419"/>
      <c r="C292" s="427"/>
      <c r="D292" s="414"/>
      <c r="E292" s="417"/>
      <c r="F292" s="418"/>
      <c r="G292" s="420"/>
      <c r="H292" s="251"/>
    </row>
    <row r="293">
      <c r="A293" s="265"/>
      <c r="B293" s="419"/>
      <c r="C293" s="427"/>
      <c r="D293" s="414"/>
      <c r="E293" s="417"/>
      <c r="F293" s="418"/>
      <c r="G293" s="420"/>
      <c r="H293" s="267"/>
    </row>
    <row r="294">
      <c r="A294" s="265"/>
      <c r="B294" s="404"/>
      <c r="C294" s="405"/>
      <c r="D294" s="399"/>
      <c r="E294" s="442"/>
      <c r="F294" s="284"/>
      <c r="G294" s="285"/>
      <c r="H294" s="267"/>
    </row>
    <row r="295">
      <c r="A295" s="265"/>
      <c r="B295" s="404"/>
      <c r="C295" s="424"/>
      <c r="D295" s="399"/>
      <c r="E295" s="398"/>
      <c r="F295" s="284"/>
      <c r="G295" s="285"/>
      <c r="H295" s="251"/>
    </row>
    <row r="296">
      <c r="A296" s="265"/>
      <c r="B296" s="419"/>
      <c r="C296" s="427"/>
      <c r="D296" s="414"/>
      <c r="E296" s="417"/>
      <c r="F296" s="418"/>
      <c r="G296" s="420"/>
      <c r="H296" s="251"/>
    </row>
    <row r="297">
      <c r="A297" s="265"/>
      <c r="B297" s="477"/>
      <c r="C297" s="424"/>
      <c r="D297" s="400"/>
      <c r="E297" s="442"/>
      <c r="F297" s="284"/>
      <c r="G297" s="285"/>
      <c r="H297" s="251"/>
    </row>
    <row r="298">
      <c r="A298" s="265"/>
      <c r="B298" s="477"/>
      <c r="C298" s="424"/>
      <c r="D298" s="400"/>
      <c r="E298" s="442"/>
      <c r="F298" s="284"/>
      <c r="G298" s="285"/>
      <c r="H298" s="251"/>
    </row>
    <row r="299">
      <c r="A299" s="265"/>
      <c r="B299" s="404"/>
      <c r="C299" s="424"/>
      <c r="D299" s="400"/>
      <c r="E299" s="442"/>
      <c r="F299" s="284"/>
      <c r="G299" s="285"/>
      <c r="H299" s="251"/>
    </row>
    <row r="300">
      <c r="A300" s="265"/>
      <c r="B300" s="404"/>
      <c r="C300" s="424"/>
      <c r="D300" s="400"/>
      <c r="E300" s="442"/>
      <c r="F300" s="284"/>
      <c r="G300" s="285"/>
      <c r="H300" s="251"/>
    </row>
    <row r="301">
      <c r="A301" s="265"/>
      <c r="B301" s="477"/>
      <c r="C301" s="424"/>
      <c r="D301" s="400"/>
      <c r="E301" s="442"/>
      <c r="F301" s="284"/>
      <c r="G301" s="285"/>
      <c r="H301" s="251"/>
    </row>
    <row r="302">
      <c r="A302" s="265"/>
      <c r="B302" s="477"/>
      <c r="C302" s="424"/>
      <c r="D302" s="400"/>
      <c r="E302" s="442"/>
      <c r="F302" s="284"/>
      <c r="G302" s="481"/>
      <c r="H302" s="251"/>
    </row>
    <row r="303">
      <c r="A303" s="270"/>
      <c r="B303" s="478"/>
      <c r="C303" s="471"/>
      <c r="D303" s="472"/>
      <c r="E303" s="473"/>
      <c r="F303" s="460"/>
      <c r="G303" s="473"/>
      <c r="H303" s="261"/>
    </row>
    <row r="304">
      <c r="A304" s="262" t="s">
        <v>928</v>
      </c>
      <c r="B304" s="461">
        <v>95000.0</v>
      </c>
      <c r="C304" s="445"/>
      <c r="D304" s="421"/>
      <c r="E304" s="422" t="s">
        <v>306</v>
      </c>
      <c r="F304" s="423"/>
      <c r="G304" s="422" t="s">
        <v>75</v>
      </c>
      <c r="H304" s="245">
        <v>130.0</v>
      </c>
      <c r="I304" s="2" t="s">
        <v>1702</v>
      </c>
    </row>
    <row r="305">
      <c r="A305" s="265"/>
      <c r="B305" s="404">
        <v>55043.3</v>
      </c>
      <c r="C305" s="405"/>
      <c r="D305" s="399"/>
      <c r="E305" s="398" t="s">
        <v>328</v>
      </c>
      <c r="F305" s="284"/>
      <c r="G305" s="398" t="s">
        <v>1703</v>
      </c>
      <c r="H305" s="267"/>
    </row>
    <row r="306">
      <c r="A306" s="265"/>
      <c r="B306" s="404"/>
      <c r="C306" s="405"/>
      <c r="D306" s="399"/>
      <c r="E306" s="398"/>
      <c r="F306" s="284">
        <v>10000.0</v>
      </c>
      <c r="G306" s="398" t="s">
        <v>85</v>
      </c>
      <c r="H306" s="251"/>
    </row>
    <row r="307">
      <c r="A307" s="265"/>
      <c r="B307" s="404">
        <v>38729.87</v>
      </c>
      <c r="C307" s="405"/>
      <c r="D307" s="399"/>
      <c r="E307" s="398"/>
      <c r="F307" s="284"/>
      <c r="G307" s="398" t="s">
        <v>82</v>
      </c>
      <c r="H307" s="251"/>
    </row>
    <row r="308">
      <c r="A308" s="265"/>
      <c r="B308" s="404">
        <v>20400.0</v>
      </c>
      <c r="C308" s="405"/>
      <c r="D308" s="399"/>
      <c r="E308" s="398"/>
      <c r="F308" s="284"/>
      <c r="G308" s="398" t="s">
        <v>549</v>
      </c>
      <c r="H308" s="251"/>
    </row>
    <row r="309">
      <c r="A309" s="265"/>
      <c r="B309" s="404">
        <v>1300.0</v>
      </c>
      <c r="C309" s="405"/>
      <c r="D309" s="399"/>
      <c r="E309" s="398"/>
      <c r="F309" s="284"/>
      <c r="G309" s="398" t="s">
        <v>588</v>
      </c>
      <c r="H309" s="251"/>
    </row>
    <row r="310">
      <c r="A310" s="265"/>
      <c r="B310" s="404">
        <v>24785.0</v>
      </c>
      <c r="C310" s="405"/>
      <c r="D310" s="399"/>
      <c r="E310" s="398"/>
      <c r="F310" s="284"/>
      <c r="G310" s="398" t="s">
        <v>1704</v>
      </c>
      <c r="H310" s="251"/>
    </row>
    <row r="311">
      <c r="A311" s="265"/>
      <c r="B311" s="419"/>
      <c r="C311" s="434"/>
      <c r="D311" s="414"/>
      <c r="E311" s="417"/>
      <c r="F311" s="418"/>
      <c r="G311" s="417"/>
      <c r="H311" s="251"/>
    </row>
    <row r="312">
      <c r="A312" s="265"/>
      <c r="B312" s="419"/>
      <c r="C312" s="434"/>
      <c r="D312" s="523"/>
      <c r="E312" s="417"/>
      <c r="F312" s="418"/>
      <c r="G312" s="417"/>
      <c r="H312" s="251"/>
    </row>
    <row r="313">
      <c r="A313" s="265"/>
      <c r="B313" s="404"/>
      <c r="C313" s="424"/>
      <c r="D313" s="399"/>
      <c r="E313" s="442"/>
      <c r="F313" s="284"/>
      <c r="G313" s="442"/>
      <c r="H313" s="251"/>
    </row>
    <row r="314">
      <c r="A314" s="265"/>
      <c r="B314" s="404"/>
      <c r="C314" s="424"/>
      <c r="D314" s="400"/>
      <c r="E314" s="442"/>
      <c r="F314" s="284"/>
      <c r="G314" s="442"/>
      <c r="H314" s="251"/>
    </row>
    <row r="315">
      <c r="A315" s="265"/>
      <c r="B315" s="404"/>
      <c r="C315" s="424"/>
      <c r="D315" s="400"/>
      <c r="E315" s="442"/>
      <c r="F315" s="284"/>
      <c r="G315" s="442"/>
      <c r="H315" s="251"/>
    </row>
    <row r="316">
      <c r="A316" s="265"/>
      <c r="B316" s="404"/>
      <c r="C316" s="424"/>
      <c r="D316" s="399"/>
      <c r="E316" s="442"/>
      <c r="F316" s="284"/>
      <c r="G316" s="442"/>
      <c r="H316" s="251"/>
    </row>
    <row r="317">
      <c r="A317" s="270"/>
      <c r="B317" s="478"/>
      <c r="C317" s="471"/>
      <c r="D317" s="472"/>
      <c r="E317" s="473"/>
      <c r="F317" s="474"/>
      <c r="G317" s="492"/>
      <c r="H317" s="261"/>
    </row>
    <row r="318">
      <c r="A318" s="262" t="s">
        <v>930</v>
      </c>
      <c r="B318" s="461">
        <v>135839.0</v>
      </c>
      <c r="C318" s="445"/>
      <c r="D318" s="421"/>
      <c r="E318" s="422" t="s">
        <v>306</v>
      </c>
      <c r="F318" s="423"/>
      <c r="G318" s="422" t="s">
        <v>114</v>
      </c>
      <c r="H318" s="245">
        <v>190.0</v>
      </c>
      <c r="I318" s="2" t="s">
        <v>1705</v>
      </c>
    </row>
    <row r="319">
      <c r="A319" s="265"/>
      <c r="B319" s="404">
        <v>52198.42</v>
      </c>
      <c r="C319" s="405"/>
      <c r="D319" s="399"/>
      <c r="E319" s="398"/>
      <c r="F319" s="284"/>
      <c r="G319" s="398" t="s">
        <v>142</v>
      </c>
      <c r="H319" s="267"/>
    </row>
    <row r="320">
      <c r="A320" s="265"/>
      <c r="B320" s="404"/>
      <c r="C320" s="405"/>
      <c r="D320" s="399"/>
      <c r="E320" s="398"/>
      <c r="F320" s="284"/>
      <c r="G320" s="398"/>
      <c r="H320" s="267"/>
    </row>
    <row r="321">
      <c r="A321" s="265"/>
      <c r="B321" s="419"/>
      <c r="C321" s="427"/>
      <c r="D321" s="414"/>
      <c r="E321" s="417"/>
      <c r="F321" s="418"/>
      <c r="G321" s="417"/>
      <c r="H321" s="251"/>
    </row>
    <row r="322">
      <c r="A322" s="265"/>
      <c r="B322" s="404"/>
      <c r="C322" s="405"/>
      <c r="D322" s="399"/>
      <c r="E322" s="398"/>
      <c r="F322" s="284"/>
      <c r="G322" s="398"/>
      <c r="H322" s="251"/>
    </row>
    <row r="323">
      <c r="A323" s="265"/>
      <c r="B323" s="404"/>
      <c r="C323" s="424"/>
      <c r="D323" s="399"/>
      <c r="E323" s="398"/>
      <c r="F323" s="284"/>
      <c r="G323" s="398"/>
      <c r="H323" s="251"/>
    </row>
    <row r="324">
      <c r="A324" s="265"/>
      <c r="B324" s="404"/>
      <c r="C324" s="424"/>
      <c r="D324" s="399"/>
      <c r="E324" s="442"/>
      <c r="F324" s="284"/>
      <c r="G324" s="398"/>
      <c r="H324" s="251"/>
    </row>
    <row r="325">
      <c r="A325" s="265"/>
      <c r="B325" s="404"/>
      <c r="C325" s="424"/>
      <c r="D325" s="399"/>
      <c r="E325" s="442"/>
      <c r="F325" s="284"/>
      <c r="G325" s="442"/>
      <c r="H325" s="267"/>
    </row>
    <row r="326">
      <c r="A326" s="265"/>
      <c r="B326" s="404"/>
      <c r="C326" s="424"/>
      <c r="D326" s="399"/>
      <c r="E326" s="442"/>
      <c r="F326" s="284"/>
      <c r="G326" s="442"/>
      <c r="H326" s="251"/>
    </row>
    <row r="327">
      <c r="A327" s="265"/>
      <c r="B327" s="404"/>
      <c r="C327" s="424"/>
      <c r="D327" s="400"/>
      <c r="E327" s="442"/>
      <c r="F327" s="284"/>
      <c r="G327" s="442"/>
      <c r="H327" s="251"/>
    </row>
    <row r="328">
      <c r="A328" s="265"/>
      <c r="B328" s="404"/>
      <c r="C328" s="424"/>
      <c r="D328" s="400"/>
      <c r="E328" s="442"/>
      <c r="F328" s="284"/>
      <c r="G328" s="442"/>
      <c r="H328" s="251"/>
    </row>
    <row r="329">
      <c r="A329" s="265"/>
      <c r="B329" s="404"/>
      <c r="C329" s="424"/>
      <c r="D329" s="400"/>
      <c r="E329" s="442"/>
      <c r="F329" s="284"/>
      <c r="G329" s="442"/>
      <c r="H329" s="251"/>
    </row>
    <row r="330">
      <c r="A330" s="265"/>
      <c r="B330" s="477"/>
      <c r="C330" s="424"/>
      <c r="D330" s="400"/>
      <c r="E330" s="442"/>
      <c r="F330" s="284"/>
      <c r="G330" s="442"/>
      <c r="H330" s="251"/>
    </row>
    <row r="331">
      <c r="A331" s="265"/>
      <c r="B331" s="477"/>
      <c r="C331" s="424"/>
      <c r="D331" s="400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65"/>
      <c r="B333" s="477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70"/>
      <c r="B335" s="478"/>
      <c r="C335" s="471"/>
      <c r="D335" s="472"/>
      <c r="E335" s="473"/>
      <c r="F335" s="460"/>
      <c r="G335" s="473"/>
      <c r="H335" s="261"/>
    </row>
    <row r="336">
      <c r="A336" s="262" t="s">
        <v>932</v>
      </c>
      <c r="B336" s="461"/>
      <c r="C336" s="445"/>
      <c r="D336" s="421"/>
      <c r="E336" s="422" t="s">
        <v>306</v>
      </c>
      <c r="F336" s="423"/>
      <c r="G336" s="417" t="s">
        <v>1549</v>
      </c>
      <c r="H336" s="245">
        <v>240.0</v>
      </c>
    </row>
    <row r="337">
      <c r="A337" s="265"/>
      <c r="B337" s="419">
        <v>223671.46</v>
      </c>
      <c r="C337" s="427"/>
      <c r="D337" s="414"/>
      <c r="E337" s="417" t="s">
        <v>306</v>
      </c>
      <c r="F337" s="418"/>
      <c r="G337" s="417" t="s">
        <v>74</v>
      </c>
      <c r="H337" s="267"/>
    </row>
    <row r="338">
      <c r="A338" s="265"/>
      <c r="B338" s="530">
        <v>7674.11</v>
      </c>
      <c r="C338" s="531"/>
      <c r="D338" s="506"/>
      <c r="E338" s="507" t="s">
        <v>306</v>
      </c>
      <c r="F338" s="459"/>
      <c r="G338" s="507" t="s">
        <v>73</v>
      </c>
      <c r="H338" s="267"/>
    </row>
    <row r="339">
      <c r="A339" s="265"/>
      <c r="B339" s="516">
        <v>19364.94</v>
      </c>
      <c r="C339" s="496"/>
      <c r="D339" s="325"/>
      <c r="E339" s="507"/>
      <c r="F339" s="291"/>
      <c r="G339" s="450" t="s">
        <v>82</v>
      </c>
      <c r="H339" s="251"/>
    </row>
    <row r="340">
      <c r="A340" s="265"/>
      <c r="B340" s="497"/>
      <c r="C340" s="313"/>
      <c r="D340" s="325"/>
      <c r="E340" s="498"/>
      <c r="F340" s="291"/>
      <c r="G340" s="495"/>
      <c r="H340" s="251"/>
    </row>
    <row r="341">
      <c r="A341" s="265"/>
      <c r="B341" s="493"/>
      <c r="C341" s="499"/>
      <c r="D341" s="314"/>
      <c r="E341" s="507"/>
      <c r="F341" s="291"/>
      <c r="G341" s="490"/>
      <c r="H341" s="251"/>
    </row>
    <row r="342">
      <c r="A342" s="265"/>
      <c r="B342" s="404"/>
      <c r="C342" s="424"/>
      <c r="D342" s="399"/>
      <c r="E342" s="442"/>
      <c r="F342" s="284"/>
      <c r="G342" s="442"/>
      <c r="H342" s="251"/>
    </row>
    <row r="343">
      <c r="A343" s="265"/>
      <c r="B343" s="477"/>
      <c r="C343" s="424"/>
      <c r="D343" s="399"/>
      <c r="E343" s="442"/>
      <c r="F343" s="284"/>
      <c r="G343" s="442"/>
      <c r="H343" s="251"/>
    </row>
    <row r="344">
      <c r="A344" s="265"/>
      <c r="B344" s="477"/>
      <c r="C344" s="424"/>
      <c r="D344" s="400"/>
      <c r="E344" s="442"/>
      <c r="F344" s="284"/>
      <c r="G344" s="442"/>
      <c r="H344" s="251"/>
    </row>
    <row r="345">
      <c r="A345" s="265"/>
      <c r="B345" s="404"/>
      <c r="C345" s="424"/>
      <c r="D345" s="400"/>
      <c r="E345" s="442"/>
      <c r="F345" s="284"/>
      <c r="G345" s="442"/>
      <c r="H345" s="251"/>
    </row>
    <row r="346">
      <c r="A346" s="265"/>
      <c r="B346" s="477"/>
      <c r="C346" s="424"/>
      <c r="D346" s="400"/>
      <c r="E346" s="442"/>
      <c r="F346" s="284"/>
      <c r="G346" s="442"/>
      <c r="H346" s="251"/>
    </row>
    <row r="347">
      <c r="A347" s="270"/>
      <c r="B347" s="478"/>
      <c r="C347" s="471"/>
      <c r="D347" s="472"/>
      <c r="E347" s="473"/>
      <c r="F347" s="460"/>
      <c r="G347" s="473"/>
      <c r="H347" s="261"/>
    </row>
    <row r="348">
      <c r="A348" s="280" t="s">
        <v>934</v>
      </c>
      <c r="B348" s="425">
        <v>56000.0</v>
      </c>
      <c r="C348" s="426"/>
      <c r="D348" s="401"/>
      <c r="E348" s="402"/>
      <c r="F348" s="403"/>
      <c r="G348" s="398" t="s">
        <v>68</v>
      </c>
      <c r="H348" s="245">
        <v>290.0</v>
      </c>
    </row>
    <row r="349">
      <c r="A349" s="265"/>
      <c r="B349" s="404">
        <v>30000.0</v>
      </c>
      <c r="C349" s="405"/>
      <c r="D349" s="399"/>
      <c r="E349" s="398"/>
      <c r="F349" s="284"/>
      <c r="G349" s="398" t="s">
        <v>76</v>
      </c>
      <c r="H349" s="267"/>
      <c r="I349" s="2" t="s">
        <v>1706</v>
      </c>
    </row>
    <row r="350">
      <c r="A350" s="265"/>
      <c r="B350" s="419">
        <v>183826.69</v>
      </c>
      <c r="C350" s="427"/>
      <c r="D350" s="414"/>
      <c r="E350" s="417" t="s">
        <v>306</v>
      </c>
      <c r="F350" s="418"/>
      <c r="G350" s="417" t="s">
        <v>91</v>
      </c>
      <c r="H350" s="267"/>
      <c r="I350" s="2" t="s">
        <v>1259</v>
      </c>
    </row>
    <row r="351">
      <c r="A351" s="265"/>
      <c r="B351" s="419">
        <v>107570.0</v>
      </c>
      <c r="C351" s="427"/>
      <c r="D351" s="414"/>
      <c r="E351" s="417" t="s">
        <v>306</v>
      </c>
      <c r="F351" s="418"/>
      <c r="G351" s="417" t="s">
        <v>732</v>
      </c>
      <c r="H351" s="267"/>
    </row>
    <row r="352">
      <c r="A352" s="265"/>
      <c r="B352" s="404"/>
      <c r="C352" s="405"/>
      <c r="D352" s="399"/>
      <c r="E352" s="398"/>
      <c r="F352" s="284">
        <v>4753.26</v>
      </c>
      <c r="G352" s="398" t="s">
        <v>97</v>
      </c>
      <c r="H352" s="267"/>
    </row>
    <row r="353">
      <c r="A353" s="265"/>
      <c r="B353" s="404"/>
      <c r="C353" s="405"/>
      <c r="D353" s="399"/>
      <c r="E353" s="398"/>
      <c r="F353" s="284">
        <v>57.0</v>
      </c>
      <c r="G353" s="398" t="s">
        <v>1707</v>
      </c>
      <c r="H353" s="267"/>
    </row>
    <row r="354">
      <c r="A354" s="265"/>
      <c r="B354" s="404"/>
      <c r="C354" s="405"/>
      <c r="D354" s="399"/>
      <c r="E354" s="398"/>
      <c r="F354" s="284"/>
      <c r="G354" s="398"/>
      <c r="H354" s="267"/>
    </row>
    <row r="355">
      <c r="A355" s="265"/>
      <c r="B355" s="404"/>
      <c r="C355" s="405"/>
      <c r="D355" s="399"/>
      <c r="E355" s="398"/>
      <c r="F355" s="284"/>
      <c r="G355" s="398"/>
      <c r="H355" s="267"/>
    </row>
    <row r="356">
      <c r="A356" s="265"/>
      <c r="B356" s="404"/>
      <c r="C356" s="405"/>
      <c r="D356" s="399"/>
      <c r="E356" s="442"/>
      <c r="F356" s="284"/>
      <c r="G356" s="398"/>
      <c r="H356" s="267"/>
    </row>
    <row r="357">
      <c r="A357" s="265"/>
      <c r="B357" s="404"/>
      <c r="C357" s="405"/>
      <c r="D357" s="399"/>
      <c r="E357" s="442"/>
      <c r="F357" s="284"/>
      <c r="G357" s="398"/>
      <c r="H357" s="267"/>
    </row>
    <row r="358">
      <c r="A358" s="270"/>
      <c r="B358" s="404"/>
      <c r="C358" s="405"/>
      <c r="D358" s="399"/>
      <c r="E358" s="442"/>
      <c r="F358" s="284"/>
      <c r="G358" s="398"/>
      <c r="H358" s="267"/>
    </row>
    <row r="359">
      <c r="A359" s="452"/>
      <c r="B359" s="404"/>
      <c r="C359" s="405"/>
      <c r="D359" s="399"/>
      <c r="E359" s="442"/>
      <c r="F359" s="284"/>
      <c r="G359" s="398"/>
      <c r="H359" s="267"/>
    </row>
    <row r="360">
      <c r="A360" s="280" t="s">
        <v>1210</v>
      </c>
      <c r="B360" s="461">
        <v>108500.0</v>
      </c>
      <c r="C360" s="445"/>
      <c r="D360" s="421"/>
      <c r="E360" s="422" t="s">
        <v>306</v>
      </c>
      <c r="F360" s="423"/>
      <c r="G360" s="422" t="s">
        <v>75</v>
      </c>
      <c r="H360" s="245">
        <f>160+120+15</f>
        <v>295</v>
      </c>
    </row>
    <row r="361">
      <c r="A361" s="265"/>
      <c r="B361" s="404"/>
      <c r="C361" s="405"/>
      <c r="D361" s="443"/>
      <c r="E361" s="398"/>
      <c r="F361" s="284">
        <v>8346.0</v>
      </c>
      <c r="G361" s="398" t="s">
        <v>63</v>
      </c>
      <c r="H361" s="267"/>
      <c r="I361" s="417"/>
    </row>
    <row r="362">
      <c r="A362" s="265"/>
      <c r="B362" s="419"/>
      <c r="C362" s="315">
        <v>145349.99</v>
      </c>
      <c r="D362" s="249"/>
      <c r="E362" s="2" t="s">
        <v>628</v>
      </c>
      <c r="F362" s="250"/>
      <c r="G362" s="2" t="s">
        <v>1708</v>
      </c>
      <c r="H362" s="267"/>
      <c r="I362" s="398" t="s">
        <v>1709</v>
      </c>
    </row>
    <row r="363">
      <c r="A363" s="265"/>
      <c r="B363" s="419"/>
      <c r="C363" s="434"/>
      <c r="D363" s="414"/>
      <c r="E363" s="417"/>
      <c r="F363" s="418"/>
      <c r="G363" s="417"/>
      <c r="H363" s="251"/>
      <c r="I363" s="2" t="s">
        <v>1259</v>
      </c>
    </row>
    <row r="364">
      <c r="A364" s="265"/>
      <c r="B364" s="404"/>
      <c r="C364" s="424"/>
      <c r="D364" s="399"/>
      <c r="E364" s="398"/>
      <c r="F364" s="284"/>
      <c r="G364" s="398"/>
      <c r="H364" s="294"/>
    </row>
    <row r="365">
      <c r="A365" s="265"/>
      <c r="B365" s="404"/>
      <c r="C365" s="424"/>
      <c r="D365" s="399"/>
      <c r="E365" s="398"/>
      <c r="F365" s="284"/>
      <c r="G365" s="398"/>
      <c r="H365" s="251"/>
    </row>
    <row r="366">
      <c r="A366" s="265"/>
      <c r="B366" s="419"/>
      <c r="C366" s="434"/>
      <c r="D366" s="414"/>
      <c r="E366" s="417"/>
      <c r="F366" s="418"/>
      <c r="G366" s="417"/>
      <c r="H366" s="251"/>
    </row>
    <row r="367">
      <c r="A367" s="265"/>
      <c r="B367" s="477"/>
      <c r="C367" s="424"/>
      <c r="D367" s="399"/>
      <c r="E367" s="442"/>
      <c r="F367" s="284"/>
      <c r="G367" s="398"/>
      <c r="H367" s="267"/>
    </row>
    <row r="368">
      <c r="A368" s="265"/>
      <c r="B368" s="477"/>
      <c r="C368" s="424"/>
      <c r="D368" s="399"/>
      <c r="E368" s="442"/>
      <c r="F368" s="284"/>
      <c r="G368" s="442"/>
      <c r="H368" s="251"/>
    </row>
    <row r="369">
      <c r="A369" s="265"/>
      <c r="B369" s="404"/>
      <c r="C369" s="424"/>
      <c r="D369" s="399"/>
      <c r="E369" s="442"/>
      <c r="F369" s="284"/>
      <c r="G369" s="442"/>
      <c r="H369" s="267"/>
    </row>
    <row r="370">
      <c r="A370" s="270"/>
      <c r="B370" s="478"/>
      <c r="C370" s="471"/>
      <c r="D370" s="462"/>
      <c r="E370" s="473"/>
      <c r="F370" s="460"/>
      <c r="G370" s="492"/>
      <c r="H370" s="261"/>
    </row>
    <row r="371">
      <c r="A371" s="299"/>
      <c r="B371" s="440"/>
      <c r="C371" s="424"/>
      <c r="D371" s="462"/>
      <c r="E371" s="442"/>
      <c r="F371" s="284"/>
      <c r="G371" s="398"/>
      <c r="H371" s="251"/>
    </row>
    <row r="372">
      <c r="B372" s="480"/>
      <c r="C372" s="405"/>
      <c r="D372" s="522"/>
      <c r="E372" s="417"/>
      <c r="F372" s="432"/>
      <c r="G372" s="417"/>
      <c r="H372" s="251"/>
    </row>
    <row r="373">
      <c r="B373" s="440"/>
      <c r="C373" s="424"/>
      <c r="D373" s="522"/>
      <c r="E373" s="417"/>
      <c r="F373" s="432"/>
      <c r="G373" s="417"/>
      <c r="H373" s="251"/>
    </row>
    <row r="374">
      <c r="B374" s="440"/>
      <c r="C374" s="424"/>
      <c r="D374" s="462"/>
      <c r="E374" s="442"/>
      <c r="F374" s="463"/>
      <c r="G374" s="398"/>
      <c r="H374" s="251"/>
    </row>
    <row r="375">
      <c r="B375" s="518"/>
      <c r="C375" s="434"/>
      <c r="D375" s="522"/>
      <c r="E375" s="417"/>
      <c r="F375" s="432"/>
      <c r="G375" s="417"/>
      <c r="H375" s="251"/>
    </row>
    <row r="376">
      <c r="B376" s="518"/>
      <c r="C376" s="434"/>
      <c r="D376" s="522"/>
      <c r="E376" s="417"/>
      <c r="F376" s="432"/>
      <c r="G376" s="417"/>
      <c r="H376" s="251"/>
    </row>
    <row r="377">
      <c r="B377" s="480"/>
      <c r="C377" s="424"/>
      <c r="D377" s="462"/>
      <c r="E377" s="442"/>
      <c r="F377" s="463"/>
      <c r="G377" s="442"/>
      <c r="H377" s="251"/>
    </row>
    <row r="378">
      <c r="B378" s="480"/>
      <c r="C378" s="424"/>
      <c r="D378" s="462"/>
      <c r="E378" s="442"/>
      <c r="F378" s="463"/>
      <c r="G378" s="442"/>
      <c r="H378" s="251"/>
    </row>
    <row r="379">
      <c r="B379" s="480"/>
      <c r="C379" s="424"/>
      <c r="D379" s="462"/>
      <c r="E379" s="442"/>
      <c r="F379" s="463"/>
      <c r="G379" s="442"/>
      <c r="H379" s="251"/>
    </row>
    <row r="380">
      <c r="B380" s="480"/>
      <c r="C380" s="424"/>
      <c r="D380" s="462"/>
      <c r="E380" s="442"/>
      <c r="F380" s="463"/>
      <c r="G380" s="442"/>
      <c r="H380" s="251"/>
    </row>
    <row r="381">
      <c r="B381" s="480"/>
      <c r="C381" s="424"/>
      <c r="D381" s="462"/>
      <c r="E381" s="442"/>
      <c r="F381" s="463"/>
      <c r="G381" s="442"/>
      <c r="H381" s="251"/>
    </row>
    <row r="382">
      <c r="A382" s="299"/>
      <c r="B382" s="278"/>
      <c r="C382" s="252"/>
      <c r="D382" s="295"/>
      <c r="F382" s="432"/>
      <c r="H382" s="251"/>
    </row>
    <row r="383">
      <c r="A383" s="299"/>
      <c r="B383" s="278"/>
      <c r="C383" s="252"/>
      <c r="D383" s="295"/>
      <c r="F383" s="432"/>
      <c r="G383" s="2"/>
      <c r="H383" s="251"/>
    </row>
    <row r="384">
      <c r="A384" s="280" t="s">
        <v>187</v>
      </c>
      <c r="B384" s="239"/>
      <c r="C384" s="240"/>
      <c r="D384" s="439"/>
      <c r="E384" s="242"/>
      <c r="F384" s="423"/>
      <c r="G384" s="2" t="s">
        <v>188</v>
      </c>
      <c r="H384" s="297"/>
      <c r="I384" s="2" t="s">
        <v>189</v>
      </c>
      <c r="J384" s="2" t="s">
        <v>1565</v>
      </c>
      <c r="K384" s="2" t="s">
        <v>1349</v>
      </c>
    </row>
    <row r="385">
      <c r="A385" s="265"/>
      <c r="B385" s="247"/>
      <c r="C385" s="248"/>
      <c r="D385" s="317">
        <v>136337.66</v>
      </c>
      <c r="E385" s="429"/>
      <c r="F385" s="418"/>
      <c r="G385" s="2" t="s">
        <v>190</v>
      </c>
      <c r="H385" s="294">
        <v>45664.0</v>
      </c>
      <c r="I385" s="2" t="s">
        <v>1710</v>
      </c>
      <c r="J385" s="2" t="s">
        <v>1566</v>
      </c>
      <c r="K385" s="2" t="s">
        <v>1349</v>
      </c>
    </row>
    <row r="386">
      <c r="A386" s="265"/>
      <c r="B386" s="247"/>
      <c r="C386" s="248"/>
      <c r="D386" s="438">
        <v>123280.4</v>
      </c>
      <c r="F386" s="418"/>
      <c r="G386" s="2" t="s">
        <v>1666</v>
      </c>
      <c r="H386" s="294">
        <v>45673.0</v>
      </c>
      <c r="I386" s="2" t="s">
        <v>1667</v>
      </c>
    </row>
    <row r="387">
      <c r="A387" s="265"/>
      <c r="B387" s="517"/>
      <c r="C387" s="248"/>
      <c r="D387" s="438"/>
      <c r="F387" s="418"/>
      <c r="G387" s="2" t="s">
        <v>191</v>
      </c>
      <c r="H387" s="294"/>
      <c r="J387" s="2" t="s">
        <v>1566</v>
      </c>
      <c r="K387" s="2" t="s">
        <v>1349</v>
      </c>
    </row>
    <row r="388">
      <c r="A388" s="265"/>
      <c r="B388" s="268"/>
      <c r="C388" s="252"/>
      <c r="D388" s="298"/>
      <c r="F388" s="418"/>
      <c r="H388" s="294"/>
    </row>
    <row r="389">
      <c r="A389" s="265"/>
      <c r="B389" s="268"/>
      <c r="C389" s="252"/>
      <c r="D389" s="249">
        <v>363000.0</v>
      </c>
      <c r="F389" s="418"/>
      <c r="G389" s="2" t="s">
        <v>192</v>
      </c>
      <c r="H389" s="294">
        <v>45688.0</v>
      </c>
    </row>
    <row r="390">
      <c r="A390" s="265"/>
      <c r="B390" s="268"/>
      <c r="C390" s="252"/>
      <c r="D390" s="253"/>
      <c r="F390" s="284">
        <v>600000.0</v>
      </c>
      <c r="G390" s="2" t="s">
        <v>193</v>
      </c>
      <c r="H390" s="294">
        <v>45686.0</v>
      </c>
    </row>
    <row r="391">
      <c r="A391" s="265"/>
      <c r="B391" s="247"/>
      <c r="C391" s="252"/>
      <c r="D391" s="249"/>
      <c r="F391" s="418"/>
      <c r="G391" s="2" t="s">
        <v>1093</v>
      </c>
      <c r="H391" s="294"/>
    </row>
    <row r="392">
      <c r="A392" s="265"/>
      <c r="B392" s="247"/>
      <c r="C392" s="252"/>
      <c r="D392" s="249">
        <v>130000.0</v>
      </c>
      <c r="F392" s="418"/>
      <c r="G392" s="2" t="s">
        <v>196</v>
      </c>
      <c r="H392" s="294">
        <v>45664.0</v>
      </c>
      <c r="I392" s="318"/>
    </row>
    <row r="393">
      <c r="A393" s="265"/>
      <c r="B393" s="247"/>
      <c r="C393" s="252"/>
      <c r="D393" s="249"/>
      <c r="F393" s="418"/>
      <c r="H393" s="294"/>
      <c r="I393" s="2"/>
      <c r="J393" s="2"/>
    </row>
    <row r="394">
      <c r="A394" s="265"/>
      <c r="B394" s="247">
        <v>69033.0</v>
      </c>
      <c r="C394" s="252"/>
      <c r="D394" s="249"/>
      <c r="F394" s="418"/>
      <c r="G394" s="2" t="s">
        <v>197</v>
      </c>
      <c r="H394" s="294">
        <v>45679.0</v>
      </c>
      <c r="I394" s="2" t="s">
        <v>1711</v>
      </c>
      <c r="J394" s="2" t="s">
        <v>1712</v>
      </c>
    </row>
    <row r="395">
      <c r="A395" s="265"/>
      <c r="B395" s="268"/>
      <c r="C395" s="252"/>
      <c r="D395" s="249">
        <v>53263.0</v>
      </c>
      <c r="F395" s="418"/>
      <c r="G395" s="2" t="s">
        <v>199</v>
      </c>
      <c r="H395" s="294">
        <v>45679.0</v>
      </c>
      <c r="I395" s="2" t="s">
        <v>1713</v>
      </c>
      <c r="J395" s="2" t="s">
        <v>1712</v>
      </c>
      <c r="K395" s="2" t="s">
        <v>1668</v>
      </c>
    </row>
    <row r="396">
      <c r="A396" s="265"/>
      <c r="B396" s="247"/>
      <c r="C396" s="252"/>
      <c r="D396" s="439">
        <v>106761.99</v>
      </c>
      <c r="F396" s="418"/>
      <c r="G396" s="2" t="s">
        <v>200</v>
      </c>
      <c r="H396" s="294"/>
      <c r="I396" s="2" t="s">
        <v>189</v>
      </c>
      <c r="J396" s="2" t="s">
        <v>1669</v>
      </c>
    </row>
    <row r="397">
      <c r="A397" s="265"/>
      <c r="B397" s="278"/>
      <c r="C397" s="248"/>
      <c r="D397" s="439">
        <v>84785.15</v>
      </c>
      <c r="F397" s="432"/>
      <c r="G397" s="2" t="s">
        <v>201</v>
      </c>
      <c r="H397" s="294">
        <v>45679.0</v>
      </c>
      <c r="I397" s="2" t="s">
        <v>189</v>
      </c>
    </row>
    <row r="398">
      <c r="A398" s="270"/>
      <c r="B398" s="277"/>
      <c r="C398" s="248"/>
      <c r="D398" s="295">
        <v>46630.0</v>
      </c>
      <c r="F398" s="464"/>
      <c r="G398" s="2" t="s">
        <v>1670</v>
      </c>
      <c r="H398" s="294">
        <v>45659.0</v>
      </c>
    </row>
    <row r="399">
      <c r="A399" s="299"/>
      <c r="B399" s="278"/>
      <c r="C399" s="248"/>
      <c r="D399" s="295">
        <v>107822.49</v>
      </c>
      <c r="F399" s="432"/>
      <c r="G399" s="2" t="s">
        <v>1714</v>
      </c>
      <c r="H399" s="294">
        <v>45665.0</v>
      </c>
    </row>
    <row r="400">
      <c r="A400" s="299"/>
      <c r="B400" s="278"/>
      <c r="C400" s="248"/>
      <c r="D400" s="476">
        <v>14425.21</v>
      </c>
      <c r="E400" s="417"/>
      <c r="F400" s="432"/>
      <c r="G400" s="398" t="s">
        <v>1715</v>
      </c>
      <c r="H400" s="301">
        <v>45665.0</v>
      </c>
    </row>
    <row r="401">
      <c r="A401" s="299"/>
      <c r="B401" s="278"/>
      <c r="C401" s="248"/>
      <c r="D401" s="476">
        <v>1251623.84</v>
      </c>
      <c r="E401" s="417"/>
      <c r="F401" s="432"/>
      <c r="G401" s="398" t="s">
        <v>1672</v>
      </c>
      <c r="H401" s="301"/>
    </row>
    <row r="402">
      <c r="A402" s="299"/>
      <c r="B402" s="278"/>
      <c r="C402" s="248"/>
      <c r="D402" s="295"/>
      <c r="F402" s="418"/>
      <c r="G402" s="2" t="s">
        <v>204</v>
      </c>
      <c r="H402" s="301"/>
    </row>
    <row r="403">
      <c r="A403" s="303"/>
      <c r="B403" s="278"/>
      <c r="C403" s="252"/>
      <c r="D403" s="249"/>
      <c r="F403" s="418"/>
      <c r="G403" s="2" t="s">
        <v>205</v>
      </c>
      <c r="H403" s="301"/>
    </row>
    <row r="404">
      <c r="A404" s="303"/>
      <c r="B404" s="268"/>
      <c r="C404" s="252"/>
      <c r="D404" s="249"/>
      <c r="F404" s="418"/>
      <c r="G404" s="2" t="s">
        <v>735</v>
      </c>
      <c r="H404" s="301"/>
    </row>
    <row r="405">
      <c r="A405" s="303"/>
      <c r="B405" s="247"/>
      <c r="C405" s="252"/>
      <c r="D405" s="249">
        <v>494169.18</v>
      </c>
      <c r="F405" s="418"/>
      <c r="G405" s="2" t="s">
        <v>206</v>
      </c>
      <c r="H405" s="294">
        <v>45680.0</v>
      </c>
      <c r="I405" s="2" t="s">
        <v>1716</v>
      </c>
    </row>
    <row r="406">
      <c r="A406" s="303"/>
      <c r="B406" s="268"/>
      <c r="C406" s="252"/>
      <c r="D406" s="300">
        <v>142499.15</v>
      </c>
      <c r="F406" s="465"/>
      <c r="G406" s="2" t="s">
        <v>209</v>
      </c>
      <c r="H406" s="294">
        <v>45666.0</v>
      </c>
      <c r="I406" s="2" t="s">
        <v>1717</v>
      </c>
      <c r="J406" s="2" t="s">
        <v>1566</v>
      </c>
      <c r="K406" s="2" t="s">
        <v>1718</v>
      </c>
    </row>
    <row r="407">
      <c r="A407" s="303"/>
      <c r="B407" s="247"/>
      <c r="C407" s="252"/>
      <c r="D407" s="249"/>
      <c r="F407" s="418"/>
      <c r="H407" s="294"/>
    </row>
    <row r="408">
      <c r="A408" s="303"/>
      <c r="B408" s="268"/>
      <c r="C408" s="252"/>
      <c r="D408" s="249">
        <v>568205.64</v>
      </c>
      <c r="F408" s="418"/>
      <c r="G408" s="2" t="s">
        <v>1573</v>
      </c>
      <c r="H408" s="294"/>
    </row>
    <row r="409">
      <c r="A409" s="303"/>
      <c r="B409" s="268"/>
      <c r="C409" s="252"/>
      <c r="D409" s="249"/>
      <c r="F409" s="418"/>
      <c r="G409" s="2" t="s">
        <v>1217</v>
      </c>
      <c r="H409" s="294"/>
    </row>
    <row r="410">
      <c r="A410" s="303"/>
      <c r="B410" s="247"/>
      <c r="C410" s="252"/>
      <c r="D410" s="331"/>
      <c r="F410" s="458"/>
      <c r="G410" s="2" t="s">
        <v>667</v>
      </c>
      <c r="H410" s="294"/>
    </row>
    <row r="411">
      <c r="A411" s="304"/>
      <c r="B411" s="268"/>
      <c r="C411" s="252"/>
      <c r="D411" s="249"/>
      <c r="F411" s="465"/>
      <c r="H411" s="294"/>
    </row>
    <row r="412">
      <c r="A412" s="305"/>
      <c r="B412" s="406">
        <f>SUM(B384:B411)</f>
        <v>69033</v>
      </c>
      <c r="C412" s="272"/>
      <c r="D412" s="392">
        <f>SUM(D384:D411)</f>
        <v>3622803.71</v>
      </c>
      <c r="E412" s="18"/>
      <c r="F412" s="466">
        <f>SUM(F384:F411)</f>
        <v>600000</v>
      </c>
      <c r="G412" s="18"/>
      <c r="H412" s="261"/>
    </row>
    <row r="413">
      <c r="A413" s="265"/>
      <c r="B413" s="306"/>
      <c r="C413" s="240"/>
      <c r="D413" s="241"/>
      <c r="E413" s="242"/>
      <c r="F413" s="423"/>
      <c r="G413" s="244"/>
      <c r="H413" s="307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65"/>
      <c r="B418" s="268"/>
      <c r="C418" s="252"/>
      <c r="D418" s="253"/>
      <c r="F418" s="418"/>
      <c r="H418" s="251"/>
    </row>
    <row r="419">
      <c r="A419" s="265"/>
      <c r="B419" s="268"/>
      <c r="C419" s="252"/>
      <c r="D419" s="253"/>
      <c r="F419" s="418"/>
      <c r="H419" s="251"/>
    </row>
    <row r="420">
      <c r="A420" s="265"/>
      <c r="B420" s="268"/>
      <c r="C420" s="252"/>
      <c r="D420" s="253"/>
      <c r="F420" s="418"/>
      <c r="H420" s="251"/>
    </row>
    <row r="421">
      <c r="A421" s="270"/>
      <c r="B421" s="268"/>
      <c r="C421" s="252"/>
      <c r="D421" s="253"/>
      <c r="F421" s="418"/>
      <c r="H421" s="251"/>
    </row>
    <row r="422">
      <c r="A422" s="305"/>
      <c r="B422" s="271"/>
      <c r="C422" s="272"/>
      <c r="D422" s="273"/>
      <c r="E422" s="18"/>
      <c r="F422" s="456"/>
      <c r="G422" s="18"/>
      <c r="H422" s="261"/>
    </row>
    <row r="423">
      <c r="A423" s="265"/>
      <c r="B423" s="306"/>
      <c r="C423" s="240"/>
      <c r="D423" s="241"/>
      <c r="E423" s="242"/>
      <c r="F423" s="423"/>
      <c r="G423" s="244"/>
      <c r="H423" s="307"/>
    </row>
    <row r="424">
      <c r="A424" s="265"/>
      <c r="B424" s="268"/>
      <c r="C424" s="252"/>
      <c r="D424" s="253"/>
      <c r="F424" s="418"/>
      <c r="H424" s="251"/>
    </row>
    <row r="425">
      <c r="A425" s="265"/>
      <c r="B425" s="268"/>
      <c r="C425" s="252"/>
      <c r="D425" s="253"/>
      <c r="F425" s="418"/>
      <c r="H425" s="251"/>
    </row>
    <row r="426">
      <c r="A426" s="265"/>
      <c r="B426" s="268"/>
      <c r="C426" s="252"/>
      <c r="D426" s="253"/>
      <c r="F426" s="418"/>
      <c r="H426" s="251"/>
    </row>
    <row r="427">
      <c r="A427" s="265"/>
      <c r="B427" s="268"/>
      <c r="C427" s="252"/>
      <c r="D427" s="253"/>
      <c r="F427" s="418"/>
      <c r="H427" s="251"/>
    </row>
    <row r="428">
      <c r="A428" s="265"/>
      <c r="B428" s="268"/>
      <c r="C428" s="252"/>
      <c r="D428" s="253"/>
      <c r="F428" s="418"/>
      <c r="H428" s="251"/>
    </row>
    <row r="429">
      <c r="A429" s="265"/>
      <c r="B429" s="268"/>
      <c r="C429" s="252"/>
      <c r="D429" s="253"/>
      <c r="F429" s="418"/>
      <c r="H429" s="251"/>
    </row>
    <row r="430">
      <c r="A430" s="265"/>
      <c r="B430" s="268"/>
      <c r="C430" s="252"/>
      <c r="D430" s="253"/>
      <c r="F430" s="418"/>
      <c r="H430" s="251"/>
    </row>
    <row r="431">
      <c r="A431" s="270"/>
      <c r="B431" s="268"/>
      <c r="C431" s="252"/>
      <c r="D431" s="253"/>
      <c r="F431" s="418"/>
      <c r="H431" s="251"/>
    </row>
    <row r="432">
      <c r="B432" s="271"/>
      <c r="C432" s="272"/>
      <c r="D432" s="273"/>
      <c r="E432" s="18"/>
      <c r="F432" s="456"/>
      <c r="G432" s="18"/>
      <c r="H432" s="261"/>
    </row>
    <row r="433">
      <c r="B433" s="306"/>
      <c r="C433" s="240"/>
      <c r="D433" s="241"/>
      <c r="E433" s="242"/>
      <c r="F433" s="423"/>
      <c r="G433" s="244"/>
      <c r="H433" s="307"/>
    </row>
    <row r="434">
      <c r="B434" s="268"/>
      <c r="C434" s="252"/>
      <c r="D434" s="253"/>
      <c r="F434" s="418"/>
      <c r="H434" s="251"/>
    </row>
    <row r="435">
      <c r="B435" s="268"/>
      <c r="C435" s="252"/>
      <c r="D435" s="253"/>
      <c r="F435" s="418"/>
      <c r="H435" s="251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  <row r="739">
      <c r="B739" s="308"/>
      <c r="C739" s="252"/>
      <c r="D739" s="253"/>
      <c r="F739" s="467"/>
      <c r="H739" s="302"/>
    </row>
    <row r="740">
      <c r="B740" s="308"/>
      <c r="C740" s="252"/>
      <c r="D740" s="253"/>
      <c r="F740" s="467"/>
      <c r="H740" s="302"/>
    </row>
    <row r="741">
      <c r="B741" s="308"/>
      <c r="C741" s="252"/>
      <c r="D741" s="253"/>
      <c r="F741" s="467"/>
      <c r="H741" s="302"/>
    </row>
  </sheetData>
  <mergeCells count="30">
    <mergeCell ref="A2:A15"/>
    <mergeCell ref="A18:A27"/>
    <mergeCell ref="A28:A41"/>
    <mergeCell ref="A42:A53"/>
    <mergeCell ref="A54:A69"/>
    <mergeCell ref="A70:A83"/>
    <mergeCell ref="A84:A101"/>
    <mergeCell ref="A102:A116"/>
    <mergeCell ref="A117:A131"/>
    <mergeCell ref="A132:A142"/>
    <mergeCell ref="A143:A157"/>
    <mergeCell ref="A158:A173"/>
    <mergeCell ref="A174:A188"/>
    <mergeCell ref="A189:A200"/>
    <mergeCell ref="A201:A215"/>
    <mergeCell ref="A216:A229"/>
    <mergeCell ref="A230:A244"/>
    <mergeCell ref="A245:A257"/>
    <mergeCell ref="A258:A273"/>
    <mergeCell ref="A274:A288"/>
    <mergeCell ref="A289:A303"/>
    <mergeCell ref="A412:A421"/>
    <mergeCell ref="A422:A431"/>
    <mergeCell ref="A304:A317"/>
    <mergeCell ref="A318:A335"/>
    <mergeCell ref="A336:A347"/>
    <mergeCell ref="A348:A358"/>
    <mergeCell ref="A360:A370"/>
    <mergeCell ref="A371:A381"/>
    <mergeCell ref="A384:A3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9.25"/>
    <col customWidth="1" min="8" max="8" width="13.25"/>
    <col customWidth="1" min="9" max="9" width="25.63"/>
  </cols>
  <sheetData>
    <row r="1" ht="27.0" customHeight="1">
      <c r="A1" s="407"/>
      <c r="B1" s="408" t="s">
        <v>52</v>
      </c>
      <c r="C1" s="409" t="s">
        <v>53</v>
      </c>
      <c r="D1" s="410" t="s">
        <v>54</v>
      </c>
      <c r="E1" s="411" t="s">
        <v>55</v>
      </c>
      <c r="F1" s="453" t="s">
        <v>529</v>
      </c>
      <c r="G1" s="411"/>
      <c r="H1" s="413" t="s">
        <v>57</v>
      </c>
    </row>
    <row r="2">
      <c r="A2" s="437" t="s">
        <v>1218</v>
      </c>
      <c r="B2" s="425"/>
      <c r="C2" s="426"/>
      <c r="D2" s="421"/>
      <c r="E2" s="422"/>
      <c r="F2" s="423"/>
      <c r="G2" s="505"/>
      <c r="H2" s="245">
        <v>283.0</v>
      </c>
      <c r="I2" s="2" t="s">
        <v>1719</v>
      </c>
    </row>
    <row r="3">
      <c r="A3" s="262" t="s">
        <v>1219</v>
      </c>
      <c r="B3" s="425"/>
      <c r="C3" s="426"/>
      <c r="D3" s="532">
        <v>103679.22</v>
      </c>
      <c r="E3" s="244" t="s">
        <v>328</v>
      </c>
      <c r="F3" s="243"/>
      <c r="G3" s="276" t="s">
        <v>1720</v>
      </c>
      <c r="H3" s="245">
        <v>204.0</v>
      </c>
      <c r="I3" s="2" t="s">
        <v>1719</v>
      </c>
    </row>
    <row r="4">
      <c r="A4" s="265"/>
      <c r="B4" s="510">
        <v>143500.0</v>
      </c>
      <c r="C4" s="427"/>
      <c r="D4" s="399"/>
      <c r="E4" s="417" t="s">
        <v>306</v>
      </c>
      <c r="F4" s="418"/>
      <c r="G4" s="417" t="s">
        <v>662</v>
      </c>
      <c r="H4" s="267"/>
    </row>
    <row r="5">
      <c r="A5" s="265"/>
      <c r="B5" s="404">
        <v>10809.0</v>
      </c>
      <c r="C5" s="427"/>
      <c r="D5" s="414"/>
      <c r="E5" s="417"/>
      <c r="F5" s="284"/>
      <c r="G5" s="285" t="s">
        <v>1061</v>
      </c>
      <c r="H5" s="251"/>
    </row>
    <row r="6">
      <c r="A6" s="265"/>
      <c r="B6" s="404"/>
      <c r="C6" s="405"/>
      <c r="D6" s="399"/>
      <c r="E6" s="398"/>
      <c r="F6" s="284"/>
      <c r="G6" s="285"/>
      <c r="H6" s="251"/>
    </row>
    <row r="7">
      <c r="A7" s="265"/>
      <c r="B7" s="404"/>
      <c r="C7" s="424"/>
      <c r="D7" s="399"/>
      <c r="E7" s="398"/>
      <c r="F7" s="284"/>
      <c r="G7" s="285"/>
      <c r="H7" s="251"/>
    </row>
    <row r="8">
      <c r="A8" s="265"/>
      <c r="B8" s="404"/>
      <c r="C8" s="405"/>
      <c r="D8" s="469"/>
      <c r="E8" s="442"/>
      <c r="F8" s="284"/>
      <c r="G8" s="285"/>
      <c r="H8" s="267"/>
    </row>
    <row r="9">
      <c r="A9" s="265"/>
      <c r="B9" s="404"/>
      <c r="C9" s="405"/>
      <c r="D9" s="399"/>
      <c r="E9" s="442"/>
      <c r="F9" s="284"/>
      <c r="G9" s="285"/>
      <c r="H9" s="267"/>
    </row>
    <row r="10">
      <c r="A10" s="265"/>
      <c r="B10" s="404"/>
      <c r="C10" s="424"/>
      <c r="D10" s="399"/>
      <c r="E10" s="442"/>
      <c r="F10" s="284"/>
      <c r="G10" s="285"/>
      <c r="H10" s="251"/>
    </row>
    <row r="11">
      <c r="A11" s="265"/>
      <c r="B11" s="404"/>
      <c r="C11" s="405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65"/>
      <c r="B15" s="440"/>
      <c r="C15" s="424"/>
      <c r="D15" s="400"/>
      <c r="E15" s="442"/>
      <c r="F15" s="284"/>
      <c r="G15" s="285"/>
      <c r="H15" s="251"/>
    </row>
    <row r="16">
      <c r="A16" s="270"/>
      <c r="B16" s="470"/>
      <c r="C16" s="471"/>
      <c r="D16" s="472"/>
      <c r="E16" s="473"/>
      <c r="F16" s="474"/>
      <c r="G16" s="475"/>
      <c r="H16" s="261"/>
    </row>
    <row r="17">
      <c r="A17" s="262"/>
      <c r="B17" s="440">
        <v>90718.0</v>
      </c>
      <c r="C17" s="427"/>
      <c r="D17" s="414"/>
      <c r="E17" s="417"/>
      <c r="F17" s="284">
        <v>44000.0</v>
      </c>
      <c r="G17" s="285" t="s">
        <v>142</v>
      </c>
      <c r="H17" s="267">
        <v>130.0</v>
      </c>
      <c r="I17" s="2" t="s">
        <v>1721</v>
      </c>
    </row>
    <row r="18">
      <c r="A18" s="280"/>
      <c r="B18" s="440">
        <v>34900.0</v>
      </c>
      <c r="C18" s="405"/>
      <c r="D18" s="399"/>
      <c r="E18" s="398" t="s">
        <v>328</v>
      </c>
      <c r="F18" s="284"/>
      <c r="G18" s="398" t="s">
        <v>377</v>
      </c>
      <c r="H18" s="267">
        <v>110.0</v>
      </c>
      <c r="I18" s="2" t="s">
        <v>1722</v>
      </c>
    </row>
    <row r="19">
      <c r="A19" s="280" t="s">
        <v>1222</v>
      </c>
      <c r="B19" s="404"/>
      <c r="C19" s="405"/>
      <c r="D19" s="476"/>
      <c r="E19" s="398"/>
      <c r="F19" s="284">
        <v>7400.0</v>
      </c>
      <c r="G19" s="285" t="s">
        <v>588</v>
      </c>
      <c r="H19" s="251"/>
    </row>
    <row r="20">
      <c r="A20" s="265"/>
      <c r="B20" s="419"/>
      <c r="C20" s="427"/>
      <c r="D20" s="399">
        <v>25000.0</v>
      </c>
      <c r="E20" s="398"/>
      <c r="F20" s="284"/>
      <c r="G20" s="285" t="s">
        <v>1723</v>
      </c>
      <c r="H20" s="251"/>
    </row>
    <row r="21">
      <c r="A21" s="265"/>
      <c r="B21" s="404"/>
      <c r="C21" s="405"/>
      <c r="D21" s="399"/>
      <c r="E21" s="398"/>
      <c r="F21" s="284"/>
      <c r="G21" s="285"/>
      <c r="H21" s="251"/>
    </row>
    <row r="22">
      <c r="A22" s="265"/>
      <c r="B22" s="419"/>
      <c r="C22" s="427"/>
      <c r="D22" s="414"/>
      <c r="E22" s="417"/>
      <c r="F22" s="284"/>
      <c r="G22" s="285"/>
      <c r="H22" s="519"/>
    </row>
    <row r="23">
      <c r="A23" s="265"/>
      <c r="B23" s="404"/>
      <c r="C23" s="405"/>
      <c r="D23" s="399"/>
      <c r="E23" s="398"/>
      <c r="F23" s="284"/>
      <c r="G23" s="285"/>
      <c r="H23" s="267"/>
    </row>
    <row r="24">
      <c r="A24" s="265"/>
      <c r="B24" s="404"/>
      <c r="C24" s="424"/>
      <c r="D24" s="399"/>
      <c r="E24" s="442"/>
      <c r="F24" s="284"/>
      <c r="G24" s="285"/>
      <c r="H24" s="251"/>
    </row>
    <row r="25">
      <c r="A25" s="265"/>
      <c r="B25" s="404"/>
      <c r="C25" s="405"/>
      <c r="D25" s="400"/>
      <c r="E25" s="442"/>
      <c r="F25" s="284"/>
      <c r="G25" s="285"/>
      <c r="H25" s="251"/>
    </row>
    <row r="26">
      <c r="A26" s="265"/>
      <c r="B26" s="404"/>
      <c r="C26" s="405"/>
      <c r="D26" s="400"/>
      <c r="E26" s="442"/>
      <c r="F26" s="284"/>
      <c r="G26" s="285"/>
      <c r="H26" s="251"/>
    </row>
    <row r="27">
      <c r="A27" s="265"/>
      <c r="B27" s="404"/>
      <c r="C27" s="424"/>
      <c r="D27" s="400"/>
      <c r="E27" s="442"/>
      <c r="F27" s="284"/>
      <c r="G27" s="285"/>
      <c r="H27" s="251"/>
    </row>
    <row r="28">
      <c r="A28" s="270"/>
      <c r="B28" s="478"/>
      <c r="C28" s="471"/>
      <c r="D28" s="472"/>
      <c r="E28" s="473"/>
      <c r="F28" s="460"/>
      <c r="G28" s="475"/>
      <c r="H28" s="261"/>
    </row>
    <row r="29">
      <c r="A29" s="262" t="s">
        <v>1224</v>
      </c>
      <c r="B29" s="425">
        <v>50000.0</v>
      </c>
      <c r="C29" s="426"/>
      <c r="D29" s="401"/>
      <c r="E29" s="402" t="s">
        <v>328</v>
      </c>
      <c r="F29" s="284"/>
      <c r="G29" s="285" t="s">
        <v>75</v>
      </c>
      <c r="H29" s="245">
        <v>259.0</v>
      </c>
    </row>
    <row r="30">
      <c r="A30" s="265"/>
      <c r="B30" s="419">
        <v>119615.72</v>
      </c>
      <c r="C30" s="427"/>
      <c r="D30" s="414"/>
      <c r="E30" s="417" t="s">
        <v>306</v>
      </c>
      <c r="F30" s="418"/>
      <c r="G30" s="420" t="s">
        <v>1724</v>
      </c>
      <c r="H30" s="267"/>
    </row>
    <row r="31">
      <c r="A31" s="265"/>
      <c r="B31" s="526"/>
      <c r="C31" s="427"/>
      <c r="D31" s="414"/>
      <c r="E31" s="417"/>
      <c r="F31" s="284">
        <v>5640.0</v>
      </c>
      <c r="G31" s="285" t="s">
        <v>549</v>
      </c>
      <c r="H31" s="251"/>
    </row>
    <row r="32">
      <c r="A32" s="265"/>
      <c r="B32" s="339">
        <v>108000.0</v>
      </c>
      <c r="C32" s="427"/>
      <c r="D32" s="414"/>
      <c r="E32" s="2" t="s">
        <v>628</v>
      </c>
      <c r="F32" s="418"/>
      <c r="G32" s="254" t="s">
        <v>68</v>
      </c>
      <c r="H32" s="267"/>
    </row>
    <row r="33">
      <c r="A33" s="265"/>
      <c r="B33" s="404">
        <v>161823.0</v>
      </c>
      <c r="C33" s="405"/>
      <c r="D33" s="399"/>
      <c r="E33" s="398"/>
      <c r="F33" s="284"/>
      <c r="G33" s="285" t="s">
        <v>1725</v>
      </c>
      <c r="H33" s="251"/>
    </row>
    <row r="34">
      <c r="A34" s="265"/>
      <c r="B34" s="419">
        <v>265042.5</v>
      </c>
      <c r="C34" s="427"/>
      <c r="D34" s="414"/>
      <c r="E34" s="417" t="s">
        <v>306</v>
      </c>
      <c r="F34" s="418"/>
      <c r="G34" s="420" t="s">
        <v>1726</v>
      </c>
      <c r="H34" s="251"/>
    </row>
    <row r="35">
      <c r="A35" s="265"/>
      <c r="B35" s="404">
        <v>63890.0</v>
      </c>
      <c r="C35" s="424"/>
      <c r="D35" s="399"/>
      <c r="E35" s="442"/>
      <c r="F35" s="284"/>
      <c r="G35" s="285" t="s">
        <v>118</v>
      </c>
      <c r="H35" s="251"/>
    </row>
    <row r="36">
      <c r="A36" s="265"/>
      <c r="B36" s="404"/>
      <c r="C36" s="424"/>
      <c r="D36" s="400"/>
      <c r="E36" s="442"/>
      <c r="F36" s="284">
        <v>10000.0</v>
      </c>
      <c r="G36" s="285" t="s">
        <v>1727</v>
      </c>
      <c r="H36" s="251"/>
    </row>
    <row r="37">
      <c r="A37" s="265"/>
      <c r="B37" s="404"/>
      <c r="C37" s="405"/>
      <c r="D37" s="400"/>
      <c r="E37" s="442"/>
      <c r="F37" s="284"/>
      <c r="G37" s="285"/>
      <c r="H37" s="251"/>
    </row>
    <row r="38">
      <c r="A38" s="265"/>
      <c r="B38" s="404"/>
      <c r="C38" s="405"/>
      <c r="D38" s="399"/>
      <c r="E38" s="442"/>
      <c r="F38" s="284"/>
      <c r="G38" s="442"/>
      <c r="H38" s="251"/>
    </row>
    <row r="39">
      <c r="A39" s="265"/>
      <c r="B39" s="404"/>
      <c r="C39" s="405"/>
      <c r="D39" s="399"/>
      <c r="E39" s="442"/>
      <c r="F39" s="284"/>
      <c r="G39" s="285"/>
      <c r="H39" s="251"/>
    </row>
    <row r="40">
      <c r="A40" s="265"/>
      <c r="B40" s="477"/>
      <c r="C40" s="405"/>
      <c r="D40" s="399"/>
      <c r="E40" s="442"/>
      <c r="F40" s="284"/>
      <c r="G40" s="285"/>
      <c r="H40" s="251"/>
    </row>
    <row r="41">
      <c r="A41" s="265"/>
      <c r="B41" s="480"/>
      <c r="C41" s="424"/>
      <c r="D41" s="400"/>
      <c r="E41" s="442"/>
      <c r="F41" s="284"/>
      <c r="G41" s="481"/>
      <c r="H41" s="251"/>
    </row>
    <row r="42">
      <c r="A42" s="270"/>
      <c r="B42" s="478"/>
      <c r="C42" s="471"/>
      <c r="D42" s="472"/>
      <c r="E42" s="473"/>
      <c r="F42" s="460"/>
      <c r="G42" s="482"/>
      <c r="H42" s="261"/>
    </row>
    <row r="43">
      <c r="A43" s="262" t="s">
        <v>1226</v>
      </c>
      <c r="B43" s="518">
        <v>155410.95</v>
      </c>
      <c r="C43" s="427"/>
      <c r="D43" s="414"/>
      <c r="E43" s="417" t="s">
        <v>306</v>
      </c>
      <c r="F43" s="284"/>
      <c r="G43" s="420" t="s">
        <v>1728</v>
      </c>
      <c r="H43" s="245">
        <v>270.0</v>
      </c>
    </row>
    <row r="44">
      <c r="A44" s="265"/>
      <c r="B44" s="440"/>
      <c r="C44" s="427"/>
      <c r="D44" s="414"/>
      <c r="E44" s="417"/>
      <c r="F44" s="284">
        <v>5000.0</v>
      </c>
      <c r="G44" s="398" t="s">
        <v>85</v>
      </c>
      <c r="H44" s="267"/>
      <c r="I44" s="417"/>
    </row>
    <row r="45">
      <c r="A45" s="265"/>
      <c r="B45" s="404"/>
      <c r="C45" s="405"/>
      <c r="D45" s="476"/>
      <c r="E45" s="398"/>
      <c r="F45" s="284">
        <v>28000.0</v>
      </c>
      <c r="G45" s="285" t="s">
        <v>1727</v>
      </c>
      <c r="H45" s="310"/>
    </row>
    <row r="46">
      <c r="A46" s="265"/>
      <c r="B46" s="404"/>
      <c r="C46" s="405"/>
      <c r="D46" s="399"/>
      <c r="E46" s="398"/>
      <c r="F46" s="284"/>
      <c r="G46" s="285"/>
      <c r="H46" s="251"/>
    </row>
    <row r="47">
      <c r="A47" s="265"/>
      <c r="B47" s="404"/>
      <c r="C47" s="405"/>
      <c r="D47" s="399"/>
      <c r="E47" s="398"/>
      <c r="F47" s="284"/>
      <c r="G47" s="285"/>
      <c r="H47" s="251"/>
    </row>
    <row r="48">
      <c r="A48" s="265"/>
      <c r="B48" s="404"/>
      <c r="C48" s="405"/>
      <c r="D48" s="399"/>
      <c r="E48" s="398"/>
      <c r="F48" s="284"/>
      <c r="G48" s="285"/>
      <c r="H48" s="251"/>
    </row>
    <row r="49">
      <c r="A49" s="265"/>
      <c r="B49" s="479"/>
      <c r="C49" s="405"/>
      <c r="D49" s="399"/>
      <c r="E49" s="398"/>
      <c r="F49" s="284"/>
      <c r="G49" s="285"/>
      <c r="H49" s="251"/>
    </row>
    <row r="50">
      <c r="A50" s="265"/>
      <c r="B50" s="404"/>
      <c r="C50" s="424"/>
      <c r="D50" s="400"/>
      <c r="E50" s="442"/>
      <c r="F50" s="284"/>
      <c r="G50" s="285"/>
      <c r="H50" s="251"/>
    </row>
    <row r="51">
      <c r="A51" s="265"/>
      <c r="B51" s="404"/>
      <c r="C51" s="424"/>
      <c r="D51" s="399"/>
      <c r="E51" s="442"/>
      <c r="F51" s="284"/>
      <c r="G51" s="285"/>
      <c r="H51" s="251"/>
    </row>
    <row r="52">
      <c r="A52" s="265"/>
      <c r="B52" s="440"/>
      <c r="C52" s="424"/>
      <c r="D52" s="400"/>
      <c r="E52" s="442"/>
      <c r="F52" s="284"/>
      <c r="G52" s="285"/>
      <c r="H52" s="251"/>
    </row>
    <row r="53">
      <c r="A53" s="265"/>
      <c r="B53" s="440"/>
      <c r="C53" s="424"/>
      <c r="D53" s="400"/>
      <c r="E53" s="442"/>
      <c r="F53" s="284"/>
      <c r="G53" s="285"/>
      <c r="H53" s="251"/>
    </row>
    <row r="54">
      <c r="A54" s="270"/>
      <c r="B54" s="478"/>
      <c r="C54" s="471"/>
      <c r="D54" s="472"/>
      <c r="E54" s="473"/>
      <c r="F54" s="474"/>
      <c r="G54" s="482"/>
      <c r="H54" s="261"/>
    </row>
    <row r="55">
      <c r="A55" s="262" t="s">
        <v>1227</v>
      </c>
      <c r="B55" s="425">
        <v>19848.77</v>
      </c>
      <c r="C55" s="426"/>
      <c r="D55" s="401"/>
      <c r="E55" s="402"/>
      <c r="F55" s="403"/>
      <c r="G55" s="436" t="s">
        <v>82</v>
      </c>
      <c r="H55" s="245">
        <v>340.0</v>
      </c>
    </row>
    <row r="56">
      <c r="A56" s="265"/>
      <c r="B56" s="419">
        <v>205399.64</v>
      </c>
      <c r="C56" s="427"/>
      <c r="D56" s="414"/>
      <c r="E56" s="417" t="s">
        <v>306</v>
      </c>
      <c r="F56" s="418"/>
      <c r="G56" s="420" t="s">
        <v>114</v>
      </c>
      <c r="H56" s="267"/>
    </row>
    <row r="57">
      <c r="A57" s="265"/>
      <c r="B57" s="404">
        <v>47500.0</v>
      </c>
      <c r="C57" s="405"/>
      <c r="D57" s="399"/>
      <c r="E57" s="398" t="s">
        <v>328</v>
      </c>
      <c r="F57" s="284"/>
      <c r="G57" s="285" t="s">
        <v>75</v>
      </c>
      <c r="H57" s="267"/>
    </row>
    <row r="58">
      <c r="A58" s="265"/>
      <c r="B58" s="404"/>
      <c r="C58" s="405"/>
      <c r="D58" s="399"/>
      <c r="E58" s="398"/>
      <c r="F58" s="284"/>
      <c r="G58" s="285"/>
      <c r="H58" s="251"/>
    </row>
    <row r="59">
      <c r="A59" s="265"/>
      <c r="B59" s="457"/>
      <c r="C59" s="405"/>
      <c r="D59" s="399"/>
      <c r="E59" s="398"/>
      <c r="F59" s="284"/>
      <c r="G59" s="285"/>
      <c r="H59" s="251"/>
    </row>
    <row r="60">
      <c r="A60" s="265"/>
      <c r="B60" s="468"/>
      <c r="C60" s="405"/>
      <c r="D60" s="399"/>
      <c r="E60" s="398"/>
      <c r="F60" s="483"/>
      <c r="G60" s="285"/>
      <c r="H60" s="251"/>
    </row>
    <row r="61">
      <c r="A61" s="265"/>
      <c r="B61" s="468"/>
      <c r="C61" s="405"/>
      <c r="D61" s="399"/>
      <c r="E61" s="442"/>
      <c r="F61" s="284"/>
      <c r="G61" s="285"/>
      <c r="H61" s="267"/>
    </row>
    <row r="62">
      <c r="A62" s="265"/>
      <c r="B62" s="404"/>
      <c r="C62" s="424"/>
      <c r="D62" s="399"/>
      <c r="E62" s="398"/>
      <c r="F62" s="284"/>
      <c r="G62" s="285"/>
      <c r="H62" s="251"/>
    </row>
    <row r="63">
      <c r="A63" s="265"/>
      <c r="B63" s="404"/>
      <c r="C63" s="424"/>
      <c r="D63" s="400"/>
      <c r="E63" s="442"/>
      <c r="F63" s="284"/>
      <c r="G63" s="285"/>
      <c r="H63" s="251"/>
    </row>
    <row r="64">
      <c r="A64" s="265"/>
      <c r="B64" s="404"/>
      <c r="C64" s="424"/>
      <c r="D64" s="414"/>
      <c r="E64" s="417"/>
      <c r="F64" s="418"/>
      <c r="G64" s="420"/>
      <c r="H64" s="251"/>
    </row>
    <row r="65">
      <c r="A65" s="265"/>
      <c r="B65" s="477"/>
      <c r="C65" s="424"/>
      <c r="D65" s="400"/>
      <c r="E65" s="442"/>
      <c r="F65" s="284"/>
      <c r="G65" s="481"/>
      <c r="H65" s="251"/>
    </row>
    <row r="66">
      <c r="A66" s="265"/>
      <c r="B66" s="404"/>
      <c r="C66" s="424"/>
      <c r="D66" s="400"/>
      <c r="E66" s="442"/>
      <c r="F66" s="284"/>
      <c r="G66" s="481"/>
      <c r="H66" s="251"/>
    </row>
    <row r="67">
      <c r="A67" s="265"/>
      <c r="B67" s="440"/>
      <c r="C67" s="424"/>
      <c r="D67" s="400"/>
      <c r="E67" s="442"/>
      <c r="F67" s="463"/>
      <c r="G67" s="481"/>
      <c r="H67" s="251"/>
    </row>
    <row r="68">
      <c r="A68" s="265"/>
      <c r="B68" s="480"/>
      <c r="C68" s="405"/>
      <c r="D68" s="400"/>
      <c r="E68" s="442"/>
      <c r="F68" s="463"/>
      <c r="G68" s="481"/>
      <c r="H68" s="251"/>
    </row>
    <row r="69">
      <c r="A69" s="265"/>
      <c r="B69" s="480"/>
      <c r="C69" s="424"/>
      <c r="D69" s="400"/>
      <c r="E69" s="442"/>
      <c r="F69" s="284"/>
      <c r="G69" s="481"/>
      <c r="H69" s="251"/>
    </row>
    <row r="70">
      <c r="A70" s="270"/>
      <c r="B70" s="478"/>
      <c r="C70" s="471"/>
      <c r="D70" s="472"/>
      <c r="E70" s="473"/>
      <c r="F70" s="474"/>
      <c r="G70" s="475"/>
      <c r="H70" s="261"/>
    </row>
    <row r="71">
      <c r="A71" s="262" t="s">
        <v>1228</v>
      </c>
      <c r="B71" s="425">
        <v>20991.0</v>
      </c>
      <c r="C71" s="445"/>
      <c r="D71" s="421"/>
      <c r="E71" s="422"/>
      <c r="F71" s="284"/>
      <c r="G71" s="436" t="s">
        <v>1061</v>
      </c>
      <c r="H71" s="286"/>
    </row>
    <row r="72">
      <c r="A72" s="265"/>
      <c r="B72" s="419"/>
      <c r="C72" s="427"/>
      <c r="D72" s="414"/>
      <c r="E72" s="417"/>
      <c r="F72" s="250"/>
      <c r="H72" s="82"/>
    </row>
    <row r="73">
      <c r="A73" s="265"/>
      <c r="B73" s="419"/>
      <c r="C73" s="427"/>
      <c r="D73" s="414"/>
      <c r="E73" s="417"/>
      <c r="F73" s="418"/>
      <c r="G73" s="420"/>
      <c r="H73" s="82"/>
    </row>
    <row r="74">
      <c r="A74" s="265"/>
      <c r="B74" s="404"/>
      <c r="C74" s="405"/>
      <c r="D74" s="399"/>
      <c r="E74" s="398"/>
      <c r="F74" s="284"/>
      <c r="G74" s="285"/>
      <c r="H74" s="302"/>
    </row>
    <row r="75">
      <c r="A75" s="265"/>
      <c r="B75" s="484"/>
      <c r="C75" s="533"/>
      <c r="D75" s="534"/>
      <c r="E75" s="507"/>
      <c r="F75" s="459"/>
      <c r="G75" s="535"/>
      <c r="H75" s="527"/>
      <c r="I75" s="318"/>
    </row>
    <row r="76">
      <c r="A76" s="265"/>
      <c r="B76" s="404"/>
      <c r="C76" s="405"/>
      <c r="D76" s="399"/>
      <c r="E76" s="442"/>
      <c r="F76" s="284"/>
      <c r="G76" s="285"/>
      <c r="H76" s="82"/>
      <c r="I76" s="318"/>
    </row>
    <row r="77">
      <c r="A77" s="265"/>
      <c r="B77" s="404"/>
      <c r="C77" s="424"/>
      <c r="D77" s="399"/>
      <c r="E77" s="442"/>
      <c r="F77" s="284"/>
      <c r="G77" s="285"/>
      <c r="H77" s="302"/>
      <c r="I77" s="318"/>
    </row>
    <row r="78">
      <c r="A78" s="265"/>
      <c r="B78" s="404"/>
      <c r="C78" s="424"/>
      <c r="D78" s="400"/>
      <c r="E78" s="442"/>
      <c r="F78" s="284"/>
      <c r="G78" s="285"/>
      <c r="H78" s="302"/>
      <c r="I78" s="318"/>
    </row>
    <row r="79">
      <c r="A79" s="265"/>
      <c r="B79" s="404"/>
      <c r="C79" s="405"/>
      <c r="D79" s="400"/>
      <c r="E79" s="442"/>
      <c r="F79" s="284"/>
      <c r="G79" s="285"/>
      <c r="H79" s="302"/>
    </row>
    <row r="80">
      <c r="A80" s="265"/>
      <c r="B80" s="404"/>
      <c r="C80" s="405"/>
      <c r="D80" s="400"/>
      <c r="E80" s="442"/>
      <c r="F80" s="284"/>
      <c r="G80" s="285"/>
      <c r="H80" s="251"/>
      <c r="I80" s="318"/>
    </row>
    <row r="81">
      <c r="A81" s="265"/>
      <c r="B81" s="440"/>
      <c r="C81" s="405"/>
      <c r="D81" s="400"/>
      <c r="E81" s="442"/>
      <c r="F81" s="463"/>
      <c r="G81" s="285"/>
      <c r="H81" s="251"/>
      <c r="I81" s="318"/>
    </row>
    <row r="82">
      <c r="A82" s="265"/>
      <c r="B82" s="440"/>
      <c r="C82" s="424"/>
      <c r="D82" s="400"/>
      <c r="E82" s="442"/>
      <c r="F82" s="284"/>
      <c r="G82" s="285"/>
      <c r="H82" s="251"/>
    </row>
    <row r="83">
      <c r="A83" s="265"/>
      <c r="B83" s="440"/>
      <c r="C83" s="424"/>
      <c r="D83" s="400"/>
      <c r="E83" s="442"/>
      <c r="F83" s="463"/>
      <c r="G83" s="285"/>
      <c r="H83" s="251"/>
    </row>
    <row r="84">
      <c r="A84" s="270"/>
      <c r="B84" s="478"/>
      <c r="C84" s="471"/>
      <c r="D84" s="472"/>
      <c r="E84" s="473"/>
      <c r="F84" s="460"/>
      <c r="G84" s="482"/>
      <c r="H84" s="261"/>
    </row>
    <row r="85">
      <c r="A85" s="262" t="s">
        <v>1229</v>
      </c>
      <c r="B85" s="461">
        <v>95500.0</v>
      </c>
      <c r="C85" s="445"/>
      <c r="D85" s="421"/>
      <c r="E85" s="422" t="s">
        <v>306</v>
      </c>
      <c r="F85" s="423"/>
      <c r="G85" s="505" t="s">
        <v>75</v>
      </c>
      <c r="H85" s="245">
        <v>180.0</v>
      </c>
    </row>
    <row r="86">
      <c r="A86" s="265"/>
      <c r="B86" s="404">
        <v>32583.67</v>
      </c>
      <c r="C86" s="248"/>
      <c r="D86" s="249"/>
      <c r="F86" s="250"/>
      <c r="G86" s="254" t="s">
        <v>82</v>
      </c>
      <c r="H86" s="267"/>
    </row>
    <row r="87">
      <c r="A87" s="265"/>
      <c r="B87" s="404"/>
      <c r="C87" s="405"/>
      <c r="D87" s="399"/>
      <c r="E87" s="398"/>
      <c r="F87" s="284"/>
      <c r="G87" s="195"/>
      <c r="H87" s="267"/>
    </row>
    <row r="88">
      <c r="A88" s="265"/>
      <c r="B88" s="404"/>
      <c r="C88" s="405"/>
      <c r="D88" s="399"/>
      <c r="E88" s="398"/>
      <c r="F88" s="284"/>
      <c r="G88" s="285"/>
      <c r="H88" s="251"/>
    </row>
    <row r="89">
      <c r="A89" s="265"/>
      <c r="B89" s="404"/>
      <c r="C89" s="405"/>
      <c r="D89" s="399"/>
      <c r="E89" s="398"/>
      <c r="F89" s="284"/>
      <c r="G89" s="285"/>
      <c r="H89" s="251"/>
    </row>
    <row r="90">
      <c r="A90" s="265"/>
      <c r="B90" s="404"/>
      <c r="C90" s="405"/>
      <c r="D90" s="399"/>
      <c r="E90" s="398"/>
      <c r="F90" s="284"/>
      <c r="G90" s="285"/>
      <c r="H90" s="251"/>
    </row>
    <row r="91">
      <c r="A91" s="265"/>
      <c r="B91" s="404"/>
      <c r="C91" s="424"/>
      <c r="D91" s="399"/>
      <c r="E91" s="398"/>
      <c r="F91" s="284"/>
      <c r="G91" s="285"/>
      <c r="H91" s="251"/>
    </row>
    <row r="92">
      <c r="A92" s="265"/>
      <c r="B92" s="404"/>
      <c r="C92" s="405"/>
      <c r="D92" s="399"/>
      <c r="E92" s="442"/>
      <c r="F92" s="284"/>
      <c r="G92" s="285"/>
      <c r="H92" s="251"/>
    </row>
    <row r="93">
      <c r="A93" s="265"/>
      <c r="B93" s="419"/>
      <c r="C93" s="434"/>
      <c r="D93" s="414"/>
      <c r="E93" s="417"/>
      <c r="F93" s="418"/>
      <c r="G93" s="420"/>
      <c r="H93" s="251"/>
    </row>
    <row r="94">
      <c r="A94" s="265"/>
      <c r="B94" s="404"/>
      <c r="C94" s="405"/>
      <c r="D94" s="400"/>
      <c r="E94" s="442"/>
      <c r="F94" s="284"/>
      <c r="G94" s="285"/>
      <c r="H94" s="251"/>
    </row>
    <row r="95">
      <c r="A95" s="265"/>
      <c r="B95" s="477"/>
      <c r="C95" s="424"/>
      <c r="D95" s="400"/>
      <c r="E95" s="442"/>
      <c r="F95" s="284"/>
      <c r="G95" s="285"/>
      <c r="H95" s="251"/>
    </row>
    <row r="96">
      <c r="A96" s="265"/>
      <c r="B96" s="477"/>
      <c r="C96" s="424"/>
      <c r="D96" s="400"/>
      <c r="E96" s="442"/>
      <c r="F96" s="284"/>
      <c r="G96" s="285"/>
      <c r="H96" s="251"/>
    </row>
    <row r="97">
      <c r="A97" s="265"/>
      <c r="B97" s="477"/>
      <c r="C97" s="424"/>
      <c r="D97" s="400"/>
      <c r="E97" s="442"/>
      <c r="F97" s="284"/>
      <c r="G97" s="481"/>
      <c r="H97" s="251"/>
    </row>
    <row r="98">
      <c r="A98" s="265"/>
      <c r="B98" s="477"/>
      <c r="C98" s="424"/>
      <c r="D98" s="400"/>
      <c r="E98" s="442"/>
      <c r="F98" s="284"/>
      <c r="G98" s="481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65"/>
      <c r="B101" s="477"/>
      <c r="C101" s="424"/>
      <c r="D101" s="400"/>
      <c r="E101" s="442"/>
      <c r="F101" s="284"/>
      <c r="G101" s="481"/>
      <c r="H101" s="251"/>
    </row>
    <row r="102">
      <c r="A102" s="270"/>
      <c r="B102" s="478"/>
      <c r="C102" s="471"/>
      <c r="D102" s="472"/>
      <c r="E102" s="473"/>
      <c r="F102" s="460"/>
      <c r="G102" s="482"/>
      <c r="H102" s="261"/>
    </row>
    <row r="103">
      <c r="A103" s="262" t="s">
        <v>1236</v>
      </c>
      <c r="B103" s="425"/>
      <c r="C103" s="426"/>
      <c r="D103" s="401"/>
      <c r="E103" s="402"/>
      <c r="F103" s="403"/>
      <c r="G103" s="436"/>
      <c r="H103" s="245">
        <v>260.0</v>
      </c>
    </row>
    <row r="104">
      <c r="A104" s="265"/>
      <c r="B104" s="404"/>
      <c r="C104" s="405"/>
      <c r="D104" s="399"/>
      <c r="E104" s="398"/>
      <c r="F104" s="284"/>
      <c r="G104" s="285"/>
      <c r="H104" s="267"/>
    </row>
    <row r="105">
      <c r="A105" s="265"/>
      <c r="B105" s="404"/>
      <c r="C105" s="405"/>
      <c r="D105" s="399"/>
      <c r="E105" s="398"/>
      <c r="F105" s="284"/>
      <c r="G105" s="285"/>
      <c r="H105" s="251"/>
    </row>
    <row r="106">
      <c r="A106" s="265"/>
      <c r="B106" s="461"/>
      <c r="C106" s="445"/>
      <c r="D106" s="421"/>
      <c r="E106" s="422"/>
      <c r="F106" s="403">
        <v>5000.0</v>
      </c>
      <c r="G106" s="436" t="s">
        <v>1729</v>
      </c>
      <c r="H106" s="267"/>
    </row>
    <row r="107">
      <c r="A107" s="265"/>
      <c r="B107" s="419"/>
      <c r="C107" s="434"/>
      <c r="D107" s="414"/>
      <c r="E107" s="417"/>
      <c r="F107" s="284"/>
      <c r="G107" s="285"/>
      <c r="H107" s="251"/>
    </row>
    <row r="108">
      <c r="A108" s="265"/>
      <c r="B108" s="404"/>
      <c r="C108" s="405"/>
      <c r="D108" s="399"/>
      <c r="E108" s="398"/>
      <c r="F108" s="284"/>
      <c r="G108" s="285"/>
      <c r="H108" s="251"/>
    </row>
    <row r="109">
      <c r="A109" s="265"/>
      <c r="B109" s="404"/>
      <c r="C109" s="424"/>
      <c r="D109" s="399"/>
      <c r="E109" s="398"/>
      <c r="F109" s="284"/>
      <c r="G109" s="285"/>
      <c r="H109" s="251"/>
      <c r="I109" s="417"/>
    </row>
    <row r="110">
      <c r="A110" s="265"/>
      <c r="B110" s="404"/>
      <c r="C110" s="405"/>
      <c r="D110" s="399"/>
      <c r="E110" s="398"/>
      <c r="F110" s="284"/>
      <c r="G110" s="285"/>
      <c r="H110" s="251"/>
    </row>
    <row r="111">
      <c r="A111" s="265"/>
      <c r="B111" s="404"/>
      <c r="C111" s="405"/>
      <c r="D111" s="399"/>
      <c r="E111" s="398"/>
      <c r="F111" s="284"/>
      <c r="G111" s="285"/>
      <c r="H111" s="251"/>
    </row>
    <row r="112">
      <c r="A112" s="265"/>
      <c r="B112" s="404"/>
      <c r="C112" s="405"/>
      <c r="D112" s="400"/>
      <c r="E112" s="442"/>
      <c r="F112" s="284"/>
      <c r="G112" s="285"/>
      <c r="H112" s="267"/>
    </row>
    <row r="113">
      <c r="A113" s="265"/>
      <c r="B113" s="404"/>
      <c r="C113" s="424"/>
      <c r="D113" s="399"/>
      <c r="E113" s="442"/>
      <c r="F113" s="284"/>
      <c r="G113" s="285"/>
      <c r="H113" s="251"/>
    </row>
    <row r="114">
      <c r="A114" s="265"/>
      <c r="B114" s="440"/>
      <c r="C114" s="424"/>
      <c r="D114" s="400"/>
      <c r="E114" s="442"/>
      <c r="F114" s="284"/>
      <c r="G114" s="285"/>
      <c r="H114" s="251"/>
    </row>
    <row r="115">
      <c r="A115" s="265"/>
      <c r="B115" s="440"/>
      <c r="C115" s="424"/>
      <c r="D115" s="400"/>
      <c r="E115" s="442"/>
      <c r="F115" s="284"/>
      <c r="G115" s="481"/>
      <c r="H115" s="251"/>
    </row>
    <row r="116">
      <c r="A116" s="265"/>
      <c r="B116" s="480"/>
      <c r="C116" s="424"/>
      <c r="D116" s="400"/>
      <c r="E116" s="442"/>
      <c r="F116" s="284"/>
      <c r="G116" s="481"/>
      <c r="H116" s="251"/>
    </row>
    <row r="117">
      <c r="A117" s="270"/>
      <c r="B117" s="478"/>
      <c r="C117" s="471"/>
      <c r="D117" s="472"/>
      <c r="E117" s="473"/>
      <c r="F117" s="460"/>
      <c r="G117" s="482"/>
      <c r="H117" s="261"/>
    </row>
    <row r="118">
      <c r="A118" s="262" t="s">
        <v>1730</v>
      </c>
      <c r="B118" s="461"/>
      <c r="C118" s="445"/>
      <c r="D118" s="421"/>
      <c r="E118" s="422"/>
      <c r="F118" s="403">
        <v>1200.0</v>
      </c>
      <c r="G118" s="436" t="s">
        <v>1731</v>
      </c>
      <c r="H118" s="245">
        <v>360.0</v>
      </c>
    </row>
    <row r="119">
      <c r="A119" s="265"/>
      <c r="B119" s="404">
        <v>24600.0</v>
      </c>
      <c r="C119" s="405"/>
      <c r="D119" s="399"/>
      <c r="E119" s="398"/>
      <c r="F119" s="284"/>
      <c r="G119" s="285" t="s">
        <v>1732</v>
      </c>
      <c r="H119" s="251"/>
    </row>
    <row r="120">
      <c r="A120" s="265"/>
      <c r="B120" s="404">
        <v>3400.0</v>
      </c>
      <c r="C120" s="405"/>
      <c r="D120" s="399"/>
      <c r="E120" s="398"/>
      <c r="F120" s="284"/>
      <c r="G120" s="285" t="s">
        <v>1733</v>
      </c>
      <c r="H120" s="251"/>
    </row>
    <row r="121">
      <c r="A121" s="265"/>
      <c r="B121" s="419"/>
      <c r="C121" s="434"/>
      <c r="D121" s="414"/>
      <c r="E121" s="417"/>
      <c r="F121" s="418"/>
      <c r="G121" s="420"/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04"/>
      <c r="C123" s="405"/>
      <c r="D123" s="399"/>
      <c r="E123" s="398"/>
      <c r="F123" s="284"/>
      <c r="G123" s="285"/>
      <c r="H123" s="251"/>
    </row>
    <row r="124">
      <c r="A124" s="265"/>
      <c r="B124" s="404"/>
      <c r="C124" s="405"/>
      <c r="D124" s="399"/>
      <c r="E124" s="442"/>
      <c r="F124" s="284"/>
      <c r="G124" s="285"/>
      <c r="H124" s="251"/>
    </row>
    <row r="125">
      <c r="A125" s="265"/>
      <c r="B125" s="404"/>
      <c r="C125" s="424"/>
      <c r="D125" s="399"/>
      <c r="E125" s="442"/>
      <c r="F125" s="284"/>
      <c r="G125" s="285"/>
      <c r="H125" s="251"/>
    </row>
    <row r="126">
      <c r="A126" s="265"/>
      <c r="B126" s="477"/>
      <c r="C126" s="405"/>
      <c r="D126" s="399"/>
      <c r="E126" s="442"/>
      <c r="F126" s="284"/>
      <c r="G126" s="285"/>
      <c r="H126" s="251"/>
    </row>
    <row r="127">
      <c r="A127" s="265"/>
      <c r="B127" s="404"/>
      <c r="C127" s="424"/>
      <c r="D127" s="399"/>
      <c r="E127" s="442"/>
      <c r="F127" s="284"/>
      <c r="G127" s="442"/>
      <c r="H127" s="251"/>
    </row>
    <row r="128">
      <c r="A128" s="265"/>
      <c r="B128" s="404"/>
      <c r="C128" s="424"/>
      <c r="D128" s="399"/>
      <c r="E128" s="442"/>
      <c r="F128" s="284"/>
      <c r="G128" s="285"/>
      <c r="H128" s="251"/>
    </row>
    <row r="129">
      <c r="A129" s="265"/>
      <c r="B129" s="440"/>
      <c r="C129" s="424"/>
      <c r="D129" s="400"/>
      <c r="E129" s="442"/>
      <c r="F129" s="284"/>
      <c r="G129" s="285"/>
      <c r="H129" s="251"/>
    </row>
    <row r="130">
      <c r="A130" s="265"/>
      <c r="B130" s="440"/>
      <c r="C130" s="424"/>
      <c r="D130" s="400"/>
      <c r="E130" s="442"/>
      <c r="F130" s="463"/>
      <c r="G130" s="481"/>
      <c r="H130" s="251"/>
    </row>
    <row r="131">
      <c r="A131" s="265"/>
      <c r="B131" s="480"/>
      <c r="C131" s="424"/>
      <c r="D131" s="400"/>
      <c r="E131" s="442"/>
      <c r="F131" s="284"/>
      <c r="G131" s="481"/>
      <c r="H131" s="251"/>
    </row>
    <row r="132">
      <c r="A132" s="270"/>
      <c r="B132" s="478"/>
      <c r="C132" s="471"/>
      <c r="D132" s="472"/>
      <c r="E132" s="473"/>
      <c r="F132" s="474"/>
      <c r="G132" s="475"/>
      <c r="H132" s="261"/>
    </row>
    <row r="133">
      <c r="A133" s="262" t="s">
        <v>1238</v>
      </c>
      <c r="B133" s="425"/>
      <c r="C133" s="426"/>
      <c r="D133" s="421"/>
      <c r="E133" s="422"/>
      <c r="F133" s="403">
        <v>11842.74</v>
      </c>
      <c r="G133" s="436" t="s">
        <v>97</v>
      </c>
      <c r="H133" s="245">
        <v>186.0</v>
      </c>
    </row>
    <row r="134">
      <c r="A134" s="265"/>
      <c r="B134" s="404"/>
      <c r="C134" s="405"/>
      <c r="D134" s="399"/>
      <c r="E134" s="398"/>
      <c r="F134" s="284">
        <v>11100.0</v>
      </c>
      <c r="G134" s="285" t="s">
        <v>291</v>
      </c>
      <c r="H134" s="267">
        <v>-100.0</v>
      </c>
      <c r="I134" s="2" t="s">
        <v>704</v>
      </c>
    </row>
    <row r="135">
      <c r="A135" s="265"/>
      <c r="B135" s="404"/>
      <c r="C135" s="427"/>
      <c r="D135" s="399"/>
      <c r="E135" s="398"/>
      <c r="F135" s="284">
        <v>7000.0</v>
      </c>
      <c r="G135" s="285" t="s">
        <v>1186</v>
      </c>
      <c r="H135" s="251"/>
    </row>
    <row r="136">
      <c r="A136" s="265"/>
      <c r="B136" s="404"/>
      <c r="C136" s="405"/>
      <c r="D136" s="399"/>
      <c r="E136" s="398"/>
      <c r="F136" s="284"/>
      <c r="G136" s="285"/>
      <c r="H136" s="267">
        <v>86.0</v>
      </c>
    </row>
    <row r="137">
      <c r="A137" s="265"/>
      <c r="B137" s="419"/>
      <c r="C137" s="427"/>
      <c r="D137" s="414"/>
      <c r="E137" s="417"/>
      <c r="F137" s="418"/>
      <c r="G137" s="420"/>
      <c r="H137" s="251"/>
    </row>
    <row r="138">
      <c r="A138" s="265"/>
      <c r="B138" s="419"/>
      <c r="C138" s="427"/>
      <c r="D138" s="414"/>
      <c r="E138" s="417"/>
      <c r="F138" s="418"/>
      <c r="G138" s="420"/>
      <c r="H138" s="251"/>
    </row>
    <row r="139">
      <c r="A139" s="265"/>
      <c r="B139" s="404"/>
      <c r="C139" s="405"/>
      <c r="D139" s="399"/>
      <c r="E139" s="398"/>
      <c r="F139" s="284"/>
      <c r="G139" s="285"/>
      <c r="H139" s="251"/>
    </row>
    <row r="140">
      <c r="A140" s="265"/>
      <c r="B140" s="404"/>
      <c r="C140" s="424"/>
      <c r="D140" s="399"/>
      <c r="E140" s="442"/>
      <c r="F140" s="284"/>
      <c r="G140" s="285"/>
      <c r="H140" s="251"/>
    </row>
    <row r="141">
      <c r="A141" s="265"/>
      <c r="B141" s="404"/>
      <c r="C141" s="424"/>
      <c r="D141" s="399"/>
      <c r="E141" s="398"/>
      <c r="F141" s="284"/>
      <c r="G141" s="285"/>
      <c r="H141" s="251"/>
    </row>
    <row r="142">
      <c r="A142" s="265"/>
      <c r="B142" s="440"/>
      <c r="C142" s="424"/>
      <c r="D142" s="399"/>
      <c r="E142" s="442"/>
      <c r="F142" s="284"/>
      <c r="G142" s="285"/>
      <c r="H142" s="251"/>
    </row>
    <row r="143">
      <c r="A143" s="270"/>
      <c r="B143" s="470"/>
      <c r="C143" s="471"/>
      <c r="D143" s="486"/>
      <c r="E143" s="473"/>
      <c r="F143" s="474"/>
      <c r="G143" s="475"/>
      <c r="H143" s="261"/>
    </row>
    <row r="144">
      <c r="A144" s="262" t="s">
        <v>1239</v>
      </c>
      <c r="B144" s="461"/>
      <c r="C144" s="445"/>
      <c r="D144" s="421"/>
      <c r="E144" s="422"/>
      <c r="F144" s="403">
        <v>3800.0</v>
      </c>
      <c r="G144" s="436" t="s">
        <v>588</v>
      </c>
      <c r="H144" s="245">
        <v>450.0</v>
      </c>
    </row>
    <row r="145">
      <c r="A145" s="265"/>
      <c r="B145" s="404">
        <v>1900.0</v>
      </c>
      <c r="C145" s="487"/>
      <c r="D145" s="399"/>
      <c r="E145" s="398"/>
      <c r="F145" s="284"/>
      <c r="G145" s="285" t="s">
        <v>588</v>
      </c>
      <c r="H145" s="267"/>
    </row>
    <row r="146">
      <c r="A146" s="265"/>
      <c r="B146" s="404">
        <v>1660.0</v>
      </c>
      <c r="C146" s="405"/>
      <c r="D146" s="399"/>
      <c r="E146" s="398"/>
      <c r="F146" s="284"/>
      <c r="G146" s="285" t="s">
        <v>549</v>
      </c>
      <c r="H146" s="267"/>
    </row>
    <row r="147">
      <c r="A147" s="265"/>
      <c r="B147" s="404">
        <v>22000.0</v>
      </c>
      <c r="C147" s="405"/>
      <c r="D147" s="399"/>
      <c r="E147" s="398"/>
      <c r="F147" s="284"/>
      <c r="G147" s="285" t="s">
        <v>1734</v>
      </c>
      <c r="H147" s="251"/>
    </row>
    <row r="148">
      <c r="A148" s="265"/>
      <c r="B148" s="404"/>
      <c r="C148" s="405"/>
      <c r="D148" s="399"/>
      <c r="E148" s="285"/>
      <c r="F148" s="284">
        <v>20000.0</v>
      </c>
      <c r="G148" s="285" t="s">
        <v>1735</v>
      </c>
      <c r="H148" s="251"/>
      <c r="I148" s="254"/>
    </row>
    <row r="149">
      <c r="A149" s="265"/>
      <c r="B149" s="404"/>
      <c r="C149" s="424"/>
      <c r="D149" s="399"/>
      <c r="E149" s="398"/>
      <c r="F149" s="284">
        <v>30000.0</v>
      </c>
      <c r="G149" s="285" t="s">
        <v>1736</v>
      </c>
      <c r="H149" s="251"/>
    </row>
    <row r="150">
      <c r="A150" s="265"/>
      <c r="B150" s="404">
        <v>5000.0</v>
      </c>
      <c r="C150" s="405"/>
      <c r="D150" s="399"/>
      <c r="E150" s="398"/>
      <c r="F150" s="284"/>
      <c r="G150" s="285" t="s">
        <v>1737</v>
      </c>
      <c r="H150" s="267"/>
    </row>
    <row r="151">
      <c r="A151" s="265"/>
      <c r="B151" s="404"/>
      <c r="C151" s="424"/>
      <c r="D151" s="400"/>
      <c r="E151" s="398"/>
      <c r="F151" s="284"/>
      <c r="G151" s="285"/>
      <c r="H151" s="251"/>
    </row>
    <row r="152">
      <c r="A152" s="265"/>
      <c r="B152" s="419"/>
      <c r="C152" s="434"/>
      <c r="D152" s="414"/>
      <c r="E152" s="417"/>
      <c r="F152" s="418"/>
      <c r="G152" s="420"/>
      <c r="H152" s="251"/>
    </row>
    <row r="153">
      <c r="A153" s="265"/>
      <c r="B153" s="419"/>
      <c r="C153" s="434"/>
      <c r="D153" s="523"/>
      <c r="E153" s="417"/>
      <c r="F153" s="418"/>
      <c r="G153" s="420"/>
      <c r="H153" s="251"/>
    </row>
    <row r="154">
      <c r="A154" s="265"/>
      <c r="B154" s="404"/>
      <c r="C154" s="424"/>
      <c r="D154" s="400"/>
      <c r="E154" s="442"/>
      <c r="F154" s="284"/>
      <c r="G154" s="285"/>
      <c r="H154" s="251"/>
    </row>
    <row r="155">
      <c r="A155" s="265"/>
      <c r="B155" s="404"/>
      <c r="C155" s="424"/>
      <c r="D155" s="400"/>
      <c r="E155" s="442"/>
      <c r="F155" s="284"/>
      <c r="G155" s="285"/>
      <c r="H155" s="251"/>
    </row>
    <row r="156">
      <c r="A156" s="265"/>
      <c r="B156" s="477"/>
      <c r="C156" s="424"/>
      <c r="D156" s="400"/>
      <c r="E156" s="442"/>
      <c r="F156" s="284"/>
      <c r="G156" s="481"/>
      <c r="H156" s="251"/>
    </row>
    <row r="157">
      <c r="A157" s="265"/>
      <c r="B157" s="477"/>
      <c r="C157" s="424"/>
      <c r="D157" s="400"/>
      <c r="E157" s="442"/>
      <c r="F157" s="284"/>
      <c r="G157" s="481"/>
      <c r="H157" s="251"/>
    </row>
    <row r="158">
      <c r="A158" s="270"/>
      <c r="B158" s="478"/>
      <c r="C158" s="471"/>
      <c r="D158" s="472"/>
      <c r="E158" s="473"/>
      <c r="F158" s="474"/>
      <c r="G158" s="475"/>
      <c r="H158" s="261"/>
    </row>
    <row r="159">
      <c r="A159" s="262" t="s">
        <v>1242</v>
      </c>
      <c r="B159" s="419"/>
      <c r="C159" s="427"/>
      <c r="D159" s="414"/>
      <c r="E159" s="417"/>
      <c r="F159" s="250">
        <v>8500.0</v>
      </c>
      <c r="G159" s="254" t="s">
        <v>1738</v>
      </c>
      <c r="H159" s="286">
        <v>270.0</v>
      </c>
    </row>
    <row r="160">
      <c r="A160" s="265"/>
      <c r="B160" s="404"/>
      <c r="C160" s="405"/>
      <c r="D160" s="399"/>
      <c r="E160" s="398"/>
      <c r="F160" s="284"/>
      <c r="G160" s="285"/>
      <c r="H160" s="251"/>
    </row>
    <row r="161">
      <c r="A161" s="265"/>
      <c r="B161" s="404"/>
      <c r="C161" s="405"/>
      <c r="D161" s="399"/>
      <c r="E161" s="398"/>
      <c r="F161" s="284"/>
      <c r="G161" s="285"/>
      <c r="H161" s="267"/>
    </row>
    <row r="162">
      <c r="A162" s="265"/>
      <c r="B162" s="404"/>
      <c r="C162" s="405"/>
      <c r="D162" s="399"/>
      <c r="E162" s="398"/>
      <c r="F162" s="284"/>
      <c r="G162" s="285"/>
      <c r="H162" s="251"/>
    </row>
    <row r="163">
      <c r="A163" s="265"/>
      <c r="B163" s="419"/>
      <c r="C163" s="427"/>
      <c r="D163" s="414"/>
      <c r="E163" s="417"/>
      <c r="F163" s="418"/>
      <c r="G163" s="420"/>
      <c r="H163" s="267"/>
    </row>
    <row r="164">
      <c r="A164" s="265"/>
      <c r="B164" s="404"/>
      <c r="C164" s="424"/>
      <c r="D164" s="399"/>
      <c r="E164" s="442"/>
      <c r="F164" s="284"/>
      <c r="G164" s="285"/>
      <c r="H164" s="251"/>
    </row>
    <row r="165">
      <c r="A165" s="265"/>
      <c r="B165" s="404"/>
      <c r="C165" s="424"/>
      <c r="D165" s="399"/>
      <c r="E165" s="398"/>
      <c r="F165" s="284"/>
      <c r="G165" s="285"/>
      <c r="H165" s="267"/>
    </row>
    <row r="166">
      <c r="A166" s="265"/>
      <c r="B166" s="404"/>
      <c r="C166" s="424"/>
      <c r="D166" s="399"/>
      <c r="E166" s="442"/>
      <c r="F166" s="284"/>
      <c r="G166" s="285"/>
      <c r="H166" s="251"/>
    </row>
    <row r="167">
      <c r="A167" s="265"/>
      <c r="B167" s="404"/>
      <c r="C167" s="405"/>
      <c r="D167" s="399"/>
      <c r="E167" s="442"/>
      <c r="F167" s="284"/>
      <c r="G167" s="285"/>
      <c r="H167" s="251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24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05"/>
      <c r="D171" s="399"/>
      <c r="E171" s="442"/>
      <c r="F171" s="284"/>
      <c r="G171" s="285"/>
      <c r="H171" s="251"/>
    </row>
    <row r="172">
      <c r="A172" s="265"/>
      <c r="B172" s="404"/>
      <c r="C172" s="424"/>
      <c r="D172" s="399"/>
      <c r="E172" s="442"/>
      <c r="F172" s="284"/>
      <c r="G172" s="285"/>
      <c r="H172" s="251"/>
    </row>
    <row r="173">
      <c r="A173" s="265"/>
      <c r="B173" s="404"/>
      <c r="C173" s="424"/>
      <c r="D173" s="400"/>
      <c r="E173" s="442"/>
      <c r="F173" s="284"/>
      <c r="G173" s="285"/>
      <c r="H173" s="251"/>
    </row>
    <row r="174">
      <c r="A174" s="270"/>
      <c r="B174" s="404"/>
      <c r="C174" s="424"/>
      <c r="D174" s="399"/>
      <c r="E174" s="442"/>
      <c r="F174" s="284"/>
      <c r="G174" s="285"/>
      <c r="H174" s="261"/>
    </row>
    <row r="175">
      <c r="A175" s="262" t="s">
        <v>1244</v>
      </c>
      <c r="B175" s="425"/>
      <c r="C175" s="426"/>
      <c r="D175" s="401"/>
      <c r="E175" s="402"/>
      <c r="F175" s="403">
        <v>3222.0</v>
      </c>
      <c r="G175" s="436" t="s">
        <v>1739</v>
      </c>
      <c r="H175" s="245">
        <v>340.0</v>
      </c>
    </row>
    <row r="176">
      <c r="A176" s="265"/>
      <c r="B176" s="404"/>
      <c r="C176" s="405"/>
      <c r="D176" s="399"/>
      <c r="E176" s="442"/>
      <c r="F176" s="284"/>
      <c r="G176" s="285"/>
      <c r="H176" s="267"/>
    </row>
    <row r="177">
      <c r="A177" s="265"/>
      <c r="B177" s="419"/>
      <c r="C177" s="434"/>
      <c r="D177" s="414"/>
      <c r="E177" s="417"/>
      <c r="F177" s="418"/>
      <c r="G177" s="420"/>
      <c r="H177" s="251"/>
    </row>
    <row r="178">
      <c r="A178" s="265"/>
      <c r="B178" s="404"/>
      <c r="C178" s="405"/>
      <c r="D178" s="399"/>
      <c r="E178" s="398"/>
      <c r="F178" s="284"/>
      <c r="G178" s="285"/>
      <c r="H178" s="251"/>
    </row>
    <row r="179">
      <c r="A179" s="265"/>
      <c r="B179" s="404"/>
      <c r="C179" s="405"/>
      <c r="D179" s="399"/>
      <c r="E179" s="398"/>
      <c r="F179" s="284"/>
      <c r="G179" s="285"/>
      <c r="H179" s="251"/>
    </row>
    <row r="180">
      <c r="A180" s="265"/>
      <c r="B180" s="404"/>
      <c r="C180" s="405"/>
      <c r="D180" s="399"/>
      <c r="E180" s="442"/>
      <c r="F180" s="284"/>
      <c r="G180" s="285"/>
      <c r="H180" s="267"/>
    </row>
    <row r="181">
      <c r="A181" s="265"/>
      <c r="B181" s="404"/>
      <c r="C181" s="405"/>
      <c r="D181" s="399"/>
      <c r="E181" s="442"/>
      <c r="F181" s="284"/>
      <c r="G181" s="488"/>
      <c r="H181" s="251"/>
    </row>
    <row r="182">
      <c r="A182" s="265"/>
      <c r="B182" s="404"/>
      <c r="C182" s="424"/>
      <c r="D182" s="399"/>
      <c r="E182" s="442"/>
      <c r="F182" s="284"/>
      <c r="G182" s="285"/>
      <c r="H182" s="251"/>
    </row>
    <row r="183">
      <c r="A183" s="265"/>
      <c r="B183" s="404"/>
      <c r="C183" s="405"/>
      <c r="D183" s="399"/>
      <c r="E183" s="442"/>
      <c r="F183" s="284"/>
      <c r="G183" s="285"/>
      <c r="H183" s="251"/>
    </row>
    <row r="184">
      <c r="A184" s="265"/>
      <c r="B184" s="404"/>
      <c r="C184" s="405"/>
      <c r="D184" s="400"/>
      <c r="E184" s="442"/>
      <c r="F184" s="284"/>
      <c r="G184" s="285"/>
      <c r="H184" s="251"/>
    </row>
    <row r="185">
      <c r="A185" s="265"/>
      <c r="B185" s="477"/>
      <c r="C185" s="405"/>
      <c r="D185" s="400"/>
      <c r="E185" s="442"/>
      <c r="F185" s="284"/>
      <c r="G185" s="481"/>
      <c r="H185" s="251"/>
    </row>
    <row r="186">
      <c r="A186" s="265"/>
      <c r="B186" s="404"/>
      <c r="C186" s="405"/>
      <c r="D186" s="400"/>
      <c r="E186" s="442"/>
      <c r="F186" s="284"/>
      <c r="G186" s="481"/>
      <c r="H186" s="251"/>
    </row>
    <row r="187">
      <c r="A187" s="265"/>
      <c r="B187" s="480"/>
      <c r="C187" s="424"/>
      <c r="D187" s="400"/>
      <c r="E187" s="442"/>
      <c r="F187" s="284"/>
      <c r="G187" s="481"/>
      <c r="H187" s="251"/>
    </row>
    <row r="188">
      <c r="A188" s="265"/>
      <c r="B188" s="480"/>
      <c r="C188" s="424"/>
      <c r="D188" s="400"/>
      <c r="E188" s="442"/>
      <c r="F188" s="463"/>
      <c r="G188" s="481"/>
      <c r="H188" s="251"/>
    </row>
    <row r="189">
      <c r="A189" s="270"/>
      <c r="B189" s="478"/>
      <c r="C189" s="471"/>
      <c r="D189" s="472"/>
      <c r="E189" s="473"/>
      <c r="F189" s="460"/>
      <c r="G189" s="482"/>
      <c r="H189" s="261"/>
    </row>
    <row r="190">
      <c r="A190" s="262" t="s">
        <v>1246</v>
      </c>
      <c r="B190" s="425">
        <v>58000.0</v>
      </c>
      <c r="C190" s="426"/>
      <c r="D190" s="401"/>
      <c r="E190" s="402"/>
      <c r="F190" s="403"/>
      <c r="G190" s="436" t="s">
        <v>128</v>
      </c>
      <c r="H190" s="245">
        <v>250.0</v>
      </c>
    </row>
    <row r="191">
      <c r="A191" s="265"/>
      <c r="B191" s="404"/>
      <c r="C191" s="405"/>
      <c r="D191" s="399"/>
      <c r="E191" s="398"/>
      <c r="F191" s="284">
        <v>9640.0</v>
      </c>
      <c r="G191" s="285" t="s">
        <v>291</v>
      </c>
      <c r="H191" s="267"/>
    </row>
    <row r="192">
      <c r="A192" s="265"/>
      <c r="B192" s="404"/>
      <c r="C192" s="424"/>
      <c r="D192" s="399"/>
      <c r="E192" s="398"/>
      <c r="F192" s="284">
        <v>7353.0</v>
      </c>
      <c r="G192" s="285" t="s">
        <v>97</v>
      </c>
      <c r="H192" s="251"/>
    </row>
    <row r="193">
      <c r="A193" s="265"/>
      <c r="B193" s="404">
        <v>33500.0</v>
      </c>
      <c r="C193" s="405"/>
      <c r="D193" s="399"/>
      <c r="E193" s="398"/>
      <c r="F193" s="284"/>
      <c r="G193" s="285" t="s">
        <v>1740</v>
      </c>
      <c r="H193" s="267"/>
    </row>
    <row r="194">
      <c r="A194" s="265"/>
      <c r="B194" s="404"/>
      <c r="C194" s="405"/>
      <c r="D194" s="399"/>
      <c r="E194" s="398"/>
      <c r="F194" s="284"/>
      <c r="G194" s="285"/>
      <c r="H194" s="251"/>
    </row>
    <row r="195">
      <c r="A195" s="265"/>
      <c r="B195" s="404"/>
      <c r="C195" s="405"/>
      <c r="D195" s="399"/>
      <c r="E195" s="398"/>
      <c r="F195" s="284"/>
      <c r="G195" s="285"/>
      <c r="H195" s="251"/>
    </row>
    <row r="196">
      <c r="A196" s="265"/>
      <c r="B196" s="404"/>
      <c r="C196" s="424"/>
      <c r="D196" s="399"/>
      <c r="E196" s="398"/>
      <c r="F196" s="284"/>
      <c r="G196" s="285"/>
      <c r="H196" s="251"/>
    </row>
    <row r="197">
      <c r="A197" s="265"/>
      <c r="B197" s="404"/>
      <c r="C197" s="424"/>
      <c r="D197" s="400"/>
      <c r="E197" s="398"/>
      <c r="F197" s="284"/>
      <c r="G197" s="285"/>
      <c r="H197" s="251"/>
      <c r="I197" s="269"/>
      <c r="J197" s="269"/>
      <c r="K197" s="269"/>
    </row>
    <row r="198">
      <c r="A198" s="265"/>
      <c r="B198" s="404"/>
      <c r="C198" s="405"/>
      <c r="D198" s="399"/>
      <c r="E198" s="481"/>
      <c r="F198" s="284"/>
      <c r="G198" s="285"/>
      <c r="H198" s="251"/>
      <c r="I198" s="269"/>
      <c r="J198" s="269"/>
      <c r="K198" s="269"/>
    </row>
    <row r="199">
      <c r="A199" s="265"/>
      <c r="B199" s="440"/>
      <c r="C199" s="424"/>
      <c r="D199" s="399"/>
      <c r="E199" s="285"/>
      <c r="F199" s="284"/>
      <c r="G199" s="285"/>
      <c r="H199" s="251"/>
      <c r="I199" s="254"/>
      <c r="J199" s="269"/>
      <c r="K199" s="269"/>
    </row>
    <row r="200">
      <c r="A200" s="265"/>
      <c r="B200" s="440"/>
      <c r="C200" s="424"/>
      <c r="D200" s="400"/>
      <c r="E200" s="481"/>
      <c r="F200" s="463"/>
      <c r="G200" s="285"/>
      <c r="H200" s="251"/>
      <c r="I200" s="269"/>
      <c r="J200" s="269"/>
      <c r="K200" s="269"/>
    </row>
    <row r="201">
      <c r="A201" s="270"/>
      <c r="B201" s="478"/>
      <c r="C201" s="471"/>
      <c r="D201" s="472"/>
      <c r="E201" s="482"/>
      <c r="F201" s="460"/>
      <c r="G201" s="482"/>
      <c r="H201" s="261"/>
      <c r="I201" s="269"/>
      <c r="J201" s="269"/>
      <c r="K201" s="269"/>
    </row>
    <row r="202">
      <c r="A202" s="262" t="s">
        <v>1248</v>
      </c>
      <c r="B202" s="461"/>
      <c r="C202" s="445"/>
      <c r="D202" s="421"/>
      <c r="E202" s="422"/>
      <c r="F202" s="403">
        <v>3108.0</v>
      </c>
      <c r="G202" s="436" t="s">
        <v>227</v>
      </c>
      <c r="H202" s="245">
        <v>210.0</v>
      </c>
      <c r="I202" s="254"/>
      <c r="J202" s="254"/>
      <c r="K202" s="254"/>
    </row>
    <row r="203">
      <c r="A203" s="265"/>
      <c r="B203" s="404"/>
      <c r="C203" s="405"/>
      <c r="D203" s="399"/>
      <c r="E203" s="398"/>
      <c r="F203" s="284"/>
      <c r="G203" s="285"/>
      <c r="H203" s="267"/>
      <c r="I203" s="285"/>
      <c r="J203" s="254"/>
      <c r="K203" s="254"/>
    </row>
    <row r="204">
      <c r="A204" s="265"/>
      <c r="B204" s="419"/>
      <c r="C204" s="427"/>
      <c r="D204" s="414"/>
      <c r="E204" s="417"/>
      <c r="F204" s="418"/>
      <c r="G204" s="420"/>
      <c r="H204" s="251"/>
      <c r="I204" s="254"/>
      <c r="J204" s="254"/>
      <c r="K204" s="254"/>
    </row>
    <row r="205">
      <c r="A205" s="265"/>
      <c r="B205" s="404"/>
      <c r="C205" s="405"/>
      <c r="D205" s="414"/>
      <c r="E205" s="417"/>
      <c r="F205" s="418"/>
      <c r="G205" s="420"/>
      <c r="H205" s="267"/>
      <c r="I205" s="254"/>
      <c r="J205" s="269"/>
      <c r="K205" s="269"/>
    </row>
    <row r="206">
      <c r="A206" s="265"/>
      <c r="B206" s="404"/>
      <c r="C206" s="405"/>
      <c r="D206" s="399"/>
      <c r="E206" s="398"/>
      <c r="F206" s="284"/>
      <c r="G206" s="285"/>
      <c r="H206" s="251"/>
      <c r="I206" s="269"/>
      <c r="J206" s="269"/>
      <c r="K206" s="269"/>
    </row>
    <row r="207">
      <c r="A207" s="265"/>
      <c r="B207" s="404"/>
      <c r="C207" s="405"/>
      <c r="D207" s="399"/>
      <c r="E207" s="398"/>
      <c r="F207" s="284"/>
      <c r="G207" s="285"/>
      <c r="H207" s="251"/>
      <c r="I207" s="269"/>
      <c r="J207" s="269"/>
      <c r="K207" s="269"/>
    </row>
    <row r="208">
      <c r="A208" s="265"/>
      <c r="B208" s="404"/>
      <c r="C208" s="424"/>
      <c r="D208" s="399"/>
      <c r="E208" s="398"/>
      <c r="F208" s="284"/>
      <c r="G208" s="285"/>
      <c r="H208" s="267"/>
      <c r="I208" s="254"/>
      <c r="J208" s="269"/>
      <c r="K208" s="269"/>
    </row>
    <row r="209">
      <c r="A209" s="265"/>
      <c r="B209" s="404"/>
      <c r="C209" s="424"/>
      <c r="D209" s="399"/>
      <c r="E209" s="398"/>
      <c r="F209" s="284"/>
      <c r="G209" s="398"/>
      <c r="H209" s="251"/>
      <c r="I209" s="254"/>
      <c r="J209" s="269"/>
      <c r="K209" s="269"/>
    </row>
    <row r="210">
      <c r="A210" s="265"/>
      <c r="B210" s="404"/>
      <c r="C210" s="424"/>
      <c r="D210" s="399"/>
      <c r="E210" s="398"/>
      <c r="F210" s="284"/>
      <c r="G210" s="285"/>
      <c r="H210" s="251"/>
      <c r="I210" s="269"/>
      <c r="J210" s="269"/>
      <c r="K210" s="269"/>
    </row>
    <row r="211">
      <c r="A211" s="265"/>
      <c r="B211" s="404"/>
      <c r="C211" s="424"/>
      <c r="D211" s="400"/>
      <c r="E211" s="442"/>
      <c r="F211" s="284"/>
      <c r="G211" s="285"/>
      <c r="H211" s="251"/>
    </row>
    <row r="212">
      <c r="A212" s="265"/>
      <c r="B212" s="404"/>
      <c r="C212" s="424"/>
      <c r="D212" s="400"/>
      <c r="E212" s="442"/>
      <c r="F212" s="284"/>
      <c r="G212" s="285"/>
      <c r="H212" s="251"/>
    </row>
    <row r="213">
      <c r="A213" s="265"/>
      <c r="B213" s="440"/>
      <c r="C213" s="424"/>
      <c r="D213" s="400"/>
      <c r="E213" s="442"/>
      <c r="F213" s="284"/>
      <c r="G213" s="285"/>
      <c r="H213" s="251"/>
    </row>
    <row r="214">
      <c r="A214" s="265"/>
      <c r="B214" s="480"/>
      <c r="C214" s="424"/>
      <c r="D214" s="400"/>
      <c r="E214" s="442"/>
      <c r="F214" s="463"/>
      <c r="G214" s="481"/>
      <c r="H214" s="251"/>
    </row>
    <row r="215">
      <c r="A215" s="265"/>
      <c r="B215" s="480"/>
      <c r="C215" s="424"/>
      <c r="D215" s="400"/>
      <c r="E215" s="442"/>
      <c r="F215" s="463"/>
      <c r="G215" s="481"/>
      <c r="H215" s="251"/>
    </row>
    <row r="216">
      <c r="A216" s="270"/>
      <c r="B216" s="478"/>
      <c r="C216" s="471"/>
      <c r="D216" s="472"/>
      <c r="E216" s="473"/>
      <c r="F216" s="460"/>
      <c r="G216" s="482"/>
      <c r="H216" s="261"/>
    </row>
    <row r="217">
      <c r="A217" s="262" t="s">
        <v>1251</v>
      </c>
      <c r="B217" s="461"/>
      <c r="C217" s="445"/>
      <c r="D217" s="421"/>
      <c r="E217" s="422"/>
      <c r="F217" s="403">
        <v>15000.0</v>
      </c>
      <c r="G217" s="398" t="s">
        <v>291</v>
      </c>
      <c r="H217" s="245">
        <v>360.0</v>
      </c>
    </row>
    <row r="218">
      <c r="A218" s="265"/>
      <c r="B218" s="404"/>
      <c r="C218" s="405"/>
      <c r="D218" s="399"/>
      <c r="E218" s="398"/>
      <c r="F218" s="284"/>
      <c r="G218" s="285"/>
      <c r="H218" s="267"/>
    </row>
    <row r="219">
      <c r="A219" s="265"/>
      <c r="B219" s="404"/>
      <c r="C219" s="405"/>
      <c r="D219" s="399"/>
      <c r="E219" s="398"/>
      <c r="F219" s="284"/>
      <c r="G219" s="285"/>
      <c r="H219" s="251"/>
    </row>
    <row r="220">
      <c r="A220" s="265"/>
      <c r="B220" s="404"/>
      <c r="C220" s="405"/>
      <c r="D220" s="399"/>
      <c r="E220" s="398"/>
      <c r="F220" s="284"/>
      <c r="G220" s="285"/>
      <c r="H220" s="251"/>
    </row>
    <row r="221">
      <c r="A221" s="265"/>
      <c r="B221" s="419"/>
      <c r="C221" s="434"/>
      <c r="D221" s="414"/>
      <c r="E221" s="417"/>
      <c r="F221" s="284"/>
      <c r="G221" s="285"/>
      <c r="H221" s="267"/>
    </row>
    <row r="222">
      <c r="A222" s="265"/>
      <c r="B222" s="404"/>
      <c r="C222" s="405"/>
      <c r="D222" s="399"/>
      <c r="E222" s="398"/>
      <c r="F222" s="284"/>
      <c r="G222" s="285"/>
      <c r="H222" s="267"/>
    </row>
    <row r="223">
      <c r="A223" s="265"/>
      <c r="B223" s="404"/>
      <c r="C223" s="405"/>
      <c r="D223" s="414"/>
      <c r="E223" s="528"/>
      <c r="F223" s="529"/>
      <c r="G223" s="420"/>
      <c r="H223" s="251"/>
    </row>
    <row r="224">
      <c r="A224" s="265"/>
      <c r="B224" s="404"/>
      <c r="C224" s="424"/>
      <c r="D224" s="400"/>
      <c r="E224" s="512"/>
      <c r="F224" s="513"/>
      <c r="G224" s="285"/>
      <c r="H224" s="251"/>
    </row>
    <row r="225">
      <c r="A225" s="265"/>
      <c r="B225" s="404"/>
      <c r="C225" s="424"/>
      <c r="D225" s="399"/>
      <c r="E225" s="398"/>
      <c r="F225" s="284"/>
      <c r="G225" s="285"/>
      <c r="H225" s="251"/>
    </row>
    <row r="226">
      <c r="A226" s="265"/>
      <c r="B226" s="404"/>
      <c r="C226" s="424"/>
      <c r="D226" s="400"/>
      <c r="E226" s="442"/>
      <c r="F226" s="284"/>
      <c r="G226" s="285"/>
      <c r="H226" s="251"/>
    </row>
    <row r="227">
      <c r="A227" s="265"/>
      <c r="B227" s="480"/>
      <c r="C227" s="424"/>
      <c r="D227" s="400"/>
      <c r="E227" s="442"/>
      <c r="F227" s="284"/>
      <c r="G227" s="285"/>
      <c r="H227" s="251"/>
    </row>
    <row r="228">
      <c r="A228" s="265"/>
      <c r="B228" s="480"/>
      <c r="C228" s="424"/>
      <c r="D228" s="400"/>
      <c r="E228" s="442"/>
      <c r="F228" s="284"/>
      <c r="G228" s="481"/>
      <c r="H228" s="251"/>
    </row>
    <row r="229">
      <c r="A229" s="265"/>
      <c r="B229" s="480"/>
      <c r="C229" s="424"/>
      <c r="D229" s="400"/>
      <c r="E229" s="442"/>
      <c r="F229" s="284"/>
      <c r="G229" s="481"/>
      <c r="H229" s="251"/>
    </row>
    <row r="230">
      <c r="A230" s="270"/>
      <c r="B230" s="478"/>
      <c r="C230" s="471"/>
      <c r="D230" s="472"/>
      <c r="E230" s="473"/>
      <c r="F230" s="460"/>
      <c r="G230" s="482"/>
      <c r="H230" s="261"/>
    </row>
    <row r="231">
      <c r="A231" s="262" t="s">
        <v>1252</v>
      </c>
      <c r="B231" s="425">
        <v>48600.0</v>
      </c>
      <c r="C231" s="426"/>
      <c r="D231" s="421"/>
      <c r="E231" s="402"/>
      <c r="F231" s="403"/>
      <c r="G231" s="436" t="s">
        <v>259</v>
      </c>
      <c r="H231" s="245">
        <f>110+50</f>
        <v>160</v>
      </c>
    </row>
    <row r="232">
      <c r="A232" s="265"/>
      <c r="B232" s="404"/>
      <c r="C232" s="405"/>
      <c r="D232" s="399"/>
      <c r="E232" s="398"/>
      <c r="F232" s="284">
        <v>10000.0</v>
      </c>
      <c r="G232" s="285" t="s">
        <v>85</v>
      </c>
      <c r="H232" s="251"/>
    </row>
    <row r="233">
      <c r="A233" s="265"/>
      <c r="B233" s="404"/>
      <c r="C233" s="427"/>
      <c r="D233" s="399"/>
      <c r="E233" s="398"/>
      <c r="F233" s="284"/>
      <c r="G233" s="285"/>
      <c r="H233" s="267"/>
    </row>
    <row r="234">
      <c r="A234" s="265"/>
      <c r="B234" s="419"/>
      <c r="C234" s="427"/>
      <c r="D234" s="414"/>
      <c r="E234" s="417"/>
      <c r="F234" s="418"/>
      <c r="G234" s="420"/>
      <c r="H234" s="267"/>
    </row>
    <row r="235">
      <c r="A235" s="265"/>
      <c r="B235" s="419"/>
      <c r="C235" s="427"/>
      <c r="D235" s="414"/>
      <c r="E235" s="417"/>
      <c r="F235" s="418"/>
      <c r="G235" s="420"/>
      <c r="H235" s="251"/>
    </row>
    <row r="236">
      <c r="A236" s="265"/>
      <c r="B236" s="404"/>
      <c r="C236" s="405"/>
      <c r="D236" s="399"/>
      <c r="E236" s="442"/>
      <c r="F236" s="284"/>
      <c r="G236" s="285"/>
      <c r="H236" s="251"/>
    </row>
    <row r="237">
      <c r="A237" s="265"/>
      <c r="B237" s="404"/>
      <c r="C237" s="424"/>
      <c r="D237" s="399"/>
      <c r="E237" s="442"/>
      <c r="F237" s="284"/>
      <c r="G237" s="285"/>
      <c r="H237" s="251"/>
    </row>
    <row r="238">
      <c r="A238" s="265"/>
      <c r="B238" s="404"/>
      <c r="C238" s="405"/>
      <c r="D238" s="400"/>
      <c r="E238" s="442"/>
      <c r="F238" s="284"/>
      <c r="G238" s="285"/>
      <c r="H238" s="267"/>
    </row>
    <row r="239">
      <c r="A239" s="265"/>
      <c r="B239" s="404"/>
      <c r="C239" s="424"/>
      <c r="D239" s="400"/>
      <c r="E239" s="442"/>
      <c r="F239" s="284"/>
      <c r="G239" s="285"/>
      <c r="H239" s="251"/>
    </row>
    <row r="240">
      <c r="A240" s="265"/>
      <c r="B240" s="404"/>
      <c r="C240" s="424"/>
      <c r="D240" s="399"/>
      <c r="E240" s="398"/>
      <c r="F240" s="284"/>
      <c r="G240" s="285"/>
      <c r="H240" s="251"/>
    </row>
    <row r="241">
      <c r="A241" s="265"/>
      <c r="B241" s="404"/>
      <c r="C241" s="424"/>
      <c r="D241" s="399"/>
      <c r="E241" s="442"/>
      <c r="F241" s="284"/>
      <c r="G241" s="285"/>
      <c r="H241" s="267"/>
    </row>
    <row r="242">
      <c r="A242" s="265"/>
      <c r="B242" s="477"/>
      <c r="C242" s="424"/>
      <c r="D242" s="399"/>
      <c r="E242" s="442"/>
      <c r="F242" s="284"/>
      <c r="G242" s="285"/>
      <c r="H242" s="251"/>
    </row>
    <row r="243">
      <c r="A243" s="265"/>
      <c r="B243" s="477"/>
      <c r="C243" s="424"/>
      <c r="D243" s="400"/>
      <c r="E243" s="442"/>
      <c r="F243" s="284"/>
      <c r="G243" s="285"/>
      <c r="H243" s="251"/>
    </row>
    <row r="244">
      <c r="A244" s="265"/>
      <c r="B244" s="477"/>
      <c r="C244" s="424"/>
      <c r="D244" s="400"/>
      <c r="E244" s="442"/>
      <c r="F244" s="284"/>
      <c r="G244" s="285"/>
      <c r="H244" s="251"/>
    </row>
    <row r="245">
      <c r="A245" s="270"/>
      <c r="B245" s="478"/>
      <c r="C245" s="471"/>
      <c r="D245" s="472"/>
      <c r="E245" s="473"/>
      <c r="F245" s="474"/>
      <c r="G245" s="475"/>
      <c r="H245" s="261"/>
    </row>
    <row r="246">
      <c r="A246" s="262" t="s">
        <v>1254</v>
      </c>
      <c r="B246" s="425">
        <v>63890.0</v>
      </c>
      <c r="C246" s="426"/>
      <c r="D246" s="399"/>
      <c r="E246" s="398"/>
      <c r="F246" s="284"/>
      <c r="G246" s="285" t="s">
        <v>1741</v>
      </c>
      <c r="H246" s="245">
        <v>190.0</v>
      </c>
    </row>
    <row r="247">
      <c r="A247" s="265"/>
      <c r="B247" s="404">
        <v>61000.0</v>
      </c>
      <c r="C247" s="405"/>
      <c r="D247" s="399"/>
      <c r="E247" s="398"/>
      <c r="F247" s="284"/>
      <c r="G247" s="285" t="s">
        <v>68</v>
      </c>
      <c r="H247" s="267"/>
    </row>
    <row r="248">
      <c r="A248" s="265"/>
      <c r="B248" s="404"/>
      <c r="C248" s="405"/>
      <c r="D248" s="399"/>
      <c r="E248" s="398"/>
      <c r="F248" s="284"/>
      <c r="G248" s="285"/>
      <c r="H248" s="251"/>
    </row>
    <row r="249">
      <c r="A249" s="265"/>
      <c r="B249" s="404"/>
      <c r="C249" s="405"/>
      <c r="D249" s="399"/>
      <c r="E249" s="398"/>
      <c r="F249" s="284"/>
      <c r="G249" s="285"/>
      <c r="H249" s="251"/>
    </row>
    <row r="250">
      <c r="A250" s="265"/>
      <c r="B250" s="404"/>
      <c r="C250" s="405"/>
      <c r="D250" s="399"/>
      <c r="E250" s="398"/>
      <c r="F250" s="284"/>
      <c r="G250" s="285"/>
      <c r="H250" s="251"/>
    </row>
    <row r="251">
      <c r="A251" s="265"/>
      <c r="B251" s="404"/>
      <c r="C251" s="405"/>
      <c r="D251" s="399"/>
      <c r="E251" s="442"/>
      <c r="F251" s="284"/>
      <c r="G251" s="285"/>
      <c r="H251" s="251"/>
    </row>
    <row r="252">
      <c r="A252" s="265"/>
      <c r="B252" s="404"/>
      <c r="C252" s="405"/>
      <c r="D252" s="399"/>
      <c r="E252" s="442"/>
      <c r="F252" s="284"/>
      <c r="G252" s="285"/>
      <c r="H252" s="267"/>
    </row>
    <row r="253">
      <c r="A253" s="265"/>
      <c r="B253" s="404"/>
      <c r="C253" s="405"/>
      <c r="D253" s="399"/>
      <c r="E253" s="442"/>
      <c r="F253" s="284"/>
      <c r="G253" s="285"/>
      <c r="H253" s="267"/>
    </row>
    <row r="254">
      <c r="A254" s="265"/>
      <c r="B254" s="404"/>
      <c r="C254" s="424"/>
      <c r="D254" s="399"/>
      <c r="E254" s="442"/>
      <c r="F254" s="284"/>
      <c r="G254" s="285"/>
      <c r="H254" s="267"/>
    </row>
    <row r="255">
      <c r="A255" s="265"/>
      <c r="B255" s="404"/>
      <c r="C255" s="424"/>
      <c r="D255" s="489"/>
      <c r="E255" s="490"/>
      <c r="F255" s="451"/>
      <c r="G255" s="435"/>
      <c r="H255" s="251"/>
    </row>
    <row r="256">
      <c r="A256" s="265"/>
      <c r="B256" s="404"/>
      <c r="C256" s="424"/>
      <c r="D256" s="400"/>
      <c r="E256" s="442"/>
      <c r="F256" s="284"/>
      <c r="G256" s="285"/>
      <c r="H256" s="251"/>
    </row>
    <row r="257">
      <c r="A257" s="265"/>
      <c r="B257" s="477"/>
      <c r="C257" s="424"/>
      <c r="D257" s="400"/>
      <c r="E257" s="442"/>
      <c r="F257" s="284"/>
      <c r="G257" s="481"/>
      <c r="H257" s="251"/>
    </row>
    <row r="258">
      <c r="A258" s="270"/>
      <c r="B258" s="478"/>
      <c r="C258" s="471"/>
      <c r="D258" s="472"/>
      <c r="E258" s="473"/>
      <c r="F258" s="474"/>
      <c r="G258" s="475"/>
      <c r="H258" s="261"/>
    </row>
    <row r="259">
      <c r="A259" s="262" t="s">
        <v>1255</v>
      </c>
      <c r="B259" s="461"/>
      <c r="C259" s="445"/>
      <c r="D259" s="414"/>
      <c r="E259" s="417"/>
      <c r="F259" s="284">
        <v>5748.43</v>
      </c>
      <c r="G259" s="285" t="s">
        <v>1112</v>
      </c>
      <c r="H259" s="245">
        <f>60+300+100+8</f>
        <v>468</v>
      </c>
    </row>
    <row r="260">
      <c r="A260" s="265"/>
      <c r="B260" s="404"/>
      <c r="C260" s="405"/>
      <c r="D260" s="399"/>
      <c r="E260" s="398"/>
      <c r="F260" s="284"/>
      <c r="G260" s="285"/>
      <c r="H260" s="267"/>
      <c r="I260" s="417"/>
    </row>
    <row r="261">
      <c r="A261" s="265"/>
      <c r="B261" s="419"/>
      <c r="C261" s="427"/>
      <c r="D261" s="414"/>
      <c r="E261" s="417"/>
      <c r="F261" s="418"/>
      <c r="G261" s="420"/>
      <c r="H261" s="267"/>
    </row>
    <row r="262">
      <c r="A262" s="265"/>
      <c r="B262" s="404"/>
      <c r="C262" s="405"/>
      <c r="D262" s="414"/>
      <c r="E262" s="417"/>
      <c r="F262" s="284"/>
      <c r="G262" s="285"/>
      <c r="H262" s="251"/>
      <c r="I262" s="417"/>
    </row>
    <row r="263">
      <c r="A263" s="265"/>
      <c r="B263" s="404"/>
      <c r="C263" s="405"/>
      <c r="D263" s="414"/>
      <c r="E263" s="417"/>
      <c r="F263" s="284"/>
      <c r="G263" s="285"/>
      <c r="H263" s="251"/>
    </row>
    <row r="264">
      <c r="A264" s="265"/>
      <c r="B264" s="404"/>
      <c r="C264" s="405"/>
      <c r="D264" s="399"/>
      <c r="E264" s="398"/>
      <c r="F264" s="284"/>
      <c r="G264" s="285"/>
      <c r="H264" s="251"/>
    </row>
    <row r="265">
      <c r="A265" s="265"/>
      <c r="B265" s="419"/>
      <c r="C265" s="427"/>
      <c r="D265" s="414"/>
      <c r="E265" s="417"/>
      <c r="F265" s="418"/>
      <c r="G265" s="420"/>
      <c r="H265" s="251"/>
      <c r="I265" s="4"/>
    </row>
    <row r="266">
      <c r="A266" s="265"/>
      <c r="B266" s="404"/>
      <c r="C266" s="405"/>
      <c r="D266" s="399"/>
      <c r="E266" s="442"/>
      <c r="F266" s="284"/>
      <c r="G266" s="285"/>
      <c r="H266" s="251"/>
      <c r="I266" s="4"/>
      <c r="J266" s="4"/>
      <c r="K266" s="4"/>
    </row>
    <row r="267">
      <c r="A267" s="265"/>
      <c r="B267" s="404"/>
      <c r="C267" s="424"/>
      <c r="D267" s="399"/>
      <c r="E267" s="442"/>
      <c r="F267" s="284"/>
      <c r="G267" s="285"/>
      <c r="H267" s="251"/>
    </row>
    <row r="268">
      <c r="A268" s="265"/>
      <c r="B268" s="404"/>
      <c r="C268" s="424"/>
      <c r="D268" s="399"/>
      <c r="E268" s="442"/>
      <c r="F268" s="284"/>
      <c r="G268" s="285"/>
      <c r="H268" s="251"/>
    </row>
    <row r="269">
      <c r="A269" s="265"/>
      <c r="B269" s="404"/>
      <c r="C269" s="424"/>
      <c r="D269" s="400"/>
      <c r="E269" s="442"/>
      <c r="F269" s="284"/>
      <c r="G269" s="285"/>
      <c r="H269" s="251"/>
    </row>
    <row r="270">
      <c r="A270" s="265"/>
      <c r="B270" s="477"/>
      <c r="C270" s="424"/>
      <c r="D270" s="400"/>
      <c r="E270" s="442"/>
      <c r="F270" s="284"/>
      <c r="G270" s="285"/>
      <c r="H270" s="251"/>
    </row>
    <row r="271">
      <c r="A271" s="265"/>
      <c r="B271" s="477"/>
      <c r="C271" s="424"/>
      <c r="D271" s="400"/>
      <c r="E271" s="442"/>
      <c r="F271" s="284"/>
      <c r="G271" s="285"/>
      <c r="H271" s="251"/>
    </row>
    <row r="272">
      <c r="A272" s="265"/>
      <c r="B272" s="480"/>
      <c r="C272" s="424"/>
      <c r="D272" s="400"/>
      <c r="E272" s="442"/>
      <c r="F272" s="284"/>
      <c r="G272" s="285"/>
      <c r="H272" s="251"/>
    </row>
    <row r="273">
      <c r="A273" s="265"/>
      <c r="B273" s="480"/>
      <c r="C273" s="424"/>
      <c r="D273" s="400"/>
      <c r="E273" s="442"/>
      <c r="F273" s="463"/>
      <c r="G273" s="481"/>
      <c r="H273" s="251"/>
    </row>
    <row r="274">
      <c r="A274" s="270"/>
      <c r="B274" s="478"/>
      <c r="C274" s="471"/>
      <c r="D274" s="472"/>
      <c r="E274" s="473"/>
      <c r="F274" s="460"/>
      <c r="G274" s="482"/>
      <c r="H274" s="261"/>
    </row>
    <row r="275">
      <c r="A275" s="262" t="s">
        <v>1256</v>
      </c>
      <c r="B275" s="461"/>
      <c r="C275" s="445"/>
      <c r="D275" s="421"/>
      <c r="E275" s="422"/>
      <c r="F275" s="423"/>
      <c r="G275" s="505"/>
      <c r="H275" s="245">
        <f>100+400+30</f>
        <v>530</v>
      </c>
    </row>
    <row r="276">
      <c r="A276" s="265"/>
      <c r="B276" s="419"/>
      <c r="C276" s="427"/>
      <c r="D276" s="414"/>
      <c r="E276" s="417"/>
      <c r="F276" s="418"/>
      <c r="G276" s="420"/>
      <c r="H276" s="267"/>
    </row>
    <row r="277">
      <c r="A277" s="265"/>
      <c r="B277" s="404"/>
      <c r="C277" s="427"/>
      <c r="D277" s="414"/>
      <c r="E277" s="417"/>
      <c r="F277" s="284"/>
      <c r="G277" s="285"/>
      <c r="H277" s="251"/>
    </row>
    <row r="278">
      <c r="A278" s="265"/>
      <c r="B278" s="419"/>
      <c r="C278" s="427"/>
      <c r="D278" s="414"/>
      <c r="E278" s="417"/>
      <c r="F278" s="418"/>
      <c r="G278" s="420"/>
      <c r="H278" s="251"/>
    </row>
    <row r="279">
      <c r="A279" s="265"/>
      <c r="B279" s="419"/>
      <c r="C279" s="434"/>
      <c r="D279" s="414"/>
      <c r="E279" s="417"/>
      <c r="F279" s="418"/>
      <c r="G279" s="420"/>
      <c r="H279" s="251"/>
    </row>
    <row r="280">
      <c r="A280" s="265"/>
      <c r="B280" s="404"/>
      <c r="C280" s="405"/>
      <c r="D280" s="399"/>
      <c r="E280" s="398"/>
      <c r="F280" s="284"/>
      <c r="G280" s="285"/>
      <c r="H280" s="267"/>
    </row>
    <row r="281">
      <c r="A281" s="265"/>
      <c r="B281" s="419"/>
      <c r="C281" s="427"/>
      <c r="D281" s="414"/>
      <c r="E281" s="417"/>
      <c r="F281" s="418"/>
      <c r="G281" s="420"/>
      <c r="H281" s="267"/>
    </row>
    <row r="282">
      <c r="A282" s="265"/>
      <c r="B282" s="404"/>
      <c r="C282" s="405"/>
      <c r="D282" s="399"/>
      <c r="E282" s="398"/>
      <c r="F282" s="284"/>
      <c r="G282" s="285"/>
      <c r="H282" s="267"/>
    </row>
    <row r="283">
      <c r="A283" s="265"/>
      <c r="B283" s="404"/>
      <c r="C283" s="424"/>
      <c r="D283" s="399"/>
      <c r="E283" s="398"/>
      <c r="F283" s="284"/>
      <c r="G283" s="285"/>
      <c r="H283" s="267"/>
    </row>
    <row r="284">
      <c r="A284" s="265"/>
      <c r="B284" s="477"/>
      <c r="C284" s="424"/>
      <c r="D284" s="399"/>
      <c r="E284" s="442"/>
      <c r="F284" s="284"/>
      <c r="G284" s="285"/>
      <c r="H284" s="267"/>
    </row>
    <row r="285">
      <c r="A285" s="265"/>
      <c r="B285" s="477"/>
      <c r="C285" s="424"/>
      <c r="D285" s="400"/>
      <c r="E285" s="442"/>
      <c r="F285" s="284"/>
      <c r="G285" s="285"/>
      <c r="H285" s="251"/>
    </row>
    <row r="286">
      <c r="A286" s="265"/>
      <c r="B286" s="477"/>
      <c r="C286" s="424"/>
      <c r="D286" s="400"/>
      <c r="E286" s="442"/>
      <c r="F286" s="284"/>
      <c r="G286" s="285"/>
      <c r="H286" s="251"/>
    </row>
    <row r="287">
      <c r="A287" s="265"/>
      <c r="B287" s="477"/>
      <c r="C287" s="424"/>
      <c r="D287" s="400"/>
      <c r="E287" s="442"/>
      <c r="F287" s="284"/>
      <c r="G287" s="285"/>
      <c r="H287" s="251"/>
    </row>
    <row r="288">
      <c r="A288" s="265"/>
      <c r="B288" s="477"/>
      <c r="C288" s="424"/>
      <c r="D288" s="400"/>
      <c r="E288" s="442"/>
      <c r="F288" s="284"/>
      <c r="G288" s="481"/>
      <c r="H288" s="251"/>
    </row>
    <row r="289">
      <c r="A289" s="270"/>
      <c r="B289" s="478"/>
      <c r="C289" s="471"/>
      <c r="D289" s="472"/>
      <c r="E289" s="473"/>
      <c r="F289" s="460"/>
      <c r="G289" s="482"/>
      <c r="H289" s="261"/>
    </row>
    <row r="290">
      <c r="A290" s="262" t="s">
        <v>1260</v>
      </c>
      <c r="B290" s="461"/>
      <c r="C290" s="445"/>
      <c r="D290" s="421"/>
      <c r="E290" s="422"/>
      <c r="F290" s="418"/>
      <c r="G290" s="420"/>
      <c r="H290" s="245">
        <f>100+30+200</f>
        <v>330</v>
      </c>
      <c r="I290" s="2" t="s">
        <v>1742</v>
      </c>
    </row>
    <row r="291">
      <c r="A291" s="265"/>
      <c r="B291" s="419"/>
      <c r="C291" s="427"/>
      <c r="D291" s="414"/>
      <c r="E291" s="417"/>
      <c r="F291" s="418"/>
      <c r="G291" s="420"/>
      <c r="H291" s="267"/>
    </row>
    <row r="292">
      <c r="A292" s="265"/>
      <c r="B292" s="419"/>
      <c r="C292" s="427"/>
      <c r="D292" s="414"/>
      <c r="E292" s="417"/>
      <c r="F292" s="418"/>
      <c r="G292" s="420"/>
      <c r="H292" s="251"/>
      <c r="I292" s="491"/>
    </row>
    <row r="293">
      <c r="A293" s="265"/>
      <c r="B293" s="419"/>
      <c r="C293" s="427"/>
      <c r="D293" s="414"/>
      <c r="E293" s="417"/>
      <c r="F293" s="418"/>
      <c r="G293" s="420"/>
      <c r="H293" s="251"/>
    </row>
    <row r="294">
      <c r="A294" s="265"/>
      <c r="B294" s="419"/>
      <c r="C294" s="427"/>
      <c r="D294" s="414"/>
      <c r="E294" s="417"/>
      <c r="F294" s="418"/>
      <c r="G294" s="420"/>
      <c r="H294" s="267"/>
    </row>
    <row r="295">
      <c r="A295" s="265"/>
      <c r="B295" s="404"/>
      <c r="C295" s="405"/>
      <c r="D295" s="399"/>
      <c r="E295" s="442"/>
      <c r="F295" s="284"/>
      <c r="G295" s="285"/>
      <c r="H295" s="267"/>
    </row>
    <row r="296">
      <c r="A296" s="265"/>
      <c r="B296" s="404"/>
      <c r="C296" s="424"/>
      <c r="D296" s="399"/>
      <c r="E296" s="398"/>
      <c r="F296" s="284"/>
      <c r="G296" s="285"/>
      <c r="H296" s="251"/>
    </row>
    <row r="297">
      <c r="A297" s="265"/>
      <c r="B297" s="419"/>
      <c r="C297" s="427"/>
      <c r="D297" s="414"/>
      <c r="E297" s="417"/>
      <c r="F297" s="418"/>
      <c r="G297" s="420"/>
      <c r="H297" s="251"/>
    </row>
    <row r="298">
      <c r="A298" s="265"/>
      <c r="B298" s="477"/>
      <c r="C298" s="424"/>
      <c r="D298" s="400"/>
      <c r="E298" s="442"/>
      <c r="F298" s="284"/>
      <c r="G298" s="285"/>
      <c r="H298" s="251"/>
    </row>
    <row r="299">
      <c r="A299" s="265"/>
      <c r="B299" s="477"/>
      <c r="C299" s="424"/>
      <c r="D299" s="400"/>
      <c r="E299" s="442"/>
      <c r="F299" s="284"/>
      <c r="G299" s="285"/>
      <c r="H299" s="251"/>
    </row>
    <row r="300">
      <c r="A300" s="265"/>
      <c r="B300" s="404"/>
      <c r="C300" s="424"/>
      <c r="D300" s="400"/>
      <c r="E300" s="442"/>
      <c r="F300" s="284"/>
      <c r="G300" s="285"/>
      <c r="H300" s="251"/>
    </row>
    <row r="301">
      <c r="A301" s="265"/>
      <c r="B301" s="404"/>
      <c r="C301" s="424"/>
      <c r="D301" s="400"/>
      <c r="E301" s="442"/>
      <c r="F301" s="284"/>
      <c r="G301" s="285"/>
      <c r="H301" s="251"/>
    </row>
    <row r="302">
      <c r="A302" s="265"/>
      <c r="B302" s="477"/>
      <c r="C302" s="424"/>
      <c r="D302" s="400"/>
      <c r="E302" s="442"/>
      <c r="F302" s="284"/>
      <c r="G302" s="285"/>
      <c r="H302" s="251"/>
    </row>
    <row r="303">
      <c r="A303" s="265"/>
      <c r="B303" s="477"/>
      <c r="C303" s="424"/>
      <c r="D303" s="400"/>
      <c r="E303" s="442"/>
      <c r="F303" s="284"/>
      <c r="G303" s="481"/>
      <c r="H303" s="251"/>
    </row>
    <row r="304">
      <c r="A304" s="270"/>
      <c r="B304" s="478"/>
      <c r="C304" s="471"/>
      <c r="D304" s="472"/>
      <c r="E304" s="473"/>
      <c r="F304" s="460"/>
      <c r="G304" s="473"/>
      <c r="H304" s="261"/>
    </row>
    <row r="305">
      <c r="A305" s="262" t="s">
        <v>1263</v>
      </c>
      <c r="B305" s="461"/>
      <c r="C305" s="445"/>
      <c r="D305" s="421"/>
      <c r="E305" s="422"/>
      <c r="F305" s="403">
        <v>5821.0</v>
      </c>
      <c r="G305" s="402" t="s">
        <v>97</v>
      </c>
      <c r="H305" s="245">
        <f>50+160+80</f>
        <v>290</v>
      </c>
    </row>
    <row r="306">
      <c r="A306" s="265"/>
      <c r="B306" s="419"/>
      <c r="C306" s="427"/>
      <c r="D306" s="414"/>
      <c r="E306" s="417"/>
      <c r="F306" s="418"/>
      <c r="G306" s="417"/>
      <c r="H306" s="267"/>
    </row>
    <row r="307">
      <c r="A307" s="265"/>
      <c r="B307" s="404"/>
      <c r="C307" s="405"/>
      <c r="D307" s="399"/>
      <c r="E307" s="398"/>
      <c r="F307" s="284"/>
      <c r="G307" s="398"/>
      <c r="H307" s="251"/>
    </row>
    <row r="308">
      <c r="A308" s="265"/>
      <c r="B308" s="404"/>
      <c r="C308" s="405"/>
      <c r="D308" s="399"/>
      <c r="E308" s="398"/>
      <c r="F308" s="284"/>
      <c r="G308" s="398"/>
      <c r="H308" s="251"/>
    </row>
    <row r="309">
      <c r="A309" s="265"/>
      <c r="B309" s="404"/>
      <c r="C309" s="405"/>
      <c r="D309" s="399"/>
      <c r="E309" s="398"/>
      <c r="F309" s="284"/>
      <c r="G309" s="398"/>
      <c r="H309" s="251"/>
    </row>
    <row r="310">
      <c r="A310" s="265"/>
      <c r="B310" s="404"/>
      <c r="C310" s="405"/>
      <c r="D310" s="399"/>
      <c r="E310" s="398"/>
      <c r="F310" s="284"/>
      <c r="G310" s="398"/>
      <c r="H310" s="251"/>
    </row>
    <row r="311">
      <c r="A311" s="265"/>
      <c r="B311" s="404"/>
      <c r="C311" s="405"/>
      <c r="D311" s="399"/>
      <c r="E311" s="398"/>
      <c r="F311" s="284"/>
      <c r="G311" s="398"/>
      <c r="H311" s="251"/>
    </row>
    <row r="312">
      <c r="A312" s="265"/>
      <c r="B312" s="419"/>
      <c r="C312" s="434"/>
      <c r="D312" s="414"/>
      <c r="E312" s="417"/>
      <c r="F312" s="418"/>
      <c r="G312" s="417"/>
      <c r="H312" s="251"/>
    </row>
    <row r="313">
      <c r="A313" s="265"/>
      <c r="B313" s="419"/>
      <c r="C313" s="434"/>
      <c r="D313" s="523"/>
      <c r="E313" s="417"/>
      <c r="F313" s="418"/>
      <c r="G313" s="417"/>
      <c r="H313" s="251"/>
    </row>
    <row r="314">
      <c r="A314" s="265"/>
      <c r="B314" s="404"/>
      <c r="C314" s="424"/>
      <c r="D314" s="399"/>
      <c r="E314" s="442"/>
      <c r="F314" s="284"/>
      <c r="G314" s="442"/>
      <c r="H314" s="251"/>
    </row>
    <row r="315">
      <c r="A315" s="265"/>
      <c r="B315" s="404"/>
      <c r="C315" s="424"/>
      <c r="D315" s="400"/>
      <c r="E315" s="442"/>
      <c r="F315" s="284"/>
      <c r="G315" s="442"/>
      <c r="H315" s="251"/>
    </row>
    <row r="316">
      <c r="A316" s="265"/>
      <c r="B316" s="404"/>
      <c r="C316" s="424"/>
      <c r="D316" s="400"/>
      <c r="E316" s="442"/>
      <c r="F316" s="284"/>
      <c r="G316" s="442"/>
      <c r="H316" s="251"/>
    </row>
    <row r="317">
      <c r="A317" s="265"/>
      <c r="B317" s="404"/>
      <c r="C317" s="424"/>
      <c r="D317" s="399"/>
      <c r="E317" s="442"/>
      <c r="F317" s="284"/>
      <c r="G317" s="442"/>
      <c r="H317" s="251"/>
    </row>
    <row r="318">
      <c r="A318" s="270"/>
      <c r="B318" s="478"/>
      <c r="C318" s="471"/>
      <c r="D318" s="472"/>
      <c r="E318" s="473"/>
      <c r="F318" s="474"/>
      <c r="G318" s="492"/>
      <c r="H318" s="261"/>
    </row>
    <row r="319">
      <c r="A319" s="262" t="s">
        <v>1265</v>
      </c>
      <c r="B319" s="425">
        <v>61000.0</v>
      </c>
      <c r="C319" s="426"/>
      <c r="D319" s="401"/>
      <c r="E319" s="402"/>
      <c r="F319" s="403"/>
      <c r="G319" s="402" t="s">
        <v>68</v>
      </c>
      <c r="H319" s="245">
        <v>95.0</v>
      </c>
    </row>
    <row r="320">
      <c r="A320" s="265"/>
      <c r="B320" s="404"/>
      <c r="C320" s="405"/>
      <c r="D320" s="399"/>
      <c r="E320" s="398"/>
      <c r="F320" s="284">
        <v>225000.0</v>
      </c>
      <c r="G320" s="398" t="s">
        <v>1743</v>
      </c>
      <c r="H320" s="267"/>
    </row>
    <row r="321">
      <c r="A321" s="265"/>
      <c r="B321" s="404"/>
      <c r="C321" s="405"/>
      <c r="D321" s="399"/>
      <c r="E321" s="398"/>
      <c r="F321" s="284"/>
      <c r="G321" s="398"/>
      <c r="H321" s="267"/>
    </row>
    <row r="322">
      <c r="A322" s="265"/>
      <c r="B322" s="419"/>
      <c r="C322" s="427"/>
      <c r="D322" s="414"/>
      <c r="E322" s="417"/>
      <c r="F322" s="418"/>
      <c r="G322" s="417"/>
      <c r="H322" s="267"/>
    </row>
    <row r="323">
      <c r="A323" s="265"/>
      <c r="B323" s="404"/>
      <c r="C323" s="405"/>
      <c r="D323" s="399"/>
      <c r="E323" s="398"/>
      <c r="F323" s="284"/>
      <c r="G323" s="398"/>
      <c r="H323" s="251"/>
    </row>
    <row r="324">
      <c r="A324" s="265"/>
      <c r="B324" s="404"/>
      <c r="C324" s="424"/>
      <c r="D324" s="399"/>
      <c r="E324" s="398"/>
      <c r="F324" s="284"/>
      <c r="G324" s="398"/>
      <c r="H324" s="251"/>
    </row>
    <row r="325">
      <c r="A325" s="265"/>
      <c r="B325" s="404"/>
      <c r="C325" s="424"/>
      <c r="D325" s="399"/>
      <c r="E325" s="442"/>
      <c r="F325" s="284"/>
      <c r="G325" s="398"/>
      <c r="H325" s="251"/>
    </row>
    <row r="326">
      <c r="A326" s="265"/>
      <c r="B326" s="404"/>
      <c r="C326" s="424"/>
      <c r="D326" s="399"/>
      <c r="E326" s="442"/>
      <c r="F326" s="284"/>
      <c r="G326" s="442"/>
      <c r="H326" s="267"/>
    </row>
    <row r="327">
      <c r="A327" s="265"/>
      <c r="B327" s="404"/>
      <c r="C327" s="424"/>
      <c r="D327" s="399"/>
      <c r="E327" s="442"/>
      <c r="F327" s="284"/>
      <c r="G327" s="442"/>
      <c r="H327" s="251"/>
    </row>
    <row r="328">
      <c r="A328" s="265"/>
      <c r="B328" s="404"/>
      <c r="C328" s="424"/>
      <c r="D328" s="400"/>
      <c r="E328" s="442"/>
      <c r="F328" s="284"/>
      <c r="G328" s="442"/>
      <c r="H328" s="251"/>
    </row>
    <row r="329">
      <c r="A329" s="265"/>
      <c r="B329" s="404"/>
      <c r="C329" s="424"/>
      <c r="D329" s="400"/>
      <c r="E329" s="442"/>
      <c r="F329" s="284"/>
      <c r="G329" s="442"/>
      <c r="H329" s="251"/>
    </row>
    <row r="330">
      <c r="A330" s="265"/>
      <c r="B330" s="404"/>
      <c r="C330" s="424"/>
      <c r="D330" s="400"/>
      <c r="E330" s="442"/>
      <c r="F330" s="284"/>
      <c r="G330" s="442"/>
      <c r="H330" s="251"/>
    </row>
    <row r="331">
      <c r="A331" s="265"/>
      <c r="B331" s="477"/>
      <c r="C331" s="424"/>
      <c r="D331" s="400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65"/>
      <c r="B333" s="477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65"/>
      <c r="B335" s="477"/>
      <c r="C335" s="424"/>
      <c r="D335" s="400"/>
      <c r="E335" s="442"/>
      <c r="F335" s="284"/>
      <c r="G335" s="442"/>
      <c r="H335" s="251"/>
    </row>
    <row r="336">
      <c r="A336" s="270"/>
      <c r="B336" s="478"/>
      <c r="C336" s="471"/>
      <c r="D336" s="472"/>
      <c r="E336" s="473"/>
      <c r="F336" s="460"/>
      <c r="G336" s="473"/>
      <c r="H336" s="261"/>
    </row>
    <row r="337">
      <c r="A337" s="262"/>
      <c r="B337" s="461"/>
      <c r="C337" s="445"/>
      <c r="D337" s="421"/>
      <c r="E337" s="422"/>
      <c r="F337" s="423"/>
      <c r="G337" s="417"/>
      <c r="H337" s="245"/>
    </row>
    <row r="338">
      <c r="A338" s="265"/>
      <c r="B338" s="419"/>
      <c r="C338" s="427"/>
      <c r="D338" s="414"/>
      <c r="E338" s="417"/>
      <c r="F338" s="418"/>
      <c r="G338" s="417"/>
      <c r="H338" s="267"/>
    </row>
    <row r="339">
      <c r="A339" s="265"/>
      <c r="B339" s="530"/>
      <c r="C339" s="531"/>
      <c r="D339" s="506"/>
      <c r="E339" s="507"/>
      <c r="F339" s="459"/>
      <c r="G339" s="507"/>
      <c r="H339" s="267"/>
    </row>
    <row r="340">
      <c r="A340" s="265"/>
      <c r="B340" s="516"/>
      <c r="C340" s="496"/>
      <c r="D340" s="325"/>
      <c r="E340" s="507"/>
      <c r="F340" s="291"/>
      <c r="G340" s="450"/>
      <c r="H340" s="251"/>
    </row>
    <row r="341">
      <c r="A341" s="265"/>
      <c r="B341" s="497"/>
      <c r="C341" s="313"/>
      <c r="D341" s="325"/>
      <c r="E341" s="498"/>
      <c r="F341" s="291"/>
      <c r="G341" s="495"/>
      <c r="H341" s="251"/>
    </row>
    <row r="342">
      <c r="A342" s="265"/>
      <c r="B342" s="493"/>
      <c r="C342" s="499"/>
      <c r="D342" s="314"/>
      <c r="E342" s="507"/>
      <c r="F342" s="291"/>
      <c r="G342" s="490"/>
      <c r="H342" s="251"/>
    </row>
    <row r="343">
      <c r="A343" s="265"/>
      <c r="B343" s="404"/>
      <c r="C343" s="424"/>
      <c r="D343" s="399"/>
      <c r="E343" s="442"/>
      <c r="F343" s="284"/>
      <c r="G343" s="442"/>
      <c r="H343" s="251"/>
    </row>
    <row r="344">
      <c r="A344" s="265"/>
      <c r="B344" s="477"/>
      <c r="C344" s="424"/>
      <c r="D344" s="399"/>
      <c r="E344" s="442"/>
      <c r="F344" s="284"/>
      <c r="G344" s="442"/>
      <c r="H344" s="251"/>
    </row>
    <row r="345">
      <c r="A345" s="265"/>
      <c r="B345" s="477"/>
      <c r="C345" s="424"/>
      <c r="D345" s="400"/>
      <c r="E345" s="442"/>
      <c r="F345" s="284"/>
      <c r="G345" s="442"/>
      <c r="H345" s="251"/>
    </row>
    <row r="346">
      <c r="A346" s="265"/>
      <c r="B346" s="404"/>
      <c r="C346" s="424"/>
      <c r="D346" s="400"/>
      <c r="E346" s="442"/>
      <c r="F346" s="284"/>
      <c r="G346" s="442"/>
      <c r="H346" s="251"/>
    </row>
    <row r="347">
      <c r="A347" s="265"/>
      <c r="B347" s="477"/>
      <c r="C347" s="424"/>
      <c r="D347" s="400"/>
      <c r="E347" s="442"/>
      <c r="F347" s="284"/>
      <c r="G347" s="442"/>
      <c r="H347" s="251"/>
    </row>
    <row r="348">
      <c r="A348" s="270"/>
      <c r="B348" s="478"/>
      <c r="C348" s="471"/>
      <c r="D348" s="472"/>
      <c r="E348" s="473"/>
      <c r="F348" s="460"/>
      <c r="G348" s="473"/>
      <c r="H348" s="261"/>
    </row>
    <row r="349">
      <c r="A349" s="280"/>
      <c r="B349" s="425"/>
      <c r="C349" s="426"/>
      <c r="D349" s="401"/>
      <c r="E349" s="402"/>
      <c r="F349" s="403"/>
      <c r="G349" s="398"/>
      <c r="H349" s="245"/>
    </row>
    <row r="350">
      <c r="A350" s="265"/>
      <c r="B350" s="404"/>
      <c r="C350" s="405"/>
      <c r="D350" s="399"/>
      <c r="E350" s="398"/>
      <c r="F350" s="284"/>
      <c r="G350" s="398"/>
      <c r="H350" s="267"/>
    </row>
    <row r="351">
      <c r="A351" s="265"/>
      <c r="B351" s="419"/>
      <c r="C351" s="427"/>
      <c r="D351" s="414"/>
      <c r="E351" s="417"/>
      <c r="F351" s="418"/>
      <c r="G351" s="417"/>
      <c r="H351" s="267"/>
    </row>
    <row r="352">
      <c r="A352" s="265"/>
      <c r="B352" s="419"/>
      <c r="C352" s="427"/>
      <c r="D352" s="414"/>
      <c r="E352" s="417"/>
      <c r="F352" s="418"/>
      <c r="G352" s="417"/>
      <c r="H352" s="267"/>
    </row>
    <row r="353">
      <c r="A353" s="265"/>
      <c r="B353" s="404"/>
      <c r="C353" s="405"/>
      <c r="D353" s="399"/>
      <c r="E353" s="398"/>
      <c r="F353" s="284"/>
      <c r="G353" s="398"/>
      <c r="H353" s="267"/>
    </row>
    <row r="354">
      <c r="A354" s="265"/>
      <c r="B354" s="404"/>
      <c r="C354" s="405"/>
      <c r="D354" s="399"/>
      <c r="E354" s="398"/>
      <c r="F354" s="284"/>
      <c r="G354" s="398"/>
      <c r="H354" s="267"/>
    </row>
    <row r="355">
      <c r="A355" s="265"/>
      <c r="B355" s="404"/>
      <c r="C355" s="405"/>
      <c r="D355" s="399"/>
      <c r="E355" s="398"/>
      <c r="F355" s="284"/>
      <c r="G355" s="398"/>
      <c r="H355" s="267"/>
    </row>
    <row r="356">
      <c r="A356" s="265"/>
      <c r="B356" s="404"/>
      <c r="C356" s="405"/>
      <c r="D356" s="399"/>
      <c r="E356" s="398"/>
      <c r="F356" s="284"/>
      <c r="G356" s="398"/>
      <c r="H356" s="267"/>
    </row>
    <row r="357">
      <c r="A357" s="265"/>
      <c r="B357" s="404"/>
      <c r="C357" s="405"/>
      <c r="D357" s="399"/>
      <c r="E357" s="442"/>
      <c r="F357" s="284"/>
      <c r="G357" s="398"/>
      <c r="H357" s="267"/>
    </row>
    <row r="358">
      <c r="A358" s="265"/>
      <c r="B358" s="404"/>
      <c r="C358" s="405"/>
      <c r="D358" s="399"/>
      <c r="E358" s="442"/>
      <c r="F358" s="284"/>
      <c r="G358" s="398"/>
      <c r="H358" s="267"/>
    </row>
    <row r="359">
      <c r="A359" s="270"/>
      <c r="B359" s="404"/>
      <c r="C359" s="405"/>
      <c r="D359" s="399"/>
      <c r="E359" s="442"/>
      <c r="F359" s="284"/>
      <c r="G359" s="398"/>
      <c r="H359" s="267"/>
    </row>
    <row r="360">
      <c r="A360" s="452"/>
      <c r="B360" s="404"/>
      <c r="C360" s="405"/>
      <c r="D360" s="399"/>
      <c r="E360" s="442"/>
      <c r="F360" s="284"/>
      <c r="G360" s="398"/>
      <c r="H360" s="267"/>
    </row>
    <row r="361">
      <c r="A361" s="280"/>
      <c r="B361" s="461"/>
      <c r="C361" s="445"/>
      <c r="D361" s="421"/>
      <c r="E361" s="422"/>
      <c r="F361" s="423"/>
      <c r="G361" s="422"/>
      <c r="H361" s="245"/>
    </row>
    <row r="362">
      <c r="A362" s="265"/>
      <c r="B362" s="404"/>
      <c r="C362" s="405"/>
      <c r="D362" s="443"/>
      <c r="E362" s="398"/>
      <c r="F362" s="284"/>
      <c r="G362" s="398"/>
      <c r="H362" s="267"/>
      <c r="I362" s="417"/>
    </row>
    <row r="363">
      <c r="A363" s="265"/>
      <c r="B363" s="404"/>
      <c r="C363" s="405"/>
      <c r="D363" s="399"/>
      <c r="E363" s="398"/>
      <c r="F363" s="284"/>
      <c r="G363" s="398"/>
      <c r="H363" s="267"/>
      <c r="I363" s="398"/>
    </row>
    <row r="364">
      <c r="A364" s="265"/>
      <c r="B364" s="419"/>
      <c r="C364" s="434"/>
      <c r="D364" s="414"/>
      <c r="E364" s="417"/>
      <c r="F364" s="418"/>
      <c r="G364" s="417"/>
      <c r="H364" s="251"/>
    </row>
    <row r="365">
      <c r="A365" s="265"/>
      <c r="B365" s="404"/>
      <c r="C365" s="424"/>
      <c r="D365" s="399"/>
      <c r="E365" s="398"/>
      <c r="F365" s="284"/>
      <c r="G365" s="398"/>
      <c r="H365" s="294"/>
    </row>
    <row r="366">
      <c r="A366" s="265"/>
      <c r="B366" s="404"/>
      <c r="C366" s="424"/>
      <c r="D366" s="399"/>
      <c r="E366" s="398"/>
      <c r="F366" s="284"/>
      <c r="G366" s="398"/>
      <c r="H366" s="251"/>
    </row>
    <row r="367">
      <c r="A367" s="265"/>
      <c r="B367" s="419"/>
      <c r="C367" s="434"/>
      <c r="D367" s="414"/>
      <c r="E367" s="417"/>
      <c r="F367" s="418"/>
      <c r="G367" s="417"/>
      <c r="H367" s="251"/>
    </row>
    <row r="368">
      <c r="A368" s="265"/>
      <c r="B368" s="477"/>
      <c r="C368" s="424"/>
      <c r="D368" s="399"/>
      <c r="E368" s="442"/>
      <c r="F368" s="284"/>
      <c r="G368" s="398"/>
      <c r="H368" s="267"/>
    </row>
    <row r="369">
      <c r="A369" s="265"/>
      <c r="B369" s="477"/>
      <c r="C369" s="424"/>
      <c r="D369" s="399"/>
      <c r="E369" s="442"/>
      <c r="F369" s="284"/>
      <c r="G369" s="442"/>
      <c r="H369" s="251"/>
    </row>
    <row r="370">
      <c r="A370" s="265"/>
      <c r="B370" s="404"/>
      <c r="C370" s="424"/>
      <c r="D370" s="399"/>
      <c r="E370" s="442"/>
      <c r="F370" s="284"/>
      <c r="G370" s="442"/>
      <c r="H370" s="267"/>
    </row>
    <row r="371">
      <c r="A371" s="270"/>
      <c r="B371" s="478"/>
      <c r="C371" s="471"/>
      <c r="D371" s="462"/>
      <c r="E371" s="473"/>
      <c r="F371" s="460"/>
      <c r="G371" s="492"/>
      <c r="H371" s="261"/>
    </row>
    <row r="372">
      <c r="A372" s="299"/>
      <c r="B372" s="440"/>
      <c r="C372" s="424"/>
      <c r="D372" s="462"/>
      <c r="E372" s="442"/>
      <c r="F372" s="284"/>
      <c r="G372" s="398"/>
      <c r="H372" s="251"/>
    </row>
    <row r="373">
      <c r="B373" s="480"/>
      <c r="C373" s="405"/>
      <c r="D373" s="522"/>
      <c r="E373" s="417"/>
      <c r="F373" s="432"/>
      <c r="G373" s="417"/>
      <c r="H373" s="251"/>
    </row>
    <row r="374">
      <c r="B374" s="440"/>
      <c r="C374" s="424"/>
      <c r="D374" s="522"/>
      <c r="E374" s="417"/>
      <c r="F374" s="432"/>
      <c r="G374" s="417"/>
      <c r="H374" s="251"/>
    </row>
    <row r="375">
      <c r="B375" s="440"/>
      <c r="C375" s="424"/>
      <c r="D375" s="462"/>
      <c r="E375" s="442"/>
      <c r="F375" s="463"/>
      <c r="G375" s="398"/>
      <c r="H375" s="251"/>
    </row>
    <row r="376">
      <c r="B376" s="518"/>
      <c r="C376" s="434"/>
      <c r="D376" s="522"/>
      <c r="E376" s="417"/>
      <c r="F376" s="432"/>
      <c r="G376" s="417"/>
      <c r="H376" s="251"/>
    </row>
    <row r="377">
      <c r="B377" s="518"/>
      <c r="C377" s="434"/>
      <c r="D377" s="522"/>
      <c r="E377" s="417"/>
      <c r="F377" s="432"/>
      <c r="G377" s="417"/>
      <c r="H377" s="251"/>
    </row>
    <row r="378">
      <c r="B378" s="480"/>
      <c r="C378" s="424"/>
      <c r="D378" s="462"/>
      <c r="E378" s="442"/>
      <c r="F378" s="463"/>
      <c r="G378" s="442"/>
      <c r="H378" s="251"/>
    </row>
    <row r="379">
      <c r="B379" s="480"/>
      <c r="C379" s="424"/>
      <c r="D379" s="462"/>
      <c r="E379" s="442"/>
      <c r="F379" s="463"/>
      <c r="G379" s="442"/>
      <c r="H379" s="251"/>
    </row>
    <row r="380">
      <c r="B380" s="480"/>
      <c r="C380" s="424"/>
      <c r="D380" s="462"/>
      <c r="E380" s="442"/>
      <c r="F380" s="463"/>
      <c r="G380" s="442"/>
      <c r="H380" s="251"/>
    </row>
    <row r="381">
      <c r="B381" s="480"/>
      <c r="C381" s="424"/>
      <c r="D381" s="462"/>
      <c r="E381" s="442"/>
      <c r="F381" s="463"/>
      <c r="G381" s="442"/>
      <c r="H381" s="251"/>
    </row>
    <row r="382">
      <c r="B382" s="480"/>
      <c r="C382" s="424"/>
      <c r="D382" s="462"/>
      <c r="E382" s="442"/>
      <c r="F382" s="463"/>
      <c r="G382" s="442"/>
      <c r="H382" s="251"/>
    </row>
    <row r="383">
      <c r="A383" s="299"/>
      <c r="B383" s="278"/>
      <c r="C383" s="252"/>
      <c r="D383" s="295"/>
      <c r="F383" s="432"/>
      <c r="H383" s="251"/>
    </row>
    <row r="384">
      <c r="A384" s="299"/>
      <c r="B384" s="278"/>
      <c r="C384" s="252"/>
      <c r="D384" s="295"/>
      <c r="F384" s="432"/>
      <c r="G384" s="2"/>
      <c r="H384" s="251"/>
    </row>
    <row r="385">
      <c r="A385" s="280" t="s">
        <v>187</v>
      </c>
      <c r="B385" s="239"/>
      <c r="C385" s="240"/>
      <c r="D385" s="439">
        <v>70000.0</v>
      </c>
      <c r="E385" s="242"/>
      <c r="F385" s="423"/>
      <c r="G385" s="2" t="s">
        <v>188</v>
      </c>
      <c r="H385" s="297">
        <v>45691.0</v>
      </c>
      <c r="I385" s="2" t="s">
        <v>1744</v>
      </c>
      <c r="J385" s="2" t="s">
        <v>1565</v>
      </c>
      <c r="K385" s="2" t="s">
        <v>1349</v>
      </c>
    </row>
    <row r="386">
      <c r="A386" s="265"/>
      <c r="B386" s="247">
        <v>329687.38</v>
      </c>
      <c r="C386" s="248"/>
      <c r="D386" s="317"/>
      <c r="E386" s="429"/>
      <c r="F386" s="418"/>
      <c r="G386" s="2" t="s">
        <v>188</v>
      </c>
      <c r="H386" s="294">
        <v>45714.0</v>
      </c>
      <c r="I386" s="2"/>
      <c r="J386" s="2"/>
      <c r="K386" s="2"/>
    </row>
    <row r="387">
      <c r="A387" s="265"/>
      <c r="B387" s="247">
        <v>167716.75</v>
      </c>
      <c r="C387" s="248"/>
      <c r="D387" s="317"/>
      <c r="E387" s="429"/>
      <c r="F387" s="418"/>
      <c r="G387" s="2" t="s">
        <v>1745</v>
      </c>
      <c r="H387" s="294">
        <v>45714.0</v>
      </c>
      <c r="I387" s="2" t="s">
        <v>1710</v>
      </c>
      <c r="J387" s="2" t="s">
        <v>1566</v>
      </c>
      <c r="K387" s="2" t="s">
        <v>1349</v>
      </c>
    </row>
    <row r="388">
      <c r="A388" s="265"/>
      <c r="B388" s="247"/>
      <c r="C388" s="248"/>
      <c r="D388" s="438">
        <v>123280.4</v>
      </c>
      <c r="F388" s="418"/>
      <c r="G388" s="2" t="s">
        <v>1666</v>
      </c>
      <c r="H388" s="294">
        <v>45708.0</v>
      </c>
      <c r="I388" s="2" t="s">
        <v>1667</v>
      </c>
    </row>
    <row r="389">
      <c r="A389" s="265"/>
      <c r="B389" s="517"/>
      <c r="C389" s="248"/>
      <c r="D389" s="438"/>
      <c r="F389" s="418"/>
      <c r="G389" s="2" t="s">
        <v>191</v>
      </c>
      <c r="H389" s="294"/>
      <c r="J389" s="2" t="s">
        <v>1566</v>
      </c>
      <c r="K389" s="2" t="s">
        <v>1349</v>
      </c>
    </row>
    <row r="390">
      <c r="A390" s="265"/>
      <c r="B390" s="268"/>
      <c r="C390" s="252"/>
      <c r="D390" s="298">
        <v>318000.0</v>
      </c>
      <c r="F390" s="418"/>
      <c r="G390" s="2" t="s">
        <v>1746</v>
      </c>
      <c r="H390" s="294"/>
    </row>
    <row r="391">
      <c r="A391" s="265"/>
      <c r="B391" s="268"/>
      <c r="C391" s="252"/>
      <c r="D391" s="249">
        <v>363000.0</v>
      </c>
      <c r="F391" s="418"/>
      <c r="G391" s="2" t="s">
        <v>192</v>
      </c>
      <c r="H391" s="294">
        <v>45717.0</v>
      </c>
    </row>
    <row r="392">
      <c r="A392" s="265"/>
      <c r="B392" s="268"/>
      <c r="C392" s="252"/>
      <c r="D392" s="253"/>
      <c r="F392" s="284">
        <v>600000.0</v>
      </c>
      <c r="G392" s="2" t="s">
        <v>193</v>
      </c>
      <c r="H392" s="294"/>
    </row>
    <row r="393">
      <c r="A393" s="265"/>
      <c r="B393" s="247"/>
      <c r="C393" s="252"/>
      <c r="D393" s="249"/>
      <c r="F393" s="418"/>
      <c r="G393" s="2" t="s">
        <v>1093</v>
      </c>
      <c r="H393" s="294"/>
    </row>
    <row r="394">
      <c r="A394" s="265"/>
      <c r="B394" s="247"/>
      <c r="C394" s="252"/>
      <c r="D394" s="249">
        <v>130000.0</v>
      </c>
      <c r="F394" s="418"/>
      <c r="G394" s="2" t="s">
        <v>196</v>
      </c>
      <c r="H394" s="294">
        <v>45693.0</v>
      </c>
      <c r="I394" s="318"/>
    </row>
    <row r="395">
      <c r="A395" s="265"/>
      <c r="B395" s="247"/>
      <c r="C395" s="252"/>
      <c r="D395" s="249"/>
      <c r="F395" s="418"/>
      <c r="H395" s="294"/>
      <c r="I395" s="2"/>
      <c r="J395" s="2"/>
    </row>
    <row r="396">
      <c r="A396" s="265"/>
      <c r="B396" s="247"/>
      <c r="C396" s="252"/>
      <c r="D396" s="249">
        <v>70864.64</v>
      </c>
      <c r="F396" s="418"/>
      <c r="G396" s="2" t="s">
        <v>197</v>
      </c>
      <c r="H396" s="294">
        <v>45708.0</v>
      </c>
      <c r="I396" s="2" t="s">
        <v>1711</v>
      </c>
      <c r="J396" s="2" t="s">
        <v>1712</v>
      </c>
    </row>
    <row r="397">
      <c r="A397" s="265"/>
      <c r="B397" s="268"/>
      <c r="C397" s="252"/>
      <c r="D397" s="249">
        <v>57732.36</v>
      </c>
      <c r="F397" s="418"/>
      <c r="G397" s="2" t="s">
        <v>199</v>
      </c>
      <c r="H397" s="294"/>
      <c r="I397" s="2" t="s">
        <v>1713</v>
      </c>
      <c r="J397" s="2" t="s">
        <v>1712</v>
      </c>
      <c r="K397" s="2" t="s">
        <v>1668</v>
      </c>
    </row>
    <row r="398">
      <c r="A398" s="265"/>
      <c r="B398" s="247"/>
      <c r="C398" s="252"/>
      <c r="D398" s="439">
        <v>113167.71</v>
      </c>
      <c r="F398" s="418"/>
      <c r="G398" s="2" t="s">
        <v>200</v>
      </c>
      <c r="H398" s="294"/>
      <c r="I398" s="2" t="s">
        <v>189</v>
      </c>
      <c r="J398" s="2" t="s">
        <v>1669</v>
      </c>
    </row>
    <row r="399">
      <c r="A399" s="265"/>
      <c r="B399" s="278"/>
      <c r="C399" s="248"/>
      <c r="D399" s="439">
        <v>84785.15</v>
      </c>
      <c r="F399" s="432"/>
      <c r="G399" s="2" t="s">
        <v>201</v>
      </c>
      <c r="H399" s="294"/>
      <c r="I399" s="2" t="s">
        <v>189</v>
      </c>
    </row>
    <row r="400">
      <c r="A400" s="270"/>
      <c r="B400" s="277"/>
      <c r="C400" s="248"/>
      <c r="D400" s="295">
        <v>46630.0</v>
      </c>
      <c r="F400" s="464"/>
      <c r="G400" s="2" t="s">
        <v>1670</v>
      </c>
      <c r="H400" s="294">
        <v>45691.0</v>
      </c>
    </row>
    <row r="401">
      <c r="A401" s="299"/>
      <c r="B401" s="278"/>
      <c r="C401" s="248"/>
      <c r="D401" s="295">
        <v>107822.49</v>
      </c>
      <c r="F401" s="432"/>
      <c r="G401" s="2" t="s">
        <v>1714</v>
      </c>
      <c r="H401" s="294"/>
    </row>
    <row r="402">
      <c r="A402" s="299"/>
      <c r="B402" s="278"/>
      <c r="C402" s="248"/>
      <c r="D402" s="476">
        <v>14425.21</v>
      </c>
      <c r="E402" s="417"/>
      <c r="F402" s="432"/>
      <c r="G402" s="398" t="s">
        <v>1715</v>
      </c>
      <c r="H402" s="301"/>
    </row>
    <row r="403">
      <c r="A403" s="299"/>
      <c r="B403" s="278"/>
      <c r="C403" s="248"/>
      <c r="D403" s="476"/>
      <c r="E403" s="417"/>
      <c r="F403" s="432"/>
      <c r="G403" s="398" t="s">
        <v>1672</v>
      </c>
      <c r="H403" s="301"/>
    </row>
    <row r="404">
      <c r="A404" s="299"/>
      <c r="B404" s="278"/>
      <c r="C404" s="248"/>
      <c r="D404" s="295"/>
      <c r="F404" s="418"/>
      <c r="G404" s="2" t="s">
        <v>204</v>
      </c>
      <c r="H404" s="301"/>
    </row>
    <row r="405">
      <c r="A405" s="303"/>
      <c r="B405" s="278"/>
      <c r="C405" s="252"/>
      <c r="D405" s="249"/>
      <c r="F405" s="418"/>
      <c r="G405" s="2" t="s">
        <v>205</v>
      </c>
      <c r="H405" s="301"/>
    </row>
    <row r="406">
      <c r="A406" s="303"/>
      <c r="B406" s="268"/>
      <c r="C406" s="252"/>
      <c r="D406" s="249"/>
      <c r="F406" s="418"/>
      <c r="G406" s="2" t="s">
        <v>735</v>
      </c>
      <c r="H406" s="301"/>
    </row>
    <row r="407">
      <c r="A407" s="303"/>
      <c r="B407" s="247"/>
      <c r="C407" s="252"/>
      <c r="D407" s="249"/>
      <c r="F407" s="418"/>
      <c r="G407" s="2" t="s">
        <v>206</v>
      </c>
      <c r="H407" s="294"/>
      <c r="I407" s="2" t="s">
        <v>1747</v>
      </c>
    </row>
    <row r="408">
      <c r="A408" s="303"/>
      <c r="B408" s="268"/>
      <c r="C408" s="252"/>
      <c r="D408" s="300">
        <v>142499.15</v>
      </c>
      <c r="F408" s="465"/>
      <c r="G408" s="2" t="s">
        <v>209</v>
      </c>
      <c r="H408" s="294">
        <v>45698.0</v>
      </c>
      <c r="I408" s="2" t="s">
        <v>1717</v>
      </c>
      <c r="J408" s="2" t="s">
        <v>1566</v>
      </c>
      <c r="K408" s="2" t="s">
        <v>1718</v>
      </c>
    </row>
    <row r="409">
      <c r="A409" s="303"/>
      <c r="B409" s="247"/>
      <c r="C409" s="252"/>
      <c r="D409" s="249"/>
      <c r="F409" s="418"/>
      <c r="H409" s="294"/>
    </row>
    <row r="410">
      <c r="A410" s="303"/>
      <c r="B410" s="268"/>
      <c r="C410" s="252"/>
      <c r="D410" s="249"/>
      <c r="F410" s="418"/>
      <c r="H410" s="294"/>
    </row>
    <row r="411">
      <c r="A411" s="303"/>
      <c r="B411" s="268"/>
      <c r="C411" s="252"/>
      <c r="D411" s="249"/>
      <c r="F411" s="418"/>
      <c r="G411" s="2" t="s">
        <v>1217</v>
      </c>
      <c r="H411" s="294"/>
    </row>
    <row r="412">
      <c r="A412" s="303"/>
      <c r="B412" s="247"/>
      <c r="C412" s="252"/>
      <c r="D412" s="331"/>
      <c r="F412" s="458"/>
      <c r="H412" s="294"/>
    </row>
    <row r="413">
      <c r="A413" s="304"/>
      <c r="B413" s="268"/>
      <c r="C413" s="252"/>
      <c r="D413" s="249"/>
      <c r="F413" s="465"/>
      <c r="H413" s="294"/>
    </row>
    <row r="414">
      <c r="A414" s="305"/>
      <c r="B414" s="406">
        <f>SUM(B385:B413)</f>
        <v>497404.13</v>
      </c>
      <c r="C414" s="272"/>
      <c r="D414" s="392">
        <f>SUM(D385:D413)</f>
        <v>1642207.11</v>
      </c>
      <c r="E414" s="18"/>
      <c r="F414" s="466">
        <f>SUM(F385:F413)</f>
        <v>600000</v>
      </c>
      <c r="G414" s="18"/>
      <c r="H414" s="261"/>
    </row>
    <row r="415">
      <c r="A415" s="265"/>
      <c r="B415" s="306"/>
      <c r="C415" s="240"/>
      <c r="D415" s="241"/>
      <c r="E415" s="242"/>
      <c r="F415" s="423"/>
      <c r="G415" s="244"/>
      <c r="H415" s="307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65"/>
      <c r="B418" s="268"/>
      <c r="C418" s="252"/>
      <c r="D418" s="253"/>
      <c r="F418" s="418"/>
      <c r="H418" s="251"/>
    </row>
    <row r="419">
      <c r="A419" s="265"/>
      <c r="B419" s="268"/>
      <c r="C419" s="252"/>
      <c r="D419" s="253"/>
      <c r="F419" s="418"/>
      <c r="H419" s="251"/>
    </row>
    <row r="420">
      <c r="A420" s="265"/>
      <c r="B420" s="268"/>
      <c r="C420" s="252"/>
      <c r="D420" s="253"/>
      <c r="F420" s="418"/>
      <c r="H420" s="251"/>
    </row>
    <row r="421">
      <c r="A421" s="265"/>
      <c r="B421" s="268"/>
      <c r="C421" s="252"/>
      <c r="D421" s="253"/>
      <c r="F421" s="418"/>
      <c r="H421" s="251"/>
    </row>
    <row r="422">
      <c r="A422" s="265"/>
      <c r="B422" s="268"/>
      <c r="C422" s="252"/>
      <c r="D422" s="253"/>
      <c r="F422" s="418"/>
      <c r="H422" s="251"/>
    </row>
    <row r="423">
      <c r="A423" s="270"/>
      <c r="B423" s="268"/>
      <c r="C423" s="252"/>
      <c r="D423" s="253"/>
      <c r="F423" s="418"/>
      <c r="H423" s="251"/>
    </row>
    <row r="424">
      <c r="A424" s="305"/>
      <c r="B424" s="271"/>
      <c r="C424" s="272"/>
      <c r="D424" s="273"/>
      <c r="E424" s="18"/>
      <c r="F424" s="456"/>
      <c r="G424" s="18"/>
      <c r="H424" s="261"/>
    </row>
    <row r="425">
      <c r="A425" s="265"/>
      <c r="B425" s="306"/>
      <c r="C425" s="240"/>
      <c r="D425" s="241"/>
      <c r="E425" s="242"/>
      <c r="F425" s="423"/>
      <c r="G425" s="244"/>
      <c r="H425" s="307"/>
    </row>
    <row r="426">
      <c r="A426" s="265"/>
      <c r="B426" s="268"/>
      <c r="C426" s="252"/>
      <c r="D426" s="253"/>
      <c r="F426" s="418"/>
      <c r="H426" s="251"/>
    </row>
    <row r="427">
      <c r="A427" s="265"/>
      <c r="B427" s="268"/>
      <c r="C427" s="252"/>
      <c r="D427" s="253"/>
      <c r="F427" s="418"/>
      <c r="H427" s="251"/>
    </row>
    <row r="428">
      <c r="A428" s="265"/>
      <c r="B428" s="268"/>
      <c r="C428" s="252"/>
      <c r="D428" s="253"/>
      <c r="F428" s="418"/>
      <c r="H428" s="251"/>
    </row>
    <row r="429">
      <c r="A429" s="265"/>
      <c r="B429" s="268"/>
      <c r="C429" s="252"/>
      <c r="D429" s="253"/>
      <c r="F429" s="418"/>
      <c r="H429" s="251"/>
    </row>
    <row r="430">
      <c r="A430" s="265"/>
      <c r="B430" s="268"/>
      <c r="C430" s="252"/>
      <c r="D430" s="253"/>
      <c r="F430" s="418"/>
      <c r="H430" s="251"/>
    </row>
    <row r="431">
      <c r="A431" s="265"/>
      <c r="B431" s="268"/>
      <c r="C431" s="252"/>
      <c r="D431" s="253"/>
      <c r="F431" s="418"/>
      <c r="H431" s="251"/>
    </row>
    <row r="432">
      <c r="A432" s="265"/>
      <c r="B432" s="268"/>
      <c r="C432" s="252"/>
      <c r="D432" s="253"/>
      <c r="F432" s="418"/>
      <c r="H432" s="251"/>
    </row>
    <row r="433">
      <c r="A433" s="270"/>
      <c r="B433" s="268"/>
      <c r="C433" s="252"/>
      <c r="D433" s="253"/>
      <c r="F433" s="418"/>
      <c r="H433" s="251"/>
    </row>
    <row r="434">
      <c r="B434" s="271"/>
      <c r="C434" s="272"/>
      <c r="D434" s="273"/>
      <c r="E434" s="18"/>
      <c r="F434" s="456"/>
      <c r="G434" s="18"/>
      <c r="H434" s="261"/>
    </row>
    <row r="435">
      <c r="B435" s="306"/>
      <c r="C435" s="240"/>
      <c r="D435" s="241"/>
      <c r="E435" s="242"/>
      <c r="F435" s="423"/>
      <c r="G435" s="244"/>
      <c r="H435" s="307"/>
    </row>
    <row r="436">
      <c r="B436" s="268"/>
      <c r="C436" s="252"/>
      <c r="D436" s="253"/>
      <c r="F436" s="418"/>
      <c r="H436" s="251"/>
    </row>
    <row r="437">
      <c r="B437" s="268"/>
      <c r="C437" s="252"/>
      <c r="D437" s="253"/>
      <c r="F437" s="418"/>
      <c r="H437" s="251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  <row r="739">
      <c r="B739" s="308"/>
      <c r="C739" s="252"/>
      <c r="D739" s="253"/>
      <c r="F739" s="467"/>
      <c r="H739" s="302"/>
    </row>
    <row r="740">
      <c r="B740" s="308"/>
      <c r="C740" s="252"/>
      <c r="D740" s="253"/>
      <c r="F740" s="467"/>
      <c r="H740" s="302"/>
    </row>
    <row r="741">
      <c r="B741" s="308"/>
      <c r="C741" s="252"/>
      <c r="D741" s="253"/>
      <c r="F741" s="467"/>
      <c r="H741" s="302"/>
    </row>
    <row r="742">
      <c r="B742" s="308"/>
      <c r="C742" s="252"/>
      <c r="D742" s="253"/>
      <c r="F742" s="467"/>
      <c r="H742" s="302"/>
    </row>
    <row r="743">
      <c r="B743" s="308"/>
      <c r="C743" s="252"/>
      <c r="D743" s="253"/>
      <c r="F743" s="467"/>
      <c r="H743" s="302"/>
    </row>
  </sheetData>
  <mergeCells count="30">
    <mergeCell ref="A3:A16"/>
    <mergeCell ref="A19:A28"/>
    <mergeCell ref="A29:A42"/>
    <mergeCell ref="A43:A54"/>
    <mergeCell ref="A55:A70"/>
    <mergeCell ref="A71:A84"/>
    <mergeCell ref="A85:A102"/>
    <mergeCell ref="A103:A117"/>
    <mergeCell ref="A118:A132"/>
    <mergeCell ref="A133:A143"/>
    <mergeCell ref="A144:A158"/>
    <mergeCell ref="A159:A174"/>
    <mergeCell ref="A175:A189"/>
    <mergeCell ref="A190:A201"/>
    <mergeCell ref="A202:A216"/>
    <mergeCell ref="A217:A230"/>
    <mergeCell ref="A231:A245"/>
    <mergeCell ref="A246:A258"/>
    <mergeCell ref="A259:A274"/>
    <mergeCell ref="A275:A289"/>
    <mergeCell ref="A290:A304"/>
    <mergeCell ref="A414:A423"/>
    <mergeCell ref="A424:A433"/>
    <mergeCell ref="A305:A318"/>
    <mergeCell ref="A319:A336"/>
    <mergeCell ref="A337:A348"/>
    <mergeCell ref="A349:A359"/>
    <mergeCell ref="A361:A371"/>
    <mergeCell ref="A372:A382"/>
    <mergeCell ref="A385:A40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9.25"/>
    <col customWidth="1" min="8" max="8" width="13.25"/>
    <col customWidth="1" min="9" max="9" width="25.63"/>
  </cols>
  <sheetData>
    <row r="1" ht="27.0" customHeight="1">
      <c r="A1" s="407"/>
      <c r="B1" s="408" t="s">
        <v>52</v>
      </c>
      <c r="C1" s="409" t="s">
        <v>53</v>
      </c>
      <c r="D1" s="410" t="s">
        <v>54</v>
      </c>
      <c r="E1" s="411" t="s">
        <v>55</v>
      </c>
      <c r="F1" s="453" t="s">
        <v>529</v>
      </c>
      <c r="G1" s="411"/>
      <c r="H1" s="413" t="s">
        <v>57</v>
      </c>
    </row>
    <row r="2">
      <c r="A2" s="437" t="s">
        <v>1218</v>
      </c>
      <c r="B2" s="425"/>
      <c r="C2" s="426"/>
      <c r="D2" s="421"/>
      <c r="E2" s="422"/>
      <c r="F2" s="423"/>
      <c r="G2" s="505"/>
      <c r="H2" s="245">
        <v>269.0</v>
      </c>
      <c r="I2" s="2" t="s">
        <v>1748</v>
      </c>
    </row>
    <row r="3">
      <c r="A3" s="437"/>
      <c r="B3" s="425"/>
      <c r="C3" s="426"/>
      <c r="D3" s="421"/>
      <c r="E3" s="422"/>
      <c r="F3" s="423"/>
      <c r="G3" s="505"/>
      <c r="H3" s="245"/>
      <c r="I3" s="2" t="s">
        <v>1749</v>
      </c>
    </row>
    <row r="4">
      <c r="A4" s="437"/>
      <c r="B4" s="425"/>
      <c r="C4" s="426"/>
      <c r="D4" s="421"/>
      <c r="E4" s="422"/>
      <c r="F4" s="423"/>
      <c r="G4" s="505"/>
      <c r="H4" s="245"/>
    </row>
    <row r="5">
      <c r="A5" s="262" t="s">
        <v>1219</v>
      </c>
      <c r="B5" s="425"/>
      <c r="C5" s="426"/>
      <c r="D5" s="532"/>
      <c r="E5" s="244"/>
      <c r="F5" s="243"/>
      <c r="G5" s="276"/>
      <c r="H5" s="245">
        <v>140.0</v>
      </c>
      <c r="I5" s="2" t="s">
        <v>1749</v>
      </c>
    </row>
    <row r="6">
      <c r="A6" s="265"/>
      <c r="B6" s="510"/>
      <c r="C6" s="427"/>
      <c r="D6" s="399"/>
      <c r="E6" s="417"/>
      <c r="F6" s="418"/>
      <c r="G6" s="417"/>
      <c r="H6" s="267"/>
    </row>
    <row r="7">
      <c r="A7" s="265"/>
      <c r="B7" s="404"/>
      <c r="C7" s="427"/>
      <c r="D7" s="414"/>
      <c r="E7" s="417"/>
      <c r="F7" s="284"/>
      <c r="G7" s="285"/>
      <c r="H7" s="251"/>
    </row>
    <row r="8">
      <c r="A8" s="265"/>
      <c r="B8" s="404"/>
      <c r="C8" s="405"/>
      <c r="D8" s="399"/>
      <c r="E8" s="398"/>
      <c r="F8" s="284"/>
      <c r="G8" s="285"/>
      <c r="H8" s="251"/>
    </row>
    <row r="9">
      <c r="A9" s="265"/>
      <c r="B9" s="404"/>
      <c r="C9" s="424"/>
      <c r="D9" s="399"/>
      <c r="E9" s="398"/>
      <c r="F9" s="284"/>
      <c r="G9" s="285"/>
      <c r="H9" s="251"/>
    </row>
    <row r="10">
      <c r="A10" s="265"/>
      <c r="B10" s="404"/>
      <c r="C10" s="405"/>
      <c r="D10" s="469"/>
      <c r="E10" s="442"/>
      <c r="F10" s="284"/>
      <c r="G10" s="285"/>
      <c r="H10" s="267"/>
    </row>
    <row r="11">
      <c r="A11" s="265"/>
      <c r="B11" s="404"/>
      <c r="C11" s="405"/>
      <c r="D11" s="399"/>
      <c r="E11" s="442"/>
      <c r="F11" s="284"/>
      <c r="G11" s="285"/>
      <c r="H11" s="267"/>
    </row>
    <row r="12">
      <c r="A12" s="265"/>
      <c r="B12" s="404"/>
      <c r="C12" s="424"/>
      <c r="D12" s="399"/>
      <c r="E12" s="442"/>
      <c r="F12" s="284"/>
      <c r="G12" s="285"/>
      <c r="H12" s="251"/>
    </row>
    <row r="13">
      <c r="A13" s="265"/>
      <c r="B13" s="404"/>
      <c r="C13" s="405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65"/>
      <c r="B15" s="440"/>
      <c r="C15" s="424"/>
      <c r="D15" s="400"/>
      <c r="E15" s="442"/>
      <c r="F15" s="284"/>
      <c r="G15" s="285"/>
      <c r="H15" s="251"/>
    </row>
    <row r="16">
      <c r="A16" s="265"/>
      <c r="B16" s="440"/>
      <c r="C16" s="424"/>
      <c r="D16" s="400"/>
      <c r="E16" s="442"/>
      <c r="F16" s="284"/>
      <c r="G16" s="285"/>
      <c r="H16" s="251"/>
    </row>
    <row r="17">
      <c r="A17" s="265"/>
      <c r="B17" s="440"/>
      <c r="C17" s="424"/>
      <c r="D17" s="400"/>
      <c r="E17" s="442"/>
      <c r="F17" s="284"/>
      <c r="G17" s="285"/>
      <c r="H17" s="251"/>
    </row>
    <row r="18">
      <c r="A18" s="270"/>
      <c r="B18" s="470"/>
      <c r="C18" s="471"/>
      <c r="D18" s="472"/>
      <c r="E18" s="473"/>
      <c r="F18" s="474"/>
      <c r="G18" s="475"/>
      <c r="H18" s="261"/>
    </row>
    <row r="19">
      <c r="A19" s="262"/>
      <c r="B19" s="440"/>
      <c r="C19" s="427"/>
      <c r="D19" s="414"/>
      <c r="E19" s="417"/>
      <c r="F19" s="284"/>
      <c r="G19" s="285"/>
      <c r="H19" s="267">
        <v>200.0</v>
      </c>
      <c r="I19" s="2" t="s">
        <v>1749</v>
      </c>
    </row>
    <row r="20">
      <c r="A20" s="280"/>
      <c r="B20" s="440"/>
      <c r="C20" s="405"/>
      <c r="D20" s="399"/>
      <c r="E20" s="398"/>
      <c r="F20" s="284"/>
      <c r="G20" s="398"/>
      <c r="H20" s="267"/>
    </row>
    <row r="21">
      <c r="A21" s="280" t="s">
        <v>1222</v>
      </c>
      <c r="B21" s="404"/>
      <c r="C21" s="405"/>
      <c r="D21" s="476"/>
      <c r="E21" s="398"/>
      <c r="F21" s="284"/>
      <c r="G21" s="285"/>
      <c r="H21" s="251"/>
    </row>
    <row r="22">
      <c r="A22" s="265"/>
      <c r="B22" s="419"/>
      <c r="C22" s="427"/>
      <c r="D22" s="399"/>
      <c r="E22" s="398"/>
      <c r="F22" s="284"/>
      <c r="G22" s="285"/>
      <c r="H22" s="251"/>
    </row>
    <row r="23">
      <c r="A23" s="265"/>
      <c r="B23" s="404"/>
      <c r="C23" s="405"/>
      <c r="D23" s="399"/>
      <c r="E23" s="398"/>
      <c r="F23" s="284"/>
      <c r="G23" s="285"/>
      <c r="H23" s="251"/>
    </row>
    <row r="24">
      <c r="A24" s="265"/>
      <c r="B24" s="419"/>
      <c r="C24" s="427"/>
      <c r="D24" s="414"/>
      <c r="E24" s="417"/>
      <c r="F24" s="284"/>
      <c r="G24" s="285"/>
      <c r="H24" s="519"/>
    </row>
    <row r="25">
      <c r="A25" s="265"/>
      <c r="B25" s="404"/>
      <c r="C25" s="405"/>
      <c r="D25" s="399"/>
      <c r="E25" s="398"/>
      <c r="F25" s="284"/>
      <c r="G25" s="285"/>
      <c r="H25" s="267"/>
    </row>
    <row r="26">
      <c r="A26" s="265"/>
      <c r="B26" s="404"/>
      <c r="C26" s="424"/>
      <c r="D26" s="399"/>
      <c r="E26" s="442"/>
      <c r="F26" s="284"/>
      <c r="G26" s="285"/>
      <c r="H26" s="251"/>
    </row>
    <row r="27">
      <c r="A27" s="265"/>
      <c r="B27" s="404"/>
      <c r="C27" s="405"/>
      <c r="D27" s="400"/>
      <c r="E27" s="442"/>
      <c r="F27" s="284"/>
      <c r="G27" s="285"/>
      <c r="H27" s="251"/>
    </row>
    <row r="28">
      <c r="A28" s="265"/>
      <c r="B28" s="404"/>
      <c r="C28" s="405"/>
      <c r="D28" s="400"/>
      <c r="E28" s="442"/>
      <c r="F28" s="284"/>
      <c r="G28" s="285"/>
      <c r="H28" s="251"/>
    </row>
    <row r="29">
      <c r="A29" s="265"/>
      <c r="B29" s="404"/>
      <c r="C29" s="424"/>
      <c r="D29" s="400"/>
      <c r="E29" s="442"/>
      <c r="F29" s="284"/>
      <c r="G29" s="285"/>
      <c r="H29" s="251"/>
    </row>
    <row r="30">
      <c r="A30" s="270"/>
      <c r="B30" s="478"/>
      <c r="C30" s="471"/>
      <c r="D30" s="472"/>
      <c r="E30" s="473"/>
      <c r="F30" s="460"/>
      <c r="G30" s="475"/>
      <c r="H30" s="261"/>
    </row>
    <row r="31">
      <c r="A31" s="262" t="s">
        <v>1224</v>
      </c>
      <c r="B31" s="425"/>
      <c r="C31" s="426"/>
      <c r="D31" s="401"/>
      <c r="E31" s="402"/>
      <c r="F31" s="284"/>
      <c r="G31" s="285"/>
      <c r="H31" s="245">
        <v>340.0</v>
      </c>
    </row>
    <row r="32">
      <c r="A32" s="265"/>
      <c r="B32" s="419"/>
      <c r="C32" s="427"/>
      <c r="D32" s="414"/>
      <c r="E32" s="417"/>
      <c r="F32" s="418"/>
      <c r="G32" s="420"/>
      <c r="H32" s="267"/>
    </row>
    <row r="33">
      <c r="A33" s="265"/>
      <c r="B33" s="526"/>
      <c r="C33" s="427"/>
      <c r="D33" s="414"/>
      <c r="E33" s="417"/>
      <c r="F33" s="284"/>
      <c r="G33" s="285"/>
      <c r="H33" s="251"/>
    </row>
    <row r="34">
      <c r="A34" s="265"/>
      <c r="B34" s="339"/>
      <c r="C34" s="427"/>
      <c r="D34" s="414"/>
      <c r="F34" s="418"/>
      <c r="G34" s="254"/>
      <c r="H34" s="267"/>
    </row>
    <row r="35">
      <c r="A35" s="265"/>
      <c r="B35" s="404"/>
      <c r="C35" s="405"/>
      <c r="D35" s="399"/>
      <c r="E35" s="398"/>
      <c r="F35" s="284"/>
      <c r="G35" s="285"/>
      <c r="H35" s="251"/>
    </row>
    <row r="36">
      <c r="A36" s="265"/>
      <c r="B36" s="419"/>
      <c r="C36" s="427"/>
      <c r="D36" s="414"/>
      <c r="E36" s="417"/>
      <c r="F36" s="418"/>
      <c r="G36" s="420"/>
      <c r="H36" s="251"/>
    </row>
    <row r="37">
      <c r="A37" s="265"/>
      <c r="B37" s="404"/>
      <c r="C37" s="424"/>
      <c r="D37" s="399"/>
      <c r="E37" s="442"/>
      <c r="F37" s="284"/>
      <c r="G37" s="285"/>
      <c r="H37" s="251"/>
    </row>
    <row r="38">
      <c r="A38" s="265"/>
      <c r="B38" s="404"/>
      <c r="C38" s="424"/>
      <c r="D38" s="400"/>
      <c r="E38" s="442"/>
      <c r="F38" s="284"/>
      <c r="G38" s="285"/>
      <c r="H38" s="251"/>
    </row>
    <row r="39">
      <c r="A39" s="265"/>
      <c r="B39" s="404"/>
      <c r="C39" s="405"/>
      <c r="D39" s="400"/>
      <c r="E39" s="442"/>
      <c r="F39" s="284"/>
      <c r="G39" s="285"/>
      <c r="H39" s="251"/>
    </row>
    <row r="40">
      <c r="A40" s="265"/>
      <c r="B40" s="404"/>
      <c r="C40" s="405"/>
      <c r="D40" s="399"/>
      <c r="E40" s="442"/>
      <c r="F40" s="284"/>
      <c r="G40" s="442"/>
      <c r="H40" s="251"/>
    </row>
    <row r="41">
      <c r="A41" s="265"/>
      <c r="B41" s="404"/>
      <c r="C41" s="405"/>
      <c r="D41" s="399"/>
      <c r="E41" s="442"/>
      <c r="F41" s="284"/>
      <c r="G41" s="285"/>
      <c r="H41" s="251"/>
    </row>
    <row r="42">
      <c r="A42" s="265"/>
      <c r="B42" s="477"/>
      <c r="C42" s="405"/>
      <c r="D42" s="399"/>
      <c r="E42" s="442"/>
      <c r="F42" s="284"/>
      <c r="G42" s="285"/>
      <c r="H42" s="251"/>
    </row>
    <row r="43">
      <c r="A43" s="265"/>
      <c r="B43" s="480"/>
      <c r="C43" s="424"/>
      <c r="D43" s="400"/>
      <c r="E43" s="442"/>
      <c r="F43" s="284"/>
      <c r="G43" s="481"/>
      <c r="H43" s="251"/>
    </row>
    <row r="44">
      <c r="A44" s="270"/>
      <c r="B44" s="478"/>
      <c r="C44" s="471"/>
      <c r="D44" s="472"/>
      <c r="E44" s="473"/>
      <c r="F44" s="460"/>
      <c r="G44" s="482"/>
      <c r="H44" s="261"/>
    </row>
    <row r="45">
      <c r="A45" s="262" t="s">
        <v>1226</v>
      </c>
      <c r="B45" s="518"/>
      <c r="C45" s="427"/>
      <c r="D45" s="414"/>
      <c r="E45" s="417"/>
      <c r="F45" s="284">
        <v>10000.0</v>
      </c>
      <c r="G45" s="285" t="s">
        <v>85</v>
      </c>
      <c r="H45" s="245">
        <v>303.0</v>
      </c>
    </row>
    <row r="46">
      <c r="A46" s="265"/>
      <c r="B46" s="440"/>
      <c r="C46" s="427"/>
      <c r="D46" s="414"/>
      <c r="E46" s="417"/>
      <c r="F46" s="284">
        <f>3600+1560</f>
        <v>5160</v>
      </c>
      <c r="G46" s="398" t="s">
        <v>1750</v>
      </c>
      <c r="H46" s="267"/>
      <c r="I46" s="417"/>
    </row>
    <row r="47">
      <c r="A47" s="265"/>
      <c r="B47" s="404"/>
      <c r="C47" s="405"/>
      <c r="D47" s="476"/>
      <c r="E47" s="398"/>
      <c r="F47" s="284">
        <v>7710.0</v>
      </c>
      <c r="G47" s="285" t="s">
        <v>102</v>
      </c>
      <c r="H47" s="310"/>
    </row>
    <row r="48">
      <c r="A48" s="265"/>
      <c r="B48" s="404"/>
      <c r="C48" s="405"/>
      <c r="D48" s="399"/>
      <c r="E48" s="398"/>
      <c r="F48" s="284"/>
      <c r="G48" s="285"/>
      <c r="H48" s="251"/>
    </row>
    <row r="49">
      <c r="A49" s="265"/>
      <c r="B49" s="404"/>
      <c r="C49" s="405"/>
      <c r="D49" s="399"/>
      <c r="E49" s="398"/>
      <c r="F49" s="284"/>
      <c r="G49" s="285"/>
      <c r="H49" s="251"/>
    </row>
    <row r="50">
      <c r="A50" s="265"/>
      <c r="B50" s="404"/>
      <c r="C50" s="405"/>
      <c r="D50" s="399"/>
      <c r="E50" s="398"/>
      <c r="F50" s="284"/>
      <c r="G50" s="285"/>
      <c r="H50" s="251"/>
    </row>
    <row r="51">
      <c r="A51" s="265"/>
      <c r="B51" s="479"/>
      <c r="C51" s="405"/>
      <c r="D51" s="399"/>
      <c r="E51" s="398"/>
      <c r="F51" s="284"/>
      <c r="G51" s="285"/>
      <c r="H51" s="251"/>
    </row>
    <row r="52">
      <c r="A52" s="265"/>
      <c r="B52" s="404"/>
      <c r="C52" s="424"/>
      <c r="D52" s="400"/>
      <c r="E52" s="442"/>
      <c r="F52" s="284"/>
      <c r="G52" s="285"/>
      <c r="H52" s="251"/>
    </row>
    <row r="53">
      <c r="A53" s="265"/>
      <c r="B53" s="404"/>
      <c r="C53" s="424"/>
      <c r="D53" s="399"/>
      <c r="E53" s="442"/>
      <c r="F53" s="284"/>
      <c r="G53" s="285"/>
      <c r="H53" s="251"/>
    </row>
    <row r="54">
      <c r="A54" s="265"/>
      <c r="B54" s="440"/>
      <c r="C54" s="424"/>
      <c r="D54" s="400"/>
      <c r="E54" s="442"/>
      <c r="F54" s="284"/>
      <c r="G54" s="285"/>
      <c r="H54" s="251"/>
    </row>
    <row r="55">
      <c r="A55" s="265"/>
      <c r="B55" s="440"/>
      <c r="C55" s="424"/>
      <c r="D55" s="400"/>
      <c r="E55" s="442"/>
      <c r="F55" s="284"/>
      <c r="G55" s="285"/>
      <c r="H55" s="251"/>
    </row>
    <row r="56">
      <c r="A56" s="270"/>
      <c r="B56" s="478"/>
      <c r="C56" s="471"/>
      <c r="D56" s="472"/>
      <c r="E56" s="473"/>
      <c r="F56" s="474"/>
      <c r="G56" s="482"/>
      <c r="H56" s="261"/>
    </row>
    <row r="57">
      <c r="A57" s="262" t="s">
        <v>1227</v>
      </c>
      <c r="B57" s="425">
        <v>49700.0</v>
      </c>
      <c r="C57" s="426"/>
      <c r="D57" s="401"/>
      <c r="E57" s="402"/>
      <c r="F57" s="403"/>
      <c r="G57" s="436" t="s">
        <v>259</v>
      </c>
      <c r="H57" s="245">
        <v>370.0</v>
      </c>
    </row>
    <row r="58">
      <c r="A58" s="265"/>
      <c r="B58" s="419"/>
      <c r="C58" s="427"/>
      <c r="D58" s="414"/>
      <c r="E58" s="417"/>
      <c r="F58" s="284">
        <v>1242.0</v>
      </c>
      <c r="G58" s="285" t="s">
        <v>137</v>
      </c>
      <c r="H58" s="267"/>
    </row>
    <row r="59">
      <c r="A59" s="265"/>
      <c r="B59" s="404"/>
      <c r="C59" s="405"/>
      <c r="D59" s="399"/>
      <c r="E59" s="398"/>
      <c r="F59" s="284">
        <v>6700.0</v>
      </c>
      <c r="G59" s="285" t="s">
        <v>1751</v>
      </c>
      <c r="H59" s="267"/>
    </row>
    <row r="60">
      <c r="A60" s="265"/>
      <c r="B60" s="404"/>
      <c r="C60" s="405"/>
      <c r="D60" s="399"/>
      <c r="E60" s="398"/>
      <c r="F60" s="284"/>
      <c r="G60" s="285"/>
      <c r="H60" s="251"/>
      <c r="I60" s="2" t="s">
        <v>1752</v>
      </c>
    </row>
    <row r="61">
      <c r="A61" s="265"/>
      <c r="B61" s="457"/>
      <c r="C61" s="405"/>
      <c r="D61" s="399"/>
      <c r="E61" s="398"/>
      <c r="F61" s="284"/>
      <c r="G61" s="285"/>
      <c r="H61" s="251"/>
    </row>
    <row r="62">
      <c r="A62" s="265"/>
      <c r="B62" s="468"/>
      <c r="C62" s="405"/>
      <c r="D62" s="399"/>
      <c r="E62" s="398"/>
      <c r="F62" s="483"/>
      <c r="G62" s="285"/>
      <c r="H62" s="251"/>
    </row>
    <row r="63">
      <c r="A63" s="265"/>
      <c r="B63" s="468"/>
      <c r="C63" s="405"/>
      <c r="D63" s="399"/>
      <c r="E63" s="442"/>
      <c r="F63" s="284"/>
      <c r="G63" s="285"/>
      <c r="H63" s="267"/>
    </row>
    <row r="64">
      <c r="A64" s="265"/>
      <c r="B64" s="404"/>
      <c r="C64" s="424"/>
      <c r="D64" s="399"/>
      <c r="E64" s="398"/>
      <c r="F64" s="284"/>
      <c r="G64" s="285"/>
      <c r="H64" s="251"/>
    </row>
    <row r="65">
      <c r="A65" s="265"/>
      <c r="B65" s="404"/>
      <c r="C65" s="424"/>
      <c r="D65" s="400"/>
      <c r="E65" s="442"/>
      <c r="F65" s="284"/>
      <c r="G65" s="285"/>
      <c r="H65" s="251"/>
    </row>
    <row r="66">
      <c r="A66" s="265"/>
      <c r="B66" s="404"/>
      <c r="C66" s="424"/>
      <c r="D66" s="414"/>
      <c r="E66" s="417"/>
      <c r="F66" s="418"/>
      <c r="G66" s="420"/>
      <c r="H66" s="251"/>
    </row>
    <row r="67">
      <c r="A67" s="265"/>
      <c r="B67" s="477"/>
      <c r="C67" s="424"/>
      <c r="D67" s="400"/>
      <c r="E67" s="442"/>
      <c r="F67" s="284"/>
      <c r="G67" s="481"/>
      <c r="H67" s="251"/>
    </row>
    <row r="68">
      <c r="A68" s="265"/>
      <c r="B68" s="404"/>
      <c r="C68" s="424"/>
      <c r="D68" s="400"/>
      <c r="E68" s="442"/>
      <c r="F68" s="284"/>
      <c r="G68" s="481"/>
      <c r="H68" s="251"/>
    </row>
    <row r="69">
      <c r="A69" s="265"/>
      <c r="B69" s="440"/>
      <c r="C69" s="424"/>
      <c r="D69" s="400"/>
      <c r="E69" s="442"/>
      <c r="F69" s="463"/>
      <c r="G69" s="481"/>
      <c r="H69" s="251"/>
    </row>
    <row r="70">
      <c r="A70" s="265"/>
      <c r="B70" s="480"/>
      <c r="C70" s="405"/>
      <c r="D70" s="400"/>
      <c r="E70" s="442"/>
      <c r="F70" s="463"/>
      <c r="G70" s="481"/>
      <c r="H70" s="251"/>
    </row>
    <row r="71">
      <c r="A71" s="265"/>
      <c r="B71" s="480"/>
      <c r="C71" s="424"/>
      <c r="D71" s="400"/>
      <c r="E71" s="442"/>
      <c r="F71" s="284"/>
      <c r="G71" s="481"/>
      <c r="H71" s="251"/>
    </row>
    <row r="72">
      <c r="A72" s="270"/>
      <c r="B72" s="478"/>
      <c r="C72" s="471"/>
      <c r="D72" s="472"/>
      <c r="E72" s="473"/>
      <c r="F72" s="474"/>
      <c r="G72" s="475"/>
      <c r="H72" s="261"/>
    </row>
    <row r="73">
      <c r="A73" s="262" t="s">
        <v>1228</v>
      </c>
      <c r="B73" s="425"/>
      <c r="C73" s="445"/>
      <c r="D73" s="421"/>
      <c r="E73" s="422"/>
      <c r="F73" s="284">
        <v>6713.55</v>
      </c>
      <c r="G73" s="436" t="s">
        <v>97</v>
      </c>
      <c r="H73" s="286">
        <v>300.0</v>
      </c>
    </row>
    <row r="74">
      <c r="A74" s="265"/>
      <c r="B74" s="419"/>
      <c r="C74" s="427"/>
      <c r="D74" s="414"/>
      <c r="E74" s="417"/>
      <c r="F74" s="250"/>
      <c r="H74" s="82"/>
    </row>
    <row r="75">
      <c r="A75" s="265"/>
      <c r="B75" s="419"/>
      <c r="C75" s="427"/>
      <c r="D75" s="414"/>
      <c r="E75" s="417"/>
      <c r="F75" s="418"/>
      <c r="G75" s="420"/>
      <c r="H75" s="82"/>
    </row>
    <row r="76">
      <c r="A76" s="265"/>
      <c r="B76" s="404"/>
      <c r="C76" s="405"/>
      <c r="D76" s="399"/>
      <c r="E76" s="398"/>
      <c r="F76" s="284"/>
      <c r="G76" s="285"/>
      <c r="H76" s="302"/>
    </row>
    <row r="77">
      <c r="A77" s="265"/>
      <c r="B77" s="484"/>
      <c r="C77" s="533"/>
      <c r="D77" s="534"/>
      <c r="E77" s="507"/>
      <c r="F77" s="459"/>
      <c r="G77" s="535"/>
      <c r="H77" s="527"/>
      <c r="I77" s="318"/>
    </row>
    <row r="78">
      <c r="A78" s="265"/>
      <c r="B78" s="404"/>
      <c r="C78" s="405"/>
      <c r="D78" s="399"/>
      <c r="E78" s="442"/>
      <c r="F78" s="284"/>
      <c r="G78" s="285"/>
      <c r="H78" s="82"/>
      <c r="I78" s="318"/>
    </row>
    <row r="79">
      <c r="A79" s="265"/>
      <c r="B79" s="404"/>
      <c r="C79" s="424"/>
      <c r="D79" s="399"/>
      <c r="E79" s="442"/>
      <c r="F79" s="284"/>
      <c r="G79" s="285"/>
      <c r="H79" s="302"/>
      <c r="I79" s="318"/>
    </row>
    <row r="80">
      <c r="A80" s="265"/>
      <c r="B80" s="404"/>
      <c r="C80" s="424"/>
      <c r="D80" s="400"/>
      <c r="E80" s="442"/>
      <c r="F80" s="284"/>
      <c r="G80" s="285"/>
      <c r="H80" s="302"/>
      <c r="I80" s="318"/>
    </row>
    <row r="81">
      <c r="A81" s="265"/>
      <c r="B81" s="404"/>
      <c r="C81" s="405"/>
      <c r="D81" s="400"/>
      <c r="E81" s="442"/>
      <c r="F81" s="284"/>
      <c r="G81" s="285"/>
      <c r="H81" s="302"/>
    </row>
    <row r="82">
      <c r="A82" s="265"/>
      <c r="B82" s="404"/>
      <c r="C82" s="405"/>
      <c r="D82" s="400"/>
      <c r="E82" s="442"/>
      <c r="F82" s="284"/>
      <c r="G82" s="285"/>
      <c r="H82" s="251"/>
      <c r="I82" s="318"/>
    </row>
    <row r="83">
      <c r="A83" s="265"/>
      <c r="B83" s="440"/>
      <c r="C83" s="405"/>
      <c r="D83" s="400"/>
      <c r="E83" s="442"/>
      <c r="F83" s="463"/>
      <c r="G83" s="285"/>
      <c r="H83" s="251"/>
      <c r="I83" s="318"/>
    </row>
    <row r="84">
      <c r="A84" s="265"/>
      <c r="B84" s="440"/>
      <c r="C84" s="424"/>
      <c r="D84" s="400"/>
      <c r="E84" s="442"/>
      <c r="F84" s="284"/>
      <c r="G84" s="285"/>
      <c r="H84" s="251"/>
    </row>
    <row r="85">
      <c r="A85" s="265"/>
      <c r="B85" s="440"/>
      <c r="C85" s="424"/>
      <c r="D85" s="400"/>
      <c r="E85" s="442"/>
      <c r="F85" s="463"/>
      <c r="G85" s="285"/>
      <c r="H85" s="251"/>
    </row>
    <row r="86">
      <c r="A86" s="270"/>
      <c r="B86" s="478"/>
      <c r="C86" s="471"/>
      <c r="D86" s="472"/>
      <c r="E86" s="473"/>
      <c r="F86" s="460"/>
      <c r="G86" s="482"/>
      <c r="H86" s="261"/>
    </row>
    <row r="87">
      <c r="A87" s="262" t="s">
        <v>1229</v>
      </c>
      <c r="B87" s="425">
        <v>61000.0</v>
      </c>
      <c r="C87" s="426"/>
      <c r="D87" s="401"/>
      <c r="E87" s="402"/>
      <c r="F87" s="403"/>
      <c r="G87" s="436" t="s">
        <v>68</v>
      </c>
      <c r="H87" s="245">
        <v>280.0</v>
      </c>
    </row>
    <row r="88">
      <c r="A88" s="265"/>
      <c r="B88" s="404"/>
      <c r="C88" s="248"/>
      <c r="D88" s="249"/>
      <c r="F88" s="250"/>
      <c r="G88" s="254"/>
      <c r="H88" s="267"/>
    </row>
    <row r="89">
      <c r="A89" s="265"/>
      <c r="B89" s="404"/>
      <c r="C89" s="405"/>
      <c r="D89" s="399"/>
      <c r="E89" s="398"/>
      <c r="F89" s="284"/>
      <c r="G89" s="195"/>
      <c r="H89" s="267"/>
    </row>
    <row r="90">
      <c r="A90" s="265"/>
      <c r="B90" s="404"/>
      <c r="C90" s="405"/>
      <c r="D90" s="399"/>
      <c r="E90" s="398"/>
      <c r="F90" s="284"/>
      <c r="G90" s="285"/>
      <c r="H90" s="251"/>
    </row>
    <row r="91">
      <c r="A91" s="265"/>
      <c r="B91" s="404"/>
      <c r="C91" s="405"/>
      <c r="D91" s="399"/>
      <c r="E91" s="398"/>
      <c r="F91" s="284"/>
      <c r="G91" s="285"/>
      <c r="H91" s="251"/>
    </row>
    <row r="92">
      <c r="A92" s="265"/>
      <c r="B92" s="404"/>
      <c r="C92" s="405"/>
      <c r="D92" s="399"/>
      <c r="E92" s="398"/>
      <c r="F92" s="284"/>
      <c r="G92" s="285"/>
      <c r="H92" s="251"/>
    </row>
    <row r="93">
      <c r="A93" s="265"/>
      <c r="B93" s="404"/>
      <c r="C93" s="424"/>
      <c r="D93" s="399"/>
      <c r="E93" s="398"/>
      <c r="F93" s="284"/>
      <c r="G93" s="285"/>
      <c r="H93" s="251"/>
    </row>
    <row r="94">
      <c r="A94" s="265"/>
      <c r="B94" s="404"/>
      <c r="C94" s="405"/>
      <c r="D94" s="399"/>
      <c r="E94" s="442"/>
      <c r="F94" s="284"/>
      <c r="G94" s="285"/>
      <c r="H94" s="251"/>
    </row>
    <row r="95">
      <c r="A95" s="265"/>
      <c r="B95" s="419"/>
      <c r="C95" s="434"/>
      <c r="D95" s="414"/>
      <c r="E95" s="417"/>
      <c r="F95" s="418"/>
      <c r="G95" s="420"/>
      <c r="H95" s="251"/>
    </row>
    <row r="96">
      <c r="A96" s="265"/>
      <c r="B96" s="404"/>
      <c r="C96" s="405"/>
      <c r="D96" s="400"/>
      <c r="E96" s="442"/>
      <c r="F96" s="284"/>
      <c r="G96" s="285"/>
      <c r="H96" s="251"/>
    </row>
    <row r="97">
      <c r="A97" s="265"/>
      <c r="B97" s="477"/>
      <c r="C97" s="424"/>
      <c r="D97" s="400"/>
      <c r="E97" s="442"/>
      <c r="F97" s="284"/>
      <c r="G97" s="285"/>
      <c r="H97" s="251"/>
    </row>
    <row r="98">
      <c r="A98" s="265"/>
      <c r="B98" s="477"/>
      <c r="C98" s="424"/>
      <c r="D98" s="400"/>
      <c r="E98" s="442"/>
      <c r="F98" s="284"/>
      <c r="G98" s="285"/>
      <c r="H98" s="251"/>
    </row>
    <row r="99">
      <c r="A99" s="265"/>
      <c r="B99" s="477"/>
      <c r="C99" s="424"/>
      <c r="D99" s="400"/>
      <c r="E99" s="442"/>
      <c r="F99" s="284"/>
      <c r="G99" s="481"/>
      <c r="H99" s="251"/>
    </row>
    <row r="100">
      <c r="A100" s="265"/>
      <c r="B100" s="477"/>
      <c r="C100" s="424"/>
      <c r="D100" s="400"/>
      <c r="E100" s="442"/>
      <c r="F100" s="284"/>
      <c r="G100" s="481"/>
      <c r="H100" s="251"/>
    </row>
    <row r="101">
      <c r="A101" s="265"/>
      <c r="B101" s="477"/>
      <c r="C101" s="424"/>
      <c r="D101" s="400"/>
      <c r="E101" s="442"/>
      <c r="F101" s="284"/>
      <c r="G101" s="481"/>
      <c r="H101" s="251"/>
    </row>
    <row r="102">
      <c r="A102" s="265"/>
      <c r="B102" s="477"/>
      <c r="C102" s="424"/>
      <c r="D102" s="400"/>
      <c r="E102" s="442"/>
      <c r="F102" s="284"/>
      <c r="G102" s="481"/>
      <c r="H102" s="251"/>
    </row>
    <row r="103">
      <c r="A103" s="265"/>
      <c r="B103" s="477"/>
      <c r="C103" s="424"/>
      <c r="D103" s="400"/>
      <c r="E103" s="442"/>
      <c r="F103" s="284"/>
      <c r="G103" s="481"/>
      <c r="H103" s="251"/>
    </row>
    <row r="104">
      <c r="A104" s="270"/>
      <c r="B104" s="478"/>
      <c r="C104" s="471"/>
      <c r="D104" s="472"/>
      <c r="E104" s="473"/>
      <c r="F104" s="460"/>
      <c r="G104" s="482"/>
      <c r="H104" s="261"/>
    </row>
    <row r="105">
      <c r="A105" s="262" t="s">
        <v>1236</v>
      </c>
      <c r="B105" s="425"/>
      <c r="C105" s="426"/>
      <c r="D105" s="401"/>
      <c r="E105" s="402"/>
      <c r="F105" s="403"/>
      <c r="G105" s="436"/>
      <c r="H105" s="245">
        <v>340.0</v>
      </c>
    </row>
    <row r="106">
      <c r="A106" s="265"/>
      <c r="B106" s="404"/>
      <c r="C106" s="405"/>
      <c r="D106" s="399"/>
      <c r="E106" s="398"/>
      <c r="F106" s="284"/>
      <c r="G106" s="285"/>
      <c r="H106" s="267"/>
    </row>
    <row r="107">
      <c r="A107" s="265"/>
      <c r="B107" s="404"/>
      <c r="C107" s="405"/>
      <c r="D107" s="399"/>
      <c r="E107" s="398"/>
      <c r="F107" s="284"/>
      <c r="G107" s="285"/>
      <c r="H107" s="251"/>
    </row>
    <row r="108">
      <c r="A108" s="265"/>
      <c r="B108" s="461"/>
      <c r="C108" s="445"/>
      <c r="D108" s="421"/>
      <c r="E108" s="422"/>
      <c r="F108" s="403"/>
      <c r="G108" s="436"/>
      <c r="H108" s="267"/>
    </row>
    <row r="109">
      <c r="A109" s="265"/>
      <c r="B109" s="419"/>
      <c r="C109" s="434"/>
      <c r="D109" s="414"/>
      <c r="E109" s="417"/>
      <c r="F109" s="284"/>
      <c r="G109" s="285"/>
      <c r="H109" s="251"/>
    </row>
    <row r="110">
      <c r="A110" s="265"/>
      <c r="B110" s="404"/>
      <c r="C110" s="405"/>
      <c r="D110" s="399"/>
      <c r="E110" s="398"/>
      <c r="F110" s="284"/>
      <c r="G110" s="285"/>
      <c r="H110" s="251"/>
    </row>
    <row r="111">
      <c r="A111" s="265"/>
      <c r="B111" s="404"/>
      <c r="C111" s="424"/>
      <c r="D111" s="399"/>
      <c r="E111" s="398"/>
      <c r="F111" s="284"/>
      <c r="G111" s="285"/>
      <c r="H111" s="251"/>
      <c r="I111" s="417"/>
    </row>
    <row r="112">
      <c r="A112" s="265"/>
      <c r="B112" s="404"/>
      <c r="C112" s="405"/>
      <c r="D112" s="399"/>
      <c r="E112" s="398"/>
      <c r="F112" s="284"/>
      <c r="G112" s="285"/>
      <c r="H112" s="251"/>
    </row>
    <row r="113">
      <c r="A113" s="265"/>
      <c r="B113" s="404"/>
      <c r="C113" s="405"/>
      <c r="D113" s="399"/>
      <c r="E113" s="398"/>
      <c r="F113" s="284"/>
      <c r="G113" s="285"/>
      <c r="H113" s="251"/>
    </row>
    <row r="114">
      <c r="A114" s="265"/>
      <c r="B114" s="404"/>
      <c r="C114" s="405"/>
      <c r="D114" s="400"/>
      <c r="E114" s="442"/>
      <c r="F114" s="284"/>
      <c r="G114" s="285"/>
      <c r="H114" s="267"/>
    </row>
    <row r="115">
      <c r="A115" s="265"/>
      <c r="B115" s="404"/>
      <c r="C115" s="424"/>
      <c r="D115" s="399"/>
      <c r="E115" s="442"/>
      <c r="F115" s="284"/>
      <c r="G115" s="285"/>
      <c r="H115" s="251"/>
    </row>
    <row r="116">
      <c r="A116" s="265"/>
      <c r="B116" s="440"/>
      <c r="C116" s="424"/>
      <c r="D116" s="400"/>
      <c r="E116" s="442"/>
      <c r="F116" s="284"/>
      <c r="G116" s="285"/>
      <c r="H116" s="251"/>
    </row>
    <row r="117">
      <c r="A117" s="265"/>
      <c r="B117" s="440"/>
      <c r="C117" s="424"/>
      <c r="D117" s="400"/>
      <c r="E117" s="442"/>
      <c r="F117" s="284"/>
      <c r="G117" s="481"/>
      <c r="H117" s="251"/>
    </row>
    <row r="118">
      <c r="A118" s="265"/>
      <c r="B118" s="480"/>
      <c r="C118" s="424"/>
      <c r="D118" s="400"/>
      <c r="E118" s="442"/>
      <c r="F118" s="284"/>
      <c r="G118" s="481"/>
      <c r="H118" s="251"/>
    </row>
    <row r="119">
      <c r="A119" s="270"/>
      <c r="B119" s="478"/>
      <c r="C119" s="471"/>
      <c r="D119" s="472"/>
      <c r="E119" s="473"/>
      <c r="F119" s="460"/>
      <c r="G119" s="482"/>
      <c r="H119" s="261"/>
    </row>
    <row r="120">
      <c r="A120" s="262" t="s">
        <v>1730</v>
      </c>
      <c r="B120" s="461"/>
      <c r="C120" s="445"/>
      <c r="D120" s="421"/>
      <c r="E120" s="422"/>
      <c r="F120" s="403">
        <v>14100.0</v>
      </c>
      <c r="G120" s="436" t="s">
        <v>1753</v>
      </c>
      <c r="H120" s="245">
        <v>390.0</v>
      </c>
    </row>
    <row r="121">
      <c r="A121" s="265"/>
      <c r="B121" s="404"/>
      <c r="C121" s="405"/>
      <c r="D121" s="399"/>
      <c r="E121" s="398"/>
      <c r="F121" s="284">
        <v>5000.0</v>
      </c>
      <c r="G121" s="285" t="s">
        <v>85</v>
      </c>
      <c r="H121" s="251"/>
    </row>
    <row r="122">
      <c r="A122" s="265"/>
      <c r="B122" s="404"/>
      <c r="C122" s="405"/>
      <c r="D122" s="399"/>
      <c r="E122" s="398"/>
      <c r="F122" s="284"/>
      <c r="G122" s="285"/>
      <c r="H122" s="251"/>
    </row>
    <row r="123">
      <c r="A123" s="265"/>
      <c r="B123" s="419"/>
      <c r="C123" s="434"/>
      <c r="D123" s="414"/>
      <c r="E123" s="417"/>
      <c r="F123" s="418"/>
      <c r="G123" s="420"/>
      <c r="H123" s="251"/>
    </row>
    <row r="124">
      <c r="A124" s="265"/>
      <c r="B124" s="404"/>
      <c r="C124" s="405"/>
      <c r="D124" s="399"/>
      <c r="E124" s="398"/>
      <c r="F124" s="284"/>
      <c r="G124" s="285"/>
      <c r="H124" s="251"/>
    </row>
    <row r="125">
      <c r="A125" s="265"/>
      <c r="B125" s="404"/>
      <c r="C125" s="405"/>
      <c r="D125" s="399"/>
      <c r="E125" s="398"/>
      <c r="F125" s="284"/>
      <c r="G125" s="285"/>
      <c r="H125" s="251"/>
    </row>
    <row r="126">
      <c r="A126" s="265"/>
      <c r="B126" s="404"/>
      <c r="C126" s="405"/>
      <c r="D126" s="399"/>
      <c r="E126" s="442"/>
      <c r="F126" s="284"/>
      <c r="G126" s="285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77"/>
      <c r="C128" s="405"/>
      <c r="D128" s="399"/>
      <c r="E128" s="442"/>
      <c r="F128" s="284"/>
      <c r="G128" s="285"/>
      <c r="H128" s="251"/>
    </row>
    <row r="129">
      <c r="A129" s="265"/>
      <c r="B129" s="404"/>
      <c r="C129" s="424"/>
      <c r="D129" s="399"/>
      <c r="E129" s="442"/>
      <c r="F129" s="284"/>
      <c r="G129" s="442"/>
      <c r="H129" s="251"/>
    </row>
    <row r="130">
      <c r="A130" s="265"/>
      <c r="B130" s="404"/>
      <c r="C130" s="424"/>
      <c r="D130" s="399"/>
      <c r="E130" s="442"/>
      <c r="F130" s="284"/>
      <c r="G130" s="285"/>
      <c r="H130" s="251"/>
    </row>
    <row r="131">
      <c r="A131" s="265"/>
      <c r="B131" s="440"/>
      <c r="C131" s="424"/>
      <c r="D131" s="400"/>
      <c r="E131" s="442"/>
      <c r="F131" s="284"/>
      <c r="G131" s="285"/>
      <c r="H131" s="251"/>
    </row>
    <row r="132">
      <c r="A132" s="265"/>
      <c r="B132" s="440"/>
      <c r="C132" s="424"/>
      <c r="D132" s="400"/>
      <c r="E132" s="442"/>
      <c r="F132" s="463"/>
      <c r="G132" s="481"/>
      <c r="H132" s="251"/>
    </row>
    <row r="133">
      <c r="A133" s="265"/>
      <c r="B133" s="480"/>
      <c r="C133" s="424"/>
      <c r="D133" s="400"/>
      <c r="E133" s="442"/>
      <c r="F133" s="284"/>
      <c r="G133" s="481"/>
      <c r="H133" s="251"/>
    </row>
    <row r="134">
      <c r="A134" s="270"/>
      <c r="B134" s="478"/>
      <c r="C134" s="471"/>
      <c r="D134" s="472"/>
      <c r="E134" s="473"/>
      <c r="F134" s="474"/>
      <c r="G134" s="475"/>
      <c r="H134" s="261"/>
    </row>
    <row r="135">
      <c r="A135" s="262" t="s">
        <v>1238</v>
      </c>
      <c r="B135" s="425">
        <v>27114.0</v>
      </c>
      <c r="C135" s="445"/>
      <c r="D135" s="421"/>
      <c r="E135" s="422"/>
      <c r="F135" s="403"/>
      <c r="G135" s="436" t="s">
        <v>1754</v>
      </c>
      <c r="H135" s="245">
        <v>300.0</v>
      </c>
    </row>
    <row r="136">
      <c r="A136" s="265"/>
      <c r="B136" s="404"/>
      <c r="C136" s="405"/>
      <c r="D136" s="399"/>
      <c r="E136" s="398"/>
      <c r="F136" s="284">
        <v>6000.0</v>
      </c>
      <c r="G136" s="285" t="s">
        <v>1750</v>
      </c>
      <c r="H136" s="267"/>
    </row>
    <row r="137">
      <c r="A137" s="265"/>
      <c r="B137" s="404">
        <v>29230.0</v>
      </c>
      <c r="C137" s="427"/>
      <c r="D137" s="399"/>
      <c r="E137" s="398"/>
      <c r="F137" s="284"/>
      <c r="G137" s="285" t="s">
        <v>1755</v>
      </c>
      <c r="H137" s="251"/>
    </row>
    <row r="138">
      <c r="A138" s="265"/>
      <c r="B138" s="404"/>
      <c r="C138" s="405"/>
      <c r="D138" s="399"/>
      <c r="E138" s="398"/>
      <c r="F138" s="284"/>
      <c r="G138" s="285"/>
      <c r="H138" s="267"/>
    </row>
    <row r="139">
      <c r="A139" s="265"/>
      <c r="B139" s="419"/>
      <c r="C139" s="427"/>
      <c r="D139" s="414"/>
      <c r="E139" s="417"/>
      <c r="F139" s="418"/>
      <c r="G139" s="420"/>
      <c r="H139" s="251"/>
    </row>
    <row r="140">
      <c r="A140" s="265"/>
      <c r="B140" s="419"/>
      <c r="C140" s="427"/>
      <c r="D140" s="414"/>
      <c r="E140" s="417"/>
      <c r="F140" s="418"/>
      <c r="G140" s="420"/>
      <c r="H140" s="251"/>
    </row>
    <row r="141">
      <c r="A141" s="265"/>
      <c r="B141" s="404"/>
      <c r="C141" s="405"/>
      <c r="D141" s="399"/>
      <c r="E141" s="398"/>
      <c r="F141" s="284"/>
      <c r="G141" s="285"/>
      <c r="H141" s="251"/>
    </row>
    <row r="142">
      <c r="A142" s="265"/>
      <c r="B142" s="404"/>
      <c r="C142" s="424"/>
      <c r="D142" s="399"/>
      <c r="E142" s="442"/>
      <c r="F142" s="284"/>
      <c r="G142" s="285"/>
      <c r="H142" s="251"/>
    </row>
    <row r="143">
      <c r="A143" s="265"/>
      <c r="B143" s="404"/>
      <c r="C143" s="424"/>
      <c r="D143" s="399"/>
      <c r="E143" s="398"/>
      <c r="F143" s="284"/>
      <c r="G143" s="285"/>
      <c r="H143" s="251"/>
    </row>
    <row r="144">
      <c r="A144" s="265"/>
      <c r="B144" s="440"/>
      <c r="C144" s="424"/>
      <c r="D144" s="399"/>
      <c r="E144" s="442"/>
      <c r="F144" s="284"/>
      <c r="G144" s="285"/>
      <c r="H144" s="251"/>
    </row>
    <row r="145">
      <c r="A145" s="270"/>
      <c r="B145" s="470"/>
      <c r="C145" s="471"/>
      <c r="D145" s="486"/>
      <c r="E145" s="473"/>
      <c r="F145" s="474"/>
      <c r="G145" s="475"/>
      <c r="H145" s="261"/>
    </row>
    <row r="146">
      <c r="A146" s="262" t="s">
        <v>1239</v>
      </c>
      <c r="B146" s="425"/>
      <c r="C146" s="445"/>
      <c r="D146" s="421"/>
      <c r="E146" s="422"/>
      <c r="F146" s="403">
        <v>1490.0</v>
      </c>
      <c r="G146" s="436" t="s">
        <v>99</v>
      </c>
      <c r="H146" s="245">
        <v>160.0</v>
      </c>
    </row>
    <row r="147">
      <c r="A147" s="265"/>
      <c r="B147" s="404"/>
      <c r="C147" s="487"/>
      <c r="D147" s="399"/>
      <c r="E147" s="398"/>
      <c r="F147" s="284"/>
      <c r="G147" s="285"/>
      <c r="H147" s="267"/>
    </row>
    <row r="148">
      <c r="A148" s="265"/>
      <c r="B148" s="404"/>
      <c r="C148" s="405"/>
      <c r="D148" s="399"/>
      <c r="E148" s="398"/>
      <c r="F148" s="284"/>
      <c r="G148" s="285"/>
      <c r="H148" s="267"/>
    </row>
    <row r="149">
      <c r="A149" s="265"/>
      <c r="B149" s="404"/>
      <c r="C149" s="405"/>
      <c r="D149" s="399"/>
      <c r="E149" s="398"/>
      <c r="F149" s="284"/>
      <c r="G149" s="285"/>
      <c r="H149" s="251"/>
    </row>
    <row r="150">
      <c r="A150" s="265"/>
      <c r="B150" s="404"/>
      <c r="C150" s="405"/>
      <c r="D150" s="399"/>
      <c r="E150" s="285"/>
      <c r="F150" s="284"/>
      <c r="G150" s="285"/>
      <c r="H150" s="251"/>
      <c r="I150" s="254"/>
    </row>
    <row r="151">
      <c r="A151" s="265"/>
      <c r="B151" s="404"/>
      <c r="C151" s="424"/>
      <c r="D151" s="399"/>
      <c r="E151" s="398"/>
      <c r="F151" s="284"/>
      <c r="G151" s="285"/>
      <c r="H151" s="251"/>
    </row>
    <row r="152">
      <c r="A152" s="265"/>
      <c r="B152" s="404"/>
      <c r="C152" s="405"/>
      <c r="D152" s="399"/>
      <c r="E152" s="398"/>
      <c r="F152" s="284"/>
      <c r="G152" s="285"/>
      <c r="H152" s="267"/>
    </row>
    <row r="153">
      <c r="A153" s="265"/>
      <c r="B153" s="404"/>
      <c r="C153" s="424"/>
      <c r="D153" s="400"/>
      <c r="E153" s="398"/>
      <c r="F153" s="284"/>
      <c r="G153" s="285"/>
      <c r="H153" s="251"/>
    </row>
    <row r="154">
      <c r="A154" s="265"/>
      <c r="B154" s="419"/>
      <c r="C154" s="434"/>
      <c r="D154" s="414"/>
      <c r="E154" s="417"/>
      <c r="F154" s="418"/>
      <c r="G154" s="420"/>
      <c r="H154" s="251"/>
    </row>
    <row r="155">
      <c r="A155" s="265"/>
      <c r="B155" s="419"/>
      <c r="C155" s="434"/>
      <c r="D155" s="523"/>
      <c r="E155" s="417"/>
      <c r="F155" s="418"/>
      <c r="G155" s="420"/>
      <c r="H155" s="251"/>
    </row>
    <row r="156">
      <c r="A156" s="265"/>
      <c r="B156" s="404"/>
      <c r="C156" s="424"/>
      <c r="D156" s="400"/>
      <c r="E156" s="442"/>
      <c r="F156" s="284"/>
      <c r="G156" s="285"/>
      <c r="H156" s="251"/>
    </row>
    <row r="157">
      <c r="A157" s="265"/>
      <c r="B157" s="404"/>
      <c r="C157" s="424"/>
      <c r="D157" s="400"/>
      <c r="E157" s="442"/>
      <c r="F157" s="284"/>
      <c r="G157" s="285"/>
      <c r="H157" s="251"/>
    </row>
    <row r="158">
      <c r="A158" s="265"/>
      <c r="B158" s="477"/>
      <c r="C158" s="424"/>
      <c r="D158" s="400"/>
      <c r="E158" s="442"/>
      <c r="F158" s="284"/>
      <c r="G158" s="481"/>
      <c r="H158" s="251"/>
    </row>
    <row r="159">
      <c r="A159" s="265"/>
      <c r="B159" s="477"/>
      <c r="C159" s="424"/>
      <c r="D159" s="400"/>
      <c r="E159" s="442"/>
      <c r="F159" s="284"/>
      <c r="G159" s="481"/>
      <c r="H159" s="251"/>
    </row>
    <row r="160">
      <c r="A160" s="270"/>
      <c r="B160" s="478"/>
      <c r="C160" s="471"/>
      <c r="D160" s="472"/>
      <c r="E160" s="473"/>
      <c r="F160" s="474"/>
      <c r="G160" s="475"/>
      <c r="H160" s="261"/>
    </row>
    <row r="161">
      <c r="A161" s="262" t="s">
        <v>1242</v>
      </c>
      <c r="B161" s="419"/>
      <c r="C161" s="427"/>
      <c r="D161" s="414"/>
      <c r="E161" s="417"/>
      <c r="F161" s="250"/>
      <c r="G161" s="254"/>
      <c r="H161" s="536">
        <v>476.0</v>
      </c>
      <c r="I161" s="2" t="s">
        <v>1756</v>
      </c>
    </row>
    <row r="162">
      <c r="A162" s="265"/>
      <c r="B162" s="404"/>
      <c r="C162" s="405"/>
      <c r="D162" s="399"/>
      <c r="E162" s="398"/>
      <c r="F162" s="284"/>
      <c r="G162" s="285"/>
      <c r="H162" s="286"/>
    </row>
    <row r="163">
      <c r="A163" s="265"/>
      <c r="B163" s="404"/>
      <c r="C163" s="405"/>
      <c r="D163" s="399"/>
      <c r="E163" s="398"/>
      <c r="F163" s="284"/>
      <c r="G163" s="285"/>
      <c r="H163" s="267"/>
    </row>
    <row r="164">
      <c r="A164" s="265"/>
      <c r="B164" s="404"/>
      <c r="C164" s="405"/>
      <c r="D164" s="399"/>
      <c r="E164" s="398"/>
      <c r="F164" s="284"/>
      <c r="G164" s="285"/>
      <c r="H164" s="251"/>
    </row>
    <row r="165">
      <c r="A165" s="265"/>
      <c r="B165" s="419"/>
      <c r="C165" s="427"/>
      <c r="D165" s="414"/>
      <c r="E165" s="417"/>
      <c r="F165" s="418"/>
      <c r="G165" s="420"/>
      <c r="H165" s="267"/>
    </row>
    <row r="166">
      <c r="A166" s="265"/>
      <c r="B166" s="404"/>
      <c r="C166" s="424"/>
      <c r="D166" s="399"/>
      <c r="E166" s="442"/>
      <c r="F166" s="284"/>
      <c r="G166" s="285"/>
      <c r="H166" s="251"/>
    </row>
    <row r="167">
      <c r="A167" s="265"/>
      <c r="B167" s="404"/>
      <c r="C167" s="424"/>
      <c r="D167" s="399"/>
      <c r="E167" s="398"/>
      <c r="F167" s="284"/>
      <c r="G167" s="285"/>
      <c r="H167" s="267"/>
    </row>
    <row r="168">
      <c r="A168" s="265"/>
      <c r="B168" s="404"/>
      <c r="C168" s="424"/>
      <c r="D168" s="399"/>
      <c r="E168" s="442"/>
      <c r="F168" s="284"/>
      <c r="G168" s="285"/>
      <c r="H168" s="251"/>
    </row>
    <row r="169">
      <c r="A169" s="265"/>
      <c r="B169" s="404"/>
      <c r="C169" s="405"/>
      <c r="D169" s="399"/>
      <c r="E169" s="442"/>
      <c r="F169" s="284"/>
      <c r="G169" s="285"/>
      <c r="H169" s="251"/>
    </row>
    <row r="170">
      <c r="A170" s="265"/>
      <c r="B170" s="404"/>
      <c r="C170" s="424"/>
      <c r="D170" s="399"/>
      <c r="E170" s="442"/>
      <c r="F170" s="284"/>
      <c r="G170" s="285"/>
      <c r="H170" s="251"/>
    </row>
    <row r="171">
      <c r="A171" s="265"/>
      <c r="B171" s="404"/>
      <c r="C171" s="424"/>
      <c r="D171" s="399"/>
      <c r="E171" s="442"/>
      <c r="F171" s="284"/>
      <c r="G171" s="285"/>
      <c r="H171" s="251"/>
    </row>
    <row r="172">
      <c r="A172" s="265"/>
      <c r="B172" s="404"/>
      <c r="C172" s="405"/>
      <c r="D172" s="399"/>
      <c r="E172" s="442"/>
      <c r="F172" s="284"/>
      <c r="G172" s="285"/>
      <c r="H172" s="251"/>
    </row>
    <row r="173">
      <c r="A173" s="265"/>
      <c r="B173" s="404"/>
      <c r="C173" s="405"/>
      <c r="D173" s="399"/>
      <c r="E173" s="442"/>
      <c r="F173" s="284"/>
      <c r="G173" s="285"/>
      <c r="H173" s="251"/>
    </row>
    <row r="174">
      <c r="A174" s="265"/>
      <c r="B174" s="404"/>
      <c r="C174" s="424"/>
      <c r="D174" s="399"/>
      <c r="E174" s="442"/>
      <c r="F174" s="284"/>
      <c r="G174" s="285"/>
      <c r="H174" s="251"/>
    </row>
    <row r="175">
      <c r="A175" s="265"/>
      <c r="B175" s="404"/>
      <c r="C175" s="424"/>
      <c r="D175" s="400"/>
      <c r="E175" s="442"/>
      <c r="F175" s="284"/>
      <c r="G175" s="285"/>
      <c r="H175" s="251"/>
    </row>
    <row r="176">
      <c r="A176" s="270"/>
      <c r="B176" s="404"/>
      <c r="C176" s="424"/>
      <c r="D176" s="399"/>
      <c r="E176" s="442"/>
      <c r="F176" s="284"/>
      <c r="G176" s="285"/>
      <c r="H176" s="261"/>
    </row>
    <row r="177">
      <c r="A177" s="262" t="s">
        <v>1244</v>
      </c>
      <c r="B177" s="425"/>
      <c r="C177" s="426"/>
      <c r="D177" s="401"/>
      <c r="E177" s="402"/>
      <c r="F177" s="403">
        <v>3271.32</v>
      </c>
      <c r="G177" s="436" t="s">
        <v>63</v>
      </c>
      <c r="H177" s="245">
        <f>220+270</f>
        <v>490</v>
      </c>
    </row>
    <row r="178">
      <c r="A178" s="265"/>
      <c r="B178" s="404"/>
      <c r="C178" s="405"/>
      <c r="D178" s="399"/>
      <c r="E178" s="442"/>
      <c r="F178" s="284">
        <v>3680.0</v>
      </c>
      <c r="G178" s="285" t="s">
        <v>345</v>
      </c>
      <c r="H178" s="267"/>
    </row>
    <row r="179">
      <c r="A179" s="265"/>
      <c r="B179" s="419"/>
      <c r="C179" s="434"/>
      <c r="D179" s="414"/>
      <c r="E179" s="417"/>
      <c r="F179" s="418"/>
      <c r="G179" s="420"/>
      <c r="H179" s="251"/>
    </row>
    <row r="180">
      <c r="A180" s="265"/>
      <c r="B180" s="404"/>
      <c r="C180" s="405"/>
      <c r="D180" s="399"/>
      <c r="E180" s="398"/>
      <c r="F180" s="284"/>
      <c r="G180" s="285"/>
      <c r="H180" s="251"/>
    </row>
    <row r="181">
      <c r="A181" s="265"/>
      <c r="B181" s="404"/>
      <c r="C181" s="405"/>
      <c r="D181" s="399"/>
      <c r="E181" s="398"/>
      <c r="F181" s="284"/>
      <c r="G181" s="285"/>
      <c r="H181" s="251"/>
    </row>
    <row r="182">
      <c r="A182" s="265"/>
      <c r="B182" s="404"/>
      <c r="C182" s="405"/>
      <c r="D182" s="399"/>
      <c r="E182" s="442"/>
      <c r="F182" s="284"/>
      <c r="G182" s="285"/>
      <c r="H182" s="267"/>
    </row>
    <row r="183">
      <c r="A183" s="265"/>
      <c r="B183" s="404"/>
      <c r="C183" s="405"/>
      <c r="D183" s="399"/>
      <c r="E183" s="442"/>
      <c r="F183" s="284"/>
      <c r="G183" s="488"/>
      <c r="H183" s="251"/>
    </row>
    <row r="184">
      <c r="A184" s="265"/>
      <c r="B184" s="404"/>
      <c r="C184" s="424"/>
      <c r="D184" s="399"/>
      <c r="E184" s="442"/>
      <c r="F184" s="284"/>
      <c r="G184" s="285"/>
      <c r="H184" s="251"/>
    </row>
    <row r="185">
      <c r="A185" s="265"/>
      <c r="B185" s="404"/>
      <c r="C185" s="405"/>
      <c r="D185" s="399"/>
      <c r="E185" s="442"/>
      <c r="F185" s="284"/>
      <c r="G185" s="285"/>
      <c r="H185" s="251"/>
    </row>
    <row r="186">
      <c r="A186" s="265"/>
      <c r="B186" s="404"/>
      <c r="C186" s="405"/>
      <c r="D186" s="400"/>
      <c r="E186" s="442"/>
      <c r="F186" s="284"/>
      <c r="G186" s="285"/>
      <c r="H186" s="251"/>
    </row>
    <row r="187">
      <c r="A187" s="265"/>
      <c r="B187" s="477"/>
      <c r="C187" s="405"/>
      <c r="D187" s="400"/>
      <c r="E187" s="442"/>
      <c r="F187" s="284"/>
      <c r="G187" s="481"/>
      <c r="H187" s="251"/>
    </row>
    <row r="188">
      <c r="A188" s="265"/>
      <c r="B188" s="404"/>
      <c r="C188" s="405"/>
      <c r="D188" s="400"/>
      <c r="E188" s="442"/>
      <c r="F188" s="284"/>
      <c r="G188" s="481"/>
      <c r="H188" s="251"/>
    </row>
    <row r="189">
      <c r="A189" s="265"/>
      <c r="B189" s="480"/>
      <c r="C189" s="424"/>
      <c r="D189" s="400"/>
      <c r="E189" s="442"/>
      <c r="F189" s="284"/>
      <c r="G189" s="481"/>
      <c r="H189" s="251"/>
    </row>
    <row r="190">
      <c r="A190" s="265"/>
      <c r="B190" s="480"/>
      <c r="C190" s="424"/>
      <c r="D190" s="400"/>
      <c r="E190" s="442"/>
      <c r="F190" s="463"/>
      <c r="G190" s="481"/>
      <c r="H190" s="251"/>
    </row>
    <row r="191">
      <c r="A191" s="270"/>
      <c r="B191" s="478"/>
      <c r="C191" s="471"/>
      <c r="D191" s="472"/>
      <c r="E191" s="473"/>
      <c r="F191" s="460"/>
      <c r="G191" s="482"/>
      <c r="H191" s="261"/>
    </row>
    <row r="192">
      <c r="A192" s="262" t="s">
        <v>1246</v>
      </c>
      <c r="B192" s="425"/>
      <c r="C192" s="426"/>
      <c r="D192" s="401"/>
      <c r="E192" s="402"/>
      <c r="F192" s="403">
        <v>2300.0</v>
      </c>
      <c r="G192" s="436" t="s">
        <v>549</v>
      </c>
      <c r="H192" s="245">
        <f>170+100</f>
        <v>270</v>
      </c>
    </row>
    <row r="193">
      <c r="A193" s="265"/>
      <c r="B193" s="404"/>
      <c r="C193" s="405"/>
      <c r="D193" s="399"/>
      <c r="E193" s="398"/>
      <c r="F193" s="284"/>
      <c r="G193" s="285"/>
      <c r="H193" s="267"/>
    </row>
    <row r="194">
      <c r="A194" s="265"/>
      <c r="B194" s="404"/>
      <c r="C194" s="424"/>
      <c r="D194" s="399"/>
      <c r="E194" s="398"/>
      <c r="F194" s="284"/>
      <c r="G194" s="285"/>
      <c r="H194" s="251"/>
    </row>
    <row r="195">
      <c r="A195" s="265"/>
      <c r="B195" s="404"/>
      <c r="C195" s="405"/>
      <c r="D195" s="399"/>
      <c r="E195" s="398"/>
      <c r="F195" s="284"/>
      <c r="G195" s="285"/>
      <c r="H195" s="267"/>
    </row>
    <row r="196">
      <c r="A196" s="265"/>
      <c r="B196" s="404"/>
      <c r="C196" s="405"/>
      <c r="D196" s="399"/>
      <c r="E196" s="398"/>
      <c r="F196" s="284"/>
      <c r="G196" s="285"/>
      <c r="H196" s="251"/>
    </row>
    <row r="197">
      <c r="A197" s="265"/>
      <c r="B197" s="404"/>
      <c r="C197" s="405"/>
      <c r="D197" s="399"/>
      <c r="E197" s="398"/>
      <c r="F197" s="284"/>
      <c r="G197" s="285"/>
      <c r="H197" s="251"/>
    </row>
    <row r="198">
      <c r="A198" s="265"/>
      <c r="B198" s="404"/>
      <c r="C198" s="424"/>
      <c r="D198" s="399"/>
      <c r="E198" s="398"/>
      <c r="F198" s="284"/>
      <c r="G198" s="285"/>
      <c r="H198" s="251"/>
    </row>
    <row r="199">
      <c r="A199" s="265"/>
      <c r="B199" s="404"/>
      <c r="C199" s="424"/>
      <c r="D199" s="400"/>
      <c r="E199" s="398"/>
      <c r="F199" s="284"/>
      <c r="G199" s="285"/>
      <c r="H199" s="251"/>
      <c r="I199" s="269"/>
      <c r="J199" s="269"/>
      <c r="K199" s="269"/>
    </row>
    <row r="200">
      <c r="A200" s="265"/>
      <c r="B200" s="404"/>
      <c r="C200" s="405"/>
      <c r="D200" s="399"/>
      <c r="E200" s="481"/>
      <c r="F200" s="284"/>
      <c r="G200" s="285"/>
      <c r="H200" s="251"/>
      <c r="I200" s="269"/>
      <c r="J200" s="269"/>
      <c r="K200" s="269"/>
    </row>
    <row r="201">
      <c r="A201" s="265"/>
      <c r="B201" s="440"/>
      <c r="C201" s="424"/>
      <c r="D201" s="399"/>
      <c r="E201" s="285"/>
      <c r="F201" s="284"/>
      <c r="G201" s="285"/>
      <c r="H201" s="251"/>
      <c r="I201" s="254"/>
      <c r="J201" s="269"/>
      <c r="K201" s="269"/>
    </row>
    <row r="202">
      <c r="A202" s="265"/>
      <c r="B202" s="440"/>
      <c r="C202" s="424"/>
      <c r="D202" s="400"/>
      <c r="E202" s="481"/>
      <c r="F202" s="463"/>
      <c r="G202" s="285"/>
      <c r="H202" s="251"/>
      <c r="I202" s="269"/>
      <c r="J202" s="269"/>
      <c r="K202" s="269"/>
    </row>
    <row r="203">
      <c r="A203" s="270"/>
      <c r="B203" s="478"/>
      <c r="C203" s="471"/>
      <c r="D203" s="472"/>
      <c r="E203" s="482"/>
      <c r="F203" s="460"/>
      <c r="G203" s="482"/>
      <c r="H203" s="261"/>
      <c r="I203" s="269"/>
      <c r="J203" s="269"/>
      <c r="K203" s="269"/>
    </row>
    <row r="204">
      <c r="A204" s="262" t="s">
        <v>1248</v>
      </c>
      <c r="B204" s="461"/>
      <c r="C204" s="445"/>
      <c r="D204" s="421"/>
      <c r="E204" s="422"/>
      <c r="F204" s="403"/>
      <c r="G204" s="436"/>
      <c r="H204" s="245">
        <f>200+170</f>
        <v>370</v>
      </c>
      <c r="I204" s="254"/>
      <c r="J204" s="254"/>
      <c r="K204" s="254"/>
    </row>
    <row r="205">
      <c r="A205" s="265"/>
      <c r="B205" s="404"/>
      <c r="C205" s="405"/>
      <c r="D205" s="399"/>
      <c r="E205" s="398"/>
      <c r="F205" s="284"/>
      <c r="G205" s="285"/>
      <c r="H205" s="267"/>
      <c r="I205" s="285"/>
      <c r="J205" s="254"/>
      <c r="K205" s="254"/>
    </row>
    <row r="206">
      <c r="A206" s="265"/>
      <c r="B206" s="419"/>
      <c r="C206" s="427"/>
      <c r="D206" s="414"/>
      <c r="E206" s="417"/>
      <c r="F206" s="418"/>
      <c r="G206" s="420"/>
      <c r="H206" s="251"/>
      <c r="I206" s="254"/>
      <c r="J206" s="254"/>
      <c r="K206" s="254"/>
    </row>
    <row r="207">
      <c r="A207" s="265"/>
      <c r="B207" s="404"/>
      <c r="C207" s="405"/>
      <c r="D207" s="414"/>
      <c r="E207" s="417"/>
      <c r="F207" s="418"/>
      <c r="G207" s="420"/>
      <c r="H207" s="267"/>
      <c r="I207" s="254"/>
      <c r="J207" s="269"/>
      <c r="K207" s="269"/>
    </row>
    <row r="208">
      <c r="A208" s="265"/>
      <c r="B208" s="404"/>
      <c r="C208" s="405"/>
      <c r="D208" s="399"/>
      <c r="E208" s="398"/>
      <c r="F208" s="284"/>
      <c r="G208" s="285"/>
      <c r="H208" s="251"/>
      <c r="I208" s="269"/>
      <c r="J208" s="269"/>
      <c r="K208" s="269"/>
    </row>
    <row r="209">
      <c r="A209" s="265"/>
      <c r="B209" s="404"/>
      <c r="C209" s="405"/>
      <c r="D209" s="399"/>
      <c r="E209" s="398"/>
      <c r="F209" s="284"/>
      <c r="G209" s="285"/>
      <c r="H209" s="251"/>
      <c r="I209" s="269"/>
      <c r="J209" s="269"/>
      <c r="K209" s="269"/>
    </row>
    <row r="210">
      <c r="A210" s="265"/>
      <c r="B210" s="404"/>
      <c r="C210" s="424"/>
      <c r="D210" s="399"/>
      <c r="E210" s="398"/>
      <c r="F210" s="284"/>
      <c r="G210" s="285"/>
      <c r="H210" s="267"/>
      <c r="I210" s="254"/>
      <c r="J210" s="269"/>
      <c r="K210" s="269"/>
    </row>
    <row r="211">
      <c r="A211" s="265"/>
      <c r="B211" s="404"/>
      <c r="C211" s="424"/>
      <c r="D211" s="399"/>
      <c r="E211" s="398"/>
      <c r="F211" s="284"/>
      <c r="G211" s="398"/>
      <c r="H211" s="251"/>
      <c r="I211" s="254"/>
      <c r="J211" s="269"/>
      <c r="K211" s="269"/>
    </row>
    <row r="212">
      <c r="A212" s="265"/>
      <c r="B212" s="404"/>
      <c r="C212" s="424"/>
      <c r="D212" s="399"/>
      <c r="E212" s="398"/>
      <c r="F212" s="284"/>
      <c r="G212" s="285"/>
      <c r="H212" s="251"/>
      <c r="I212" s="269"/>
      <c r="J212" s="269"/>
      <c r="K212" s="269"/>
    </row>
    <row r="213">
      <c r="A213" s="265"/>
      <c r="B213" s="404"/>
      <c r="C213" s="424"/>
      <c r="D213" s="400"/>
      <c r="E213" s="442"/>
      <c r="F213" s="284"/>
      <c r="G213" s="285"/>
      <c r="H213" s="251"/>
    </row>
    <row r="214">
      <c r="A214" s="265"/>
      <c r="B214" s="404"/>
      <c r="C214" s="424"/>
      <c r="D214" s="400"/>
      <c r="E214" s="442"/>
      <c r="F214" s="284"/>
      <c r="G214" s="285"/>
      <c r="H214" s="251"/>
    </row>
    <row r="215">
      <c r="A215" s="265"/>
      <c r="B215" s="440"/>
      <c r="C215" s="424"/>
      <c r="D215" s="400"/>
      <c r="E215" s="442"/>
      <c r="F215" s="284"/>
      <c r="G215" s="285"/>
      <c r="H215" s="251"/>
    </row>
    <row r="216">
      <c r="A216" s="265"/>
      <c r="B216" s="480"/>
      <c r="C216" s="424"/>
      <c r="D216" s="400"/>
      <c r="E216" s="442"/>
      <c r="F216" s="463"/>
      <c r="G216" s="481"/>
      <c r="H216" s="251"/>
    </row>
    <row r="217">
      <c r="A217" s="265"/>
      <c r="B217" s="480"/>
      <c r="C217" s="424"/>
      <c r="D217" s="400"/>
      <c r="E217" s="442"/>
      <c r="F217" s="463"/>
      <c r="G217" s="481"/>
      <c r="H217" s="251"/>
    </row>
    <row r="218">
      <c r="A218" s="270"/>
      <c r="B218" s="478"/>
      <c r="C218" s="471"/>
      <c r="D218" s="472"/>
      <c r="E218" s="473"/>
      <c r="F218" s="460"/>
      <c r="G218" s="482"/>
      <c r="H218" s="261"/>
    </row>
    <row r="219">
      <c r="A219" s="262" t="s">
        <v>1251</v>
      </c>
      <c r="B219" s="461"/>
      <c r="C219" s="445"/>
      <c r="D219" s="421"/>
      <c r="E219" s="422"/>
      <c r="F219" s="403"/>
      <c r="G219" s="398"/>
      <c r="H219" s="245">
        <v>290.0</v>
      </c>
    </row>
    <row r="220">
      <c r="A220" s="265"/>
      <c r="B220" s="404"/>
      <c r="C220" s="405"/>
      <c r="D220" s="399"/>
      <c r="E220" s="398"/>
      <c r="F220" s="284"/>
      <c r="G220" s="285"/>
      <c r="H220" s="267"/>
    </row>
    <row r="221">
      <c r="A221" s="265"/>
      <c r="B221" s="404"/>
      <c r="C221" s="405"/>
      <c r="D221" s="399"/>
      <c r="E221" s="398"/>
      <c r="F221" s="284"/>
      <c r="G221" s="285"/>
      <c r="H221" s="251"/>
      <c r="I221" s="2" t="s">
        <v>1757</v>
      </c>
    </row>
    <row r="222">
      <c r="A222" s="265"/>
      <c r="B222" s="404"/>
      <c r="C222" s="405"/>
      <c r="D222" s="399"/>
      <c r="E222" s="398"/>
      <c r="F222" s="284"/>
      <c r="G222" s="285"/>
      <c r="H222" s="251"/>
      <c r="I222" s="2" t="s">
        <v>1758</v>
      </c>
    </row>
    <row r="223">
      <c r="A223" s="265"/>
      <c r="B223" s="419"/>
      <c r="C223" s="434"/>
      <c r="D223" s="414"/>
      <c r="E223" s="417"/>
      <c r="F223" s="284"/>
      <c r="G223" s="285"/>
      <c r="H223" s="267"/>
      <c r="I223" s="2" t="s">
        <v>1759</v>
      </c>
    </row>
    <row r="224">
      <c r="A224" s="265"/>
      <c r="B224" s="404"/>
      <c r="C224" s="405"/>
      <c r="D224" s="399"/>
      <c r="E224" s="398"/>
      <c r="F224" s="284"/>
      <c r="G224" s="285"/>
      <c r="H224" s="267"/>
    </row>
    <row r="225">
      <c r="A225" s="265"/>
      <c r="B225" s="404"/>
      <c r="C225" s="405"/>
      <c r="D225" s="414"/>
      <c r="E225" s="528"/>
      <c r="F225" s="529"/>
      <c r="G225" s="420"/>
      <c r="H225" s="251"/>
    </row>
    <row r="226">
      <c r="A226" s="265"/>
      <c r="B226" s="404"/>
      <c r="C226" s="424"/>
      <c r="D226" s="400"/>
      <c r="E226" s="512"/>
      <c r="F226" s="513"/>
      <c r="G226" s="285"/>
      <c r="H226" s="251"/>
    </row>
    <row r="227">
      <c r="A227" s="265"/>
      <c r="B227" s="404"/>
      <c r="C227" s="424"/>
      <c r="D227" s="399"/>
      <c r="E227" s="398"/>
      <c r="F227" s="284"/>
      <c r="G227" s="285"/>
      <c r="H227" s="251"/>
    </row>
    <row r="228">
      <c r="A228" s="265"/>
      <c r="B228" s="404"/>
      <c r="C228" s="424"/>
      <c r="D228" s="400"/>
      <c r="E228" s="442"/>
      <c r="F228" s="284"/>
      <c r="G228" s="285"/>
      <c r="H228" s="251"/>
    </row>
    <row r="229">
      <c r="A229" s="265"/>
      <c r="B229" s="480"/>
      <c r="C229" s="424"/>
      <c r="D229" s="400"/>
      <c r="E229" s="442"/>
      <c r="F229" s="284"/>
      <c r="G229" s="285"/>
      <c r="H229" s="251"/>
    </row>
    <row r="230">
      <c r="A230" s="265"/>
      <c r="B230" s="480"/>
      <c r="C230" s="424"/>
      <c r="D230" s="400"/>
      <c r="E230" s="442"/>
      <c r="F230" s="284"/>
      <c r="G230" s="481"/>
      <c r="H230" s="251"/>
    </row>
    <row r="231">
      <c r="A231" s="265"/>
      <c r="B231" s="480"/>
      <c r="C231" s="424"/>
      <c r="D231" s="400"/>
      <c r="E231" s="442"/>
      <c r="F231" s="284"/>
      <c r="G231" s="481"/>
      <c r="H231" s="251"/>
    </row>
    <row r="232">
      <c r="A232" s="270"/>
      <c r="B232" s="478"/>
      <c r="C232" s="471"/>
      <c r="D232" s="472"/>
      <c r="E232" s="473"/>
      <c r="F232" s="460"/>
      <c r="G232" s="482"/>
      <c r="H232" s="261"/>
    </row>
    <row r="233">
      <c r="A233" s="262" t="s">
        <v>1252</v>
      </c>
      <c r="B233" s="425">
        <v>34000.0</v>
      </c>
      <c r="C233" s="426"/>
      <c r="D233" s="421"/>
      <c r="E233" s="402"/>
      <c r="F233" s="403"/>
      <c r="G233" s="436" t="s">
        <v>1760</v>
      </c>
      <c r="H233" s="245">
        <f>270+140</f>
        <v>410</v>
      </c>
    </row>
    <row r="234">
      <c r="A234" s="265"/>
      <c r="B234" s="404"/>
      <c r="C234" s="405"/>
      <c r="D234" s="399"/>
      <c r="E234" s="398"/>
      <c r="F234" s="284"/>
      <c r="G234" s="285"/>
      <c r="H234" s="251"/>
    </row>
    <row r="235">
      <c r="A235" s="265"/>
      <c r="B235" s="404"/>
      <c r="C235" s="427"/>
      <c r="D235" s="399"/>
      <c r="E235" s="398"/>
      <c r="F235" s="284"/>
      <c r="G235" s="285"/>
      <c r="H235" s="267"/>
    </row>
    <row r="236">
      <c r="A236" s="265"/>
      <c r="B236" s="419"/>
      <c r="C236" s="427"/>
      <c r="D236" s="414"/>
      <c r="E236" s="417"/>
      <c r="F236" s="418"/>
      <c r="G236" s="420"/>
      <c r="H236" s="267"/>
    </row>
    <row r="237">
      <c r="A237" s="265"/>
      <c r="B237" s="419"/>
      <c r="C237" s="427"/>
      <c r="D237" s="414"/>
      <c r="E237" s="417"/>
      <c r="F237" s="418"/>
      <c r="G237" s="420"/>
      <c r="H237" s="251"/>
    </row>
    <row r="238">
      <c r="A238" s="265"/>
      <c r="B238" s="404"/>
      <c r="C238" s="405"/>
      <c r="D238" s="399"/>
      <c r="E238" s="442"/>
      <c r="F238" s="284"/>
      <c r="G238" s="285"/>
      <c r="H238" s="251"/>
    </row>
    <row r="239">
      <c r="A239" s="265"/>
      <c r="B239" s="404"/>
      <c r="C239" s="424"/>
      <c r="D239" s="399"/>
      <c r="E239" s="442"/>
      <c r="F239" s="284"/>
      <c r="G239" s="285"/>
      <c r="H239" s="251"/>
    </row>
    <row r="240">
      <c r="A240" s="265"/>
      <c r="B240" s="404"/>
      <c r="C240" s="405"/>
      <c r="D240" s="400"/>
      <c r="E240" s="442"/>
      <c r="F240" s="284"/>
      <c r="G240" s="285"/>
      <c r="H240" s="267"/>
    </row>
    <row r="241">
      <c r="A241" s="265"/>
      <c r="B241" s="404"/>
      <c r="C241" s="424"/>
      <c r="D241" s="400"/>
      <c r="E241" s="442"/>
      <c r="F241" s="284"/>
      <c r="G241" s="285"/>
      <c r="H241" s="251"/>
    </row>
    <row r="242">
      <c r="A242" s="265"/>
      <c r="B242" s="404"/>
      <c r="C242" s="424"/>
      <c r="D242" s="399"/>
      <c r="E242" s="398"/>
      <c r="F242" s="284"/>
      <c r="G242" s="285"/>
      <c r="H242" s="251"/>
    </row>
    <row r="243">
      <c r="A243" s="265"/>
      <c r="B243" s="404"/>
      <c r="C243" s="424"/>
      <c r="D243" s="399"/>
      <c r="E243" s="442"/>
      <c r="F243" s="284"/>
      <c r="G243" s="285"/>
      <c r="H243" s="267"/>
    </row>
    <row r="244">
      <c r="A244" s="265"/>
      <c r="B244" s="477"/>
      <c r="C244" s="424"/>
      <c r="D244" s="399"/>
      <c r="E244" s="442"/>
      <c r="F244" s="284"/>
      <c r="G244" s="285"/>
      <c r="H244" s="251"/>
    </row>
    <row r="245">
      <c r="A245" s="265"/>
      <c r="B245" s="477"/>
      <c r="C245" s="424"/>
      <c r="D245" s="400"/>
      <c r="E245" s="442"/>
      <c r="F245" s="284"/>
      <c r="G245" s="285"/>
      <c r="H245" s="251"/>
    </row>
    <row r="246">
      <c r="A246" s="265"/>
      <c r="B246" s="477"/>
      <c r="C246" s="424"/>
      <c r="D246" s="400"/>
      <c r="E246" s="442"/>
      <c r="F246" s="284"/>
      <c r="G246" s="285"/>
      <c r="H246" s="251"/>
    </row>
    <row r="247">
      <c r="A247" s="270"/>
      <c r="B247" s="478"/>
      <c r="C247" s="471"/>
      <c r="D247" s="472"/>
      <c r="E247" s="473"/>
      <c r="F247" s="474"/>
      <c r="G247" s="475"/>
      <c r="H247" s="261"/>
    </row>
    <row r="248">
      <c r="A248" s="262" t="s">
        <v>1761</v>
      </c>
      <c r="B248" s="425"/>
      <c r="C248" s="426"/>
      <c r="D248" s="399"/>
      <c r="E248" s="398"/>
      <c r="F248" s="284">
        <v>5490.0</v>
      </c>
      <c r="G248" s="285" t="s">
        <v>1762</v>
      </c>
      <c r="H248" s="245">
        <v>290.0</v>
      </c>
      <c r="I248" s="2" t="s">
        <v>1352</v>
      </c>
    </row>
    <row r="249">
      <c r="A249" s="265"/>
      <c r="B249" s="404"/>
      <c r="C249" s="405"/>
      <c r="D249" s="399"/>
      <c r="E249" s="398"/>
      <c r="F249" s="284"/>
      <c r="G249" s="285"/>
      <c r="H249" s="267"/>
    </row>
    <row r="250">
      <c r="A250" s="265"/>
      <c r="B250" s="404"/>
      <c r="C250" s="405"/>
      <c r="D250" s="399"/>
      <c r="E250" s="398"/>
      <c r="F250" s="284"/>
      <c r="G250" s="285"/>
      <c r="H250" s="267">
        <v>210.0</v>
      </c>
      <c r="I250" s="2" t="s">
        <v>1342</v>
      </c>
    </row>
    <row r="251">
      <c r="A251" s="265"/>
      <c r="B251" s="404"/>
      <c r="C251" s="405"/>
      <c r="D251" s="399"/>
      <c r="E251" s="398"/>
      <c r="F251" s="284"/>
      <c r="G251" s="285"/>
      <c r="H251" s="251"/>
    </row>
    <row r="252">
      <c r="A252" s="265"/>
      <c r="B252" s="404"/>
      <c r="C252" s="405"/>
      <c r="D252" s="399"/>
      <c r="E252" s="398"/>
      <c r="F252" s="284"/>
      <c r="G252" s="285"/>
      <c r="H252" s="251"/>
    </row>
    <row r="253">
      <c r="A253" s="265"/>
      <c r="B253" s="404"/>
      <c r="C253" s="405"/>
      <c r="D253" s="399"/>
      <c r="E253" s="442"/>
      <c r="F253" s="284"/>
      <c r="G253" s="285"/>
      <c r="H253" s="251"/>
    </row>
    <row r="254">
      <c r="A254" s="265"/>
      <c r="B254" s="404"/>
      <c r="C254" s="405"/>
      <c r="D254" s="399"/>
      <c r="E254" s="442"/>
      <c r="F254" s="284"/>
      <c r="G254" s="285"/>
      <c r="H254" s="267"/>
    </row>
    <row r="255">
      <c r="A255" s="265"/>
      <c r="B255" s="404"/>
      <c r="C255" s="405"/>
      <c r="D255" s="399"/>
      <c r="E255" s="442"/>
      <c r="F255" s="284"/>
      <c r="G255" s="285"/>
      <c r="H255" s="267"/>
    </row>
    <row r="256">
      <c r="A256" s="265"/>
      <c r="B256" s="404"/>
      <c r="C256" s="424"/>
      <c r="D256" s="399"/>
      <c r="E256" s="442"/>
      <c r="F256" s="284"/>
      <c r="G256" s="285"/>
      <c r="H256" s="267"/>
    </row>
    <row r="257">
      <c r="A257" s="265"/>
      <c r="B257" s="404"/>
      <c r="C257" s="424"/>
      <c r="D257" s="489"/>
      <c r="E257" s="490"/>
      <c r="F257" s="451"/>
      <c r="G257" s="435"/>
      <c r="H257" s="251"/>
    </row>
    <row r="258">
      <c r="A258" s="265"/>
      <c r="B258" s="404"/>
      <c r="C258" s="424"/>
      <c r="D258" s="400"/>
      <c r="E258" s="442"/>
      <c r="F258" s="284"/>
      <c r="G258" s="285"/>
      <c r="H258" s="251"/>
    </row>
    <row r="259">
      <c r="A259" s="265"/>
      <c r="B259" s="477"/>
      <c r="C259" s="424"/>
      <c r="D259" s="400"/>
      <c r="E259" s="442"/>
      <c r="F259" s="284"/>
      <c r="G259" s="481"/>
      <c r="H259" s="251"/>
    </row>
    <row r="260">
      <c r="A260" s="270"/>
      <c r="B260" s="478"/>
      <c r="C260" s="471"/>
      <c r="D260" s="472"/>
      <c r="E260" s="473"/>
      <c r="F260" s="474"/>
      <c r="G260" s="475"/>
      <c r="H260" s="261"/>
    </row>
    <row r="261">
      <c r="A261" s="262" t="s">
        <v>1255</v>
      </c>
      <c r="B261" s="461"/>
      <c r="C261" s="445"/>
      <c r="D261" s="414"/>
      <c r="E261" s="417"/>
      <c r="F261" s="284"/>
      <c r="G261" s="285"/>
      <c r="H261" s="245">
        <v>390.0</v>
      </c>
    </row>
    <row r="262">
      <c r="A262" s="265"/>
      <c r="B262" s="404"/>
      <c r="C262" s="405"/>
      <c r="D262" s="399"/>
      <c r="E262" s="398"/>
      <c r="F262" s="284"/>
      <c r="G262" s="285"/>
      <c r="H262" s="267"/>
      <c r="I262" s="417"/>
    </row>
    <row r="263">
      <c r="A263" s="265"/>
      <c r="B263" s="419"/>
      <c r="C263" s="427"/>
      <c r="D263" s="414"/>
      <c r="E263" s="417"/>
      <c r="F263" s="418"/>
      <c r="G263" s="420"/>
      <c r="H263" s="267"/>
    </row>
    <row r="264">
      <c r="A264" s="265"/>
      <c r="B264" s="404"/>
      <c r="C264" s="405"/>
      <c r="D264" s="414"/>
      <c r="E264" s="417"/>
      <c r="F264" s="284"/>
      <c r="G264" s="285"/>
      <c r="H264" s="251"/>
      <c r="I264" s="417"/>
    </row>
    <row r="265">
      <c r="A265" s="265"/>
      <c r="B265" s="404"/>
      <c r="C265" s="405"/>
      <c r="D265" s="414"/>
      <c r="E265" s="417"/>
      <c r="F265" s="284"/>
      <c r="G265" s="285"/>
      <c r="H265" s="251"/>
    </row>
    <row r="266">
      <c r="A266" s="265"/>
      <c r="B266" s="404"/>
      <c r="C266" s="405"/>
      <c r="D266" s="399"/>
      <c r="E266" s="398"/>
      <c r="F266" s="284"/>
      <c r="G266" s="285"/>
      <c r="H266" s="251"/>
    </row>
    <row r="267">
      <c r="A267" s="265"/>
      <c r="B267" s="419"/>
      <c r="C267" s="427"/>
      <c r="D267" s="414"/>
      <c r="E267" s="417"/>
      <c r="F267" s="418"/>
      <c r="G267" s="420"/>
      <c r="H267" s="251"/>
      <c r="I267" s="4"/>
    </row>
    <row r="268">
      <c r="A268" s="265"/>
      <c r="B268" s="404"/>
      <c r="C268" s="405"/>
      <c r="D268" s="399"/>
      <c r="E268" s="442"/>
      <c r="F268" s="284"/>
      <c r="G268" s="285"/>
      <c r="H268" s="251"/>
      <c r="I268" s="4"/>
      <c r="J268" s="4"/>
      <c r="K268" s="4"/>
    </row>
    <row r="269">
      <c r="A269" s="265"/>
      <c r="B269" s="404"/>
      <c r="C269" s="424"/>
      <c r="D269" s="399"/>
      <c r="E269" s="442"/>
      <c r="F269" s="284"/>
      <c r="G269" s="285"/>
      <c r="H269" s="251"/>
    </row>
    <row r="270">
      <c r="A270" s="265"/>
      <c r="B270" s="404"/>
      <c r="C270" s="424"/>
      <c r="D270" s="399"/>
      <c r="E270" s="442"/>
      <c r="F270" s="284"/>
      <c r="G270" s="285"/>
      <c r="H270" s="251"/>
    </row>
    <row r="271">
      <c r="A271" s="265"/>
      <c r="B271" s="404"/>
      <c r="C271" s="424"/>
      <c r="D271" s="400"/>
      <c r="E271" s="442"/>
      <c r="F271" s="284"/>
      <c r="G271" s="285"/>
      <c r="H271" s="251"/>
    </row>
    <row r="272">
      <c r="A272" s="265"/>
      <c r="B272" s="477"/>
      <c r="C272" s="424"/>
      <c r="D272" s="400"/>
      <c r="E272" s="442"/>
      <c r="F272" s="284"/>
      <c r="G272" s="285"/>
      <c r="H272" s="251"/>
    </row>
    <row r="273">
      <c r="A273" s="265"/>
      <c r="B273" s="477"/>
      <c r="C273" s="424"/>
      <c r="D273" s="400"/>
      <c r="E273" s="442"/>
      <c r="F273" s="284"/>
      <c r="G273" s="285"/>
      <c r="H273" s="251"/>
    </row>
    <row r="274">
      <c r="A274" s="265"/>
      <c r="B274" s="480"/>
      <c r="C274" s="424"/>
      <c r="D274" s="400"/>
      <c r="E274" s="442"/>
      <c r="F274" s="284"/>
      <c r="G274" s="285"/>
      <c r="H274" s="251"/>
    </row>
    <row r="275">
      <c r="A275" s="265"/>
      <c r="B275" s="480"/>
      <c r="C275" s="424"/>
      <c r="D275" s="400"/>
      <c r="E275" s="442"/>
      <c r="F275" s="463"/>
      <c r="G275" s="481"/>
      <c r="H275" s="251"/>
    </row>
    <row r="276">
      <c r="A276" s="270"/>
      <c r="B276" s="478"/>
      <c r="C276" s="471"/>
      <c r="D276" s="472"/>
      <c r="E276" s="473"/>
      <c r="F276" s="460"/>
      <c r="G276" s="482"/>
      <c r="H276" s="261"/>
    </row>
    <row r="277">
      <c r="A277" s="262" t="s">
        <v>1256</v>
      </c>
      <c r="B277" s="425">
        <v>6330.0</v>
      </c>
      <c r="C277" s="426"/>
      <c r="D277" s="401"/>
      <c r="E277" s="402"/>
      <c r="F277" s="403"/>
      <c r="G277" s="436" t="s">
        <v>97</v>
      </c>
      <c r="H277" s="245"/>
      <c r="I277" s="2" t="s">
        <v>1763</v>
      </c>
    </row>
    <row r="278">
      <c r="A278" s="265"/>
      <c r="B278" s="404">
        <v>63000.0</v>
      </c>
      <c r="C278" s="405"/>
      <c r="D278" s="399"/>
      <c r="E278" s="398"/>
      <c r="F278" s="284"/>
      <c r="G278" s="285" t="s">
        <v>1764</v>
      </c>
      <c r="H278" s="267"/>
    </row>
    <row r="279">
      <c r="A279" s="265"/>
      <c r="B279" s="404"/>
      <c r="C279" s="427"/>
      <c r="D279" s="414"/>
      <c r="E279" s="417"/>
      <c r="F279" s="284">
        <v>2339.0</v>
      </c>
      <c r="G279" s="285" t="s">
        <v>147</v>
      </c>
      <c r="H279" s="251"/>
    </row>
    <row r="280">
      <c r="A280" s="265"/>
      <c r="B280" s="419"/>
      <c r="C280" s="427"/>
      <c r="D280" s="414"/>
      <c r="E280" s="417"/>
      <c r="F280" s="418"/>
      <c r="G280" s="420"/>
      <c r="H280" s="251"/>
    </row>
    <row r="281">
      <c r="A281" s="265"/>
      <c r="B281" s="419"/>
      <c r="C281" s="434"/>
      <c r="D281" s="414"/>
      <c r="E281" s="417"/>
      <c r="F281" s="418"/>
      <c r="G281" s="420"/>
      <c r="H281" s="251"/>
    </row>
    <row r="282">
      <c r="A282" s="265"/>
      <c r="B282" s="404"/>
      <c r="C282" s="405"/>
      <c r="D282" s="399"/>
      <c r="E282" s="398"/>
      <c r="F282" s="284"/>
      <c r="G282" s="285"/>
      <c r="H282" s="267"/>
    </row>
    <row r="283">
      <c r="A283" s="265"/>
      <c r="B283" s="419"/>
      <c r="C283" s="427"/>
      <c r="D283" s="414"/>
      <c r="E283" s="417"/>
      <c r="F283" s="418"/>
      <c r="G283" s="420"/>
      <c r="H283" s="267"/>
    </row>
    <row r="284">
      <c r="A284" s="265"/>
      <c r="B284" s="404"/>
      <c r="C284" s="405"/>
      <c r="D284" s="399"/>
      <c r="E284" s="398"/>
      <c r="F284" s="284"/>
      <c r="G284" s="285"/>
      <c r="H284" s="267"/>
    </row>
    <row r="285">
      <c r="A285" s="265"/>
      <c r="B285" s="404"/>
      <c r="C285" s="424"/>
      <c r="D285" s="399"/>
      <c r="E285" s="398"/>
      <c r="F285" s="284"/>
      <c r="G285" s="285"/>
      <c r="H285" s="267"/>
    </row>
    <row r="286">
      <c r="A286" s="265"/>
      <c r="B286" s="477"/>
      <c r="C286" s="424"/>
      <c r="D286" s="399"/>
      <c r="E286" s="442"/>
      <c r="F286" s="284"/>
      <c r="G286" s="285"/>
      <c r="H286" s="267"/>
    </row>
    <row r="287">
      <c r="A287" s="265"/>
      <c r="B287" s="477"/>
      <c r="C287" s="424"/>
      <c r="D287" s="400"/>
      <c r="E287" s="442"/>
      <c r="F287" s="284"/>
      <c r="G287" s="285"/>
      <c r="H287" s="251"/>
    </row>
    <row r="288">
      <c r="A288" s="265"/>
      <c r="B288" s="477"/>
      <c r="C288" s="424"/>
      <c r="D288" s="400"/>
      <c r="E288" s="442"/>
      <c r="F288" s="284"/>
      <c r="G288" s="285"/>
      <c r="H288" s="251"/>
    </row>
    <row r="289">
      <c r="A289" s="265"/>
      <c r="B289" s="477"/>
      <c r="C289" s="424"/>
      <c r="D289" s="400"/>
      <c r="E289" s="442"/>
      <c r="F289" s="284"/>
      <c r="G289" s="285"/>
      <c r="H289" s="251"/>
    </row>
    <row r="290">
      <c r="A290" s="265"/>
      <c r="B290" s="477"/>
      <c r="C290" s="424"/>
      <c r="D290" s="400"/>
      <c r="E290" s="442"/>
      <c r="F290" s="284"/>
      <c r="G290" s="481"/>
      <c r="H290" s="251"/>
    </row>
    <row r="291">
      <c r="A291" s="270"/>
      <c r="B291" s="478"/>
      <c r="C291" s="471"/>
      <c r="D291" s="472"/>
      <c r="E291" s="473"/>
      <c r="F291" s="460"/>
      <c r="G291" s="482"/>
      <c r="H291" s="261"/>
    </row>
    <row r="292">
      <c r="A292" s="262" t="s">
        <v>1260</v>
      </c>
      <c r="B292" s="461"/>
      <c r="C292" s="445"/>
      <c r="D292" s="421"/>
      <c r="E292" s="422"/>
      <c r="F292" s="418"/>
      <c r="G292" s="420"/>
      <c r="H292" s="245">
        <v>49.0</v>
      </c>
      <c r="I292" s="2" t="s">
        <v>1765</v>
      </c>
    </row>
    <row r="293">
      <c r="A293" s="265"/>
      <c r="B293" s="419"/>
      <c r="C293" s="427"/>
      <c r="D293" s="414"/>
      <c r="E293" s="417"/>
      <c r="F293" s="418"/>
      <c r="G293" s="420"/>
      <c r="H293" s="267"/>
      <c r="I293" s="2" t="s">
        <v>1766</v>
      </c>
    </row>
    <row r="294">
      <c r="A294" s="265"/>
      <c r="B294" s="419"/>
      <c r="C294" s="427"/>
      <c r="D294" s="414"/>
      <c r="E294" s="417"/>
      <c r="F294" s="418"/>
      <c r="G294" s="420"/>
      <c r="H294" s="251"/>
      <c r="I294" s="491"/>
    </row>
    <row r="295">
      <c r="A295" s="265"/>
      <c r="B295" s="419"/>
      <c r="C295" s="427"/>
      <c r="D295" s="414"/>
      <c r="E295" s="417"/>
      <c r="F295" s="418"/>
      <c r="G295" s="420"/>
      <c r="H295" s="251"/>
    </row>
    <row r="296">
      <c r="A296" s="265"/>
      <c r="B296" s="419"/>
      <c r="C296" s="427"/>
      <c r="D296" s="414"/>
      <c r="E296" s="417"/>
      <c r="F296" s="418"/>
      <c r="G296" s="420"/>
      <c r="H296" s="267"/>
    </row>
    <row r="297">
      <c r="A297" s="265"/>
      <c r="B297" s="404"/>
      <c r="C297" s="405"/>
      <c r="D297" s="399"/>
      <c r="E297" s="442"/>
      <c r="F297" s="284"/>
      <c r="G297" s="285"/>
      <c r="H297" s="267"/>
    </row>
    <row r="298">
      <c r="A298" s="265"/>
      <c r="B298" s="404"/>
      <c r="C298" s="424"/>
      <c r="D298" s="399"/>
      <c r="E298" s="398"/>
      <c r="F298" s="284"/>
      <c r="G298" s="285"/>
      <c r="H298" s="251"/>
    </row>
    <row r="299">
      <c r="A299" s="265"/>
      <c r="B299" s="419"/>
      <c r="C299" s="427"/>
      <c r="D299" s="414"/>
      <c r="E299" s="417"/>
      <c r="F299" s="418"/>
      <c r="G299" s="420"/>
      <c r="H299" s="251"/>
    </row>
    <row r="300">
      <c r="A300" s="265"/>
      <c r="B300" s="477"/>
      <c r="C300" s="424"/>
      <c r="D300" s="400"/>
      <c r="E300" s="442"/>
      <c r="F300" s="284"/>
      <c r="G300" s="285"/>
      <c r="H300" s="251"/>
    </row>
    <row r="301">
      <c r="A301" s="265"/>
      <c r="B301" s="477"/>
      <c r="C301" s="424"/>
      <c r="D301" s="400"/>
      <c r="E301" s="442"/>
      <c r="F301" s="284"/>
      <c r="G301" s="285"/>
      <c r="H301" s="251"/>
    </row>
    <row r="302">
      <c r="A302" s="265"/>
      <c r="B302" s="404"/>
      <c r="C302" s="424"/>
      <c r="D302" s="400"/>
      <c r="E302" s="442"/>
      <c r="F302" s="284"/>
      <c r="G302" s="285"/>
      <c r="H302" s="251"/>
    </row>
    <row r="303">
      <c r="A303" s="265"/>
      <c r="B303" s="404"/>
      <c r="C303" s="424"/>
      <c r="D303" s="400"/>
      <c r="E303" s="442"/>
      <c r="F303" s="284"/>
      <c r="G303" s="285"/>
      <c r="H303" s="251"/>
    </row>
    <row r="304">
      <c r="A304" s="265"/>
      <c r="B304" s="477"/>
      <c r="C304" s="424"/>
      <c r="D304" s="400"/>
      <c r="E304" s="442"/>
      <c r="F304" s="284"/>
      <c r="G304" s="285"/>
      <c r="H304" s="251"/>
    </row>
    <row r="305">
      <c r="A305" s="265"/>
      <c r="B305" s="477"/>
      <c r="C305" s="424"/>
      <c r="D305" s="400"/>
      <c r="E305" s="442"/>
      <c r="F305" s="284"/>
      <c r="G305" s="481"/>
      <c r="H305" s="251"/>
    </row>
    <row r="306">
      <c r="A306" s="270"/>
      <c r="B306" s="478"/>
      <c r="C306" s="471"/>
      <c r="D306" s="472"/>
      <c r="E306" s="473"/>
      <c r="F306" s="460"/>
      <c r="G306" s="473"/>
      <c r="H306" s="261"/>
    </row>
    <row r="307">
      <c r="A307" s="262" t="s">
        <v>1263</v>
      </c>
      <c r="B307" s="461"/>
      <c r="C307" s="445"/>
      <c r="D307" s="421"/>
      <c r="E307" s="422"/>
      <c r="F307" s="403"/>
      <c r="G307" s="402"/>
      <c r="H307" s="245">
        <v>410.0</v>
      </c>
    </row>
    <row r="308">
      <c r="A308" s="265"/>
      <c r="B308" s="419"/>
      <c r="C308" s="427"/>
      <c r="D308" s="414"/>
      <c r="E308" s="417"/>
      <c r="F308" s="418"/>
      <c r="G308" s="417"/>
      <c r="H308" s="267"/>
    </row>
    <row r="309">
      <c r="A309" s="265"/>
      <c r="B309" s="404"/>
      <c r="C309" s="405"/>
      <c r="D309" s="399"/>
      <c r="E309" s="398"/>
      <c r="F309" s="284"/>
      <c r="G309" s="398"/>
      <c r="H309" s="251"/>
    </row>
    <row r="310">
      <c r="A310" s="265"/>
      <c r="B310" s="404"/>
      <c r="C310" s="405"/>
      <c r="D310" s="399"/>
      <c r="E310" s="398"/>
      <c r="F310" s="284"/>
      <c r="G310" s="398"/>
      <c r="H310" s="251"/>
    </row>
    <row r="311">
      <c r="A311" s="265"/>
      <c r="B311" s="404"/>
      <c r="C311" s="405"/>
      <c r="D311" s="399"/>
      <c r="E311" s="398"/>
      <c r="F311" s="284"/>
      <c r="G311" s="398"/>
      <c r="H311" s="251"/>
    </row>
    <row r="312">
      <c r="A312" s="265"/>
      <c r="B312" s="404"/>
      <c r="C312" s="405"/>
      <c r="D312" s="399"/>
      <c r="E312" s="398"/>
      <c r="F312" s="284"/>
      <c r="G312" s="398"/>
      <c r="H312" s="251"/>
    </row>
    <row r="313">
      <c r="A313" s="265"/>
      <c r="B313" s="404"/>
      <c r="C313" s="405"/>
      <c r="D313" s="399"/>
      <c r="E313" s="398"/>
      <c r="F313" s="284"/>
      <c r="G313" s="398"/>
      <c r="H313" s="251"/>
    </row>
    <row r="314">
      <c r="A314" s="265"/>
      <c r="B314" s="419"/>
      <c r="C314" s="434"/>
      <c r="D314" s="414"/>
      <c r="E314" s="417"/>
      <c r="F314" s="418"/>
      <c r="G314" s="417"/>
      <c r="H314" s="251"/>
    </row>
    <row r="315">
      <c r="A315" s="265"/>
      <c r="B315" s="419"/>
      <c r="C315" s="434"/>
      <c r="D315" s="523"/>
      <c r="E315" s="417"/>
      <c r="F315" s="418"/>
      <c r="G315" s="417"/>
      <c r="H315" s="251"/>
    </row>
    <row r="316">
      <c r="A316" s="265"/>
      <c r="B316" s="404"/>
      <c r="C316" s="424"/>
      <c r="D316" s="399"/>
      <c r="E316" s="442"/>
      <c r="F316" s="284"/>
      <c r="G316" s="442"/>
      <c r="H316" s="251"/>
    </row>
    <row r="317">
      <c r="A317" s="265"/>
      <c r="B317" s="404"/>
      <c r="C317" s="424"/>
      <c r="D317" s="400"/>
      <c r="E317" s="442"/>
      <c r="F317" s="284"/>
      <c r="G317" s="442"/>
      <c r="H317" s="251"/>
    </row>
    <row r="318">
      <c r="A318" s="265"/>
      <c r="B318" s="404"/>
      <c r="C318" s="424"/>
      <c r="D318" s="400"/>
      <c r="E318" s="442"/>
      <c r="F318" s="284"/>
      <c r="G318" s="442"/>
      <c r="H318" s="251"/>
    </row>
    <row r="319">
      <c r="A319" s="265"/>
      <c r="B319" s="404"/>
      <c r="C319" s="424"/>
      <c r="D319" s="399"/>
      <c r="E319" s="442"/>
      <c r="F319" s="284"/>
      <c r="G319" s="442"/>
      <c r="H319" s="251"/>
    </row>
    <row r="320">
      <c r="A320" s="270"/>
      <c r="B320" s="478"/>
      <c r="C320" s="471"/>
      <c r="D320" s="472"/>
      <c r="E320" s="473"/>
      <c r="F320" s="474"/>
      <c r="G320" s="492"/>
      <c r="H320" s="261"/>
    </row>
    <row r="321">
      <c r="A321" s="262" t="s">
        <v>1265</v>
      </c>
      <c r="B321" s="425"/>
      <c r="C321" s="426"/>
      <c r="D321" s="401"/>
      <c r="E321" s="402"/>
      <c r="F321" s="403"/>
      <c r="G321" s="402"/>
      <c r="H321" s="245">
        <f>110+200</f>
        <v>310</v>
      </c>
      <c r="I321" s="2" t="s">
        <v>1767</v>
      </c>
    </row>
    <row r="322">
      <c r="A322" s="265"/>
      <c r="B322" s="404"/>
      <c r="C322" s="405"/>
      <c r="D322" s="399"/>
      <c r="E322" s="398"/>
      <c r="F322" s="284"/>
      <c r="G322" s="398"/>
      <c r="H322" s="267"/>
    </row>
    <row r="323">
      <c r="A323" s="265"/>
      <c r="B323" s="404"/>
      <c r="C323" s="405"/>
      <c r="D323" s="399"/>
      <c r="E323" s="398"/>
      <c r="F323" s="284"/>
      <c r="G323" s="398"/>
      <c r="H323" s="267"/>
    </row>
    <row r="324">
      <c r="A324" s="265"/>
      <c r="B324" s="419"/>
      <c r="C324" s="427"/>
      <c r="D324" s="414"/>
      <c r="E324" s="417"/>
      <c r="F324" s="418"/>
      <c r="G324" s="417"/>
      <c r="H324" s="267"/>
    </row>
    <row r="325">
      <c r="A325" s="265"/>
      <c r="B325" s="404"/>
      <c r="C325" s="405"/>
      <c r="D325" s="399"/>
      <c r="E325" s="398"/>
      <c r="F325" s="284"/>
      <c r="G325" s="398"/>
      <c r="H325" s="251"/>
    </row>
    <row r="326">
      <c r="A326" s="265"/>
      <c r="B326" s="404"/>
      <c r="C326" s="424"/>
      <c r="D326" s="399"/>
      <c r="E326" s="398"/>
      <c r="F326" s="284"/>
      <c r="G326" s="398"/>
      <c r="H326" s="251"/>
    </row>
    <row r="327">
      <c r="A327" s="265"/>
      <c r="B327" s="404"/>
      <c r="C327" s="424"/>
      <c r="D327" s="399"/>
      <c r="E327" s="442"/>
      <c r="F327" s="284"/>
      <c r="G327" s="398"/>
      <c r="H327" s="251"/>
    </row>
    <row r="328">
      <c r="A328" s="265"/>
      <c r="B328" s="404"/>
      <c r="C328" s="424"/>
      <c r="D328" s="399"/>
      <c r="E328" s="442"/>
      <c r="F328" s="284"/>
      <c r="G328" s="442"/>
      <c r="H328" s="267"/>
    </row>
    <row r="329">
      <c r="A329" s="265"/>
      <c r="B329" s="404"/>
      <c r="C329" s="424"/>
      <c r="D329" s="399"/>
      <c r="E329" s="442"/>
      <c r="F329" s="284"/>
      <c r="G329" s="442"/>
      <c r="H329" s="251"/>
    </row>
    <row r="330">
      <c r="A330" s="265"/>
      <c r="B330" s="404"/>
      <c r="C330" s="424"/>
      <c r="D330" s="400"/>
      <c r="E330" s="442"/>
      <c r="F330" s="284"/>
      <c r="G330" s="442"/>
      <c r="H330" s="251"/>
    </row>
    <row r="331">
      <c r="A331" s="265"/>
      <c r="B331" s="404"/>
      <c r="C331" s="424"/>
      <c r="D331" s="400"/>
      <c r="E331" s="442"/>
      <c r="F331" s="284"/>
      <c r="G331" s="442"/>
      <c r="H331" s="251"/>
    </row>
    <row r="332">
      <c r="A332" s="265"/>
      <c r="B332" s="404"/>
      <c r="C332" s="424"/>
      <c r="D332" s="400"/>
      <c r="E332" s="442"/>
      <c r="F332" s="284"/>
      <c r="G332" s="442"/>
      <c r="H332" s="251"/>
    </row>
    <row r="333">
      <c r="A333" s="265"/>
      <c r="B333" s="477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65"/>
      <c r="B335" s="477"/>
      <c r="C335" s="424"/>
      <c r="D335" s="400"/>
      <c r="E335" s="442"/>
      <c r="F335" s="284"/>
      <c r="G335" s="442"/>
      <c r="H335" s="251"/>
    </row>
    <row r="336">
      <c r="A336" s="265"/>
      <c r="B336" s="477"/>
      <c r="C336" s="424"/>
      <c r="D336" s="400"/>
      <c r="E336" s="442"/>
      <c r="F336" s="284"/>
      <c r="G336" s="442"/>
      <c r="H336" s="251"/>
    </row>
    <row r="337">
      <c r="A337" s="265"/>
      <c r="B337" s="477"/>
      <c r="C337" s="424"/>
      <c r="D337" s="400"/>
      <c r="E337" s="442"/>
      <c r="F337" s="284"/>
      <c r="G337" s="442"/>
      <c r="H337" s="251"/>
    </row>
    <row r="338">
      <c r="A338" s="270"/>
      <c r="B338" s="478"/>
      <c r="C338" s="471"/>
      <c r="D338" s="472"/>
      <c r="E338" s="473"/>
      <c r="F338" s="460"/>
      <c r="G338" s="473"/>
      <c r="H338" s="261"/>
    </row>
    <row r="339">
      <c r="A339" s="262" t="s">
        <v>1768</v>
      </c>
      <c r="B339" s="461"/>
      <c r="C339" s="445"/>
      <c r="D339" s="421"/>
      <c r="E339" s="422"/>
      <c r="F339" s="423"/>
      <c r="G339" s="417"/>
      <c r="H339" s="245">
        <v>190.0</v>
      </c>
      <c r="I339" s="2" t="s">
        <v>1769</v>
      </c>
    </row>
    <row r="340">
      <c r="A340" s="265"/>
      <c r="B340" s="419"/>
      <c r="C340" s="427"/>
      <c r="D340" s="414"/>
      <c r="E340" s="417"/>
      <c r="F340" s="418"/>
      <c r="G340" s="417"/>
      <c r="H340" s="267"/>
    </row>
    <row r="341">
      <c r="A341" s="265"/>
      <c r="B341" s="530"/>
      <c r="C341" s="531"/>
      <c r="D341" s="506"/>
      <c r="E341" s="507"/>
      <c r="F341" s="459"/>
      <c r="G341" s="507"/>
      <c r="H341" s="267"/>
    </row>
    <row r="342">
      <c r="A342" s="265"/>
      <c r="B342" s="516"/>
      <c r="C342" s="496"/>
      <c r="D342" s="325"/>
      <c r="E342" s="507"/>
      <c r="F342" s="291"/>
      <c r="G342" s="450"/>
      <c r="H342" s="251"/>
    </row>
    <row r="343">
      <c r="A343" s="265"/>
      <c r="B343" s="497"/>
      <c r="C343" s="313"/>
      <c r="D343" s="325"/>
      <c r="E343" s="498"/>
      <c r="F343" s="291"/>
      <c r="G343" s="495"/>
      <c r="H343" s="251"/>
    </row>
    <row r="344">
      <c r="A344" s="265"/>
      <c r="B344" s="493"/>
      <c r="C344" s="499"/>
      <c r="D344" s="314"/>
      <c r="E344" s="507"/>
      <c r="F344" s="291"/>
      <c r="G344" s="490"/>
      <c r="H344" s="267">
        <v>220.0</v>
      </c>
      <c r="I344" s="2" t="s">
        <v>1770</v>
      </c>
    </row>
    <row r="345">
      <c r="A345" s="265"/>
      <c r="B345" s="404"/>
      <c r="C345" s="424"/>
      <c r="D345" s="399"/>
      <c r="E345" s="442"/>
      <c r="F345" s="284"/>
      <c r="G345" s="442"/>
      <c r="H345" s="251"/>
    </row>
    <row r="346">
      <c r="A346" s="265"/>
      <c r="B346" s="477"/>
      <c r="C346" s="424"/>
      <c r="D346" s="399"/>
      <c r="E346" s="442"/>
      <c r="F346" s="284"/>
      <c r="G346" s="442"/>
      <c r="H346" s="251"/>
    </row>
    <row r="347">
      <c r="A347" s="265"/>
      <c r="B347" s="477"/>
      <c r="C347" s="424"/>
      <c r="D347" s="400"/>
      <c r="E347" s="442"/>
      <c r="F347" s="284"/>
      <c r="G347" s="442"/>
      <c r="H347" s="251"/>
    </row>
    <row r="348">
      <c r="A348" s="265"/>
      <c r="B348" s="404"/>
      <c r="C348" s="424"/>
      <c r="D348" s="400"/>
      <c r="E348" s="442"/>
      <c r="F348" s="284"/>
      <c r="G348" s="442"/>
      <c r="H348" s="251"/>
    </row>
    <row r="349">
      <c r="A349" s="265"/>
      <c r="B349" s="477"/>
      <c r="C349" s="424"/>
      <c r="D349" s="400"/>
      <c r="E349" s="442"/>
      <c r="F349" s="284"/>
      <c r="G349" s="442"/>
      <c r="H349" s="251"/>
    </row>
    <row r="350">
      <c r="A350" s="270"/>
      <c r="B350" s="478"/>
      <c r="C350" s="471"/>
      <c r="D350" s="472"/>
      <c r="E350" s="473"/>
      <c r="F350" s="460"/>
      <c r="G350" s="473"/>
      <c r="H350" s="261"/>
    </row>
    <row r="351">
      <c r="A351" s="280" t="s">
        <v>1771</v>
      </c>
      <c r="B351" s="425">
        <v>63000.0</v>
      </c>
      <c r="C351" s="426"/>
      <c r="D351" s="401"/>
      <c r="E351" s="402"/>
      <c r="F351" s="403"/>
      <c r="G351" s="398" t="s">
        <v>588</v>
      </c>
      <c r="H351" s="245">
        <f>240+40</f>
        <v>280</v>
      </c>
      <c r="I351" s="2" t="s">
        <v>1749</v>
      </c>
    </row>
    <row r="352">
      <c r="A352" s="265"/>
      <c r="B352" s="404"/>
      <c r="C352" s="405"/>
      <c r="D352" s="399"/>
      <c r="E352" s="398"/>
      <c r="F352" s="284"/>
      <c r="G352" s="398"/>
      <c r="H352" s="267"/>
    </row>
    <row r="353">
      <c r="A353" s="265"/>
      <c r="B353" s="419"/>
      <c r="C353" s="427"/>
      <c r="D353" s="414"/>
      <c r="E353" s="417"/>
      <c r="F353" s="418"/>
      <c r="G353" s="417"/>
      <c r="H353" s="267"/>
    </row>
    <row r="354">
      <c r="A354" s="265"/>
      <c r="B354" s="419"/>
      <c r="C354" s="427"/>
      <c r="D354" s="414"/>
      <c r="E354" s="417"/>
      <c r="F354" s="418"/>
      <c r="G354" s="417"/>
      <c r="H354" s="267"/>
    </row>
    <row r="355">
      <c r="A355" s="265"/>
      <c r="B355" s="404"/>
      <c r="C355" s="405"/>
      <c r="D355" s="399"/>
      <c r="E355" s="398"/>
      <c r="F355" s="284"/>
      <c r="G355" s="398"/>
      <c r="H355" s="267"/>
    </row>
    <row r="356">
      <c r="A356" s="265"/>
      <c r="B356" s="404"/>
      <c r="C356" s="405"/>
      <c r="D356" s="399"/>
      <c r="E356" s="398"/>
      <c r="F356" s="284"/>
      <c r="G356" s="398"/>
      <c r="H356" s="267"/>
    </row>
    <row r="357">
      <c r="A357" s="265"/>
      <c r="B357" s="404"/>
      <c r="C357" s="405"/>
      <c r="D357" s="399"/>
      <c r="E357" s="398"/>
      <c r="F357" s="284"/>
      <c r="G357" s="398"/>
      <c r="H357" s="267"/>
    </row>
    <row r="358">
      <c r="A358" s="265"/>
      <c r="B358" s="404"/>
      <c r="C358" s="405"/>
      <c r="D358" s="399"/>
      <c r="E358" s="398"/>
      <c r="F358" s="284"/>
      <c r="G358" s="398"/>
      <c r="H358" s="267"/>
    </row>
    <row r="359">
      <c r="A359" s="265"/>
      <c r="B359" s="404"/>
      <c r="C359" s="405"/>
      <c r="D359" s="399"/>
      <c r="E359" s="442"/>
      <c r="F359" s="284"/>
      <c r="G359" s="398"/>
      <c r="H359" s="267"/>
    </row>
    <row r="360">
      <c r="A360" s="265"/>
      <c r="B360" s="404"/>
      <c r="C360" s="405"/>
      <c r="D360" s="399"/>
      <c r="E360" s="442"/>
      <c r="F360" s="284"/>
      <c r="G360" s="398"/>
      <c r="H360" s="267"/>
    </row>
    <row r="361">
      <c r="A361" s="270"/>
      <c r="B361" s="404"/>
      <c r="C361" s="405"/>
      <c r="D361" s="399"/>
      <c r="E361" s="442"/>
      <c r="F361" s="284"/>
      <c r="G361" s="398"/>
      <c r="H361" s="267"/>
    </row>
    <row r="362">
      <c r="A362" s="452"/>
      <c r="B362" s="404"/>
      <c r="C362" s="405"/>
      <c r="D362" s="399"/>
      <c r="E362" s="442"/>
      <c r="F362" s="284"/>
      <c r="G362" s="398"/>
      <c r="H362" s="267"/>
    </row>
    <row r="363">
      <c r="A363" s="280"/>
      <c r="B363" s="461"/>
      <c r="C363" s="445"/>
      <c r="D363" s="421"/>
      <c r="E363" s="422"/>
      <c r="F363" s="423"/>
      <c r="G363" s="422"/>
      <c r="H363" s="245"/>
    </row>
    <row r="364">
      <c r="A364" s="265"/>
      <c r="B364" s="404"/>
      <c r="C364" s="405"/>
      <c r="D364" s="443"/>
      <c r="E364" s="398"/>
      <c r="F364" s="284"/>
      <c r="G364" s="398"/>
      <c r="H364" s="267"/>
      <c r="I364" s="417"/>
    </row>
    <row r="365">
      <c r="A365" s="265"/>
      <c r="B365" s="404"/>
      <c r="C365" s="405"/>
      <c r="D365" s="399"/>
      <c r="E365" s="398"/>
      <c r="F365" s="284"/>
      <c r="G365" s="398"/>
      <c r="H365" s="267"/>
      <c r="I365" s="398"/>
    </row>
    <row r="366">
      <c r="A366" s="265"/>
      <c r="B366" s="419"/>
      <c r="C366" s="434"/>
      <c r="D366" s="414"/>
      <c r="E366" s="417"/>
      <c r="F366" s="418"/>
      <c r="G366" s="417"/>
      <c r="H366" s="251"/>
    </row>
    <row r="367">
      <c r="A367" s="265"/>
      <c r="B367" s="404"/>
      <c r="C367" s="424"/>
      <c r="D367" s="399"/>
      <c r="E367" s="398"/>
      <c r="F367" s="284"/>
      <c r="G367" s="398"/>
      <c r="H367" s="294"/>
    </row>
    <row r="368">
      <c r="A368" s="265"/>
      <c r="B368" s="404"/>
      <c r="C368" s="424"/>
      <c r="D368" s="399"/>
      <c r="E368" s="398"/>
      <c r="F368" s="284"/>
      <c r="G368" s="398"/>
      <c r="H368" s="251"/>
    </row>
    <row r="369">
      <c r="A369" s="265"/>
      <c r="B369" s="419"/>
      <c r="C369" s="434"/>
      <c r="D369" s="414"/>
      <c r="E369" s="417"/>
      <c r="F369" s="418"/>
      <c r="G369" s="417"/>
      <c r="H369" s="251"/>
    </row>
    <row r="370">
      <c r="A370" s="265"/>
      <c r="B370" s="477"/>
      <c r="C370" s="424"/>
      <c r="D370" s="399"/>
      <c r="E370" s="442"/>
      <c r="F370" s="284"/>
      <c r="G370" s="398"/>
      <c r="H370" s="267"/>
    </row>
    <row r="371">
      <c r="A371" s="265"/>
      <c r="B371" s="477"/>
      <c r="C371" s="424"/>
      <c r="D371" s="399"/>
      <c r="E371" s="442"/>
      <c r="F371" s="284"/>
      <c r="G371" s="442"/>
      <c r="H371" s="251"/>
    </row>
    <row r="372">
      <c r="A372" s="265"/>
      <c r="B372" s="404"/>
      <c r="C372" s="424"/>
      <c r="D372" s="399"/>
      <c r="E372" s="442"/>
      <c r="F372" s="284"/>
      <c r="G372" s="442"/>
      <c r="H372" s="267"/>
    </row>
    <row r="373">
      <c r="A373" s="270"/>
      <c r="B373" s="478"/>
      <c r="C373" s="471"/>
      <c r="D373" s="462"/>
      <c r="E373" s="473"/>
      <c r="F373" s="460"/>
      <c r="G373" s="492"/>
      <c r="H373" s="261"/>
    </row>
    <row r="374">
      <c r="A374" s="299"/>
      <c r="B374" s="440"/>
      <c r="C374" s="424"/>
      <c r="D374" s="462"/>
      <c r="E374" s="442"/>
      <c r="F374" s="284"/>
      <c r="G374" s="398"/>
      <c r="H374" s="251"/>
    </row>
    <row r="375">
      <c r="B375" s="480"/>
      <c r="C375" s="405"/>
      <c r="D375" s="522"/>
      <c r="E375" s="417"/>
      <c r="F375" s="432"/>
      <c r="G375" s="417"/>
      <c r="H375" s="251"/>
    </row>
    <row r="376">
      <c r="B376" s="440"/>
      <c r="C376" s="424"/>
      <c r="D376" s="522"/>
      <c r="E376" s="417"/>
      <c r="F376" s="432"/>
      <c r="G376" s="417"/>
      <c r="H376" s="251"/>
    </row>
    <row r="377">
      <c r="B377" s="440"/>
      <c r="C377" s="424"/>
      <c r="D377" s="462"/>
      <c r="E377" s="442"/>
      <c r="F377" s="463"/>
      <c r="G377" s="398"/>
      <c r="H377" s="251"/>
    </row>
    <row r="378">
      <c r="B378" s="518"/>
      <c r="C378" s="434"/>
      <c r="D378" s="522"/>
      <c r="E378" s="417"/>
      <c r="F378" s="432"/>
      <c r="G378" s="417"/>
      <c r="H378" s="251"/>
    </row>
    <row r="379">
      <c r="B379" s="518"/>
      <c r="C379" s="434"/>
      <c r="D379" s="522"/>
      <c r="E379" s="417"/>
      <c r="F379" s="432"/>
      <c r="G379" s="417"/>
      <c r="H379" s="251"/>
    </row>
    <row r="380">
      <c r="B380" s="480"/>
      <c r="C380" s="424"/>
      <c r="D380" s="462"/>
      <c r="E380" s="442"/>
      <c r="F380" s="463"/>
      <c r="G380" s="442"/>
      <c r="H380" s="251"/>
    </row>
    <row r="381">
      <c r="B381" s="480"/>
      <c r="C381" s="424"/>
      <c r="D381" s="462"/>
      <c r="E381" s="442"/>
      <c r="F381" s="463"/>
      <c r="G381" s="442"/>
      <c r="H381" s="251"/>
    </row>
    <row r="382">
      <c r="B382" s="480"/>
      <c r="C382" s="424"/>
      <c r="D382" s="462"/>
      <c r="E382" s="442"/>
      <c r="F382" s="463"/>
      <c r="G382" s="442"/>
      <c r="H382" s="251"/>
    </row>
    <row r="383">
      <c r="B383" s="480"/>
      <c r="C383" s="424"/>
      <c r="D383" s="462"/>
      <c r="E383" s="442"/>
      <c r="F383" s="463"/>
      <c r="G383" s="442"/>
      <c r="H383" s="251"/>
    </row>
    <row r="384">
      <c r="B384" s="480"/>
      <c r="C384" s="424"/>
      <c r="D384" s="462"/>
      <c r="E384" s="442"/>
      <c r="F384" s="463"/>
      <c r="G384" s="442"/>
      <c r="H384" s="251"/>
    </row>
    <row r="385">
      <c r="A385" s="299"/>
      <c r="B385" s="278"/>
      <c r="C385" s="252"/>
      <c r="D385" s="295"/>
      <c r="F385" s="432"/>
      <c r="H385" s="251"/>
    </row>
    <row r="386">
      <c r="A386" s="299"/>
      <c r="B386" s="278"/>
      <c r="C386" s="252"/>
      <c r="D386" s="295"/>
      <c r="F386" s="432"/>
      <c r="G386" s="2"/>
      <c r="H386" s="251"/>
    </row>
    <row r="387">
      <c r="A387" s="280" t="s">
        <v>187</v>
      </c>
      <c r="B387" s="239"/>
      <c r="C387" s="240"/>
      <c r="D387" s="439"/>
      <c r="E387" s="242"/>
      <c r="F387" s="423"/>
      <c r="H387" s="297"/>
      <c r="J387" s="2" t="s">
        <v>1565</v>
      </c>
      <c r="K387" s="2" t="s">
        <v>1349</v>
      </c>
    </row>
    <row r="388">
      <c r="A388" s="265"/>
      <c r="B388" s="247"/>
      <c r="C388" s="248"/>
      <c r="D388" s="317"/>
      <c r="E388" s="429"/>
      <c r="F388" s="418"/>
      <c r="G388" s="2" t="s">
        <v>188</v>
      </c>
      <c r="H388" s="294"/>
      <c r="I388" s="2"/>
      <c r="J388" s="2"/>
      <c r="K388" s="2"/>
    </row>
    <row r="389">
      <c r="A389" s="265"/>
      <c r="B389" s="247"/>
      <c r="C389" s="248">
        <v>136330.0</v>
      </c>
      <c r="D389" s="317"/>
      <c r="E389" s="537">
        <v>45728.0</v>
      </c>
      <c r="F389" s="418"/>
      <c r="G389" s="2" t="s">
        <v>1745</v>
      </c>
      <c r="H389" s="294"/>
      <c r="I389" s="2" t="s">
        <v>1710</v>
      </c>
      <c r="J389" s="2" t="s">
        <v>1566</v>
      </c>
      <c r="K389" s="2" t="s">
        <v>1349</v>
      </c>
    </row>
    <row r="390">
      <c r="A390" s="265"/>
      <c r="B390" s="247"/>
      <c r="C390" s="248"/>
      <c r="D390" s="438">
        <v>122753.85</v>
      </c>
      <c r="F390" s="418"/>
      <c r="G390" s="2" t="s">
        <v>1666</v>
      </c>
      <c r="H390" s="294">
        <v>45742.0</v>
      </c>
      <c r="I390" s="2" t="s">
        <v>1667</v>
      </c>
    </row>
    <row r="391">
      <c r="A391" s="265"/>
      <c r="B391" s="517"/>
      <c r="C391" s="248"/>
      <c r="D391" s="438"/>
      <c r="F391" s="418"/>
      <c r="G391" s="2" t="s">
        <v>191</v>
      </c>
      <c r="H391" s="294"/>
      <c r="J391" s="2" t="s">
        <v>1566</v>
      </c>
      <c r="K391" s="2" t="s">
        <v>1349</v>
      </c>
    </row>
    <row r="392">
      <c r="A392" s="265"/>
      <c r="B392" s="268"/>
      <c r="C392" s="252"/>
      <c r="D392" s="298">
        <v>318000.0</v>
      </c>
      <c r="F392" s="418"/>
      <c r="G392" s="2" t="s">
        <v>1746</v>
      </c>
      <c r="H392" s="294">
        <v>45738.0</v>
      </c>
    </row>
    <row r="393">
      <c r="A393" s="265"/>
      <c r="B393" s="268"/>
      <c r="C393" s="252"/>
      <c r="D393" s="249">
        <v>363000.0</v>
      </c>
      <c r="F393" s="418"/>
      <c r="G393" s="2" t="s">
        <v>192</v>
      </c>
      <c r="H393" s="294">
        <v>45736.0</v>
      </c>
    </row>
    <row r="394">
      <c r="A394" s="265"/>
      <c r="B394" s="268"/>
      <c r="C394" s="252"/>
      <c r="D394" s="253"/>
      <c r="F394" s="284">
        <v>690000.0</v>
      </c>
      <c r="G394" s="2" t="s">
        <v>1772</v>
      </c>
      <c r="H394" s="294">
        <v>45751.0</v>
      </c>
    </row>
    <row r="395">
      <c r="A395" s="265"/>
      <c r="B395" s="247"/>
      <c r="C395" s="252"/>
      <c r="D395" s="249"/>
      <c r="F395" s="418"/>
      <c r="G395" s="2" t="s">
        <v>1093</v>
      </c>
      <c r="H395" s="294"/>
    </row>
    <row r="396">
      <c r="A396" s="265"/>
      <c r="B396" s="247"/>
      <c r="C396" s="252"/>
      <c r="D396" s="249">
        <v>130000.0</v>
      </c>
      <c r="F396" s="418"/>
      <c r="G396" s="2" t="s">
        <v>196</v>
      </c>
      <c r="H396" s="294">
        <v>45734.0</v>
      </c>
      <c r="I396" s="318"/>
    </row>
    <row r="397">
      <c r="A397" s="265"/>
      <c r="B397" s="247"/>
      <c r="C397" s="252"/>
      <c r="D397" s="249"/>
      <c r="F397" s="418"/>
      <c r="H397" s="294"/>
      <c r="I397" s="2"/>
      <c r="J397" s="2"/>
    </row>
    <row r="398">
      <c r="A398" s="265"/>
      <c r="B398" s="247"/>
      <c r="C398" s="252"/>
      <c r="D398" s="249">
        <v>72423.77</v>
      </c>
      <c r="F398" s="418"/>
      <c r="G398" s="2" t="s">
        <v>197</v>
      </c>
      <c r="H398" s="294">
        <v>45742.0</v>
      </c>
      <c r="I398" s="2" t="s">
        <v>1773</v>
      </c>
      <c r="J398" s="2" t="s">
        <v>1774</v>
      </c>
    </row>
    <row r="399">
      <c r="A399" s="265"/>
      <c r="B399" s="268"/>
      <c r="C399" s="252"/>
      <c r="D399" s="249">
        <v>53263.0</v>
      </c>
      <c r="F399" s="418"/>
      <c r="G399" s="2" t="s">
        <v>199</v>
      </c>
      <c r="H399" s="294"/>
      <c r="I399" s="2" t="s">
        <v>1713</v>
      </c>
      <c r="J399" s="2" t="s">
        <v>1712</v>
      </c>
      <c r="K399" s="2" t="s">
        <v>1668</v>
      </c>
    </row>
    <row r="400">
      <c r="A400" s="265"/>
      <c r="B400" s="247"/>
      <c r="C400" s="252"/>
      <c r="D400" s="439">
        <v>124484.47</v>
      </c>
      <c r="F400" s="418"/>
      <c r="G400" s="2" t="s">
        <v>200</v>
      </c>
      <c r="H400" s="294">
        <v>45727.0</v>
      </c>
      <c r="I400" s="2" t="s">
        <v>189</v>
      </c>
      <c r="J400" s="2" t="s">
        <v>1669</v>
      </c>
    </row>
    <row r="401">
      <c r="A401" s="265"/>
      <c r="B401" s="278"/>
      <c r="C401" s="248"/>
      <c r="D401" s="439">
        <v>84785.15</v>
      </c>
      <c r="F401" s="432"/>
      <c r="G401" s="2" t="s">
        <v>201</v>
      </c>
      <c r="H401" s="294"/>
      <c r="I401" s="2" t="s">
        <v>189</v>
      </c>
    </row>
    <row r="402">
      <c r="A402" s="270"/>
      <c r="B402" s="277"/>
      <c r="C402" s="248"/>
      <c r="D402" s="295">
        <v>46630.0</v>
      </c>
      <c r="F402" s="464"/>
      <c r="G402" s="2" t="s">
        <v>1670</v>
      </c>
      <c r="H402" s="294"/>
    </row>
    <row r="403">
      <c r="A403" s="299"/>
      <c r="B403" s="278"/>
      <c r="C403" s="248"/>
      <c r="D403" s="295">
        <v>107822.49</v>
      </c>
      <c r="F403" s="432"/>
      <c r="G403" s="2" t="s">
        <v>1714</v>
      </c>
      <c r="H403" s="294"/>
    </row>
    <row r="404">
      <c r="A404" s="299"/>
      <c r="B404" s="278"/>
      <c r="C404" s="248"/>
      <c r="D404" s="476">
        <v>14425.21</v>
      </c>
      <c r="E404" s="417"/>
      <c r="F404" s="432"/>
      <c r="G404" s="398" t="s">
        <v>1715</v>
      </c>
      <c r="H404" s="301"/>
    </row>
    <row r="405">
      <c r="A405" s="299"/>
      <c r="B405" s="278"/>
      <c r="C405" s="248"/>
      <c r="D405" s="476"/>
      <c r="E405" s="417"/>
      <c r="F405" s="432"/>
      <c r="G405" s="398" t="s">
        <v>1672</v>
      </c>
      <c r="H405" s="301"/>
    </row>
    <row r="406">
      <c r="A406" s="299"/>
      <c r="B406" s="278"/>
      <c r="C406" s="248"/>
      <c r="D406" s="295"/>
      <c r="F406" s="418"/>
      <c r="G406" s="2" t="s">
        <v>204</v>
      </c>
      <c r="H406" s="301"/>
    </row>
    <row r="407">
      <c r="A407" s="303"/>
      <c r="B407" s="278"/>
      <c r="C407" s="252"/>
      <c r="D407" s="249"/>
      <c r="F407" s="418"/>
      <c r="G407" s="2" t="s">
        <v>205</v>
      </c>
      <c r="H407" s="301"/>
    </row>
    <row r="408">
      <c r="A408" s="303"/>
      <c r="B408" s="268"/>
      <c r="C408" s="252"/>
      <c r="D408" s="249"/>
      <c r="F408" s="418"/>
      <c r="G408" s="2" t="s">
        <v>735</v>
      </c>
      <c r="H408" s="301"/>
    </row>
    <row r="409">
      <c r="A409" s="303"/>
      <c r="B409" s="247"/>
      <c r="C409" s="252"/>
      <c r="D409" s="249"/>
      <c r="F409" s="418"/>
      <c r="G409" s="2" t="s">
        <v>206</v>
      </c>
      <c r="H409" s="294"/>
      <c r="I409" s="2" t="s">
        <v>1747</v>
      </c>
    </row>
    <row r="410">
      <c r="A410" s="303"/>
      <c r="B410" s="268"/>
      <c r="C410" s="252"/>
      <c r="D410" s="300">
        <v>142499.15</v>
      </c>
      <c r="F410" s="465"/>
      <c r="G410" s="2" t="s">
        <v>209</v>
      </c>
      <c r="H410" s="294">
        <v>45726.0</v>
      </c>
      <c r="I410" s="2" t="s">
        <v>1717</v>
      </c>
      <c r="J410" s="2" t="s">
        <v>1566</v>
      </c>
      <c r="K410" s="2" t="s">
        <v>1718</v>
      </c>
    </row>
    <row r="411">
      <c r="A411" s="303"/>
      <c r="B411" s="247"/>
      <c r="C411" s="252"/>
      <c r="D411" s="249"/>
      <c r="F411" s="418"/>
      <c r="H411" s="294"/>
    </row>
    <row r="412">
      <c r="A412" s="303"/>
      <c r="B412" s="268"/>
      <c r="C412" s="252"/>
      <c r="D412" s="249"/>
      <c r="F412" s="418"/>
      <c r="H412" s="294"/>
    </row>
    <row r="413">
      <c r="A413" s="303"/>
      <c r="B413" s="268"/>
      <c r="C413" s="252"/>
      <c r="D413" s="249"/>
      <c r="F413" s="418"/>
      <c r="G413" s="2" t="s">
        <v>1217</v>
      </c>
      <c r="H413" s="294"/>
    </row>
    <row r="414">
      <c r="A414" s="303"/>
      <c r="B414" s="247"/>
      <c r="C414" s="252"/>
      <c r="D414" s="331"/>
      <c r="F414" s="458"/>
      <c r="H414" s="294"/>
    </row>
    <row r="415">
      <c r="A415" s="304"/>
      <c r="B415" s="268"/>
      <c r="C415" s="252"/>
      <c r="D415" s="249"/>
      <c r="F415" s="465"/>
      <c r="H415" s="294"/>
    </row>
    <row r="416">
      <c r="A416" s="305"/>
      <c r="B416" s="406">
        <f>SUM(B387:B415)</f>
        <v>0</v>
      </c>
      <c r="C416" s="272"/>
      <c r="D416" s="392">
        <f>SUM(D387:D415)</f>
        <v>1580087.09</v>
      </c>
      <c r="E416" s="18"/>
      <c r="F416" s="466">
        <f>SUM(F387:F415)</f>
        <v>690000</v>
      </c>
      <c r="G416" s="18"/>
      <c r="H416" s="261"/>
    </row>
    <row r="417">
      <c r="A417" s="265"/>
      <c r="B417" s="306"/>
      <c r="C417" s="240"/>
      <c r="D417" s="241"/>
      <c r="E417" s="242"/>
      <c r="F417" s="423"/>
      <c r="G417" s="244"/>
      <c r="H417" s="307"/>
    </row>
    <row r="418">
      <c r="A418" s="265"/>
      <c r="B418" s="268"/>
      <c r="C418" s="252"/>
      <c r="D418" s="253"/>
      <c r="F418" s="418"/>
      <c r="H418" s="251"/>
    </row>
    <row r="419">
      <c r="A419" s="265"/>
      <c r="B419" s="268"/>
      <c r="C419" s="252"/>
      <c r="D419" s="253"/>
      <c r="F419" s="418"/>
      <c r="H419" s="251"/>
    </row>
    <row r="420">
      <c r="A420" s="265"/>
      <c r="B420" s="268"/>
      <c r="C420" s="252"/>
      <c r="D420" s="253"/>
      <c r="F420" s="418"/>
      <c r="H420" s="251"/>
    </row>
    <row r="421">
      <c r="A421" s="265"/>
      <c r="B421" s="268"/>
      <c r="C421" s="252"/>
      <c r="D421" s="253"/>
      <c r="F421" s="418"/>
      <c r="H421" s="251"/>
    </row>
    <row r="422">
      <c r="A422" s="265"/>
      <c r="B422" s="268"/>
      <c r="C422" s="252"/>
      <c r="D422" s="253"/>
      <c r="F422" s="418"/>
      <c r="H422" s="251"/>
    </row>
    <row r="423">
      <c r="A423" s="265"/>
      <c r="B423" s="268"/>
      <c r="C423" s="252"/>
      <c r="D423" s="253"/>
      <c r="F423" s="418"/>
      <c r="H423" s="251"/>
    </row>
    <row r="424">
      <c r="A424" s="265"/>
      <c r="B424" s="268"/>
      <c r="C424" s="252"/>
      <c r="D424" s="253"/>
      <c r="F424" s="418"/>
      <c r="H424" s="251"/>
    </row>
    <row r="425">
      <c r="A425" s="270"/>
      <c r="B425" s="268"/>
      <c r="C425" s="252"/>
      <c r="D425" s="253"/>
      <c r="F425" s="418"/>
      <c r="H425" s="251"/>
    </row>
    <row r="426">
      <c r="A426" s="305"/>
      <c r="B426" s="271"/>
      <c r="C426" s="272"/>
      <c r="D426" s="273"/>
      <c r="E426" s="18"/>
      <c r="F426" s="456"/>
      <c r="G426" s="18"/>
      <c r="H426" s="261"/>
    </row>
    <row r="427">
      <c r="A427" s="265"/>
      <c r="B427" s="306"/>
      <c r="C427" s="240"/>
      <c r="D427" s="241"/>
      <c r="E427" s="242"/>
      <c r="F427" s="423"/>
      <c r="G427" s="244"/>
      <c r="H427" s="307"/>
    </row>
    <row r="428">
      <c r="A428" s="265"/>
      <c r="B428" s="268"/>
      <c r="C428" s="252"/>
      <c r="D428" s="253"/>
      <c r="F428" s="418"/>
      <c r="H428" s="251"/>
    </row>
    <row r="429">
      <c r="A429" s="265"/>
      <c r="B429" s="268"/>
      <c r="C429" s="252"/>
      <c r="D429" s="253"/>
      <c r="F429" s="418"/>
      <c r="H429" s="251"/>
    </row>
    <row r="430">
      <c r="A430" s="265"/>
      <c r="B430" s="268"/>
      <c r="C430" s="252"/>
      <c r="D430" s="253"/>
      <c r="F430" s="418"/>
      <c r="H430" s="251"/>
    </row>
    <row r="431">
      <c r="A431" s="265"/>
      <c r="B431" s="268"/>
      <c r="C431" s="252"/>
      <c r="D431" s="253"/>
      <c r="F431" s="418"/>
      <c r="H431" s="251"/>
    </row>
    <row r="432">
      <c r="A432" s="265"/>
      <c r="B432" s="268"/>
      <c r="C432" s="252"/>
      <c r="D432" s="253"/>
      <c r="F432" s="418"/>
      <c r="H432" s="251"/>
    </row>
    <row r="433">
      <c r="A433" s="265"/>
      <c r="B433" s="268"/>
      <c r="C433" s="252"/>
      <c r="D433" s="253"/>
      <c r="F433" s="418"/>
      <c r="H433" s="251"/>
    </row>
    <row r="434">
      <c r="A434" s="265"/>
      <c r="B434" s="268"/>
      <c r="C434" s="252"/>
      <c r="D434" s="253"/>
      <c r="F434" s="418"/>
      <c r="H434" s="251"/>
    </row>
    <row r="435">
      <c r="A435" s="270"/>
      <c r="B435" s="268"/>
      <c r="C435" s="252"/>
      <c r="D435" s="253"/>
      <c r="F435" s="418"/>
      <c r="H435" s="251"/>
    </row>
    <row r="436">
      <c r="B436" s="271"/>
      <c r="C436" s="272"/>
      <c r="D436" s="273"/>
      <c r="E436" s="18"/>
      <c r="F436" s="456"/>
      <c r="G436" s="18"/>
      <c r="H436" s="261"/>
    </row>
    <row r="437">
      <c r="B437" s="306"/>
      <c r="C437" s="240"/>
      <c r="D437" s="241"/>
      <c r="E437" s="242"/>
      <c r="F437" s="423"/>
      <c r="G437" s="244"/>
      <c r="H437" s="307"/>
    </row>
    <row r="438">
      <c r="B438" s="268"/>
      <c r="C438" s="252"/>
      <c r="D438" s="253"/>
      <c r="F438" s="418"/>
      <c r="H438" s="251"/>
    </row>
    <row r="439">
      <c r="B439" s="268"/>
      <c r="C439" s="252"/>
      <c r="D439" s="253"/>
      <c r="F439" s="418"/>
      <c r="H439" s="251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  <row r="731">
      <c r="B731" s="308"/>
      <c r="C731" s="252"/>
      <c r="D731" s="253"/>
      <c r="F731" s="467"/>
      <c r="H731" s="302"/>
    </row>
    <row r="732">
      <c r="B732" s="308"/>
      <c r="C732" s="252"/>
      <c r="D732" s="253"/>
      <c r="F732" s="467"/>
      <c r="H732" s="302"/>
    </row>
    <row r="733">
      <c r="B733" s="308"/>
      <c r="C733" s="252"/>
      <c r="D733" s="253"/>
      <c r="F733" s="467"/>
      <c r="H733" s="302"/>
    </row>
    <row r="734">
      <c r="B734" s="308"/>
      <c r="C734" s="252"/>
      <c r="D734" s="253"/>
      <c r="F734" s="467"/>
      <c r="H734" s="302"/>
    </row>
    <row r="735">
      <c r="B735" s="308"/>
      <c r="C735" s="252"/>
      <c r="D735" s="253"/>
      <c r="F735" s="467"/>
      <c r="H735" s="302"/>
    </row>
    <row r="736">
      <c r="B736" s="308"/>
      <c r="C736" s="252"/>
      <c r="D736" s="253"/>
      <c r="F736" s="467"/>
      <c r="H736" s="302"/>
    </row>
    <row r="737">
      <c r="B737" s="308"/>
      <c r="C737" s="252"/>
      <c r="D737" s="253"/>
      <c r="F737" s="467"/>
      <c r="H737" s="302"/>
    </row>
    <row r="738">
      <c r="B738" s="308"/>
      <c r="C738" s="252"/>
      <c r="D738" s="253"/>
      <c r="F738" s="467"/>
      <c r="H738" s="302"/>
    </row>
    <row r="739">
      <c r="B739" s="308"/>
      <c r="C739" s="252"/>
      <c r="D739" s="253"/>
      <c r="F739" s="467"/>
      <c r="H739" s="302"/>
    </row>
    <row r="740">
      <c r="B740" s="308"/>
      <c r="C740" s="252"/>
      <c r="D740" s="253"/>
      <c r="F740" s="467"/>
      <c r="H740" s="302"/>
    </row>
    <row r="741">
      <c r="B741" s="308"/>
      <c r="C741" s="252"/>
      <c r="D741" s="253"/>
      <c r="F741" s="467"/>
      <c r="H741" s="302"/>
    </row>
    <row r="742">
      <c r="B742" s="308"/>
      <c r="C742" s="252"/>
      <c r="D742" s="253"/>
      <c r="F742" s="467"/>
      <c r="H742" s="302"/>
    </row>
    <row r="743">
      <c r="B743" s="308"/>
      <c r="C743" s="252"/>
      <c r="D743" s="253"/>
      <c r="F743" s="467"/>
      <c r="H743" s="302"/>
    </row>
    <row r="744">
      <c r="B744" s="308"/>
      <c r="C744" s="252"/>
      <c r="D744" s="253"/>
      <c r="F744" s="467"/>
      <c r="H744" s="302"/>
    </row>
    <row r="745">
      <c r="B745" s="308"/>
      <c r="C745" s="252"/>
      <c r="D745" s="253"/>
      <c r="F745" s="467"/>
      <c r="H745" s="302"/>
    </row>
  </sheetData>
  <mergeCells count="30">
    <mergeCell ref="A5:A18"/>
    <mergeCell ref="A21:A30"/>
    <mergeCell ref="A31:A44"/>
    <mergeCell ref="A45:A56"/>
    <mergeCell ref="A57:A72"/>
    <mergeCell ref="A73:A86"/>
    <mergeCell ref="A87:A104"/>
    <mergeCell ref="A105:A119"/>
    <mergeCell ref="A120:A134"/>
    <mergeCell ref="A135:A145"/>
    <mergeCell ref="A146:A160"/>
    <mergeCell ref="A161:A176"/>
    <mergeCell ref="A177:A191"/>
    <mergeCell ref="A192:A203"/>
    <mergeCell ref="A204:A218"/>
    <mergeCell ref="A219:A232"/>
    <mergeCell ref="A233:A247"/>
    <mergeCell ref="A248:A260"/>
    <mergeCell ref="A261:A276"/>
    <mergeCell ref="A277:A291"/>
    <mergeCell ref="A292:A306"/>
    <mergeCell ref="A416:A425"/>
    <mergeCell ref="A426:A435"/>
    <mergeCell ref="A307:A320"/>
    <mergeCell ref="A321:A338"/>
    <mergeCell ref="A339:A350"/>
    <mergeCell ref="A351:A361"/>
    <mergeCell ref="A363:A373"/>
    <mergeCell ref="A374:A384"/>
    <mergeCell ref="A387:A4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13.13"/>
    <col customWidth="1" min="7" max="7" width="29.25"/>
    <col customWidth="1" min="8" max="8" width="13.25"/>
    <col customWidth="1" min="9" max="9" width="25.63"/>
  </cols>
  <sheetData>
    <row r="1" ht="27.0" customHeight="1">
      <c r="A1" s="407" t="s">
        <v>37</v>
      </c>
      <c r="B1" s="408" t="s">
        <v>52</v>
      </c>
      <c r="C1" s="409" t="s">
        <v>53</v>
      </c>
      <c r="D1" s="410" t="s">
        <v>54</v>
      </c>
      <c r="E1" s="411" t="s">
        <v>55</v>
      </c>
      <c r="F1" s="453" t="s">
        <v>529</v>
      </c>
      <c r="G1" s="411"/>
      <c r="H1" s="413" t="s">
        <v>57</v>
      </c>
    </row>
    <row r="2">
      <c r="A2" s="262" t="s">
        <v>1480</v>
      </c>
      <c r="B2" s="425"/>
      <c r="C2" s="426"/>
      <c r="D2" s="532"/>
      <c r="E2" s="244"/>
      <c r="F2" s="243"/>
      <c r="G2" s="276"/>
      <c r="H2" s="245">
        <v>310.0</v>
      </c>
      <c r="I2" s="2" t="s">
        <v>1775</v>
      </c>
    </row>
    <row r="3">
      <c r="A3" s="265"/>
      <c r="B3" s="510"/>
      <c r="C3" s="427"/>
      <c r="D3" s="399"/>
      <c r="E3" s="417"/>
      <c r="F3" s="418"/>
      <c r="G3" s="417"/>
      <c r="H3" s="267"/>
    </row>
    <row r="4">
      <c r="A4" s="265"/>
      <c r="B4" s="404"/>
      <c r="C4" s="427"/>
      <c r="D4" s="414"/>
      <c r="E4" s="417"/>
      <c r="F4" s="284"/>
      <c r="G4" s="285"/>
      <c r="H4" s="251"/>
    </row>
    <row r="5">
      <c r="A5" s="265"/>
      <c r="B5" s="404"/>
      <c r="C5" s="405"/>
      <c r="D5" s="399"/>
      <c r="E5" s="398"/>
      <c r="F5" s="284"/>
      <c r="G5" s="285"/>
      <c r="H5" s="251"/>
    </row>
    <row r="6">
      <c r="A6" s="265"/>
      <c r="B6" s="404"/>
      <c r="C6" s="424"/>
      <c r="D6" s="399"/>
      <c r="E6" s="398"/>
      <c r="F6" s="284"/>
      <c r="G6" s="285"/>
      <c r="H6" s="251"/>
    </row>
    <row r="7">
      <c r="A7" s="265"/>
      <c r="B7" s="404"/>
      <c r="C7" s="405"/>
      <c r="D7" s="469"/>
      <c r="E7" s="442"/>
      <c r="F7" s="284"/>
      <c r="G7" s="285"/>
      <c r="H7" s="267"/>
    </row>
    <row r="8">
      <c r="A8" s="265"/>
      <c r="B8" s="404"/>
      <c r="C8" s="405"/>
      <c r="D8" s="399"/>
      <c r="E8" s="442"/>
      <c r="F8" s="284"/>
      <c r="G8" s="285"/>
      <c r="H8" s="267"/>
    </row>
    <row r="9">
      <c r="A9" s="265"/>
      <c r="B9" s="404"/>
      <c r="C9" s="424"/>
      <c r="D9" s="399"/>
      <c r="E9" s="442"/>
      <c r="F9" s="284"/>
      <c r="G9" s="285"/>
      <c r="H9" s="251"/>
    </row>
    <row r="10">
      <c r="A10" s="265"/>
      <c r="B10" s="404"/>
      <c r="C10" s="405"/>
      <c r="D10" s="400"/>
      <c r="E10" s="442"/>
      <c r="F10" s="284"/>
      <c r="G10" s="285"/>
      <c r="H10" s="251"/>
    </row>
    <row r="11">
      <c r="A11" s="265"/>
      <c r="B11" s="440"/>
      <c r="C11" s="424"/>
      <c r="D11" s="400"/>
      <c r="E11" s="442"/>
      <c r="F11" s="284"/>
      <c r="G11" s="285"/>
      <c r="H11" s="251"/>
    </row>
    <row r="12">
      <c r="A12" s="265"/>
      <c r="B12" s="440"/>
      <c r="C12" s="424"/>
      <c r="D12" s="400"/>
      <c r="E12" s="442"/>
      <c r="F12" s="284"/>
      <c r="G12" s="285"/>
      <c r="H12" s="251"/>
    </row>
    <row r="13">
      <c r="A13" s="265"/>
      <c r="B13" s="440"/>
      <c r="C13" s="424"/>
      <c r="D13" s="400"/>
      <c r="E13" s="442"/>
      <c r="F13" s="284"/>
      <c r="G13" s="285"/>
      <c r="H13" s="251"/>
    </row>
    <row r="14">
      <c r="A14" s="265"/>
      <c r="B14" s="440"/>
      <c r="C14" s="424"/>
      <c r="D14" s="400"/>
      <c r="E14" s="442"/>
      <c r="F14" s="284"/>
      <c r="G14" s="285"/>
      <c r="H14" s="251"/>
    </row>
    <row r="15">
      <c r="A15" s="270"/>
      <c r="B15" s="470"/>
      <c r="C15" s="471"/>
      <c r="D15" s="472"/>
      <c r="E15" s="473"/>
      <c r="F15" s="474"/>
      <c r="G15" s="475"/>
      <c r="H15" s="261"/>
    </row>
    <row r="16">
      <c r="A16" s="262" t="s">
        <v>1483</v>
      </c>
      <c r="B16" s="425"/>
      <c r="C16" s="426"/>
      <c r="D16" s="401"/>
      <c r="E16" s="402"/>
      <c r="F16" s="284"/>
      <c r="G16" s="285"/>
      <c r="H16" s="245">
        <v>350.0</v>
      </c>
    </row>
    <row r="17">
      <c r="A17" s="265"/>
      <c r="B17" s="419"/>
      <c r="C17" s="427"/>
      <c r="D17" s="414"/>
      <c r="E17" s="417"/>
      <c r="F17" s="418"/>
      <c r="G17" s="420"/>
      <c r="H17" s="267"/>
    </row>
    <row r="18">
      <c r="A18" s="265"/>
      <c r="B18" s="526"/>
      <c r="C18" s="427"/>
      <c r="D18" s="414"/>
      <c r="E18" s="417"/>
      <c r="F18" s="284"/>
      <c r="G18" s="285"/>
      <c r="H18" s="251"/>
    </row>
    <row r="19">
      <c r="A19" s="265"/>
      <c r="B19" s="339"/>
      <c r="C19" s="427"/>
      <c r="D19" s="414"/>
      <c r="F19" s="418"/>
      <c r="G19" s="254"/>
      <c r="H19" s="267"/>
    </row>
    <row r="20">
      <c r="A20" s="265"/>
      <c r="B20" s="404"/>
      <c r="C20" s="405"/>
      <c r="D20" s="399"/>
      <c r="E20" s="398"/>
      <c r="F20" s="284"/>
      <c r="G20" s="285"/>
      <c r="H20" s="251"/>
    </row>
    <row r="21">
      <c r="A21" s="265"/>
      <c r="B21" s="419"/>
      <c r="C21" s="427"/>
      <c r="D21" s="414"/>
      <c r="E21" s="417"/>
      <c r="F21" s="418"/>
      <c r="G21" s="420"/>
      <c r="H21" s="251"/>
    </row>
    <row r="22">
      <c r="A22" s="265"/>
      <c r="B22" s="404"/>
      <c r="C22" s="424"/>
      <c r="D22" s="399"/>
      <c r="E22" s="442"/>
      <c r="F22" s="284"/>
      <c r="G22" s="285"/>
      <c r="H22" s="251"/>
    </row>
    <row r="23">
      <c r="A23" s="265"/>
      <c r="B23" s="404"/>
      <c r="C23" s="424"/>
      <c r="D23" s="400"/>
      <c r="E23" s="442"/>
      <c r="F23" s="284"/>
      <c r="G23" s="285"/>
      <c r="H23" s="251"/>
    </row>
    <row r="24">
      <c r="A24" s="265"/>
      <c r="B24" s="404"/>
      <c r="C24" s="405"/>
      <c r="D24" s="400"/>
      <c r="E24" s="442"/>
      <c r="F24" s="284"/>
      <c r="G24" s="285"/>
      <c r="H24" s="251"/>
    </row>
    <row r="25">
      <c r="A25" s="265"/>
      <c r="B25" s="404"/>
      <c r="C25" s="405"/>
      <c r="D25" s="399"/>
      <c r="E25" s="442"/>
      <c r="F25" s="284"/>
      <c r="G25" s="442"/>
      <c r="H25" s="251"/>
    </row>
    <row r="26">
      <c r="A26" s="265"/>
      <c r="B26" s="404"/>
      <c r="C26" s="405"/>
      <c r="D26" s="399"/>
      <c r="E26" s="442"/>
      <c r="F26" s="284"/>
      <c r="G26" s="285"/>
      <c r="H26" s="251"/>
    </row>
    <row r="27">
      <c r="A27" s="265"/>
      <c r="B27" s="477"/>
      <c r="C27" s="405"/>
      <c r="D27" s="399"/>
      <c r="E27" s="442"/>
      <c r="F27" s="284"/>
      <c r="G27" s="285"/>
      <c r="H27" s="251"/>
    </row>
    <row r="28">
      <c r="A28" s="265"/>
      <c r="B28" s="480"/>
      <c r="C28" s="424"/>
      <c r="D28" s="400"/>
      <c r="E28" s="442"/>
      <c r="F28" s="284"/>
      <c r="G28" s="481"/>
      <c r="H28" s="251"/>
    </row>
    <row r="29">
      <c r="A29" s="270"/>
      <c r="B29" s="478"/>
      <c r="C29" s="471"/>
      <c r="D29" s="472"/>
      <c r="E29" s="473"/>
      <c r="F29" s="460"/>
      <c r="G29" s="482"/>
      <c r="H29" s="261"/>
    </row>
    <row r="30">
      <c r="A30" s="262" t="s">
        <v>1486</v>
      </c>
      <c r="B30" s="518"/>
      <c r="C30" s="427"/>
      <c r="D30" s="414"/>
      <c r="E30" s="417"/>
      <c r="F30" s="284"/>
      <c r="G30" s="285"/>
      <c r="H30" s="245">
        <v>320.0</v>
      </c>
    </row>
    <row r="31">
      <c r="A31" s="265"/>
      <c r="B31" s="440"/>
      <c r="C31" s="427"/>
      <c r="D31" s="414"/>
      <c r="E31" s="417"/>
      <c r="F31" s="284"/>
      <c r="G31" s="398"/>
      <c r="H31" s="267"/>
      <c r="I31" s="417"/>
    </row>
    <row r="32">
      <c r="A32" s="265"/>
      <c r="B32" s="404"/>
      <c r="C32" s="405"/>
      <c r="D32" s="476"/>
      <c r="E32" s="398"/>
      <c r="F32" s="284"/>
      <c r="G32" s="285"/>
      <c r="H32" s="310"/>
    </row>
    <row r="33">
      <c r="A33" s="265"/>
      <c r="B33" s="404"/>
      <c r="C33" s="405"/>
      <c r="D33" s="399"/>
      <c r="E33" s="398"/>
      <c r="F33" s="284"/>
      <c r="G33" s="285"/>
      <c r="H33" s="251"/>
    </row>
    <row r="34">
      <c r="A34" s="265"/>
      <c r="B34" s="404"/>
      <c r="C34" s="405"/>
      <c r="D34" s="399"/>
      <c r="E34" s="398"/>
      <c r="F34" s="284"/>
      <c r="G34" s="285"/>
      <c r="H34" s="251"/>
    </row>
    <row r="35">
      <c r="A35" s="265"/>
      <c r="B35" s="404"/>
      <c r="C35" s="405"/>
      <c r="D35" s="399"/>
      <c r="E35" s="398"/>
      <c r="F35" s="284"/>
      <c r="G35" s="285"/>
      <c r="H35" s="251"/>
    </row>
    <row r="36">
      <c r="A36" s="265"/>
      <c r="B36" s="479"/>
      <c r="C36" s="405"/>
      <c r="D36" s="399"/>
      <c r="E36" s="398"/>
      <c r="F36" s="284"/>
      <c r="G36" s="285"/>
      <c r="H36" s="251"/>
    </row>
    <row r="37">
      <c r="A37" s="265"/>
      <c r="B37" s="404"/>
      <c r="C37" s="424"/>
      <c r="D37" s="400"/>
      <c r="E37" s="442"/>
      <c r="F37" s="284"/>
      <c r="G37" s="285"/>
      <c r="H37" s="251"/>
    </row>
    <row r="38">
      <c r="A38" s="265"/>
      <c r="B38" s="404"/>
      <c r="C38" s="424"/>
      <c r="D38" s="399"/>
      <c r="E38" s="442"/>
      <c r="F38" s="284"/>
      <c r="G38" s="285"/>
      <c r="H38" s="251"/>
    </row>
    <row r="39">
      <c r="A39" s="265"/>
      <c r="B39" s="440"/>
      <c r="C39" s="424"/>
      <c r="D39" s="400"/>
      <c r="E39" s="442"/>
      <c r="F39" s="284"/>
      <c r="G39" s="285"/>
      <c r="H39" s="251"/>
    </row>
    <row r="40">
      <c r="A40" s="265"/>
      <c r="B40" s="440"/>
      <c r="C40" s="424"/>
      <c r="D40" s="400"/>
      <c r="E40" s="442"/>
      <c r="F40" s="284"/>
      <c r="G40" s="285"/>
      <c r="H40" s="251"/>
    </row>
    <row r="41">
      <c r="A41" s="270"/>
      <c r="B41" s="478"/>
      <c r="C41" s="471"/>
      <c r="D41" s="472"/>
      <c r="E41" s="473"/>
      <c r="F41" s="474"/>
      <c r="G41" s="482"/>
      <c r="H41" s="261"/>
    </row>
    <row r="42">
      <c r="A42" s="262" t="s">
        <v>1487</v>
      </c>
      <c r="B42" s="425"/>
      <c r="C42" s="426"/>
      <c r="D42" s="401"/>
      <c r="E42" s="402"/>
      <c r="F42" s="403"/>
      <c r="G42" s="436"/>
      <c r="H42" s="245">
        <v>320.0</v>
      </c>
    </row>
    <row r="43">
      <c r="A43" s="265"/>
      <c r="B43" s="419"/>
      <c r="C43" s="427"/>
      <c r="D43" s="414"/>
      <c r="E43" s="417"/>
      <c r="F43" s="284"/>
      <c r="G43" s="285"/>
      <c r="H43" s="267"/>
    </row>
    <row r="44">
      <c r="A44" s="265"/>
      <c r="B44" s="404"/>
      <c r="C44" s="405"/>
      <c r="D44" s="399"/>
      <c r="E44" s="398"/>
      <c r="F44" s="284"/>
      <c r="G44" s="285"/>
      <c r="H44" s="267"/>
    </row>
    <row r="45">
      <c r="A45" s="265"/>
      <c r="B45" s="404"/>
      <c r="C45" s="405"/>
      <c r="D45" s="399"/>
      <c r="E45" s="398"/>
      <c r="F45" s="284"/>
      <c r="G45" s="285"/>
      <c r="H45" s="251"/>
    </row>
    <row r="46">
      <c r="A46" s="265"/>
      <c r="B46" s="457"/>
      <c r="C46" s="405"/>
      <c r="D46" s="399"/>
      <c r="E46" s="398"/>
      <c r="F46" s="284"/>
      <c r="G46" s="285"/>
      <c r="H46" s="251"/>
    </row>
    <row r="47">
      <c r="A47" s="265"/>
      <c r="B47" s="468"/>
      <c r="C47" s="405"/>
      <c r="D47" s="399"/>
      <c r="E47" s="398"/>
      <c r="F47" s="483"/>
      <c r="G47" s="285"/>
      <c r="H47" s="251"/>
    </row>
    <row r="48">
      <c r="A48" s="265"/>
      <c r="B48" s="468"/>
      <c r="C48" s="405"/>
      <c r="D48" s="399"/>
      <c r="E48" s="442"/>
      <c r="F48" s="284"/>
      <c r="G48" s="285"/>
      <c r="H48" s="267"/>
    </row>
    <row r="49">
      <c r="A49" s="265"/>
      <c r="B49" s="404"/>
      <c r="C49" s="424"/>
      <c r="D49" s="399"/>
      <c r="E49" s="398"/>
      <c r="F49" s="284"/>
      <c r="G49" s="285"/>
      <c r="H49" s="251"/>
    </row>
    <row r="50">
      <c r="A50" s="265"/>
      <c r="B50" s="404"/>
      <c r="C50" s="424"/>
      <c r="D50" s="400"/>
      <c r="E50" s="442"/>
      <c r="F50" s="284"/>
      <c r="G50" s="285"/>
      <c r="H50" s="251"/>
    </row>
    <row r="51">
      <c r="A51" s="265"/>
      <c r="B51" s="404"/>
      <c r="C51" s="424"/>
      <c r="D51" s="414"/>
      <c r="E51" s="417"/>
      <c r="F51" s="418"/>
      <c r="G51" s="420"/>
      <c r="H51" s="251"/>
    </row>
    <row r="52">
      <c r="A52" s="265"/>
      <c r="B52" s="477"/>
      <c r="C52" s="424"/>
      <c r="D52" s="400"/>
      <c r="E52" s="442"/>
      <c r="F52" s="284"/>
      <c r="G52" s="481"/>
      <c r="H52" s="251"/>
    </row>
    <row r="53">
      <c r="A53" s="265"/>
      <c r="B53" s="404"/>
      <c r="C53" s="424"/>
      <c r="D53" s="400"/>
      <c r="E53" s="442"/>
      <c r="F53" s="284"/>
      <c r="G53" s="481"/>
      <c r="H53" s="251"/>
    </row>
    <row r="54">
      <c r="A54" s="265"/>
      <c r="B54" s="440"/>
      <c r="C54" s="424"/>
      <c r="D54" s="400"/>
      <c r="E54" s="442"/>
      <c r="F54" s="463"/>
      <c r="G54" s="481"/>
      <c r="H54" s="251"/>
    </row>
    <row r="55">
      <c r="A55" s="265"/>
      <c r="B55" s="480"/>
      <c r="C55" s="405"/>
      <c r="D55" s="400"/>
      <c r="E55" s="442"/>
      <c r="F55" s="463"/>
      <c r="G55" s="481"/>
      <c r="H55" s="251"/>
    </row>
    <row r="56">
      <c r="A56" s="265"/>
      <c r="B56" s="480"/>
      <c r="C56" s="424"/>
      <c r="D56" s="400"/>
      <c r="E56" s="442"/>
      <c r="F56" s="284"/>
      <c r="G56" s="481"/>
      <c r="H56" s="251"/>
    </row>
    <row r="57">
      <c r="A57" s="270"/>
      <c r="B57" s="478"/>
      <c r="C57" s="471"/>
      <c r="D57" s="472"/>
      <c r="E57" s="473"/>
      <c r="F57" s="474"/>
      <c r="G57" s="475"/>
      <c r="H57" s="261"/>
    </row>
    <row r="58">
      <c r="A58" s="262" t="s">
        <v>1776</v>
      </c>
      <c r="B58" s="425"/>
      <c r="C58" s="445"/>
      <c r="D58" s="421"/>
      <c r="E58" s="422"/>
      <c r="F58" s="284"/>
      <c r="G58" s="436"/>
      <c r="H58" s="286">
        <v>30.0</v>
      </c>
      <c r="I58" s="2" t="s">
        <v>1352</v>
      </c>
    </row>
    <row r="59">
      <c r="A59" s="265"/>
      <c r="B59" s="419"/>
      <c r="C59" s="427"/>
      <c r="D59" s="414"/>
      <c r="E59" s="417"/>
      <c r="F59" s="250"/>
      <c r="H59" s="82"/>
      <c r="I59" s="2" t="s">
        <v>1777</v>
      </c>
    </row>
    <row r="60">
      <c r="A60" s="265"/>
      <c r="B60" s="419"/>
      <c r="C60" s="427"/>
      <c r="D60" s="414"/>
      <c r="E60" s="417"/>
      <c r="F60" s="418"/>
      <c r="G60" s="420"/>
      <c r="H60" s="82"/>
      <c r="I60" s="2" t="s">
        <v>1259</v>
      </c>
    </row>
    <row r="61">
      <c r="A61" s="265"/>
      <c r="B61" s="404"/>
      <c r="C61" s="405"/>
      <c r="D61" s="399"/>
      <c r="E61" s="398"/>
      <c r="F61" s="284"/>
      <c r="G61" s="285"/>
      <c r="H61" s="302"/>
    </row>
    <row r="62">
      <c r="A62" s="265"/>
      <c r="B62" s="484"/>
      <c r="C62" s="533"/>
      <c r="D62" s="534"/>
      <c r="E62" s="507"/>
      <c r="F62" s="459"/>
      <c r="G62" s="535"/>
      <c r="H62" s="538"/>
      <c r="I62" s="2" t="s">
        <v>1342</v>
      </c>
    </row>
    <row r="63">
      <c r="A63" s="265"/>
      <c r="B63" s="404"/>
      <c r="C63" s="405"/>
      <c r="D63" s="399"/>
      <c r="E63" s="442"/>
      <c r="F63" s="284"/>
      <c r="G63" s="285"/>
      <c r="H63" s="82"/>
      <c r="I63" s="2" t="s">
        <v>1778</v>
      </c>
    </row>
    <row r="64">
      <c r="A64" s="265"/>
      <c r="B64" s="404"/>
      <c r="C64" s="424"/>
      <c r="D64" s="399"/>
      <c r="E64" s="442"/>
      <c r="F64" s="284"/>
      <c r="G64" s="285"/>
      <c r="H64" s="302"/>
      <c r="I64" s="2" t="s">
        <v>1259</v>
      </c>
    </row>
    <row r="65">
      <c r="A65" s="265"/>
      <c r="B65" s="404"/>
      <c r="C65" s="424"/>
      <c r="D65" s="400"/>
      <c r="E65" s="442"/>
      <c r="F65" s="284"/>
      <c r="G65" s="285"/>
      <c r="H65" s="302"/>
      <c r="I65" s="318"/>
    </row>
    <row r="66">
      <c r="A66" s="265"/>
      <c r="B66" s="404"/>
      <c r="C66" s="405"/>
      <c r="D66" s="400"/>
      <c r="E66" s="442"/>
      <c r="F66" s="284"/>
      <c r="G66" s="285"/>
      <c r="H66" s="302"/>
    </row>
    <row r="67">
      <c r="A67" s="265"/>
      <c r="B67" s="404"/>
      <c r="C67" s="405"/>
      <c r="D67" s="400"/>
      <c r="E67" s="442"/>
      <c r="F67" s="284"/>
      <c r="G67" s="285"/>
      <c r="H67" s="251"/>
      <c r="I67" s="318"/>
    </row>
    <row r="68">
      <c r="A68" s="265"/>
      <c r="B68" s="440"/>
      <c r="C68" s="405"/>
      <c r="D68" s="400"/>
      <c r="E68" s="442"/>
      <c r="F68" s="463"/>
      <c r="G68" s="285"/>
      <c r="H68" s="251"/>
      <c r="I68" s="318"/>
    </row>
    <row r="69">
      <c r="A69" s="265"/>
      <c r="B69" s="440"/>
      <c r="C69" s="424"/>
      <c r="D69" s="400"/>
      <c r="E69" s="442"/>
      <c r="F69" s="284"/>
      <c r="G69" s="285"/>
      <c r="H69" s="251"/>
    </row>
    <row r="70">
      <c r="A70" s="265"/>
      <c r="B70" s="440"/>
      <c r="C70" s="424"/>
      <c r="D70" s="400"/>
      <c r="E70" s="442"/>
      <c r="F70" s="463"/>
      <c r="G70" s="285"/>
      <c r="H70" s="251"/>
    </row>
    <row r="71">
      <c r="A71" s="270"/>
      <c r="B71" s="478"/>
      <c r="C71" s="471"/>
      <c r="D71" s="472"/>
      <c r="E71" s="473"/>
      <c r="F71" s="460"/>
      <c r="G71" s="482"/>
      <c r="H71" s="261"/>
    </row>
    <row r="72">
      <c r="A72" s="262" t="s">
        <v>1492</v>
      </c>
      <c r="B72" s="425"/>
      <c r="C72" s="426"/>
      <c r="D72" s="401"/>
      <c r="E72" s="402"/>
      <c r="F72" s="403"/>
      <c r="G72" s="436"/>
      <c r="H72" s="245"/>
      <c r="I72" s="2" t="s">
        <v>1779</v>
      </c>
    </row>
    <row r="73">
      <c r="A73" s="265"/>
      <c r="B73" s="404"/>
      <c r="C73" s="248"/>
      <c r="D73" s="249"/>
      <c r="F73" s="250"/>
      <c r="G73" s="254"/>
      <c r="H73" s="267"/>
      <c r="I73" s="2" t="s">
        <v>1780</v>
      </c>
    </row>
    <row r="74">
      <c r="A74" s="265"/>
      <c r="B74" s="404"/>
      <c r="C74" s="405"/>
      <c r="D74" s="399"/>
      <c r="E74" s="398"/>
      <c r="F74" s="284"/>
      <c r="G74" s="195"/>
      <c r="H74" s="267"/>
      <c r="I74" s="2" t="s">
        <v>1259</v>
      </c>
    </row>
    <row r="75">
      <c r="A75" s="265"/>
      <c r="B75" s="404"/>
      <c r="C75" s="405"/>
      <c r="D75" s="399"/>
      <c r="E75" s="398"/>
      <c r="F75" s="284"/>
      <c r="G75" s="285"/>
      <c r="H75" s="251"/>
    </row>
    <row r="76">
      <c r="A76" s="265"/>
      <c r="B76" s="404"/>
      <c r="C76" s="405"/>
      <c r="D76" s="399"/>
      <c r="E76" s="398"/>
      <c r="F76" s="284"/>
      <c r="G76" s="285"/>
      <c r="H76" s="251"/>
    </row>
    <row r="77">
      <c r="A77" s="265"/>
      <c r="B77" s="404"/>
      <c r="C77" s="405"/>
      <c r="D77" s="399"/>
      <c r="E77" s="398"/>
      <c r="F77" s="284"/>
      <c r="G77" s="285"/>
      <c r="H77" s="251"/>
    </row>
    <row r="78">
      <c r="A78" s="265"/>
      <c r="B78" s="404"/>
      <c r="C78" s="424"/>
      <c r="D78" s="399"/>
      <c r="E78" s="398"/>
      <c r="F78" s="284"/>
      <c r="G78" s="285"/>
      <c r="H78" s="251"/>
    </row>
    <row r="79">
      <c r="A79" s="265"/>
      <c r="B79" s="404"/>
      <c r="C79" s="405"/>
      <c r="D79" s="399"/>
      <c r="E79" s="442"/>
      <c r="F79" s="284"/>
      <c r="G79" s="285"/>
      <c r="H79" s="251"/>
    </row>
    <row r="80">
      <c r="A80" s="265"/>
      <c r="B80" s="419"/>
      <c r="C80" s="434"/>
      <c r="D80" s="414"/>
      <c r="E80" s="417"/>
      <c r="F80" s="418"/>
      <c r="G80" s="420"/>
      <c r="H80" s="251"/>
    </row>
    <row r="81">
      <c r="A81" s="265"/>
      <c r="B81" s="404"/>
      <c r="C81" s="405"/>
      <c r="D81" s="400"/>
      <c r="E81" s="442"/>
      <c r="F81" s="284"/>
      <c r="G81" s="285"/>
      <c r="H81" s="251"/>
    </row>
    <row r="82">
      <c r="A82" s="265"/>
      <c r="B82" s="477"/>
      <c r="C82" s="424"/>
      <c r="D82" s="400"/>
      <c r="E82" s="442"/>
      <c r="F82" s="284"/>
      <c r="G82" s="285"/>
      <c r="H82" s="251"/>
    </row>
    <row r="83">
      <c r="A83" s="265"/>
      <c r="B83" s="477"/>
      <c r="C83" s="424"/>
      <c r="D83" s="400"/>
      <c r="E83" s="442"/>
      <c r="F83" s="284"/>
      <c r="G83" s="285"/>
      <c r="H83" s="251"/>
    </row>
    <row r="84">
      <c r="A84" s="265"/>
      <c r="B84" s="477"/>
      <c r="C84" s="424"/>
      <c r="D84" s="400"/>
      <c r="E84" s="442"/>
      <c r="F84" s="284"/>
      <c r="G84" s="481"/>
      <c r="H84" s="251"/>
    </row>
    <row r="85">
      <c r="A85" s="265"/>
      <c r="B85" s="477"/>
      <c r="C85" s="424"/>
      <c r="D85" s="400"/>
      <c r="E85" s="442"/>
      <c r="F85" s="284"/>
      <c r="G85" s="481"/>
      <c r="H85" s="251"/>
    </row>
    <row r="86">
      <c r="A86" s="265"/>
      <c r="B86" s="477"/>
      <c r="C86" s="424"/>
      <c r="D86" s="400"/>
      <c r="E86" s="442"/>
      <c r="F86" s="284"/>
      <c r="G86" s="481"/>
      <c r="H86" s="251"/>
    </row>
    <row r="87">
      <c r="A87" s="265"/>
      <c r="B87" s="477"/>
      <c r="C87" s="424"/>
      <c r="D87" s="400"/>
      <c r="E87" s="442"/>
      <c r="F87" s="284"/>
      <c r="G87" s="481"/>
      <c r="H87" s="251"/>
    </row>
    <row r="88">
      <c r="A88" s="265"/>
      <c r="B88" s="477"/>
      <c r="C88" s="424"/>
      <c r="D88" s="400"/>
      <c r="E88" s="442"/>
      <c r="F88" s="284"/>
      <c r="G88" s="481"/>
      <c r="H88" s="251"/>
    </row>
    <row r="89">
      <c r="A89" s="270"/>
      <c r="B89" s="478"/>
      <c r="C89" s="471"/>
      <c r="D89" s="472"/>
      <c r="E89" s="473"/>
      <c r="F89" s="460"/>
      <c r="G89" s="482"/>
      <c r="H89" s="261"/>
    </row>
    <row r="90">
      <c r="A90" s="262" t="s">
        <v>1497</v>
      </c>
      <c r="B90" s="425">
        <v>63000.0</v>
      </c>
      <c r="C90" s="426"/>
      <c r="D90" s="401"/>
      <c r="E90" s="402"/>
      <c r="F90" s="403"/>
      <c r="G90" s="436" t="s">
        <v>1781</v>
      </c>
      <c r="H90" s="245">
        <v>300.0</v>
      </c>
      <c r="I90" s="2" t="s">
        <v>1782</v>
      </c>
    </row>
    <row r="91">
      <c r="A91" s="265"/>
      <c r="B91" s="404"/>
      <c r="C91" s="405"/>
      <c r="D91" s="399"/>
      <c r="E91" s="398"/>
      <c r="F91" s="284"/>
      <c r="G91" s="285"/>
      <c r="H91" s="267"/>
      <c r="I91" s="2" t="s">
        <v>1259</v>
      </c>
    </row>
    <row r="92">
      <c r="A92" s="265"/>
      <c r="B92" s="404"/>
      <c r="C92" s="405"/>
      <c r="D92" s="399"/>
      <c r="E92" s="398"/>
      <c r="F92" s="284"/>
      <c r="G92" s="285"/>
      <c r="H92" s="251"/>
    </row>
    <row r="93">
      <c r="A93" s="265"/>
      <c r="B93" s="461"/>
      <c r="C93" s="445"/>
      <c r="D93" s="421"/>
      <c r="E93" s="422"/>
      <c r="F93" s="403"/>
      <c r="G93" s="436"/>
      <c r="H93" s="267"/>
    </row>
    <row r="94">
      <c r="A94" s="265"/>
      <c r="B94" s="419"/>
      <c r="C94" s="434"/>
      <c r="D94" s="414"/>
      <c r="E94" s="417"/>
      <c r="F94" s="284"/>
      <c r="G94" s="285"/>
      <c r="H94" s="251"/>
    </row>
    <row r="95">
      <c r="A95" s="265"/>
      <c r="B95" s="404"/>
      <c r="C95" s="405"/>
      <c r="D95" s="399"/>
      <c r="E95" s="398"/>
      <c r="F95" s="284"/>
      <c r="G95" s="285"/>
      <c r="H95" s="251"/>
    </row>
    <row r="96">
      <c r="A96" s="265"/>
      <c r="B96" s="404"/>
      <c r="C96" s="424"/>
      <c r="D96" s="399"/>
      <c r="E96" s="398"/>
      <c r="F96" s="284"/>
      <c r="G96" s="285"/>
      <c r="H96" s="251"/>
      <c r="I96" s="417"/>
    </row>
    <row r="97">
      <c r="A97" s="265"/>
      <c r="B97" s="404"/>
      <c r="C97" s="405"/>
      <c r="D97" s="399"/>
      <c r="E97" s="398"/>
      <c r="F97" s="284"/>
      <c r="G97" s="285"/>
      <c r="H97" s="251"/>
    </row>
    <row r="98">
      <c r="A98" s="265"/>
      <c r="B98" s="404"/>
      <c r="C98" s="405"/>
      <c r="D98" s="399"/>
      <c r="E98" s="398"/>
      <c r="F98" s="284"/>
      <c r="G98" s="285"/>
      <c r="H98" s="251"/>
    </row>
    <row r="99">
      <c r="A99" s="265"/>
      <c r="B99" s="404"/>
      <c r="C99" s="405"/>
      <c r="D99" s="400"/>
      <c r="E99" s="442"/>
      <c r="F99" s="284"/>
      <c r="G99" s="285"/>
      <c r="H99" s="267"/>
    </row>
    <row r="100">
      <c r="A100" s="265"/>
      <c r="B100" s="404"/>
      <c r="C100" s="424"/>
      <c r="D100" s="399"/>
      <c r="E100" s="442"/>
      <c r="F100" s="284"/>
      <c r="G100" s="285"/>
      <c r="H100" s="251"/>
    </row>
    <row r="101">
      <c r="A101" s="265"/>
      <c r="B101" s="440"/>
      <c r="C101" s="424"/>
      <c r="D101" s="400"/>
      <c r="E101" s="442"/>
      <c r="F101" s="284"/>
      <c r="G101" s="285"/>
      <c r="H101" s="251"/>
    </row>
    <row r="102">
      <c r="A102" s="265"/>
      <c r="B102" s="440"/>
      <c r="C102" s="424"/>
      <c r="D102" s="400"/>
      <c r="E102" s="442"/>
      <c r="F102" s="284"/>
      <c r="G102" s="481"/>
      <c r="H102" s="251"/>
    </row>
    <row r="103">
      <c r="A103" s="265"/>
      <c r="B103" s="480"/>
      <c r="C103" s="424"/>
      <c r="D103" s="400"/>
      <c r="E103" s="442"/>
      <c r="F103" s="284"/>
      <c r="G103" s="481"/>
      <c r="H103" s="251"/>
    </row>
    <row r="104">
      <c r="A104" s="270"/>
      <c r="B104" s="478"/>
      <c r="C104" s="471"/>
      <c r="D104" s="472"/>
      <c r="E104" s="473"/>
      <c r="F104" s="460"/>
      <c r="G104" s="482"/>
      <c r="H104" s="261"/>
    </row>
    <row r="105">
      <c r="A105" s="262" t="s">
        <v>1783</v>
      </c>
      <c r="B105" s="461"/>
      <c r="C105" s="445"/>
      <c r="D105" s="421"/>
      <c r="E105" s="422"/>
      <c r="F105" s="403">
        <v>30.0</v>
      </c>
      <c r="G105" s="436" t="s">
        <v>1784</v>
      </c>
      <c r="H105" s="245">
        <v>300.0</v>
      </c>
      <c r="I105" s="2" t="s">
        <v>1785</v>
      </c>
    </row>
    <row r="106">
      <c r="A106" s="265"/>
      <c r="B106" s="404"/>
      <c r="C106" s="405"/>
      <c r="D106" s="399"/>
      <c r="E106" s="398"/>
      <c r="F106" s="284"/>
      <c r="G106" s="285"/>
      <c r="H106" s="251"/>
      <c r="I106" s="2" t="s">
        <v>1259</v>
      </c>
    </row>
    <row r="107">
      <c r="A107" s="265"/>
      <c r="B107" s="404"/>
      <c r="C107" s="405"/>
      <c r="D107" s="399"/>
      <c r="E107" s="398"/>
      <c r="F107" s="284"/>
      <c r="G107" s="285"/>
      <c r="H107" s="251"/>
    </row>
    <row r="108">
      <c r="A108" s="265"/>
      <c r="B108" s="419"/>
      <c r="C108" s="434"/>
      <c r="D108" s="414"/>
      <c r="E108" s="417"/>
      <c r="F108" s="418"/>
      <c r="G108" s="420"/>
      <c r="H108" s="251"/>
    </row>
    <row r="109">
      <c r="A109" s="265"/>
      <c r="B109" s="404"/>
      <c r="C109" s="405"/>
      <c r="D109" s="399"/>
      <c r="E109" s="398"/>
      <c r="F109" s="284"/>
      <c r="G109" s="285"/>
      <c r="H109" s="251"/>
    </row>
    <row r="110">
      <c r="A110" s="265"/>
      <c r="B110" s="404"/>
      <c r="C110" s="405"/>
      <c r="D110" s="399"/>
      <c r="E110" s="398"/>
      <c r="F110" s="284"/>
      <c r="G110" s="285"/>
      <c r="H110" s="251"/>
    </row>
    <row r="111">
      <c r="A111" s="265"/>
      <c r="B111" s="404"/>
      <c r="C111" s="405"/>
      <c r="D111" s="399"/>
      <c r="E111" s="442"/>
      <c r="F111" s="284"/>
      <c r="G111" s="285"/>
      <c r="H111" s="251"/>
    </row>
    <row r="112">
      <c r="A112" s="265"/>
      <c r="B112" s="404"/>
      <c r="C112" s="424"/>
      <c r="D112" s="399"/>
      <c r="E112" s="442"/>
      <c r="F112" s="284"/>
      <c r="G112" s="285"/>
      <c r="H112" s="251"/>
    </row>
    <row r="113">
      <c r="A113" s="265"/>
      <c r="B113" s="477"/>
      <c r="C113" s="405"/>
      <c r="D113" s="399"/>
      <c r="E113" s="442"/>
      <c r="F113" s="284"/>
      <c r="G113" s="285"/>
      <c r="H113" s="251"/>
    </row>
    <row r="114">
      <c r="A114" s="265"/>
      <c r="B114" s="404"/>
      <c r="C114" s="424"/>
      <c r="D114" s="399"/>
      <c r="E114" s="442"/>
      <c r="F114" s="284"/>
      <c r="G114" s="442"/>
      <c r="H114" s="251"/>
    </row>
    <row r="115">
      <c r="A115" s="265"/>
      <c r="B115" s="404"/>
      <c r="C115" s="424"/>
      <c r="D115" s="399"/>
      <c r="E115" s="442"/>
      <c r="F115" s="284"/>
      <c r="G115" s="285"/>
      <c r="H115" s="251"/>
    </row>
    <row r="116">
      <c r="A116" s="265"/>
      <c r="B116" s="440"/>
      <c r="C116" s="424"/>
      <c r="D116" s="400"/>
      <c r="E116" s="442"/>
      <c r="F116" s="284"/>
      <c r="G116" s="285"/>
      <c r="H116" s="251"/>
    </row>
    <row r="117">
      <c r="A117" s="265"/>
      <c r="B117" s="440"/>
      <c r="C117" s="424"/>
      <c r="D117" s="400"/>
      <c r="E117" s="442"/>
      <c r="F117" s="463"/>
      <c r="G117" s="481"/>
      <c r="H117" s="251"/>
    </row>
    <row r="118">
      <c r="A118" s="265"/>
      <c r="B118" s="480"/>
      <c r="C118" s="424"/>
      <c r="D118" s="400"/>
      <c r="E118" s="442"/>
      <c r="F118" s="284"/>
      <c r="G118" s="481"/>
      <c r="H118" s="251"/>
    </row>
    <row r="119">
      <c r="A119" s="270"/>
      <c r="B119" s="478"/>
      <c r="C119" s="471"/>
      <c r="D119" s="472"/>
      <c r="E119" s="473"/>
      <c r="F119" s="474"/>
      <c r="G119" s="475"/>
      <c r="H119" s="261"/>
      <c r="I119" s="2" t="s">
        <v>1786</v>
      </c>
    </row>
    <row r="120">
      <c r="A120" s="262" t="s">
        <v>1507</v>
      </c>
      <c r="B120" s="425"/>
      <c r="C120" s="445"/>
      <c r="D120" s="421"/>
      <c r="E120" s="422"/>
      <c r="F120" s="403"/>
      <c r="G120" s="436"/>
      <c r="H120" s="245">
        <v>134.0</v>
      </c>
      <c r="I120" s="2" t="s">
        <v>1787</v>
      </c>
    </row>
    <row r="121">
      <c r="A121" s="265"/>
      <c r="B121" s="404"/>
      <c r="C121" s="405"/>
      <c r="D121" s="399"/>
      <c r="E121" s="398"/>
      <c r="F121" s="284"/>
      <c r="G121" s="285"/>
      <c r="H121" s="267"/>
      <c r="I121" s="2" t="s">
        <v>1788</v>
      </c>
    </row>
    <row r="122">
      <c r="A122" s="265"/>
      <c r="B122" s="404"/>
      <c r="C122" s="427"/>
      <c r="D122" s="399"/>
      <c r="E122" s="398"/>
      <c r="F122" s="284"/>
      <c r="G122" s="285"/>
      <c r="H122" s="251"/>
      <c r="I122" s="2" t="s">
        <v>1789</v>
      </c>
    </row>
    <row r="123">
      <c r="A123" s="265"/>
      <c r="B123" s="404"/>
      <c r="C123" s="405"/>
      <c r="D123" s="399"/>
      <c r="E123" s="398"/>
      <c r="F123" s="284"/>
      <c r="G123" s="285"/>
      <c r="H123" s="267"/>
    </row>
    <row r="124">
      <c r="A124" s="265"/>
      <c r="B124" s="419"/>
      <c r="C124" s="427"/>
      <c r="D124" s="414"/>
      <c r="E124" s="417"/>
      <c r="F124" s="418"/>
      <c r="G124" s="420"/>
      <c r="H124" s="251"/>
    </row>
    <row r="125">
      <c r="A125" s="265"/>
      <c r="B125" s="419"/>
      <c r="C125" s="427"/>
      <c r="D125" s="414"/>
      <c r="E125" s="417"/>
      <c r="F125" s="418"/>
      <c r="G125" s="420"/>
      <c r="H125" s="251"/>
    </row>
    <row r="126">
      <c r="A126" s="265"/>
      <c r="B126" s="404"/>
      <c r="C126" s="405"/>
      <c r="D126" s="399"/>
      <c r="E126" s="398"/>
      <c r="F126" s="284"/>
      <c r="G126" s="285"/>
      <c r="H126" s="251"/>
    </row>
    <row r="127">
      <c r="A127" s="265"/>
      <c r="B127" s="404"/>
      <c r="C127" s="424"/>
      <c r="D127" s="399"/>
      <c r="E127" s="442"/>
      <c r="F127" s="284"/>
      <c r="G127" s="285"/>
      <c r="H127" s="251"/>
    </row>
    <row r="128">
      <c r="A128" s="265"/>
      <c r="B128" s="404"/>
      <c r="C128" s="424"/>
      <c r="D128" s="399"/>
      <c r="E128" s="398"/>
      <c r="F128" s="284"/>
      <c r="G128" s="285"/>
      <c r="H128" s="251"/>
    </row>
    <row r="129">
      <c r="A129" s="265"/>
      <c r="B129" s="440"/>
      <c r="C129" s="424"/>
      <c r="D129" s="399"/>
      <c r="E129" s="442"/>
      <c r="F129" s="284"/>
      <c r="G129" s="285"/>
      <c r="H129" s="251"/>
    </row>
    <row r="130">
      <c r="A130" s="270"/>
      <c r="B130" s="470"/>
      <c r="C130" s="471"/>
      <c r="D130" s="486"/>
      <c r="E130" s="473"/>
      <c r="F130" s="474"/>
      <c r="G130" s="475"/>
      <c r="H130" s="261"/>
    </row>
    <row r="131">
      <c r="A131" s="262" t="s">
        <v>1508</v>
      </c>
      <c r="B131" s="425">
        <v>6700.0</v>
      </c>
      <c r="C131" s="445"/>
      <c r="D131" s="421"/>
      <c r="E131" s="422"/>
      <c r="F131" s="403"/>
      <c r="G131" s="436" t="s">
        <v>1790</v>
      </c>
      <c r="H131" s="245">
        <v>430.0</v>
      </c>
      <c r="I131" s="2" t="s">
        <v>1791</v>
      </c>
    </row>
    <row r="132">
      <c r="A132" s="265"/>
      <c r="B132" s="404">
        <v>17000.0</v>
      </c>
      <c r="C132" s="487"/>
      <c r="D132" s="399"/>
      <c r="E132" s="398"/>
      <c r="F132" s="284"/>
      <c r="G132" s="285" t="s">
        <v>97</v>
      </c>
      <c r="H132" s="267"/>
      <c r="I132" s="2" t="s">
        <v>1259</v>
      </c>
    </row>
    <row r="133">
      <c r="A133" s="265"/>
      <c r="B133" s="404"/>
      <c r="C133" s="405"/>
      <c r="D133" s="399"/>
      <c r="E133" s="398"/>
      <c r="F133" s="284"/>
      <c r="G133" s="285"/>
      <c r="H133" s="267"/>
    </row>
    <row r="134">
      <c r="A134" s="265"/>
      <c r="B134" s="404"/>
      <c r="C134" s="405"/>
      <c r="D134" s="399"/>
      <c r="E134" s="398"/>
      <c r="F134" s="284"/>
      <c r="G134" s="285"/>
      <c r="H134" s="251"/>
    </row>
    <row r="135">
      <c r="A135" s="265"/>
      <c r="B135" s="404"/>
      <c r="C135" s="405"/>
      <c r="D135" s="399"/>
      <c r="E135" s="285"/>
      <c r="F135" s="284"/>
      <c r="G135" s="285"/>
      <c r="H135" s="251"/>
      <c r="I135" s="254"/>
    </row>
    <row r="136">
      <c r="A136" s="265"/>
      <c r="B136" s="404"/>
      <c r="C136" s="424"/>
      <c r="D136" s="399"/>
      <c r="E136" s="398"/>
      <c r="F136" s="284"/>
      <c r="G136" s="285"/>
      <c r="H136" s="251"/>
    </row>
    <row r="137">
      <c r="A137" s="265"/>
      <c r="B137" s="404"/>
      <c r="C137" s="405"/>
      <c r="D137" s="399"/>
      <c r="E137" s="398"/>
      <c r="F137" s="284"/>
      <c r="G137" s="285"/>
      <c r="H137" s="267"/>
    </row>
    <row r="138">
      <c r="A138" s="265"/>
      <c r="B138" s="404"/>
      <c r="C138" s="424"/>
      <c r="D138" s="400"/>
      <c r="E138" s="398"/>
      <c r="F138" s="284"/>
      <c r="G138" s="285"/>
      <c r="H138" s="251"/>
    </row>
    <row r="139">
      <c r="A139" s="265"/>
      <c r="B139" s="419"/>
      <c r="C139" s="434"/>
      <c r="D139" s="414"/>
      <c r="E139" s="417"/>
      <c r="F139" s="418"/>
      <c r="G139" s="420"/>
      <c r="H139" s="251"/>
    </row>
    <row r="140">
      <c r="A140" s="265"/>
      <c r="B140" s="419"/>
      <c r="C140" s="434"/>
      <c r="D140" s="523"/>
      <c r="E140" s="417"/>
      <c r="F140" s="418"/>
      <c r="G140" s="420"/>
      <c r="H140" s="251"/>
    </row>
    <row r="141">
      <c r="A141" s="265"/>
      <c r="B141" s="404"/>
      <c r="C141" s="424"/>
      <c r="D141" s="400"/>
      <c r="E141" s="442"/>
      <c r="F141" s="284"/>
      <c r="G141" s="285"/>
      <c r="H141" s="251"/>
    </row>
    <row r="142">
      <c r="A142" s="265"/>
      <c r="B142" s="404"/>
      <c r="C142" s="424"/>
      <c r="D142" s="400"/>
      <c r="E142" s="442"/>
      <c r="F142" s="284"/>
      <c r="G142" s="285"/>
      <c r="H142" s="251"/>
    </row>
    <row r="143">
      <c r="A143" s="265"/>
      <c r="B143" s="477"/>
      <c r="C143" s="424"/>
      <c r="D143" s="400"/>
      <c r="E143" s="442"/>
      <c r="F143" s="284"/>
      <c r="G143" s="481"/>
      <c r="H143" s="251"/>
    </row>
    <row r="144">
      <c r="A144" s="265"/>
      <c r="B144" s="477"/>
      <c r="C144" s="424"/>
      <c r="D144" s="400"/>
      <c r="E144" s="442"/>
      <c r="F144" s="284"/>
      <c r="G144" s="481"/>
      <c r="H144" s="251"/>
    </row>
    <row r="145">
      <c r="A145" s="270"/>
      <c r="B145" s="478"/>
      <c r="C145" s="471"/>
      <c r="D145" s="472"/>
      <c r="E145" s="473"/>
      <c r="F145" s="474"/>
      <c r="G145" s="475"/>
      <c r="H145" s="261"/>
    </row>
    <row r="146">
      <c r="A146" s="262" t="s">
        <v>1792</v>
      </c>
      <c r="B146" s="419"/>
      <c r="C146" s="427"/>
      <c r="D146" s="414"/>
      <c r="E146" s="417"/>
      <c r="F146" s="250"/>
      <c r="G146" s="254"/>
      <c r="H146" s="536"/>
      <c r="I146" s="2" t="s">
        <v>1352</v>
      </c>
    </row>
    <row r="147">
      <c r="A147" s="265"/>
      <c r="B147" s="404"/>
      <c r="C147" s="405"/>
      <c r="D147" s="399"/>
      <c r="E147" s="398"/>
      <c r="F147" s="284"/>
      <c r="G147" s="285"/>
      <c r="H147" s="286"/>
      <c r="I147" s="2" t="s">
        <v>1793</v>
      </c>
    </row>
    <row r="148">
      <c r="A148" s="265"/>
      <c r="B148" s="404"/>
      <c r="C148" s="405"/>
      <c r="D148" s="399"/>
      <c r="E148" s="398"/>
      <c r="F148" s="284"/>
      <c r="G148" s="285"/>
      <c r="H148" s="267"/>
      <c r="I148" s="2" t="s">
        <v>1794</v>
      </c>
    </row>
    <row r="149">
      <c r="A149" s="265"/>
      <c r="B149" s="404"/>
      <c r="C149" s="405"/>
      <c r="D149" s="399"/>
      <c r="E149" s="398"/>
      <c r="F149" s="284"/>
      <c r="G149" s="285"/>
      <c r="H149" s="251"/>
      <c r="I149" s="2" t="s">
        <v>1259</v>
      </c>
    </row>
    <row r="150">
      <c r="A150" s="265"/>
      <c r="B150" s="419"/>
      <c r="C150" s="427"/>
      <c r="D150" s="414"/>
      <c r="E150" s="417"/>
      <c r="F150" s="418"/>
      <c r="G150" s="420"/>
      <c r="H150" s="267"/>
    </row>
    <row r="151">
      <c r="A151" s="265"/>
      <c r="B151" s="404"/>
      <c r="C151" s="424"/>
      <c r="D151" s="399"/>
      <c r="E151" s="442"/>
      <c r="F151" s="284"/>
      <c r="G151" s="285"/>
      <c r="H151" s="251"/>
    </row>
    <row r="152">
      <c r="A152" s="265"/>
      <c r="B152" s="404"/>
      <c r="C152" s="424"/>
      <c r="D152" s="399"/>
      <c r="E152" s="398"/>
      <c r="F152" s="284"/>
      <c r="G152" s="285"/>
      <c r="H152" s="267">
        <v>90.0</v>
      </c>
      <c r="I152" s="2" t="s">
        <v>1342</v>
      </c>
    </row>
    <row r="153">
      <c r="A153" s="265"/>
      <c r="B153" s="404"/>
      <c r="C153" s="424"/>
      <c r="D153" s="399"/>
      <c r="E153" s="442"/>
      <c r="F153" s="284"/>
      <c r="G153" s="285"/>
      <c r="H153" s="251"/>
    </row>
    <row r="154">
      <c r="A154" s="265"/>
      <c r="B154" s="404"/>
      <c r="C154" s="405"/>
      <c r="D154" s="399"/>
      <c r="E154" s="442"/>
      <c r="F154" s="284"/>
      <c r="G154" s="285"/>
      <c r="H154" s="251"/>
    </row>
    <row r="155">
      <c r="A155" s="265"/>
      <c r="B155" s="404"/>
      <c r="C155" s="424"/>
      <c r="D155" s="399"/>
      <c r="E155" s="442"/>
      <c r="F155" s="284"/>
      <c r="G155" s="285"/>
      <c r="H155" s="251"/>
    </row>
    <row r="156">
      <c r="A156" s="265"/>
      <c r="B156" s="404"/>
      <c r="C156" s="424"/>
      <c r="D156" s="399"/>
      <c r="E156" s="442"/>
      <c r="F156" s="284"/>
      <c r="G156" s="285"/>
      <c r="H156" s="251"/>
    </row>
    <row r="157">
      <c r="A157" s="265"/>
      <c r="B157" s="404"/>
      <c r="C157" s="405"/>
      <c r="D157" s="399"/>
      <c r="E157" s="442"/>
      <c r="F157" s="284"/>
      <c r="G157" s="285"/>
      <c r="H157" s="251"/>
    </row>
    <row r="158">
      <c r="A158" s="265"/>
      <c r="B158" s="404"/>
      <c r="C158" s="405"/>
      <c r="D158" s="399"/>
      <c r="E158" s="442"/>
      <c r="F158" s="284"/>
      <c r="G158" s="285"/>
      <c r="H158" s="251"/>
    </row>
    <row r="159">
      <c r="A159" s="265"/>
      <c r="B159" s="404"/>
      <c r="C159" s="424"/>
      <c r="D159" s="399"/>
      <c r="E159" s="442"/>
      <c r="F159" s="284"/>
      <c r="G159" s="285"/>
      <c r="H159" s="251"/>
    </row>
    <row r="160">
      <c r="A160" s="265"/>
      <c r="B160" s="404"/>
      <c r="C160" s="424"/>
      <c r="D160" s="400"/>
      <c r="E160" s="442"/>
      <c r="F160" s="284"/>
      <c r="G160" s="285"/>
      <c r="H160" s="251"/>
    </row>
    <row r="161">
      <c r="A161" s="270"/>
      <c r="B161" s="404"/>
      <c r="C161" s="424"/>
      <c r="D161" s="399"/>
      <c r="E161" s="442"/>
      <c r="F161" s="284"/>
      <c r="G161" s="285"/>
      <c r="H161" s="261"/>
    </row>
    <row r="162">
      <c r="A162" s="262" t="s">
        <v>1513</v>
      </c>
      <c r="B162" s="425"/>
      <c r="C162" s="426"/>
      <c r="D162" s="401"/>
      <c r="E162" s="402"/>
      <c r="F162" s="403"/>
      <c r="G162" s="436"/>
      <c r="H162" s="245">
        <f>350+60</f>
        <v>410</v>
      </c>
    </row>
    <row r="163">
      <c r="A163" s="265"/>
      <c r="B163" s="404"/>
      <c r="C163" s="405"/>
      <c r="D163" s="399"/>
      <c r="E163" s="442"/>
      <c r="F163" s="284"/>
      <c r="G163" s="285"/>
      <c r="H163" s="267"/>
    </row>
    <row r="164">
      <c r="A164" s="265"/>
      <c r="B164" s="419"/>
      <c r="C164" s="434"/>
      <c r="D164" s="414"/>
      <c r="E164" s="417"/>
      <c r="F164" s="418"/>
      <c r="G164" s="420"/>
      <c r="H164" s="251"/>
    </row>
    <row r="165">
      <c r="A165" s="265"/>
      <c r="B165" s="404"/>
      <c r="C165" s="405"/>
      <c r="D165" s="399"/>
      <c r="E165" s="398"/>
      <c r="F165" s="284"/>
      <c r="G165" s="285"/>
      <c r="H165" s="251"/>
    </row>
    <row r="166">
      <c r="A166" s="265"/>
      <c r="B166" s="404"/>
      <c r="C166" s="405"/>
      <c r="D166" s="399"/>
      <c r="E166" s="398"/>
      <c r="F166" s="284"/>
      <c r="G166" s="285"/>
      <c r="H166" s="251"/>
    </row>
    <row r="167">
      <c r="A167" s="265"/>
      <c r="B167" s="404"/>
      <c r="C167" s="405"/>
      <c r="D167" s="399"/>
      <c r="E167" s="442"/>
      <c r="F167" s="284"/>
      <c r="G167" s="285"/>
      <c r="H167" s="267"/>
    </row>
    <row r="168">
      <c r="A168" s="265"/>
      <c r="B168" s="404"/>
      <c r="C168" s="405"/>
      <c r="D168" s="399"/>
      <c r="E168" s="442"/>
      <c r="F168" s="284"/>
      <c r="G168" s="488"/>
      <c r="H168" s="251"/>
    </row>
    <row r="169">
      <c r="A169" s="265"/>
      <c r="B169" s="404"/>
      <c r="C169" s="424"/>
      <c r="D169" s="399"/>
      <c r="E169" s="442"/>
      <c r="F169" s="284"/>
      <c r="G169" s="285"/>
      <c r="H169" s="251"/>
    </row>
    <row r="170">
      <c r="A170" s="265"/>
      <c r="B170" s="404"/>
      <c r="C170" s="405"/>
      <c r="D170" s="399"/>
      <c r="E170" s="442"/>
      <c r="F170" s="284"/>
      <c r="G170" s="285"/>
      <c r="H170" s="251"/>
    </row>
    <row r="171">
      <c r="A171" s="265"/>
      <c r="B171" s="404"/>
      <c r="C171" s="405"/>
      <c r="D171" s="400"/>
      <c r="E171" s="442"/>
      <c r="F171" s="284"/>
      <c r="G171" s="285"/>
      <c r="H171" s="251"/>
    </row>
    <row r="172">
      <c r="A172" s="265"/>
      <c r="B172" s="477"/>
      <c r="C172" s="405"/>
      <c r="D172" s="400"/>
      <c r="E172" s="442"/>
      <c r="F172" s="284"/>
      <c r="G172" s="481"/>
      <c r="H172" s="251"/>
    </row>
    <row r="173">
      <c r="A173" s="265"/>
      <c r="B173" s="404"/>
      <c r="C173" s="405"/>
      <c r="D173" s="400"/>
      <c r="E173" s="442"/>
      <c r="F173" s="284"/>
      <c r="G173" s="481"/>
      <c r="H173" s="251"/>
    </row>
    <row r="174">
      <c r="A174" s="265"/>
      <c r="B174" s="480"/>
      <c r="C174" s="424"/>
      <c r="D174" s="400"/>
      <c r="E174" s="442"/>
      <c r="F174" s="284"/>
      <c r="G174" s="481"/>
      <c r="H174" s="251"/>
    </row>
    <row r="175">
      <c r="A175" s="265"/>
      <c r="B175" s="480"/>
      <c r="C175" s="424"/>
      <c r="D175" s="400"/>
      <c r="E175" s="442"/>
      <c r="F175" s="463"/>
      <c r="G175" s="481"/>
      <c r="H175" s="251"/>
    </row>
    <row r="176">
      <c r="A176" s="270"/>
      <c r="B176" s="478"/>
      <c r="C176" s="471"/>
      <c r="D176" s="472"/>
      <c r="E176" s="473"/>
      <c r="F176" s="460"/>
      <c r="G176" s="482"/>
      <c r="H176" s="261"/>
    </row>
    <row r="177">
      <c r="A177" s="262" t="s">
        <v>1515</v>
      </c>
      <c r="B177" s="425">
        <v>24400.0</v>
      </c>
      <c r="C177" s="426"/>
      <c r="D177" s="401"/>
      <c r="E177" s="402"/>
      <c r="F177" s="403"/>
      <c r="G177" s="436" t="s">
        <v>1795</v>
      </c>
      <c r="H177" s="245">
        <v>110.0</v>
      </c>
      <c r="I177" s="2" t="s">
        <v>1796</v>
      </c>
    </row>
    <row r="178">
      <c r="A178" s="265"/>
      <c r="B178" s="404"/>
      <c r="C178" s="405"/>
      <c r="D178" s="399"/>
      <c r="E178" s="398"/>
      <c r="F178" s="284"/>
      <c r="G178" s="285"/>
      <c r="H178" s="267"/>
      <c r="I178" s="2" t="s">
        <v>1259</v>
      </c>
    </row>
    <row r="179">
      <c r="A179" s="265"/>
      <c r="B179" s="404"/>
      <c r="C179" s="424"/>
      <c r="D179" s="399"/>
      <c r="E179" s="398"/>
      <c r="F179" s="284"/>
      <c r="G179" s="285"/>
      <c r="H179" s="251"/>
    </row>
    <row r="180">
      <c r="A180" s="265"/>
      <c r="B180" s="404"/>
      <c r="C180" s="405"/>
      <c r="D180" s="399"/>
      <c r="E180" s="398"/>
      <c r="F180" s="284"/>
      <c r="G180" s="285"/>
      <c r="H180" s="267"/>
    </row>
    <row r="181">
      <c r="A181" s="265"/>
      <c r="B181" s="404"/>
      <c r="C181" s="405"/>
      <c r="D181" s="399"/>
      <c r="E181" s="398"/>
      <c r="F181" s="284"/>
      <c r="G181" s="285"/>
      <c r="H181" s="251"/>
    </row>
    <row r="182">
      <c r="A182" s="265"/>
      <c r="B182" s="404"/>
      <c r="C182" s="405"/>
      <c r="D182" s="399"/>
      <c r="E182" s="398"/>
      <c r="F182" s="284"/>
      <c r="G182" s="285"/>
      <c r="H182" s="251"/>
    </row>
    <row r="183">
      <c r="A183" s="265"/>
      <c r="B183" s="404"/>
      <c r="C183" s="424"/>
      <c r="D183" s="399"/>
      <c r="E183" s="398"/>
      <c r="F183" s="284"/>
      <c r="G183" s="285"/>
      <c r="H183" s="251"/>
    </row>
    <row r="184">
      <c r="A184" s="265"/>
      <c r="B184" s="404"/>
      <c r="C184" s="424"/>
      <c r="D184" s="400"/>
      <c r="E184" s="398"/>
      <c r="F184" s="284"/>
      <c r="G184" s="285"/>
      <c r="H184" s="251"/>
      <c r="I184" s="269"/>
      <c r="J184" s="269"/>
      <c r="K184" s="269"/>
    </row>
    <row r="185">
      <c r="A185" s="265"/>
      <c r="B185" s="404"/>
      <c r="C185" s="405"/>
      <c r="D185" s="399"/>
      <c r="E185" s="481"/>
      <c r="F185" s="284"/>
      <c r="G185" s="285"/>
      <c r="H185" s="251"/>
      <c r="I185" s="269"/>
      <c r="J185" s="269"/>
      <c r="K185" s="269"/>
    </row>
    <row r="186">
      <c r="A186" s="265"/>
      <c r="B186" s="440"/>
      <c r="C186" s="424"/>
      <c r="D186" s="399"/>
      <c r="E186" s="285"/>
      <c r="F186" s="284"/>
      <c r="G186" s="285"/>
      <c r="H186" s="251"/>
      <c r="I186" s="254"/>
      <c r="J186" s="269"/>
      <c r="K186" s="269"/>
    </row>
    <row r="187">
      <c r="A187" s="265"/>
      <c r="B187" s="440"/>
      <c r="C187" s="424"/>
      <c r="D187" s="400"/>
      <c r="E187" s="481"/>
      <c r="F187" s="463"/>
      <c r="G187" s="285"/>
      <c r="H187" s="251"/>
      <c r="I187" s="269"/>
      <c r="J187" s="269"/>
      <c r="K187" s="269"/>
    </row>
    <row r="188">
      <c r="A188" s="270"/>
      <c r="B188" s="478"/>
      <c r="C188" s="471"/>
      <c r="D188" s="472"/>
      <c r="E188" s="482"/>
      <c r="F188" s="460"/>
      <c r="G188" s="482"/>
      <c r="H188" s="261"/>
      <c r="I188" s="269"/>
      <c r="J188" s="269"/>
      <c r="K188" s="269"/>
    </row>
    <row r="189">
      <c r="A189" s="262" t="s">
        <v>1521</v>
      </c>
      <c r="B189" s="461"/>
      <c r="C189" s="445"/>
      <c r="D189" s="421"/>
      <c r="E189" s="422"/>
      <c r="F189" s="403">
        <v>16800.0</v>
      </c>
      <c r="G189" s="436" t="s">
        <v>1797</v>
      </c>
      <c r="H189" s="245">
        <f>220+150</f>
        <v>370</v>
      </c>
      <c r="I189" s="254"/>
      <c r="J189" s="254"/>
      <c r="K189" s="254"/>
    </row>
    <row r="190">
      <c r="A190" s="265"/>
      <c r="B190" s="404"/>
      <c r="C190" s="405"/>
      <c r="D190" s="399"/>
      <c r="E190" s="398"/>
      <c r="F190" s="284"/>
      <c r="G190" s="285"/>
      <c r="H190" s="267"/>
      <c r="I190" s="285"/>
      <c r="J190" s="254"/>
      <c r="K190" s="254"/>
    </row>
    <row r="191">
      <c r="A191" s="265"/>
      <c r="B191" s="419"/>
      <c r="C191" s="427"/>
      <c r="D191" s="414"/>
      <c r="E191" s="417"/>
      <c r="F191" s="418"/>
      <c r="G191" s="420"/>
      <c r="H191" s="251"/>
      <c r="I191" s="254"/>
      <c r="J191" s="254"/>
      <c r="K191" s="254"/>
    </row>
    <row r="192">
      <c r="A192" s="265"/>
      <c r="B192" s="404"/>
      <c r="C192" s="405"/>
      <c r="D192" s="414"/>
      <c r="E192" s="417"/>
      <c r="F192" s="418"/>
      <c r="G192" s="420"/>
      <c r="H192" s="267"/>
      <c r="I192" s="254"/>
      <c r="J192" s="269"/>
      <c r="K192" s="269"/>
    </row>
    <row r="193">
      <c r="A193" s="265"/>
      <c r="B193" s="404"/>
      <c r="C193" s="405"/>
      <c r="D193" s="399"/>
      <c r="E193" s="398"/>
      <c r="F193" s="284"/>
      <c r="G193" s="285"/>
      <c r="H193" s="251"/>
      <c r="I193" s="269"/>
      <c r="J193" s="269"/>
      <c r="K193" s="269"/>
    </row>
    <row r="194">
      <c r="A194" s="265"/>
      <c r="B194" s="404"/>
      <c r="C194" s="405"/>
      <c r="D194" s="399"/>
      <c r="E194" s="398"/>
      <c r="F194" s="284"/>
      <c r="G194" s="285"/>
      <c r="H194" s="251"/>
      <c r="I194" s="269"/>
      <c r="J194" s="269"/>
      <c r="K194" s="269"/>
    </row>
    <row r="195">
      <c r="A195" s="265"/>
      <c r="B195" s="404"/>
      <c r="C195" s="424"/>
      <c r="D195" s="399"/>
      <c r="E195" s="398"/>
      <c r="F195" s="284"/>
      <c r="G195" s="285"/>
      <c r="H195" s="267"/>
      <c r="I195" s="254"/>
      <c r="J195" s="269"/>
      <c r="K195" s="269"/>
    </row>
    <row r="196">
      <c r="A196" s="265"/>
      <c r="B196" s="404"/>
      <c r="C196" s="424"/>
      <c r="D196" s="399"/>
      <c r="E196" s="398"/>
      <c r="F196" s="284"/>
      <c r="G196" s="398"/>
      <c r="H196" s="251"/>
      <c r="I196" s="254"/>
      <c r="J196" s="269"/>
      <c r="K196" s="269"/>
    </row>
    <row r="197">
      <c r="A197" s="265"/>
      <c r="B197" s="404"/>
      <c r="C197" s="424"/>
      <c r="D197" s="399"/>
      <c r="E197" s="398"/>
      <c r="F197" s="284"/>
      <c r="G197" s="285"/>
      <c r="H197" s="251"/>
      <c r="I197" s="269"/>
      <c r="J197" s="269"/>
      <c r="K197" s="269"/>
    </row>
    <row r="198">
      <c r="A198" s="265"/>
      <c r="B198" s="404"/>
      <c r="C198" s="424"/>
      <c r="D198" s="400"/>
      <c r="E198" s="442"/>
      <c r="F198" s="284"/>
      <c r="G198" s="285"/>
      <c r="H198" s="251"/>
    </row>
    <row r="199">
      <c r="A199" s="265"/>
      <c r="B199" s="404"/>
      <c r="C199" s="424"/>
      <c r="D199" s="400"/>
      <c r="E199" s="442"/>
      <c r="F199" s="284"/>
      <c r="G199" s="285"/>
      <c r="H199" s="251"/>
    </row>
    <row r="200">
      <c r="A200" s="265"/>
      <c r="B200" s="440"/>
      <c r="C200" s="424"/>
      <c r="D200" s="400"/>
      <c r="E200" s="442"/>
      <c r="F200" s="284"/>
      <c r="G200" s="285"/>
      <c r="H200" s="251"/>
    </row>
    <row r="201">
      <c r="A201" s="265"/>
      <c r="B201" s="480"/>
      <c r="C201" s="424"/>
      <c r="D201" s="400"/>
      <c r="E201" s="442"/>
      <c r="F201" s="463"/>
      <c r="G201" s="481"/>
      <c r="H201" s="251"/>
    </row>
    <row r="202">
      <c r="A202" s="265"/>
      <c r="B202" s="480"/>
      <c r="C202" s="424"/>
      <c r="D202" s="400"/>
      <c r="E202" s="442"/>
      <c r="F202" s="463"/>
      <c r="G202" s="481"/>
      <c r="H202" s="251"/>
    </row>
    <row r="203">
      <c r="A203" s="270"/>
      <c r="B203" s="478"/>
      <c r="C203" s="471"/>
      <c r="D203" s="472"/>
      <c r="E203" s="473"/>
      <c r="F203" s="460"/>
      <c r="G203" s="482"/>
      <c r="H203" s="261"/>
    </row>
    <row r="204">
      <c r="A204" s="262" t="s">
        <v>1523</v>
      </c>
      <c r="B204" s="461"/>
      <c r="C204" s="445"/>
      <c r="D204" s="421"/>
      <c r="E204" s="422"/>
      <c r="F204" s="403"/>
      <c r="G204" s="398"/>
      <c r="H204" s="245">
        <f>230+90</f>
        <v>320</v>
      </c>
      <c r="I204" s="2" t="s">
        <v>1798</v>
      </c>
    </row>
    <row r="205">
      <c r="A205" s="265"/>
      <c r="B205" s="404"/>
      <c r="C205" s="405"/>
      <c r="D205" s="399"/>
      <c r="E205" s="398"/>
      <c r="F205" s="284"/>
      <c r="G205" s="285"/>
      <c r="H205" s="267"/>
      <c r="I205" s="2" t="s">
        <v>1259</v>
      </c>
    </row>
    <row r="206">
      <c r="A206" s="265"/>
      <c r="B206" s="404"/>
      <c r="C206" s="405"/>
      <c r="D206" s="399"/>
      <c r="E206" s="398"/>
      <c r="F206" s="284"/>
      <c r="G206" s="285"/>
      <c r="H206" s="251"/>
    </row>
    <row r="207">
      <c r="A207" s="265"/>
      <c r="B207" s="404"/>
      <c r="C207" s="405"/>
      <c r="D207" s="399"/>
      <c r="E207" s="398"/>
      <c r="F207" s="284"/>
      <c r="G207" s="285"/>
      <c r="H207" s="251"/>
    </row>
    <row r="208">
      <c r="A208" s="265"/>
      <c r="B208" s="419"/>
      <c r="C208" s="434"/>
      <c r="D208" s="414"/>
      <c r="E208" s="417"/>
      <c r="F208" s="284"/>
      <c r="G208" s="285"/>
      <c r="H208" s="267"/>
    </row>
    <row r="209">
      <c r="A209" s="265"/>
      <c r="B209" s="404"/>
      <c r="C209" s="405"/>
      <c r="D209" s="399"/>
      <c r="E209" s="398"/>
      <c r="F209" s="284"/>
      <c r="G209" s="285"/>
      <c r="H209" s="267"/>
    </row>
    <row r="210">
      <c r="A210" s="265"/>
      <c r="B210" s="404"/>
      <c r="C210" s="405"/>
      <c r="D210" s="414"/>
      <c r="E210" s="528"/>
      <c r="F210" s="529"/>
      <c r="G210" s="420"/>
      <c r="H210" s="251"/>
    </row>
    <row r="211">
      <c r="A211" s="265"/>
      <c r="B211" s="404"/>
      <c r="C211" s="424"/>
      <c r="D211" s="400"/>
      <c r="E211" s="512"/>
      <c r="F211" s="513"/>
      <c r="G211" s="285"/>
      <c r="H211" s="251"/>
    </row>
    <row r="212">
      <c r="A212" s="265"/>
      <c r="B212" s="404"/>
      <c r="C212" s="424"/>
      <c r="D212" s="399"/>
      <c r="E212" s="398"/>
      <c r="F212" s="284"/>
      <c r="G212" s="285"/>
      <c r="H212" s="251"/>
    </row>
    <row r="213">
      <c r="A213" s="265"/>
      <c r="B213" s="404"/>
      <c r="C213" s="424"/>
      <c r="D213" s="400"/>
      <c r="E213" s="442"/>
      <c r="F213" s="284"/>
      <c r="G213" s="285"/>
      <c r="H213" s="251"/>
    </row>
    <row r="214">
      <c r="A214" s="265"/>
      <c r="B214" s="480"/>
      <c r="C214" s="424"/>
      <c r="D214" s="400"/>
      <c r="E214" s="442"/>
      <c r="F214" s="284"/>
      <c r="G214" s="285"/>
      <c r="H214" s="251"/>
    </row>
    <row r="215">
      <c r="A215" s="265"/>
      <c r="B215" s="480"/>
      <c r="C215" s="424"/>
      <c r="D215" s="400"/>
      <c r="E215" s="442"/>
      <c r="F215" s="284"/>
      <c r="G215" s="481"/>
      <c r="H215" s="251"/>
    </row>
    <row r="216">
      <c r="A216" s="265"/>
      <c r="B216" s="480"/>
      <c r="C216" s="424"/>
      <c r="D216" s="400"/>
      <c r="E216" s="442"/>
      <c r="F216" s="284"/>
      <c r="G216" s="481"/>
      <c r="H216" s="251"/>
    </row>
    <row r="217">
      <c r="A217" s="270"/>
      <c r="B217" s="478"/>
      <c r="C217" s="471"/>
      <c r="D217" s="472"/>
      <c r="E217" s="473"/>
      <c r="F217" s="460"/>
      <c r="G217" s="482"/>
      <c r="H217" s="261"/>
    </row>
    <row r="218">
      <c r="A218" s="262" t="s">
        <v>1526</v>
      </c>
      <c r="B218" s="425"/>
      <c r="C218" s="426"/>
      <c r="D218" s="421"/>
      <c r="E218" s="402"/>
      <c r="F218" s="403"/>
      <c r="G218" s="436"/>
      <c r="H218" s="245">
        <v>290.0</v>
      </c>
    </row>
    <row r="219">
      <c r="A219" s="265"/>
      <c r="B219" s="404"/>
      <c r="C219" s="405"/>
      <c r="D219" s="399"/>
      <c r="E219" s="398"/>
      <c r="F219" s="284"/>
      <c r="G219" s="285"/>
      <c r="H219" s="251"/>
    </row>
    <row r="220">
      <c r="A220" s="265"/>
      <c r="B220" s="404"/>
      <c r="C220" s="427"/>
      <c r="D220" s="399"/>
      <c r="E220" s="398"/>
      <c r="F220" s="284"/>
      <c r="G220" s="285"/>
      <c r="H220" s="267"/>
    </row>
    <row r="221">
      <c r="A221" s="265"/>
      <c r="B221" s="419"/>
      <c r="C221" s="427"/>
      <c r="D221" s="414"/>
      <c r="E221" s="417"/>
      <c r="F221" s="418"/>
      <c r="G221" s="420"/>
      <c r="H221" s="267"/>
    </row>
    <row r="222">
      <c r="A222" s="265"/>
      <c r="B222" s="419"/>
      <c r="C222" s="427"/>
      <c r="D222" s="414"/>
      <c r="E222" s="417"/>
      <c r="F222" s="418"/>
      <c r="G222" s="420"/>
      <c r="H222" s="251"/>
    </row>
    <row r="223">
      <c r="A223" s="265"/>
      <c r="B223" s="404"/>
      <c r="C223" s="405"/>
      <c r="D223" s="399"/>
      <c r="E223" s="442"/>
      <c r="F223" s="284"/>
      <c r="G223" s="285"/>
      <c r="H223" s="251"/>
    </row>
    <row r="224">
      <c r="A224" s="265"/>
      <c r="B224" s="404"/>
      <c r="C224" s="424"/>
      <c r="D224" s="399"/>
      <c r="E224" s="442"/>
      <c r="F224" s="284"/>
      <c r="G224" s="285"/>
      <c r="H224" s="251"/>
    </row>
    <row r="225">
      <c r="A225" s="265"/>
      <c r="B225" s="404"/>
      <c r="C225" s="405"/>
      <c r="D225" s="400"/>
      <c r="E225" s="442"/>
      <c r="F225" s="284"/>
      <c r="G225" s="285"/>
      <c r="H225" s="267"/>
    </row>
    <row r="226">
      <c r="A226" s="265"/>
      <c r="B226" s="404"/>
      <c r="C226" s="424"/>
      <c r="D226" s="400"/>
      <c r="E226" s="442"/>
      <c r="F226" s="284"/>
      <c r="G226" s="285"/>
      <c r="H226" s="251"/>
    </row>
    <row r="227">
      <c r="A227" s="265"/>
      <c r="B227" s="404"/>
      <c r="C227" s="424"/>
      <c r="D227" s="399"/>
      <c r="E227" s="398"/>
      <c r="F227" s="284"/>
      <c r="G227" s="285"/>
      <c r="H227" s="251"/>
    </row>
    <row r="228">
      <c r="A228" s="265"/>
      <c r="B228" s="404"/>
      <c r="C228" s="424"/>
      <c r="D228" s="399"/>
      <c r="E228" s="442"/>
      <c r="F228" s="284"/>
      <c r="G228" s="285"/>
      <c r="H228" s="267"/>
    </row>
    <row r="229">
      <c r="A229" s="265"/>
      <c r="B229" s="477"/>
      <c r="C229" s="424"/>
      <c r="D229" s="399"/>
      <c r="E229" s="442"/>
      <c r="F229" s="284"/>
      <c r="G229" s="285"/>
      <c r="H229" s="251"/>
    </row>
    <row r="230">
      <c r="A230" s="265"/>
      <c r="B230" s="477"/>
      <c r="C230" s="424"/>
      <c r="D230" s="400"/>
      <c r="E230" s="442"/>
      <c r="F230" s="284"/>
      <c r="G230" s="285"/>
      <c r="H230" s="251"/>
    </row>
    <row r="231">
      <c r="A231" s="265"/>
      <c r="B231" s="477"/>
      <c r="C231" s="424"/>
      <c r="D231" s="400"/>
      <c r="E231" s="442"/>
      <c r="F231" s="284"/>
      <c r="G231" s="285"/>
      <c r="H231" s="251"/>
    </row>
    <row r="232">
      <c r="A232" s="270"/>
      <c r="B232" s="478"/>
      <c r="C232" s="471"/>
      <c r="D232" s="472"/>
      <c r="E232" s="473"/>
      <c r="F232" s="474"/>
      <c r="G232" s="475"/>
      <c r="H232" s="261"/>
    </row>
    <row r="233">
      <c r="A233" s="262" t="s">
        <v>1799</v>
      </c>
      <c r="B233" s="425"/>
      <c r="C233" s="426"/>
      <c r="D233" s="399"/>
      <c r="E233" s="398"/>
      <c r="F233" s="284"/>
      <c r="G233" s="285"/>
      <c r="H233" s="245"/>
      <c r="I233" s="2" t="s">
        <v>1800</v>
      </c>
    </row>
    <row r="234">
      <c r="A234" s="265"/>
      <c r="B234" s="404"/>
      <c r="C234" s="405"/>
      <c r="D234" s="399"/>
      <c r="E234" s="398"/>
      <c r="F234" s="284"/>
      <c r="G234" s="285"/>
      <c r="H234" s="267">
        <v>240.0</v>
      </c>
      <c r="I234" s="2" t="s">
        <v>1352</v>
      </c>
    </row>
    <row r="235">
      <c r="A235" s="265"/>
      <c r="B235" s="404"/>
      <c r="C235" s="405"/>
      <c r="D235" s="399"/>
      <c r="E235" s="398"/>
      <c r="F235" s="284"/>
      <c r="G235" s="285"/>
      <c r="H235" s="267"/>
    </row>
    <row r="236">
      <c r="A236" s="265"/>
      <c r="B236" s="404"/>
      <c r="C236" s="405"/>
      <c r="D236" s="399"/>
      <c r="E236" s="398"/>
      <c r="F236" s="284"/>
      <c r="G236" s="285"/>
      <c r="H236" s="251"/>
    </row>
    <row r="237">
      <c r="A237" s="265"/>
      <c r="B237" s="404"/>
      <c r="C237" s="405"/>
      <c r="D237" s="399"/>
      <c r="E237" s="398"/>
      <c r="F237" s="284"/>
      <c r="G237" s="285"/>
      <c r="H237" s="251"/>
    </row>
    <row r="238">
      <c r="A238" s="265"/>
      <c r="B238" s="404"/>
      <c r="C238" s="405"/>
      <c r="D238" s="399"/>
      <c r="E238" s="442"/>
      <c r="F238" s="284"/>
      <c r="G238" s="285"/>
      <c r="H238" s="251"/>
    </row>
    <row r="239">
      <c r="A239" s="265"/>
      <c r="B239" s="404"/>
      <c r="C239" s="405"/>
      <c r="D239" s="399"/>
      <c r="E239" s="442"/>
      <c r="F239" s="284"/>
      <c r="G239" s="285"/>
      <c r="H239" s="267">
        <v>130.0</v>
      </c>
      <c r="I239" s="2" t="s">
        <v>1342</v>
      </c>
    </row>
    <row r="240">
      <c r="A240" s="265"/>
      <c r="B240" s="404"/>
      <c r="C240" s="405"/>
      <c r="D240" s="399"/>
      <c r="E240" s="442"/>
      <c r="F240" s="284"/>
      <c r="G240" s="285"/>
      <c r="H240" s="267"/>
    </row>
    <row r="241">
      <c r="A241" s="265"/>
      <c r="B241" s="404"/>
      <c r="C241" s="424"/>
      <c r="D241" s="399"/>
      <c r="E241" s="442"/>
      <c r="F241" s="284"/>
      <c r="G241" s="285"/>
      <c r="H241" s="267"/>
      <c r="I241" s="2" t="s">
        <v>1801</v>
      </c>
    </row>
    <row r="242">
      <c r="A242" s="265"/>
      <c r="B242" s="404"/>
      <c r="C242" s="424"/>
      <c r="D242" s="489"/>
      <c r="E242" s="490"/>
      <c r="F242" s="451"/>
      <c r="G242" s="435"/>
      <c r="H242" s="251"/>
    </row>
    <row r="243">
      <c r="A243" s="265"/>
      <c r="B243" s="404"/>
      <c r="C243" s="424"/>
      <c r="D243" s="400"/>
      <c r="E243" s="442"/>
      <c r="F243" s="284"/>
      <c r="G243" s="285"/>
      <c r="H243" s="251"/>
    </row>
    <row r="244">
      <c r="A244" s="265"/>
      <c r="B244" s="477"/>
      <c r="C244" s="424"/>
      <c r="D244" s="400"/>
      <c r="E244" s="442"/>
      <c r="F244" s="284"/>
      <c r="G244" s="481"/>
      <c r="H244" s="251"/>
    </row>
    <row r="245">
      <c r="A245" s="270"/>
      <c r="B245" s="478"/>
      <c r="C245" s="471"/>
      <c r="D245" s="472"/>
      <c r="E245" s="473"/>
      <c r="F245" s="474"/>
      <c r="G245" s="475"/>
      <c r="H245" s="261"/>
    </row>
    <row r="246">
      <c r="A246" s="262" t="s">
        <v>1537</v>
      </c>
      <c r="B246" s="425">
        <v>43400.0</v>
      </c>
      <c r="C246" s="445"/>
      <c r="D246" s="414"/>
      <c r="E246" s="417"/>
      <c r="F246" s="284"/>
      <c r="G246" s="285" t="s">
        <v>1802</v>
      </c>
      <c r="H246" s="245">
        <v>350.0</v>
      </c>
    </row>
    <row r="247">
      <c r="A247" s="265"/>
      <c r="B247" s="404"/>
      <c r="C247" s="405"/>
      <c r="D247" s="399"/>
      <c r="E247" s="398"/>
      <c r="F247" s="284"/>
      <c r="G247" s="285"/>
      <c r="H247" s="267"/>
      <c r="I247" s="417"/>
    </row>
    <row r="248">
      <c r="A248" s="265"/>
      <c r="B248" s="419"/>
      <c r="C248" s="427"/>
      <c r="D248" s="414"/>
      <c r="E248" s="417"/>
      <c r="F248" s="418"/>
      <c r="G248" s="420"/>
      <c r="H248" s="267"/>
    </row>
    <row r="249">
      <c r="A249" s="265"/>
      <c r="B249" s="404"/>
      <c r="C249" s="405"/>
      <c r="D249" s="414"/>
      <c r="E249" s="417"/>
      <c r="F249" s="284"/>
      <c r="G249" s="285"/>
      <c r="H249" s="251"/>
      <c r="I249" s="417"/>
    </row>
    <row r="250">
      <c r="A250" s="265"/>
      <c r="B250" s="404"/>
      <c r="C250" s="405"/>
      <c r="D250" s="414"/>
      <c r="E250" s="417"/>
      <c r="F250" s="284"/>
      <c r="G250" s="285"/>
      <c r="H250" s="251"/>
    </row>
    <row r="251">
      <c r="A251" s="265"/>
      <c r="B251" s="404"/>
      <c r="C251" s="405"/>
      <c r="D251" s="399"/>
      <c r="E251" s="398"/>
      <c r="F251" s="284"/>
      <c r="G251" s="285"/>
      <c r="H251" s="251"/>
    </row>
    <row r="252">
      <c r="A252" s="265"/>
      <c r="B252" s="419"/>
      <c r="C252" s="427"/>
      <c r="D252" s="414"/>
      <c r="E252" s="417"/>
      <c r="F252" s="418"/>
      <c r="G252" s="420"/>
      <c r="H252" s="251"/>
      <c r="I252" s="4"/>
    </row>
    <row r="253">
      <c r="A253" s="265"/>
      <c r="B253" s="404"/>
      <c r="C253" s="405"/>
      <c r="D253" s="399"/>
      <c r="E253" s="442"/>
      <c r="F253" s="284"/>
      <c r="G253" s="285"/>
      <c r="H253" s="251"/>
      <c r="I253" s="4"/>
      <c r="J253" s="4"/>
      <c r="K253" s="4"/>
    </row>
    <row r="254">
      <c r="A254" s="265"/>
      <c r="B254" s="404"/>
      <c r="C254" s="424"/>
      <c r="D254" s="399"/>
      <c r="E254" s="442"/>
      <c r="F254" s="284"/>
      <c r="G254" s="285"/>
      <c r="H254" s="251"/>
    </row>
    <row r="255">
      <c r="A255" s="265"/>
      <c r="B255" s="404"/>
      <c r="C255" s="424"/>
      <c r="D255" s="399"/>
      <c r="E255" s="442"/>
      <c r="F255" s="284"/>
      <c r="G255" s="285"/>
      <c r="H255" s="251"/>
    </row>
    <row r="256">
      <c r="A256" s="265"/>
      <c r="B256" s="404"/>
      <c r="C256" s="424"/>
      <c r="D256" s="400"/>
      <c r="E256" s="442"/>
      <c r="F256" s="284"/>
      <c r="G256" s="285"/>
      <c r="H256" s="251"/>
    </row>
    <row r="257">
      <c r="A257" s="265"/>
      <c r="B257" s="477"/>
      <c r="C257" s="424"/>
      <c r="D257" s="400"/>
      <c r="E257" s="442"/>
      <c r="F257" s="284"/>
      <c r="G257" s="285"/>
      <c r="H257" s="251"/>
    </row>
    <row r="258">
      <c r="A258" s="265"/>
      <c r="B258" s="477"/>
      <c r="C258" s="424"/>
      <c r="D258" s="400"/>
      <c r="E258" s="442"/>
      <c r="F258" s="284"/>
      <c r="G258" s="285"/>
      <c r="H258" s="251"/>
    </row>
    <row r="259">
      <c r="A259" s="265"/>
      <c r="B259" s="480"/>
      <c r="C259" s="424"/>
      <c r="D259" s="400"/>
      <c r="E259" s="442"/>
      <c r="F259" s="284"/>
      <c r="G259" s="285"/>
      <c r="H259" s="251"/>
    </row>
    <row r="260">
      <c r="A260" s="265"/>
      <c r="B260" s="480"/>
      <c r="C260" s="424"/>
      <c r="D260" s="400"/>
      <c r="E260" s="442"/>
      <c r="F260" s="463"/>
      <c r="G260" s="481"/>
      <c r="H260" s="251"/>
    </row>
    <row r="261">
      <c r="A261" s="270"/>
      <c r="B261" s="478"/>
      <c r="C261" s="471"/>
      <c r="D261" s="472"/>
      <c r="E261" s="473"/>
      <c r="F261" s="460"/>
      <c r="G261" s="482"/>
      <c r="H261" s="261"/>
    </row>
    <row r="262">
      <c r="A262" s="262" t="s">
        <v>1539</v>
      </c>
      <c r="B262" s="425"/>
      <c r="C262" s="426"/>
      <c r="D262" s="401"/>
      <c r="E262" s="402"/>
      <c r="F262" s="403"/>
      <c r="G262" s="436"/>
      <c r="H262" s="245">
        <f>300+60</f>
        <v>360</v>
      </c>
    </row>
    <row r="263">
      <c r="A263" s="265"/>
      <c r="B263" s="404"/>
      <c r="C263" s="405"/>
      <c r="D263" s="399"/>
      <c r="E263" s="398"/>
      <c r="F263" s="284"/>
      <c r="G263" s="285"/>
      <c r="H263" s="267"/>
    </row>
    <row r="264">
      <c r="A264" s="265"/>
      <c r="B264" s="404"/>
      <c r="C264" s="427"/>
      <c r="D264" s="414"/>
      <c r="E264" s="417"/>
      <c r="F264" s="284"/>
      <c r="G264" s="285"/>
      <c r="H264" s="251"/>
    </row>
    <row r="265">
      <c r="A265" s="265"/>
      <c r="B265" s="419"/>
      <c r="C265" s="427"/>
      <c r="D265" s="414"/>
      <c r="E265" s="417"/>
      <c r="F265" s="418"/>
      <c r="G265" s="420"/>
      <c r="H265" s="251"/>
    </row>
    <row r="266">
      <c r="A266" s="265"/>
      <c r="B266" s="419"/>
      <c r="C266" s="434"/>
      <c r="D266" s="414"/>
      <c r="E266" s="417"/>
      <c r="F266" s="418"/>
      <c r="G266" s="420"/>
      <c r="H266" s="251"/>
    </row>
    <row r="267">
      <c r="A267" s="265"/>
      <c r="B267" s="404"/>
      <c r="C267" s="405"/>
      <c r="D267" s="399"/>
      <c r="E267" s="398"/>
      <c r="F267" s="284"/>
      <c r="G267" s="285"/>
      <c r="H267" s="267"/>
    </row>
    <row r="268">
      <c r="A268" s="265"/>
      <c r="B268" s="419"/>
      <c r="C268" s="427"/>
      <c r="D268" s="414"/>
      <c r="E268" s="417"/>
      <c r="F268" s="418"/>
      <c r="G268" s="420"/>
      <c r="H268" s="267"/>
    </row>
    <row r="269">
      <c r="A269" s="265"/>
      <c r="B269" s="404"/>
      <c r="C269" s="405"/>
      <c r="D269" s="399"/>
      <c r="E269" s="398"/>
      <c r="F269" s="284"/>
      <c r="G269" s="285"/>
      <c r="H269" s="267"/>
    </row>
    <row r="270">
      <c r="A270" s="265"/>
      <c r="B270" s="404"/>
      <c r="C270" s="424"/>
      <c r="D270" s="399"/>
      <c r="E270" s="398"/>
      <c r="F270" s="284"/>
      <c r="G270" s="285"/>
      <c r="H270" s="267"/>
    </row>
    <row r="271">
      <c r="A271" s="265"/>
      <c r="B271" s="477"/>
      <c r="C271" s="424"/>
      <c r="D271" s="399"/>
      <c r="E271" s="442"/>
      <c r="F271" s="284"/>
      <c r="G271" s="285"/>
      <c r="H271" s="267"/>
    </row>
    <row r="272">
      <c r="A272" s="265"/>
      <c r="B272" s="477"/>
      <c r="C272" s="424"/>
      <c r="D272" s="400"/>
      <c r="E272" s="442"/>
      <c r="F272" s="284"/>
      <c r="G272" s="285"/>
      <c r="H272" s="251"/>
    </row>
    <row r="273">
      <c r="A273" s="265"/>
      <c r="B273" s="477"/>
      <c r="C273" s="424"/>
      <c r="D273" s="400"/>
      <c r="E273" s="442"/>
      <c r="F273" s="284"/>
      <c r="G273" s="285"/>
      <c r="H273" s="251"/>
    </row>
    <row r="274">
      <c r="A274" s="265"/>
      <c r="B274" s="477"/>
      <c r="C274" s="424"/>
      <c r="D274" s="400"/>
      <c r="E274" s="442"/>
      <c r="F274" s="284"/>
      <c r="G274" s="285"/>
      <c r="H274" s="251"/>
    </row>
    <row r="275">
      <c r="A275" s="265"/>
      <c r="B275" s="477"/>
      <c r="C275" s="424"/>
      <c r="D275" s="400"/>
      <c r="E275" s="442"/>
      <c r="F275" s="284"/>
      <c r="G275" s="481"/>
      <c r="H275" s="251"/>
    </row>
    <row r="276">
      <c r="A276" s="270"/>
      <c r="B276" s="478"/>
      <c r="C276" s="471"/>
      <c r="D276" s="472"/>
      <c r="E276" s="473"/>
      <c r="F276" s="460"/>
      <c r="G276" s="482"/>
      <c r="H276" s="261"/>
    </row>
    <row r="277">
      <c r="A277" s="262" t="s">
        <v>1543</v>
      </c>
      <c r="B277" s="425">
        <v>24400.0</v>
      </c>
      <c r="C277" s="426"/>
      <c r="D277" s="401"/>
      <c r="E277" s="402"/>
      <c r="F277" s="284"/>
      <c r="G277" s="285" t="s">
        <v>696</v>
      </c>
      <c r="H277" s="245">
        <v>190.0</v>
      </c>
    </row>
    <row r="278">
      <c r="A278" s="265"/>
      <c r="B278" s="419"/>
      <c r="C278" s="427"/>
      <c r="D278" s="414"/>
      <c r="E278" s="417"/>
      <c r="F278" s="418"/>
      <c r="G278" s="420"/>
      <c r="H278" s="267"/>
      <c r="I278" s="2" t="s">
        <v>1803</v>
      </c>
    </row>
    <row r="279">
      <c r="A279" s="265"/>
      <c r="B279" s="419"/>
      <c r="C279" s="427"/>
      <c r="D279" s="414"/>
      <c r="E279" s="417"/>
      <c r="F279" s="418"/>
      <c r="G279" s="420"/>
      <c r="H279" s="251"/>
      <c r="I279" s="491"/>
    </row>
    <row r="280">
      <c r="A280" s="265"/>
      <c r="B280" s="419"/>
      <c r="C280" s="427"/>
      <c r="D280" s="414"/>
      <c r="E280" s="417"/>
      <c r="F280" s="418"/>
      <c r="G280" s="420"/>
      <c r="H280" s="251"/>
    </row>
    <row r="281">
      <c r="A281" s="265"/>
      <c r="B281" s="419"/>
      <c r="C281" s="427"/>
      <c r="D281" s="414"/>
      <c r="E281" s="417"/>
      <c r="F281" s="418"/>
      <c r="G281" s="420"/>
      <c r="H281" s="267"/>
    </row>
    <row r="282">
      <c r="A282" s="265"/>
      <c r="B282" s="404"/>
      <c r="C282" s="405"/>
      <c r="D282" s="399"/>
      <c r="E282" s="442"/>
      <c r="F282" s="284"/>
      <c r="G282" s="285"/>
      <c r="H282" s="267"/>
    </row>
    <row r="283">
      <c r="A283" s="265"/>
      <c r="B283" s="404"/>
      <c r="C283" s="424"/>
      <c r="D283" s="399"/>
      <c r="E283" s="398"/>
      <c r="F283" s="284"/>
      <c r="G283" s="285"/>
      <c r="H283" s="251"/>
    </row>
    <row r="284">
      <c r="A284" s="265"/>
      <c r="B284" s="419"/>
      <c r="C284" s="427"/>
      <c r="D284" s="414"/>
      <c r="E284" s="417"/>
      <c r="F284" s="418"/>
      <c r="G284" s="420"/>
      <c r="H284" s="251"/>
    </row>
    <row r="285">
      <c r="A285" s="265"/>
      <c r="B285" s="477"/>
      <c r="C285" s="424"/>
      <c r="D285" s="400"/>
      <c r="E285" s="442"/>
      <c r="F285" s="284"/>
      <c r="G285" s="285"/>
      <c r="H285" s="251"/>
    </row>
    <row r="286">
      <c r="A286" s="265"/>
      <c r="B286" s="477"/>
      <c r="C286" s="424"/>
      <c r="D286" s="400"/>
      <c r="E286" s="442"/>
      <c r="F286" s="284"/>
      <c r="G286" s="285"/>
      <c r="H286" s="251"/>
    </row>
    <row r="287">
      <c r="A287" s="265"/>
      <c r="B287" s="404"/>
      <c r="C287" s="424"/>
      <c r="D287" s="400"/>
      <c r="E287" s="442"/>
      <c r="F287" s="284"/>
      <c r="G287" s="285"/>
      <c r="H287" s="251"/>
    </row>
    <row r="288">
      <c r="A288" s="265"/>
      <c r="B288" s="404"/>
      <c r="C288" s="424"/>
      <c r="D288" s="400"/>
      <c r="E288" s="442"/>
      <c r="F288" s="284"/>
      <c r="G288" s="285"/>
      <c r="H288" s="251"/>
    </row>
    <row r="289">
      <c r="A289" s="265"/>
      <c r="B289" s="477"/>
      <c r="C289" s="424"/>
      <c r="D289" s="400"/>
      <c r="E289" s="442"/>
      <c r="F289" s="284"/>
      <c r="G289" s="285"/>
      <c r="H289" s="251"/>
    </row>
    <row r="290">
      <c r="A290" s="265"/>
      <c r="B290" s="477"/>
      <c r="C290" s="424"/>
      <c r="D290" s="400"/>
      <c r="E290" s="442"/>
      <c r="F290" s="284"/>
      <c r="G290" s="481"/>
      <c r="H290" s="251"/>
    </row>
    <row r="291">
      <c r="A291" s="270"/>
      <c r="B291" s="478"/>
      <c r="C291" s="471"/>
      <c r="D291" s="472"/>
      <c r="E291" s="473"/>
      <c r="F291" s="460"/>
      <c r="G291" s="473"/>
      <c r="H291" s="261"/>
    </row>
    <row r="292">
      <c r="A292" s="262" t="s">
        <v>1545</v>
      </c>
      <c r="B292" s="461"/>
      <c r="C292" s="445"/>
      <c r="D292" s="421"/>
      <c r="E292" s="422"/>
      <c r="F292" s="403"/>
      <c r="G292" s="402"/>
      <c r="H292" s="245">
        <v>300.0</v>
      </c>
    </row>
    <row r="293">
      <c r="A293" s="265"/>
      <c r="B293" s="419"/>
      <c r="C293" s="427"/>
      <c r="D293" s="414"/>
      <c r="E293" s="417"/>
      <c r="F293" s="418"/>
      <c r="G293" s="417"/>
      <c r="H293" s="267"/>
    </row>
    <row r="294">
      <c r="A294" s="265"/>
      <c r="B294" s="404"/>
      <c r="C294" s="405"/>
      <c r="D294" s="399"/>
      <c r="E294" s="398"/>
      <c r="F294" s="284"/>
      <c r="G294" s="398"/>
      <c r="H294" s="251"/>
    </row>
    <row r="295">
      <c r="A295" s="265"/>
      <c r="B295" s="404"/>
      <c r="C295" s="405"/>
      <c r="D295" s="399"/>
      <c r="E295" s="398"/>
      <c r="F295" s="284"/>
      <c r="G295" s="398"/>
      <c r="H295" s="251"/>
    </row>
    <row r="296">
      <c r="A296" s="265"/>
      <c r="B296" s="404"/>
      <c r="C296" s="405"/>
      <c r="D296" s="399"/>
      <c r="E296" s="398"/>
      <c r="F296" s="284"/>
      <c r="G296" s="398"/>
      <c r="H296" s="251"/>
    </row>
    <row r="297">
      <c r="A297" s="265"/>
      <c r="B297" s="404"/>
      <c r="C297" s="405"/>
      <c r="D297" s="399"/>
      <c r="E297" s="398"/>
      <c r="F297" s="284"/>
      <c r="G297" s="398"/>
      <c r="H297" s="251"/>
    </row>
    <row r="298">
      <c r="A298" s="265"/>
      <c r="B298" s="404"/>
      <c r="C298" s="405"/>
      <c r="D298" s="399"/>
      <c r="E298" s="398"/>
      <c r="F298" s="284"/>
      <c r="G298" s="398"/>
      <c r="H298" s="251"/>
    </row>
    <row r="299">
      <c r="A299" s="265"/>
      <c r="B299" s="419"/>
      <c r="C299" s="434"/>
      <c r="D299" s="414"/>
      <c r="E299" s="417"/>
      <c r="F299" s="418"/>
      <c r="G299" s="417"/>
      <c r="H299" s="251"/>
    </row>
    <row r="300">
      <c r="A300" s="265"/>
      <c r="B300" s="419"/>
      <c r="C300" s="434"/>
      <c r="D300" s="523"/>
      <c r="E300" s="417"/>
      <c r="F300" s="418"/>
      <c r="G300" s="417"/>
      <c r="H300" s="251"/>
    </row>
    <row r="301">
      <c r="A301" s="265"/>
      <c r="B301" s="404"/>
      <c r="C301" s="424"/>
      <c r="D301" s="399"/>
      <c r="E301" s="442"/>
      <c r="F301" s="284"/>
      <c r="G301" s="442"/>
      <c r="H301" s="251"/>
    </row>
    <row r="302">
      <c r="A302" s="265"/>
      <c r="B302" s="404"/>
      <c r="C302" s="424"/>
      <c r="D302" s="400"/>
      <c r="E302" s="442"/>
      <c r="F302" s="284"/>
      <c r="G302" s="442"/>
      <c r="H302" s="251"/>
    </row>
    <row r="303">
      <c r="A303" s="265"/>
      <c r="B303" s="404"/>
      <c r="C303" s="424"/>
      <c r="D303" s="400"/>
      <c r="E303" s="442"/>
      <c r="F303" s="284"/>
      <c r="G303" s="442"/>
      <c r="H303" s="251"/>
    </row>
    <row r="304">
      <c r="A304" s="265"/>
      <c r="B304" s="404"/>
      <c r="C304" s="424"/>
      <c r="D304" s="399"/>
      <c r="E304" s="442"/>
      <c r="F304" s="284"/>
      <c r="G304" s="442"/>
      <c r="H304" s="251"/>
    </row>
    <row r="305">
      <c r="A305" s="270"/>
      <c r="B305" s="478"/>
      <c r="C305" s="471"/>
      <c r="D305" s="472"/>
      <c r="E305" s="473"/>
      <c r="F305" s="474"/>
      <c r="G305" s="492"/>
      <c r="H305" s="261"/>
    </row>
    <row r="306">
      <c r="A306" s="262" t="s">
        <v>1548</v>
      </c>
      <c r="B306" s="425"/>
      <c r="C306" s="426"/>
      <c r="D306" s="401"/>
      <c r="E306" s="402"/>
      <c r="F306" s="403"/>
      <c r="G306" s="402"/>
      <c r="H306" s="245">
        <f>200+170</f>
        <v>370</v>
      </c>
    </row>
    <row r="307">
      <c r="A307" s="265"/>
      <c r="B307" s="404"/>
      <c r="C307" s="405"/>
      <c r="D307" s="399"/>
      <c r="E307" s="398"/>
      <c r="F307" s="284"/>
      <c r="G307" s="398"/>
      <c r="H307" s="267"/>
    </row>
    <row r="308">
      <c r="A308" s="265"/>
      <c r="B308" s="404"/>
      <c r="C308" s="405"/>
      <c r="D308" s="399"/>
      <c r="E308" s="398"/>
      <c r="F308" s="284"/>
      <c r="G308" s="398"/>
      <c r="H308" s="267"/>
    </row>
    <row r="309">
      <c r="A309" s="265"/>
      <c r="B309" s="419"/>
      <c r="C309" s="427"/>
      <c r="D309" s="414"/>
      <c r="E309" s="417"/>
      <c r="F309" s="418"/>
      <c r="G309" s="417"/>
      <c r="H309" s="267"/>
    </row>
    <row r="310">
      <c r="A310" s="265"/>
      <c r="B310" s="404"/>
      <c r="C310" s="405"/>
      <c r="D310" s="399"/>
      <c r="E310" s="398"/>
      <c r="F310" s="284"/>
      <c r="G310" s="398"/>
      <c r="H310" s="251"/>
    </row>
    <row r="311">
      <c r="A311" s="265"/>
      <c r="B311" s="404"/>
      <c r="C311" s="424"/>
      <c r="D311" s="399"/>
      <c r="E311" s="398"/>
      <c r="F311" s="284"/>
      <c r="G311" s="398"/>
      <c r="H311" s="251"/>
    </row>
    <row r="312">
      <c r="A312" s="265"/>
      <c r="B312" s="404"/>
      <c r="C312" s="424"/>
      <c r="D312" s="399"/>
      <c r="E312" s="442"/>
      <c r="F312" s="284"/>
      <c r="G312" s="398"/>
      <c r="H312" s="251"/>
    </row>
    <row r="313">
      <c r="A313" s="265"/>
      <c r="B313" s="404"/>
      <c r="C313" s="424"/>
      <c r="D313" s="399"/>
      <c r="E313" s="442"/>
      <c r="F313" s="284"/>
      <c r="G313" s="442"/>
      <c r="H313" s="267"/>
    </row>
    <row r="314">
      <c r="A314" s="265"/>
      <c r="B314" s="404"/>
      <c r="C314" s="424"/>
      <c r="D314" s="399"/>
      <c r="E314" s="442"/>
      <c r="F314" s="284"/>
      <c r="G314" s="442"/>
      <c r="H314" s="251"/>
    </row>
    <row r="315">
      <c r="A315" s="265"/>
      <c r="B315" s="404"/>
      <c r="C315" s="424"/>
      <c r="D315" s="400"/>
      <c r="E315" s="442"/>
      <c r="F315" s="284"/>
      <c r="G315" s="442"/>
      <c r="H315" s="251"/>
    </row>
    <row r="316">
      <c r="A316" s="265"/>
      <c r="B316" s="404"/>
      <c r="C316" s="424"/>
      <c r="D316" s="400"/>
      <c r="E316" s="442"/>
      <c r="F316" s="284"/>
      <c r="G316" s="442"/>
      <c r="H316" s="251"/>
    </row>
    <row r="317">
      <c r="A317" s="265"/>
      <c r="B317" s="404"/>
      <c r="C317" s="424"/>
      <c r="D317" s="400"/>
      <c r="E317" s="442"/>
      <c r="F317" s="284"/>
      <c r="G317" s="442"/>
      <c r="H317" s="251"/>
    </row>
    <row r="318">
      <c r="A318" s="265"/>
      <c r="B318" s="477"/>
      <c r="C318" s="424"/>
      <c r="D318" s="400"/>
      <c r="E318" s="442"/>
      <c r="F318" s="284"/>
      <c r="G318" s="442"/>
      <c r="H318" s="251"/>
    </row>
    <row r="319">
      <c r="A319" s="265"/>
      <c r="B319" s="477"/>
      <c r="C319" s="424"/>
      <c r="D319" s="400"/>
      <c r="E319" s="442"/>
      <c r="F319" s="284"/>
      <c r="G319" s="442"/>
      <c r="H319" s="251"/>
    </row>
    <row r="320">
      <c r="A320" s="265"/>
      <c r="B320" s="477"/>
      <c r="C320" s="424"/>
      <c r="D320" s="400"/>
      <c r="E320" s="442"/>
      <c r="F320" s="284"/>
      <c r="G320" s="442"/>
      <c r="H320" s="251"/>
    </row>
    <row r="321">
      <c r="A321" s="265"/>
      <c r="B321" s="477"/>
      <c r="C321" s="424"/>
      <c r="D321" s="400"/>
      <c r="E321" s="442"/>
      <c r="F321" s="284"/>
      <c r="G321" s="442"/>
      <c r="H321" s="251"/>
    </row>
    <row r="322">
      <c r="A322" s="265"/>
      <c r="B322" s="477"/>
      <c r="C322" s="424"/>
      <c r="D322" s="400"/>
      <c r="E322" s="442"/>
      <c r="F322" s="284"/>
      <c r="G322" s="442"/>
      <c r="H322" s="251"/>
    </row>
    <row r="323">
      <c r="A323" s="270"/>
      <c r="B323" s="478"/>
      <c r="C323" s="471"/>
      <c r="D323" s="472"/>
      <c r="E323" s="473"/>
      <c r="F323" s="460"/>
      <c r="G323" s="473"/>
      <c r="H323" s="261"/>
    </row>
    <row r="324">
      <c r="A324" s="262" t="s">
        <v>1550</v>
      </c>
      <c r="B324" s="461"/>
      <c r="C324" s="445"/>
      <c r="D324" s="421"/>
      <c r="E324" s="422"/>
      <c r="F324" s="423"/>
      <c r="G324" s="417"/>
      <c r="H324" s="245">
        <v>170.0</v>
      </c>
      <c r="I324" s="2" t="s">
        <v>1352</v>
      </c>
    </row>
    <row r="325">
      <c r="A325" s="265"/>
      <c r="B325" s="419"/>
      <c r="C325" s="427"/>
      <c r="D325" s="414"/>
      <c r="E325" s="417"/>
      <c r="F325" s="418"/>
      <c r="G325" s="417"/>
      <c r="H325" s="267"/>
    </row>
    <row r="326">
      <c r="A326" s="265"/>
      <c r="B326" s="530"/>
      <c r="C326" s="531"/>
      <c r="D326" s="506"/>
      <c r="E326" s="507"/>
      <c r="F326" s="459"/>
      <c r="G326" s="507"/>
      <c r="H326" s="267"/>
    </row>
    <row r="327">
      <c r="A327" s="265"/>
      <c r="B327" s="516"/>
      <c r="C327" s="496"/>
      <c r="D327" s="325"/>
      <c r="E327" s="507"/>
      <c r="F327" s="291"/>
      <c r="G327" s="450"/>
      <c r="H327" s="251"/>
    </row>
    <row r="328">
      <c r="A328" s="265"/>
      <c r="B328" s="497"/>
      <c r="C328" s="313"/>
      <c r="D328" s="325"/>
      <c r="E328" s="498"/>
      <c r="F328" s="291"/>
      <c r="G328" s="495"/>
      <c r="H328" s="251"/>
    </row>
    <row r="329">
      <c r="A329" s="265"/>
      <c r="B329" s="493"/>
      <c r="C329" s="499"/>
      <c r="D329" s="314"/>
      <c r="E329" s="507"/>
      <c r="F329" s="291"/>
      <c r="G329" s="490"/>
      <c r="H329" s="267">
        <v>120.0</v>
      </c>
      <c r="I329" s="2" t="s">
        <v>1342</v>
      </c>
    </row>
    <row r="330">
      <c r="A330" s="265"/>
      <c r="B330" s="404"/>
      <c r="C330" s="424"/>
      <c r="D330" s="399"/>
      <c r="E330" s="442"/>
      <c r="F330" s="284"/>
      <c r="G330" s="442"/>
      <c r="H330" s="251"/>
    </row>
    <row r="331">
      <c r="A331" s="265"/>
      <c r="B331" s="477"/>
      <c r="C331" s="424"/>
      <c r="D331" s="399"/>
      <c r="E331" s="442"/>
      <c r="F331" s="284"/>
      <c r="G331" s="442"/>
      <c r="H331" s="251"/>
    </row>
    <row r="332">
      <c r="A332" s="265"/>
      <c r="B332" s="477"/>
      <c r="C332" s="424"/>
      <c r="D332" s="400"/>
      <c r="E332" s="442"/>
      <c r="F332" s="284"/>
      <c r="G332" s="442"/>
      <c r="H332" s="251"/>
    </row>
    <row r="333">
      <c r="A333" s="265"/>
      <c r="B333" s="404"/>
      <c r="C333" s="424"/>
      <c r="D333" s="400"/>
      <c r="E333" s="442"/>
      <c r="F333" s="284"/>
      <c r="G333" s="442"/>
      <c r="H333" s="251"/>
    </row>
    <row r="334">
      <c r="A334" s="265"/>
      <c r="B334" s="477"/>
      <c r="C334" s="424"/>
      <c r="D334" s="400"/>
      <c r="E334" s="442"/>
      <c r="F334" s="284"/>
      <c r="G334" s="442"/>
      <c r="H334" s="251"/>
    </row>
    <row r="335">
      <c r="A335" s="270"/>
      <c r="B335" s="478"/>
      <c r="C335" s="471"/>
      <c r="D335" s="472"/>
      <c r="E335" s="473"/>
      <c r="F335" s="460"/>
      <c r="G335" s="473"/>
      <c r="H335" s="261"/>
    </row>
    <row r="336">
      <c r="A336" s="280" t="s">
        <v>1551</v>
      </c>
      <c r="B336" s="425">
        <v>76200.0</v>
      </c>
      <c r="C336" s="426"/>
      <c r="D336" s="401"/>
      <c r="E336" s="402"/>
      <c r="F336" s="403"/>
      <c r="G336" s="398" t="s">
        <v>1764</v>
      </c>
      <c r="H336" s="245">
        <v>40.0</v>
      </c>
    </row>
    <row r="337">
      <c r="A337" s="265"/>
      <c r="B337" s="404">
        <v>13778.0</v>
      </c>
      <c r="C337" s="405"/>
      <c r="D337" s="399"/>
      <c r="E337" s="398"/>
      <c r="F337" s="284"/>
      <c r="G337" s="398" t="s">
        <v>1804</v>
      </c>
      <c r="H337" s="267"/>
    </row>
    <row r="338">
      <c r="A338" s="265"/>
      <c r="B338" s="419"/>
      <c r="C338" s="427"/>
      <c r="D338" s="414"/>
      <c r="E338" s="417"/>
      <c r="F338" s="418"/>
      <c r="G338" s="417"/>
      <c r="H338" s="267"/>
    </row>
    <row r="339">
      <c r="A339" s="265"/>
      <c r="B339" s="419"/>
      <c r="C339" s="427"/>
      <c r="D339" s="414"/>
      <c r="E339" s="417"/>
      <c r="F339" s="418"/>
      <c r="G339" s="417"/>
      <c r="H339" s="267"/>
    </row>
    <row r="340">
      <c r="A340" s="265"/>
      <c r="B340" s="404"/>
      <c r="C340" s="405"/>
      <c r="D340" s="399"/>
      <c r="E340" s="398"/>
      <c r="F340" s="284"/>
      <c r="G340" s="398"/>
      <c r="H340" s="267"/>
    </row>
    <row r="341">
      <c r="A341" s="265"/>
      <c r="B341" s="404"/>
      <c r="C341" s="405"/>
      <c r="D341" s="399"/>
      <c r="E341" s="398"/>
      <c r="F341" s="284"/>
      <c r="G341" s="398"/>
      <c r="H341" s="267"/>
    </row>
    <row r="342">
      <c r="A342" s="265"/>
      <c r="B342" s="404"/>
      <c r="C342" s="405"/>
      <c r="D342" s="399"/>
      <c r="E342" s="398"/>
      <c r="F342" s="284"/>
      <c r="G342" s="398"/>
      <c r="H342" s="267"/>
    </row>
    <row r="343">
      <c r="A343" s="265"/>
      <c r="B343" s="404"/>
      <c r="C343" s="405"/>
      <c r="D343" s="399"/>
      <c r="E343" s="398"/>
      <c r="F343" s="284"/>
      <c r="G343" s="398"/>
      <c r="H343" s="267"/>
    </row>
    <row r="344">
      <c r="A344" s="265"/>
      <c r="B344" s="404"/>
      <c r="C344" s="405"/>
      <c r="D344" s="399"/>
      <c r="E344" s="442"/>
      <c r="F344" s="284"/>
      <c r="G344" s="398"/>
      <c r="H344" s="267"/>
    </row>
    <row r="345">
      <c r="A345" s="265"/>
      <c r="B345" s="404"/>
      <c r="C345" s="405"/>
      <c r="D345" s="399"/>
      <c r="E345" s="442"/>
      <c r="F345" s="284"/>
      <c r="G345" s="398"/>
      <c r="H345" s="267"/>
    </row>
    <row r="346">
      <c r="A346" s="270"/>
      <c r="B346" s="404"/>
      <c r="C346" s="405"/>
      <c r="D346" s="399"/>
      <c r="E346" s="442"/>
      <c r="F346" s="284"/>
      <c r="G346" s="398"/>
      <c r="H346" s="267"/>
    </row>
    <row r="347">
      <c r="A347" s="452"/>
      <c r="B347" s="404"/>
      <c r="C347" s="405"/>
      <c r="D347" s="399"/>
      <c r="E347" s="442"/>
      <c r="F347" s="284"/>
      <c r="G347" s="398"/>
      <c r="H347" s="267"/>
    </row>
    <row r="348">
      <c r="A348" s="280" t="s">
        <v>1554</v>
      </c>
      <c r="B348" s="461"/>
      <c r="C348" s="445"/>
      <c r="D348" s="421"/>
      <c r="E348" s="422"/>
      <c r="F348" s="423"/>
      <c r="G348" s="422"/>
      <c r="H348" s="245">
        <v>140.0</v>
      </c>
    </row>
    <row r="349">
      <c r="A349" s="265"/>
      <c r="B349" s="404"/>
      <c r="C349" s="405"/>
      <c r="D349" s="443"/>
      <c r="E349" s="398"/>
      <c r="F349" s="284"/>
      <c r="G349" s="398"/>
      <c r="H349" s="267"/>
      <c r="I349" s="417"/>
    </row>
    <row r="350">
      <c r="A350" s="265"/>
      <c r="B350" s="404"/>
      <c r="C350" s="405"/>
      <c r="D350" s="399"/>
      <c r="E350" s="398"/>
      <c r="F350" s="284"/>
      <c r="G350" s="398"/>
      <c r="H350" s="267"/>
      <c r="I350" s="398"/>
    </row>
    <row r="351">
      <c r="A351" s="265"/>
      <c r="B351" s="419"/>
      <c r="C351" s="434"/>
      <c r="D351" s="414"/>
      <c r="E351" s="417"/>
      <c r="F351" s="418"/>
      <c r="G351" s="417"/>
      <c r="H351" s="251"/>
    </row>
    <row r="352">
      <c r="A352" s="265"/>
      <c r="B352" s="404"/>
      <c r="C352" s="424"/>
      <c r="D352" s="399"/>
      <c r="E352" s="398"/>
      <c r="F352" s="284"/>
      <c r="G352" s="398"/>
      <c r="H352" s="294"/>
    </row>
    <row r="353">
      <c r="A353" s="265"/>
      <c r="B353" s="404"/>
      <c r="C353" s="424"/>
      <c r="D353" s="399"/>
      <c r="E353" s="398"/>
      <c r="F353" s="284"/>
      <c r="G353" s="398"/>
      <c r="H353" s="251"/>
    </row>
    <row r="354">
      <c r="A354" s="265"/>
      <c r="B354" s="419"/>
      <c r="C354" s="434"/>
      <c r="D354" s="414"/>
      <c r="E354" s="417"/>
      <c r="F354" s="418"/>
      <c r="G354" s="417"/>
      <c r="H354" s="251"/>
    </row>
    <row r="355">
      <c r="A355" s="265"/>
      <c r="B355" s="477"/>
      <c r="C355" s="424"/>
      <c r="D355" s="399"/>
      <c r="E355" s="442"/>
      <c r="F355" s="284"/>
      <c r="G355" s="398"/>
      <c r="H355" s="267"/>
    </row>
    <row r="356">
      <c r="A356" s="265"/>
      <c r="B356" s="477"/>
      <c r="C356" s="424"/>
      <c r="D356" s="399"/>
      <c r="E356" s="442"/>
      <c r="F356" s="284"/>
      <c r="G356" s="442"/>
      <c r="H356" s="251"/>
    </row>
    <row r="357">
      <c r="A357" s="265"/>
      <c r="B357" s="404"/>
      <c r="C357" s="424"/>
      <c r="D357" s="399"/>
      <c r="E357" s="442"/>
      <c r="F357" s="284"/>
      <c r="G357" s="442"/>
      <c r="H357" s="267"/>
    </row>
    <row r="358">
      <c r="A358" s="270"/>
      <c r="B358" s="478"/>
      <c r="C358" s="471"/>
      <c r="D358" s="462"/>
      <c r="E358" s="473"/>
      <c r="F358" s="460"/>
      <c r="G358" s="492"/>
      <c r="H358" s="261"/>
    </row>
    <row r="359">
      <c r="A359" s="299" t="s">
        <v>1560</v>
      </c>
      <c r="B359" s="440"/>
      <c r="C359" s="424"/>
      <c r="D359" s="462"/>
      <c r="E359" s="442"/>
      <c r="F359" s="284"/>
      <c r="G359" s="398"/>
      <c r="H359" s="251">
        <f>160+230</f>
        <v>390</v>
      </c>
    </row>
    <row r="360">
      <c r="B360" s="480"/>
      <c r="C360" s="405"/>
      <c r="D360" s="522"/>
      <c r="E360" s="417"/>
      <c r="F360" s="432"/>
      <c r="G360" s="417"/>
      <c r="H360" s="251"/>
    </row>
    <row r="361">
      <c r="B361" s="440"/>
      <c r="C361" s="424"/>
      <c r="D361" s="522"/>
      <c r="E361" s="417"/>
      <c r="F361" s="432"/>
      <c r="G361" s="417"/>
      <c r="H361" s="251"/>
    </row>
    <row r="362">
      <c r="B362" s="440"/>
      <c r="C362" s="424"/>
      <c r="D362" s="462"/>
      <c r="E362" s="442"/>
      <c r="F362" s="463"/>
      <c r="G362" s="398"/>
      <c r="H362" s="251"/>
    </row>
    <row r="363">
      <c r="B363" s="518"/>
      <c r="C363" s="434"/>
      <c r="D363" s="522"/>
      <c r="E363" s="417"/>
      <c r="F363" s="432"/>
      <c r="G363" s="417"/>
      <c r="H363" s="251"/>
    </row>
    <row r="364">
      <c r="B364" s="518"/>
      <c r="C364" s="434"/>
      <c r="D364" s="522"/>
      <c r="E364" s="417"/>
      <c r="F364" s="432"/>
      <c r="G364" s="417"/>
      <c r="H364" s="251"/>
    </row>
    <row r="365">
      <c r="B365" s="480"/>
      <c r="C365" s="424"/>
      <c r="D365" s="462"/>
      <c r="E365" s="442"/>
      <c r="F365" s="463"/>
      <c r="G365" s="442"/>
      <c r="H365" s="251"/>
    </row>
    <row r="366">
      <c r="B366" s="480"/>
      <c r="C366" s="424"/>
      <c r="D366" s="462"/>
      <c r="E366" s="442"/>
      <c r="F366" s="463"/>
      <c r="G366" s="442"/>
      <c r="H366" s="251"/>
    </row>
    <row r="367">
      <c r="B367" s="480"/>
      <c r="C367" s="424"/>
      <c r="D367" s="462"/>
      <c r="E367" s="442"/>
      <c r="F367" s="463"/>
      <c r="G367" s="442"/>
      <c r="H367" s="251"/>
    </row>
    <row r="368">
      <c r="B368" s="480"/>
      <c r="C368" s="424"/>
      <c r="D368" s="462"/>
      <c r="E368" s="442"/>
      <c r="F368" s="463"/>
      <c r="G368" s="442"/>
      <c r="H368" s="251"/>
    </row>
    <row r="369">
      <c r="B369" s="480"/>
      <c r="C369" s="424"/>
      <c r="D369" s="462"/>
      <c r="E369" s="442"/>
      <c r="F369" s="463"/>
      <c r="G369" s="442"/>
      <c r="H369" s="251"/>
    </row>
    <row r="370">
      <c r="A370" s="299"/>
      <c r="B370" s="278"/>
      <c r="C370" s="252"/>
      <c r="D370" s="295"/>
      <c r="F370" s="432"/>
      <c r="H370" s="251"/>
    </row>
    <row r="371">
      <c r="A371" s="299"/>
      <c r="B371" s="278"/>
      <c r="C371" s="252"/>
      <c r="D371" s="295"/>
      <c r="F371" s="432"/>
      <c r="G371" s="2"/>
      <c r="H371" s="251"/>
    </row>
    <row r="372">
      <c r="A372" s="280" t="s">
        <v>187</v>
      </c>
      <c r="B372" s="239"/>
      <c r="C372" s="240"/>
      <c r="D372" s="439"/>
      <c r="E372" s="242"/>
      <c r="F372" s="423"/>
      <c r="H372" s="297"/>
      <c r="J372" s="2" t="s">
        <v>1565</v>
      </c>
      <c r="K372" s="2" t="s">
        <v>1349</v>
      </c>
    </row>
    <row r="373">
      <c r="A373" s="265"/>
      <c r="B373" s="247"/>
      <c r="C373" s="248"/>
      <c r="D373" s="317"/>
      <c r="E373" s="429"/>
      <c r="F373" s="418"/>
      <c r="G373" s="2" t="s">
        <v>188</v>
      </c>
      <c r="H373" s="294"/>
      <c r="I373" s="2"/>
      <c r="J373" s="2"/>
      <c r="K373" s="2"/>
    </row>
    <row r="374">
      <c r="A374" s="265"/>
      <c r="B374" s="247">
        <v>306851.0</v>
      </c>
      <c r="C374" s="248"/>
      <c r="D374" s="317"/>
      <c r="E374" s="537"/>
      <c r="F374" s="418"/>
      <c r="G374" s="2" t="s">
        <v>1745</v>
      </c>
      <c r="H374" s="294">
        <v>45752.0</v>
      </c>
      <c r="I374" s="2" t="s">
        <v>1710</v>
      </c>
      <c r="J374" s="2" t="s">
        <v>1566</v>
      </c>
      <c r="K374" s="2" t="s">
        <v>1349</v>
      </c>
    </row>
    <row r="375">
      <c r="A375" s="265"/>
      <c r="B375" s="247"/>
      <c r="C375" s="248"/>
      <c r="D375" s="438">
        <v>122753.85</v>
      </c>
      <c r="F375" s="418"/>
      <c r="G375" s="2" t="s">
        <v>1666</v>
      </c>
      <c r="H375" s="294"/>
      <c r="I375" s="2" t="s">
        <v>1667</v>
      </c>
    </row>
    <row r="376">
      <c r="A376" s="265"/>
      <c r="B376" s="517"/>
      <c r="C376" s="248"/>
      <c r="D376" s="438"/>
      <c r="F376" s="418"/>
      <c r="G376" s="2" t="s">
        <v>191</v>
      </c>
      <c r="H376" s="294"/>
      <c r="J376" s="2" t="s">
        <v>1566</v>
      </c>
      <c r="K376" s="2" t="s">
        <v>1349</v>
      </c>
    </row>
    <row r="377">
      <c r="A377" s="265"/>
      <c r="B377" s="268"/>
      <c r="C377" s="252"/>
      <c r="D377" s="298">
        <v>318000.0</v>
      </c>
      <c r="F377" s="418"/>
      <c r="G377" s="2" t="s">
        <v>1746</v>
      </c>
      <c r="H377" s="294"/>
    </row>
    <row r="378">
      <c r="A378" s="265"/>
      <c r="B378" s="268"/>
      <c r="C378" s="252"/>
      <c r="D378" s="249">
        <v>720000.0</v>
      </c>
      <c r="F378" s="418"/>
      <c r="G378" s="2" t="s">
        <v>192</v>
      </c>
      <c r="H378" s="294"/>
    </row>
    <row r="379">
      <c r="A379" s="265"/>
      <c r="B379" s="268"/>
      <c r="C379" s="252"/>
      <c r="D379" s="253"/>
      <c r="F379" s="284">
        <v>700000.0</v>
      </c>
      <c r="G379" s="2" t="s">
        <v>193</v>
      </c>
      <c r="H379" s="294"/>
    </row>
    <row r="380">
      <c r="A380" s="265"/>
      <c r="B380" s="247"/>
      <c r="C380" s="252"/>
      <c r="D380" s="249"/>
      <c r="F380" s="418"/>
      <c r="G380" s="2" t="s">
        <v>1093</v>
      </c>
      <c r="H380" s="294"/>
    </row>
    <row r="381">
      <c r="A381" s="265"/>
      <c r="B381" s="247"/>
      <c r="C381" s="252"/>
      <c r="D381" s="249">
        <v>136000.0</v>
      </c>
      <c r="F381" s="418"/>
      <c r="G381" s="2" t="s">
        <v>196</v>
      </c>
      <c r="H381" s="294">
        <v>45751.0</v>
      </c>
      <c r="I381" s="2" t="s">
        <v>1805</v>
      </c>
    </row>
    <row r="382">
      <c r="A382" s="265"/>
      <c r="B382" s="247"/>
      <c r="C382" s="252"/>
      <c r="D382" s="249">
        <v>50137.0</v>
      </c>
      <c r="F382" s="418"/>
      <c r="G382" s="2" t="s">
        <v>1806</v>
      </c>
      <c r="H382" s="294">
        <v>45752.0</v>
      </c>
      <c r="I382" s="2"/>
      <c r="J382" s="2"/>
    </row>
    <row r="383">
      <c r="A383" s="265"/>
      <c r="B383" s="247"/>
      <c r="C383" s="252"/>
      <c r="D383" s="249">
        <v>72423.77</v>
      </c>
      <c r="F383" s="418"/>
      <c r="G383" s="2" t="s">
        <v>197</v>
      </c>
      <c r="H383" s="294">
        <v>45777.0</v>
      </c>
      <c r="I383" s="2" t="s">
        <v>1773</v>
      </c>
      <c r="J383" s="2" t="s">
        <v>1774</v>
      </c>
    </row>
    <row r="384">
      <c r="A384" s="265"/>
      <c r="B384" s="268"/>
      <c r="C384" s="252"/>
      <c r="D384" s="249">
        <v>173197.0</v>
      </c>
      <c r="F384" s="418"/>
      <c r="G384" s="2" t="s">
        <v>199</v>
      </c>
      <c r="H384" s="294"/>
      <c r="I384" s="2" t="s">
        <v>1807</v>
      </c>
      <c r="J384" s="2" t="s">
        <v>1712</v>
      </c>
    </row>
    <row r="385">
      <c r="A385" s="265"/>
      <c r="B385" s="247"/>
      <c r="C385" s="252"/>
      <c r="D385" s="439">
        <v>124484.47</v>
      </c>
      <c r="F385" s="418"/>
      <c r="G385" s="2" t="s">
        <v>200</v>
      </c>
      <c r="H385" s="294">
        <v>45755.0</v>
      </c>
      <c r="I385" s="2" t="s">
        <v>189</v>
      </c>
    </row>
    <row r="386">
      <c r="A386" s="265"/>
      <c r="B386" s="278"/>
      <c r="C386" s="248"/>
      <c r="D386" s="439">
        <v>84785.15</v>
      </c>
      <c r="F386" s="432"/>
      <c r="G386" s="2" t="s">
        <v>201</v>
      </c>
      <c r="H386" s="294"/>
      <c r="I386" s="2" t="s">
        <v>189</v>
      </c>
    </row>
    <row r="387">
      <c r="A387" s="270"/>
      <c r="B387" s="277"/>
      <c r="C387" s="248"/>
      <c r="D387" s="295">
        <v>50137.39</v>
      </c>
      <c r="F387" s="464"/>
      <c r="G387" s="2" t="s">
        <v>1670</v>
      </c>
      <c r="H387" s="294">
        <v>45752.0</v>
      </c>
    </row>
    <row r="388">
      <c r="A388" s="299"/>
      <c r="B388" s="278"/>
      <c r="C388" s="248"/>
      <c r="D388" s="295">
        <v>323159.6</v>
      </c>
      <c r="F388" s="432"/>
      <c r="G388" s="2" t="s">
        <v>1808</v>
      </c>
      <c r="H388" s="294">
        <v>45757.0</v>
      </c>
    </row>
    <row r="389">
      <c r="A389" s="299"/>
      <c r="B389" s="278"/>
      <c r="C389" s="248"/>
      <c r="D389" s="476"/>
      <c r="E389" s="417"/>
      <c r="F389" s="432"/>
      <c r="G389" s="398"/>
      <c r="H389" s="301"/>
    </row>
    <row r="390">
      <c r="A390" s="299"/>
      <c r="B390" s="278"/>
      <c r="C390" s="248"/>
      <c r="D390" s="476"/>
      <c r="E390" s="417"/>
      <c r="F390" s="432"/>
      <c r="G390" s="398" t="s">
        <v>1672</v>
      </c>
      <c r="H390" s="301"/>
    </row>
    <row r="391">
      <c r="A391" s="299"/>
      <c r="B391" s="278"/>
      <c r="C391" s="248"/>
      <c r="D391" s="295"/>
      <c r="F391" s="418"/>
      <c r="G391" s="2" t="s">
        <v>204</v>
      </c>
      <c r="H391" s="301"/>
    </row>
    <row r="392">
      <c r="A392" s="303"/>
      <c r="B392" s="278"/>
      <c r="C392" s="252"/>
      <c r="D392" s="249"/>
      <c r="F392" s="418"/>
      <c r="G392" s="2" t="s">
        <v>205</v>
      </c>
      <c r="H392" s="301"/>
    </row>
    <row r="393">
      <c r="A393" s="303"/>
      <c r="B393" s="268"/>
      <c r="C393" s="252"/>
      <c r="D393" s="249"/>
      <c r="F393" s="418"/>
      <c r="G393" s="2" t="s">
        <v>735</v>
      </c>
      <c r="H393" s="301"/>
    </row>
    <row r="394">
      <c r="A394" s="303"/>
      <c r="B394" s="247"/>
      <c r="C394" s="252"/>
      <c r="D394" s="249"/>
      <c r="F394" s="418"/>
      <c r="G394" s="2" t="s">
        <v>206</v>
      </c>
      <c r="H394" s="294"/>
    </row>
    <row r="395">
      <c r="A395" s="303"/>
      <c r="B395" s="268"/>
      <c r="C395" s="252"/>
      <c r="D395" s="300">
        <v>142499.15</v>
      </c>
      <c r="F395" s="465"/>
      <c r="G395" s="2" t="s">
        <v>209</v>
      </c>
      <c r="H395" s="294">
        <v>45756.0</v>
      </c>
      <c r="I395" s="2" t="s">
        <v>1717</v>
      </c>
      <c r="J395" s="2" t="s">
        <v>1566</v>
      </c>
      <c r="K395" s="2" t="s">
        <v>1718</v>
      </c>
    </row>
    <row r="396">
      <c r="A396" s="303"/>
      <c r="B396" s="247"/>
      <c r="C396" s="252"/>
      <c r="D396" s="249"/>
      <c r="F396" s="418"/>
      <c r="H396" s="294"/>
    </row>
    <row r="397">
      <c r="A397" s="303"/>
      <c r="B397" s="268"/>
      <c r="C397" s="252"/>
      <c r="D397" s="249"/>
      <c r="F397" s="418"/>
      <c r="H397" s="294"/>
    </row>
    <row r="398">
      <c r="A398" s="303"/>
      <c r="B398" s="268"/>
      <c r="C398" s="252"/>
      <c r="D398" s="249"/>
      <c r="F398" s="418"/>
      <c r="G398" s="2" t="s">
        <v>1217</v>
      </c>
      <c r="H398" s="294"/>
    </row>
    <row r="399">
      <c r="A399" s="303"/>
      <c r="B399" s="247"/>
      <c r="C399" s="252"/>
      <c r="D399" s="331"/>
      <c r="F399" s="458"/>
      <c r="H399" s="294"/>
    </row>
    <row r="400">
      <c r="A400" s="304"/>
      <c r="B400" s="268"/>
      <c r="C400" s="252"/>
      <c r="D400" s="249"/>
      <c r="F400" s="465"/>
      <c r="H400" s="294"/>
    </row>
    <row r="401">
      <c r="A401" s="305"/>
      <c r="B401" s="406">
        <f>SUM(B372:B400)</f>
        <v>306851</v>
      </c>
      <c r="C401" s="272"/>
      <c r="D401" s="392">
        <f>SUM(D372:D400)</f>
        <v>2317577.38</v>
      </c>
      <c r="E401" s="18"/>
      <c r="F401" s="466">
        <f>SUM(F372:F400)</f>
        <v>700000</v>
      </c>
      <c r="G401" s="18"/>
      <c r="H401" s="261"/>
    </row>
    <row r="402">
      <c r="A402" s="265"/>
      <c r="B402" s="306"/>
      <c r="C402" s="240"/>
      <c r="D402" s="241"/>
      <c r="E402" s="242"/>
      <c r="F402" s="423"/>
      <c r="G402" s="244"/>
      <c r="H402" s="307"/>
    </row>
    <row r="403">
      <c r="A403" s="265"/>
      <c r="B403" s="268"/>
      <c r="C403" s="252"/>
      <c r="D403" s="253"/>
      <c r="F403" s="418"/>
      <c r="H403" s="251"/>
    </row>
    <row r="404">
      <c r="A404" s="265"/>
      <c r="B404" s="268"/>
      <c r="C404" s="252"/>
      <c r="D404" s="253"/>
      <c r="F404" s="418"/>
      <c r="H404" s="251"/>
    </row>
    <row r="405">
      <c r="A405" s="265"/>
      <c r="B405" s="268"/>
      <c r="C405" s="252"/>
      <c r="D405" s="253"/>
      <c r="F405" s="418"/>
      <c r="H405" s="251"/>
    </row>
    <row r="406">
      <c r="A406" s="265"/>
      <c r="B406" s="268"/>
      <c r="C406" s="252"/>
      <c r="D406" s="253"/>
      <c r="F406" s="418"/>
      <c r="H406" s="251"/>
    </row>
    <row r="407">
      <c r="A407" s="265"/>
      <c r="B407" s="268"/>
      <c r="C407" s="252"/>
      <c r="D407" s="253"/>
      <c r="F407" s="418"/>
      <c r="H407" s="251"/>
    </row>
    <row r="408">
      <c r="A408" s="265"/>
      <c r="B408" s="268"/>
      <c r="C408" s="252"/>
      <c r="D408" s="253"/>
      <c r="F408" s="418"/>
      <c r="H408" s="251"/>
    </row>
    <row r="409">
      <c r="A409" s="265"/>
      <c r="B409" s="268"/>
      <c r="C409" s="252"/>
      <c r="D409" s="253"/>
      <c r="F409" s="418"/>
      <c r="H409" s="251"/>
    </row>
    <row r="410">
      <c r="A410" s="270"/>
      <c r="B410" s="268"/>
      <c r="C410" s="252"/>
      <c r="D410" s="253"/>
      <c r="F410" s="418"/>
      <c r="H410" s="251"/>
    </row>
    <row r="411">
      <c r="A411" s="305"/>
      <c r="B411" s="271"/>
      <c r="C411" s="272"/>
      <c r="D411" s="273"/>
      <c r="E411" s="18"/>
      <c r="F411" s="456"/>
      <c r="G411" s="18"/>
      <c r="H411" s="261"/>
    </row>
    <row r="412">
      <c r="A412" s="265"/>
      <c r="B412" s="306"/>
      <c r="C412" s="240"/>
      <c r="D412" s="241"/>
      <c r="E412" s="242"/>
      <c r="F412" s="423"/>
      <c r="G412" s="244"/>
      <c r="H412" s="307"/>
    </row>
    <row r="413">
      <c r="A413" s="265"/>
      <c r="B413" s="268"/>
      <c r="C413" s="252"/>
      <c r="D413" s="253"/>
      <c r="F413" s="418"/>
      <c r="H413" s="251"/>
    </row>
    <row r="414">
      <c r="A414" s="265"/>
      <c r="B414" s="268"/>
      <c r="C414" s="252"/>
      <c r="D414" s="253"/>
      <c r="F414" s="418"/>
      <c r="H414" s="251"/>
    </row>
    <row r="415">
      <c r="A415" s="265"/>
      <c r="B415" s="268"/>
      <c r="C415" s="252"/>
      <c r="D415" s="253"/>
      <c r="F415" s="418"/>
      <c r="H415" s="251"/>
    </row>
    <row r="416">
      <c r="A416" s="265"/>
      <c r="B416" s="268"/>
      <c r="C416" s="252"/>
      <c r="D416" s="253"/>
      <c r="F416" s="418"/>
      <c r="H416" s="251"/>
    </row>
    <row r="417">
      <c r="A417" s="265"/>
      <c r="B417" s="268"/>
      <c r="C417" s="252"/>
      <c r="D417" s="253"/>
      <c r="F417" s="418"/>
      <c r="H417" s="251"/>
    </row>
    <row r="418">
      <c r="A418" s="265"/>
      <c r="B418" s="268"/>
      <c r="C418" s="252"/>
      <c r="D418" s="253"/>
      <c r="F418" s="418"/>
      <c r="H418" s="251"/>
    </row>
    <row r="419">
      <c r="A419" s="265"/>
      <c r="B419" s="268"/>
      <c r="C419" s="252"/>
      <c r="D419" s="253"/>
      <c r="F419" s="418"/>
      <c r="H419" s="251"/>
    </row>
    <row r="420">
      <c r="A420" s="270"/>
      <c r="B420" s="268"/>
      <c r="C420" s="252"/>
      <c r="D420" s="253"/>
      <c r="F420" s="418"/>
      <c r="H420" s="251"/>
    </row>
    <row r="421">
      <c r="B421" s="271"/>
      <c r="C421" s="272"/>
      <c r="D421" s="273"/>
      <c r="E421" s="18"/>
      <c r="F421" s="456"/>
      <c r="G421" s="18"/>
      <c r="H421" s="261"/>
    </row>
    <row r="422">
      <c r="B422" s="306"/>
      <c r="C422" s="240"/>
      <c r="D422" s="241"/>
      <c r="E422" s="242"/>
      <c r="F422" s="423"/>
      <c r="G422" s="244"/>
      <c r="H422" s="307"/>
    </row>
    <row r="423">
      <c r="B423" s="268"/>
      <c r="C423" s="252"/>
      <c r="D423" s="253"/>
      <c r="F423" s="418"/>
      <c r="H423" s="251"/>
    </row>
    <row r="424">
      <c r="B424" s="268"/>
      <c r="C424" s="252"/>
      <c r="D424" s="253"/>
      <c r="F424" s="418"/>
      <c r="H424" s="251"/>
    </row>
    <row r="425">
      <c r="B425" s="308"/>
      <c r="C425" s="252"/>
      <c r="D425" s="253"/>
      <c r="F425" s="467"/>
      <c r="H425" s="302"/>
    </row>
    <row r="426">
      <c r="B426" s="308"/>
      <c r="C426" s="252"/>
      <c r="D426" s="253"/>
      <c r="F426" s="467"/>
      <c r="H426" s="302"/>
    </row>
    <row r="427">
      <c r="B427" s="308"/>
      <c r="C427" s="252"/>
      <c r="D427" s="253"/>
      <c r="F427" s="467"/>
      <c r="H427" s="302"/>
    </row>
    <row r="428">
      <c r="B428" s="308"/>
      <c r="C428" s="252"/>
      <c r="D428" s="253"/>
      <c r="F428" s="467"/>
      <c r="H428" s="302"/>
    </row>
    <row r="429">
      <c r="B429" s="308"/>
      <c r="C429" s="252"/>
      <c r="D429" s="253"/>
      <c r="F429" s="467"/>
      <c r="H429" s="302"/>
    </row>
    <row r="430">
      <c r="B430" s="308"/>
      <c r="C430" s="252"/>
      <c r="D430" s="253"/>
      <c r="F430" s="467"/>
      <c r="H430" s="302"/>
    </row>
    <row r="431">
      <c r="B431" s="308"/>
      <c r="C431" s="252"/>
      <c r="D431" s="253"/>
      <c r="F431" s="467"/>
      <c r="H431" s="302"/>
    </row>
    <row r="432">
      <c r="B432" s="308"/>
      <c r="C432" s="252"/>
      <c r="D432" s="253"/>
      <c r="F432" s="467"/>
      <c r="H432" s="302"/>
    </row>
    <row r="433">
      <c r="B433" s="308"/>
      <c r="C433" s="252"/>
      <c r="D433" s="253"/>
      <c r="F433" s="467"/>
      <c r="H433" s="302"/>
    </row>
    <row r="434">
      <c r="B434" s="308"/>
      <c r="C434" s="252"/>
      <c r="D434" s="253"/>
      <c r="F434" s="467"/>
      <c r="H434" s="302"/>
    </row>
    <row r="435">
      <c r="B435" s="308"/>
      <c r="C435" s="252"/>
      <c r="D435" s="253"/>
      <c r="F435" s="467"/>
      <c r="H435" s="302"/>
    </row>
    <row r="436">
      <c r="B436" s="308"/>
      <c r="C436" s="252"/>
      <c r="D436" s="253"/>
      <c r="F436" s="467"/>
      <c r="H436" s="302"/>
    </row>
    <row r="437">
      <c r="B437" s="308"/>
      <c r="C437" s="252"/>
      <c r="D437" s="253"/>
      <c r="F437" s="467"/>
      <c r="H437" s="302"/>
    </row>
    <row r="438">
      <c r="B438" s="308"/>
      <c r="C438" s="252"/>
      <c r="D438" s="253"/>
      <c r="F438" s="467"/>
      <c r="H438" s="302"/>
    </row>
    <row r="439">
      <c r="B439" s="308"/>
      <c r="C439" s="252"/>
      <c r="D439" s="253"/>
      <c r="F439" s="467"/>
      <c r="H439" s="302"/>
    </row>
    <row r="440">
      <c r="B440" s="308"/>
      <c r="C440" s="252"/>
      <c r="D440" s="253"/>
      <c r="F440" s="467"/>
      <c r="H440" s="302"/>
    </row>
    <row r="441">
      <c r="B441" s="308"/>
      <c r="C441" s="252"/>
      <c r="D441" s="253"/>
      <c r="F441" s="467"/>
      <c r="H441" s="302"/>
    </row>
    <row r="442">
      <c r="B442" s="308"/>
      <c r="C442" s="252"/>
      <c r="D442" s="253"/>
      <c r="F442" s="467"/>
      <c r="H442" s="302"/>
    </row>
    <row r="443">
      <c r="B443" s="308"/>
      <c r="C443" s="252"/>
      <c r="D443" s="253"/>
      <c r="F443" s="467"/>
      <c r="H443" s="302"/>
    </row>
    <row r="444">
      <c r="B444" s="308"/>
      <c r="C444" s="252"/>
      <c r="D444" s="253"/>
      <c r="F444" s="467"/>
      <c r="H444" s="302"/>
    </row>
    <row r="445">
      <c r="B445" s="308"/>
      <c r="C445" s="252"/>
      <c r="D445" s="253"/>
      <c r="F445" s="467"/>
      <c r="H445" s="302"/>
    </row>
    <row r="446">
      <c r="B446" s="308"/>
      <c r="C446" s="252"/>
      <c r="D446" s="253"/>
      <c r="F446" s="467"/>
      <c r="H446" s="302"/>
    </row>
    <row r="447">
      <c r="B447" s="308"/>
      <c r="C447" s="252"/>
      <c r="D447" s="253"/>
      <c r="F447" s="467"/>
      <c r="H447" s="302"/>
    </row>
    <row r="448">
      <c r="B448" s="308"/>
      <c r="C448" s="252"/>
      <c r="D448" s="253"/>
      <c r="F448" s="467"/>
      <c r="H448" s="302"/>
    </row>
    <row r="449">
      <c r="B449" s="308"/>
      <c r="C449" s="252"/>
      <c r="D449" s="253"/>
      <c r="F449" s="467"/>
      <c r="H449" s="302"/>
    </row>
    <row r="450">
      <c r="B450" s="308"/>
      <c r="C450" s="252"/>
      <c r="D450" s="253"/>
      <c r="F450" s="467"/>
      <c r="H450" s="302"/>
    </row>
    <row r="451">
      <c r="B451" s="308"/>
      <c r="C451" s="252"/>
      <c r="D451" s="253"/>
      <c r="F451" s="467"/>
      <c r="H451" s="302"/>
    </row>
    <row r="452">
      <c r="B452" s="308"/>
      <c r="C452" s="252"/>
      <c r="D452" s="253"/>
      <c r="F452" s="467"/>
      <c r="H452" s="302"/>
    </row>
    <row r="453">
      <c r="B453" s="308"/>
      <c r="C453" s="252"/>
      <c r="D453" s="253"/>
      <c r="F453" s="467"/>
      <c r="H453" s="302"/>
    </row>
    <row r="454">
      <c r="B454" s="308"/>
      <c r="C454" s="252"/>
      <c r="D454" s="253"/>
      <c r="F454" s="467"/>
      <c r="H454" s="302"/>
    </row>
    <row r="455">
      <c r="B455" s="308"/>
      <c r="C455" s="252"/>
      <c r="D455" s="253"/>
      <c r="F455" s="467"/>
      <c r="H455" s="302"/>
    </row>
    <row r="456">
      <c r="B456" s="308"/>
      <c r="C456" s="252"/>
      <c r="D456" s="253"/>
      <c r="F456" s="467"/>
      <c r="H456" s="302"/>
    </row>
    <row r="457">
      <c r="B457" s="308"/>
      <c r="C457" s="252"/>
      <c r="D457" s="253"/>
      <c r="F457" s="467"/>
      <c r="H457" s="302"/>
    </row>
    <row r="458">
      <c r="B458" s="308"/>
      <c r="C458" s="252"/>
      <c r="D458" s="253"/>
      <c r="F458" s="467"/>
      <c r="H458" s="302"/>
    </row>
    <row r="459">
      <c r="B459" s="308"/>
      <c r="C459" s="252"/>
      <c r="D459" s="253"/>
      <c r="F459" s="467"/>
      <c r="H459" s="302"/>
    </row>
    <row r="460">
      <c r="B460" s="308"/>
      <c r="C460" s="252"/>
      <c r="D460" s="253"/>
      <c r="F460" s="467"/>
      <c r="H460" s="302"/>
    </row>
    <row r="461">
      <c r="B461" s="308"/>
      <c r="C461" s="252"/>
      <c r="D461" s="253"/>
      <c r="F461" s="467"/>
      <c r="H461" s="302"/>
    </row>
    <row r="462">
      <c r="B462" s="308"/>
      <c r="C462" s="252"/>
      <c r="D462" s="253"/>
      <c r="F462" s="467"/>
      <c r="H462" s="302"/>
    </row>
    <row r="463">
      <c r="B463" s="308"/>
      <c r="C463" s="252"/>
      <c r="D463" s="253"/>
      <c r="F463" s="467"/>
      <c r="H463" s="302"/>
    </row>
    <row r="464">
      <c r="B464" s="308"/>
      <c r="C464" s="252"/>
      <c r="D464" s="253"/>
      <c r="F464" s="467"/>
      <c r="H464" s="302"/>
    </row>
    <row r="465">
      <c r="B465" s="308"/>
      <c r="C465" s="252"/>
      <c r="D465" s="253"/>
      <c r="F465" s="467"/>
      <c r="H465" s="302"/>
    </row>
    <row r="466">
      <c r="B466" s="308"/>
      <c r="C466" s="252"/>
      <c r="D466" s="253"/>
      <c r="F466" s="467"/>
      <c r="H466" s="302"/>
    </row>
    <row r="467">
      <c r="B467" s="308"/>
      <c r="C467" s="252"/>
      <c r="D467" s="253"/>
      <c r="F467" s="467"/>
      <c r="H467" s="302"/>
    </row>
    <row r="468">
      <c r="B468" s="308"/>
      <c r="C468" s="252"/>
      <c r="D468" s="253"/>
      <c r="F468" s="467"/>
      <c r="H468" s="302"/>
    </row>
    <row r="469">
      <c r="B469" s="308"/>
      <c r="C469" s="252"/>
      <c r="D469" s="253"/>
      <c r="F469" s="467"/>
      <c r="H469" s="302"/>
    </row>
    <row r="470">
      <c r="B470" s="308"/>
      <c r="C470" s="252"/>
      <c r="D470" s="253"/>
      <c r="F470" s="467"/>
      <c r="H470" s="302"/>
    </row>
    <row r="471">
      <c r="B471" s="308"/>
      <c r="C471" s="252"/>
      <c r="D471" s="253"/>
      <c r="F471" s="467"/>
      <c r="H471" s="302"/>
    </row>
    <row r="472">
      <c r="B472" s="308"/>
      <c r="C472" s="252"/>
      <c r="D472" s="253"/>
      <c r="F472" s="467"/>
      <c r="H472" s="302"/>
    </row>
    <row r="473">
      <c r="B473" s="308"/>
      <c r="C473" s="252"/>
      <c r="D473" s="253"/>
      <c r="F473" s="467"/>
      <c r="H473" s="302"/>
    </row>
    <row r="474">
      <c r="B474" s="308"/>
      <c r="C474" s="252"/>
      <c r="D474" s="253"/>
      <c r="F474" s="467"/>
      <c r="H474" s="302"/>
    </row>
    <row r="475">
      <c r="B475" s="308"/>
      <c r="C475" s="252"/>
      <c r="D475" s="253"/>
      <c r="F475" s="467"/>
      <c r="H475" s="302"/>
    </row>
    <row r="476">
      <c r="B476" s="308"/>
      <c r="C476" s="252"/>
      <c r="D476" s="253"/>
      <c r="F476" s="467"/>
      <c r="H476" s="302"/>
    </row>
    <row r="477">
      <c r="B477" s="308"/>
      <c r="C477" s="252"/>
      <c r="D477" s="253"/>
      <c r="F477" s="467"/>
      <c r="H477" s="302"/>
    </row>
    <row r="478">
      <c r="B478" s="308"/>
      <c r="C478" s="252"/>
      <c r="D478" s="253"/>
      <c r="F478" s="467"/>
      <c r="H478" s="302"/>
    </row>
    <row r="479">
      <c r="B479" s="308"/>
      <c r="C479" s="252"/>
      <c r="D479" s="253"/>
      <c r="F479" s="467"/>
      <c r="H479" s="302"/>
    </row>
    <row r="480">
      <c r="B480" s="308"/>
      <c r="C480" s="252"/>
      <c r="D480" s="253"/>
      <c r="F480" s="467"/>
      <c r="H480" s="302"/>
    </row>
    <row r="481">
      <c r="B481" s="308"/>
      <c r="C481" s="252"/>
      <c r="D481" s="253"/>
      <c r="F481" s="467"/>
      <c r="H481" s="302"/>
    </row>
    <row r="482">
      <c r="B482" s="308"/>
      <c r="C482" s="252"/>
      <c r="D482" s="253"/>
      <c r="F482" s="467"/>
      <c r="H482" s="302"/>
    </row>
    <row r="483">
      <c r="B483" s="308"/>
      <c r="C483" s="252"/>
      <c r="D483" s="253"/>
      <c r="F483" s="467"/>
      <c r="H483" s="302"/>
    </row>
    <row r="484">
      <c r="B484" s="308"/>
      <c r="C484" s="252"/>
      <c r="D484" s="253"/>
      <c r="F484" s="467"/>
      <c r="H484" s="302"/>
    </row>
    <row r="485">
      <c r="B485" s="308"/>
      <c r="C485" s="252"/>
      <c r="D485" s="253"/>
      <c r="F485" s="467"/>
      <c r="H485" s="302"/>
    </row>
    <row r="486">
      <c r="B486" s="308"/>
      <c r="C486" s="252"/>
      <c r="D486" s="253"/>
      <c r="F486" s="467"/>
      <c r="H486" s="302"/>
    </row>
    <row r="487">
      <c r="B487" s="308"/>
      <c r="C487" s="252"/>
      <c r="D487" s="253"/>
      <c r="F487" s="467"/>
      <c r="H487" s="302"/>
    </row>
    <row r="488">
      <c r="B488" s="308"/>
      <c r="C488" s="252"/>
      <c r="D488" s="253"/>
      <c r="F488" s="467"/>
      <c r="H488" s="302"/>
    </row>
    <row r="489">
      <c r="B489" s="308"/>
      <c r="C489" s="252"/>
      <c r="D489" s="253"/>
      <c r="F489" s="467"/>
      <c r="H489" s="302"/>
    </row>
    <row r="490">
      <c r="B490" s="308"/>
      <c r="C490" s="252"/>
      <c r="D490" s="253"/>
      <c r="F490" s="467"/>
      <c r="H490" s="302"/>
    </row>
    <row r="491">
      <c r="B491" s="308"/>
      <c r="C491" s="252"/>
      <c r="D491" s="253"/>
      <c r="F491" s="467"/>
      <c r="H491" s="302"/>
    </row>
    <row r="492">
      <c r="B492" s="308"/>
      <c r="C492" s="252"/>
      <c r="D492" s="253"/>
      <c r="F492" s="467"/>
      <c r="H492" s="302"/>
    </row>
    <row r="493">
      <c r="B493" s="308"/>
      <c r="C493" s="252"/>
      <c r="D493" s="253"/>
      <c r="F493" s="467"/>
      <c r="H493" s="302"/>
    </row>
    <row r="494">
      <c r="B494" s="308"/>
      <c r="C494" s="252"/>
      <c r="D494" s="253"/>
      <c r="F494" s="467"/>
      <c r="H494" s="302"/>
    </row>
    <row r="495">
      <c r="B495" s="308"/>
      <c r="C495" s="252"/>
      <c r="D495" s="253"/>
      <c r="F495" s="467"/>
      <c r="H495" s="302"/>
    </row>
    <row r="496">
      <c r="B496" s="308"/>
      <c r="C496" s="252"/>
      <c r="D496" s="253"/>
      <c r="F496" s="467"/>
      <c r="H496" s="302"/>
    </row>
    <row r="497">
      <c r="B497" s="308"/>
      <c r="C497" s="252"/>
      <c r="D497" s="253"/>
      <c r="F497" s="467"/>
      <c r="H497" s="302"/>
    </row>
    <row r="498">
      <c r="B498" s="308"/>
      <c r="C498" s="252"/>
      <c r="D498" s="253"/>
      <c r="F498" s="467"/>
      <c r="H498" s="302"/>
    </row>
    <row r="499">
      <c r="B499" s="308"/>
      <c r="C499" s="252"/>
      <c r="D499" s="253"/>
      <c r="F499" s="467"/>
      <c r="H499" s="302"/>
    </row>
    <row r="500">
      <c r="B500" s="308"/>
      <c r="C500" s="252"/>
      <c r="D500" s="253"/>
      <c r="F500" s="467"/>
      <c r="H500" s="302"/>
    </row>
    <row r="501">
      <c r="B501" s="308"/>
      <c r="C501" s="252"/>
      <c r="D501" s="253"/>
      <c r="F501" s="467"/>
      <c r="H501" s="302"/>
    </row>
    <row r="502">
      <c r="B502" s="308"/>
      <c r="C502" s="252"/>
      <c r="D502" s="253"/>
      <c r="F502" s="467"/>
      <c r="H502" s="302"/>
    </row>
    <row r="503">
      <c r="B503" s="308"/>
      <c r="C503" s="252"/>
      <c r="D503" s="253"/>
      <c r="F503" s="467"/>
      <c r="H503" s="302"/>
    </row>
    <row r="504">
      <c r="B504" s="308"/>
      <c r="C504" s="252"/>
      <c r="D504" s="253"/>
      <c r="F504" s="467"/>
      <c r="H504" s="302"/>
    </row>
    <row r="505">
      <c r="B505" s="308"/>
      <c r="C505" s="252"/>
      <c r="D505" s="253"/>
      <c r="F505" s="467"/>
      <c r="H505" s="302"/>
    </row>
    <row r="506">
      <c r="B506" s="308"/>
      <c r="C506" s="252"/>
      <c r="D506" s="253"/>
      <c r="F506" s="467"/>
      <c r="H506" s="302"/>
    </row>
    <row r="507">
      <c r="B507" s="308"/>
      <c r="C507" s="252"/>
      <c r="D507" s="253"/>
      <c r="F507" s="467"/>
      <c r="H507" s="302"/>
    </row>
    <row r="508">
      <c r="B508" s="308"/>
      <c r="C508" s="252"/>
      <c r="D508" s="253"/>
      <c r="F508" s="467"/>
      <c r="H508" s="302"/>
    </row>
    <row r="509">
      <c r="B509" s="308"/>
      <c r="C509" s="252"/>
      <c r="D509" s="253"/>
      <c r="F509" s="467"/>
      <c r="H509" s="302"/>
    </row>
    <row r="510">
      <c r="B510" s="308"/>
      <c r="C510" s="252"/>
      <c r="D510" s="253"/>
      <c r="F510" s="467"/>
      <c r="H510" s="302"/>
    </row>
    <row r="511">
      <c r="B511" s="308"/>
      <c r="C511" s="252"/>
      <c r="D511" s="253"/>
      <c r="F511" s="467"/>
      <c r="H511" s="302"/>
    </row>
    <row r="512">
      <c r="B512" s="308"/>
      <c r="C512" s="252"/>
      <c r="D512" s="253"/>
      <c r="F512" s="467"/>
      <c r="H512" s="302"/>
    </row>
    <row r="513">
      <c r="B513" s="308"/>
      <c r="C513" s="252"/>
      <c r="D513" s="253"/>
      <c r="F513" s="467"/>
      <c r="H513" s="302"/>
    </row>
    <row r="514">
      <c r="B514" s="308"/>
      <c r="C514" s="252"/>
      <c r="D514" s="253"/>
      <c r="F514" s="467"/>
      <c r="H514" s="302"/>
    </row>
    <row r="515">
      <c r="B515" s="308"/>
      <c r="C515" s="252"/>
      <c r="D515" s="253"/>
      <c r="F515" s="467"/>
      <c r="H515" s="302"/>
    </row>
    <row r="516">
      <c r="B516" s="308"/>
      <c r="C516" s="252"/>
      <c r="D516" s="253"/>
      <c r="F516" s="467"/>
      <c r="H516" s="302"/>
    </row>
    <row r="517">
      <c r="B517" s="308"/>
      <c r="C517" s="252"/>
      <c r="D517" s="253"/>
      <c r="F517" s="467"/>
      <c r="H517" s="302"/>
    </row>
    <row r="518">
      <c r="B518" s="308"/>
      <c r="C518" s="252"/>
      <c r="D518" s="253"/>
      <c r="F518" s="467"/>
      <c r="H518" s="302"/>
    </row>
    <row r="519">
      <c r="B519" s="308"/>
      <c r="C519" s="252"/>
      <c r="D519" s="253"/>
      <c r="F519" s="467"/>
      <c r="H519" s="302"/>
    </row>
    <row r="520">
      <c r="B520" s="308"/>
      <c r="C520" s="252"/>
      <c r="D520" s="253"/>
      <c r="F520" s="467"/>
      <c r="H520" s="302"/>
    </row>
    <row r="521">
      <c r="B521" s="308"/>
      <c r="C521" s="252"/>
      <c r="D521" s="253"/>
      <c r="F521" s="467"/>
      <c r="H521" s="302"/>
    </row>
    <row r="522">
      <c r="B522" s="308"/>
      <c r="C522" s="252"/>
      <c r="D522" s="253"/>
      <c r="F522" s="467"/>
      <c r="H522" s="302"/>
    </row>
    <row r="523">
      <c r="B523" s="308"/>
      <c r="C523" s="252"/>
      <c r="D523" s="253"/>
      <c r="F523" s="467"/>
      <c r="H523" s="302"/>
    </row>
    <row r="524">
      <c r="B524" s="308"/>
      <c r="C524" s="252"/>
      <c r="D524" s="253"/>
      <c r="F524" s="467"/>
      <c r="H524" s="302"/>
    </row>
    <row r="525">
      <c r="B525" s="308"/>
      <c r="C525" s="252"/>
      <c r="D525" s="253"/>
      <c r="F525" s="467"/>
      <c r="H525" s="302"/>
    </row>
    <row r="526">
      <c r="B526" s="308"/>
      <c r="C526" s="252"/>
      <c r="D526" s="253"/>
      <c r="F526" s="467"/>
      <c r="H526" s="302"/>
    </row>
    <row r="527">
      <c r="B527" s="308"/>
      <c r="C527" s="252"/>
      <c r="D527" s="253"/>
      <c r="F527" s="467"/>
      <c r="H527" s="302"/>
    </row>
    <row r="528">
      <c r="B528" s="308"/>
      <c r="C528" s="252"/>
      <c r="D528" s="253"/>
      <c r="F528" s="467"/>
      <c r="H528" s="302"/>
    </row>
    <row r="529">
      <c r="B529" s="308"/>
      <c r="C529" s="252"/>
      <c r="D529" s="253"/>
      <c r="F529" s="467"/>
      <c r="H529" s="302"/>
    </row>
    <row r="530">
      <c r="B530" s="308"/>
      <c r="C530" s="252"/>
      <c r="D530" s="253"/>
      <c r="F530" s="467"/>
      <c r="H530" s="302"/>
    </row>
    <row r="531">
      <c r="B531" s="308"/>
      <c r="C531" s="252"/>
      <c r="D531" s="253"/>
      <c r="F531" s="467"/>
      <c r="H531" s="302"/>
    </row>
    <row r="532">
      <c r="B532" s="308"/>
      <c r="C532" s="252"/>
      <c r="D532" s="253"/>
      <c r="F532" s="467"/>
      <c r="H532" s="302"/>
    </row>
    <row r="533">
      <c r="B533" s="308"/>
      <c r="C533" s="252"/>
      <c r="D533" s="253"/>
      <c r="F533" s="467"/>
      <c r="H533" s="302"/>
    </row>
    <row r="534">
      <c r="B534" s="308"/>
      <c r="C534" s="252"/>
      <c r="D534" s="253"/>
      <c r="F534" s="467"/>
      <c r="H534" s="302"/>
    </row>
    <row r="535">
      <c r="B535" s="308"/>
      <c r="C535" s="252"/>
      <c r="D535" s="253"/>
      <c r="F535" s="467"/>
      <c r="H535" s="302"/>
    </row>
    <row r="536">
      <c r="B536" s="308"/>
      <c r="C536" s="252"/>
      <c r="D536" s="253"/>
      <c r="F536" s="467"/>
      <c r="H536" s="302"/>
    </row>
    <row r="537">
      <c r="B537" s="308"/>
      <c r="C537" s="252"/>
      <c r="D537" s="253"/>
      <c r="F537" s="467"/>
      <c r="H537" s="302"/>
    </row>
    <row r="538">
      <c r="B538" s="308"/>
      <c r="C538" s="252"/>
      <c r="D538" s="253"/>
      <c r="F538" s="467"/>
      <c r="H538" s="302"/>
    </row>
    <row r="539">
      <c r="B539" s="308"/>
      <c r="C539" s="252"/>
      <c r="D539" s="253"/>
      <c r="F539" s="467"/>
      <c r="H539" s="302"/>
    </row>
    <row r="540">
      <c r="B540" s="308"/>
      <c r="C540" s="252"/>
      <c r="D540" s="253"/>
      <c r="F540" s="467"/>
      <c r="H540" s="302"/>
    </row>
    <row r="541">
      <c r="B541" s="308"/>
      <c r="C541" s="252"/>
      <c r="D541" s="253"/>
      <c r="F541" s="467"/>
      <c r="H541" s="302"/>
    </row>
    <row r="542">
      <c r="B542" s="308"/>
      <c r="C542" s="252"/>
      <c r="D542" s="253"/>
      <c r="F542" s="467"/>
      <c r="H542" s="302"/>
    </row>
    <row r="543">
      <c r="B543" s="308"/>
      <c r="C543" s="252"/>
      <c r="D543" s="253"/>
      <c r="F543" s="467"/>
      <c r="H543" s="302"/>
    </row>
    <row r="544">
      <c r="B544" s="308"/>
      <c r="C544" s="252"/>
      <c r="D544" s="253"/>
      <c r="F544" s="467"/>
      <c r="H544" s="302"/>
    </row>
    <row r="545">
      <c r="B545" s="308"/>
      <c r="C545" s="252"/>
      <c r="D545" s="253"/>
      <c r="F545" s="467"/>
      <c r="H545" s="302"/>
    </row>
    <row r="546">
      <c r="B546" s="308"/>
      <c r="C546" s="252"/>
      <c r="D546" s="253"/>
      <c r="F546" s="467"/>
      <c r="H546" s="302"/>
    </row>
    <row r="547">
      <c r="B547" s="308"/>
      <c r="C547" s="252"/>
      <c r="D547" s="253"/>
      <c r="F547" s="467"/>
      <c r="H547" s="302"/>
    </row>
    <row r="548">
      <c r="B548" s="308"/>
      <c r="C548" s="252"/>
      <c r="D548" s="253"/>
      <c r="F548" s="467"/>
      <c r="H548" s="302"/>
    </row>
    <row r="549">
      <c r="B549" s="308"/>
      <c r="C549" s="252"/>
      <c r="D549" s="253"/>
      <c r="F549" s="467"/>
      <c r="H549" s="302"/>
    </row>
    <row r="550">
      <c r="B550" s="308"/>
      <c r="C550" s="252"/>
      <c r="D550" s="253"/>
      <c r="F550" s="467"/>
      <c r="H550" s="302"/>
    </row>
    <row r="551">
      <c r="B551" s="308"/>
      <c r="C551" s="252"/>
      <c r="D551" s="253"/>
      <c r="F551" s="467"/>
      <c r="H551" s="302"/>
    </row>
    <row r="552">
      <c r="B552" s="308"/>
      <c r="C552" s="252"/>
      <c r="D552" s="253"/>
      <c r="F552" s="467"/>
      <c r="H552" s="302"/>
    </row>
    <row r="553">
      <c r="B553" s="308"/>
      <c r="C553" s="252"/>
      <c r="D553" s="253"/>
      <c r="F553" s="467"/>
      <c r="H553" s="302"/>
    </row>
    <row r="554">
      <c r="B554" s="308"/>
      <c r="C554" s="252"/>
      <c r="D554" s="253"/>
      <c r="F554" s="467"/>
      <c r="H554" s="302"/>
    </row>
    <row r="555">
      <c r="B555" s="308"/>
      <c r="C555" s="252"/>
      <c r="D555" s="253"/>
      <c r="F555" s="467"/>
      <c r="H555" s="302"/>
    </row>
    <row r="556">
      <c r="B556" s="308"/>
      <c r="C556" s="252"/>
      <c r="D556" s="253"/>
      <c r="F556" s="467"/>
      <c r="H556" s="302"/>
    </row>
    <row r="557">
      <c r="B557" s="308"/>
      <c r="C557" s="252"/>
      <c r="D557" s="253"/>
      <c r="F557" s="467"/>
      <c r="H557" s="302"/>
    </row>
    <row r="558">
      <c r="B558" s="308"/>
      <c r="C558" s="252"/>
      <c r="D558" s="253"/>
      <c r="F558" s="467"/>
      <c r="H558" s="302"/>
    </row>
    <row r="559">
      <c r="B559" s="308"/>
      <c r="C559" s="252"/>
      <c r="D559" s="253"/>
      <c r="F559" s="467"/>
      <c r="H559" s="302"/>
    </row>
    <row r="560">
      <c r="B560" s="308"/>
      <c r="C560" s="252"/>
      <c r="D560" s="253"/>
      <c r="F560" s="467"/>
      <c r="H560" s="302"/>
    </row>
    <row r="561">
      <c r="B561" s="308"/>
      <c r="C561" s="252"/>
      <c r="D561" s="253"/>
      <c r="F561" s="467"/>
      <c r="H561" s="302"/>
    </row>
    <row r="562">
      <c r="B562" s="308"/>
      <c r="C562" s="252"/>
      <c r="D562" s="253"/>
      <c r="F562" s="467"/>
      <c r="H562" s="302"/>
    </row>
    <row r="563">
      <c r="B563" s="308"/>
      <c r="C563" s="252"/>
      <c r="D563" s="253"/>
      <c r="F563" s="467"/>
      <c r="H563" s="302"/>
    </row>
    <row r="564">
      <c r="B564" s="308"/>
      <c r="C564" s="252"/>
      <c r="D564" s="253"/>
      <c r="F564" s="467"/>
      <c r="H564" s="302"/>
    </row>
    <row r="565">
      <c r="B565" s="308"/>
      <c r="C565" s="252"/>
      <c r="D565" s="253"/>
      <c r="F565" s="467"/>
      <c r="H565" s="302"/>
    </row>
    <row r="566">
      <c r="B566" s="308"/>
      <c r="C566" s="252"/>
      <c r="D566" s="253"/>
      <c r="F566" s="467"/>
      <c r="H566" s="302"/>
    </row>
    <row r="567">
      <c r="B567" s="308"/>
      <c r="C567" s="252"/>
      <c r="D567" s="253"/>
      <c r="F567" s="467"/>
      <c r="H567" s="302"/>
    </row>
    <row r="568">
      <c r="B568" s="308"/>
      <c r="C568" s="252"/>
      <c r="D568" s="253"/>
      <c r="F568" s="467"/>
      <c r="H568" s="302"/>
    </row>
    <row r="569">
      <c r="B569" s="308"/>
      <c r="C569" s="252"/>
      <c r="D569" s="253"/>
      <c r="F569" s="467"/>
      <c r="H569" s="302"/>
    </row>
    <row r="570">
      <c r="B570" s="308"/>
      <c r="C570" s="252"/>
      <c r="D570" s="253"/>
      <c r="F570" s="467"/>
      <c r="H570" s="302"/>
    </row>
    <row r="571">
      <c r="B571" s="308"/>
      <c r="C571" s="252"/>
      <c r="D571" s="253"/>
      <c r="F571" s="467"/>
      <c r="H571" s="302"/>
    </row>
    <row r="572">
      <c r="B572" s="308"/>
      <c r="C572" s="252"/>
      <c r="D572" s="253"/>
      <c r="F572" s="467"/>
      <c r="H572" s="302"/>
    </row>
    <row r="573">
      <c r="B573" s="308"/>
      <c r="C573" s="252"/>
      <c r="D573" s="253"/>
      <c r="F573" s="467"/>
      <c r="H573" s="302"/>
    </row>
    <row r="574">
      <c r="B574" s="308"/>
      <c r="C574" s="252"/>
      <c r="D574" s="253"/>
      <c r="F574" s="467"/>
      <c r="H574" s="302"/>
    </row>
    <row r="575">
      <c r="B575" s="308"/>
      <c r="C575" s="252"/>
      <c r="D575" s="253"/>
      <c r="F575" s="467"/>
      <c r="H575" s="302"/>
    </row>
    <row r="576">
      <c r="B576" s="308"/>
      <c r="C576" s="252"/>
      <c r="D576" s="253"/>
      <c r="F576" s="467"/>
      <c r="H576" s="302"/>
    </row>
    <row r="577">
      <c r="B577" s="308"/>
      <c r="C577" s="252"/>
      <c r="D577" s="253"/>
      <c r="F577" s="467"/>
      <c r="H577" s="302"/>
    </row>
    <row r="578">
      <c r="B578" s="308"/>
      <c r="C578" s="252"/>
      <c r="D578" s="253"/>
      <c r="F578" s="467"/>
      <c r="H578" s="302"/>
    </row>
    <row r="579">
      <c r="B579" s="308"/>
      <c r="C579" s="252"/>
      <c r="D579" s="253"/>
      <c r="F579" s="467"/>
      <c r="H579" s="302"/>
    </row>
    <row r="580">
      <c r="B580" s="308"/>
      <c r="C580" s="252"/>
      <c r="D580" s="253"/>
      <c r="F580" s="467"/>
      <c r="H580" s="302"/>
    </row>
    <row r="581">
      <c r="B581" s="308"/>
      <c r="C581" s="252"/>
      <c r="D581" s="253"/>
      <c r="F581" s="467"/>
      <c r="H581" s="302"/>
    </row>
    <row r="582">
      <c r="B582" s="308"/>
      <c r="C582" s="252"/>
      <c r="D582" s="253"/>
      <c r="F582" s="467"/>
      <c r="H582" s="302"/>
    </row>
    <row r="583">
      <c r="B583" s="308"/>
      <c r="C583" s="252"/>
      <c r="D583" s="253"/>
      <c r="F583" s="467"/>
      <c r="H583" s="302"/>
    </row>
    <row r="584">
      <c r="B584" s="308"/>
      <c r="C584" s="252"/>
      <c r="D584" s="253"/>
      <c r="F584" s="467"/>
      <c r="H584" s="302"/>
    </row>
    <row r="585">
      <c r="B585" s="308"/>
      <c r="C585" s="252"/>
      <c r="D585" s="253"/>
      <c r="F585" s="467"/>
      <c r="H585" s="302"/>
    </row>
    <row r="586">
      <c r="B586" s="308"/>
      <c r="C586" s="252"/>
      <c r="D586" s="253"/>
      <c r="F586" s="467"/>
      <c r="H586" s="302"/>
    </row>
    <row r="587">
      <c r="B587" s="308"/>
      <c r="C587" s="252"/>
      <c r="D587" s="253"/>
      <c r="F587" s="467"/>
      <c r="H587" s="302"/>
    </row>
    <row r="588">
      <c r="B588" s="308"/>
      <c r="C588" s="252"/>
      <c r="D588" s="253"/>
      <c r="F588" s="467"/>
      <c r="H588" s="302"/>
    </row>
    <row r="589">
      <c r="B589" s="308"/>
      <c r="C589" s="252"/>
      <c r="D589" s="253"/>
      <c r="F589" s="467"/>
      <c r="H589" s="302"/>
    </row>
    <row r="590">
      <c r="B590" s="308"/>
      <c r="C590" s="252"/>
      <c r="D590" s="253"/>
      <c r="F590" s="467"/>
      <c r="H590" s="302"/>
    </row>
    <row r="591">
      <c r="B591" s="308"/>
      <c r="C591" s="252"/>
      <c r="D591" s="253"/>
      <c r="F591" s="467"/>
      <c r="H591" s="302"/>
    </row>
    <row r="592">
      <c r="B592" s="308"/>
      <c r="C592" s="252"/>
      <c r="D592" s="253"/>
      <c r="F592" s="467"/>
      <c r="H592" s="302"/>
    </row>
    <row r="593">
      <c r="B593" s="308"/>
      <c r="C593" s="252"/>
      <c r="D593" s="253"/>
      <c r="F593" s="467"/>
      <c r="H593" s="302"/>
    </row>
    <row r="594">
      <c r="B594" s="308"/>
      <c r="C594" s="252"/>
      <c r="D594" s="253"/>
      <c r="F594" s="467"/>
      <c r="H594" s="302"/>
    </row>
    <row r="595">
      <c r="B595" s="308"/>
      <c r="C595" s="252"/>
      <c r="D595" s="253"/>
      <c r="F595" s="467"/>
      <c r="H595" s="302"/>
    </row>
    <row r="596">
      <c r="B596" s="308"/>
      <c r="C596" s="252"/>
      <c r="D596" s="253"/>
      <c r="F596" s="467"/>
      <c r="H596" s="302"/>
    </row>
    <row r="597">
      <c r="B597" s="308"/>
      <c r="C597" s="252"/>
      <c r="D597" s="253"/>
      <c r="F597" s="467"/>
      <c r="H597" s="302"/>
    </row>
    <row r="598">
      <c r="B598" s="308"/>
      <c r="C598" s="252"/>
      <c r="D598" s="253"/>
      <c r="F598" s="467"/>
      <c r="H598" s="302"/>
    </row>
    <row r="599">
      <c r="B599" s="308"/>
      <c r="C599" s="252"/>
      <c r="D599" s="253"/>
      <c r="F599" s="467"/>
      <c r="H599" s="302"/>
    </row>
    <row r="600">
      <c r="B600" s="308"/>
      <c r="C600" s="252"/>
      <c r="D600" s="253"/>
      <c r="F600" s="467"/>
      <c r="H600" s="302"/>
    </row>
    <row r="601">
      <c r="B601" s="308"/>
      <c r="C601" s="252"/>
      <c r="D601" s="253"/>
      <c r="F601" s="467"/>
      <c r="H601" s="302"/>
    </row>
    <row r="602">
      <c r="B602" s="308"/>
      <c r="C602" s="252"/>
      <c r="D602" s="253"/>
      <c r="F602" s="467"/>
      <c r="H602" s="302"/>
    </row>
    <row r="603">
      <c r="B603" s="308"/>
      <c r="C603" s="252"/>
      <c r="D603" s="253"/>
      <c r="F603" s="467"/>
      <c r="H603" s="302"/>
    </row>
    <row r="604">
      <c r="B604" s="308"/>
      <c r="C604" s="252"/>
      <c r="D604" s="253"/>
      <c r="F604" s="467"/>
      <c r="H604" s="302"/>
    </row>
    <row r="605">
      <c r="B605" s="308"/>
      <c r="C605" s="252"/>
      <c r="D605" s="253"/>
      <c r="F605" s="467"/>
      <c r="H605" s="302"/>
    </row>
    <row r="606">
      <c r="B606" s="308"/>
      <c r="C606" s="252"/>
      <c r="D606" s="253"/>
      <c r="F606" s="467"/>
      <c r="H606" s="302"/>
    </row>
    <row r="607">
      <c r="B607" s="308"/>
      <c r="C607" s="252"/>
      <c r="D607" s="253"/>
      <c r="F607" s="467"/>
      <c r="H607" s="302"/>
    </row>
    <row r="608">
      <c r="B608" s="308"/>
      <c r="C608" s="252"/>
      <c r="D608" s="253"/>
      <c r="F608" s="467"/>
      <c r="H608" s="302"/>
    </row>
    <row r="609">
      <c r="B609" s="308"/>
      <c r="C609" s="252"/>
      <c r="D609" s="253"/>
      <c r="F609" s="467"/>
      <c r="H609" s="302"/>
    </row>
    <row r="610">
      <c r="B610" s="308"/>
      <c r="C610" s="252"/>
      <c r="D610" s="253"/>
      <c r="F610" s="467"/>
      <c r="H610" s="302"/>
    </row>
    <row r="611">
      <c r="B611" s="308"/>
      <c r="C611" s="252"/>
      <c r="D611" s="253"/>
      <c r="F611" s="467"/>
      <c r="H611" s="302"/>
    </row>
    <row r="612">
      <c r="B612" s="308"/>
      <c r="C612" s="252"/>
      <c r="D612" s="253"/>
      <c r="F612" s="467"/>
      <c r="H612" s="302"/>
    </row>
    <row r="613">
      <c r="B613" s="308"/>
      <c r="C613" s="252"/>
      <c r="D613" s="253"/>
      <c r="F613" s="467"/>
      <c r="H613" s="302"/>
    </row>
    <row r="614">
      <c r="B614" s="308"/>
      <c r="C614" s="252"/>
      <c r="D614" s="253"/>
      <c r="F614" s="467"/>
      <c r="H614" s="302"/>
    </row>
    <row r="615">
      <c r="B615" s="308"/>
      <c r="C615" s="252"/>
      <c r="D615" s="253"/>
      <c r="F615" s="467"/>
      <c r="H615" s="302"/>
    </row>
    <row r="616">
      <c r="B616" s="308"/>
      <c r="C616" s="252"/>
      <c r="D616" s="253"/>
      <c r="F616" s="467"/>
      <c r="H616" s="302"/>
    </row>
    <row r="617">
      <c r="B617" s="308"/>
      <c r="C617" s="252"/>
      <c r="D617" s="253"/>
      <c r="F617" s="467"/>
      <c r="H617" s="302"/>
    </row>
    <row r="618">
      <c r="B618" s="308"/>
      <c r="C618" s="252"/>
      <c r="D618" s="253"/>
      <c r="F618" s="467"/>
      <c r="H618" s="302"/>
    </row>
    <row r="619">
      <c r="B619" s="308"/>
      <c r="C619" s="252"/>
      <c r="D619" s="253"/>
      <c r="F619" s="467"/>
      <c r="H619" s="302"/>
    </row>
    <row r="620">
      <c r="B620" s="308"/>
      <c r="C620" s="252"/>
      <c r="D620" s="253"/>
      <c r="F620" s="467"/>
      <c r="H620" s="302"/>
    </row>
    <row r="621">
      <c r="B621" s="308"/>
      <c r="C621" s="252"/>
      <c r="D621" s="253"/>
      <c r="F621" s="467"/>
      <c r="H621" s="302"/>
    </row>
    <row r="622">
      <c r="B622" s="308"/>
      <c r="C622" s="252"/>
      <c r="D622" s="253"/>
      <c r="F622" s="467"/>
      <c r="H622" s="302"/>
    </row>
    <row r="623">
      <c r="B623" s="308"/>
      <c r="C623" s="252"/>
      <c r="D623" s="253"/>
      <c r="F623" s="467"/>
      <c r="H623" s="302"/>
    </row>
    <row r="624">
      <c r="B624" s="308"/>
      <c r="C624" s="252"/>
      <c r="D624" s="253"/>
      <c r="F624" s="467"/>
      <c r="H624" s="302"/>
    </row>
    <row r="625">
      <c r="B625" s="308"/>
      <c r="C625" s="252"/>
      <c r="D625" s="253"/>
      <c r="F625" s="467"/>
      <c r="H625" s="302"/>
    </row>
    <row r="626">
      <c r="B626" s="308"/>
      <c r="C626" s="252"/>
      <c r="D626" s="253"/>
      <c r="F626" s="467"/>
      <c r="H626" s="302"/>
    </row>
    <row r="627">
      <c r="B627" s="308"/>
      <c r="C627" s="252"/>
      <c r="D627" s="253"/>
      <c r="F627" s="467"/>
      <c r="H627" s="302"/>
    </row>
    <row r="628">
      <c r="B628" s="308"/>
      <c r="C628" s="252"/>
      <c r="D628" s="253"/>
      <c r="F628" s="467"/>
      <c r="H628" s="302"/>
    </row>
    <row r="629">
      <c r="B629" s="308"/>
      <c r="C629" s="252"/>
      <c r="D629" s="253"/>
      <c r="F629" s="467"/>
      <c r="H629" s="302"/>
    </row>
    <row r="630">
      <c r="B630" s="308"/>
      <c r="C630" s="252"/>
      <c r="D630" s="253"/>
      <c r="F630" s="467"/>
      <c r="H630" s="302"/>
    </row>
    <row r="631">
      <c r="B631" s="308"/>
      <c r="C631" s="252"/>
      <c r="D631" s="253"/>
      <c r="F631" s="467"/>
      <c r="H631" s="302"/>
    </row>
    <row r="632">
      <c r="B632" s="308"/>
      <c r="C632" s="252"/>
      <c r="D632" s="253"/>
      <c r="F632" s="467"/>
      <c r="H632" s="302"/>
    </row>
    <row r="633">
      <c r="B633" s="308"/>
      <c r="C633" s="252"/>
      <c r="D633" s="253"/>
      <c r="F633" s="467"/>
      <c r="H633" s="302"/>
    </row>
    <row r="634">
      <c r="B634" s="308"/>
      <c r="C634" s="252"/>
      <c r="D634" s="253"/>
      <c r="F634" s="467"/>
      <c r="H634" s="302"/>
    </row>
    <row r="635">
      <c r="B635" s="308"/>
      <c r="C635" s="252"/>
      <c r="D635" s="253"/>
      <c r="F635" s="467"/>
      <c r="H635" s="302"/>
    </row>
    <row r="636">
      <c r="B636" s="308"/>
      <c r="C636" s="252"/>
      <c r="D636" s="253"/>
      <c r="F636" s="467"/>
      <c r="H636" s="302"/>
    </row>
    <row r="637">
      <c r="B637" s="308"/>
      <c r="C637" s="252"/>
      <c r="D637" s="253"/>
      <c r="F637" s="467"/>
      <c r="H637" s="302"/>
    </row>
    <row r="638">
      <c r="B638" s="308"/>
      <c r="C638" s="252"/>
      <c r="D638" s="253"/>
      <c r="F638" s="467"/>
      <c r="H638" s="302"/>
    </row>
    <row r="639">
      <c r="B639" s="308"/>
      <c r="C639" s="252"/>
      <c r="D639" s="253"/>
      <c r="F639" s="467"/>
      <c r="H639" s="302"/>
    </row>
    <row r="640">
      <c r="B640" s="308"/>
      <c r="C640" s="252"/>
      <c r="D640" s="253"/>
      <c r="F640" s="467"/>
      <c r="H640" s="302"/>
    </row>
    <row r="641">
      <c r="B641" s="308"/>
      <c r="C641" s="252"/>
      <c r="D641" s="253"/>
      <c r="F641" s="467"/>
      <c r="H641" s="302"/>
    </row>
    <row r="642">
      <c r="B642" s="308"/>
      <c r="C642" s="252"/>
      <c r="D642" s="253"/>
      <c r="F642" s="467"/>
      <c r="H642" s="302"/>
    </row>
    <row r="643">
      <c r="B643" s="308"/>
      <c r="C643" s="252"/>
      <c r="D643" s="253"/>
      <c r="F643" s="467"/>
      <c r="H643" s="302"/>
    </row>
    <row r="644">
      <c r="B644" s="308"/>
      <c r="C644" s="252"/>
      <c r="D644" s="253"/>
      <c r="F644" s="467"/>
      <c r="H644" s="302"/>
    </row>
    <row r="645">
      <c r="B645" s="308"/>
      <c r="C645" s="252"/>
      <c r="D645" s="253"/>
      <c r="F645" s="467"/>
      <c r="H645" s="302"/>
    </row>
    <row r="646">
      <c r="B646" s="308"/>
      <c r="C646" s="252"/>
      <c r="D646" s="253"/>
      <c r="F646" s="467"/>
      <c r="H646" s="302"/>
    </row>
    <row r="647">
      <c r="B647" s="308"/>
      <c r="C647" s="252"/>
      <c r="D647" s="253"/>
      <c r="F647" s="467"/>
      <c r="H647" s="302"/>
    </row>
    <row r="648">
      <c r="B648" s="308"/>
      <c r="C648" s="252"/>
      <c r="D648" s="253"/>
      <c r="F648" s="467"/>
      <c r="H648" s="302"/>
    </row>
    <row r="649">
      <c r="B649" s="308"/>
      <c r="C649" s="252"/>
      <c r="D649" s="253"/>
      <c r="F649" s="467"/>
      <c r="H649" s="302"/>
    </row>
    <row r="650">
      <c r="B650" s="308"/>
      <c r="C650" s="252"/>
      <c r="D650" s="253"/>
      <c r="F650" s="467"/>
      <c r="H650" s="302"/>
    </row>
    <row r="651">
      <c r="B651" s="308"/>
      <c r="C651" s="252"/>
      <c r="D651" s="253"/>
      <c r="F651" s="467"/>
      <c r="H651" s="302"/>
    </row>
    <row r="652">
      <c r="B652" s="308"/>
      <c r="C652" s="252"/>
      <c r="D652" s="253"/>
      <c r="F652" s="467"/>
      <c r="H652" s="302"/>
    </row>
    <row r="653">
      <c r="B653" s="308"/>
      <c r="C653" s="252"/>
      <c r="D653" s="253"/>
      <c r="F653" s="467"/>
      <c r="H653" s="302"/>
    </row>
    <row r="654">
      <c r="B654" s="308"/>
      <c r="C654" s="252"/>
      <c r="D654" s="253"/>
      <c r="F654" s="467"/>
      <c r="H654" s="302"/>
    </row>
    <row r="655">
      <c r="B655" s="308"/>
      <c r="C655" s="252"/>
      <c r="D655" s="253"/>
      <c r="F655" s="467"/>
      <c r="H655" s="302"/>
    </row>
    <row r="656">
      <c r="B656" s="308"/>
      <c r="C656" s="252"/>
      <c r="D656" s="253"/>
      <c r="F656" s="467"/>
      <c r="H656" s="302"/>
    </row>
    <row r="657">
      <c r="B657" s="308"/>
      <c r="C657" s="252"/>
      <c r="D657" s="253"/>
      <c r="F657" s="467"/>
      <c r="H657" s="302"/>
    </row>
    <row r="658">
      <c r="B658" s="308"/>
      <c r="C658" s="252"/>
      <c r="D658" s="253"/>
      <c r="F658" s="467"/>
      <c r="H658" s="302"/>
    </row>
    <row r="659">
      <c r="B659" s="308"/>
      <c r="C659" s="252"/>
      <c r="D659" s="253"/>
      <c r="F659" s="467"/>
      <c r="H659" s="302"/>
    </row>
    <row r="660">
      <c r="B660" s="308"/>
      <c r="C660" s="252"/>
      <c r="D660" s="253"/>
      <c r="F660" s="467"/>
      <c r="H660" s="302"/>
    </row>
    <row r="661">
      <c r="B661" s="308"/>
      <c r="C661" s="252"/>
      <c r="D661" s="253"/>
      <c r="F661" s="467"/>
      <c r="H661" s="302"/>
    </row>
    <row r="662">
      <c r="B662" s="308"/>
      <c r="C662" s="252"/>
      <c r="D662" s="253"/>
      <c r="F662" s="467"/>
      <c r="H662" s="302"/>
    </row>
    <row r="663">
      <c r="B663" s="308"/>
      <c r="C663" s="252"/>
      <c r="D663" s="253"/>
      <c r="F663" s="467"/>
      <c r="H663" s="302"/>
    </row>
    <row r="664">
      <c r="B664" s="308"/>
      <c r="C664" s="252"/>
      <c r="D664" s="253"/>
      <c r="F664" s="467"/>
      <c r="H664" s="302"/>
    </row>
    <row r="665">
      <c r="B665" s="308"/>
      <c r="C665" s="252"/>
      <c r="D665" s="253"/>
      <c r="F665" s="467"/>
      <c r="H665" s="302"/>
    </row>
    <row r="666">
      <c r="B666" s="308"/>
      <c r="C666" s="252"/>
      <c r="D666" s="253"/>
      <c r="F666" s="467"/>
      <c r="H666" s="302"/>
    </row>
    <row r="667">
      <c r="B667" s="308"/>
      <c r="C667" s="252"/>
      <c r="D667" s="253"/>
      <c r="F667" s="467"/>
      <c r="H667" s="302"/>
    </row>
    <row r="668">
      <c r="B668" s="308"/>
      <c r="C668" s="252"/>
      <c r="D668" s="253"/>
      <c r="F668" s="467"/>
      <c r="H668" s="302"/>
    </row>
    <row r="669">
      <c r="B669" s="308"/>
      <c r="C669" s="252"/>
      <c r="D669" s="253"/>
      <c r="F669" s="467"/>
      <c r="H669" s="302"/>
    </row>
    <row r="670">
      <c r="B670" s="308"/>
      <c r="C670" s="252"/>
      <c r="D670" s="253"/>
      <c r="F670" s="467"/>
      <c r="H670" s="302"/>
    </row>
    <row r="671">
      <c r="B671" s="308"/>
      <c r="C671" s="252"/>
      <c r="D671" s="253"/>
      <c r="F671" s="467"/>
      <c r="H671" s="302"/>
    </row>
    <row r="672">
      <c r="B672" s="308"/>
      <c r="C672" s="252"/>
      <c r="D672" s="253"/>
      <c r="F672" s="467"/>
      <c r="H672" s="302"/>
    </row>
    <row r="673">
      <c r="B673" s="308"/>
      <c r="C673" s="252"/>
      <c r="D673" s="253"/>
      <c r="F673" s="467"/>
      <c r="H673" s="302"/>
    </row>
    <row r="674">
      <c r="B674" s="308"/>
      <c r="C674" s="252"/>
      <c r="D674" s="253"/>
      <c r="F674" s="467"/>
      <c r="H674" s="302"/>
    </row>
    <row r="675">
      <c r="B675" s="308"/>
      <c r="C675" s="252"/>
      <c r="D675" s="253"/>
      <c r="F675" s="467"/>
      <c r="H675" s="302"/>
    </row>
    <row r="676">
      <c r="B676" s="308"/>
      <c r="C676" s="252"/>
      <c r="D676" s="253"/>
      <c r="F676" s="467"/>
      <c r="H676" s="302"/>
    </row>
    <row r="677">
      <c r="B677" s="308"/>
      <c r="C677" s="252"/>
      <c r="D677" s="253"/>
      <c r="F677" s="467"/>
      <c r="H677" s="302"/>
    </row>
    <row r="678">
      <c r="B678" s="308"/>
      <c r="C678" s="252"/>
      <c r="D678" s="253"/>
      <c r="F678" s="467"/>
      <c r="H678" s="302"/>
    </row>
    <row r="679">
      <c r="B679" s="308"/>
      <c r="C679" s="252"/>
      <c r="D679" s="253"/>
      <c r="F679" s="467"/>
      <c r="H679" s="302"/>
    </row>
    <row r="680">
      <c r="B680" s="308"/>
      <c r="C680" s="252"/>
      <c r="D680" s="253"/>
      <c r="F680" s="467"/>
      <c r="H680" s="302"/>
    </row>
    <row r="681">
      <c r="B681" s="308"/>
      <c r="C681" s="252"/>
      <c r="D681" s="253"/>
      <c r="F681" s="467"/>
      <c r="H681" s="302"/>
    </row>
    <row r="682">
      <c r="B682" s="308"/>
      <c r="C682" s="252"/>
      <c r="D682" s="253"/>
      <c r="F682" s="467"/>
      <c r="H682" s="302"/>
    </row>
    <row r="683">
      <c r="B683" s="308"/>
      <c r="C683" s="252"/>
      <c r="D683" s="253"/>
      <c r="F683" s="467"/>
      <c r="H683" s="302"/>
    </row>
    <row r="684">
      <c r="B684" s="308"/>
      <c r="C684" s="252"/>
      <c r="D684" s="253"/>
      <c r="F684" s="467"/>
      <c r="H684" s="302"/>
    </row>
    <row r="685">
      <c r="B685" s="308"/>
      <c r="C685" s="252"/>
      <c r="D685" s="253"/>
      <c r="F685" s="467"/>
      <c r="H685" s="302"/>
    </row>
    <row r="686">
      <c r="B686" s="308"/>
      <c r="C686" s="252"/>
      <c r="D686" s="253"/>
      <c r="F686" s="467"/>
      <c r="H686" s="302"/>
    </row>
    <row r="687">
      <c r="B687" s="308"/>
      <c r="C687" s="252"/>
      <c r="D687" s="253"/>
      <c r="F687" s="467"/>
      <c r="H687" s="302"/>
    </row>
    <row r="688">
      <c r="B688" s="308"/>
      <c r="C688" s="252"/>
      <c r="D688" s="253"/>
      <c r="F688" s="467"/>
      <c r="H688" s="302"/>
    </row>
    <row r="689">
      <c r="B689" s="308"/>
      <c r="C689" s="252"/>
      <c r="D689" s="253"/>
      <c r="F689" s="467"/>
      <c r="H689" s="302"/>
    </row>
    <row r="690">
      <c r="B690" s="308"/>
      <c r="C690" s="252"/>
      <c r="D690" s="253"/>
      <c r="F690" s="467"/>
      <c r="H690" s="302"/>
    </row>
    <row r="691">
      <c r="B691" s="308"/>
      <c r="C691" s="252"/>
      <c r="D691" s="253"/>
      <c r="F691" s="467"/>
      <c r="H691" s="302"/>
    </row>
    <row r="692">
      <c r="B692" s="308"/>
      <c r="C692" s="252"/>
      <c r="D692" s="253"/>
      <c r="F692" s="467"/>
      <c r="H692" s="302"/>
    </row>
    <row r="693">
      <c r="B693" s="308"/>
      <c r="C693" s="252"/>
      <c r="D693" s="253"/>
      <c r="F693" s="467"/>
      <c r="H693" s="302"/>
    </row>
    <row r="694">
      <c r="B694" s="308"/>
      <c r="C694" s="252"/>
      <c r="D694" s="253"/>
      <c r="F694" s="467"/>
      <c r="H694" s="302"/>
    </row>
    <row r="695">
      <c r="B695" s="308"/>
      <c r="C695" s="252"/>
      <c r="D695" s="253"/>
      <c r="F695" s="467"/>
      <c r="H695" s="302"/>
    </row>
    <row r="696">
      <c r="B696" s="308"/>
      <c r="C696" s="252"/>
      <c r="D696" s="253"/>
      <c r="F696" s="467"/>
      <c r="H696" s="302"/>
    </row>
    <row r="697">
      <c r="B697" s="308"/>
      <c r="C697" s="252"/>
      <c r="D697" s="253"/>
      <c r="F697" s="467"/>
      <c r="H697" s="302"/>
    </row>
    <row r="698">
      <c r="B698" s="308"/>
      <c r="C698" s="252"/>
      <c r="D698" s="253"/>
      <c r="F698" s="467"/>
      <c r="H698" s="302"/>
    </row>
    <row r="699">
      <c r="B699" s="308"/>
      <c r="C699" s="252"/>
      <c r="D699" s="253"/>
      <c r="F699" s="467"/>
      <c r="H699" s="302"/>
    </row>
    <row r="700">
      <c r="B700" s="308"/>
      <c r="C700" s="252"/>
      <c r="D700" s="253"/>
      <c r="F700" s="467"/>
      <c r="H700" s="302"/>
    </row>
    <row r="701">
      <c r="B701" s="308"/>
      <c r="C701" s="252"/>
      <c r="D701" s="253"/>
      <c r="F701" s="467"/>
      <c r="H701" s="302"/>
    </row>
    <row r="702">
      <c r="B702" s="308"/>
      <c r="C702" s="252"/>
      <c r="D702" s="253"/>
      <c r="F702" s="467"/>
      <c r="H702" s="302"/>
    </row>
    <row r="703">
      <c r="B703" s="308"/>
      <c r="C703" s="252"/>
      <c r="D703" s="253"/>
      <c r="F703" s="467"/>
      <c r="H703" s="302"/>
    </row>
    <row r="704">
      <c r="B704" s="308"/>
      <c r="C704" s="252"/>
      <c r="D704" s="253"/>
      <c r="F704" s="467"/>
      <c r="H704" s="302"/>
    </row>
    <row r="705">
      <c r="B705" s="308"/>
      <c r="C705" s="252"/>
      <c r="D705" s="253"/>
      <c r="F705" s="467"/>
      <c r="H705" s="302"/>
    </row>
    <row r="706">
      <c r="B706" s="308"/>
      <c r="C706" s="252"/>
      <c r="D706" s="253"/>
      <c r="F706" s="467"/>
      <c r="H706" s="302"/>
    </row>
    <row r="707">
      <c r="B707" s="308"/>
      <c r="C707" s="252"/>
      <c r="D707" s="253"/>
      <c r="F707" s="467"/>
      <c r="H707" s="302"/>
    </row>
    <row r="708">
      <c r="B708" s="308"/>
      <c r="C708" s="252"/>
      <c r="D708" s="253"/>
      <c r="F708" s="467"/>
      <c r="H708" s="302"/>
    </row>
    <row r="709">
      <c r="B709" s="308"/>
      <c r="C709" s="252"/>
      <c r="D709" s="253"/>
      <c r="F709" s="467"/>
      <c r="H709" s="302"/>
    </row>
    <row r="710">
      <c r="B710" s="308"/>
      <c r="C710" s="252"/>
      <c r="D710" s="253"/>
      <c r="F710" s="467"/>
      <c r="H710" s="302"/>
    </row>
    <row r="711">
      <c r="B711" s="308"/>
      <c r="C711" s="252"/>
      <c r="D711" s="253"/>
      <c r="F711" s="467"/>
      <c r="H711" s="302"/>
    </row>
    <row r="712">
      <c r="B712" s="308"/>
      <c r="C712" s="252"/>
      <c r="D712" s="253"/>
      <c r="F712" s="467"/>
      <c r="H712" s="302"/>
    </row>
    <row r="713">
      <c r="B713" s="308"/>
      <c r="C713" s="252"/>
      <c r="D713" s="253"/>
      <c r="F713" s="467"/>
      <c r="H713" s="302"/>
    </row>
    <row r="714">
      <c r="B714" s="308"/>
      <c r="C714" s="252"/>
      <c r="D714" s="253"/>
      <c r="F714" s="467"/>
      <c r="H714" s="302"/>
    </row>
    <row r="715">
      <c r="B715" s="308"/>
      <c r="C715" s="252"/>
      <c r="D715" s="253"/>
      <c r="F715" s="467"/>
      <c r="H715" s="302"/>
    </row>
    <row r="716">
      <c r="B716" s="308"/>
      <c r="C716" s="252"/>
      <c r="D716" s="253"/>
      <c r="F716" s="467"/>
      <c r="H716" s="302"/>
    </row>
    <row r="717">
      <c r="B717" s="308"/>
      <c r="C717" s="252"/>
      <c r="D717" s="253"/>
      <c r="F717" s="467"/>
      <c r="H717" s="302"/>
    </row>
    <row r="718">
      <c r="B718" s="308"/>
      <c r="C718" s="252"/>
      <c r="D718" s="253"/>
      <c r="F718" s="467"/>
      <c r="H718" s="302"/>
    </row>
    <row r="719">
      <c r="B719" s="308"/>
      <c r="C719" s="252"/>
      <c r="D719" s="253"/>
      <c r="F719" s="467"/>
      <c r="H719" s="302"/>
    </row>
    <row r="720">
      <c r="B720" s="308"/>
      <c r="C720" s="252"/>
      <c r="D720" s="253"/>
      <c r="F720" s="467"/>
      <c r="H720" s="302"/>
    </row>
    <row r="721">
      <c r="B721" s="308"/>
      <c r="C721" s="252"/>
      <c r="D721" s="253"/>
      <c r="F721" s="467"/>
      <c r="H721" s="302"/>
    </row>
    <row r="722">
      <c r="B722" s="308"/>
      <c r="C722" s="252"/>
      <c r="D722" s="253"/>
      <c r="F722" s="467"/>
      <c r="H722" s="302"/>
    </row>
    <row r="723">
      <c r="B723" s="308"/>
      <c r="C723" s="252"/>
      <c r="D723" s="253"/>
      <c r="F723" s="467"/>
      <c r="H723" s="302"/>
    </row>
    <row r="724">
      <c r="B724" s="308"/>
      <c r="C724" s="252"/>
      <c r="D724" s="253"/>
      <c r="F724" s="467"/>
      <c r="H724" s="302"/>
    </row>
    <row r="725">
      <c r="B725" s="308"/>
      <c r="C725" s="252"/>
      <c r="D725" s="253"/>
      <c r="F725" s="467"/>
      <c r="H725" s="302"/>
    </row>
    <row r="726">
      <c r="B726" s="308"/>
      <c r="C726" s="252"/>
      <c r="D726" s="253"/>
      <c r="F726" s="467"/>
      <c r="H726" s="302"/>
    </row>
    <row r="727">
      <c r="B727" s="308"/>
      <c r="C727" s="252"/>
      <c r="D727" s="253"/>
      <c r="F727" s="467"/>
      <c r="H727" s="302"/>
    </row>
    <row r="728">
      <c r="B728" s="308"/>
      <c r="C728" s="252"/>
      <c r="D728" s="253"/>
      <c r="F728" s="467"/>
      <c r="H728" s="302"/>
    </row>
    <row r="729">
      <c r="B729" s="308"/>
      <c r="C729" s="252"/>
      <c r="D729" s="253"/>
      <c r="F729" s="467"/>
      <c r="H729" s="302"/>
    </row>
    <row r="730">
      <c r="B730" s="308"/>
      <c r="C730" s="252"/>
      <c r="D730" s="253"/>
      <c r="F730" s="467"/>
      <c r="H730" s="302"/>
    </row>
  </sheetData>
  <mergeCells count="29">
    <mergeCell ref="A2:A15"/>
    <mergeCell ref="A16:A29"/>
    <mergeCell ref="A30:A41"/>
    <mergeCell ref="A42:A57"/>
    <mergeCell ref="A58:A71"/>
    <mergeCell ref="A72:A89"/>
    <mergeCell ref="A90:A104"/>
    <mergeCell ref="A105:A119"/>
    <mergeCell ref="A120:A130"/>
    <mergeCell ref="A131:A145"/>
    <mergeCell ref="A146:A161"/>
    <mergeCell ref="A162:A176"/>
    <mergeCell ref="A177:A188"/>
    <mergeCell ref="A189:A203"/>
    <mergeCell ref="A306:A323"/>
    <mergeCell ref="A324:A335"/>
    <mergeCell ref="A336:A346"/>
    <mergeCell ref="A348:A358"/>
    <mergeCell ref="A359:A369"/>
    <mergeCell ref="A372:A387"/>
    <mergeCell ref="A401:A410"/>
    <mergeCell ref="A411:A420"/>
    <mergeCell ref="A204:A217"/>
    <mergeCell ref="A218:A232"/>
    <mergeCell ref="A233:A245"/>
    <mergeCell ref="A246:A261"/>
    <mergeCell ref="A262:A276"/>
    <mergeCell ref="A277:A291"/>
    <mergeCell ref="A292:A30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13.13"/>
    <col customWidth="1" min="5" max="5" width="23.63"/>
    <col customWidth="1" min="6" max="6" width="13.25"/>
    <col customWidth="1" min="7" max="7" width="24.25"/>
    <col customWidth="1" min="8" max="9" width="15.75"/>
  </cols>
  <sheetData>
    <row r="1" ht="27.0" customHeight="1">
      <c r="A1" s="539" t="s">
        <v>39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1054</v>
      </c>
      <c r="B2" s="425"/>
      <c r="C2" s="532"/>
      <c r="D2" s="547"/>
      <c r="E2" s="548"/>
      <c r="F2" s="549">
        <v>160.0</v>
      </c>
      <c r="G2" s="550" t="s">
        <v>1817</v>
      </c>
      <c r="H2" s="551">
        <f>720000</f>
        <v>720000</v>
      </c>
      <c r="I2" s="552"/>
    </row>
    <row r="3">
      <c r="A3" s="265"/>
      <c r="B3" s="510"/>
      <c r="C3" s="399"/>
      <c r="D3" s="366"/>
      <c r="E3" s="553"/>
      <c r="F3" s="554"/>
      <c r="G3" s="555"/>
      <c r="H3" s="556">
        <v>-150000.0</v>
      </c>
      <c r="I3" s="552"/>
    </row>
    <row r="4">
      <c r="A4" s="265"/>
      <c r="B4" s="404"/>
      <c r="C4" s="414"/>
      <c r="D4" s="182"/>
      <c r="E4" s="557"/>
      <c r="F4" s="558"/>
      <c r="G4" s="550" t="s">
        <v>1818</v>
      </c>
      <c r="H4" s="556">
        <v>-267572.0</v>
      </c>
      <c r="I4" s="552"/>
    </row>
    <row r="5">
      <c r="A5" s="265"/>
      <c r="B5" s="404"/>
      <c r="C5" s="399"/>
      <c r="D5" s="182"/>
      <c r="E5" s="557"/>
      <c r="F5" s="558"/>
      <c r="G5" s="550" t="s">
        <v>1819</v>
      </c>
      <c r="H5" s="556">
        <v>-231918.0</v>
      </c>
      <c r="I5" s="552"/>
    </row>
    <row r="6">
      <c r="A6" s="265"/>
      <c r="B6" s="440"/>
      <c r="C6" s="400"/>
      <c r="D6" s="182"/>
      <c r="E6" s="557"/>
      <c r="F6" s="558"/>
      <c r="G6" s="550" t="s">
        <v>1820</v>
      </c>
      <c r="H6" s="556">
        <v>-72000.0</v>
      </c>
      <c r="I6" s="552"/>
    </row>
    <row r="7">
      <c r="A7" s="270"/>
      <c r="B7" s="470"/>
      <c r="C7" s="472"/>
      <c r="D7" s="559"/>
      <c r="E7" s="560"/>
      <c r="F7" s="561"/>
      <c r="G7" s="562"/>
      <c r="H7" s="563">
        <f>SUM(H2:H6)</f>
        <v>-1490</v>
      </c>
      <c r="I7" s="564"/>
    </row>
    <row r="8">
      <c r="A8" s="262" t="s">
        <v>1821</v>
      </c>
      <c r="B8" s="425"/>
      <c r="C8" s="401"/>
      <c r="D8" s="182"/>
      <c r="E8" s="550"/>
      <c r="F8" s="549">
        <v>80.0</v>
      </c>
      <c r="G8" s="550" t="s">
        <v>1352</v>
      </c>
      <c r="H8" s="551"/>
      <c r="I8" s="552"/>
    </row>
    <row r="9">
      <c r="A9" s="265"/>
      <c r="B9" s="419"/>
      <c r="C9" s="414"/>
      <c r="D9" s="366"/>
      <c r="E9" s="553"/>
      <c r="F9" s="554"/>
      <c r="G9" s="550" t="s">
        <v>1822</v>
      </c>
      <c r="H9" s="551"/>
      <c r="I9" s="552"/>
    </row>
    <row r="10">
      <c r="A10" s="265"/>
      <c r="B10" s="339"/>
      <c r="C10" s="414"/>
      <c r="D10" s="366"/>
      <c r="E10" s="550"/>
      <c r="F10" s="554"/>
      <c r="G10" s="555"/>
      <c r="H10" s="551"/>
      <c r="I10" s="552"/>
    </row>
    <row r="11">
      <c r="A11" s="265"/>
      <c r="B11" s="404"/>
      <c r="C11" s="399"/>
      <c r="D11" s="182"/>
      <c r="E11" s="557"/>
      <c r="F11" s="554">
        <v>10.0</v>
      </c>
      <c r="G11" s="550" t="s">
        <v>1342</v>
      </c>
      <c r="H11" s="551"/>
      <c r="I11" s="552"/>
    </row>
    <row r="12">
      <c r="A12" s="265"/>
      <c r="B12" s="419"/>
      <c r="C12" s="414"/>
      <c r="D12" s="366"/>
      <c r="E12" s="553"/>
      <c r="F12" s="558"/>
      <c r="G12" s="550" t="s">
        <v>1823</v>
      </c>
      <c r="H12" s="551"/>
      <c r="I12" s="552"/>
    </row>
    <row r="13">
      <c r="A13" s="265"/>
      <c r="B13" s="404"/>
      <c r="C13" s="399"/>
      <c r="D13" s="182"/>
      <c r="E13" s="557"/>
      <c r="F13" s="558"/>
      <c r="G13" s="555"/>
      <c r="H13" s="551"/>
      <c r="I13" s="552"/>
    </row>
    <row r="14">
      <c r="A14" s="270"/>
      <c r="B14" s="404"/>
      <c r="C14" s="400"/>
      <c r="D14" s="182"/>
      <c r="E14" s="557"/>
      <c r="F14" s="554"/>
      <c r="G14" s="562"/>
      <c r="H14" s="563"/>
      <c r="I14" s="564"/>
    </row>
    <row r="15">
      <c r="A15" s="262" t="s">
        <v>1058</v>
      </c>
      <c r="B15" s="565"/>
      <c r="C15" s="421"/>
      <c r="D15" s="566"/>
      <c r="E15" s="567"/>
      <c r="F15" s="549">
        <v>250.0</v>
      </c>
      <c r="G15" s="555"/>
      <c r="H15" s="551"/>
      <c r="I15" s="552"/>
    </row>
    <row r="16">
      <c r="A16" s="265"/>
      <c r="B16" s="440"/>
      <c r="C16" s="414"/>
      <c r="D16" s="182"/>
      <c r="E16" s="557"/>
      <c r="F16" s="554"/>
      <c r="G16" s="553"/>
      <c r="H16" s="551"/>
      <c r="I16" s="552"/>
    </row>
    <row r="17">
      <c r="A17" s="265"/>
      <c r="B17" s="404"/>
      <c r="C17" s="476"/>
      <c r="D17" s="182"/>
      <c r="E17" s="557"/>
      <c r="F17" s="568"/>
      <c r="G17" s="555"/>
      <c r="H17" s="551"/>
      <c r="I17" s="552"/>
    </row>
    <row r="18">
      <c r="A18" s="265"/>
      <c r="B18" s="404"/>
      <c r="C18" s="399"/>
      <c r="D18" s="182"/>
      <c r="E18" s="557"/>
      <c r="F18" s="558"/>
      <c r="G18" s="555"/>
      <c r="H18" s="551"/>
      <c r="I18" s="552"/>
    </row>
    <row r="19">
      <c r="A19" s="265"/>
      <c r="B19" s="404"/>
      <c r="C19" s="399"/>
      <c r="D19" s="182"/>
      <c r="E19" s="557"/>
      <c r="F19" s="558"/>
      <c r="G19" s="555"/>
      <c r="H19" s="551"/>
      <c r="I19" s="552"/>
    </row>
    <row r="20">
      <c r="A20" s="270"/>
      <c r="B20" s="404"/>
      <c r="C20" s="399"/>
      <c r="D20" s="182"/>
      <c r="E20" s="557"/>
      <c r="F20" s="558"/>
      <c r="G20" s="562"/>
      <c r="H20" s="563"/>
      <c r="I20" s="564"/>
    </row>
    <row r="21">
      <c r="A21" s="262" t="s">
        <v>1060</v>
      </c>
      <c r="B21" s="425">
        <v>27200.0</v>
      </c>
      <c r="C21" s="401"/>
      <c r="D21" s="566"/>
      <c r="E21" s="567" t="s">
        <v>1824</v>
      </c>
      <c r="F21" s="549">
        <f>350+140</f>
        <v>490</v>
      </c>
      <c r="G21" s="555"/>
      <c r="H21" s="551"/>
      <c r="I21" s="569">
        <v>70.0</v>
      </c>
    </row>
    <row r="22">
      <c r="A22" s="265"/>
      <c r="B22" s="404"/>
      <c r="C22" s="399"/>
      <c r="D22" s="182"/>
      <c r="E22" s="557"/>
      <c r="F22" s="558"/>
      <c r="G22" s="555"/>
      <c r="H22" s="551"/>
      <c r="I22" s="552"/>
    </row>
    <row r="23">
      <c r="A23" s="265"/>
      <c r="B23" s="457"/>
      <c r="C23" s="399"/>
      <c r="D23" s="182"/>
      <c r="E23" s="557"/>
      <c r="F23" s="558"/>
      <c r="G23" s="555"/>
      <c r="H23" s="551"/>
      <c r="I23" s="552"/>
    </row>
    <row r="24">
      <c r="A24" s="265"/>
      <c r="B24" s="468"/>
      <c r="C24" s="399"/>
      <c r="D24" s="570"/>
      <c r="E24" s="557"/>
      <c r="F24" s="558"/>
      <c r="G24" s="555"/>
      <c r="H24" s="551"/>
      <c r="I24" s="552"/>
    </row>
    <row r="25">
      <c r="A25" s="265"/>
      <c r="B25" s="468"/>
      <c r="C25" s="399"/>
      <c r="D25" s="182"/>
      <c r="E25" s="557"/>
      <c r="F25" s="554"/>
      <c r="G25" s="555"/>
      <c r="H25" s="551"/>
      <c r="I25" s="552"/>
    </row>
    <row r="26">
      <c r="A26" s="270"/>
      <c r="B26" s="404"/>
      <c r="C26" s="399"/>
      <c r="D26" s="182"/>
      <c r="E26" s="557"/>
      <c r="F26" s="558"/>
      <c r="G26" s="562"/>
      <c r="H26" s="563"/>
      <c r="I26" s="564"/>
    </row>
    <row r="27">
      <c r="A27" s="262" t="s">
        <v>1062</v>
      </c>
      <c r="B27" s="425"/>
      <c r="C27" s="421"/>
      <c r="D27" s="182"/>
      <c r="E27" s="567"/>
      <c r="F27" s="571">
        <v>370.0</v>
      </c>
      <c r="G27" s="555"/>
      <c r="H27" s="551"/>
      <c r="I27" s="552"/>
    </row>
    <row r="28">
      <c r="A28" s="265"/>
      <c r="B28" s="404"/>
      <c r="C28" s="399"/>
      <c r="D28" s="182"/>
      <c r="E28" s="557"/>
      <c r="F28" s="572"/>
      <c r="G28" s="555"/>
      <c r="H28" s="551"/>
      <c r="I28" s="552"/>
    </row>
    <row r="29">
      <c r="A29" s="265"/>
      <c r="B29" s="404"/>
      <c r="C29" s="400"/>
      <c r="D29" s="182"/>
      <c r="E29" s="557"/>
      <c r="F29" s="572"/>
      <c r="G29" s="573"/>
      <c r="H29" s="551"/>
      <c r="I29" s="552"/>
    </row>
    <row r="30">
      <c r="A30" s="265"/>
      <c r="B30" s="404"/>
      <c r="C30" s="400"/>
      <c r="D30" s="182"/>
      <c r="E30" s="557"/>
      <c r="F30" s="572"/>
      <c r="G30" s="555"/>
      <c r="H30" s="551"/>
      <c r="I30" s="552"/>
    </row>
    <row r="31">
      <c r="A31" s="265"/>
      <c r="B31" s="404"/>
      <c r="C31" s="400"/>
      <c r="D31" s="182"/>
      <c r="E31" s="557"/>
      <c r="F31" s="558"/>
      <c r="G31" s="573"/>
      <c r="H31" s="551"/>
      <c r="I31" s="552"/>
    </row>
    <row r="32">
      <c r="A32" s="270"/>
      <c r="B32" s="440"/>
      <c r="C32" s="400"/>
      <c r="D32" s="574"/>
      <c r="E32" s="557"/>
      <c r="F32" s="558"/>
      <c r="G32" s="575"/>
      <c r="H32" s="563"/>
      <c r="I32" s="564"/>
    </row>
    <row r="33">
      <c r="A33" s="262" t="s">
        <v>1064</v>
      </c>
      <c r="B33" s="425"/>
      <c r="C33" s="401"/>
      <c r="D33" s="566"/>
      <c r="E33" s="567"/>
      <c r="F33" s="549">
        <v>390.0</v>
      </c>
      <c r="G33" s="555"/>
      <c r="H33" s="551"/>
      <c r="I33" s="552"/>
    </row>
    <row r="34">
      <c r="A34" s="265"/>
      <c r="B34" s="477"/>
      <c r="C34" s="400"/>
      <c r="D34" s="182"/>
      <c r="E34" s="576"/>
      <c r="F34" s="558"/>
      <c r="G34" s="555"/>
      <c r="H34" s="551"/>
      <c r="I34" s="552"/>
    </row>
    <row r="35">
      <c r="A35" s="265"/>
      <c r="B35" s="477"/>
      <c r="C35" s="400"/>
      <c r="D35" s="182"/>
      <c r="E35" s="576"/>
      <c r="F35" s="558"/>
      <c r="G35" s="555"/>
      <c r="H35" s="551"/>
      <c r="I35" s="552"/>
    </row>
    <row r="36">
      <c r="A36" s="265"/>
      <c r="B36" s="477"/>
      <c r="C36" s="400"/>
      <c r="D36" s="182"/>
      <c r="E36" s="576"/>
      <c r="F36" s="558"/>
      <c r="G36" s="555"/>
      <c r="H36" s="551"/>
      <c r="I36" s="552"/>
    </row>
    <row r="37">
      <c r="A37" s="265"/>
      <c r="B37" s="477"/>
      <c r="C37" s="400"/>
      <c r="D37" s="182"/>
      <c r="E37" s="576"/>
      <c r="F37" s="558"/>
      <c r="G37" s="555"/>
      <c r="H37" s="551"/>
      <c r="I37" s="552"/>
    </row>
    <row r="38">
      <c r="A38" s="270"/>
      <c r="B38" s="478"/>
      <c r="C38" s="472"/>
      <c r="D38" s="577"/>
      <c r="E38" s="578"/>
      <c r="F38" s="561"/>
      <c r="G38" s="562"/>
      <c r="H38" s="563"/>
      <c r="I38" s="564"/>
    </row>
    <row r="39">
      <c r="A39" s="262" t="s">
        <v>1065</v>
      </c>
      <c r="B39" s="425">
        <v>8700.0</v>
      </c>
      <c r="C39" s="401"/>
      <c r="D39" s="566"/>
      <c r="E39" s="550" t="s">
        <v>228</v>
      </c>
      <c r="F39" s="549">
        <f>80+300</f>
        <v>380</v>
      </c>
      <c r="G39" s="550"/>
      <c r="H39" s="551"/>
      <c r="I39" s="552"/>
    </row>
    <row r="40">
      <c r="A40" s="265"/>
      <c r="B40" s="404">
        <v>17100.0</v>
      </c>
      <c r="C40" s="399"/>
      <c r="D40" s="182"/>
      <c r="E40" s="550" t="s">
        <v>1825</v>
      </c>
      <c r="F40" s="558"/>
      <c r="G40" s="550"/>
      <c r="H40" s="551"/>
      <c r="I40" s="552"/>
    </row>
    <row r="41">
      <c r="A41" s="265"/>
      <c r="B41" s="440"/>
      <c r="C41" s="400"/>
      <c r="D41" s="182"/>
      <c r="E41" s="557"/>
      <c r="F41" s="558"/>
      <c r="G41" s="555"/>
      <c r="H41" s="551"/>
      <c r="I41" s="552"/>
    </row>
    <row r="42">
      <c r="A42" s="265"/>
      <c r="B42" s="440"/>
      <c r="C42" s="400"/>
      <c r="D42" s="182"/>
      <c r="E42" s="576"/>
      <c r="F42" s="558"/>
      <c r="G42" s="555"/>
      <c r="H42" s="551"/>
      <c r="I42" s="552"/>
    </row>
    <row r="43">
      <c r="A43" s="265"/>
      <c r="B43" s="480"/>
      <c r="C43" s="400"/>
      <c r="D43" s="182"/>
      <c r="E43" s="576"/>
      <c r="F43" s="558"/>
      <c r="G43" s="555"/>
      <c r="H43" s="551"/>
      <c r="I43" s="552"/>
    </row>
    <row r="44">
      <c r="A44" s="270"/>
      <c r="B44" s="478"/>
      <c r="C44" s="472"/>
      <c r="D44" s="577"/>
      <c r="E44" s="578"/>
      <c r="F44" s="561"/>
      <c r="G44" s="562"/>
      <c r="H44" s="563"/>
      <c r="I44" s="564"/>
    </row>
    <row r="45">
      <c r="A45" s="262" t="s">
        <v>1826</v>
      </c>
      <c r="B45" s="461"/>
      <c r="C45" s="421"/>
      <c r="D45" s="566">
        <v>1958.0</v>
      </c>
      <c r="E45" s="567" t="s">
        <v>385</v>
      </c>
      <c r="F45" s="549"/>
      <c r="G45" s="550" t="s">
        <v>1827</v>
      </c>
      <c r="H45" s="551"/>
      <c r="I45" s="552"/>
    </row>
    <row r="46">
      <c r="A46" s="265"/>
      <c r="B46" s="404"/>
      <c r="C46" s="399"/>
      <c r="D46" s="182">
        <v>9000.0</v>
      </c>
      <c r="E46" s="557" t="s">
        <v>1828</v>
      </c>
      <c r="F46" s="558"/>
      <c r="G46" s="550" t="s">
        <v>1829</v>
      </c>
      <c r="H46" s="551"/>
      <c r="I46" s="552"/>
    </row>
    <row r="47">
      <c r="A47" s="265"/>
      <c r="B47" s="440"/>
      <c r="C47" s="400"/>
      <c r="D47" s="182"/>
      <c r="E47" s="557"/>
      <c r="F47" s="558"/>
      <c r="G47" s="555"/>
      <c r="H47" s="551"/>
      <c r="I47" s="552"/>
    </row>
    <row r="48">
      <c r="A48" s="265"/>
      <c r="B48" s="440"/>
      <c r="C48" s="400"/>
      <c r="D48" s="574"/>
      <c r="E48" s="576"/>
      <c r="F48" s="554">
        <v>270.0</v>
      </c>
      <c r="G48" s="550" t="s">
        <v>1342</v>
      </c>
      <c r="H48" s="551"/>
      <c r="I48" s="552"/>
    </row>
    <row r="49">
      <c r="A49" s="265"/>
      <c r="B49" s="480"/>
      <c r="C49" s="400"/>
      <c r="D49" s="182"/>
      <c r="E49" s="576"/>
      <c r="F49" s="558"/>
      <c r="G49" s="555"/>
      <c r="H49" s="551"/>
      <c r="I49" s="552"/>
    </row>
    <row r="50">
      <c r="A50" s="270"/>
      <c r="B50" s="478"/>
      <c r="C50" s="472"/>
      <c r="D50" s="559"/>
      <c r="E50" s="560"/>
      <c r="F50" s="561"/>
      <c r="G50" s="562"/>
      <c r="H50" s="563"/>
      <c r="I50" s="564"/>
    </row>
    <row r="51">
      <c r="A51" s="262" t="s">
        <v>1073</v>
      </c>
      <c r="B51" s="425"/>
      <c r="C51" s="421"/>
      <c r="D51" s="566"/>
      <c r="E51" s="567"/>
      <c r="F51" s="549">
        <f>140+360</f>
        <v>500</v>
      </c>
      <c r="G51" s="555"/>
      <c r="H51" s="551"/>
      <c r="I51" s="552"/>
    </row>
    <row r="52">
      <c r="A52" s="265"/>
      <c r="B52" s="404"/>
      <c r="C52" s="399"/>
      <c r="D52" s="182"/>
      <c r="E52" s="557"/>
      <c r="F52" s="558"/>
      <c r="G52" s="555"/>
      <c r="H52" s="551"/>
      <c r="I52" s="552"/>
    </row>
    <row r="53">
      <c r="A53" s="265"/>
      <c r="B53" s="404"/>
      <c r="C53" s="399"/>
      <c r="D53" s="182"/>
      <c r="E53" s="557"/>
      <c r="F53" s="558"/>
      <c r="G53" s="555"/>
      <c r="H53" s="551"/>
      <c r="I53" s="552"/>
    </row>
    <row r="54">
      <c r="A54" s="265"/>
      <c r="B54" s="404"/>
      <c r="C54" s="399"/>
      <c r="D54" s="182"/>
      <c r="E54" s="557"/>
      <c r="F54" s="558"/>
      <c r="G54" s="555"/>
      <c r="H54" s="551"/>
      <c r="I54" s="552"/>
    </row>
    <row r="55">
      <c r="A55" s="265"/>
      <c r="B55" s="440"/>
      <c r="C55" s="399"/>
      <c r="D55" s="182"/>
      <c r="E55" s="557"/>
      <c r="F55" s="558"/>
      <c r="G55" s="555"/>
      <c r="H55" s="551"/>
      <c r="I55" s="552"/>
    </row>
    <row r="56">
      <c r="A56" s="270"/>
      <c r="B56" s="470"/>
      <c r="C56" s="486"/>
      <c r="D56" s="559"/>
      <c r="E56" s="560"/>
      <c r="F56" s="561"/>
      <c r="G56" s="562"/>
      <c r="H56" s="563"/>
      <c r="I56" s="564"/>
    </row>
    <row r="57">
      <c r="A57" s="262" t="s">
        <v>1074</v>
      </c>
      <c r="B57" s="425"/>
      <c r="C57" s="421"/>
      <c r="D57" s="566"/>
      <c r="E57" s="567"/>
      <c r="F57" s="549">
        <f>90+200</f>
        <v>290</v>
      </c>
      <c r="G57" s="555"/>
      <c r="H57" s="551"/>
      <c r="I57" s="552"/>
    </row>
    <row r="58">
      <c r="A58" s="265"/>
      <c r="B58" s="404"/>
      <c r="C58" s="400"/>
      <c r="D58" s="182"/>
      <c r="E58" s="557"/>
      <c r="F58" s="558"/>
      <c r="G58" s="555"/>
      <c r="H58" s="551"/>
      <c r="I58" s="552"/>
    </row>
    <row r="59">
      <c r="A59" s="265"/>
      <c r="B59" s="404"/>
      <c r="C59" s="400"/>
      <c r="D59" s="182"/>
      <c r="E59" s="557"/>
      <c r="F59" s="558"/>
      <c r="G59" s="555"/>
      <c r="H59" s="551"/>
      <c r="I59" s="552"/>
    </row>
    <row r="60">
      <c r="A60" s="265"/>
      <c r="B60" s="477"/>
      <c r="C60" s="400"/>
      <c r="D60" s="182"/>
      <c r="E60" s="576"/>
      <c r="F60" s="558"/>
      <c r="G60" s="555"/>
      <c r="H60" s="551"/>
      <c r="I60" s="552"/>
    </row>
    <row r="61">
      <c r="A61" s="265"/>
      <c r="B61" s="477"/>
      <c r="C61" s="400"/>
      <c r="D61" s="182"/>
      <c r="E61" s="576"/>
      <c r="F61" s="558"/>
      <c r="G61" s="555"/>
      <c r="H61" s="551"/>
      <c r="I61" s="552"/>
    </row>
    <row r="62">
      <c r="A62" s="270"/>
      <c r="B62" s="478"/>
      <c r="C62" s="472"/>
      <c r="D62" s="559"/>
      <c r="E62" s="560"/>
      <c r="F62" s="561"/>
      <c r="G62" s="562"/>
      <c r="H62" s="563"/>
      <c r="I62" s="564"/>
    </row>
    <row r="63">
      <c r="A63" s="262" t="s">
        <v>1075</v>
      </c>
      <c r="B63" s="419"/>
      <c r="C63" s="414"/>
      <c r="D63" s="22"/>
      <c r="E63" s="550"/>
      <c r="F63" s="554">
        <v>350.0</v>
      </c>
      <c r="G63" s="555"/>
      <c r="H63" s="551"/>
      <c r="I63" s="552"/>
    </row>
    <row r="64">
      <c r="A64" s="265"/>
      <c r="B64" s="404"/>
      <c r="C64" s="399"/>
      <c r="D64" s="182"/>
      <c r="E64" s="557"/>
      <c r="F64" s="558"/>
      <c r="G64" s="555"/>
      <c r="H64" s="551"/>
      <c r="I64" s="552"/>
    </row>
    <row r="65">
      <c r="A65" s="265"/>
      <c r="B65" s="404"/>
      <c r="C65" s="399"/>
      <c r="D65" s="182"/>
      <c r="E65" s="557"/>
      <c r="F65" s="558"/>
      <c r="G65" s="555"/>
      <c r="H65" s="551"/>
      <c r="I65" s="552"/>
    </row>
    <row r="66">
      <c r="A66" s="265"/>
      <c r="B66" s="404"/>
      <c r="C66" s="399"/>
      <c r="D66" s="182"/>
      <c r="E66" s="557"/>
      <c r="F66" s="558"/>
      <c r="G66" s="555"/>
      <c r="H66" s="551"/>
      <c r="I66" s="552"/>
    </row>
    <row r="67">
      <c r="A67" s="265"/>
      <c r="B67" s="404"/>
      <c r="C67" s="400"/>
      <c r="D67" s="182"/>
      <c r="E67" s="557"/>
      <c r="F67" s="558"/>
      <c r="G67" s="555"/>
      <c r="H67" s="551"/>
      <c r="I67" s="552"/>
    </row>
    <row r="68">
      <c r="A68" s="270"/>
      <c r="B68" s="404"/>
      <c r="C68" s="399"/>
      <c r="D68" s="182"/>
      <c r="E68" s="557"/>
      <c r="F68" s="561"/>
      <c r="G68" s="562"/>
      <c r="H68" s="563"/>
      <c r="I68" s="564"/>
    </row>
    <row r="69">
      <c r="A69" s="262" t="s">
        <v>568</v>
      </c>
      <c r="B69" s="425">
        <v>21549.0</v>
      </c>
      <c r="C69" s="401"/>
      <c r="D69" s="566"/>
      <c r="E69" s="567" t="s">
        <v>548</v>
      </c>
      <c r="F69" s="549">
        <f>230+50</f>
        <v>280</v>
      </c>
      <c r="G69" s="555"/>
      <c r="H69" s="551"/>
      <c r="I69" s="552"/>
    </row>
    <row r="70">
      <c r="A70" s="265"/>
      <c r="B70" s="477"/>
      <c r="C70" s="400"/>
      <c r="D70" s="182"/>
      <c r="E70" s="576"/>
      <c r="F70" s="558"/>
      <c r="G70" s="555"/>
      <c r="H70" s="551"/>
      <c r="I70" s="552"/>
    </row>
    <row r="71">
      <c r="A71" s="265"/>
      <c r="B71" s="404"/>
      <c r="C71" s="400"/>
      <c r="D71" s="182"/>
      <c r="E71" s="576"/>
      <c r="F71" s="558"/>
      <c r="G71" s="555"/>
      <c r="H71" s="551"/>
      <c r="I71" s="552"/>
    </row>
    <row r="72">
      <c r="A72" s="265"/>
      <c r="B72" s="480"/>
      <c r="C72" s="400"/>
      <c r="D72" s="182"/>
      <c r="E72" s="576"/>
      <c r="F72" s="558"/>
      <c r="G72" s="555"/>
      <c r="H72" s="551"/>
      <c r="I72" s="552"/>
    </row>
    <row r="73">
      <c r="A73" s="265"/>
      <c r="B73" s="480"/>
      <c r="C73" s="400"/>
      <c r="D73" s="574"/>
      <c r="E73" s="576"/>
      <c r="F73" s="558"/>
      <c r="G73" s="555"/>
      <c r="H73" s="551"/>
      <c r="I73" s="552"/>
    </row>
    <row r="74">
      <c r="A74" s="270"/>
      <c r="B74" s="478"/>
      <c r="C74" s="472"/>
      <c r="D74" s="577"/>
      <c r="E74" s="578"/>
      <c r="F74" s="561"/>
      <c r="G74" s="562"/>
      <c r="H74" s="563"/>
      <c r="I74" s="564"/>
    </row>
    <row r="75">
      <c r="A75" s="262" t="s">
        <v>571</v>
      </c>
      <c r="B75" s="425">
        <v>39600.0</v>
      </c>
      <c r="C75" s="401"/>
      <c r="D75" s="566"/>
      <c r="E75" s="567" t="s">
        <v>1781</v>
      </c>
      <c r="F75" s="549">
        <v>300.0</v>
      </c>
      <c r="G75" s="555"/>
      <c r="H75" s="551"/>
      <c r="I75" s="552"/>
    </row>
    <row r="76">
      <c r="A76" s="265"/>
      <c r="B76" s="404"/>
      <c r="C76" s="400"/>
      <c r="D76" s="182"/>
      <c r="E76" s="557"/>
      <c r="F76" s="558"/>
      <c r="G76" s="555"/>
      <c r="H76" s="551"/>
      <c r="I76" s="552"/>
    </row>
    <row r="77">
      <c r="A77" s="265"/>
      <c r="B77" s="404"/>
      <c r="C77" s="399"/>
      <c r="D77" s="182"/>
      <c r="E77" s="557"/>
      <c r="F77" s="558"/>
      <c r="G77" s="555"/>
      <c r="H77" s="551"/>
      <c r="I77" s="552"/>
    </row>
    <row r="78">
      <c r="A78" s="265"/>
      <c r="B78" s="440"/>
      <c r="C78" s="399"/>
      <c r="D78" s="182"/>
      <c r="E78" s="557"/>
      <c r="F78" s="558"/>
      <c r="G78" s="550"/>
      <c r="H78" s="551"/>
      <c r="I78" s="552"/>
    </row>
    <row r="79">
      <c r="A79" s="265"/>
      <c r="B79" s="440"/>
      <c r="C79" s="400"/>
      <c r="D79" s="574"/>
      <c r="E79" s="557"/>
      <c r="F79" s="558"/>
      <c r="G79" s="555"/>
      <c r="H79" s="551"/>
      <c r="I79" s="552"/>
    </row>
    <row r="80">
      <c r="A80" s="270"/>
      <c r="B80" s="478"/>
      <c r="C80" s="472"/>
      <c r="D80" s="577"/>
      <c r="E80" s="578"/>
      <c r="F80" s="561"/>
      <c r="G80" s="562"/>
      <c r="H80" s="563"/>
      <c r="I80" s="564"/>
    </row>
    <row r="81">
      <c r="A81" s="262" t="s">
        <v>1830</v>
      </c>
      <c r="B81" s="461"/>
      <c r="C81" s="421"/>
      <c r="D81" s="566"/>
      <c r="E81" s="567"/>
      <c r="F81" s="549">
        <v>500.0</v>
      </c>
      <c r="G81" s="550"/>
      <c r="H81" s="556"/>
      <c r="I81" s="569"/>
    </row>
    <row r="82">
      <c r="A82" s="265"/>
      <c r="B82" s="404"/>
      <c r="C82" s="400"/>
      <c r="D82" s="182"/>
      <c r="E82" s="557"/>
      <c r="F82" s="558"/>
      <c r="G82" s="555"/>
      <c r="H82" s="551"/>
      <c r="I82" s="552"/>
    </row>
    <row r="83">
      <c r="A83" s="265"/>
      <c r="B83" s="440"/>
      <c r="C83" s="400"/>
      <c r="D83" s="182"/>
      <c r="E83" s="557"/>
      <c r="F83" s="558"/>
      <c r="G83" s="555"/>
      <c r="H83" s="551"/>
      <c r="I83" s="552"/>
    </row>
    <row r="84">
      <c r="A84" s="265"/>
      <c r="B84" s="480"/>
      <c r="C84" s="400"/>
      <c r="D84" s="574"/>
      <c r="E84" s="576"/>
      <c r="F84" s="558"/>
      <c r="G84" s="555"/>
      <c r="H84" s="551"/>
      <c r="I84" s="552"/>
    </row>
    <row r="85">
      <c r="A85" s="265"/>
      <c r="B85" s="480"/>
      <c r="C85" s="400"/>
      <c r="D85" s="574"/>
      <c r="E85" s="576"/>
      <c r="F85" s="558"/>
      <c r="G85" s="555"/>
      <c r="H85" s="551"/>
      <c r="I85" s="552"/>
    </row>
    <row r="86">
      <c r="A86" s="270"/>
      <c r="B86" s="478"/>
      <c r="C86" s="472"/>
      <c r="D86" s="577"/>
      <c r="E86" s="578"/>
      <c r="F86" s="561"/>
      <c r="G86" s="562"/>
      <c r="H86" s="563"/>
      <c r="I86" s="564"/>
    </row>
    <row r="87">
      <c r="A87" s="262" t="s">
        <v>575</v>
      </c>
      <c r="B87" s="461"/>
      <c r="C87" s="421"/>
      <c r="D87" s="566"/>
      <c r="E87" s="557"/>
      <c r="F87" s="549">
        <v>350.0</v>
      </c>
      <c r="G87" s="555"/>
      <c r="H87" s="556">
        <v>50.0</v>
      </c>
      <c r="I87" s="552"/>
    </row>
    <row r="88">
      <c r="A88" s="265"/>
      <c r="B88" s="404"/>
      <c r="C88" s="400"/>
      <c r="D88" s="182"/>
      <c r="E88" s="557"/>
      <c r="F88" s="558"/>
      <c r="G88" s="555"/>
      <c r="H88" s="551"/>
      <c r="I88" s="552"/>
    </row>
    <row r="89">
      <c r="A89" s="265"/>
      <c r="B89" s="480"/>
      <c r="C89" s="400"/>
      <c r="D89" s="182"/>
      <c r="E89" s="557"/>
      <c r="F89" s="558"/>
      <c r="G89" s="555"/>
      <c r="H89" s="551"/>
      <c r="I89" s="552"/>
    </row>
    <row r="90">
      <c r="A90" s="265"/>
      <c r="B90" s="480"/>
      <c r="C90" s="400"/>
      <c r="D90" s="182"/>
      <c r="E90" s="576"/>
      <c r="F90" s="558"/>
      <c r="G90" s="555"/>
      <c r="H90" s="551"/>
      <c r="I90" s="552"/>
    </row>
    <row r="91">
      <c r="A91" s="265"/>
      <c r="B91" s="480"/>
      <c r="C91" s="400"/>
      <c r="D91" s="182"/>
      <c r="E91" s="576"/>
      <c r="F91" s="558"/>
      <c r="G91" s="555"/>
      <c r="H91" s="551"/>
      <c r="I91" s="552"/>
    </row>
    <row r="92">
      <c r="A92" s="270"/>
      <c r="B92" s="478"/>
      <c r="C92" s="472"/>
      <c r="D92" s="577"/>
      <c r="E92" s="578"/>
      <c r="F92" s="561"/>
      <c r="G92" s="562"/>
      <c r="H92" s="563"/>
      <c r="I92" s="564"/>
    </row>
    <row r="93">
      <c r="A93" s="262" t="s">
        <v>576</v>
      </c>
      <c r="B93" s="425"/>
      <c r="C93" s="421"/>
      <c r="D93" s="566"/>
      <c r="E93" s="567"/>
      <c r="F93" s="549">
        <v>60.0</v>
      </c>
      <c r="G93" s="550" t="s">
        <v>1831</v>
      </c>
      <c r="H93" s="551"/>
      <c r="I93" s="552"/>
    </row>
    <row r="94">
      <c r="A94" s="265"/>
      <c r="B94" s="404"/>
      <c r="C94" s="399"/>
      <c r="D94" s="182"/>
      <c r="E94" s="557"/>
      <c r="F94" s="554"/>
      <c r="G94" s="550" t="s">
        <v>1832</v>
      </c>
      <c r="H94" s="551"/>
      <c r="I94" s="552"/>
    </row>
    <row r="95">
      <c r="A95" s="265"/>
      <c r="B95" s="477"/>
      <c r="C95" s="399"/>
      <c r="D95" s="182"/>
      <c r="E95" s="557"/>
      <c r="F95" s="558"/>
      <c r="G95" s="555"/>
      <c r="H95" s="551"/>
      <c r="I95" s="552"/>
    </row>
    <row r="96">
      <c r="A96" s="265"/>
      <c r="B96" s="477"/>
      <c r="C96" s="400"/>
      <c r="D96" s="182"/>
      <c r="E96" s="557"/>
      <c r="F96" s="558"/>
      <c r="G96" s="555"/>
      <c r="H96" s="551"/>
      <c r="I96" s="552"/>
    </row>
    <row r="97">
      <c r="A97" s="265"/>
      <c r="B97" s="477"/>
      <c r="C97" s="400"/>
      <c r="D97" s="182"/>
      <c r="E97" s="557"/>
      <c r="F97" s="558"/>
      <c r="G97" s="555"/>
      <c r="H97" s="551"/>
      <c r="I97" s="552"/>
    </row>
    <row r="98">
      <c r="A98" s="270"/>
      <c r="B98" s="478"/>
      <c r="C98" s="472"/>
      <c r="D98" s="559"/>
      <c r="E98" s="560"/>
      <c r="F98" s="561"/>
      <c r="G98" s="562"/>
      <c r="H98" s="563"/>
      <c r="I98" s="564"/>
    </row>
    <row r="99">
      <c r="A99" s="262" t="s">
        <v>577</v>
      </c>
      <c r="B99" s="425"/>
      <c r="C99" s="399"/>
      <c r="D99" s="182"/>
      <c r="E99" s="557" t="s">
        <v>1833</v>
      </c>
      <c r="F99" s="549">
        <f>90+250</f>
        <v>340</v>
      </c>
      <c r="G99" s="555"/>
      <c r="H99" s="551"/>
      <c r="I99" s="552"/>
    </row>
    <row r="100">
      <c r="A100" s="265"/>
      <c r="B100" s="404"/>
      <c r="C100" s="399"/>
      <c r="D100" s="182"/>
      <c r="E100" s="557"/>
      <c r="F100" s="554"/>
      <c r="G100" s="555"/>
      <c r="H100" s="551"/>
      <c r="I100" s="552"/>
    </row>
    <row r="101">
      <c r="A101" s="265"/>
      <c r="B101" s="404"/>
      <c r="C101" s="489"/>
      <c r="D101" s="579"/>
      <c r="E101" s="580"/>
      <c r="F101" s="558"/>
      <c r="G101" s="555"/>
      <c r="H101" s="551"/>
      <c r="I101" s="552"/>
    </row>
    <row r="102">
      <c r="A102" s="265"/>
      <c r="B102" s="404"/>
      <c r="C102" s="400"/>
      <c r="D102" s="182"/>
      <c r="E102" s="557"/>
      <c r="F102" s="558"/>
      <c r="G102" s="555"/>
      <c r="H102" s="551"/>
      <c r="I102" s="552"/>
    </row>
    <row r="103">
      <c r="A103" s="265"/>
      <c r="B103" s="477"/>
      <c r="C103" s="400"/>
      <c r="D103" s="182"/>
      <c r="E103" s="576"/>
      <c r="F103" s="558"/>
      <c r="G103" s="555"/>
      <c r="H103" s="551"/>
      <c r="I103" s="552"/>
    </row>
    <row r="104">
      <c r="A104" s="270"/>
      <c r="B104" s="478"/>
      <c r="C104" s="472"/>
      <c r="D104" s="559"/>
      <c r="E104" s="560"/>
      <c r="F104" s="561"/>
      <c r="G104" s="562"/>
      <c r="H104" s="563"/>
      <c r="I104" s="564"/>
    </row>
    <row r="105">
      <c r="A105" s="262" t="s">
        <v>579</v>
      </c>
      <c r="B105" s="425"/>
      <c r="C105" s="414"/>
      <c r="D105" s="182"/>
      <c r="E105" s="557"/>
      <c r="F105" s="549">
        <f>150+250</f>
        <v>400</v>
      </c>
      <c r="G105" s="555"/>
      <c r="H105" s="551"/>
      <c r="I105" s="552"/>
    </row>
    <row r="106">
      <c r="A106" s="265"/>
      <c r="B106" s="477"/>
      <c r="C106" s="400"/>
      <c r="D106" s="182"/>
      <c r="E106" s="557"/>
      <c r="F106" s="558"/>
      <c r="G106" s="555"/>
      <c r="H106" s="551"/>
      <c r="I106" s="552"/>
    </row>
    <row r="107">
      <c r="A107" s="265"/>
      <c r="B107" s="477"/>
      <c r="C107" s="400"/>
      <c r="D107" s="182"/>
      <c r="E107" s="557"/>
      <c r="F107" s="558"/>
      <c r="G107" s="555"/>
      <c r="H107" s="551"/>
      <c r="I107" s="552"/>
    </row>
    <row r="108">
      <c r="A108" s="265"/>
      <c r="B108" s="480"/>
      <c r="C108" s="400"/>
      <c r="D108" s="182"/>
      <c r="E108" s="557"/>
      <c r="F108" s="558"/>
      <c r="G108" s="555"/>
      <c r="H108" s="551"/>
      <c r="I108" s="552"/>
    </row>
    <row r="109">
      <c r="A109" s="265"/>
      <c r="B109" s="480"/>
      <c r="C109" s="400"/>
      <c r="D109" s="574"/>
      <c r="E109" s="576"/>
      <c r="F109" s="558"/>
      <c r="G109" s="555"/>
      <c r="H109" s="551"/>
      <c r="I109" s="552"/>
    </row>
    <row r="110">
      <c r="A110" s="270"/>
      <c r="B110" s="478"/>
      <c r="C110" s="472"/>
      <c r="D110" s="577"/>
      <c r="E110" s="578"/>
      <c r="F110" s="561"/>
      <c r="G110" s="562"/>
      <c r="H110" s="563"/>
      <c r="I110" s="564"/>
    </row>
    <row r="111">
      <c r="A111" s="262" t="s">
        <v>581</v>
      </c>
      <c r="B111" s="425">
        <v>33900.0</v>
      </c>
      <c r="C111" s="401"/>
      <c r="D111" s="566"/>
      <c r="E111" s="567" t="s">
        <v>426</v>
      </c>
      <c r="F111" s="549">
        <f>250+130</f>
        <v>380</v>
      </c>
      <c r="G111" s="555"/>
      <c r="H111" s="556">
        <v>150.0</v>
      </c>
      <c r="I111" s="552"/>
    </row>
    <row r="112">
      <c r="A112" s="265"/>
      <c r="B112" s="477"/>
      <c r="C112" s="400"/>
      <c r="D112" s="182"/>
      <c r="E112" s="557"/>
      <c r="F112" s="558"/>
      <c r="G112" s="555"/>
      <c r="H112" s="551"/>
      <c r="I112" s="552"/>
    </row>
    <row r="113">
      <c r="A113" s="265"/>
      <c r="B113" s="477"/>
      <c r="C113" s="400"/>
      <c r="D113" s="182"/>
      <c r="E113" s="557"/>
      <c r="F113" s="558"/>
      <c r="G113" s="555"/>
      <c r="H113" s="551"/>
      <c r="I113" s="552"/>
    </row>
    <row r="114">
      <c r="A114" s="265"/>
      <c r="B114" s="477"/>
      <c r="C114" s="400"/>
      <c r="D114" s="182"/>
      <c r="E114" s="557"/>
      <c r="F114" s="558"/>
      <c r="G114" s="555"/>
      <c r="H114" s="551"/>
      <c r="I114" s="552"/>
    </row>
    <row r="115">
      <c r="A115" s="265"/>
      <c r="B115" s="477"/>
      <c r="C115" s="400"/>
      <c r="D115" s="182"/>
      <c r="E115" s="576"/>
      <c r="F115" s="558"/>
      <c r="G115" s="555"/>
      <c r="H115" s="551"/>
      <c r="I115" s="552"/>
    </row>
    <row r="116">
      <c r="A116" s="270"/>
      <c r="B116" s="478"/>
      <c r="C116" s="472"/>
      <c r="D116" s="577"/>
      <c r="E116" s="578"/>
      <c r="F116" s="561"/>
      <c r="G116" s="562"/>
      <c r="H116" s="563"/>
      <c r="I116" s="564"/>
    </row>
    <row r="117">
      <c r="A117" s="262" t="s">
        <v>1834</v>
      </c>
      <c r="B117" s="425"/>
      <c r="C117" s="401"/>
      <c r="D117" s="182"/>
      <c r="E117" s="557"/>
      <c r="F117" s="549">
        <f>140+150</f>
        <v>290</v>
      </c>
      <c r="G117" s="550" t="s">
        <v>1835</v>
      </c>
      <c r="H117" s="556"/>
      <c r="I117" s="552"/>
    </row>
    <row r="118">
      <c r="A118" s="265"/>
      <c r="B118" s="404"/>
      <c r="C118" s="400"/>
      <c r="D118" s="182"/>
      <c r="E118" s="557"/>
      <c r="F118" s="558"/>
      <c r="G118" s="555"/>
      <c r="H118" s="551"/>
      <c r="I118" s="552"/>
    </row>
    <row r="119">
      <c r="A119" s="265"/>
      <c r="B119" s="404"/>
      <c r="C119" s="400"/>
      <c r="D119" s="182"/>
      <c r="E119" s="557"/>
      <c r="F119" s="558"/>
      <c r="G119" s="555"/>
      <c r="H119" s="551"/>
      <c r="I119" s="552"/>
    </row>
    <row r="120">
      <c r="A120" s="265"/>
      <c r="B120" s="477"/>
      <c r="C120" s="400"/>
      <c r="D120" s="182"/>
      <c r="E120" s="557"/>
      <c r="F120" s="554">
        <v>180.0</v>
      </c>
      <c r="G120" s="550" t="s">
        <v>1835</v>
      </c>
      <c r="H120" s="581">
        <f>SUM(H87:H119)</f>
        <v>200</v>
      </c>
      <c r="I120" s="582">
        <v>230.0</v>
      </c>
      <c r="J120" s="2" t="s">
        <v>1836</v>
      </c>
    </row>
    <row r="121">
      <c r="A121" s="265"/>
      <c r="B121" s="477"/>
      <c r="C121" s="400"/>
      <c r="D121" s="182"/>
      <c r="E121" s="576"/>
      <c r="F121" s="558"/>
      <c r="G121" s="555"/>
      <c r="H121" s="551"/>
      <c r="I121" s="552"/>
    </row>
    <row r="122">
      <c r="A122" s="270"/>
      <c r="B122" s="478"/>
      <c r="C122" s="472"/>
      <c r="D122" s="577"/>
      <c r="E122" s="578"/>
      <c r="F122" s="561"/>
      <c r="G122" s="562"/>
      <c r="H122" s="563"/>
      <c r="I122" s="564"/>
    </row>
    <row r="123">
      <c r="A123" s="262" t="s">
        <v>585</v>
      </c>
      <c r="B123" s="425">
        <v>23400.0</v>
      </c>
      <c r="C123" s="421"/>
      <c r="D123" s="566"/>
      <c r="E123" s="567" t="s">
        <v>696</v>
      </c>
      <c r="F123" s="549">
        <f>200+50</f>
        <v>250</v>
      </c>
      <c r="G123" s="550" t="s">
        <v>1837</v>
      </c>
      <c r="H123" s="556">
        <v>200.0</v>
      </c>
      <c r="I123" s="569">
        <v>200.0</v>
      </c>
      <c r="J123" s="2" t="s">
        <v>1259</v>
      </c>
    </row>
    <row r="124">
      <c r="A124" s="265"/>
      <c r="B124" s="404"/>
      <c r="C124" s="399"/>
      <c r="D124" s="182"/>
      <c r="E124" s="576"/>
      <c r="F124" s="558"/>
      <c r="G124" s="555"/>
      <c r="H124" s="551"/>
      <c r="I124" s="552"/>
    </row>
    <row r="125">
      <c r="A125" s="265"/>
      <c r="B125" s="404"/>
      <c r="C125" s="400"/>
      <c r="D125" s="182"/>
      <c r="E125" s="576"/>
      <c r="F125" s="558"/>
      <c r="G125" s="555"/>
      <c r="H125" s="551"/>
      <c r="I125" s="552"/>
    </row>
    <row r="126">
      <c r="A126" s="265"/>
      <c r="B126" s="404"/>
      <c r="C126" s="400"/>
      <c r="D126" s="182"/>
      <c r="E126" s="576"/>
      <c r="F126" s="558"/>
      <c r="G126" s="555"/>
      <c r="H126" s="551"/>
      <c r="I126" s="552"/>
    </row>
    <row r="127">
      <c r="A127" s="265"/>
      <c r="B127" s="404"/>
      <c r="C127" s="399"/>
      <c r="D127" s="182"/>
      <c r="E127" s="576"/>
      <c r="F127" s="558"/>
      <c r="G127" s="555"/>
      <c r="H127" s="551"/>
      <c r="I127" s="552"/>
    </row>
    <row r="128">
      <c r="A128" s="270"/>
      <c r="B128" s="478"/>
      <c r="C128" s="472"/>
      <c r="D128" s="559"/>
      <c r="E128" s="560"/>
      <c r="F128" s="561"/>
      <c r="G128" s="562"/>
      <c r="H128" s="563"/>
      <c r="I128" s="564"/>
    </row>
    <row r="129">
      <c r="A129" s="262" t="s">
        <v>591</v>
      </c>
      <c r="B129" s="425"/>
      <c r="C129" s="401"/>
      <c r="D129" s="566"/>
      <c r="E129" s="567"/>
      <c r="F129" s="549">
        <f>120+150</f>
        <v>270</v>
      </c>
      <c r="G129" s="555"/>
      <c r="H129" s="556">
        <v>50.0</v>
      </c>
      <c r="I129" s="552"/>
      <c r="J129" s="2" t="s">
        <v>1838</v>
      </c>
    </row>
    <row r="130">
      <c r="A130" s="265"/>
      <c r="B130" s="477"/>
      <c r="C130" s="400"/>
      <c r="D130" s="182"/>
      <c r="E130" s="576"/>
      <c r="F130" s="558"/>
      <c r="G130" s="555"/>
      <c r="H130" s="551"/>
      <c r="I130" s="569">
        <v>20.0</v>
      </c>
    </row>
    <row r="131">
      <c r="A131" s="265"/>
      <c r="B131" s="477"/>
      <c r="C131" s="400"/>
      <c r="D131" s="182"/>
      <c r="E131" s="576"/>
      <c r="F131" s="558"/>
      <c r="G131" s="555"/>
      <c r="H131" s="551"/>
      <c r="I131" s="552"/>
    </row>
    <row r="132">
      <c r="A132" s="265"/>
      <c r="B132" s="477"/>
      <c r="C132" s="400"/>
      <c r="D132" s="182"/>
      <c r="E132" s="576"/>
      <c r="F132" s="558"/>
      <c r="G132" s="555"/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70"/>
      <c r="B134" s="478"/>
      <c r="C134" s="472"/>
      <c r="D134" s="577"/>
      <c r="E134" s="578"/>
      <c r="F134" s="561"/>
      <c r="G134" s="562"/>
      <c r="H134" s="563"/>
      <c r="I134" s="564"/>
    </row>
    <row r="135">
      <c r="A135" s="262" t="s">
        <v>593</v>
      </c>
      <c r="B135" s="461"/>
      <c r="C135" s="421"/>
      <c r="D135" s="583"/>
      <c r="E135" s="553"/>
      <c r="F135" s="549">
        <v>170.0</v>
      </c>
      <c r="G135" s="550" t="s">
        <v>1839</v>
      </c>
      <c r="H135" s="551"/>
      <c r="I135" s="552"/>
    </row>
    <row r="136">
      <c r="A136" s="265"/>
      <c r="B136" s="477"/>
      <c r="C136" s="399"/>
      <c r="D136" s="182"/>
      <c r="E136" s="576"/>
      <c r="F136" s="558"/>
      <c r="G136" s="555"/>
      <c r="H136" s="551"/>
      <c r="I136" s="552"/>
    </row>
    <row r="137">
      <c r="A137" s="265"/>
      <c r="B137" s="477"/>
      <c r="C137" s="400"/>
      <c r="D137" s="182"/>
      <c r="E137" s="576"/>
      <c r="F137" s="558"/>
      <c r="G137" s="555"/>
      <c r="H137" s="551"/>
      <c r="I137" s="552"/>
    </row>
    <row r="138">
      <c r="A138" s="265"/>
      <c r="B138" s="404"/>
      <c r="C138" s="400"/>
      <c r="D138" s="182"/>
      <c r="E138" s="576"/>
      <c r="F138" s="558"/>
      <c r="G138" s="555"/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70"/>
      <c r="B140" s="478"/>
      <c r="C140" s="472"/>
      <c r="D140" s="577"/>
      <c r="E140" s="578"/>
      <c r="F140" s="561"/>
      <c r="G140" s="562"/>
      <c r="H140" s="563"/>
      <c r="I140" s="564"/>
    </row>
    <row r="141">
      <c r="A141" s="280" t="s">
        <v>596</v>
      </c>
      <c r="B141" s="425">
        <v>46200.0</v>
      </c>
      <c r="C141" s="401"/>
      <c r="D141" s="566"/>
      <c r="E141" s="557" t="s">
        <v>118</v>
      </c>
      <c r="F141" s="549">
        <f>100+60+400</f>
        <v>560</v>
      </c>
      <c r="G141" s="555"/>
      <c r="H141" s="556">
        <v>30.0</v>
      </c>
      <c r="I141" s="569">
        <v>30.0</v>
      </c>
    </row>
    <row r="142">
      <c r="A142" s="265"/>
      <c r="B142" s="404"/>
      <c r="C142" s="399"/>
      <c r="D142" s="182"/>
      <c r="E142" s="557"/>
      <c r="F142" s="554"/>
      <c r="G142" s="555"/>
      <c r="H142" s="556">
        <v>20.0</v>
      </c>
      <c r="I142" s="552"/>
    </row>
    <row r="143">
      <c r="A143" s="265"/>
      <c r="B143" s="404"/>
      <c r="C143" s="399"/>
      <c r="D143" s="182"/>
      <c r="E143" s="557"/>
      <c r="F143" s="554"/>
      <c r="G143" s="555"/>
      <c r="H143" s="551"/>
      <c r="I143" s="552"/>
    </row>
    <row r="144">
      <c r="A144" s="265"/>
      <c r="B144" s="404"/>
      <c r="C144" s="399"/>
      <c r="D144" s="182"/>
      <c r="E144" s="557"/>
      <c r="F144" s="554"/>
      <c r="G144" s="555"/>
      <c r="H144" s="551"/>
      <c r="I144" s="552"/>
    </row>
    <row r="145">
      <c r="A145" s="270"/>
      <c r="B145" s="404"/>
      <c r="C145" s="399"/>
      <c r="D145" s="182"/>
      <c r="E145" s="557"/>
      <c r="F145" s="554"/>
      <c r="G145" s="555"/>
      <c r="H145" s="551"/>
      <c r="I145" s="552"/>
    </row>
    <row r="146">
      <c r="A146" s="452"/>
      <c r="B146" s="404"/>
      <c r="C146" s="399"/>
      <c r="D146" s="182"/>
      <c r="E146" s="557"/>
      <c r="F146" s="554"/>
      <c r="G146" s="562"/>
      <c r="H146" s="563"/>
      <c r="I146" s="564"/>
    </row>
    <row r="147">
      <c r="A147" s="280" t="s">
        <v>598</v>
      </c>
      <c r="B147" s="461"/>
      <c r="C147" s="421"/>
      <c r="D147" s="583"/>
      <c r="E147" s="584"/>
      <c r="F147" s="549">
        <f>70+260</f>
        <v>330</v>
      </c>
      <c r="G147" s="555"/>
      <c r="H147" s="556">
        <v>80.0</v>
      </c>
      <c r="I147" s="552"/>
      <c r="J147" s="2" t="s">
        <v>1840</v>
      </c>
    </row>
    <row r="148">
      <c r="A148" s="265"/>
      <c r="B148" s="404">
        <v>48800.0</v>
      </c>
      <c r="C148" s="399"/>
      <c r="D148" s="182"/>
      <c r="E148" s="557" t="s">
        <v>693</v>
      </c>
      <c r="F148" s="558"/>
      <c r="G148" s="555"/>
      <c r="H148" s="551"/>
      <c r="I148" s="552"/>
    </row>
    <row r="149">
      <c r="A149" s="265"/>
      <c r="B149" s="477"/>
      <c r="C149" s="399"/>
      <c r="D149" s="182"/>
      <c r="E149" s="557"/>
      <c r="F149" s="554"/>
      <c r="G149" s="555"/>
      <c r="H149" s="551"/>
      <c r="I149" s="552"/>
    </row>
    <row r="150">
      <c r="A150" s="265"/>
      <c r="B150" s="477"/>
      <c r="C150" s="399"/>
      <c r="D150" s="182"/>
      <c r="E150" s="576"/>
      <c r="F150" s="558"/>
      <c r="G150" s="555"/>
      <c r="H150" s="551"/>
      <c r="I150" s="552"/>
    </row>
    <row r="151">
      <c r="A151" s="265"/>
      <c r="B151" s="404"/>
      <c r="C151" s="399"/>
      <c r="D151" s="182"/>
      <c r="E151" s="576"/>
      <c r="F151" s="554"/>
      <c r="G151" s="555"/>
      <c r="H151" s="551"/>
      <c r="I151" s="552"/>
    </row>
    <row r="152">
      <c r="A152" s="270"/>
      <c r="B152" s="478"/>
      <c r="C152" s="462"/>
      <c r="D152" s="577"/>
      <c r="E152" s="560"/>
      <c r="F152" s="561"/>
      <c r="G152" s="562"/>
      <c r="H152" s="563"/>
      <c r="I152" s="564"/>
    </row>
    <row r="153">
      <c r="A153" s="299" t="s">
        <v>1841</v>
      </c>
      <c r="B153" s="440"/>
      <c r="C153" s="462"/>
      <c r="D153" s="182"/>
      <c r="E153" s="557"/>
      <c r="F153" s="554">
        <v>70.0</v>
      </c>
      <c r="G153" s="550" t="s">
        <v>1842</v>
      </c>
      <c r="H153" s="551"/>
      <c r="I153" s="552"/>
    </row>
    <row r="154">
      <c r="B154" s="480"/>
      <c r="C154" s="462"/>
      <c r="D154" s="574"/>
      <c r="E154" s="576"/>
      <c r="F154" s="558"/>
      <c r="G154" s="550" t="s">
        <v>1843</v>
      </c>
      <c r="H154" s="551"/>
      <c r="I154" s="569">
        <v>130.0</v>
      </c>
    </row>
    <row r="155">
      <c r="B155" s="480"/>
      <c r="C155" s="462"/>
      <c r="D155" s="574"/>
      <c r="E155" s="576"/>
      <c r="F155" s="558"/>
      <c r="G155" s="555"/>
      <c r="H155" s="551">
        <f t="shared" ref="H155:I155" si="1">SUM(H129:H154)</f>
        <v>180</v>
      </c>
      <c r="I155" s="552">
        <f t="shared" si="1"/>
        <v>180</v>
      </c>
      <c r="J155" s="2" t="s">
        <v>1377</v>
      </c>
    </row>
    <row r="156">
      <c r="B156" s="480"/>
      <c r="C156" s="462"/>
      <c r="D156" s="574"/>
      <c r="E156" s="576"/>
      <c r="F156" s="558"/>
      <c r="G156" s="555"/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A158" s="585"/>
      <c r="B158" s="271"/>
      <c r="C158" s="586"/>
      <c r="D158" s="587"/>
      <c r="E158" s="588"/>
      <c r="F158" s="561"/>
      <c r="G158" s="562"/>
      <c r="H158" s="563"/>
      <c r="I158" s="564"/>
    </row>
    <row r="159">
      <c r="A159" s="280" t="s">
        <v>187</v>
      </c>
      <c r="B159" s="239"/>
      <c r="C159" s="439"/>
      <c r="D159" s="583"/>
      <c r="E159" s="555"/>
      <c r="F159" s="589"/>
      <c r="G159" s="555"/>
      <c r="H159" s="556" t="s">
        <v>1565</v>
      </c>
      <c r="I159" s="569" t="s">
        <v>1349</v>
      </c>
    </row>
    <row r="160">
      <c r="A160" s="265"/>
      <c r="B160" s="247"/>
      <c r="C160" s="317"/>
      <c r="D160" s="366"/>
      <c r="E160" s="550" t="s">
        <v>188</v>
      </c>
      <c r="F160" s="590"/>
      <c r="G160" s="550"/>
      <c r="H160" s="556"/>
      <c r="I160" s="569"/>
    </row>
    <row r="161">
      <c r="A161" s="265"/>
      <c r="B161" s="247">
        <v>306851.0</v>
      </c>
      <c r="C161" s="317"/>
      <c r="D161" s="366"/>
      <c r="E161" s="550" t="s">
        <v>1745</v>
      </c>
      <c r="F161" s="590"/>
      <c r="G161" s="550" t="s">
        <v>1710</v>
      </c>
      <c r="H161" s="556" t="s">
        <v>1566</v>
      </c>
      <c r="I161" s="569" t="s">
        <v>1349</v>
      </c>
    </row>
    <row r="162">
      <c r="A162" s="265"/>
      <c r="B162" s="247"/>
      <c r="C162" s="438">
        <v>122753.85</v>
      </c>
      <c r="D162" s="366"/>
      <c r="E162" s="550" t="s">
        <v>1666</v>
      </c>
      <c r="F162" s="590"/>
      <c r="G162" s="550" t="s">
        <v>1667</v>
      </c>
      <c r="H162" s="551"/>
      <c r="I162" s="552"/>
    </row>
    <row r="163">
      <c r="A163" s="265"/>
      <c r="B163" s="517"/>
      <c r="C163" s="438"/>
      <c r="D163" s="366"/>
      <c r="E163" s="550" t="s">
        <v>191</v>
      </c>
      <c r="F163" s="590"/>
      <c r="G163" s="555"/>
      <c r="H163" s="556" t="s">
        <v>1566</v>
      </c>
      <c r="I163" s="569" t="s">
        <v>1349</v>
      </c>
    </row>
    <row r="164">
      <c r="A164" s="265"/>
      <c r="B164" s="268"/>
      <c r="C164" s="298">
        <v>318000.0</v>
      </c>
      <c r="D164" s="366"/>
      <c r="E164" s="550" t="s">
        <v>1746</v>
      </c>
      <c r="F164" s="590"/>
      <c r="G164" s="555"/>
      <c r="H164" s="551"/>
      <c r="I164" s="552"/>
    </row>
    <row r="165">
      <c r="A165" s="265"/>
      <c r="B165" s="268"/>
      <c r="C165" s="249">
        <v>720000.0</v>
      </c>
      <c r="D165" s="366"/>
      <c r="E165" s="550" t="s">
        <v>192</v>
      </c>
      <c r="F165" s="590"/>
      <c r="G165" s="555"/>
      <c r="H165" s="551"/>
      <c r="I165" s="552"/>
    </row>
    <row r="166">
      <c r="A166" s="265"/>
      <c r="B166" s="268"/>
      <c r="C166" s="253"/>
      <c r="D166" s="182">
        <v>700000.0</v>
      </c>
      <c r="E166" s="550" t="s">
        <v>193</v>
      </c>
      <c r="F166" s="590"/>
      <c r="G166" s="555"/>
      <c r="H166" s="551"/>
      <c r="I166" s="552"/>
    </row>
    <row r="167">
      <c r="A167" s="265"/>
      <c r="B167" s="247"/>
      <c r="C167" s="249"/>
      <c r="D167" s="366"/>
      <c r="E167" s="550" t="s">
        <v>1093</v>
      </c>
      <c r="F167" s="590"/>
      <c r="G167" s="555"/>
      <c r="H167" s="551"/>
      <c r="I167" s="552"/>
    </row>
    <row r="168">
      <c r="A168" s="265"/>
      <c r="B168" s="247"/>
      <c r="C168" s="249">
        <v>136000.0</v>
      </c>
      <c r="D168" s="366"/>
      <c r="E168" s="550" t="s">
        <v>196</v>
      </c>
      <c r="F168" s="590"/>
      <c r="G168" s="550" t="s">
        <v>1805</v>
      </c>
      <c r="H168" s="551"/>
      <c r="I168" s="552"/>
    </row>
    <row r="169">
      <c r="A169" s="265"/>
      <c r="B169" s="247"/>
      <c r="C169" s="249">
        <v>50137.0</v>
      </c>
      <c r="D169" s="366"/>
      <c r="E169" s="550" t="s">
        <v>1806</v>
      </c>
      <c r="F169" s="590"/>
      <c r="G169" s="550"/>
      <c r="H169" s="556"/>
      <c r="I169" s="552"/>
    </row>
    <row r="170">
      <c r="A170" s="265"/>
      <c r="B170" s="247"/>
      <c r="C170" s="249">
        <v>72423.77</v>
      </c>
      <c r="D170" s="366"/>
      <c r="E170" s="550" t="s">
        <v>197</v>
      </c>
      <c r="F170" s="590"/>
      <c r="G170" s="550" t="s">
        <v>1773</v>
      </c>
      <c r="H170" s="556" t="s">
        <v>1774</v>
      </c>
      <c r="I170" s="552"/>
    </row>
    <row r="171">
      <c r="A171" s="265"/>
      <c r="B171" s="268"/>
      <c r="C171" s="249">
        <v>173197.0</v>
      </c>
      <c r="D171" s="366"/>
      <c r="E171" s="550" t="s">
        <v>199</v>
      </c>
      <c r="F171" s="590"/>
      <c r="G171" s="550" t="s">
        <v>1807</v>
      </c>
      <c r="H171" s="556" t="s">
        <v>1712</v>
      </c>
      <c r="I171" s="552"/>
    </row>
    <row r="172">
      <c r="A172" s="265"/>
      <c r="B172" s="247"/>
      <c r="C172" s="439">
        <v>124484.47</v>
      </c>
      <c r="D172" s="366"/>
      <c r="E172" s="550" t="s">
        <v>200</v>
      </c>
      <c r="F172" s="590"/>
      <c r="G172" s="550" t="s">
        <v>189</v>
      </c>
      <c r="H172" s="551"/>
      <c r="I172" s="552"/>
    </row>
    <row r="173">
      <c r="A173" s="265"/>
      <c r="B173" s="278"/>
      <c r="C173" s="439">
        <v>84785.15</v>
      </c>
      <c r="D173" s="591"/>
      <c r="E173" s="550" t="s">
        <v>201</v>
      </c>
      <c r="F173" s="590"/>
      <c r="G173" s="550" t="s">
        <v>189</v>
      </c>
      <c r="H173" s="551"/>
      <c r="I173" s="552"/>
    </row>
    <row r="174">
      <c r="A174" s="270"/>
      <c r="B174" s="277"/>
      <c r="C174" s="295">
        <v>50137.39</v>
      </c>
      <c r="D174" s="592"/>
      <c r="E174" s="550" t="s">
        <v>1670</v>
      </c>
      <c r="F174" s="590"/>
      <c r="G174" s="555"/>
      <c r="H174" s="551"/>
      <c r="I174" s="552"/>
    </row>
    <row r="175">
      <c r="A175" s="299"/>
      <c r="B175" s="278"/>
      <c r="C175" s="295">
        <v>323159.6</v>
      </c>
      <c r="D175" s="591"/>
      <c r="E175" s="550" t="s">
        <v>1808</v>
      </c>
      <c r="F175" s="590"/>
      <c r="G175" s="555"/>
      <c r="H175" s="551"/>
      <c r="I175" s="552"/>
    </row>
    <row r="176">
      <c r="A176" s="299"/>
      <c r="B176" s="278"/>
      <c r="C176" s="476"/>
      <c r="D176" s="591"/>
      <c r="E176" s="557"/>
      <c r="F176" s="593"/>
      <c r="G176" s="555"/>
      <c r="H176" s="551"/>
      <c r="I176" s="552"/>
    </row>
    <row r="177">
      <c r="A177" s="299"/>
      <c r="B177" s="278"/>
      <c r="C177" s="476"/>
      <c r="D177" s="591"/>
      <c r="E177" s="557" t="s">
        <v>1672</v>
      </c>
      <c r="F177" s="593"/>
      <c r="G177" s="555"/>
      <c r="H177" s="551"/>
      <c r="I177" s="552"/>
    </row>
    <row r="178">
      <c r="A178" s="299"/>
      <c r="B178" s="278"/>
      <c r="C178" s="295"/>
      <c r="D178" s="366"/>
      <c r="E178" s="550" t="s">
        <v>204</v>
      </c>
      <c r="F178" s="593"/>
      <c r="G178" s="555"/>
      <c r="H178" s="551"/>
      <c r="I178" s="552"/>
    </row>
    <row r="179">
      <c r="A179" s="303"/>
      <c r="B179" s="278"/>
      <c r="C179" s="249"/>
      <c r="D179" s="366"/>
      <c r="E179" s="550" t="s">
        <v>205</v>
      </c>
      <c r="F179" s="593"/>
      <c r="G179" s="555"/>
      <c r="H179" s="551"/>
      <c r="I179" s="552"/>
    </row>
    <row r="180">
      <c r="A180" s="303"/>
      <c r="B180" s="268"/>
      <c r="C180" s="249"/>
      <c r="D180" s="366"/>
      <c r="E180" s="550" t="s">
        <v>735</v>
      </c>
      <c r="F180" s="593"/>
      <c r="G180" s="555"/>
      <c r="H180" s="551"/>
      <c r="I180" s="552"/>
    </row>
    <row r="181">
      <c r="A181" s="303"/>
      <c r="B181" s="247"/>
      <c r="C181" s="249"/>
      <c r="D181" s="366"/>
      <c r="E181" s="550" t="s">
        <v>206</v>
      </c>
      <c r="F181" s="590"/>
      <c r="G181" s="555"/>
      <c r="H181" s="551"/>
      <c r="I181" s="552"/>
    </row>
    <row r="182">
      <c r="A182" s="303"/>
      <c r="B182" s="268"/>
      <c r="C182" s="300">
        <v>142499.15</v>
      </c>
      <c r="D182" s="594"/>
      <c r="E182" s="550" t="s">
        <v>209</v>
      </c>
      <c r="F182" s="590"/>
      <c r="G182" s="550" t="s">
        <v>1717</v>
      </c>
      <c r="H182" s="556" t="s">
        <v>1566</v>
      </c>
      <c r="I182" s="569" t="s">
        <v>1718</v>
      </c>
    </row>
    <row r="183">
      <c r="A183" s="303"/>
      <c r="B183" s="247"/>
      <c r="C183" s="249"/>
      <c r="D183" s="366"/>
      <c r="E183" s="555"/>
      <c r="F183" s="590"/>
      <c r="G183" s="555"/>
      <c r="H183" s="551"/>
      <c r="I183" s="552"/>
    </row>
    <row r="184">
      <c r="A184" s="303"/>
      <c r="B184" s="268"/>
      <c r="C184" s="249"/>
      <c r="D184" s="366"/>
      <c r="E184" s="555"/>
      <c r="F184" s="590"/>
      <c r="G184" s="555"/>
      <c r="H184" s="551"/>
      <c r="I184" s="552"/>
    </row>
    <row r="185">
      <c r="A185" s="303"/>
      <c r="B185" s="268"/>
      <c r="C185" s="249"/>
      <c r="D185" s="366"/>
      <c r="E185" s="550"/>
      <c r="F185" s="590"/>
      <c r="G185" s="555"/>
      <c r="H185" s="551"/>
      <c r="I185" s="552"/>
    </row>
    <row r="186">
      <c r="A186" s="303"/>
      <c r="B186" s="247"/>
      <c r="C186" s="331"/>
      <c r="D186" s="595"/>
      <c r="E186" s="555"/>
      <c r="F186" s="590"/>
      <c r="G186" s="555"/>
      <c r="H186" s="551"/>
      <c r="I186" s="552"/>
    </row>
    <row r="187">
      <c r="A187" s="304"/>
      <c r="B187" s="268"/>
      <c r="C187" s="249"/>
      <c r="D187" s="594"/>
      <c r="E187" s="555"/>
      <c r="F187" s="590"/>
      <c r="G187" s="555"/>
      <c r="H187" s="551"/>
      <c r="I187" s="552"/>
    </row>
    <row r="188">
      <c r="A188" s="305"/>
      <c r="B188" s="406">
        <f t="shared" ref="B188:D188" si="2">SUM(B159:B187)</f>
        <v>306851</v>
      </c>
      <c r="C188" s="392">
        <f t="shared" si="2"/>
        <v>2317577.38</v>
      </c>
      <c r="D188" s="596">
        <f t="shared" si="2"/>
        <v>700000</v>
      </c>
      <c r="E188" s="562"/>
      <c r="F188" s="561"/>
      <c r="G188" s="555"/>
      <c r="H188" s="551"/>
      <c r="I188" s="552"/>
    </row>
    <row r="189">
      <c r="A189" s="265"/>
      <c r="B189" s="306"/>
      <c r="C189" s="241"/>
      <c r="D189" s="583"/>
      <c r="E189" s="548"/>
      <c r="F189" s="597"/>
      <c r="G189" s="555"/>
      <c r="H189" s="551"/>
      <c r="I189" s="552"/>
    </row>
    <row r="190">
      <c r="A190" s="265"/>
      <c r="B190" s="268"/>
      <c r="C190" s="253"/>
      <c r="D190" s="366"/>
      <c r="E190" s="555"/>
      <c r="F190" s="558"/>
      <c r="G190" s="555"/>
      <c r="H190" s="551"/>
      <c r="I190" s="552"/>
    </row>
    <row r="191">
      <c r="A191" s="265"/>
      <c r="B191" s="268"/>
      <c r="C191" s="253"/>
      <c r="D191" s="366"/>
      <c r="E191" s="555"/>
      <c r="F191" s="558"/>
      <c r="G191" s="555"/>
      <c r="H191" s="551"/>
      <c r="I191" s="552"/>
    </row>
    <row r="192">
      <c r="A192" s="265"/>
      <c r="B192" s="268"/>
      <c r="C192" s="253"/>
      <c r="D192" s="366"/>
      <c r="E192" s="555"/>
      <c r="F192" s="558"/>
      <c r="G192" s="555"/>
      <c r="H192" s="551"/>
      <c r="I192" s="552"/>
    </row>
    <row r="193">
      <c r="A193" s="265"/>
      <c r="B193" s="268"/>
      <c r="C193" s="253"/>
      <c r="D193" s="366"/>
      <c r="E193" s="555"/>
      <c r="F193" s="558"/>
      <c r="G193" s="555"/>
      <c r="H193" s="551"/>
      <c r="I193" s="552"/>
    </row>
    <row r="194">
      <c r="A194" s="265"/>
      <c r="B194" s="268"/>
      <c r="C194" s="253"/>
      <c r="D194" s="366"/>
      <c r="E194" s="555"/>
      <c r="F194" s="558"/>
      <c r="G194" s="555"/>
      <c r="H194" s="551"/>
      <c r="I194" s="552"/>
    </row>
    <row r="195">
      <c r="A195" s="265"/>
      <c r="B195" s="268"/>
      <c r="C195" s="253"/>
      <c r="D195" s="366"/>
      <c r="E195" s="555"/>
      <c r="F195" s="558"/>
      <c r="G195" s="555"/>
      <c r="H195" s="551"/>
      <c r="I195" s="552"/>
    </row>
    <row r="196">
      <c r="A196" s="265"/>
      <c r="B196" s="268"/>
      <c r="C196" s="253"/>
      <c r="D196" s="366"/>
      <c r="E196" s="555"/>
      <c r="F196" s="558"/>
      <c r="G196" s="555"/>
      <c r="H196" s="551"/>
      <c r="I196" s="552"/>
    </row>
    <row r="197">
      <c r="A197" s="270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5"/>
      <c r="B198" s="271"/>
      <c r="C198" s="273"/>
      <c r="D198" s="587"/>
      <c r="E198" s="562"/>
      <c r="F198" s="561"/>
      <c r="G198" s="555"/>
      <c r="H198" s="551"/>
      <c r="I198" s="552"/>
    </row>
    <row r="199">
      <c r="A199" s="265"/>
      <c r="B199" s="306"/>
      <c r="C199" s="241"/>
      <c r="D199" s="583"/>
      <c r="E199" s="548"/>
      <c r="F199" s="597"/>
      <c r="G199" s="555"/>
      <c r="H199" s="551"/>
      <c r="I199" s="552"/>
    </row>
    <row r="200">
      <c r="A200" s="265"/>
      <c r="B200" s="268"/>
      <c r="C200" s="253"/>
      <c r="D200" s="366"/>
      <c r="E200" s="555"/>
      <c r="F200" s="558"/>
      <c r="G200" s="555"/>
      <c r="H200" s="551"/>
      <c r="I200" s="552"/>
    </row>
    <row r="201">
      <c r="A201" s="265"/>
      <c r="B201" s="268"/>
      <c r="C201" s="253"/>
      <c r="D201" s="366"/>
      <c r="E201" s="555"/>
      <c r="F201" s="558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70"/>
      <c r="B207" s="268"/>
      <c r="C207" s="253"/>
      <c r="D207" s="366"/>
      <c r="E207" s="555"/>
      <c r="F207" s="558"/>
      <c r="G207" s="555"/>
      <c r="H207" s="551"/>
      <c r="I207" s="552"/>
    </row>
    <row r="208">
      <c r="B208" s="271"/>
      <c r="C208" s="273"/>
      <c r="D208" s="587"/>
      <c r="E208" s="562"/>
      <c r="F208" s="561"/>
      <c r="G208" s="555"/>
      <c r="H208" s="551"/>
      <c r="I208" s="552"/>
    </row>
    <row r="209">
      <c r="B209" s="306"/>
      <c r="C209" s="241"/>
      <c r="D209" s="583"/>
      <c r="E209" s="548"/>
      <c r="F209" s="597"/>
      <c r="G209" s="555"/>
      <c r="H209" s="551"/>
      <c r="I209" s="552"/>
    </row>
    <row r="210">
      <c r="B210" s="268"/>
      <c r="C210" s="253"/>
      <c r="D210" s="366"/>
      <c r="E210" s="555"/>
      <c r="F210" s="558"/>
      <c r="G210" s="555"/>
      <c r="H210" s="551"/>
      <c r="I210" s="552"/>
    </row>
    <row r="211">
      <c r="B211" s="268"/>
      <c r="C211" s="253"/>
      <c r="D211" s="366"/>
      <c r="E211" s="555"/>
      <c r="F211" s="558"/>
      <c r="G211" s="555"/>
      <c r="H211" s="551"/>
      <c r="I211" s="552"/>
    </row>
    <row r="212">
      <c r="B212" s="308"/>
      <c r="C212" s="253"/>
      <c r="D212" s="598"/>
      <c r="E212" s="555"/>
      <c r="F212" s="572"/>
      <c r="G212" s="555"/>
      <c r="H212" s="551"/>
      <c r="I212" s="552"/>
    </row>
    <row r="213">
      <c r="B213" s="308"/>
      <c r="C213" s="253"/>
      <c r="D213" s="598"/>
      <c r="E213" s="555"/>
      <c r="F213" s="572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</sheetData>
  <mergeCells count="29">
    <mergeCell ref="A2:A7"/>
    <mergeCell ref="A8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  <mergeCell ref="A69:A74"/>
    <mergeCell ref="A75:A80"/>
    <mergeCell ref="A81:A86"/>
    <mergeCell ref="A129:A134"/>
    <mergeCell ref="A135:A140"/>
    <mergeCell ref="A141:A145"/>
    <mergeCell ref="A147:A152"/>
    <mergeCell ref="A153:A157"/>
    <mergeCell ref="A159:A174"/>
    <mergeCell ref="A188:A197"/>
    <mergeCell ref="A198:A207"/>
    <mergeCell ref="A87:A92"/>
    <mergeCell ref="A93:A98"/>
    <mergeCell ref="A99:A104"/>
    <mergeCell ref="A105:A110"/>
    <mergeCell ref="A111:A116"/>
    <mergeCell ref="A117:A122"/>
    <mergeCell ref="A123:A1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38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1386</v>
      </c>
      <c r="B2" s="425">
        <v>88200.0</v>
      </c>
      <c r="C2" s="532"/>
      <c r="D2" s="547"/>
      <c r="E2" s="548" t="s">
        <v>1844</v>
      </c>
      <c r="F2" s="549">
        <v>220.0</v>
      </c>
      <c r="G2" s="550" t="s">
        <v>1342</v>
      </c>
      <c r="H2" s="556">
        <v>700.0</v>
      </c>
      <c r="I2" s="552"/>
      <c r="J2" s="2" t="s">
        <v>1845</v>
      </c>
    </row>
    <row r="3">
      <c r="A3" s="265"/>
      <c r="B3" s="510"/>
      <c r="C3" s="399"/>
      <c r="D3" s="366"/>
      <c r="E3" s="553"/>
      <c r="F3" s="554"/>
      <c r="G3" s="555"/>
      <c r="H3" s="556">
        <v>-280.0</v>
      </c>
      <c r="I3" s="569"/>
      <c r="J3" s="2" t="s">
        <v>1846</v>
      </c>
    </row>
    <row r="4">
      <c r="A4" s="265"/>
      <c r="B4" s="404"/>
      <c r="C4" s="414"/>
      <c r="D4" s="182"/>
      <c r="E4" s="557"/>
      <c r="F4" s="558">
        <f>190+170</f>
        <v>360</v>
      </c>
      <c r="G4" s="550" t="s">
        <v>1847</v>
      </c>
      <c r="H4" s="556">
        <v>500.0</v>
      </c>
      <c r="I4" s="552"/>
      <c r="J4" s="2" t="s">
        <v>1848</v>
      </c>
    </row>
    <row r="5">
      <c r="A5" s="265"/>
      <c r="B5" s="404"/>
      <c r="C5" s="399"/>
      <c r="D5" s="182"/>
      <c r="E5" s="557"/>
      <c r="F5" s="558"/>
      <c r="G5" s="550"/>
      <c r="H5" s="556">
        <v>-113.0</v>
      </c>
      <c r="I5" s="552"/>
      <c r="J5" s="2" t="s">
        <v>1849</v>
      </c>
    </row>
    <row r="6">
      <c r="A6" s="265"/>
      <c r="B6" s="440"/>
      <c r="C6" s="400"/>
      <c r="D6" s="182"/>
      <c r="E6" s="557"/>
      <c r="F6" s="558"/>
      <c r="G6" s="550"/>
      <c r="H6" s="556">
        <v>-50.0</v>
      </c>
      <c r="I6" s="552"/>
      <c r="J6" s="2" t="s">
        <v>1850</v>
      </c>
    </row>
    <row r="7">
      <c r="A7" s="270"/>
      <c r="B7" s="470"/>
      <c r="C7" s="472"/>
      <c r="D7" s="559"/>
      <c r="E7" s="560"/>
      <c r="F7" s="561"/>
      <c r="G7" s="562"/>
      <c r="H7" s="599">
        <v>-35.0</v>
      </c>
      <c r="I7" s="564"/>
      <c r="J7" s="2" t="s">
        <v>1850</v>
      </c>
    </row>
    <row r="8">
      <c r="A8" s="262" t="s">
        <v>1851</v>
      </c>
      <c r="B8" s="425"/>
      <c r="C8" s="401"/>
      <c r="D8" s="182"/>
      <c r="E8" s="550"/>
      <c r="F8" s="549">
        <v>120.0</v>
      </c>
      <c r="G8" s="550" t="s">
        <v>1852</v>
      </c>
      <c r="H8" s="556">
        <v>-100.0</v>
      </c>
      <c r="I8" s="552"/>
      <c r="J8" s="2" t="s">
        <v>1853</v>
      </c>
    </row>
    <row r="9">
      <c r="A9" s="265"/>
      <c r="B9" s="419"/>
      <c r="C9" s="414"/>
      <c r="D9" s="366"/>
      <c r="E9" s="553"/>
      <c r="F9" s="554"/>
      <c r="G9" s="550"/>
      <c r="H9" s="556">
        <v>-110.0</v>
      </c>
      <c r="I9" s="552"/>
      <c r="J9" s="2" t="s">
        <v>582</v>
      </c>
    </row>
    <row r="10">
      <c r="A10" s="265"/>
      <c r="B10" s="339"/>
      <c r="C10" s="414"/>
      <c r="D10" s="366"/>
      <c r="E10" s="550"/>
      <c r="F10" s="554"/>
      <c r="G10" s="555"/>
      <c r="H10" s="556">
        <v>-100.0</v>
      </c>
      <c r="I10" s="552"/>
      <c r="J10" s="2" t="s">
        <v>1854</v>
      </c>
    </row>
    <row r="11">
      <c r="A11" s="265"/>
      <c r="B11" s="404"/>
      <c r="C11" s="399"/>
      <c r="D11" s="182"/>
      <c r="E11" s="557"/>
      <c r="F11" s="554"/>
      <c r="G11" s="550"/>
      <c r="H11" s="556">
        <v>-100.0</v>
      </c>
      <c r="I11" s="552"/>
      <c r="J11" s="2" t="s">
        <v>1855</v>
      </c>
    </row>
    <row r="12">
      <c r="A12" s="265"/>
      <c r="B12" s="419"/>
      <c r="C12" s="414"/>
      <c r="D12" s="366"/>
      <c r="E12" s="553"/>
      <c r="F12" s="558"/>
      <c r="G12" s="550"/>
      <c r="H12" s="556">
        <v>-281.4</v>
      </c>
      <c r="I12" s="552"/>
      <c r="J12" s="2" t="s">
        <v>1856</v>
      </c>
    </row>
    <row r="13">
      <c r="A13" s="265"/>
      <c r="B13" s="404"/>
      <c r="C13" s="399"/>
      <c r="D13" s="182"/>
      <c r="E13" s="557"/>
      <c r="F13" s="558"/>
      <c r="G13" s="555"/>
      <c r="H13" s="556">
        <v>-150.0</v>
      </c>
      <c r="I13" s="552"/>
      <c r="J13" s="2" t="s">
        <v>1857</v>
      </c>
    </row>
    <row r="14">
      <c r="A14" s="270"/>
      <c r="B14" s="404"/>
      <c r="C14" s="400"/>
      <c r="D14" s="182"/>
      <c r="E14" s="557"/>
      <c r="F14" s="554"/>
      <c r="G14" s="562"/>
      <c r="H14" s="599">
        <v>-76.0</v>
      </c>
      <c r="I14" s="564"/>
      <c r="J14" s="2" t="s">
        <v>1858</v>
      </c>
    </row>
    <row r="15">
      <c r="A15" s="262" t="s">
        <v>1393</v>
      </c>
      <c r="B15" s="600">
        <v>38050.0</v>
      </c>
      <c r="C15" s="421"/>
      <c r="D15" s="566"/>
      <c r="E15" s="567" t="s">
        <v>1859</v>
      </c>
      <c r="F15" s="549">
        <f>240+100</f>
        <v>340</v>
      </c>
      <c r="G15" s="555"/>
      <c r="H15" s="551"/>
      <c r="I15" s="569">
        <v>-240.0</v>
      </c>
      <c r="J15" s="2" t="s">
        <v>1860</v>
      </c>
    </row>
    <row r="16">
      <c r="A16" s="265"/>
      <c r="B16" s="440">
        <v>30400.0</v>
      </c>
      <c r="C16" s="414"/>
      <c r="D16" s="182"/>
      <c r="E16" s="557" t="s">
        <v>1861</v>
      </c>
      <c r="F16" s="554"/>
      <c r="G16" s="553"/>
      <c r="H16" s="556">
        <v>-30.0</v>
      </c>
      <c r="I16" s="552"/>
      <c r="J16" s="2" t="s">
        <v>1858</v>
      </c>
    </row>
    <row r="17">
      <c r="A17" s="265"/>
      <c r="B17" s="404">
        <v>21200.0</v>
      </c>
      <c r="C17" s="476"/>
      <c r="D17" s="182"/>
      <c r="E17" s="557" t="s">
        <v>549</v>
      </c>
      <c r="F17" s="568"/>
      <c r="G17" s="555"/>
      <c r="H17" s="556">
        <v>-128.8</v>
      </c>
      <c r="I17" s="552"/>
      <c r="J17" s="2" t="s">
        <v>1862</v>
      </c>
    </row>
    <row r="18">
      <c r="A18" s="265"/>
      <c r="B18" s="404"/>
      <c r="C18" s="399"/>
      <c r="D18" s="182"/>
      <c r="E18" s="557"/>
      <c r="F18" s="558"/>
      <c r="G18" s="555"/>
      <c r="H18" s="556">
        <v>-64.0</v>
      </c>
      <c r="I18" s="552"/>
      <c r="J18" s="2" t="s">
        <v>1863</v>
      </c>
    </row>
    <row r="19">
      <c r="A19" s="265"/>
      <c r="B19" s="404"/>
      <c r="C19" s="399"/>
      <c r="D19" s="182"/>
      <c r="E19" s="557"/>
      <c r="F19" s="558"/>
      <c r="G19" s="555"/>
      <c r="H19" s="556">
        <v>-24.0</v>
      </c>
      <c r="I19" s="552"/>
      <c r="J19" s="2" t="s">
        <v>1864</v>
      </c>
    </row>
    <row r="20">
      <c r="A20" s="270"/>
      <c r="B20" s="404"/>
      <c r="C20" s="399"/>
      <c r="D20" s="182"/>
      <c r="E20" s="557"/>
      <c r="F20" s="558"/>
      <c r="G20" s="562"/>
      <c r="H20" s="563"/>
      <c r="I20" s="601">
        <v>-200.0</v>
      </c>
      <c r="J20" s="2" t="s">
        <v>1865</v>
      </c>
    </row>
    <row r="21">
      <c r="A21" s="262" t="s">
        <v>1395</v>
      </c>
      <c r="B21" s="425"/>
      <c r="C21" s="401"/>
      <c r="D21" s="566"/>
      <c r="E21" s="567"/>
      <c r="F21" s="549">
        <f>200+100</f>
        <v>300</v>
      </c>
      <c r="G21" s="555"/>
      <c r="H21" s="556"/>
      <c r="I21" s="569"/>
    </row>
    <row r="22">
      <c r="A22" s="265"/>
      <c r="B22" s="404"/>
      <c r="C22" s="399"/>
      <c r="D22" s="182"/>
      <c r="E22" s="557"/>
      <c r="F22" s="558"/>
      <c r="G22" s="555"/>
      <c r="H22" s="551"/>
      <c r="I22" s="552"/>
    </row>
    <row r="23">
      <c r="A23" s="265"/>
      <c r="B23" s="457"/>
      <c r="C23" s="399"/>
      <c r="D23" s="182"/>
      <c r="E23" s="557"/>
      <c r="F23" s="558"/>
      <c r="G23" s="555"/>
      <c r="H23" s="551"/>
      <c r="I23" s="552"/>
    </row>
    <row r="24">
      <c r="A24" s="265"/>
      <c r="B24" s="468"/>
      <c r="C24" s="399"/>
      <c r="D24" s="570"/>
      <c r="E24" s="557"/>
      <c r="F24" s="558"/>
      <c r="G24" s="555"/>
      <c r="H24" s="551"/>
      <c r="I24" s="552"/>
    </row>
    <row r="25">
      <c r="A25" s="265"/>
      <c r="B25" s="468"/>
      <c r="C25" s="399"/>
      <c r="D25" s="182"/>
      <c r="E25" s="557"/>
      <c r="F25" s="554"/>
      <c r="G25" s="555"/>
      <c r="H25" s="551"/>
      <c r="I25" s="552"/>
    </row>
    <row r="26">
      <c r="A26" s="270"/>
      <c r="B26" s="404"/>
      <c r="C26" s="399"/>
      <c r="D26" s="182"/>
      <c r="E26" s="557"/>
      <c r="F26" s="558"/>
      <c r="G26" s="562"/>
      <c r="H26" s="563"/>
      <c r="I26" s="564"/>
    </row>
    <row r="27">
      <c r="A27" s="262" t="s">
        <v>1399</v>
      </c>
      <c r="B27" s="425">
        <v>16000.0</v>
      </c>
      <c r="C27" s="421"/>
      <c r="D27" s="182"/>
      <c r="E27" s="567" t="s">
        <v>1866</v>
      </c>
      <c r="F27" s="571">
        <f>240+150</f>
        <v>390</v>
      </c>
      <c r="G27" s="555"/>
      <c r="H27" s="551"/>
      <c r="I27" s="552"/>
    </row>
    <row r="28">
      <c r="A28" s="265"/>
      <c r="B28" s="404"/>
      <c r="C28" s="399"/>
      <c r="D28" s="182"/>
      <c r="E28" s="557"/>
      <c r="F28" s="572"/>
      <c r="G28" s="555"/>
      <c r="H28" s="551"/>
      <c r="I28" s="552"/>
    </row>
    <row r="29">
      <c r="A29" s="265"/>
      <c r="B29" s="404"/>
      <c r="C29" s="400"/>
      <c r="D29" s="182"/>
      <c r="E29" s="557"/>
      <c r="F29" s="572"/>
      <c r="G29" s="573"/>
      <c r="H29" s="551"/>
      <c r="I29" s="552"/>
    </row>
    <row r="30">
      <c r="A30" s="265"/>
      <c r="B30" s="404"/>
      <c r="C30" s="400"/>
      <c r="D30" s="182"/>
      <c r="E30" s="557"/>
      <c r="F30" s="572"/>
      <c r="G30" s="555"/>
      <c r="H30" s="551"/>
      <c r="I30" s="552"/>
    </row>
    <row r="31">
      <c r="A31" s="265"/>
      <c r="B31" s="404"/>
      <c r="C31" s="400"/>
      <c r="D31" s="182"/>
      <c r="E31" s="557"/>
      <c r="F31" s="558"/>
      <c r="G31" s="573"/>
      <c r="H31" s="551"/>
      <c r="I31" s="552"/>
    </row>
    <row r="32">
      <c r="A32" s="270"/>
      <c r="B32" s="440"/>
      <c r="C32" s="400"/>
      <c r="D32" s="574"/>
      <c r="E32" s="557"/>
      <c r="F32" s="558"/>
      <c r="G32" s="575"/>
      <c r="H32" s="563"/>
      <c r="I32" s="564"/>
    </row>
    <row r="33">
      <c r="A33" s="262" t="s">
        <v>1867</v>
      </c>
      <c r="B33" s="425"/>
      <c r="C33" s="401"/>
      <c r="D33" s="566"/>
      <c r="E33" s="567"/>
      <c r="F33" s="549">
        <v>230.0</v>
      </c>
      <c r="G33" s="550" t="s">
        <v>1470</v>
      </c>
      <c r="H33" s="581">
        <f>SUM(H2:H32)</f>
        <v>-442.2</v>
      </c>
      <c r="I33" s="602">
        <f>SUM(I15:I32)</f>
        <v>-440</v>
      </c>
      <c r="J33" s="603" t="s">
        <v>1377</v>
      </c>
    </row>
    <row r="34">
      <c r="A34" s="265"/>
      <c r="B34" s="477"/>
      <c r="C34" s="400"/>
      <c r="D34" s="182"/>
      <c r="E34" s="576"/>
      <c r="F34" s="558"/>
      <c r="G34" s="550" t="s">
        <v>1868</v>
      </c>
      <c r="H34" s="551"/>
      <c r="I34" s="552"/>
      <c r="J34" s="2" t="s">
        <v>1869</v>
      </c>
    </row>
    <row r="35">
      <c r="A35" s="265"/>
      <c r="B35" s="477"/>
      <c r="C35" s="400"/>
      <c r="D35" s="182"/>
      <c r="E35" s="576"/>
      <c r="F35" s="558"/>
      <c r="G35" s="555"/>
      <c r="H35" s="556">
        <v>-100.0</v>
      </c>
      <c r="I35" s="552"/>
      <c r="J35" s="2" t="s">
        <v>1870</v>
      </c>
    </row>
    <row r="36">
      <c r="A36" s="265"/>
      <c r="B36" s="477"/>
      <c r="C36" s="400"/>
      <c r="D36" s="182"/>
      <c r="E36" s="576"/>
      <c r="F36" s="554">
        <v>150.0</v>
      </c>
      <c r="G36" s="550" t="s">
        <v>1473</v>
      </c>
      <c r="H36" s="556">
        <v>-81.4</v>
      </c>
      <c r="I36" s="552"/>
      <c r="J36" s="2" t="s">
        <v>1871</v>
      </c>
    </row>
    <row r="37">
      <c r="A37" s="265"/>
      <c r="B37" s="477"/>
      <c r="C37" s="400"/>
      <c r="D37" s="182"/>
      <c r="E37" s="576"/>
      <c r="F37" s="558"/>
      <c r="G37" s="555"/>
      <c r="H37" s="551"/>
      <c r="I37" s="569">
        <v>-60.0</v>
      </c>
      <c r="J37" s="2" t="s">
        <v>1872</v>
      </c>
    </row>
    <row r="38">
      <c r="A38" s="270"/>
      <c r="B38" s="478"/>
      <c r="C38" s="472"/>
      <c r="D38" s="577"/>
      <c r="E38" s="578"/>
      <c r="F38" s="561"/>
      <c r="G38" s="562"/>
      <c r="H38" s="563"/>
      <c r="I38" s="601">
        <v>-26.0</v>
      </c>
      <c r="J38" s="2" t="s">
        <v>1873</v>
      </c>
    </row>
    <row r="39">
      <c r="A39" s="262" t="s">
        <v>1414</v>
      </c>
      <c r="B39" s="425"/>
      <c r="C39" s="401"/>
      <c r="D39" s="566"/>
      <c r="E39" s="550"/>
      <c r="F39" s="549">
        <f>250+160</f>
        <v>410</v>
      </c>
      <c r="G39" s="550"/>
      <c r="H39" s="551">
        <f>680</f>
        <v>680</v>
      </c>
      <c r="I39" s="552"/>
      <c r="J39" s="2" t="s">
        <v>1874</v>
      </c>
    </row>
    <row r="40">
      <c r="A40" s="265"/>
      <c r="B40" s="404"/>
      <c r="C40" s="399"/>
      <c r="D40" s="182"/>
      <c r="E40" s="550"/>
      <c r="F40" s="558"/>
      <c r="G40" s="550"/>
      <c r="H40" s="556">
        <v>-26.0</v>
      </c>
      <c r="I40" s="552"/>
      <c r="J40" s="2" t="s">
        <v>1875</v>
      </c>
    </row>
    <row r="41">
      <c r="A41" s="265"/>
      <c r="B41" s="440"/>
      <c r="C41" s="400"/>
      <c r="D41" s="182"/>
      <c r="E41" s="557"/>
      <c r="F41" s="558"/>
      <c r="G41" s="555"/>
      <c r="H41" s="556">
        <v>-200.0</v>
      </c>
      <c r="I41" s="552"/>
      <c r="J41" s="2" t="s">
        <v>1876</v>
      </c>
    </row>
    <row r="42">
      <c r="A42" s="265"/>
      <c r="B42" s="440"/>
      <c r="C42" s="400"/>
      <c r="D42" s="182"/>
      <c r="E42" s="576"/>
      <c r="F42" s="558"/>
      <c r="G42" s="555"/>
      <c r="H42" s="556">
        <v>-70.0</v>
      </c>
      <c r="I42" s="552"/>
      <c r="J42" s="2" t="s">
        <v>1877</v>
      </c>
    </row>
    <row r="43">
      <c r="A43" s="265"/>
      <c r="B43" s="480"/>
      <c r="C43" s="400"/>
      <c r="D43" s="182"/>
      <c r="E43" s="576"/>
      <c r="F43" s="558"/>
      <c r="G43" s="555"/>
      <c r="H43" s="556">
        <v>-100.0</v>
      </c>
      <c r="I43" s="552"/>
      <c r="J43" s="2" t="s">
        <v>1878</v>
      </c>
    </row>
    <row r="44">
      <c r="A44" s="270"/>
      <c r="B44" s="478"/>
      <c r="C44" s="472"/>
      <c r="D44" s="577"/>
      <c r="E44" s="578"/>
      <c r="F44" s="561"/>
      <c r="G44" s="562"/>
      <c r="H44" s="563"/>
      <c r="I44" s="564"/>
    </row>
    <row r="45">
      <c r="A45" s="262" t="s">
        <v>1879</v>
      </c>
      <c r="B45" s="425">
        <v>3200.0</v>
      </c>
      <c r="C45" s="421"/>
      <c r="D45" s="566"/>
      <c r="E45" s="567" t="s">
        <v>1880</v>
      </c>
      <c r="F45" s="549">
        <f>180+70</f>
        <v>250</v>
      </c>
      <c r="G45" s="550"/>
      <c r="H45" s="551"/>
      <c r="I45" s="552"/>
    </row>
    <row r="46">
      <c r="A46" s="265"/>
      <c r="B46" s="404"/>
      <c r="C46" s="399"/>
      <c r="D46" s="182"/>
      <c r="E46" s="557"/>
      <c r="F46" s="558"/>
      <c r="G46" s="550"/>
      <c r="H46" s="551"/>
      <c r="I46" s="552"/>
    </row>
    <row r="47">
      <c r="A47" s="265"/>
      <c r="B47" s="440"/>
      <c r="C47" s="400"/>
      <c r="D47" s="182"/>
      <c r="E47" s="557"/>
      <c r="F47" s="558"/>
      <c r="G47" s="555"/>
      <c r="H47" s="551"/>
      <c r="I47" s="552"/>
    </row>
    <row r="48">
      <c r="A48" s="265"/>
      <c r="B48" s="440"/>
      <c r="C48" s="400"/>
      <c r="D48" s="574"/>
      <c r="E48" s="576"/>
      <c r="F48" s="554"/>
      <c r="G48" s="550"/>
      <c r="H48" s="551"/>
      <c r="I48" s="552"/>
    </row>
    <row r="49">
      <c r="A49" s="265"/>
      <c r="B49" s="480"/>
      <c r="C49" s="400"/>
      <c r="D49" s="182"/>
      <c r="E49" s="576"/>
      <c r="F49" s="558"/>
      <c r="G49" s="555"/>
      <c r="H49" s="551"/>
      <c r="I49" s="552"/>
    </row>
    <row r="50">
      <c r="A50" s="270"/>
      <c r="B50" s="478"/>
      <c r="C50" s="472"/>
      <c r="D50" s="559"/>
      <c r="E50" s="560"/>
      <c r="F50" s="561"/>
      <c r="G50" s="562"/>
      <c r="H50" s="563"/>
      <c r="I50" s="564"/>
    </row>
    <row r="51">
      <c r="A51" s="262" t="s">
        <v>1418</v>
      </c>
      <c r="B51" s="425">
        <v>33400.0</v>
      </c>
      <c r="C51" s="421"/>
      <c r="D51" s="566"/>
      <c r="E51" s="567" t="s">
        <v>1881</v>
      </c>
      <c r="F51" s="549">
        <f>200+200</f>
        <v>400</v>
      </c>
      <c r="G51" s="550" t="s">
        <v>1882</v>
      </c>
      <c r="H51" s="551"/>
      <c r="I51" s="552"/>
    </row>
    <row r="52">
      <c r="A52" s="265"/>
      <c r="B52" s="404"/>
      <c r="C52" s="399"/>
      <c r="D52" s="182"/>
      <c r="E52" s="557"/>
      <c r="F52" s="558"/>
      <c r="G52" s="555"/>
      <c r="H52" s="551"/>
      <c r="I52" s="552"/>
    </row>
    <row r="53">
      <c r="A53" s="265"/>
      <c r="B53" s="404"/>
      <c r="C53" s="399"/>
      <c r="D53" s="182"/>
      <c r="E53" s="557"/>
      <c r="F53" s="558"/>
      <c r="G53" s="555"/>
      <c r="H53" s="551"/>
      <c r="I53" s="552"/>
    </row>
    <row r="54">
      <c r="A54" s="265"/>
      <c r="B54" s="404"/>
      <c r="C54" s="399"/>
      <c r="D54" s="182"/>
      <c r="E54" s="557"/>
      <c r="F54" s="558"/>
      <c r="G54" s="555"/>
      <c r="H54" s="551"/>
      <c r="I54" s="552"/>
    </row>
    <row r="55">
      <c r="A55" s="265"/>
      <c r="B55" s="440"/>
      <c r="C55" s="399"/>
      <c r="D55" s="182"/>
      <c r="E55" s="557"/>
      <c r="F55" s="558"/>
      <c r="G55" s="555"/>
      <c r="H55" s="551"/>
      <c r="I55" s="552"/>
    </row>
    <row r="56">
      <c r="A56" s="270"/>
      <c r="B56" s="470"/>
      <c r="C56" s="486"/>
      <c r="D56" s="559"/>
      <c r="E56" s="560"/>
      <c r="F56" s="561"/>
      <c r="G56" s="562"/>
      <c r="H56" s="563"/>
      <c r="I56" s="564"/>
    </row>
    <row r="57">
      <c r="A57" s="262" t="s">
        <v>1420</v>
      </c>
      <c r="B57" s="425"/>
      <c r="C57" s="421"/>
      <c r="D57" s="566"/>
      <c r="E57" s="567"/>
      <c r="F57" s="549">
        <f>200+240-270</f>
        <v>170</v>
      </c>
      <c r="G57" s="550" t="s">
        <v>1883</v>
      </c>
      <c r="H57" s="551"/>
      <c r="I57" s="552"/>
    </row>
    <row r="58">
      <c r="A58" s="265"/>
      <c r="B58" s="404"/>
      <c r="C58" s="400"/>
      <c r="D58" s="182"/>
      <c r="E58" s="557"/>
      <c r="F58" s="558"/>
      <c r="G58" s="555"/>
      <c r="H58" s="551"/>
      <c r="I58" s="552"/>
    </row>
    <row r="59">
      <c r="A59" s="265"/>
      <c r="B59" s="404"/>
      <c r="C59" s="400"/>
      <c r="D59" s="182"/>
      <c r="E59" s="557"/>
      <c r="F59" s="558"/>
      <c r="G59" s="555"/>
      <c r="H59" s="551"/>
      <c r="I59" s="552"/>
    </row>
    <row r="60">
      <c r="A60" s="265"/>
      <c r="B60" s="477"/>
      <c r="C60" s="400"/>
      <c r="D60" s="182"/>
      <c r="E60" s="576"/>
      <c r="F60" s="558"/>
      <c r="G60" s="555"/>
      <c r="H60" s="551"/>
      <c r="I60" s="552"/>
    </row>
    <row r="61">
      <c r="A61" s="265"/>
      <c r="B61" s="477"/>
      <c r="C61" s="400"/>
      <c r="D61" s="182"/>
      <c r="E61" s="576"/>
      <c r="F61" s="558"/>
      <c r="G61" s="555"/>
      <c r="H61" s="551"/>
      <c r="I61" s="552"/>
    </row>
    <row r="62">
      <c r="A62" s="270"/>
      <c r="B62" s="478"/>
      <c r="C62" s="472"/>
      <c r="D62" s="559"/>
      <c r="E62" s="560"/>
      <c r="F62" s="561"/>
      <c r="G62" s="562"/>
      <c r="H62" s="563"/>
      <c r="I62" s="564"/>
    </row>
    <row r="63">
      <c r="A63" s="262" t="s">
        <v>1421</v>
      </c>
      <c r="B63" s="419"/>
      <c r="C63" s="414"/>
      <c r="D63" s="22"/>
      <c r="E63" s="550"/>
      <c r="F63" s="554">
        <v>150.0</v>
      </c>
      <c r="G63" s="550" t="s">
        <v>1884</v>
      </c>
      <c r="H63" s="551"/>
      <c r="I63" s="552"/>
    </row>
    <row r="64">
      <c r="A64" s="265"/>
      <c r="B64" s="404"/>
      <c r="C64" s="399"/>
      <c r="D64" s="182"/>
      <c r="E64" s="557"/>
      <c r="F64" s="558"/>
      <c r="G64" s="555"/>
      <c r="H64" s="551"/>
      <c r="I64" s="552"/>
    </row>
    <row r="65">
      <c r="A65" s="265"/>
      <c r="B65" s="404"/>
      <c r="C65" s="399"/>
      <c r="D65" s="182"/>
      <c r="E65" s="557"/>
      <c r="F65" s="558"/>
      <c r="G65" s="555"/>
      <c r="H65" s="551"/>
      <c r="I65" s="552"/>
    </row>
    <row r="66">
      <c r="A66" s="265"/>
      <c r="B66" s="404"/>
      <c r="C66" s="399"/>
      <c r="D66" s="182"/>
      <c r="E66" s="557"/>
      <c r="F66" s="558"/>
      <c r="G66" s="555"/>
      <c r="H66" s="551"/>
      <c r="I66" s="552"/>
    </row>
    <row r="67">
      <c r="A67" s="265"/>
      <c r="B67" s="404"/>
      <c r="C67" s="400"/>
      <c r="D67" s="182"/>
      <c r="E67" s="557"/>
      <c r="F67" s="558"/>
      <c r="G67" s="555"/>
      <c r="H67" s="551"/>
      <c r="I67" s="552"/>
    </row>
    <row r="68">
      <c r="A68" s="270"/>
      <c r="B68" s="404"/>
      <c r="C68" s="399"/>
      <c r="D68" s="182"/>
      <c r="E68" s="557"/>
      <c r="F68" s="561"/>
      <c r="G68" s="562"/>
      <c r="H68" s="563"/>
      <c r="I68" s="564"/>
    </row>
    <row r="69">
      <c r="A69" s="262" t="s">
        <v>1885</v>
      </c>
      <c r="B69" s="425"/>
      <c r="C69" s="401"/>
      <c r="D69" s="566"/>
      <c r="E69" s="567"/>
      <c r="F69" s="549">
        <v>340.0</v>
      </c>
      <c r="G69" s="550" t="s">
        <v>1352</v>
      </c>
      <c r="H69" s="604">
        <f>SUM(H35:H68)</f>
        <v>102.6</v>
      </c>
      <c r="I69" s="605">
        <f>SUM(I37:I68)</f>
        <v>-86</v>
      </c>
      <c r="J69" s="340" t="s">
        <v>1377</v>
      </c>
    </row>
    <row r="70">
      <c r="A70" s="265"/>
      <c r="B70" s="477"/>
      <c r="C70" s="400"/>
      <c r="D70" s="182"/>
      <c r="E70" s="576"/>
      <c r="F70" s="558"/>
      <c r="G70" s="550" t="s">
        <v>1886</v>
      </c>
      <c r="H70" s="551"/>
      <c r="I70" s="552"/>
    </row>
    <row r="71">
      <c r="A71" s="265"/>
      <c r="B71" s="404"/>
      <c r="C71" s="400"/>
      <c r="D71" s="182"/>
      <c r="E71" s="576"/>
      <c r="F71" s="558"/>
      <c r="G71" s="555"/>
      <c r="H71" s="551"/>
      <c r="I71" s="552"/>
    </row>
    <row r="72">
      <c r="A72" s="265"/>
      <c r="B72" s="480"/>
      <c r="C72" s="400"/>
      <c r="D72" s="182"/>
      <c r="E72" s="576"/>
      <c r="F72" s="554">
        <v>260.0</v>
      </c>
      <c r="G72" s="550" t="s">
        <v>1342</v>
      </c>
      <c r="H72" s="551"/>
      <c r="I72" s="552"/>
    </row>
    <row r="73">
      <c r="A73" s="265"/>
      <c r="B73" s="480"/>
      <c r="C73" s="400"/>
      <c r="D73" s="574"/>
      <c r="E73" s="576"/>
      <c r="F73" s="558"/>
      <c r="G73" s="555"/>
      <c r="H73" s="551"/>
      <c r="I73" s="552"/>
    </row>
    <row r="74">
      <c r="A74" s="270"/>
      <c r="B74" s="478"/>
      <c r="C74" s="472"/>
      <c r="D74" s="577"/>
      <c r="E74" s="578"/>
      <c r="F74" s="561"/>
      <c r="G74" s="562"/>
      <c r="H74" s="563"/>
      <c r="I74" s="564"/>
    </row>
    <row r="75">
      <c r="A75" s="262" t="s">
        <v>1429</v>
      </c>
      <c r="B75" s="425"/>
      <c r="C75" s="401"/>
      <c r="D75" s="566"/>
      <c r="E75" s="567"/>
      <c r="F75" s="549">
        <v>300.0</v>
      </c>
      <c r="G75" s="555"/>
      <c r="H75" s="551"/>
      <c r="I75" s="552"/>
    </row>
    <row r="76">
      <c r="A76" s="265"/>
      <c r="B76" s="404"/>
      <c r="C76" s="400"/>
      <c r="D76" s="182"/>
      <c r="E76" s="557"/>
      <c r="F76" s="558"/>
      <c r="G76" s="555"/>
      <c r="H76" s="551"/>
      <c r="I76" s="552"/>
    </row>
    <row r="77">
      <c r="A77" s="265"/>
      <c r="B77" s="404"/>
      <c r="C77" s="399"/>
      <c r="D77" s="182"/>
      <c r="E77" s="557"/>
      <c r="F77" s="558"/>
      <c r="G77" s="555"/>
      <c r="H77" s="551"/>
      <c r="I77" s="552"/>
    </row>
    <row r="78">
      <c r="A78" s="265"/>
      <c r="B78" s="440"/>
      <c r="C78" s="399"/>
      <c r="D78" s="182"/>
      <c r="E78" s="557"/>
      <c r="F78" s="558"/>
      <c r="G78" s="550"/>
      <c r="H78" s="551"/>
      <c r="I78" s="552"/>
    </row>
    <row r="79">
      <c r="A79" s="265"/>
      <c r="B79" s="440"/>
      <c r="C79" s="400"/>
      <c r="D79" s="574"/>
      <c r="E79" s="557"/>
      <c r="F79" s="558"/>
      <c r="G79" s="555"/>
      <c r="H79" s="551"/>
      <c r="I79" s="552"/>
    </row>
    <row r="80">
      <c r="A80" s="270"/>
      <c r="B80" s="478"/>
      <c r="C80" s="472"/>
      <c r="D80" s="577"/>
      <c r="E80" s="578"/>
      <c r="F80" s="561"/>
      <c r="G80" s="562"/>
      <c r="H80" s="563"/>
      <c r="I80" s="564"/>
    </row>
    <row r="81">
      <c r="A81" s="262" t="s">
        <v>1442</v>
      </c>
      <c r="B81" s="461"/>
      <c r="C81" s="421"/>
      <c r="D81" s="566"/>
      <c r="E81" s="567"/>
      <c r="F81" s="549">
        <f>280</f>
        <v>280</v>
      </c>
      <c r="G81" s="550"/>
      <c r="H81" s="556"/>
      <c r="I81" s="569"/>
    </row>
    <row r="82">
      <c r="A82" s="265"/>
      <c r="B82" s="404"/>
      <c r="C82" s="400"/>
      <c r="D82" s="182"/>
      <c r="E82" s="557"/>
      <c r="F82" s="558"/>
      <c r="G82" s="555"/>
      <c r="H82" s="551"/>
      <c r="I82" s="552"/>
    </row>
    <row r="83">
      <c r="A83" s="265"/>
      <c r="B83" s="440"/>
      <c r="C83" s="400"/>
      <c r="D83" s="182"/>
      <c r="E83" s="557"/>
      <c r="F83" s="558"/>
      <c r="G83" s="555"/>
      <c r="H83" s="551"/>
      <c r="I83" s="552"/>
    </row>
    <row r="84">
      <c r="A84" s="265"/>
      <c r="B84" s="480"/>
      <c r="C84" s="400"/>
      <c r="D84" s="574"/>
      <c r="E84" s="576"/>
      <c r="F84" s="558"/>
      <c r="G84" s="555"/>
      <c r="H84" s="551"/>
      <c r="I84" s="552"/>
    </row>
    <row r="85">
      <c r="A85" s="265"/>
      <c r="B85" s="480"/>
      <c r="C85" s="400"/>
      <c r="D85" s="574"/>
      <c r="E85" s="576"/>
      <c r="F85" s="558"/>
      <c r="G85" s="555"/>
      <c r="H85" s="551"/>
      <c r="I85" s="552"/>
    </row>
    <row r="86">
      <c r="A86" s="270"/>
      <c r="B86" s="478"/>
      <c r="C86" s="472"/>
      <c r="D86" s="577"/>
      <c r="E86" s="578"/>
      <c r="F86" s="561"/>
      <c r="G86" s="562"/>
      <c r="H86" s="563"/>
      <c r="I86" s="564"/>
    </row>
    <row r="87">
      <c r="A87" s="262" t="s">
        <v>1446</v>
      </c>
      <c r="B87" s="425">
        <v>48800.0</v>
      </c>
      <c r="C87" s="421"/>
      <c r="D87" s="566"/>
      <c r="E87" s="557" t="s">
        <v>352</v>
      </c>
      <c r="F87" s="549">
        <f>150+160</f>
        <v>310</v>
      </c>
      <c r="G87" s="555"/>
      <c r="H87" s="556"/>
      <c r="I87" s="552"/>
    </row>
    <row r="88">
      <c r="A88" s="265"/>
      <c r="B88" s="404">
        <v>81600.0</v>
      </c>
      <c r="C88" s="400"/>
      <c r="D88" s="182"/>
      <c r="E88" s="557" t="s">
        <v>1764</v>
      </c>
      <c r="F88" s="558"/>
      <c r="G88" s="555"/>
      <c r="H88" s="551"/>
      <c r="I88" s="552"/>
    </row>
    <row r="89">
      <c r="A89" s="265"/>
      <c r="B89" s="480"/>
      <c r="C89" s="400"/>
      <c r="D89" s="182"/>
      <c r="E89" s="557"/>
      <c r="F89" s="558"/>
      <c r="G89" s="555"/>
      <c r="H89" s="551"/>
      <c r="I89" s="552"/>
    </row>
    <row r="90">
      <c r="A90" s="265"/>
      <c r="B90" s="480"/>
      <c r="C90" s="400"/>
      <c r="D90" s="182"/>
      <c r="E90" s="576"/>
      <c r="F90" s="558"/>
      <c r="G90" s="555"/>
      <c r="H90" s="551"/>
      <c r="I90" s="552"/>
    </row>
    <row r="91">
      <c r="A91" s="265"/>
      <c r="B91" s="480"/>
      <c r="C91" s="400"/>
      <c r="D91" s="182"/>
      <c r="E91" s="576"/>
      <c r="F91" s="558"/>
      <c r="G91" s="555"/>
      <c r="H91" s="551"/>
      <c r="I91" s="552"/>
    </row>
    <row r="92">
      <c r="A92" s="270"/>
      <c r="B92" s="478"/>
      <c r="C92" s="472"/>
      <c r="D92" s="577"/>
      <c r="E92" s="578"/>
      <c r="F92" s="561"/>
      <c r="G92" s="562"/>
      <c r="H92" s="563"/>
      <c r="I92" s="564"/>
    </row>
    <row r="93">
      <c r="A93" s="262" t="s">
        <v>1451</v>
      </c>
      <c r="B93" s="425">
        <v>39500.0</v>
      </c>
      <c r="C93" s="421"/>
      <c r="D93" s="566"/>
      <c r="E93" s="567" t="s">
        <v>1887</v>
      </c>
      <c r="F93" s="549">
        <f>140+390</f>
        <v>530</v>
      </c>
      <c r="G93" s="550"/>
      <c r="H93" s="551"/>
      <c r="I93" s="552"/>
    </row>
    <row r="94">
      <c r="A94" s="265"/>
      <c r="B94" s="404"/>
      <c r="C94" s="399"/>
      <c r="D94" s="182"/>
      <c r="E94" s="557"/>
      <c r="F94" s="554"/>
      <c r="G94" s="550"/>
      <c r="H94" s="551"/>
      <c r="I94" s="552"/>
    </row>
    <row r="95">
      <c r="A95" s="265"/>
      <c r="B95" s="477"/>
      <c r="C95" s="399"/>
      <c r="D95" s="182"/>
      <c r="E95" s="557"/>
      <c r="F95" s="558"/>
      <c r="G95" s="555"/>
      <c r="H95" s="551"/>
      <c r="I95" s="552"/>
    </row>
    <row r="96">
      <c r="A96" s="265"/>
      <c r="B96" s="477"/>
      <c r="C96" s="400"/>
      <c r="D96" s="182"/>
      <c r="E96" s="557"/>
      <c r="F96" s="558"/>
      <c r="G96" s="555"/>
      <c r="H96" s="551"/>
      <c r="I96" s="552"/>
    </row>
    <row r="97">
      <c r="A97" s="265"/>
      <c r="B97" s="477"/>
      <c r="C97" s="400"/>
      <c r="D97" s="182"/>
      <c r="E97" s="557"/>
      <c r="F97" s="558"/>
      <c r="G97" s="555"/>
      <c r="H97" s="551"/>
      <c r="I97" s="552"/>
    </row>
    <row r="98">
      <c r="A98" s="270"/>
      <c r="B98" s="478"/>
      <c r="C98" s="472"/>
      <c r="D98" s="559"/>
      <c r="E98" s="560"/>
      <c r="F98" s="561"/>
      <c r="G98" s="562"/>
      <c r="H98" s="563"/>
      <c r="I98" s="564"/>
    </row>
    <row r="99">
      <c r="A99" s="262" t="s">
        <v>1453</v>
      </c>
      <c r="B99" s="425"/>
      <c r="C99" s="399"/>
      <c r="D99" s="182"/>
      <c r="E99" s="557"/>
      <c r="F99" s="549">
        <v>70.0</v>
      </c>
      <c r="G99" s="555"/>
      <c r="H99" s="551"/>
      <c r="I99" s="552"/>
    </row>
    <row r="100">
      <c r="A100" s="265"/>
      <c r="B100" s="404"/>
      <c r="C100" s="399"/>
      <c r="D100" s="182"/>
      <c r="E100" s="557"/>
      <c r="F100" s="554" t="s">
        <v>46</v>
      </c>
      <c r="G100" s="550" t="s">
        <v>1888</v>
      </c>
      <c r="H100" s="551"/>
      <c r="I100" s="552"/>
    </row>
    <row r="101">
      <c r="A101" s="265"/>
      <c r="B101" s="404"/>
      <c r="C101" s="489"/>
      <c r="D101" s="579"/>
      <c r="E101" s="580"/>
      <c r="F101" s="558"/>
      <c r="G101" s="555"/>
      <c r="H101" s="551"/>
      <c r="I101" s="552"/>
    </row>
    <row r="102">
      <c r="A102" s="265"/>
      <c r="B102" s="404"/>
      <c r="C102" s="400"/>
      <c r="D102" s="182"/>
      <c r="E102" s="557"/>
      <c r="F102" s="558"/>
      <c r="G102" s="555"/>
      <c r="H102" s="551"/>
      <c r="I102" s="552"/>
    </row>
    <row r="103">
      <c r="A103" s="265"/>
      <c r="B103" s="477"/>
      <c r="C103" s="400"/>
      <c r="D103" s="182"/>
      <c r="E103" s="576"/>
      <c r="F103" s="558"/>
      <c r="G103" s="555"/>
      <c r="H103" s="551"/>
      <c r="I103" s="552"/>
    </row>
    <row r="104">
      <c r="A104" s="270"/>
      <c r="B104" s="478"/>
      <c r="C104" s="472"/>
      <c r="D104" s="559"/>
      <c r="E104" s="560"/>
      <c r="F104" s="561"/>
      <c r="G104" s="562"/>
      <c r="H104" s="563"/>
      <c r="I104" s="564"/>
    </row>
    <row r="105">
      <c r="A105" s="262" t="s">
        <v>1889</v>
      </c>
      <c r="B105" s="425"/>
      <c r="C105" s="414"/>
      <c r="D105" s="182"/>
      <c r="E105" s="557"/>
      <c r="F105" s="549">
        <f>156</f>
        <v>156</v>
      </c>
      <c r="G105" s="550" t="s">
        <v>1890</v>
      </c>
      <c r="H105" s="551"/>
      <c r="I105" s="552"/>
    </row>
    <row r="106">
      <c r="A106" s="265"/>
      <c r="B106" s="477"/>
      <c r="C106" s="400"/>
      <c r="D106" s="182"/>
      <c r="E106" s="557"/>
      <c r="F106" s="558"/>
      <c r="G106" s="550" t="s">
        <v>1891</v>
      </c>
      <c r="H106" s="551"/>
      <c r="I106" s="552"/>
    </row>
    <row r="107">
      <c r="A107" s="265"/>
      <c r="B107" s="477"/>
      <c r="C107" s="400"/>
      <c r="D107" s="182"/>
      <c r="E107" s="557"/>
      <c r="F107" s="558"/>
      <c r="G107" s="555"/>
      <c r="H107" s="551"/>
      <c r="I107" s="552"/>
    </row>
    <row r="108">
      <c r="A108" s="265"/>
      <c r="B108" s="480"/>
      <c r="C108" s="400"/>
      <c r="D108" s="182"/>
      <c r="E108" s="557"/>
      <c r="F108" s="554">
        <v>100.0</v>
      </c>
      <c r="G108" s="550" t="s">
        <v>1342</v>
      </c>
      <c r="H108" s="551"/>
      <c r="I108" s="552"/>
    </row>
    <row r="109">
      <c r="A109" s="265"/>
      <c r="B109" s="480"/>
      <c r="C109" s="400"/>
      <c r="D109" s="574"/>
      <c r="E109" s="576"/>
      <c r="F109" s="558"/>
      <c r="G109" s="550" t="s">
        <v>1349</v>
      </c>
      <c r="H109" s="551"/>
      <c r="I109" s="552"/>
    </row>
    <row r="110">
      <c r="A110" s="270"/>
      <c r="B110" s="478"/>
      <c r="C110" s="472"/>
      <c r="D110" s="577"/>
      <c r="E110" s="578"/>
      <c r="F110" s="561"/>
      <c r="G110" s="562"/>
      <c r="H110" s="563"/>
      <c r="I110" s="564"/>
    </row>
    <row r="111">
      <c r="A111" s="262" t="s">
        <v>1458</v>
      </c>
      <c r="B111" s="425"/>
      <c r="C111" s="401"/>
      <c r="D111" s="566"/>
      <c r="E111" s="567"/>
      <c r="F111" s="549">
        <f>220+240</f>
        <v>460</v>
      </c>
      <c r="G111" s="550" t="s">
        <v>1349</v>
      </c>
      <c r="H111" s="556"/>
      <c r="I111" s="552"/>
    </row>
    <row r="112">
      <c r="A112" s="265"/>
      <c r="B112" s="477"/>
      <c r="C112" s="400"/>
      <c r="D112" s="182"/>
      <c r="E112" s="557"/>
      <c r="F112" s="558"/>
      <c r="G112" s="555"/>
      <c r="H112" s="551"/>
      <c r="I112" s="552"/>
    </row>
    <row r="113">
      <c r="A113" s="265"/>
      <c r="B113" s="477"/>
      <c r="C113" s="400"/>
      <c r="D113" s="182"/>
      <c r="E113" s="557"/>
      <c r="F113" s="558"/>
      <c r="G113" s="555"/>
      <c r="H113" s="551"/>
      <c r="I113" s="552"/>
    </row>
    <row r="114">
      <c r="A114" s="265"/>
      <c r="B114" s="477"/>
      <c r="C114" s="400"/>
      <c r="D114" s="182"/>
      <c r="E114" s="557"/>
      <c r="F114" s="558"/>
      <c r="G114" s="555"/>
      <c r="H114" s="551"/>
      <c r="I114" s="552"/>
    </row>
    <row r="115">
      <c r="A115" s="265"/>
      <c r="B115" s="477"/>
      <c r="C115" s="400"/>
      <c r="D115" s="182"/>
      <c r="E115" s="576"/>
      <c r="F115" s="558"/>
      <c r="G115" s="555"/>
      <c r="H115" s="551"/>
      <c r="I115" s="552"/>
    </row>
    <row r="116">
      <c r="A116" s="270"/>
      <c r="B116" s="478"/>
      <c r="C116" s="472"/>
      <c r="D116" s="577"/>
      <c r="E116" s="578"/>
      <c r="F116" s="561"/>
      <c r="G116" s="562"/>
      <c r="H116" s="563"/>
      <c r="I116" s="564"/>
    </row>
    <row r="117">
      <c r="A117" s="262" t="s">
        <v>1459</v>
      </c>
      <c r="B117" s="425"/>
      <c r="C117" s="401"/>
      <c r="D117" s="182"/>
      <c r="E117" s="557"/>
      <c r="F117" s="549">
        <f>220+130</f>
        <v>350</v>
      </c>
      <c r="G117" s="550" t="s">
        <v>1349</v>
      </c>
      <c r="H117" s="556"/>
      <c r="I117" s="552"/>
    </row>
    <row r="118">
      <c r="A118" s="265"/>
      <c r="B118" s="404"/>
      <c r="C118" s="400"/>
      <c r="D118" s="182"/>
      <c r="E118" s="557"/>
      <c r="F118" s="558"/>
      <c r="G118" s="555"/>
      <c r="H118" s="551"/>
      <c r="I118" s="552"/>
    </row>
    <row r="119">
      <c r="A119" s="265"/>
      <c r="B119" s="404"/>
      <c r="C119" s="400"/>
      <c r="D119" s="182"/>
      <c r="E119" s="557"/>
      <c r="F119" s="558"/>
      <c r="G119" s="555"/>
      <c r="H119" s="551"/>
      <c r="I119" s="552"/>
    </row>
    <row r="120">
      <c r="A120" s="265"/>
      <c r="B120" s="477"/>
      <c r="C120" s="400"/>
      <c r="D120" s="182"/>
      <c r="E120" s="557"/>
      <c r="F120" s="554"/>
      <c r="G120" s="550"/>
      <c r="H120" s="581"/>
      <c r="I120" s="582"/>
    </row>
    <row r="121">
      <c r="A121" s="265"/>
      <c r="B121" s="477"/>
      <c r="C121" s="400"/>
      <c r="D121" s="182"/>
      <c r="E121" s="576"/>
      <c r="F121" s="558"/>
      <c r="G121" s="555"/>
      <c r="H121" s="551"/>
      <c r="I121" s="552"/>
    </row>
    <row r="122">
      <c r="A122" s="270"/>
      <c r="B122" s="478"/>
      <c r="C122" s="472"/>
      <c r="D122" s="577"/>
      <c r="E122" s="578"/>
      <c r="F122" s="561"/>
      <c r="G122" s="562"/>
      <c r="H122" s="563"/>
      <c r="I122" s="564"/>
    </row>
    <row r="123">
      <c r="A123" s="262" t="s">
        <v>1463</v>
      </c>
      <c r="B123" s="425">
        <v>54000.0</v>
      </c>
      <c r="C123" s="421"/>
      <c r="D123" s="566"/>
      <c r="E123" s="567" t="s">
        <v>1764</v>
      </c>
      <c r="F123" s="549">
        <f>400+90</f>
        <v>490</v>
      </c>
      <c r="G123" s="550" t="s">
        <v>1892</v>
      </c>
      <c r="H123" s="556"/>
      <c r="I123" s="569"/>
    </row>
    <row r="124">
      <c r="A124" s="265"/>
      <c r="B124" s="404"/>
      <c r="C124" s="399"/>
      <c r="D124" s="182"/>
      <c r="E124" s="576"/>
      <c r="F124" s="558"/>
      <c r="G124" s="555"/>
      <c r="H124" s="551"/>
      <c r="I124" s="552"/>
    </row>
    <row r="125">
      <c r="A125" s="265"/>
      <c r="B125" s="404"/>
      <c r="C125" s="400"/>
      <c r="D125" s="182"/>
      <c r="E125" s="576"/>
      <c r="F125" s="558"/>
      <c r="G125" s="555"/>
      <c r="H125" s="551"/>
      <c r="I125" s="552"/>
    </row>
    <row r="126">
      <c r="A126" s="265"/>
      <c r="B126" s="404"/>
      <c r="C126" s="400"/>
      <c r="D126" s="182"/>
      <c r="E126" s="576"/>
      <c r="F126" s="558"/>
      <c r="G126" s="555"/>
      <c r="H126" s="551"/>
      <c r="I126" s="552"/>
    </row>
    <row r="127">
      <c r="A127" s="265"/>
      <c r="B127" s="404"/>
      <c r="C127" s="399"/>
      <c r="D127" s="182"/>
      <c r="E127" s="576"/>
      <c r="F127" s="558"/>
      <c r="G127" s="555"/>
      <c r="H127" s="551"/>
      <c r="I127" s="552"/>
    </row>
    <row r="128">
      <c r="A128" s="270"/>
      <c r="B128" s="478"/>
      <c r="C128" s="472"/>
      <c r="D128" s="559"/>
      <c r="E128" s="560"/>
      <c r="F128" s="561"/>
      <c r="G128" s="562"/>
      <c r="H128" s="563"/>
      <c r="I128" s="564"/>
    </row>
    <row r="129">
      <c r="A129" s="262" t="s">
        <v>1464</v>
      </c>
      <c r="B129" s="425"/>
      <c r="C129" s="401"/>
      <c r="D129" s="566"/>
      <c r="E129" s="567"/>
      <c r="F129" s="549">
        <f>140+260</f>
        <v>400</v>
      </c>
      <c r="G129" s="550" t="s">
        <v>1349</v>
      </c>
      <c r="H129" s="556"/>
      <c r="I129" s="552"/>
    </row>
    <row r="130">
      <c r="A130" s="265"/>
      <c r="B130" s="477"/>
      <c r="C130" s="400"/>
      <c r="D130" s="182"/>
      <c r="E130" s="576"/>
      <c r="F130" s="558"/>
      <c r="G130" s="555"/>
      <c r="H130" s="551"/>
      <c r="I130" s="552"/>
    </row>
    <row r="131">
      <c r="A131" s="265"/>
      <c r="B131" s="477"/>
      <c r="C131" s="400"/>
      <c r="D131" s="182"/>
      <c r="E131" s="576"/>
      <c r="F131" s="558"/>
      <c r="G131" s="555"/>
      <c r="H131" s="551"/>
      <c r="I131" s="552"/>
    </row>
    <row r="132">
      <c r="A132" s="265"/>
      <c r="B132" s="477"/>
      <c r="C132" s="400"/>
      <c r="D132" s="182"/>
      <c r="E132" s="576"/>
      <c r="F132" s="558"/>
      <c r="G132" s="555"/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70"/>
      <c r="B134" s="478"/>
      <c r="C134" s="472"/>
      <c r="D134" s="577"/>
      <c r="E134" s="578"/>
      <c r="F134" s="561"/>
      <c r="G134" s="562"/>
      <c r="H134" s="563"/>
      <c r="I134" s="564"/>
    </row>
    <row r="135">
      <c r="A135" s="262" t="s">
        <v>1465</v>
      </c>
      <c r="B135" s="461"/>
      <c r="C135" s="421"/>
      <c r="D135" s="583"/>
      <c r="E135" s="553"/>
      <c r="F135" s="549">
        <f>100+250</f>
        <v>350</v>
      </c>
      <c r="G135" s="550" t="s">
        <v>1893</v>
      </c>
      <c r="H135" s="551"/>
      <c r="I135" s="552"/>
    </row>
    <row r="136">
      <c r="A136" s="265"/>
      <c r="B136" s="477"/>
      <c r="C136" s="399"/>
      <c r="D136" s="182"/>
      <c r="E136" s="576"/>
      <c r="F136" s="558"/>
      <c r="G136" s="550" t="s">
        <v>1349</v>
      </c>
      <c r="H136" s="551"/>
      <c r="I136" s="552"/>
    </row>
    <row r="137">
      <c r="A137" s="265"/>
      <c r="B137" s="477"/>
      <c r="C137" s="400"/>
      <c r="D137" s="182"/>
      <c r="E137" s="576"/>
      <c r="F137" s="558"/>
      <c r="G137" s="555"/>
      <c r="H137" s="551"/>
      <c r="I137" s="552"/>
    </row>
    <row r="138">
      <c r="A138" s="265"/>
      <c r="B138" s="404"/>
      <c r="C138" s="400"/>
      <c r="D138" s="182"/>
      <c r="E138" s="576"/>
      <c r="F138" s="558"/>
      <c r="G138" s="555"/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70"/>
      <c r="B140" s="478"/>
      <c r="C140" s="472"/>
      <c r="D140" s="577"/>
      <c r="E140" s="578"/>
      <c r="F140" s="561"/>
      <c r="G140" s="562"/>
      <c r="H140" s="563"/>
      <c r="I140" s="564"/>
    </row>
    <row r="141">
      <c r="A141" s="280" t="s">
        <v>1894</v>
      </c>
      <c r="B141" s="425"/>
      <c r="C141" s="401"/>
      <c r="D141" s="566"/>
      <c r="E141" s="557"/>
      <c r="F141" s="549">
        <f>29+130</f>
        <v>159</v>
      </c>
      <c r="G141" s="550" t="s">
        <v>1895</v>
      </c>
      <c r="H141" s="556"/>
      <c r="I141" s="569"/>
    </row>
    <row r="142">
      <c r="A142" s="265"/>
      <c r="B142" s="404"/>
      <c r="C142" s="399"/>
      <c r="D142" s="182"/>
      <c r="E142" s="557"/>
      <c r="F142" s="554"/>
      <c r="G142" s="550" t="s">
        <v>1896</v>
      </c>
      <c r="H142" s="551"/>
      <c r="I142" s="552"/>
    </row>
    <row r="143">
      <c r="A143" s="265"/>
      <c r="B143" s="404"/>
      <c r="C143" s="399"/>
      <c r="D143" s="182"/>
      <c r="E143" s="557"/>
      <c r="F143" s="554"/>
      <c r="G143" s="555"/>
      <c r="H143" s="551"/>
      <c r="I143" s="552"/>
    </row>
    <row r="144">
      <c r="A144" s="265"/>
      <c r="B144" s="404"/>
      <c r="C144" s="399"/>
      <c r="D144" s="182"/>
      <c r="E144" s="557"/>
      <c r="F144" s="554">
        <v>230.0</v>
      </c>
      <c r="G144" s="550" t="s">
        <v>1342</v>
      </c>
      <c r="H144" s="551"/>
      <c r="I144" s="552"/>
    </row>
    <row r="145">
      <c r="A145" s="270"/>
      <c r="B145" s="404"/>
      <c r="C145" s="399"/>
      <c r="D145" s="182"/>
      <c r="E145" s="557"/>
      <c r="F145" s="554"/>
      <c r="G145" s="555"/>
      <c r="H145" s="551"/>
      <c r="I145" s="552"/>
    </row>
    <row r="146">
      <c r="A146" s="452"/>
      <c r="B146" s="404"/>
      <c r="C146" s="399"/>
      <c r="D146" s="182"/>
      <c r="E146" s="557"/>
      <c r="F146" s="554"/>
      <c r="G146" s="562"/>
      <c r="H146" s="563"/>
      <c r="I146" s="564"/>
    </row>
    <row r="147">
      <c r="A147" s="280" t="s">
        <v>1474</v>
      </c>
      <c r="B147" s="461"/>
      <c r="C147" s="421"/>
      <c r="D147" s="583"/>
      <c r="E147" s="584"/>
      <c r="F147" s="549">
        <f>330+180</f>
        <v>510</v>
      </c>
      <c r="G147" s="555"/>
      <c r="H147" s="556"/>
      <c r="I147" s="552"/>
    </row>
    <row r="148">
      <c r="A148" s="265"/>
      <c r="B148" s="404"/>
      <c r="C148" s="399"/>
      <c r="D148" s="182"/>
      <c r="E148" s="557"/>
      <c r="F148" s="558"/>
      <c r="G148" s="555"/>
      <c r="H148" s="551"/>
      <c r="I148" s="552"/>
    </row>
    <row r="149">
      <c r="A149" s="265"/>
      <c r="B149" s="477"/>
      <c r="C149" s="399"/>
      <c r="D149" s="182"/>
      <c r="E149" s="557"/>
      <c r="F149" s="554"/>
      <c r="G149" s="555"/>
      <c r="H149" s="551"/>
      <c r="I149" s="552"/>
    </row>
    <row r="150">
      <c r="A150" s="265"/>
      <c r="B150" s="477"/>
      <c r="C150" s="399"/>
      <c r="D150" s="182"/>
      <c r="E150" s="576"/>
      <c r="F150" s="558"/>
      <c r="G150" s="555"/>
      <c r="H150" s="551"/>
      <c r="I150" s="552"/>
    </row>
    <row r="151">
      <c r="A151" s="265"/>
      <c r="B151" s="404"/>
      <c r="C151" s="399"/>
      <c r="D151" s="182"/>
      <c r="E151" s="576"/>
      <c r="F151" s="554"/>
      <c r="G151" s="555"/>
      <c r="H151" s="551"/>
      <c r="I151" s="552"/>
    </row>
    <row r="152">
      <c r="A152" s="270"/>
      <c r="B152" s="478"/>
      <c r="C152" s="462"/>
      <c r="D152" s="577"/>
      <c r="E152" s="560"/>
      <c r="F152" s="561"/>
      <c r="G152" s="562"/>
      <c r="H152" s="563"/>
      <c r="I152" s="564"/>
    </row>
    <row r="153">
      <c r="A153" s="299"/>
      <c r="B153" s="440"/>
      <c r="C153" s="462"/>
      <c r="D153" s="182"/>
      <c r="E153" s="557"/>
      <c r="F153" s="558"/>
      <c r="G153" s="555"/>
      <c r="H153" s="551"/>
      <c r="I153" s="552"/>
    </row>
    <row r="154">
      <c r="B154" s="480"/>
      <c r="C154" s="462"/>
      <c r="D154" s="574"/>
      <c r="E154" s="576"/>
      <c r="F154" s="558"/>
      <c r="G154" s="555"/>
      <c r="H154" s="551"/>
      <c r="I154" s="552"/>
    </row>
    <row r="155">
      <c r="B155" s="480"/>
      <c r="C155" s="462"/>
      <c r="D155" s="574"/>
      <c r="E155" s="576"/>
      <c r="F155" s="558"/>
      <c r="G155" s="555"/>
      <c r="H155" s="551"/>
      <c r="I155" s="552"/>
    </row>
    <row r="156">
      <c r="B156" s="480"/>
      <c r="C156" s="462"/>
      <c r="D156" s="574"/>
      <c r="E156" s="576"/>
      <c r="F156" s="558"/>
      <c r="G156" s="555"/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A158" s="585"/>
      <c r="B158" s="271"/>
      <c r="C158" s="586"/>
      <c r="D158" s="587"/>
      <c r="E158" s="588"/>
      <c r="F158" s="561"/>
      <c r="G158" s="562"/>
      <c r="H158" s="563"/>
      <c r="I158" s="564"/>
    </row>
    <row r="159">
      <c r="A159" s="299"/>
      <c r="B159" s="440"/>
      <c r="C159" s="462"/>
      <c r="D159" s="182"/>
      <c r="E159" s="557"/>
      <c r="F159" s="558"/>
      <c r="G159" s="555"/>
      <c r="H159" s="551"/>
      <c r="I159" s="552"/>
    </row>
    <row r="160">
      <c r="B160" s="480"/>
      <c r="C160" s="462"/>
      <c r="D160" s="574"/>
      <c r="E160" s="576"/>
      <c r="F160" s="558"/>
      <c r="G160" s="555"/>
      <c r="H160" s="551"/>
      <c r="I160" s="552"/>
    </row>
    <row r="161">
      <c r="B161" s="480"/>
      <c r="C161" s="462"/>
      <c r="D161" s="574"/>
      <c r="E161" s="576"/>
      <c r="F161" s="558"/>
      <c r="G161" s="555"/>
      <c r="H161" s="551"/>
      <c r="I161" s="552"/>
    </row>
    <row r="162">
      <c r="B162" s="480"/>
      <c r="C162" s="462"/>
      <c r="D162" s="574"/>
      <c r="E162" s="576"/>
      <c r="F162" s="558"/>
      <c r="G162" s="555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A164" s="585"/>
      <c r="B164" s="271"/>
      <c r="C164" s="586"/>
      <c r="D164" s="587"/>
      <c r="E164" s="588"/>
      <c r="F164" s="561"/>
      <c r="G164" s="562"/>
      <c r="H164" s="563"/>
      <c r="I164" s="564"/>
    </row>
    <row r="165">
      <c r="A165" s="299"/>
      <c r="B165" s="440"/>
      <c r="C165" s="462"/>
      <c r="D165" s="182"/>
      <c r="E165" s="557"/>
      <c r="F165" s="558"/>
      <c r="G165" s="555"/>
      <c r="H165" s="551"/>
      <c r="I165" s="552"/>
    </row>
    <row r="166">
      <c r="B166" s="480"/>
      <c r="C166" s="462"/>
      <c r="D166" s="574"/>
      <c r="E166" s="576"/>
      <c r="F166" s="558"/>
      <c r="G166" s="555"/>
      <c r="H166" s="551"/>
      <c r="I166" s="552"/>
    </row>
    <row r="167">
      <c r="B167" s="480"/>
      <c r="C167" s="462"/>
      <c r="D167" s="574"/>
      <c r="E167" s="576"/>
      <c r="F167" s="558"/>
      <c r="G167" s="555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A170" s="585"/>
      <c r="B170" s="271"/>
      <c r="C170" s="586"/>
      <c r="D170" s="587"/>
      <c r="E170" s="588"/>
      <c r="F170" s="561"/>
      <c r="G170" s="562"/>
      <c r="H170" s="563"/>
      <c r="I170" s="564"/>
    </row>
    <row r="171">
      <c r="A171" s="299"/>
      <c r="B171" s="440"/>
      <c r="C171" s="462"/>
      <c r="D171" s="182"/>
      <c r="E171" s="557"/>
      <c r="F171" s="558"/>
      <c r="G171" s="555"/>
      <c r="H171" s="551"/>
      <c r="I171" s="552"/>
    </row>
    <row r="172">
      <c r="B172" s="480"/>
      <c r="C172" s="462"/>
      <c r="D172" s="574"/>
      <c r="E172" s="576"/>
      <c r="F172" s="558"/>
      <c r="G172" s="555"/>
      <c r="H172" s="551"/>
      <c r="I172" s="552"/>
    </row>
    <row r="173">
      <c r="B173" s="480"/>
      <c r="C173" s="462"/>
      <c r="D173" s="574"/>
      <c r="E173" s="576"/>
      <c r="F173" s="558"/>
      <c r="G173" s="555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A176" s="585"/>
      <c r="B176" s="271"/>
      <c r="C176" s="586"/>
      <c r="D176" s="587"/>
      <c r="E176" s="588"/>
      <c r="F176" s="561"/>
      <c r="G176" s="562"/>
      <c r="H176" s="563"/>
      <c r="I176" s="564"/>
    </row>
    <row r="177">
      <c r="A177" s="606"/>
      <c r="B177" s="600"/>
      <c r="C177" s="607"/>
      <c r="D177" s="566"/>
      <c r="E177" s="567"/>
      <c r="F177" s="597"/>
      <c r="G177" s="608"/>
      <c r="H177" s="609"/>
      <c r="I177" s="610"/>
    </row>
    <row r="178">
      <c r="A178" s="611"/>
      <c r="B178" s="480"/>
      <c r="C178" s="462"/>
      <c r="D178" s="574"/>
      <c r="E178" s="576"/>
      <c r="F178" s="558"/>
      <c r="G178" s="555"/>
      <c r="H178" s="551"/>
      <c r="I178" s="612"/>
    </row>
    <row r="179">
      <c r="A179" s="611"/>
      <c r="B179" s="480"/>
      <c r="C179" s="462"/>
      <c r="D179" s="574"/>
      <c r="E179" s="576"/>
      <c r="F179" s="558"/>
      <c r="G179" s="555"/>
      <c r="H179" s="551"/>
      <c r="I179" s="612"/>
    </row>
    <row r="180">
      <c r="A180" s="611"/>
      <c r="B180" s="480"/>
      <c r="C180" s="462"/>
      <c r="D180" s="574"/>
      <c r="E180" s="576"/>
      <c r="F180" s="558"/>
      <c r="G180" s="555"/>
      <c r="H180" s="551"/>
      <c r="I180" s="612"/>
    </row>
    <row r="181">
      <c r="A181" s="613"/>
      <c r="B181" s="478"/>
      <c r="C181" s="614"/>
      <c r="D181" s="577"/>
      <c r="E181" s="578"/>
      <c r="F181" s="561"/>
      <c r="G181" s="562"/>
      <c r="H181" s="563"/>
      <c r="I181" s="615"/>
    </row>
    <row r="182">
      <c r="A182" s="606"/>
      <c r="B182" s="600"/>
      <c r="C182" s="607"/>
      <c r="D182" s="566"/>
      <c r="E182" s="567"/>
      <c r="F182" s="597"/>
      <c r="G182" s="608"/>
      <c r="H182" s="609"/>
      <c r="I182" s="610"/>
    </row>
    <row r="183">
      <c r="A183" s="611"/>
      <c r="B183" s="480"/>
      <c r="C183" s="462"/>
      <c r="D183" s="574"/>
      <c r="E183" s="576"/>
      <c r="F183" s="558"/>
      <c r="G183" s="555"/>
      <c r="H183" s="551"/>
      <c r="I183" s="612"/>
    </row>
    <row r="184">
      <c r="A184" s="611"/>
      <c r="B184" s="480"/>
      <c r="C184" s="462"/>
      <c r="D184" s="574"/>
      <c r="E184" s="576"/>
      <c r="F184" s="558"/>
      <c r="G184" s="555"/>
      <c r="H184" s="551"/>
      <c r="I184" s="612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3"/>
      <c r="B186" s="478"/>
      <c r="C186" s="614"/>
      <c r="D186" s="577"/>
      <c r="E186" s="578"/>
      <c r="F186" s="561"/>
      <c r="G186" s="562"/>
      <c r="H186" s="563"/>
      <c r="I186" s="615"/>
    </row>
    <row r="187">
      <c r="A187" s="299"/>
      <c r="B187" s="440"/>
      <c r="C187" s="462"/>
      <c r="D187" s="182"/>
      <c r="E187" s="557"/>
      <c r="F187" s="558"/>
      <c r="G187" s="555"/>
      <c r="H187" s="551"/>
      <c r="I187" s="552"/>
    </row>
    <row r="188">
      <c r="B188" s="480"/>
      <c r="C188" s="462"/>
      <c r="D188" s="574"/>
      <c r="E188" s="576"/>
      <c r="F188" s="558"/>
      <c r="G188" s="555"/>
      <c r="H188" s="551"/>
      <c r="I188" s="552"/>
    </row>
    <row r="189">
      <c r="B189" s="480"/>
      <c r="C189" s="462"/>
      <c r="D189" s="574"/>
      <c r="E189" s="576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A192" s="585"/>
      <c r="B192" s="271"/>
      <c r="C192" s="586"/>
      <c r="D192" s="587"/>
      <c r="E192" s="588"/>
      <c r="F192" s="561"/>
      <c r="G192" s="562"/>
      <c r="H192" s="563"/>
      <c r="I192" s="564"/>
    </row>
    <row r="193">
      <c r="A193" s="303"/>
      <c r="B193" s="268"/>
      <c r="C193" s="253"/>
      <c r="D193" s="366"/>
      <c r="E193" s="555"/>
      <c r="F193" s="558"/>
      <c r="G193" s="555"/>
      <c r="H193" s="551"/>
      <c r="I193" s="552"/>
    </row>
    <row r="194">
      <c r="A194" s="303"/>
      <c r="B194" s="268"/>
      <c r="C194" s="253"/>
      <c r="D194" s="366"/>
      <c r="E194" s="555"/>
      <c r="F194" s="558"/>
      <c r="G194" s="555"/>
      <c r="H194" s="551"/>
      <c r="I194" s="552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4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5"/>
      <c r="B198" s="271"/>
      <c r="C198" s="273"/>
      <c r="D198" s="587"/>
      <c r="E198" s="562"/>
      <c r="F198" s="561"/>
      <c r="G198" s="555"/>
      <c r="H198" s="551"/>
      <c r="I198" s="552"/>
    </row>
    <row r="199">
      <c r="A199" s="265"/>
      <c r="B199" s="306"/>
      <c r="C199" s="241"/>
      <c r="D199" s="583"/>
      <c r="E199" s="548"/>
      <c r="F199" s="597"/>
      <c r="G199" s="555"/>
      <c r="H199" s="551"/>
      <c r="I199" s="552"/>
    </row>
    <row r="200">
      <c r="A200" s="265"/>
      <c r="B200" s="268"/>
      <c r="C200" s="253"/>
      <c r="D200" s="366"/>
      <c r="E200" s="555"/>
      <c r="F200" s="558"/>
      <c r="G200" s="555"/>
      <c r="H200" s="551"/>
      <c r="I200" s="552"/>
    </row>
    <row r="201">
      <c r="A201" s="265"/>
      <c r="B201" s="268"/>
      <c r="C201" s="253"/>
      <c r="D201" s="366"/>
      <c r="E201" s="555"/>
      <c r="F201" s="558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70"/>
      <c r="B207" s="268"/>
      <c r="C207" s="253"/>
      <c r="D207" s="366"/>
      <c r="E207" s="555"/>
      <c r="F207" s="558"/>
      <c r="G207" s="555"/>
      <c r="H207" s="551"/>
      <c r="I207" s="552"/>
    </row>
    <row r="208">
      <c r="B208" s="271"/>
      <c r="C208" s="273"/>
      <c r="D208" s="587"/>
      <c r="E208" s="562"/>
      <c r="F208" s="561"/>
      <c r="G208" s="555"/>
      <c r="H208" s="551"/>
      <c r="I208" s="552"/>
    </row>
    <row r="209">
      <c r="B209" s="306"/>
      <c r="C209" s="241"/>
      <c r="D209" s="583"/>
      <c r="E209" s="548"/>
      <c r="F209" s="597"/>
      <c r="G209" s="555"/>
      <c r="H209" s="551"/>
      <c r="I209" s="552"/>
    </row>
    <row r="210">
      <c r="B210" s="268"/>
      <c r="C210" s="253"/>
      <c r="D210" s="366"/>
      <c r="E210" s="555"/>
      <c r="F210" s="558"/>
      <c r="G210" s="555"/>
      <c r="H210" s="551"/>
      <c r="I210" s="552"/>
    </row>
    <row r="211">
      <c r="B211" s="268"/>
      <c r="C211" s="253"/>
      <c r="D211" s="366"/>
      <c r="E211" s="555"/>
      <c r="F211" s="558"/>
      <c r="G211" s="555"/>
      <c r="H211" s="551"/>
      <c r="I211" s="552"/>
    </row>
    <row r="212">
      <c r="B212" s="308"/>
      <c r="C212" s="253"/>
      <c r="D212" s="598"/>
      <c r="E212" s="555"/>
      <c r="F212" s="572"/>
      <c r="G212" s="555"/>
      <c r="H212" s="551"/>
      <c r="I212" s="552"/>
    </row>
    <row r="213">
      <c r="B213" s="308"/>
      <c r="C213" s="253"/>
      <c r="D213" s="598"/>
      <c r="E213" s="555"/>
      <c r="F213" s="572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</sheetData>
  <mergeCells count="33">
    <mergeCell ref="A2:A7"/>
    <mergeCell ref="A8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  <mergeCell ref="A69:A74"/>
    <mergeCell ref="A75:A80"/>
    <mergeCell ref="A81:A86"/>
    <mergeCell ref="A87:A92"/>
    <mergeCell ref="A93:A98"/>
    <mergeCell ref="A99:A104"/>
    <mergeCell ref="A105:A110"/>
    <mergeCell ref="A111:A116"/>
    <mergeCell ref="A117:A122"/>
    <mergeCell ref="A123:A128"/>
    <mergeCell ref="A171:A175"/>
    <mergeCell ref="A177:A181"/>
    <mergeCell ref="A182:A186"/>
    <mergeCell ref="A187:A191"/>
    <mergeCell ref="A198:A207"/>
    <mergeCell ref="A129:A134"/>
    <mergeCell ref="A135:A140"/>
    <mergeCell ref="A141:A145"/>
    <mergeCell ref="A147:A152"/>
    <mergeCell ref="A153:A157"/>
    <mergeCell ref="A159:A163"/>
    <mergeCell ref="A165:A1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38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1480</v>
      </c>
      <c r="B2" s="425"/>
      <c r="C2" s="532"/>
      <c r="D2" s="547"/>
      <c r="E2" s="548"/>
      <c r="F2" s="549">
        <f>140+200</f>
        <v>340</v>
      </c>
      <c r="G2" s="550"/>
      <c r="H2" s="556"/>
      <c r="I2" s="552"/>
    </row>
    <row r="3">
      <c r="A3" s="265"/>
      <c r="B3" s="510"/>
      <c r="C3" s="399"/>
      <c r="D3" s="366"/>
      <c r="E3" s="553"/>
      <c r="F3" s="554"/>
      <c r="G3" s="555"/>
      <c r="H3" s="556"/>
      <c r="I3" s="569"/>
    </row>
    <row r="4">
      <c r="A4" s="265"/>
      <c r="B4" s="404"/>
      <c r="C4" s="414"/>
      <c r="D4" s="182"/>
      <c r="E4" s="557"/>
      <c r="F4" s="558"/>
      <c r="G4" s="550"/>
      <c r="H4" s="556"/>
      <c r="I4" s="552"/>
    </row>
    <row r="5">
      <c r="A5" s="265"/>
      <c r="B5" s="404"/>
      <c r="C5" s="399"/>
      <c r="D5" s="182"/>
      <c r="E5" s="557"/>
      <c r="F5" s="558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52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1897</v>
      </c>
      <c r="B8" s="425">
        <v>39600.0</v>
      </c>
      <c r="C8" s="401"/>
      <c r="D8" s="182"/>
      <c r="E8" s="550" t="s">
        <v>1881</v>
      </c>
      <c r="F8" s="549">
        <f>300+230-270+50</f>
        <v>310</v>
      </c>
      <c r="G8" s="550" t="s">
        <v>1898</v>
      </c>
      <c r="H8" s="556"/>
      <c r="I8" s="552"/>
    </row>
    <row r="9">
      <c r="A9" s="265"/>
      <c r="B9" s="419"/>
      <c r="C9" s="414"/>
      <c r="D9" s="366"/>
      <c r="E9" s="553"/>
      <c r="F9" s="554"/>
      <c r="G9" s="550"/>
      <c r="H9" s="556"/>
      <c r="I9" s="552"/>
    </row>
    <row r="10">
      <c r="A10" s="265"/>
      <c r="B10" s="339"/>
      <c r="C10" s="414"/>
      <c r="D10" s="366"/>
      <c r="E10" s="550"/>
      <c r="F10" s="554"/>
      <c r="G10" s="555"/>
      <c r="H10" s="556"/>
      <c r="I10" s="552"/>
    </row>
    <row r="11">
      <c r="A11" s="265"/>
      <c r="B11" s="404"/>
      <c r="C11" s="399"/>
      <c r="D11" s="182"/>
      <c r="E11" s="557"/>
      <c r="F11" s="554"/>
      <c r="G11" s="550"/>
      <c r="H11" s="556"/>
      <c r="I11" s="552"/>
    </row>
    <row r="12">
      <c r="A12" s="265"/>
      <c r="B12" s="419"/>
      <c r="C12" s="414"/>
      <c r="D12" s="366"/>
      <c r="E12" s="553"/>
      <c r="F12" s="558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52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1486</v>
      </c>
      <c r="B15" s="600">
        <v>8130.0</v>
      </c>
      <c r="C15" s="421"/>
      <c r="D15" s="566"/>
      <c r="E15" s="567" t="s">
        <v>1899</v>
      </c>
      <c r="F15" s="549">
        <f>260+250</f>
        <v>510</v>
      </c>
      <c r="G15" s="555"/>
      <c r="H15" s="551"/>
      <c r="I15" s="569"/>
    </row>
    <row r="16">
      <c r="A16" s="265"/>
      <c r="B16" s="440"/>
      <c r="C16" s="414"/>
      <c r="D16" s="182"/>
      <c r="E16" s="557"/>
      <c r="F16" s="554"/>
      <c r="G16" s="553"/>
      <c r="H16" s="556"/>
      <c r="I16" s="552"/>
    </row>
    <row r="17">
      <c r="A17" s="265"/>
      <c r="B17" s="404"/>
      <c r="C17" s="476"/>
      <c r="D17" s="182"/>
      <c r="E17" s="557"/>
      <c r="F17" s="568"/>
      <c r="G17" s="555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65"/>
      <c r="B19" s="404"/>
      <c r="C19" s="399"/>
      <c r="D19" s="182"/>
      <c r="E19" s="557"/>
      <c r="F19" s="558"/>
      <c r="G19" s="555"/>
      <c r="H19" s="556"/>
      <c r="I19" s="552"/>
    </row>
    <row r="20">
      <c r="A20" s="270"/>
      <c r="B20" s="404"/>
      <c r="C20" s="399"/>
      <c r="D20" s="182"/>
      <c r="E20" s="557"/>
      <c r="F20" s="558"/>
      <c r="G20" s="562"/>
      <c r="H20" s="563"/>
      <c r="I20" s="601"/>
    </row>
    <row r="21">
      <c r="A21" s="262" t="s">
        <v>1487</v>
      </c>
      <c r="B21" s="425"/>
      <c r="C21" s="401"/>
      <c r="D21" s="566"/>
      <c r="E21" s="567"/>
      <c r="F21" s="549">
        <f>120+170</f>
        <v>290</v>
      </c>
      <c r="G21" s="555"/>
      <c r="H21" s="556"/>
      <c r="I21" s="569"/>
    </row>
    <row r="22">
      <c r="A22" s="265"/>
      <c r="B22" s="404"/>
      <c r="C22" s="399"/>
      <c r="D22" s="182"/>
      <c r="E22" s="557"/>
      <c r="F22" s="558"/>
      <c r="G22" s="555"/>
      <c r="H22" s="551"/>
      <c r="I22" s="552"/>
    </row>
    <row r="23">
      <c r="A23" s="265"/>
      <c r="B23" s="457"/>
      <c r="C23" s="399"/>
      <c r="D23" s="182"/>
      <c r="E23" s="557"/>
      <c r="F23" s="558"/>
      <c r="G23" s="555"/>
      <c r="H23" s="551"/>
      <c r="I23" s="552"/>
    </row>
    <row r="24">
      <c r="A24" s="265"/>
      <c r="B24" s="468"/>
      <c r="C24" s="399"/>
      <c r="D24" s="570"/>
      <c r="E24" s="557"/>
      <c r="F24" s="558"/>
      <c r="G24" s="555"/>
      <c r="H24" s="551"/>
      <c r="I24" s="552"/>
    </row>
    <row r="25">
      <c r="A25" s="265"/>
      <c r="B25" s="468"/>
      <c r="C25" s="399"/>
      <c r="D25" s="182"/>
      <c r="E25" s="557"/>
      <c r="F25" s="554"/>
      <c r="G25" s="555"/>
      <c r="H25" s="551"/>
      <c r="I25" s="552"/>
    </row>
    <row r="26">
      <c r="A26" s="270"/>
      <c r="B26" s="404"/>
      <c r="C26" s="399"/>
      <c r="D26" s="182"/>
      <c r="E26" s="557"/>
      <c r="F26" s="558"/>
      <c r="G26" s="562"/>
      <c r="H26" s="563"/>
      <c r="I26" s="564"/>
    </row>
    <row r="27">
      <c r="A27" s="262" t="s">
        <v>1900</v>
      </c>
      <c r="B27" s="425"/>
      <c r="C27" s="421"/>
      <c r="D27" s="182"/>
      <c r="E27" s="567"/>
      <c r="F27" s="571"/>
      <c r="G27" s="550" t="s">
        <v>1901</v>
      </c>
      <c r="H27" s="551"/>
      <c r="I27" s="552"/>
    </row>
    <row r="28">
      <c r="A28" s="265"/>
      <c r="B28" s="404"/>
      <c r="C28" s="399"/>
      <c r="D28" s="182"/>
      <c r="E28" s="557"/>
      <c r="F28" s="572"/>
      <c r="G28" s="550" t="s">
        <v>1902</v>
      </c>
      <c r="H28" s="551"/>
      <c r="I28" s="552"/>
    </row>
    <row r="29">
      <c r="A29" s="265"/>
      <c r="B29" s="404"/>
      <c r="C29" s="400"/>
      <c r="D29" s="182"/>
      <c r="E29" s="557"/>
      <c r="F29" s="572"/>
      <c r="G29" s="573"/>
      <c r="H29" s="551"/>
      <c r="I29" s="552"/>
    </row>
    <row r="30">
      <c r="A30" s="265"/>
      <c r="B30" s="404"/>
      <c r="C30" s="400"/>
      <c r="D30" s="182"/>
      <c r="E30" s="557"/>
      <c r="F30" s="83">
        <v>350.0</v>
      </c>
      <c r="G30" s="550" t="s">
        <v>1903</v>
      </c>
      <c r="H30" s="551"/>
      <c r="I30" s="552"/>
    </row>
    <row r="31">
      <c r="A31" s="265"/>
      <c r="B31" s="404"/>
      <c r="C31" s="400"/>
      <c r="D31" s="182"/>
      <c r="E31" s="557"/>
      <c r="F31" s="558"/>
      <c r="G31" s="550" t="s">
        <v>1349</v>
      </c>
      <c r="H31" s="551"/>
      <c r="I31" s="552"/>
    </row>
    <row r="32">
      <c r="A32" s="270"/>
      <c r="B32" s="440"/>
      <c r="C32" s="400"/>
      <c r="D32" s="574"/>
      <c r="E32" s="557"/>
      <c r="F32" s="558"/>
      <c r="G32" s="575"/>
      <c r="H32" s="563"/>
      <c r="I32" s="564"/>
    </row>
    <row r="33">
      <c r="A33" s="262" t="s">
        <v>1492</v>
      </c>
      <c r="B33" s="425">
        <v>54050.0</v>
      </c>
      <c r="C33" s="401"/>
      <c r="D33" s="566"/>
      <c r="E33" s="567" t="s">
        <v>1904</v>
      </c>
      <c r="F33" s="549">
        <v>300.0</v>
      </c>
      <c r="G33" s="550" t="s">
        <v>1905</v>
      </c>
      <c r="H33" s="581"/>
      <c r="I33" s="602"/>
      <c r="J33" s="603"/>
    </row>
    <row r="34">
      <c r="A34" s="265"/>
      <c r="B34" s="477"/>
      <c r="C34" s="400"/>
      <c r="D34" s="182"/>
      <c r="E34" s="576"/>
      <c r="F34" s="554">
        <v>130.0</v>
      </c>
      <c r="G34" s="550" t="s">
        <v>1906</v>
      </c>
      <c r="H34" s="551"/>
      <c r="I34" s="552"/>
    </row>
    <row r="35">
      <c r="A35" s="265"/>
      <c r="B35" s="477"/>
      <c r="C35" s="400"/>
      <c r="D35" s="182"/>
      <c r="E35" s="576"/>
      <c r="F35" s="558"/>
      <c r="G35" s="555"/>
      <c r="H35" s="556">
        <v>-100.0</v>
      </c>
      <c r="I35" s="552"/>
      <c r="J35" s="2" t="s">
        <v>1870</v>
      </c>
    </row>
    <row r="36">
      <c r="A36" s="265"/>
      <c r="B36" s="477"/>
      <c r="C36" s="400"/>
      <c r="D36" s="182"/>
      <c r="E36" s="576"/>
      <c r="F36" s="554"/>
      <c r="G36" s="550"/>
      <c r="H36" s="556">
        <v>-81.4</v>
      </c>
      <c r="I36" s="552"/>
      <c r="J36" s="2" t="s">
        <v>1871</v>
      </c>
    </row>
    <row r="37">
      <c r="A37" s="265"/>
      <c r="B37" s="477"/>
      <c r="C37" s="400"/>
      <c r="D37" s="182"/>
      <c r="E37" s="576"/>
      <c r="F37" s="558"/>
      <c r="G37" s="555"/>
      <c r="H37" s="551"/>
      <c r="I37" s="569">
        <v>-60.0</v>
      </c>
      <c r="J37" s="2" t="s">
        <v>1872</v>
      </c>
    </row>
    <row r="38">
      <c r="A38" s="270"/>
      <c r="B38" s="478"/>
      <c r="C38" s="472"/>
      <c r="D38" s="577"/>
      <c r="E38" s="578"/>
      <c r="F38" s="561"/>
      <c r="G38" s="562"/>
      <c r="H38" s="563"/>
      <c r="I38" s="601">
        <v>-26.0</v>
      </c>
      <c r="J38" s="2" t="s">
        <v>1873</v>
      </c>
    </row>
    <row r="39">
      <c r="A39" s="262" t="s">
        <v>1497</v>
      </c>
      <c r="B39" s="425">
        <v>20200.0</v>
      </c>
      <c r="C39" s="401"/>
      <c r="D39" s="566"/>
      <c r="E39" s="550" t="s">
        <v>1881</v>
      </c>
      <c r="F39" s="549">
        <v>350.0</v>
      </c>
      <c r="G39" s="550" t="s">
        <v>1905</v>
      </c>
      <c r="H39" s="551">
        <f>680</f>
        <v>680</v>
      </c>
      <c r="I39" s="552"/>
      <c r="J39" s="2" t="s">
        <v>1874</v>
      </c>
    </row>
    <row r="40">
      <c r="A40" s="265"/>
      <c r="B40" s="404"/>
      <c r="C40" s="399"/>
      <c r="D40" s="182"/>
      <c r="E40" s="550"/>
      <c r="F40" s="554"/>
      <c r="G40" s="550"/>
      <c r="H40" s="556">
        <v>-128.7</v>
      </c>
      <c r="I40" s="552"/>
      <c r="J40" s="2" t="s">
        <v>1907</v>
      </c>
    </row>
    <row r="41">
      <c r="A41" s="265"/>
      <c r="B41" s="404">
        <v>12700.0</v>
      </c>
      <c r="C41" s="399"/>
      <c r="D41" s="182"/>
      <c r="E41" s="550" t="s">
        <v>374</v>
      </c>
      <c r="F41" s="554">
        <v>130.0</v>
      </c>
      <c r="G41" s="550" t="s">
        <v>1906</v>
      </c>
      <c r="H41" s="556">
        <v>-26.0</v>
      </c>
      <c r="I41" s="552"/>
      <c r="J41" s="2" t="s">
        <v>1875</v>
      </c>
    </row>
    <row r="42">
      <c r="A42" s="265"/>
      <c r="B42" s="440"/>
      <c r="C42" s="400"/>
      <c r="D42" s="182"/>
      <c r="E42" s="557"/>
      <c r="F42" s="558"/>
      <c r="G42" s="555"/>
      <c r="H42" s="556">
        <v>-200.0</v>
      </c>
      <c r="I42" s="552"/>
      <c r="J42" s="2" t="s">
        <v>1876</v>
      </c>
    </row>
    <row r="43">
      <c r="A43" s="265"/>
      <c r="B43" s="440"/>
      <c r="C43" s="400"/>
      <c r="D43" s="182"/>
      <c r="E43" s="576"/>
      <c r="F43" s="558"/>
      <c r="G43" s="555"/>
      <c r="H43" s="556">
        <v>-70.0</v>
      </c>
      <c r="I43" s="552"/>
      <c r="J43" s="2" t="s">
        <v>1877</v>
      </c>
    </row>
    <row r="44">
      <c r="A44" s="265"/>
      <c r="B44" s="480"/>
      <c r="C44" s="400"/>
      <c r="D44" s="182"/>
      <c r="E44" s="576"/>
      <c r="F44" s="558"/>
      <c r="G44" s="555"/>
      <c r="H44" s="556">
        <v>-100.0</v>
      </c>
      <c r="I44" s="552"/>
      <c r="J44" s="2" t="s">
        <v>1878</v>
      </c>
    </row>
    <row r="45">
      <c r="A45" s="265"/>
      <c r="B45" s="480"/>
      <c r="C45" s="400"/>
      <c r="D45" s="574"/>
      <c r="E45" s="576"/>
      <c r="F45" s="558"/>
      <c r="G45" s="555"/>
      <c r="H45" s="556">
        <v>-64.9</v>
      </c>
      <c r="I45" s="552"/>
      <c r="J45" s="2" t="s">
        <v>1908</v>
      </c>
    </row>
    <row r="46">
      <c r="A46" s="270"/>
      <c r="B46" s="478"/>
      <c r="C46" s="472"/>
      <c r="D46" s="577"/>
      <c r="E46" s="578"/>
      <c r="F46" s="561"/>
      <c r="G46" s="562"/>
      <c r="H46" s="599">
        <v>-50.0</v>
      </c>
      <c r="I46" s="564"/>
      <c r="J46" s="2" t="s">
        <v>1909</v>
      </c>
    </row>
    <row r="47">
      <c r="A47" s="437"/>
      <c r="B47" s="404"/>
      <c r="C47" s="414"/>
      <c r="D47" s="182"/>
      <c r="E47" s="557"/>
      <c r="F47" s="554"/>
      <c r="G47" s="550"/>
      <c r="H47" s="556"/>
      <c r="I47" s="569">
        <v>-39.0</v>
      </c>
      <c r="J47" s="2" t="s">
        <v>1910</v>
      </c>
    </row>
    <row r="48">
      <c r="A48" s="262" t="s">
        <v>1911</v>
      </c>
      <c r="B48" s="425"/>
      <c r="C48" s="421"/>
      <c r="D48" s="566"/>
      <c r="E48" s="567"/>
      <c r="F48" s="549"/>
      <c r="G48" s="550" t="s">
        <v>1912</v>
      </c>
      <c r="H48" s="556">
        <v>-30.0</v>
      </c>
      <c r="I48" s="552"/>
      <c r="J48" s="2" t="s">
        <v>1913</v>
      </c>
    </row>
    <row r="49">
      <c r="A49" s="265"/>
      <c r="B49" s="404"/>
      <c r="C49" s="399"/>
      <c r="D49" s="182"/>
      <c r="E49" s="557"/>
      <c r="F49" s="558"/>
      <c r="G49" s="550" t="s">
        <v>1914</v>
      </c>
      <c r="H49" s="556">
        <v>-268.5</v>
      </c>
      <c r="I49" s="552"/>
      <c r="J49" s="2" t="s">
        <v>1915</v>
      </c>
    </row>
    <row r="50">
      <c r="A50" s="265"/>
      <c r="B50" s="440"/>
      <c r="C50" s="400"/>
      <c r="D50" s="182"/>
      <c r="E50" s="557"/>
      <c r="F50" s="558"/>
      <c r="G50" s="555"/>
      <c r="H50" s="556">
        <v>-32.0</v>
      </c>
      <c r="I50" s="552"/>
      <c r="J50" s="2" t="s">
        <v>1916</v>
      </c>
    </row>
    <row r="51">
      <c r="A51" s="265"/>
      <c r="B51" s="440"/>
      <c r="C51" s="400"/>
      <c r="D51" s="574"/>
      <c r="E51" s="576"/>
      <c r="F51" s="554"/>
      <c r="G51" s="550"/>
      <c r="H51" s="556">
        <f>-50-13</f>
        <v>-63</v>
      </c>
      <c r="I51" s="552"/>
      <c r="J51" s="2" t="s">
        <v>1917</v>
      </c>
    </row>
    <row r="52">
      <c r="A52" s="265"/>
      <c r="B52" s="480"/>
      <c r="C52" s="400"/>
      <c r="D52" s="182"/>
      <c r="E52" s="576"/>
      <c r="F52" s="558"/>
      <c r="G52" s="555"/>
      <c r="H52" s="551"/>
      <c r="I52" s="569">
        <v>-51.0</v>
      </c>
      <c r="J52" s="2" t="s">
        <v>1918</v>
      </c>
    </row>
    <row r="53">
      <c r="A53" s="270"/>
      <c r="B53" s="478"/>
      <c r="C53" s="472"/>
      <c r="D53" s="559"/>
      <c r="E53" s="560"/>
      <c r="F53" s="561"/>
      <c r="G53" s="562"/>
      <c r="H53" s="599">
        <v>-150.0</v>
      </c>
      <c r="I53" s="564"/>
      <c r="J53" s="2" t="s">
        <v>1919</v>
      </c>
    </row>
    <row r="54">
      <c r="A54" s="262" t="s">
        <v>1507</v>
      </c>
      <c r="B54" s="425">
        <v>2300.0</v>
      </c>
      <c r="C54" s="421"/>
      <c r="D54" s="566"/>
      <c r="E54" s="567" t="s">
        <v>1920</v>
      </c>
      <c r="F54" s="549">
        <v>320.0</v>
      </c>
      <c r="G54" s="550" t="s">
        <v>1905</v>
      </c>
      <c r="H54" s="551"/>
      <c r="I54" s="569">
        <v>-216.0</v>
      </c>
      <c r="J54" s="2" t="s">
        <v>1921</v>
      </c>
    </row>
    <row r="55">
      <c r="A55" s="265"/>
      <c r="B55" s="404">
        <v>18145.0</v>
      </c>
      <c r="C55" s="399"/>
      <c r="D55" s="182"/>
      <c r="E55" s="557" t="s">
        <v>1922</v>
      </c>
      <c r="F55" s="554">
        <v>60.0</v>
      </c>
      <c r="G55" s="550" t="s">
        <v>1906</v>
      </c>
      <c r="H55" s="556">
        <v>-100.0</v>
      </c>
      <c r="I55" s="552"/>
      <c r="J55" s="2" t="s">
        <v>1923</v>
      </c>
    </row>
    <row r="56">
      <c r="A56" s="265"/>
      <c r="B56" s="404"/>
      <c r="C56" s="399"/>
      <c r="D56" s="182">
        <v>100000.0</v>
      </c>
      <c r="E56" s="557" t="s">
        <v>453</v>
      </c>
      <c r="F56" s="558"/>
      <c r="G56" s="555"/>
      <c r="H56" s="556">
        <v>-60.0</v>
      </c>
      <c r="I56" s="552"/>
      <c r="J56" s="2" t="s">
        <v>1923</v>
      </c>
    </row>
    <row r="57">
      <c r="A57" s="265"/>
      <c r="B57" s="404"/>
      <c r="C57" s="399"/>
      <c r="D57" s="182"/>
      <c r="E57" s="557"/>
      <c r="F57" s="558"/>
      <c r="G57" s="555"/>
      <c r="H57" s="556">
        <v>-10.6</v>
      </c>
      <c r="I57" s="569"/>
      <c r="J57" s="2" t="s">
        <v>1924</v>
      </c>
    </row>
    <row r="58">
      <c r="A58" s="265"/>
      <c r="B58" s="440"/>
      <c r="C58" s="399"/>
      <c r="D58" s="182"/>
      <c r="E58" s="557"/>
      <c r="F58" s="558"/>
      <c r="G58" s="555"/>
      <c r="H58" s="551"/>
      <c r="I58" s="569">
        <v>-103.0</v>
      </c>
      <c r="J58" s="2" t="s">
        <v>1925</v>
      </c>
    </row>
    <row r="59">
      <c r="A59" s="265"/>
      <c r="B59" s="440"/>
      <c r="C59" s="399"/>
      <c r="D59" s="182"/>
      <c r="E59" s="557"/>
      <c r="F59" s="558"/>
      <c r="G59" s="555"/>
      <c r="H59" s="599">
        <f>-95-14</f>
        <v>-109</v>
      </c>
      <c r="I59" s="564"/>
      <c r="J59" s="2" t="s">
        <v>1926</v>
      </c>
    </row>
    <row r="60">
      <c r="A60" s="270"/>
      <c r="B60" s="470"/>
      <c r="C60" s="486"/>
      <c r="D60" s="559"/>
      <c r="E60" s="560"/>
      <c r="F60" s="561"/>
      <c r="G60" s="562"/>
      <c r="H60" s="556">
        <v>-50.0</v>
      </c>
      <c r="I60" s="552"/>
      <c r="J60" s="2" t="s">
        <v>1926</v>
      </c>
    </row>
    <row r="61">
      <c r="A61" s="262" t="s">
        <v>1508</v>
      </c>
      <c r="B61" s="425"/>
      <c r="C61" s="421"/>
      <c r="D61" s="566"/>
      <c r="E61" s="567"/>
      <c r="F61" s="549">
        <v>90.0</v>
      </c>
      <c r="G61" s="550" t="s">
        <v>1927</v>
      </c>
      <c r="H61" s="556">
        <v>-9.2</v>
      </c>
      <c r="I61" s="552"/>
      <c r="J61" s="2" t="s">
        <v>1928</v>
      </c>
    </row>
    <row r="62">
      <c r="A62" s="265"/>
      <c r="B62" s="404"/>
      <c r="C62" s="400"/>
      <c r="D62" s="182"/>
      <c r="E62" s="557"/>
      <c r="F62" s="554"/>
      <c r="G62" s="550"/>
      <c r="H62" s="556">
        <v>-296.2</v>
      </c>
      <c r="I62" s="552"/>
      <c r="J62" s="2" t="s">
        <v>1929</v>
      </c>
    </row>
    <row r="63">
      <c r="A63" s="265"/>
      <c r="B63" s="404"/>
      <c r="C63" s="400"/>
      <c r="D63" s="182"/>
      <c r="E63" s="557"/>
      <c r="F63" s="554">
        <v>250.0</v>
      </c>
      <c r="G63" s="550" t="s">
        <v>1930</v>
      </c>
      <c r="H63" s="556">
        <v>-10.9</v>
      </c>
      <c r="I63" s="552"/>
      <c r="J63" s="2" t="s">
        <v>1931</v>
      </c>
    </row>
    <row r="64">
      <c r="A64" s="265"/>
      <c r="B64" s="404"/>
      <c r="C64" s="400"/>
      <c r="D64" s="182"/>
      <c r="E64" s="557"/>
      <c r="F64" s="558"/>
      <c r="G64" s="555"/>
      <c r="H64" s="556">
        <v>-90.0</v>
      </c>
      <c r="I64" s="552"/>
      <c r="J64" s="2" t="s">
        <v>1932</v>
      </c>
    </row>
    <row r="65">
      <c r="A65" s="265"/>
      <c r="B65" s="404"/>
      <c r="C65" s="400"/>
      <c r="D65" s="182"/>
      <c r="E65" s="557"/>
      <c r="F65" s="558"/>
      <c r="G65" s="555"/>
      <c r="H65" s="551"/>
      <c r="I65" s="616" t="s">
        <v>1933</v>
      </c>
      <c r="J65" s="2" t="s">
        <v>1934</v>
      </c>
    </row>
    <row r="66">
      <c r="A66" s="265"/>
      <c r="B66" s="477"/>
      <c r="C66" s="400"/>
      <c r="D66" s="182"/>
      <c r="E66" s="576"/>
      <c r="F66" s="558"/>
      <c r="G66" s="555"/>
      <c r="H66" s="556">
        <v>-27.7</v>
      </c>
      <c r="I66" s="552"/>
      <c r="J66" s="2" t="s">
        <v>1935</v>
      </c>
    </row>
    <row r="67">
      <c r="A67" s="265"/>
      <c r="B67" s="477"/>
      <c r="C67" s="400"/>
      <c r="D67" s="182"/>
      <c r="E67" s="576"/>
      <c r="F67" s="558"/>
      <c r="G67" s="555"/>
      <c r="H67" s="599">
        <v>-87.0</v>
      </c>
      <c r="I67" s="564"/>
      <c r="J67" s="2" t="s">
        <v>1936</v>
      </c>
    </row>
    <row r="68">
      <c r="A68" s="270"/>
      <c r="B68" s="478"/>
      <c r="C68" s="472"/>
      <c r="D68" s="559"/>
      <c r="E68" s="560"/>
      <c r="F68" s="561"/>
      <c r="G68" s="562"/>
      <c r="H68" s="617"/>
      <c r="I68" s="569">
        <v>-96.0</v>
      </c>
      <c r="J68" s="2" t="s">
        <v>1937</v>
      </c>
    </row>
    <row r="69">
      <c r="A69" s="262" t="s">
        <v>1938</v>
      </c>
      <c r="B69" s="419"/>
      <c r="C69" s="414"/>
      <c r="D69" s="22"/>
      <c r="E69" s="550"/>
      <c r="F69" s="554"/>
      <c r="G69" s="550" t="s">
        <v>1939</v>
      </c>
      <c r="H69" s="556"/>
      <c r="I69" s="569">
        <v>-200.0</v>
      </c>
      <c r="J69" s="318">
        <v>45898.0</v>
      </c>
    </row>
    <row r="70">
      <c r="A70" s="265"/>
      <c r="B70" s="404"/>
      <c r="C70" s="399"/>
      <c r="D70" s="182"/>
      <c r="E70" s="557"/>
      <c r="F70" s="554">
        <v>100.0</v>
      </c>
      <c r="G70" s="550" t="s">
        <v>1930</v>
      </c>
      <c r="H70" s="556">
        <v>-470.3</v>
      </c>
      <c r="I70" s="569">
        <v>-477.7</v>
      </c>
      <c r="J70" s="417" t="s">
        <v>1940</v>
      </c>
    </row>
    <row r="71">
      <c r="A71" s="265"/>
      <c r="B71" s="404"/>
      <c r="C71" s="399"/>
      <c r="D71" s="182"/>
      <c r="E71" s="557"/>
      <c r="F71" s="558"/>
      <c r="G71" s="555"/>
      <c r="H71" s="556">
        <v>300.0</v>
      </c>
      <c r="I71" s="569"/>
    </row>
    <row r="72">
      <c r="A72" s="265"/>
      <c r="B72" s="404"/>
      <c r="C72" s="399"/>
      <c r="D72" s="182"/>
      <c r="E72" s="557"/>
      <c r="F72" s="554"/>
      <c r="G72" s="550" t="s">
        <v>1473</v>
      </c>
      <c r="H72" s="556">
        <v>-1000.0</v>
      </c>
      <c r="I72" s="569">
        <v>-500.0</v>
      </c>
      <c r="J72" s="2" t="s">
        <v>1941</v>
      </c>
    </row>
    <row r="73">
      <c r="A73" s="265"/>
      <c r="B73" s="404"/>
      <c r="C73" s="400"/>
      <c r="D73" s="182"/>
      <c r="E73" s="557"/>
      <c r="F73" s="558"/>
      <c r="G73" s="555"/>
      <c r="H73" s="551"/>
      <c r="I73" s="569">
        <v>-500.0</v>
      </c>
      <c r="J73" s="2" t="s">
        <v>1942</v>
      </c>
    </row>
    <row r="74">
      <c r="A74" s="265"/>
      <c r="B74" s="404"/>
      <c r="C74" s="400"/>
      <c r="D74" s="182"/>
      <c r="E74" s="557"/>
      <c r="F74" s="558"/>
      <c r="G74" s="555"/>
      <c r="H74" s="551"/>
      <c r="I74" s="569">
        <v>-430.0</v>
      </c>
      <c r="J74" s="2" t="s">
        <v>1943</v>
      </c>
    </row>
    <row r="75">
      <c r="A75" s="265"/>
      <c r="B75" s="404"/>
      <c r="C75" s="400"/>
      <c r="D75" s="182"/>
      <c r="E75" s="557"/>
      <c r="F75" s="558"/>
      <c r="G75" s="555"/>
      <c r="H75" s="556">
        <f>-(113.4+17.15)</f>
        <v>-130.55</v>
      </c>
      <c r="I75" s="552"/>
      <c r="J75" s="2" t="s">
        <v>1944</v>
      </c>
    </row>
    <row r="76">
      <c r="A76" s="265"/>
      <c r="B76" s="404"/>
      <c r="C76" s="400"/>
      <c r="D76" s="182"/>
      <c r="E76" s="557"/>
      <c r="F76" s="558"/>
      <c r="G76" s="555"/>
      <c r="H76" s="556">
        <v>-250.5</v>
      </c>
      <c r="I76" s="552"/>
      <c r="J76" s="2" t="s">
        <v>1945</v>
      </c>
    </row>
    <row r="77">
      <c r="A77" s="265"/>
      <c r="B77" s="404"/>
      <c r="C77" s="400"/>
      <c r="D77" s="182"/>
      <c r="E77" s="557"/>
      <c r="F77" s="558"/>
      <c r="G77" s="555"/>
      <c r="H77" s="556"/>
      <c r="I77" s="569">
        <v>-400.0</v>
      </c>
      <c r="J77" s="2" t="s">
        <v>1946</v>
      </c>
    </row>
    <row r="78">
      <c r="A78" s="265"/>
      <c r="B78" s="404"/>
      <c r="C78" s="400"/>
      <c r="D78" s="182"/>
      <c r="E78" s="557"/>
      <c r="F78" s="558"/>
      <c r="G78" s="555"/>
      <c r="H78" s="556"/>
      <c r="I78" s="552"/>
      <c r="J78" s="2"/>
    </row>
    <row r="79">
      <c r="A79" s="270"/>
      <c r="B79" s="404"/>
      <c r="C79" s="399"/>
      <c r="D79" s="182"/>
      <c r="E79" s="557"/>
      <c r="F79" s="561"/>
      <c r="G79" s="562"/>
      <c r="H79" s="604">
        <f>SUM(H35:H78)</f>
        <v>-3086.45</v>
      </c>
      <c r="I79" s="605">
        <f>SUM(I37:I78)</f>
        <v>-3098.7</v>
      </c>
      <c r="J79" s="340" t="s">
        <v>1377</v>
      </c>
    </row>
    <row r="80">
      <c r="A80" s="262" t="s">
        <v>1513</v>
      </c>
      <c r="B80" s="425"/>
      <c r="C80" s="401"/>
      <c r="D80" s="566"/>
      <c r="E80" s="567"/>
      <c r="F80" s="549">
        <v>300.0</v>
      </c>
      <c r="G80" s="550" t="s">
        <v>1349</v>
      </c>
      <c r="H80" s="556" t="s">
        <v>1349</v>
      </c>
      <c r="I80" s="552"/>
    </row>
    <row r="81">
      <c r="A81" s="265"/>
      <c r="B81" s="404">
        <v>88200.0</v>
      </c>
      <c r="C81" s="400"/>
      <c r="D81" s="182"/>
      <c r="E81" s="557" t="s">
        <v>1741</v>
      </c>
      <c r="F81" s="554">
        <v>120.0</v>
      </c>
      <c r="G81" s="550" t="s">
        <v>1930</v>
      </c>
    </row>
    <row r="82">
      <c r="A82" s="265"/>
      <c r="B82" s="404"/>
      <c r="C82" s="400"/>
      <c r="D82" s="182"/>
      <c r="E82" s="576"/>
      <c r="F82" s="558"/>
      <c r="G82" s="555"/>
    </row>
    <row r="83">
      <c r="A83" s="265"/>
      <c r="B83" s="480"/>
      <c r="C83" s="400"/>
      <c r="D83" s="182"/>
      <c r="E83" s="576"/>
      <c r="F83" s="554"/>
      <c r="G83" s="550"/>
      <c r="H83" s="551"/>
      <c r="I83" s="552"/>
    </row>
    <row r="84">
      <c r="A84" s="265"/>
      <c r="B84" s="480"/>
      <c r="C84" s="400"/>
      <c r="D84" s="574"/>
      <c r="E84" s="576"/>
      <c r="F84" s="558"/>
      <c r="G84" s="555"/>
      <c r="H84" s="551"/>
      <c r="I84" s="552"/>
    </row>
    <row r="85">
      <c r="A85" s="270"/>
      <c r="B85" s="478"/>
      <c r="C85" s="472"/>
      <c r="D85" s="577"/>
      <c r="E85" s="578"/>
      <c r="F85" s="561"/>
      <c r="G85" s="562"/>
      <c r="H85" s="563"/>
      <c r="I85" s="564"/>
    </row>
    <row r="86">
      <c r="A86" s="262" t="s">
        <v>1515</v>
      </c>
      <c r="B86" s="425"/>
      <c r="C86" s="401"/>
      <c r="D86" s="566"/>
      <c r="E86" s="567"/>
      <c r="F86" s="549"/>
      <c r="G86" s="550" t="s">
        <v>1947</v>
      </c>
      <c r="H86" s="551"/>
      <c r="I86" s="552"/>
    </row>
    <row r="87">
      <c r="A87" s="265"/>
      <c r="B87" s="404"/>
      <c r="C87" s="400"/>
      <c r="D87" s="182"/>
      <c r="E87" s="557"/>
      <c r="F87" s="554">
        <v>240.0</v>
      </c>
      <c r="G87" s="550" t="s">
        <v>1930</v>
      </c>
      <c r="H87" s="551"/>
      <c r="I87" s="552"/>
    </row>
    <row r="88">
      <c r="A88" s="265"/>
      <c r="B88" s="404"/>
      <c r="C88" s="399"/>
      <c r="D88" s="182"/>
      <c r="E88" s="557"/>
      <c r="F88" s="558"/>
      <c r="G88" s="555"/>
      <c r="H88" s="551"/>
      <c r="I88" s="552"/>
    </row>
    <row r="89">
      <c r="A89" s="265"/>
      <c r="B89" s="440"/>
      <c r="C89" s="399"/>
      <c r="D89" s="182"/>
      <c r="E89" s="557"/>
      <c r="F89" s="558"/>
      <c r="G89" s="550"/>
      <c r="H89" s="551"/>
      <c r="I89" s="552"/>
    </row>
    <row r="90">
      <c r="A90" s="265"/>
      <c r="B90" s="440"/>
      <c r="C90" s="400"/>
      <c r="D90" s="574"/>
      <c r="E90" s="557"/>
      <c r="F90" s="558"/>
      <c r="G90" s="555"/>
      <c r="H90" s="551"/>
      <c r="I90" s="552"/>
    </row>
    <row r="91">
      <c r="A91" s="270"/>
      <c r="B91" s="478"/>
      <c r="C91" s="472"/>
      <c r="D91" s="577"/>
      <c r="E91" s="578"/>
      <c r="F91" s="561"/>
      <c r="G91" s="562"/>
      <c r="H91" s="563"/>
      <c r="I91" s="564"/>
    </row>
    <row r="92">
      <c r="A92" s="262" t="s">
        <v>1521</v>
      </c>
      <c r="B92" s="461"/>
      <c r="C92" s="421"/>
      <c r="D92" s="566"/>
      <c r="E92" s="567"/>
      <c r="F92" s="549">
        <v>170.0</v>
      </c>
      <c r="G92" s="550" t="s">
        <v>1948</v>
      </c>
      <c r="H92" s="556"/>
      <c r="I92" s="569"/>
    </row>
    <row r="93">
      <c r="A93" s="265"/>
      <c r="B93" s="404"/>
      <c r="C93" s="400"/>
      <c r="D93" s="182"/>
      <c r="E93" s="557"/>
      <c r="F93" s="554">
        <v>90.0</v>
      </c>
      <c r="G93" s="550" t="s">
        <v>1930</v>
      </c>
      <c r="H93" s="551"/>
      <c r="I93" s="552"/>
    </row>
    <row r="94">
      <c r="A94" s="265"/>
      <c r="B94" s="440"/>
      <c r="C94" s="400"/>
      <c r="D94" s="182"/>
      <c r="E94" s="557"/>
      <c r="F94" s="558"/>
      <c r="G94" s="555"/>
      <c r="H94" s="551"/>
      <c r="I94" s="552"/>
    </row>
    <row r="95">
      <c r="A95" s="265"/>
      <c r="B95" s="480"/>
      <c r="C95" s="400"/>
      <c r="D95" s="574"/>
      <c r="E95" s="576"/>
      <c r="F95" s="558"/>
      <c r="G95" s="555"/>
      <c r="H95" s="551"/>
      <c r="I95" s="552"/>
    </row>
    <row r="96">
      <c r="A96" s="265"/>
      <c r="B96" s="480"/>
      <c r="C96" s="400"/>
      <c r="D96" s="574"/>
      <c r="E96" s="576"/>
      <c r="F96" s="558"/>
      <c r="G96" s="555"/>
      <c r="H96" s="551"/>
      <c r="I96" s="552"/>
    </row>
    <row r="97">
      <c r="A97" s="270"/>
      <c r="B97" s="478"/>
      <c r="C97" s="472"/>
      <c r="D97" s="577"/>
      <c r="E97" s="578"/>
      <c r="F97" s="561"/>
      <c r="G97" s="562"/>
      <c r="H97" s="563"/>
      <c r="I97" s="564"/>
    </row>
    <row r="98">
      <c r="A98" s="262" t="s">
        <v>1523</v>
      </c>
      <c r="B98" s="425"/>
      <c r="C98" s="421"/>
      <c r="D98" s="566"/>
      <c r="E98" s="557"/>
      <c r="F98" s="549">
        <v>200.0</v>
      </c>
      <c r="G98" s="550" t="s">
        <v>1948</v>
      </c>
      <c r="H98" s="556"/>
      <c r="I98" s="552"/>
    </row>
    <row r="99">
      <c r="A99" s="265"/>
      <c r="B99" s="404"/>
      <c r="C99" s="400"/>
      <c r="D99" s="182"/>
      <c r="E99" s="557"/>
      <c r="F99" s="554">
        <v>120.0</v>
      </c>
      <c r="G99" s="550" t="s">
        <v>1930</v>
      </c>
      <c r="H99" s="551"/>
      <c r="I99" s="552"/>
    </row>
    <row r="100">
      <c r="A100" s="265"/>
      <c r="B100" s="480"/>
      <c r="C100" s="400"/>
      <c r="D100" s="182"/>
      <c r="E100" s="557"/>
      <c r="F100" s="558"/>
      <c r="G100" s="555"/>
      <c r="H100" s="551"/>
      <c r="I100" s="552"/>
    </row>
    <row r="101">
      <c r="A101" s="265"/>
      <c r="B101" s="480"/>
      <c r="C101" s="400"/>
      <c r="D101" s="182"/>
      <c r="E101" s="576"/>
      <c r="F101" s="558"/>
      <c r="G101" s="555"/>
      <c r="H101" s="551"/>
      <c r="I101" s="552"/>
    </row>
    <row r="102">
      <c r="A102" s="265"/>
      <c r="B102" s="480"/>
      <c r="C102" s="400"/>
      <c r="D102" s="182"/>
      <c r="E102" s="576"/>
      <c r="F102" s="558"/>
      <c r="G102" s="555"/>
      <c r="H102" s="551"/>
      <c r="I102" s="552"/>
    </row>
    <row r="103">
      <c r="A103" s="270"/>
      <c r="B103" s="478"/>
      <c r="C103" s="472"/>
      <c r="D103" s="577"/>
      <c r="E103" s="578"/>
      <c r="F103" s="561"/>
      <c r="G103" s="562"/>
      <c r="H103" s="563"/>
      <c r="I103" s="564"/>
    </row>
    <row r="104">
      <c r="A104" s="262" t="s">
        <v>1526</v>
      </c>
      <c r="B104" s="425"/>
      <c r="C104" s="421"/>
      <c r="D104" s="566"/>
      <c r="E104" s="567"/>
      <c r="F104" s="549">
        <v>180.0</v>
      </c>
      <c r="G104" s="550" t="s">
        <v>1948</v>
      </c>
      <c r="H104" s="551"/>
      <c r="I104" s="552"/>
    </row>
    <row r="105">
      <c r="A105" s="265"/>
      <c r="B105" s="404"/>
      <c r="C105" s="399"/>
      <c r="D105" s="182"/>
      <c r="E105" s="557"/>
      <c r="F105" s="554">
        <v>202.0</v>
      </c>
      <c r="G105" s="550" t="s">
        <v>1930</v>
      </c>
      <c r="H105" s="551"/>
      <c r="I105" s="552"/>
    </row>
    <row r="106">
      <c r="A106" s="265"/>
      <c r="B106" s="477"/>
      <c r="C106" s="399"/>
      <c r="D106" s="182"/>
      <c r="E106" s="557"/>
      <c r="F106" s="558"/>
      <c r="G106" s="555"/>
      <c r="H106" s="551"/>
      <c r="I106" s="552"/>
    </row>
    <row r="107">
      <c r="A107" s="265"/>
      <c r="B107" s="477"/>
      <c r="C107" s="400"/>
      <c r="D107" s="182"/>
      <c r="E107" s="557"/>
      <c r="F107" s="558"/>
      <c r="G107" s="555"/>
      <c r="H107" s="551"/>
      <c r="I107" s="552"/>
    </row>
    <row r="108">
      <c r="A108" s="265"/>
      <c r="B108" s="477"/>
      <c r="C108" s="400"/>
      <c r="D108" s="182"/>
      <c r="E108" s="557"/>
      <c r="F108" s="558"/>
      <c r="G108" s="555"/>
      <c r="H108" s="551"/>
      <c r="I108" s="552"/>
    </row>
    <row r="109">
      <c r="A109" s="270"/>
      <c r="B109" s="478"/>
      <c r="C109" s="472"/>
      <c r="D109" s="559"/>
      <c r="E109" s="560"/>
      <c r="F109" s="561"/>
      <c r="G109" s="562"/>
      <c r="H109" s="563"/>
      <c r="I109" s="564"/>
    </row>
    <row r="110">
      <c r="A110" s="262" t="s">
        <v>1949</v>
      </c>
      <c r="B110" s="425"/>
      <c r="C110" s="399"/>
      <c r="D110" s="182"/>
      <c r="E110" s="557"/>
      <c r="F110" s="549"/>
      <c r="G110" s="550" t="s">
        <v>1950</v>
      </c>
      <c r="H110" s="551"/>
      <c r="I110" s="552"/>
    </row>
    <row r="111">
      <c r="A111" s="265"/>
      <c r="B111" s="404"/>
      <c r="C111" s="399"/>
      <c r="D111" s="182"/>
      <c r="E111" s="557"/>
      <c r="F111" s="554" t="s">
        <v>38</v>
      </c>
      <c r="G111" s="550" t="s">
        <v>1951</v>
      </c>
      <c r="H111" s="551"/>
      <c r="I111" s="552"/>
    </row>
    <row r="112">
      <c r="A112" s="265"/>
      <c r="B112" s="404"/>
      <c r="C112" s="489"/>
      <c r="D112" s="579"/>
      <c r="E112" s="580"/>
      <c r="F112" s="558"/>
      <c r="G112" s="555"/>
      <c r="H112" s="551"/>
      <c r="I112" s="552"/>
    </row>
    <row r="113">
      <c r="A113" s="265"/>
      <c r="B113" s="404"/>
      <c r="C113" s="400"/>
      <c r="D113" s="182"/>
      <c r="E113" s="557"/>
      <c r="F113" s="554" t="s">
        <v>38</v>
      </c>
      <c r="G113" s="550" t="s">
        <v>1952</v>
      </c>
      <c r="H113" s="551"/>
      <c r="I113" s="552"/>
    </row>
    <row r="114">
      <c r="A114" s="265"/>
      <c r="B114" s="477"/>
      <c r="C114" s="400"/>
      <c r="D114" s="182"/>
      <c r="E114" s="576"/>
      <c r="F114" s="558"/>
      <c r="G114" s="555"/>
      <c r="H114" s="551"/>
      <c r="I114" s="552"/>
    </row>
    <row r="115">
      <c r="A115" s="270"/>
      <c r="B115" s="478"/>
      <c r="C115" s="472"/>
      <c r="D115" s="559"/>
      <c r="E115" s="560"/>
      <c r="F115" s="561"/>
      <c r="G115" s="562"/>
      <c r="H115" s="563"/>
      <c r="I115" s="564"/>
    </row>
    <row r="116">
      <c r="A116" s="262" t="s">
        <v>1537</v>
      </c>
      <c r="B116" s="425">
        <v>22200.0</v>
      </c>
      <c r="C116" s="414"/>
      <c r="D116" s="182"/>
      <c r="E116" s="557" t="s">
        <v>548</v>
      </c>
      <c r="F116" s="549"/>
      <c r="G116" s="550" t="s">
        <v>1953</v>
      </c>
      <c r="H116" s="551"/>
      <c r="I116" s="552"/>
    </row>
    <row r="117">
      <c r="A117" s="265"/>
      <c r="B117" s="404">
        <v>48800.0</v>
      </c>
      <c r="C117" s="400"/>
      <c r="D117" s="182"/>
      <c r="E117" s="557" t="s">
        <v>1954</v>
      </c>
      <c r="F117" s="554">
        <v>160.0</v>
      </c>
      <c r="G117" s="550" t="s">
        <v>1930</v>
      </c>
      <c r="H117" s="551"/>
      <c r="I117" s="552"/>
    </row>
    <row r="118">
      <c r="A118" s="265"/>
      <c r="B118" s="477"/>
      <c r="C118" s="400"/>
      <c r="D118" s="182"/>
      <c r="E118" s="557"/>
      <c r="F118" s="558"/>
      <c r="G118" s="555"/>
      <c r="H118" s="551"/>
      <c r="I118" s="552"/>
    </row>
    <row r="119">
      <c r="A119" s="265"/>
      <c r="B119" s="480"/>
      <c r="C119" s="400"/>
      <c r="D119" s="182"/>
      <c r="E119" s="557"/>
      <c r="F119" s="554"/>
      <c r="G119" s="550"/>
      <c r="H119" s="551"/>
      <c r="I119" s="552"/>
    </row>
    <row r="120">
      <c r="A120" s="265"/>
      <c r="B120" s="480"/>
      <c r="C120" s="400"/>
      <c r="D120" s="574"/>
      <c r="E120" s="576"/>
      <c r="F120" s="558"/>
      <c r="G120" s="550"/>
      <c r="H120" s="551"/>
      <c r="I120" s="552"/>
    </row>
    <row r="121">
      <c r="A121" s="270"/>
      <c r="B121" s="478"/>
      <c r="C121" s="472"/>
      <c r="D121" s="577"/>
      <c r="E121" s="578"/>
      <c r="F121" s="561"/>
      <c r="G121" s="562"/>
      <c r="H121" s="563"/>
      <c r="I121" s="564"/>
    </row>
    <row r="122">
      <c r="A122" s="262" t="s">
        <v>1539</v>
      </c>
      <c r="B122" s="425">
        <v>58800.0</v>
      </c>
      <c r="C122" s="401"/>
      <c r="D122" s="566"/>
      <c r="E122" s="567" t="s">
        <v>1781</v>
      </c>
      <c r="F122" s="549"/>
      <c r="G122" s="550" t="s">
        <v>1955</v>
      </c>
      <c r="H122" s="556"/>
      <c r="I122" s="552"/>
    </row>
    <row r="123">
      <c r="A123" s="265"/>
      <c r="B123" s="477"/>
      <c r="C123" s="400"/>
      <c r="D123" s="182"/>
      <c r="E123" s="557"/>
      <c r="F123" s="554">
        <v>260.0</v>
      </c>
      <c r="G123" s="550" t="s">
        <v>1930</v>
      </c>
      <c r="H123" s="551"/>
      <c r="I123" s="552"/>
    </row>
    <row r="124">
      <c r="A124" s="265"/>
      <c r="B124" s="477"/>
      <c r="C124" s="400"/>
      <c r="D124" s="182"/>
      <c r="E124" s="557"/>
      <c r="F124" s="558"/>
      <c r="G124" s="555"/>
      <c r="H124" s="551"/>
      <c r="I124" s="552"/>
    </row>
    <row r="125">
      <c r="A125" s="265"/>
      <c r="B125" s="477"/>
      <c r="C125" s="400"/>
      <c r="D125" s="182"/>
      <c r="E125" s="557"/>
      <c r="F125" s="558"/>
      <c r="G125" s="555"/>
      <c r="H125" s="551"/>
      <c r="I125" s="552"/>
    </row>
    <row r="126">
      <c r="A126" s="265"/>
      <c r="B126" s="477"/>
      <c r="C126" s="400"/>
      <c r="D126" s="182"/>
      <c r="E126" s="576"/>
      <c r="F126" s="558"/>
      <c r="G126" s="555"/>
      <c r="H126" s="551"/>
      <c r="I126" s="552"/>
    </row>
    <row r="127">
      <c r="A127" s="270"/>
      <c r="B127" s="478"/>
      <c r="C127" s="472"/>
      <c r="D127" s="577"/>
      <c r="E127" s="578"/>
      <c r="F127" s="561"/>
      <c r="G127" s="562"/>
      <c r="H127" s="563"/>
      <c r="I127" s="564"/>
    </row>
    <row r="128">
      <c r="A128" s="262" t="s">
        <v>1543</v>
      </c>
      <c r="B128" s="425"/>
      <c r="C128" s="401"/>
      <c r="D128" s="182"/>
      <c r="E128" s="557"/>
      <c r="F128" s="549">
        <v>250.0</v>
      </c>
      <c r="G128" s="550" t="s">
        <v>1948</v>
      </c>
      <c r="H128" s="556"/>
      <c r="I128" s="552"/>
    </row>
    <row r="129">
      <c r="A129" s="265"/>
      <c r="B129" s="404"/>
      <c r="C129" s="400"/>
      <c r="D129" s="182"/>
      <c r="E129" s="557"/>
      <c r="F129" s="554">
        <v>300.0</v>
      </c>
      <c r="G129" s="550" t="s">
        <v>1930</v>
      </c>
      <c r="H129" s="551"/>
      <c r="I129" s="552"/>
    </row>
    <row r="130">
      <c r="A130" s="265"/>
      <c r="B130" s="404"/>
      <c r="C130" s="400"/>
      <c r="D130" s="182"/>
      <c r="E130" s="557"/>
      <c r="F130" s="558"/>
      <c r="G130" s="555"/>
      <c r="H130" s="551"/>
      <c r="I130" s="552"/>
    </row>
    <row r="131">
      <c r="A131" s="265"/>
      <c r="B131" s="477"/>
      <c r="C131" s="400"/>
      <c r="D131" s="182"/>
      <c r="E131" s="557"/>
      <c r="F131" s="554"/>
      <c r="G131" s="550"/>
      <c r="H131" s="581"/>
      <c r="I131" s="582"/>
    </row>
    <row r="132">
      <c r="A132" s="265"/>
      <c r="B132" s="477"/>
      <c r="C132" s="400"/>
      <c r="D132" s="182"/>
      <c r="E132" s="576"/>
      <c r="F132" s="558"/>
      <c r="G132" s="555"/>
      <c r="H132" s="551"/>
      <c r="I132" s="552"/>
    </row>
    <row r="133">
      <c r="A133" s="270"/>
      <c r="B133" s="478"/>
      <c r="C133" s="472"/>
      <c r="D133" s="577"/>
      <c r="E133" s="578"/>
      <c r="F133" s="561"/>
      <c r="G133" s="562"/>
      <c r="H133" s="563"/>
      <c r="I133" s="564"/>
    </row>
    <row r="134">
      <c r="A134" s="262" t="s">
        <v>1545</v>
      </c>
      <c r="B134" s="425">
        <v>5000.0</v>
      </c>
      <c r="C134" s="421"/>
      <c r="D134" s="566"/>
      <c r="E134" s="567" t="s">
        <v>1956</v>
      </c>
      <c r="F134" s="549">
        <v>230.0</v>
      </c>
      <c r="G134" s="550" t="s">
        <v>1948</v>
      </c>
      <c r="H134" s="556"/>
      <c r="I134" s="569"/>
    </row>
    <row r="135">
      <c r="A135" s="265"/>
      <c r="B135" s="404"/>
      <c r="C135" s="399"/>
      <c r="D135" s="182"/>
      <c r="E135" s="576"/>
      <c r="F135" s="554"/>
      <c r="G135" s="550" t="s">
        <v>1957</v>
      </c>
      <c r="H135" s="551"/>
      <c r="I135" s="569"/>
    </row>
    <row r="136">
      <c r="A136" s="265"/>
      <c r="B136" s="404"/>
      <c r="C136" s="400"/>
      <c r="D136" s="182"/>
      <c r="E136" s="576"/>
      <c r="F136" s="558"/>
      <c r="G136" s="555"/>
      <c r="H136" s="551"/>
      <c r="I136" s="552"/>
    </row>
    <row r="137">
      <c r="A137" s="265"/>
      <c r="B137" s="404"/>
      <c r="C137" s="400"/>
      <c r="D137" s="182"/>
      <c r="E137" s="576"/>
      <c r="F137" s="558"/>
      <c r="G137" s="555"/>
      <c r="H137" s="551"/>
      <c r="I137" s="552"/>
    </row>
    <row r="138">
      <c r="A138" s="265"/>
      <c r="B138" s="404"/>
      <c r="C138" s="399"/>
      <c r="D138" s="182"/>
      <c r="E138" s="576"/>
      <c r="F138" s="558"/>
      <c r="G138" s="555"/>
      <c r="H138" s="551"/>
      <c r="I138" s="552"/>
    </row>
    <row r="139">
      <c r="A139" s="270"/>
      <c r="B139" s="478"/>
      <c r="C139" s="472"/>
      <c r="D139" s="559"/>
      <c r="E139" s="560"/>
      <c r="F139" s="561"/>
      <c r="G139" s="562"/>
      <c r="H139" s="563"/>
      <c r="I139" s="564"/>
    </row>
    <row r="140">
      <c r="A140" s="262" t="s">
        <v>1548</v>
      </c>
      <c r="B140" s="425"/>
      <c r="C140" s="401"/>
      <c r="D140" s="566"/>
      <c r="E140" s="567"/>
      <c r="F140" s="549">
        <f>160-50</f>
        <v>110</v>
      </c>
      <c r="G140" s="550" t="s">
        <v>1958</v>
      </c>
      <c r="H140" s="556"/>
      <c r="I140" s="569"/>
    </row>
    <row r="141">
      <c r="A141" s="265"/>
      <c r="B141" s="477"/>
      <c r="C141" s="400"/>
      <c r="D141" s="182"/>
      <c r="E141" s="576"/>
      <c r="F141" s="554">
        <v>220.0</v>
      </c>
      <c r="G141" s="550" t="s">
        <v>1930</v>
      </c>
      <c r="H141" s="551"/>
      <c r="I141" s="552"/>
    </row>
    <row r="142">
      <c r="A142" s="265"/>
      <c r="B142" s="477"/>
      <c r="C142" s="400"/>
      <c r="D142" s="182"/>
      <c r="E142" s="576"/>
      <c r="F142" s="558"/>
      <c r="G142" s="555"/>
      <c r="H142" s="551"/>
      <c r="I142" s="552"/>
    </row>
    <row r="143">
      <c r="A143" s="265"/>
      <c r="B143" s="477"/>
      <c r="C143" s="400"/>
      <c r="D143" s="182"/>
      <c r="E143" s="576"/>
      <c r="F143" s="558"/>
      <c r="G143" s="555"/>
      <c r="H143" s="551"/>
      <c r="I143" s="552"/>
    </row>
    <row r="144">
      <c r="A144" s="265"/>
      <c r="B144" s="477"/>
      <c r="C144" s="400"/>
      <c r="D144" s="182"/>
      <c r="E144" s="576"/>
      <c r="F144" s="558"/>
      <c r="G144" s="555"/>
      <c r="H144" s="551"/>
      <c r="I144" s="552"/>
    </row>
    <row r="145">
      <c r="A145" s="270"/>
      <c r="B145" s="478"/>
      <c r="C145" s="472"/>
      <c r="D145" s="577"/>
      <c r="E145" s="578"/>
      <c r="F145" s="561"/>
      <c r="G145" s="562"/>
      <c r="H145" s="563"/>
      <c r="I145" s="564"/>
    </row>
    <row r="146">
      <c r="A146" s="262" t="s">
        <v>1959</v>
      </c>
      <c r="B146" s="461"/>
      <c r="C146" s="421"/>
      <c r="D146" s="583"/>
      <c r="E146" s="553"/>
      <c r="F146" s="549"/>
      <c r="G146" s="550" t="s">
        <v>1960</v>
      </c>
      <c r="H146" s="551"/>
      <c r="I146" s="552"/>
    </row>
    <row r="147">
      <c r="A147" s="265"/>
      <c r="B147" s="477"/>
      <c r="C147" s="399"/>
      <c r="D147" s="182"/>
      <c r="E147" s="576"/>
      <c r="F147" s="554"/>
      <c r="G147" s="550" t="s">
        <v>1961</v>
      </c>
      <c r="H147" s="551"/>
      <c r="I147" s="552"/>
    </row>
    <row r="148">
      <c r="A148" s="265"/>
      <c r="B148" s="477"/>
      <c r="C148" s="400"/>
      <c r="D148" s="182"/>
      <c r="E148" s="576"/>
      <c r="F148" s="558"/>
      <c r="G148" s="555"/>
      <c r="H148" s="551"/>
      <c r="I148" s="552"/>
    </row>
    <row r="149">
      <c r="A149" s="265"/>
      <c r="B149" s="404"/>
      <c r="C149" s="400"/>
      <c r="D149" s="182"/>
      <c r="E149" s="576"/>
      <c r="F149" s="554">
        <v>170.0</v>
      </c>
      <c r="G149" s="550" t="s">
        <v>1342</v>
      </c>
      <c r="H149" s="551"/>
      <c r="I149" s="552"/>
    </row>
    <row r="150">
      <c r="A150" s="265"/>
      <c r="B150" s="477"/>
      <c r="C150" s="400"/>
      <c r="D150" s="182"/>
      <c r="E150" s="576"/>
      <c r="F150" s="558"/>
      <c r="G150" s="550" t="s">
        <v>1962</v>
      </c>
      <c r="H150" s="551"/>
      <c r="I150" s="552"/>
    </row>
    <row r="151">
      <c r="A151" s="270"/>
      <c r="B151" s="478"/>
      <c r="C151" s="472"/>
      <c r="D151" s="577"/>
      <c r="E151" s="578"/>
      <c r="F151" s="561"/>
      <c r="G151" s="562"/>
      <c r="H151" s="563"/>
      <c r="I151" s="564"/>
    </row>
    <row r="152">
      <c r="A152" s="280" t="s">
        <v>1551</v>
      </c>
      <c r="B152" s="425"/>
      <c r="C152" s="401"/>
      <c r="D152" s="566"/>
      <c r="E152" s="557"/>
      <c r="F152" s="549">
        <v>240.0</v>
      </c>
      <c r="G152" s="550" t="s">
        <v>1963</v>
      </c>
      <c r="H152" s="556"/>
      <c r="I152" s="569"/>
    </row>
    <row r="153">
      <c r="A153" s="265"/>
      <c r="B153" s="404"/>
      <c r="C153" s="399"/>
      <c r="D153" s="182"/>
      <c r="E153" s="557"/>
      <c r="F153" s="554">
        <v>260.0</v>
      </c>
      <c r="G153" s="550" t="s">
        <v>1930</v>
      </c>
      <c r="H153" s="551"/>
      <c r="I153" s="552"/>
    </row>
    <row r="154">
      <c r="A154" s="265"/>
      <c r="B154" s="404"/>
      <c r="C154" s="399"/>
      <c r="D154" s="182"/>
      <c r="E154" s="557"/>
      <c r="F154" s="554"/>
      <c r="G154" s="555"/>
      <c r="H154" s="551"/>
      <c r="I154" s="552"/>
    </row>
    <row r="155">
      <c r="A155" s="265"/>
      <c r="B155" s="404"/>
      <c r="C155" s="399"/>
      <c r="D155" s="182"/>
      <c r="E155" s="557"/>
      <c r="F155" s="554"/>
      <c r="G155" s="550"/>
      <c r="H155" s="551"/>
      <c r="I155" s="552"/>
    </row>
    <row r="156">
      <c r="A156" s="270"/>
      <c r="B156" s="404"/>
      <c r="C156" s="399"/>
      <c r="D156" s="182"/>
      <c r="E156" s="557"/>
      <c r="F156" s="554"/>
      <c r="G156" s="555"/>
      <c r="H156" s="551"/>
      <c r="I156" s="552"/>
    </row>
    <row r="157">
      <c r="A157" s="452"/>
      <c r="B157" s="404"/>
      <c r="C157" s="399"/>
      <c r="D157" s="182"/>
      <c r="E157" s="557"/>
      <c r="F157" s="554"/>
      <c r="G157" s="562"/>
      <c r="H157" s="563"/>
      <c r="I157" s="564"/>
    </row>
    <row r="158">
      <c r="A158" s="280" t="s">
        <v>1554</v>
      </c>
      <c r="B158" s="461"/>
      <c r="C158" s="421"/>
      <c r="D158" s="583"/>
      <c r="E158" s="584"/>
      <c r="F158" s="549">
        <v>270.0</v>
      </c>
      <c r="G158" s="550" t="s">
        <v>1948</v>
      </c>
      <c r="H158" s="556"/>
      <c r="I158" s="552"/>
    </row>
    <row r="159">
      <c r="A159" s="265"/>
      <c r="B159" s="404"/>
      <c r="C159" s="399"/>
      <c r="D159" s="182"/>
      <c r="E159" s="557"/>
      <c r="F159" s="554">
        <v>150.0</v>
      </c>
      <c r="G159" s="550" t="s">
        <v>1930</v>
      </c>
      <c r="H159" s="551"/>
      <c r="I159" s="552"/>
    </row>
    <row r="160">
      <c r="A160" s="265"/>
      <c r="B160" s="477"/>
      <c r="C160" s="399"/>
      <c r="D160" s="182"/>
      <c r="E160" s="557"/>
      <c r="F160" s="554"/>
      <c r="G160" s="555"/>
      <c r="H160" s="551"/>
      <c r="I160" s="552"/>
    </row>
    <row r="161">
      <c r="A161" s="265"/>
      <c r="B161" s="477"/>
      <c r="C161" s="399"/>
      <c r="D161" s="182"/>
      <c r="E161" s="576"/>
      <c r="F161" s="558"/>
      <c r="G161" s="555"/>
      <c r="H161" s="551"/>
      <c r="I161" s="552"/>
    </row>
    <row r="162">
      <c r="A162" s="265"/>
      <c r="B162" s="404"/>
      <c r="C162" s="399"/>
      <c r="D162" s="182"/>
      <c r="E162" s="576"/>
      <c r="F162" s="554"/>
      <c r="G162" s="555"/>
      <c r="H162" s="551"/>
      <c r="I162" s="552"/>
    </row>
    <row r="163">
      <c r="A163" s="270"/>
      <c r="B163" s="478"/>
      <c r="C163" s="462"/>
      <c r="D163" s="577"/>
      <c r="E163" s="560"/>
      <c r="F163" s="561"/>
      <c r="G163" s="562"/>
      <c r="H163" s="563"/>
      <c r="I163" s="564"/>
    </row>
    <row r="164">
      <c r="A164" s="299" t="s">
        <v>1560</v>
      </c>
      <c r="B164" s="440"/>
      <c r="C164" s="462"/>
      <c r="D164" s="182"/>
      <c r="E164" s="557"/>
      <c r="F164" s="554">
        <v>190.0</v>
      </c>
      <c r="G164" s="550" t="s">
        <v>1948</v>
      </c>
      <c r="H164" s="551"/>
      <c r="I164" s="552"/>
    </row>
    <row r="165">
      <c r="B165" s="480"/>
      <c r="C165" s="462"/>
      <c r="D165" s="574"/>
      <c r="E165" s="576"/>
      <c r="F165" s="554">
        <v>160.0</v>
      </c>
      <c r="G165" s="550" t="s">
        <v>1930</v>
      </c>
      <c r="H165" s="551"/>
      <c r="I165" s="552"/>
    </row>
    <row r="166">
      <c r="B166" s="480"/>
      <c r="C166" s="462"/>
      <c r="D166" s="574"/>
      <c r="E166" s="576"/>
      <c r="F166" s="558"/>
      <c r="G166" s="555"/>
      <c r="H166" s="551"/>
      <c r="I166" s="552"/>
    </row>
    <row r="167">
      <c r="B167" s="480"/>
      <c r="C167" s="462"/>
      <c r="D167" s="574"/>
      <c r="E167" s="576"/>
      <c r="F167" s="558"/>
      <c r="G167" s="555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A169" s="585"/>
      <c r="B169" s="271"/>
      <c r="C169" s="586"/>
      <c r="D169" s="587"/>
      <c r="E169" s="588"/>
      <c r="F169" s="561"/>
      <c r="G169" s="562"/>
      <c r="H169" s="563"/>
      <c r="I169" s="564"/>
    </row>
    <row r="170">
      <c r="A170" s="299" t="s">
        <v>1562</v>
      </c>
      <c r="B170" s="440"/>
      <c r="C170" s="462"/>
      <c r="D170" s="182"/>
      <c r="E170" s="557"/>
      <c r="F170" s="554">
        <v>260.0</v>
      </c>
      <c r="G170" s="550" t="s">
        <v>1948</v>
      </c>
      <c r="H170" s="551"/>
      <c r="I170" s="552"/>
    </row>
    <row r="171">
      <c r="B171" s="480"/>
      <c r="C171" s="462"/>
      <c r="D171" s="574"/>
      <c r="E171" s="576"/>
      <c r="F171" s="554">
        <v>150.0</v>
      </c>
      <c r="G171" s="550" t="s">
        <v>1930</v>
      </c>
      <c r="H171" s="551"/>
      <c r="I171" s="552"/>
    </row>
    <row r="172">
      <c r="B172" s="480"/>
      <c r="C172" s="462"/>
      <c r="D172" s="574"/>
      <c r="E172" s="576"/>
      <c r="F172" s="558"/>
      <c r="G172" s="555"/>
      <c r="H172" s="551"/>
      <c r="I172" s="552"/>
    </row>
    <row r="173">
      <c r="B173" s="480"/>
      <c r="C173" s="462"/>
      <c r="D173" s="574"/>
      <c r="E173" s="576"/>
      <c r="F173" s="558"/>
      <c r="G173" s="555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A175" s="585"/>
      <c r="B175" s="271"/>
      <c r="C175" s="586"/>
      <c r="D175" s="587"/>
      <c r="E175" s="588"/>
      <c r="F175" s="561"/>
      <c r="G175" s="562"/>
      <c r="H175" s="563"/>
      <c r="I175" s="564"/>
    </row>
    <row r="176">
      <c r="A176" s="299" t="s">
        <v>1964</v>
      </c>
      <c r="B176" s="440"/>
      <c r="C176" s="462"/>
      <c r="D176" s="182"/>
      <c r="E176" s="557"/>
      <c r="F176" s="554">
        <v>170.0</v>
      </c>
      <c r="G176" s="550" t="s">
        <v>1948</v>
      </c>
      <c r="H176" s="551"/>
      <c r="I176" s="552"/>
    </row>
    <row r="177">
      <c r="B177" s="480"/>
      <c r="C177" s="462"/>
      <c r="D177" s="574"/>
      <c r="E177" s="576"/>
      <c r="F177" s="554">
        <f>130+80</f>
        <v>210</v>
      </c>
      <c r="G177" s="550" t="s">
        <v>1965</v>
      </c>
      <c r="H177" s="551"/>
      <c r="I177" s="552"/>
    </row>
    <row r="178">
      <c r="B178" s="480"/>
      <c r="C178" s="462"/>
      <c r="D178" s="574"/>
      <c r="E178" s="576"/>
      <c r="F178" s="558"/>
      <c r="G178" s="555"/>
      <c r="H178" s="551"/>
      <c r="I178" s="552"/>
    </row>
    <row r="179">
      <c r="B179" s="480"/>
      <c r="C179" s="462"/>
      <c r="D179" s="574"/>
      <c r="E179" s="576"/>
      <c r="F179" s="558"/>
      <c r="G179" s="555"/>
      <c r="H179" s="551"/>
      <c r="I179" s="552"/>
    </row>
    <row r="180">
      <c r="B180" s="480"/>
      <c r="C180" s="462"/>
      <c r="D180" s="574"/>
      <c r="E180" s="576"/>
      <c r="F180" s="558"/>
      <c r="G180" s="555"/>
      <c r="H180" s="551"/>
      <c r="I180" s="552"/>
    </row>
    <row r="181">
      <c r="A181" s="585"/>
      <c r="B181" s="271"/>
      <c r="C181" s="586"/>
      <c r="D181" s="587"/>
      <c r="E181" s="588"/>
      <c r="F181" s="561"/>
      <c r="G181" s="562"/>
      <c r="H181" s="563"/>
      <c r="I181" s="564"/>
    </row>
    <row r="182">
      <c r="A182" s="299" t="s">
        <v>1966</v>
      </c>
      <c r="B182" s="440"/>
      <c r="C182" s="462"/>
      <c r="D182" s="182"/>
      <c r="E182" s="557"/>
      <c r="F182" s="558"/>
      <c r="G182" s="555"/>
      <c r="H182" s="551"/>
      <c r="I182" s="552"/>
    </row>
    <row r="183">
      <c r="B183" s="480"/>
      <c r="C183" s="462"/>
      <c r="D183" s="574"/>
      <c r="E183" s="576"/>
      <c r="F183" s="558"/>
      <c r="G183" s="555"/>
      <c r="H183" s="551"/>
      <c r="I183" s="552"/>
    </row>
    <row r="184">
      <c r="B184" s="480">
        <f>SUM(B8:B183)</f>
        <v>378125</v>
      </c>
      <c r="C184" s="462"/>
      <c r="D184" s="574"/>
      <c r="E184" s="576"/>
      <c r="F184" s="558"/>
      <c r="G184" s="555"/>
      <c r="H184" s="551"/>
      <c r="I184" s="552"/>
    </row>
    <row r="185">
      <c r="B185" s="480"/>
      <c r="C185" s="462"/>
      <c r="D185" s="574"/>
      <c r="E185" s="576"/>
      <c r="F185" s="558"/>
      <c r="G185" s="555"/>
      <c r="H185" s="551"/>
      <c r="I185" s="552"/>
    </row>
    <row r="186">
      <c r="B186" s="480"/>
      <c r="C186" s="462"/>
      <c r="D186" s="574"/>
      <c r="E186" s="576"/>
      <c r="F186" s="558"/>
      <c r="G186" s="555"/>
      <c r="H186" s="551"/>
      <c r="I186" s="552"/>
    </row>
    <row r="187">
      <c r="A187" s="585"/>
      <c r="B187" s="271"/>
      <c r="C187" s="586"/>
      <c r="D187" s="587"/>
      <c r="E187" s="588"/>
      <c r="F187" s="561"/>
      <c r="G187" s="562"/>
      <c r="H187" s="563"/>
      <c r="I187" s="564"/>
    </row>
    <row r="188">
      <c r="A188" s="606"/>
      <c r="B188" s="600"/>
      <c r="C188" s="607"/>
      <c r="D188" s="566"/>
      <c r="E188" s="567"/>
      <c r="F188" s="597"/>
      <c r="G188" s="608"/>
      <c r="H188" s="609"/>
      <c r="I188" s="610"/>
    </row>
    <row r="189">
      <c r="A189" s="611"/>
      <c r="B189" s="480"/>
      <c r="C189" s="462"/>
      <c r="D189" s="574"/>
      <c r="E189" s="576"/>
      <c r="F189" s="558"/>
      <c r="G189" s="555"/>
      <c r="H189" s="551"/>
      <c r="I189" s="612"/>
    </row>
    <row r="190">
      <c r="A190" s="611"/>
      <c r="B190" s="480"/>
      <c r="C190" s="462"/>
      <c r="D190" s="574"/>
      <c r="E190" s="576"/>
      <c r="F190" s="558"/>
      <c r="G190" s="555"/>
      <c r="H190" s="551"/>
      <c r="I190" s="612"/>
    </row>
    <row r="191">
      <c r="A191" s="611"/>
      <c r="B191" s="480"/>
      <c r="C191" s="462"/>
      <c r="D191" s="574"/>
      <c r="E191" s="576"/>
      <c r="F191" s="558"/>
      <c r="G191" s="555"/>
      <c r="H191" s="551"/>
      <c r="I191" s="612"/>
    </row>
    <row r="192">
      <c r="A192" s="613"/>
      <c r="B192" s="478"/>
      <c r="C192" s="614"/>
      <c r="D192" s="577"/>
      <c r="E192" s="578"/>
      <c r="F192" s="561"/>
      <c r="G192" s="562"/>
      <c r="H192" s="563"/>
      <c r="I192" s="615"/>
    </row>
    <row r="193">
      <c r="A193" s="606"/>
      <c r="B193" s="600"/>
      <c r="C193" s="607"/>
      <c r="D193" s="566"/>
      <c r="E193" s="567"/>
      <c r="F193" s="597"/>
      <c r="G193" s="608"/>
      <c r="H193" s="609"/>
      <c r="I193" s="610"/>
    </row>
    <row r="194">
      <c r="A194" s="611"/>
      <c r="B194" s="480"/>
      <c r="C194" s="462"/>
      <c r="D194" s="574"/>
      <c r="E194" s="576"/>
      <c r="F194" s="558"/>
      <c r="G194" s="555"/>
      <c r="H194" s="551"/>
      <c r="I194" s="612"/>
    </row>
    <row r="195">
      <c r="A195" s="611"/>
      <c r="B195" s="480"/>
      <c r="C195" s="462"/>
      <c r="D195" s="574"/>
      <c r="E195" s="576"/>
      <c r="F195" s="558"/>
      <c r="G195" s="555"/>
      <c r="H195" s="551"/>
      <c r="I195" s="612"/>
    </row>
    <row r="196">
      <c r="A196" s="611"/>
      <c r="B196" s="480"/>
      <c r="C196" s="462"/>
      <c r="D196" s="574"/>
      <c r="E196" s="576"/>
      <c r="F196" s="558"/>
      <c r="G196" s="555"/>
      <c r="H196" s="551"/>
      <c r="I196" s="612"/>
    </row>
    <row r="197">
      <c r="A197" s="613"/>
      <c r="B197" s="478"/>
      <c r="C197" s="614"/>
      <c r="D197" s="577"/>
      <c r="E197" s="578"/>
      <c r="F197" s="561"/>
      <c r="G197" s="562"/>
      <c r="H197" s="563"/>
      <c r="I197" s="615"/>
    </row>
    <row r="198">
      <c r="A198" s="299"/>
      <c r="B198" s="440"/>
      <c r="C198" s="462"/>
      <c r="D198" s="182"/>
      <c r="E198" s="557"/>
      <c r="F198" s="558"/>
      <c r="G198" s="555"/>
      <c r="H198" s="551"/>
      <c r="I198" s="552"/>
    </row>
    <row r="199">
      <c r="B199" s="480"/>
      <c r="C199" s="462"/>
      <c r="D199" s="574"/>
      <c r="E199" s="576"/>
      <c r="F199" s="558"/>
      <c r="G199" s="555"/>
      <c r="H199" s="551"/>
      <c r="I199" s="552"/>
    </row>
    <row r="200">
      <c r="B200" s="480"/>
      <c r="C200" s="462"/>
      <c r="D200" s="574"/>
      <c r="E200" s="576"/>
      <c r="F200" s="558"/>
      <c r="G200" s="555"/>
      <c r="H200" s="551"/>
      <c r="I200" s="552"/>
    </row>
    <row r="201">
      <c r="B201" s="480"/>
      <c r="C201" s="462"/>
      <c r="D201" s="574"/>
      <c r="E201" s="576"/>
      <c r="F201" s="558"/>
      <c r="G201" s="555"/>
      <c r="H201" s="551"/>
      <c r="I201" s="552"/>
    </row>
    <row r="202">
      <c r="B202" s="480"/>
      <c r="C202" s="462"/>
      <c r="D202" s="574"/>
      <c r="E202" s="576"/>
      <c r="F202" s="558"/>
      <c r="G202" s="555"/>
      <c r="H202" s="551"/>
      <c r="I202" s="552"/>
    </row>
    <row r="203">
      <c r="A203" s="585"/>
      <c r="B203" s="271"/>
      <c r="C203" s="586"/>
      <c r="D203" s="587"/>
      <c r="E203" s="588"/>
      <c r="F203" s="561"/>
      <c r="G203" s="562"/>
      <c r="H203" s="563"/>
      <c r="I203" s="564"/>
    </row>
    <row r="204">
      <c r="A204" s="303"/>
      <c r="B204" s="268"/>
      <c r="C204" s="253"/>
      <c r="D204" s="366"/>
      <c r="E204" s="555"/>
      <c r="F204" s="558"/>
      <c r="G204" s="555"/>
      <c r="H204" s="551"/>
      <c r="I204" s="552"/>
    </row>
    <row r="205">
      <c r="A205" s="303"/>
      <c r="B205" s="268"/>
      <c r="C205" s="253"/>
      <c r="D205" s="366"/>
      <c r="E205" s="555"/>
      <c r="F205" s="558"/>
      <c r="G205" s="555"/>
      <c r="H205" s="551"/>
      <c r="I205" s="552"/>
    </row>
    <row r="206">
      <c r="A206" s="303"/>
      <c r="B206" s="268"/>
      <c r="C206" s="253"/>
      <c r="D206" s="366"/>
      <c r="E206" s="555"/>
      <c r="F206" s="558"/>
      <c r="G206" s="555"/>
      <c r="H206" s="551"/>
      <c r="I206" s="552"/>
    </row>
    <row r="207">
      <c r="A207" s="303"/>
      <c r="B207" s="268"/>
      <c r="C207" s="253"/>
      <c r="D207" s="366"/>
      <c r="E207" s="555"/>
      <c r="F207" s="558"/>
      <c r="G207" s="555"/>
      <c r="H207" s="551"/>
      <c r="I207" s="552"/>
    </row>
    <row r="208">
      <c r="A208" s="304"/>
      <c r="B208" s="268"/>
      <c r="C208" s="253"/>
      <c r="D208" s="366"/>
      <c r="E208" s="555"/>
      <c r="F208" s="558"/>
      <c r="G208" s="555"/>
      <c r="H208" s="551"/>
      <c r="I208" s="552"/>
    </row>
    <row r="209">
      <c r="A209" s="305"/>
      <c r="B209" s="271"/>
      <c r="C209" s="273"/>
      <c r="D209" s="587"/>
      <c r="E209" s="562"/>
      <c r="F209" s="561"/>
      <c r="G209" s="555"/>
      <c r="H209" s="551"/>
      <c r="I209" s="552"/>
    </row>
    <row r="210">
      <c r="A210" s="265"/>
      <c r="B210" s="306"/>
      <c r="C210" s="241"/>
      <c r="D210" s="583"/>
      <c r="E210" s="548"/>
      <c r="F210" s="597"/>
      <c r="G210" s="555"/>
      <c r="H210" s="551"/>
      <c r="I210" s="552"/>
    </row>
    <row r="211">
      <c r="A211" s="265"/>
      <c r="B211" s="268"/>
      <c r="C211" s="253"/>
      <c r="D211" s="366"/>
      <c r="E211" s="555"/>
      <c r="F211" s="558"/>
      <c r="G211" s="555"/>
      <c r="H211" s="551"/>
      <c r="I211" s="552"/>
    </row>
    <row r="212">
      <c r="A212" s="265"/>
      <c r="B212" s="268"/>
      <c r="C212" s="253"/>
      <c r="D212" s="366"/>
      <c r="E212" s="555"/>
      <c r="F212" s="558"/>
      <c r="G212" s="555"/>
      <c r="H212" s="551"/>
      <c r="I212" s="552"/>
    </row>
    <row r="213">
      <c r="A213" s="265"/>
      <c r="B213" s="268"/>
      <c r="C213" s="253"/>
      <c r="D213" s="366"/>
      <c r="E213" s="555"/>
      <c r="F213" s="558"/>
      <c r="G213" s="555"/>
      <c r="H213" s="551"/>
      <c r="I213" s="552"/>
    </row>
    <row r="214">
      <c r="A214" s="265"/>
      <c r="B214" s="268"/>
      <c r="C214" s="253"/>
      <c r="D214" s="366"/>
      <c r="E214" s="555"/>
      <c r="F214" s="558"/>
      <c r="G214" s="555"/>
      <c r="H214" s="551"/>
      <c r="I214" s="552"/>
    </row>
    <row r="215">
      <c r="A215" s="265"/>
      <c r="B215" s="268"/>
      <c r="C215" s="253"/>
      <c r="D215" s="366"/>
      <c r="E215" s="555"/>
      <c r="F215" s="558"/>
      <c r="G215" s="555"/>
      <c r="H215" s="551"/>
      <c r="I215" s="552"/>
    </row>
    <row r="216">
      <c r="A216" s="265"/>
      <c r="B216" s="268"/>
      <c r="C216" s="253"/>
      <c r="D216" s="366"/>
      <c r="E216" s="555"/>
      <c r="F216" s="558"/>
      <c r="G216" s="555"/>
      <c r="H216" s="551"/>
      <c r="I216" s="552"/>
    </row>
    <row r="217">
      <c r="A217" s="265"/>
      <c r="B217" s="268"/>
      <c r="C217" s="253"/>
      <c r="D217" s="366"/>
      <c r="E217" s="555"/>
      <c r="F217" s="558"/>
      <c r="G217" s="555"/>
      <c r="H217" s="551"/>
      <c r="I217" s="552"/>
    </row>
    <row r="218">
      <c r="A218" s="270"/>
      <c r="B218" s="268"/>
      <c r="C218" s="253"/>
      <c r="D218" s="366"/>
      <c r="E218" s="555"/>
      <c r="F218" s="558"/>
      <c r="G218" s="555"/>
      <c r="H218" s="551"/>
      <c r="I218" s="552"/>
    </row>
    <row r="219">
      <c r="B219" s="271"/>
      <c r="C219" s="273"/>
      <c r="D219" s="587"/>
      <c r="E219" s="562"/>
      <c r="F219" s="561"/>
      <c r="G219" s="555"/>
      <c r="H219" s="551"/>
      <c r="I219" s="552"/>
    </row>
    <row r="220">
      <c r="B220" s="306"/>
      <c r="C220" s="241"/>
      <c r="D220" s="583"/>
      <c r="E220" s="548"/>
      <c r="F220" s="597"/>
      <c r="G220" s="555"/>
      <c r="H220" s="551"/>
      <c r="I220" s="552"/>
    </row>
    <row r="221">
      <c r="B221" s="268"/>
      <c r="C221" s="253"/>
      <c r="D221" s="366"/>
      <c r="E221" s="555"/>
      <c r="F221" s="558"/>
      <c r="G221" s="555"/>
      <c r="H221" s="551"/>
      <c r="I221" s="552"/>
    </row>
    <row r="222">
      <c r="B222" s="268"/>
      <c r="C222" s="253"/>
      <c r="D222" s="366"/>
      <c r="E222" s="555"/>
      <c r="F222" s="558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  <row r="518">
      <c r="B518" s="308"/>
      <c r="C518" s="253"/>
      <c r="D518" s="598"/>
      <c r="E518" s="555"/>
      <c r="F518" s="572"/>
      <c r="G518" s="555"/>
      <c r="H518" s="551"/>
      <c r="I518" s="552"/>
    </row>
    <row r="519">
      <c r="B519" s="308"/>
      <c r="C519" s="253"/>
      <c r="D519" s="598"/>
      <c r="E519" s="555"/>
      <c r="F519" s="572"/>
      <c r="G519" s="555"/>
      <c r="H519" s="551"/>
      <c r="I519" s="552"/>
    </row>
    <row r="520">
      <c r="B520" s="308"/>
      <c r="C520" s="253"/>
      <c r="D520" s="598"/>
      <c r="E520" s="555"/>
      <c r="F520" s="572"/>
      <c r="G520" s="555"/>
      <c r="H520" s="551"/>
      <c r="I520" s="552"/>
    </row>
    <row r="521">
      <c r="B521" s="308"/>
      <c r="C521" s="253"/>
      <c r="D521" s="598"/>
      <c r="E521" s="555"/>
      <c r="F521" s="572"/>
      <c r="G521" s="555"/>
      <c r="H521" s="551"/>
      <c r="I521" s="552"/>
    </row>
    <row r="522">
      <c r="B522" s="308"/>
      <c r="C522" s="253"/>
      <c r="D522" s="598"/>
      <c r="E522" s="555"/>
      <c r="F522" s="572"/>
      <c r="G522" s="555"/>
      <c r="H522" s="551"/>
      <c r="I522" s="552"/>
    </row>
    <row r="523">
      <c r="B523" s="308"/>
      <c r="C523" s="253"/>
      <c r="D523" s="598"/>
      <c r="E523" s="555"/>
      <c r="F523" s="572"/>
      <c r="G523" s="555"/>
      <c r="H523" s="551"/>
      <c r="I523" s="552"/>
    </row>
    <row r="524">
      <c r="B524" s="308"/>
      <c r="C524" s="253"/>
      <c r="D524" s="598"/>
      <c r="E524" s="555"/>
      <c r="F524" s="572"/>
      <c r="G524" s="555"/>
      <c r="H524" s="551"/>
      <c r="I524" s="552"/>
    </row>
    <row r="525">
      <c r="B525" s="308"/>
      <c r="C525" s="253"/>
      <c r="D525" s="598"/>
      <c r="E525" s="555"/>
      <c r="F525" s="572"/>
      <c r="G525" s="555"/>
      <c r="H525" s="551"/>
      <c r="I525" s="552"/>
    </row>
    <row r="526">
      <c r="B526" s="308"/>
      <c r="C526" s="253"/>
      <c r="D526" s="598"/>
      <c r="E526" s="555"/>
      <c r="F526" s="572"/>
      <c r="G526" s="555"/>
      <c r="H526" s="551"/>
      <c r="I526" s="552"/>
    </row>
    <row r="527">
      <c r="B527" s="308"/>
      <c r="C527" s="253"/>
      <c r="D527" s="598"/>
      <c r="E527" s="555"/>
      <c r="F527" s="572"/>
      <c r="G527" s="555"/>
      <c r="H527" s="551"/>
      <c r="I527" s="552"/>
    </row>
    <row r="528">
      <c r="B528" s="308"/>
      <c r="C528" s="253"/>
      <c r="D528" s="598"/>
      <c r="E528" s="555"/>
      <c r="F528" s="572"/>
      <c r="G528" s="555"/>
      <c r="H528" s="551"/>
      <c r="I528" s="552"/>
    </row>
  </sheetData>
  <mergeCells count="33">
    <mergeCell ref="A2:A7"/>
    <mergeCell ref="A8:A14"/>
    <mergeCell ref="A15:A20"/>
    <mergeCell ref="A21:A26"/>
    <mergeCell ref="A27:A32"/>
    <mergeCell ref="A33:A38"/>
    <mergeCell ref="A39:A46"/>
    <mergeCell ref="A48:A53"/>
    <mergeCell ref="A54:A60"/>
    <mergeCell ref="A61:A68"/>
    <mergeCell ref="A69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82:A186"/>
    <mergeCell ref="A188:A192"/>
    <mergeCell ref="A193:A197"/>
    <mergeCell ref="A198:A202"/>
    <mergeCell ref="A209:A218"/>
    <mergeCell ref="A140:A145"/>
    <mergeCell ref="A146:A151"/>
    <mergeCell ref="A152:A156"/>
    <mergeCell ref="A158:A163"/>
    <mergeCell ref="A164:A168"/>
    <mergeCell ref="A170:A174"/>
    <mergeCell ref="A176:A1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38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942</v>
      </c>
      <c r="B2" s="425"/>
      <c r="C2" s="532"/>
      <c r="D2" s="547"/>
      <c r="E2" s="548"/>
      <c r="F2" s="549"/>
      <c r="G2" s="550"/>
      <c r="H2" s="556"/>
      <c r="I2" s="552"/>
    </row>
    <row r="3">
      <c r="A3" s="265"/>
      <c r="B3" s="510"/>
      <c r="C3" s="399"/>
      <c r="D3" s="366"/>
      <c r="E3" s="553"/>
      <c r="F3" s="554"/>
      <c r="G3" s="555"/>
      <c r="H3" s="556"/>
      <c r="I3" s="569"/>
    </row>
    <row r="4">
      <c r="A4" s="265"/>
      <c r="B4" s="404"/>
      <c r="C4" s="414"/>
      <c r="D4" s="182"/>
      <c r="E4" s="557"/>
      <c r="F4" s="558"/>
      <c r="G4" s="550"/>
      <c r="H4" s="556"/>
      <c r="I4" s="552"/>
    </row>
    <row r="5">
      <c r="A5" s="265"/>
      <c r="B5" s="404"/>
      <c r="C5" s="399"/>
      <c r="D5" s="182"/>
      <c r="E5" s="557"/>
      <c r="F5" s="558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52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1967</v>
      </c>
      <c r="B8" s="425"/>
      <c r="C8" s="401"/>
      <c r="D8" s="182"/>
      <c r="E8" s="550"/>
      <c r="F8" s="549">
        <v>20.0</v>
      </c>
      <c r="G8" s="550" t="s">
        <v>1968</v>
      </c>
      <c r="H8" s="556"/>
      <c r="I8" s="552"/>
    </row>
    <row r="9">
      <c r="A9" s="265"/>
      <c r="B9" s="419"/>
      <c r="C9" s="414"/>
      <c r="D9" s="366"/>
      <c r="E9" s="553"/>
      <c r="F9" s="554"/>
      <c r="G9" s="550" t="s">
        <v>1969</v>
      </c>
      <c r="H9" s="556"/>
      <c r="I9" s="552"/>
    </row>
    <row r="10">
      <c r="A10" s="265"/>
      <c r="B10" s="339"/>
      <c r="C10" s="414"/>
      <c r="D10" s="366"/>
      <c r="E10" s="550"/>
      <c r="F10" s="554"/>
      <c r="G10" s="550" t="s">
        <v>1965</v>
      </c>
      <c r="H10" s="556"/>
      <c r="I10" s="552"/>
    </row>
    <row r="11">
      <c r="A11" s="265"/>
      <c r="B11" s="404"/>
      <c r="C11" s="399"/>
      <c r="D11" s="182"/>
      <c r="E11" s="557"/>
      <c r="F11" s="554"/>
      <c r="G11" s="550" t="s">
        <v>1970</v>
      </c>
      <c r="H11" s="556"/>
      <c r="I11" s="552"/>
    </row>
    <row r="12">
      <c r="A12" s="265"/>
      <c r="B12" s="419"/>
      <c r="C12" s="414"/>
      <c r="D12" s="366"/>
      <c r="E12" s="553"/>
      <c r="F12" s="558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52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947</v>
      </c>
      <c r="B15" s="600"/>
      <c r="C15" s="421"/>
      <c r="D15" s="566"/>
      <c r="E15" s="567"/>
      <c r="F15" s="549"/>
      <c r="G15" s="550" t="s">
        <v>1971</v>
      </c>
      <c r="H15" s="551"/>
      <c r="I15" s="569"/>
    </row>
    <row r="16">
      <c r="A16" s="265"/>
      <c r="B16" s="440"/>
      <c r="C16" s="414"/>
      <c r="D16" s="182"/>
      <c r="E16" s="557"/>
      <c r="F16" s="554"/>
      <c r="G16" s="553"/>
      <c r="H16" s="556"/>
      <c r="I16" s="552"/>
    </row>
    <row r="17">
      <c r="A17" s="265"/>
      <c r="B17" s="404"/>
      <c r="C17" s="476"/>
      <c r="D17" s="182"/>
      <c r="E17" s="557"/>
      <c r="F17" s="568">
        <v>200.0</v>
      </c>
      <c r="G17" s="550" t="s">
        <v>1930</v>
      </c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65"/>
      <c r="B19" s="404"/>
      <c r="C19" s="399"/>
      <c r="D19" s="182"/>
      <c r="E19" s="557"/>
      <c r="F19" s="558"/>
      <c r="G19" s="555"/>
      <c r="H19" s="556"/>
      <c r="I19" s="552"/>
    </row>
    <row r="20">
      <c r="A20" s="270"/>
      <c r="B20" s="404"/>
      <c r="C20" s="399"/>
      <c r="D20" s="182"/>
      <c r="E20" s="557"/>
      <c r="F20" s="558"/>
      <c r="G20" s="562"/>
      <c r="H20" s="563"/>
      <c r="I20" s="601"/>
    </row>
    <row r="21">
      <c r="A21" s="262" t="s">
        <v>952</v>
      </c>
      <c r="B21" s="425"/>
      <c r="C21" s="401"/>
      <c r="D21" s="566"/>
      <c r="E21" s="567"/>
      <c r="F21" s="549">
        <v>170.0</v>
      </c>
      <c r="G21" s="550" t="s">
        <v>1948</v>
      </c>
      <c r="H21" s="556"/>
      <c r="I21" s="569"/>
    </row>
    <row r="22">
      <c r="A22" s="265"/>
      <c r="B22" s="404"/>
      <c r="C22" s="399"/>
      <c r="D22" s="182"/>
      <c r="E22" s="557"/>
      <c r="F22" s="554">
        <v>140.0</v>
      </c>
      <c r="G22" s="550" t="s">
        <v>1930</v>
      </c>
      <c r="H22" s="551"/>
      <c r="I22" s="552"/>
    </row>
    <row r="23">
      <c r="A23" s="265"/>
      <c r="B23" s="457"/>
      <c r="C23" s="399"/>
      <c r="D23" s="182"/>
      <c r="E23" s="557"/>
      <c r="F23" s="558"/>
      <c r="G23" s="555"/>
      <c r="H23" s="551"/>
      <c r="I23" s="552"/>
    </row>
    <row r="24">
      <c r="A24" s="265"/>
      <c r="B24" s="468"/>
      <c r="C24" s="399"/>
      <c r="D24" s="570"/>
      <c r="E24" s="557"/>
      <c r="F24" s="558"/>
      <c r="G24" s="555"/>
      <c r="H24" s="551"/>
      <c r="I24" s="552"/>
    </row>
    <row r="25">
      <c r="A25" s="265"/>
      <c r="B25" s="468"/>
      <c r="C25" s="399"/>
      <c r="D25" s="182"/>
      <c r="E25" s="557"/>
      <c r="F25" s="554"/>
      <c r="G25" s="555"/>
      <c r="H25" s="551"/>
      <c r="I25" s="552"/>
    </row>
    <row r="26">
      <c r="A26" s="270"/>
      <c r="B26" s="404"/>
      <c r="C26" s="399"/>
      <c r="D26" s="182"/>
      <c r="E26" s="557"/>
      <c r="F26" s="558"/>
      <c r="G26" s="562"/>
      <c r="H26" s="563"/>
      <c r="I26" s="564"/>
    </row>
    <row r="27">
      <c r="A27" s="262" t="s">
        <v>953</v>
      </c>
      <c r="B27" s="425"/>
      <c r="C27" s="421"/>
      <c r="D27" s="182"/>
      <c r="E27" s="567"/>
      <c r="F27" s="571">
        <v>260.0</v>
      </c>
      <c r="G27" s="550" t="s">
        <v>1948</v>
      </c>
      <c r="H27" s="551"/>
      <c r="I27" s="552"/>
    </row>
    <row r="28">
      <c r="A28" s="265"/>
      <c r="B28" s="404"/>
      <c r="C28" s="399"/>
      <c r="D28" s="182"/>
      <c r="E28" s="557"/>
      <c r="F28" s="83">
        <v>140.0</v>
      </c>
      <c r="G28" s="550" t="s">
        <v>1930</v>
      </c>
      <c r="H28" s="551"/>
      <c r="I28" s="552"/>
    </row>
    <row r="29">
      <c r="A29" s="265"/>
      <c r="B29" s="404"/>
      <c r="C29" s="400"/>
      <c r="D29" s="182"/>
      <c r="E29" s="557"/>
      <c r="F29" s="572"/>
      <c r="G29" s="573"/>
      <c r="H29" s="551"/>
      <c r="I29" s="552"/>
    </row>
    <row r="30">
      <c r="A30" s="265"/>
      <c r="B30" s="404"/>
      <c r="C30" s="400"/>
      <c r="D30" s="182"/>
      <c r="E30" s="557"/>
      <c r="F30" s="83"/>
      <c r="G30" s="550"/>
      <c r="H30" s="551"/>
      <c r="I30" s="552"/>
    </row>
    <row r="31">
      <c r="A31" s="265"/>
      <c r="B31" s="404"/>
      <c r="C31" s="400"/>
      <c r="D31" s="182"/>
      <c r="E31" s="557"/>
      <c r="F31" s="558"/>
      <c r="G31" s="550"/>
      <c r="H31" s="551"/>
      <c r="I31" s="552"/>
    </row>
    <row r="32">
      <c r="A32" s="270"/>
      <c r="B32" s="440"/>
      <c r="C32" s="400"/>
      <c r="D32" s="574"/>
      <c r="E32" s="557"/>
      <c r="F32" s="558"/>
      <c r="G32" s="575"/>
      <c r="H32" s="563"/>
      <c r="I32" s="564"/>
    </row>
    <row r="33">
      <c r="A33" s="262" t="s">
        <v>959</v>
      </c>
      <c r="B33" s="425"/>
      <c r="C33" s="401"/>
      <c r="D33" s="566"/>
      <c r="E33" s="567"/>
      <c r="F33" s="549">
        <v>250.0</v>
      </c>
      <c r="G33" s="550" t="s">
        <v>1948</v>
      </c>
      <c r="H33" s="581"/>
      <c r="I33" s="602"/>
      <c r="J33" s="603"/>
    </row>
    <row r="34">
      <c r="A34" s="265"/>
      <c r="B34" s="477"/>
      <c r="C34" s="400"/>
      <c r="D34" s="182"/>
      <c r="E34" s="576"/>
      <c r="F34" s="554">
        <v>310.0</v>
      </c>
      <c r="G34" s="550" t="s">
        <v>1930</v>
      </c>
      <c r="H34" s="551"/>
      <c r="I34" s="552"/>
    </row>
    <row r="35">
      <c r="A35" s="265"/>
      <c r="B35" s="477"/>
      <c r="C35" s="400"/>
      <c r="D35" s="182"/>
      <c r="E35" s="576"/>
      <c r="F35" s="558"/>
      <c r="G35" s="555"/>
      <c r="H35" s="556"/>
      <c r="I35" s="552"/>
    </row>
    <row r="36">
      <c r="A36" s="265"/>
      <c r="B36" s="477"/>
      <c r="C36" s="400"/>
      <c r="D36" s="182"/>
      <c r="E36" s="576"/>
      <c r="F36" s="554"/>
      <c r="G36" s="550"/>
      <c r="H36" s="556"/>
      <c r="I36" s="552"/>
    </row>
    <row r="37">
      <c r="A37" s="265"/>
      <c r="B37" s="477"/>
      <c r="C37" s="400"/>
      <c r="D37" s="182"/>
      <c r="E37" s="576"/>
      <c r="F37" s="558"/>
      <c r="G37" s="555"/>
      <c r="H37" s="551"/>
      <c r="I37" s="569"/>
    </row>
    <row r="38">
      <c r="A38" s="270"/>
      <c r="B38" s="478"/>
      <c r="C38" s="472"/>
      <c r="D38" s="577"/>
      <c r="E38" s="578"/>
      <c r="F38" s="561"/>
      <c r="G38" s="562"/>
      <c r="H38" s="563"/>
      <c r="I38" s="601"/>
    </row>
    <row r="39">
      <c r="A39" s="262" t="s">
        <v>963</v>
      </c>
      <c r="B39" s="425"/>
      <c r="C39" s="401"/>
      <c r="D39" s="566"/>
      <c r="E39" s="550"/>
      <c r="F39" s="549">
        <v>230.0</v>
      </c>
      <c r="G39" s="550" t="s">
        <v>1948</v>
      </c>
      <c r="H39" s="551"/>
      <c r="I39" s="552"/>
    </row>
    <row r="40">
      <c r="A40" s="265"/>
      <c r="B40" s="404"/>
      <c r="C40" s="399"/>
      <c r="D40" s="182"/>
      <c r="E40" s="550"/>
      <c r="F40" s="554">
        <v>230.0</v>
      </c>
      <c r="G40" s="550" t="s">
        <v>1965</v>
      </c>
      <c r="H40" s="556"/>
      <c r="I40" s="552"/>
    </row>
    <row r="41">
      <c r="A41" s="265"/>
      <c r="B41" s="440"/>
      <c r="C41" s="400"/>
      <c r="D41" s="182"/>
      <c r="E41" s="557"/>
      <c r="F41" s="558"/>
      <c r="G41" s="555"/>
      <c r="H41" s="556"/>
      <c r="I41" s="552"/>
    </row>
    <row r="42">
      <c r="A42" s="265"/>
      <c r="B42" s="440"/>
      <c r="C42" s="400"/>
      <c r="D42" s="182"/>
      <c r="E42" s="576"/>
      <c r="F42" s="558"/>
      <c r="G42" s="555"/>
      <c r="H42" s="556"/>
      <c r="I42" s="552"/>
    </row>
    <row r="43">
      <c r="A43" s="265"/>
      <c r="B43" s="480"/>
      <c r="C43" s="400"/>
      <c r="D43" s="182"/>
      <c r="E43" s="576"/>
      <c r="F43" s="558"/>
      <c r="G43" s="555"/>
      <c r="H43" s="556"/>
      <c r="I43" s="552"/>
    </row>
    <row r="44">
      <c r="A44" s="270"/>
      <c r="B44" s="478"/>
      <c r="C44" s="472"/>
      <c r="D44" s="577"/>
      <c r="E44" s="578"/>
      <c r="F44" s="561"/>
      <c r="G44" s="562"/>
      <c r="H44" s="599"/>
      <c r="I44" s="564"/>
    </row>
    <row r="45">
      <c r="A45" s="262" t="s">
        <v>1972</v>
      </c>
      <c r="B45" s="425">
        <v>15500.0</v>
      </c>
      <c r="C45" s="421"/>
      <c r="D45" s="566"/>
      <c r="E45" s="567" t="s">
        <v>1973</v>
      </c>
      <c r="F45" s="549">
        <v>70.0</v>
      </c>
      <c r="G45" s="550" t="s">
        <v>1974</v>
      </c>
      <c r="H45" s="556"/>
      <c r="I45" s="552"/>
    </row>
    <row r="46">
      <c r="A46" s="265"/>
      <c r="B46" s="404"/>
      <c r="C46" s="399"/>
      <c r="D46" s="182"/>
      <c r="E46" s="557"/>
      <c r="F46" s="554">
        <v>380.0</v>
      </c>
      <c r="G46" s="550" t="s">
        <v>1975</v>
      </c>
      <c r="H46" s="556"/>
      <c r="I46" s="552"/>
    </row>
    <row r="47">
      <c r="A47" s="265"/>
      <c r="B47" s="440"/>
      <c r="C47" s="400"/>
      <c r="D47" s="182"/>
      <c r="E47" s="557"/>
      <c r="F47" s="558"/>
      <c r="G47" s="555"/>
      <c r="H47" s="556"/>
      <c r="I47" s="552"/>
    </row>
    <row r="48">
      <c r="A48" s="265"/>
      <c r="B48" s="440"/>
      <c r="C48" s="400"/>
      <c r="D48" s="574"/>
      <c r="E48" s="576"/>
      <c r="F48" s="554">
        <v>440.0</v>
      </c>
      <c r="G48" s="550" t="s">
        <v>1976</v>
      </c>
      <c r="H48" s="556"/>
      <c r="I48" s="552"/>
    </row>
    <row r="49">
      <c r="A49" s="265"/>
      <c r="B49" s="480"/>
      <c r="C49" s="400"/>
      <c r="D49" s="182"/>
      <c r="E49" s="576"/>
      <c r="F49" s="558"/>
      <c r="G49" s="555"/>
      <c r="H49" s="551"/>
      <c r="I49" s="569"/>
    </row>
    <row r="50">
      <c r="A50" s="270"/>
      <c r="B50" s="478"/>
      <c r="C50" s="472"/>
      <c r="D50" s="559"/>
      <c r="E50" s="560"/>
      <c r="F50" s="561"/>
      <c r="G50" s="562"/>
      <c r="H50" s="599"/>
      <c r="I50" s="564"/>
    </row>
    <row r="51">
      <c r="A51" s="262" t="s">
        <v>965</v>
      </c>
      <c r="B51" s="425"/>
      <c r="C51" s="421"/>
      <c r="D51" s="566"/>
      <c r="E51" s="567"/>
      <c r="F51" s="549"/>
      <c r="G51" s="550" t="s">
        <v>1977</v>
      </c>
      <c r="H51" s="551"/>
      <c r="I51" s="569"/>
    </row>
    <row r="52">
      <c r="A52" s="265"/>
      <c r="B52" s="404"/>
      <c r="C52" s="399"/>
      <c r="D52" s="182"/>
      <c r="E52" s="557"/>
      <c r="F52" s="554">
        <v>280.0</v>
      </c>
      <c r="G52" s="550" t="s">
        <v>1906</v>
      </c>
      <c r="H52" s="551"/>
      <c r="I52" s="569"/>
    </row>
    <row r="53">
      <c r="A53" s="265"/>
      <c r="B53" s="404"/>
      <c r="C53" s="399"/>
      <c r="D53" s="182"/>
      <c r="E53" s="557"/>
      <c r="F53" s="558"/>
      <c r="G53" s="555"/>
      <c r="H53" s="556"/>
      <c r="I53" s="552"/>
    </row>
    <row r="54">
      <c r="A54" s="265"/>
      <c r="B54" s="404"/>
      <c r="C54" s="399"/>
      <c r="D54" s="182"/>
      <c r="E54" s="557"/>
      <c r="F54" s="558"/>
      <c r="G54" s="555"/>
      <c r="H54" s="556"/>
      <c r="I54" s="552"/>
    </row>
    <row r="55">
      <c r="A55" s="265"/>
      <c r="B55" s="440"/>
      <c r="C55" s="399"/>
      <c r="D55" s="182"/>
      <c r="E55" s="557"/>
      <c r="F55" s="558"/>
      <c r="G55" s="555"/>
      <c r="H55" s="551"/>
      <c r="I55" s="552"/>
    </row>
    <row r="56">
      <c r="A56" s="270"/>
      <c r="B56" s="470"/>
      <c r="C56" s="486"/>
      <c r="D56" s="559"/>
      <c r="E56" s="560"/>
      <c r="F56" s="561"/>
      <c r="G56" s="562"/>
      <c r="H56" s="563"/>
      <c r="I56" s="564"/>
    </row>
    <row r="57">
      <c r="A57" s="262" t="s">
        <v>966</v>
      </c>
      <c r="B57" s="425"/>
      <c r="C57" s="421"/>
      <c r="D57" s="566"/>
      <c r="E57" s="567"/>
      <c r="F57" s="549">
        <v>550.0</v>
      </c>
      <c r="G57" s="550" t="s">
        <v>1978</v>
      </c>
      <c r="H57" s="551"/>
      <c r="I57" s="552"/>
    </row>
    <row r="58">
      <c r="A58" s="265"/>
      <c r="B58" s="404"/>
      <c r="C58" s="400"/>
      <c r="D58" s="182"/>
      <c r="E58" s="557"/>
      <c r="F58" s="554"/>
      <c r="G58" s="550"/>
      <c r="H58" s="551"/>
      <c r="I58" s="552"/>
    </row>
    <row r="59">
      <c r="A59" s="265"/>
      <c r="B59" s="404"/>
      <c r="C59" s="400"/>
      <c r="D59" s="182"/>
      <c r="E59" s="557"/>
      <c r="F59" s="558"/>
      <c r="G59" s="555"/>
      <c r="H59" s="551"/>
      <c r="I59" s="552"/>
    </row>
    <row r="60">
      <c r="A60" s="265"/>
      <c r="B60" s="477"/>
      <c r="C60" s="400"/>
      <c r="D60" s="182"/>
      <c r="E60" s="576"/>
      <c r="F60" s="558"/>
      <c r="G60" s="555"/>
      <c r="H60" s="551"/>
      <c r="I60" s="552"/>
    </row>
    <row r="61">
      <c r="A61" s="265"/>
      <c r="B61" s="477"/>
      <c r="C61" s="400"/>
      <c r="D61" s="182"/>
      <c r="E61" s="576"/>
      <c r="F61" s="558"/>
      <c r="G61" s="555"/>
      <c r="H61" s="551"/>
      <c r="I61" s="552"/>
    </row>
    <row r="62">
      <c r="A62" s="270"/>
      <c r="B62" s="478"/>
      <c r="C62" s="472"/>
      <c r="D62" s="559"/>
      <c r="E62" s="560"/>
      <c r="F62" s="561"/>
      <c r="G62" s="562"/>
      <c r="H62" s="563"/>
      <c r="I62" s="564"/>
    </row>
    <row r="63">
      <c r="A63" s="262" t="s">
        <v>969</v>
      </c>
      <c r="B63" s="419"/>
      <c r="C63" s="414"/>
      <c r="D63" s="22"/>
      <c r="E63" s="550"/>
      <c r="F63" s="554">
        <v>370.0</v>
      </c>
      <c r="G63" s="550" t="s">
        <v>1905</v>
      </c>
      <c r="H63" s="551"/>
      <c r="I63" s="552"/>
    </row>
    <row r="64">
      <c r="A64" s="265"/>
      <c r="B64" s="404"/>
      <c r="C64" s="399"/>
      <c r="D64" s="182"/>
      <c r="E64" s="557"/>
      <c r="F64" s="554">
        <v>160.0</v>
      </c>
      <c r="G64" s="550" t="s">
        <v>1906</v>
      </c>
      <c r="H64" s="556"/>
      <c r="I64" s="552"/>
    </row>
    <row r="65">
      <c r="A65" s="265"/>
      <c r="B65" s="404"/>
      <c r="C65" s="399"/>
      <c r="D65" s="182"/>
      <c r="E65" s="557"/>
      <c r="F65" s="558"/>
      <c r="G65" s="555"/>
      <c r="H65" s="551"/>
      <c r="I65" s="552"/>
    </row>
    <row r="66">
      <c r="A66" s="265"/>
      <c r="B66" s="404"/>
      <c r="C66" s="399"/>
      <c r="D66" s="182"/>
      <c r="E66" s="557"/>
      <c r="F66" s="554"/>
      <c r="G66" s="550"/>
      <c r="H66" s="556"/>
      <c r="I66" s="552"/>
    </row>
    <row r="67">
      <c r="A67" s="265"/>
      <c r="B67" s="404"/>
      <c r="C67" s="400"/>
      <c r="D67" s="182"/>
      <c r="E67" s="557"/>
      <c r="F67" s="558"/>
      <c r="G67" s="555"/>
      <c r="H67" s="551"/>
      <c r="I67" s="552"/>
    </row>
    <row r="68">
      <c r="A68" s="270"/>
      <c r="B68" s="404"/>
      <c r="C68" s="399"/>
      <c r="D68" s="182"/>
      <c r="E68" s="557"/>
      <c r="F68" s="561"/>
      <c r="G68" s="562"/>
      <c r="H68" s="563"/>
      <c r="I68" s="564"/>
    </row>
    <row r="69">
      <c r="A69" s="262" t="s">
        <v>970</v>
      </c>
      <c r="B69" s="425">
        <v>4000.0</v>
      </c>
      <c r="C69" s="401"/>
      <c r="D69" s="566"/>
      <c r="E69" s="567" t="s">
        <v>1979</v>
      </c>
      <c r="F69" s="549">
        <v>400.0</v>
      </c>
      <c r="G69" s="550" t="s">
        <v>1905</v>
      </c>
      <c r="H69" s="604">
        <f>SUM(H35:H68)</f>
        <v>0</v>
      </c>
      <c r="I69" s="605">
        <f>SUM(I37:I68)</f>
        <v>0</v>
      </c>
      <c r="J69" s="340" t="s">
        <v>1377</v>
      </c>
    </row>
    <row r="70">
      <c r="A70" s="265"/>
      <c r="B70" s="404"/>
      <c r="C70" s="400"/>
      <c r="D70" s="182"/>
      <c r="E70" s="557"/>
      <c r="F70" s="554"/>
      <c r="G70" s="550" t="s">
        <v>1980</v>
      </c>
      <c r="H70" s="556"/>
      <c r="I70" s="552"/>
    </row>
    <row r="71">
      <c r="A71" s="265"/>
      <c r="B71" s="404"/>
      <c r="C71" s="400"/>
      <c r="D71" s="182"/>
      <c r="E71" s="576"/>
      <c r="F71" s="558"/>
      <c r="G71" s="555"/>
      <c r="H71" s="551"/>
      <c r="I71" s="552"/>
    </row>
    <row r="72">
      <c r="A72" s="265"/>
      <c r="B72" s="480"/>
      <c r="C72" s="400"/>
      <c r="D72" s="182"/>
      <c r="E72" s="576"/>
      <c r="F72" s="554"/>
      <c r="G72" s="550"/>
      <c r="H72" s="551"/>
      <c r="I72" s="552"/>
    </row>
    <row r="73">
      <c r="A73" s="265"/>
      <c r="B73" s="480"/>
      <c r="C73" s="400"/>
      <c r="D73" s="574"/>
      <c r="E73" s="576"/>
      <c r="F73" s="558"/>
      <c r="G73" s="555"/>
      <c r="H73" s="551"/>
      <c r="I73" s="552"/>
    </row>
    <row r="74">
      <c r="A74" s="270"/>
      <c r="B74" s="478"/>
      <c r="C74" s="472"/>
      <c r="D74" s="577"/>
      <c r="E74" s="578"/>
      <c r="F74" s="561"/>
      <c r="G74" s="562"/>
      <c r="H74" s="563"/>
      <c r="I74" s="564"/>
    </row>
    <row r="75">
      <c r="A75" s="262" t="s">
        <v>971</v>
      </c>
      <c r="B75" s="425"/>
      <c r="C75" s="401"/>
      <c r="D75" s="566"/>
      <c r="E75" s="567"/>
      <c r="F75" s="549">
        <v>300.0</v>
      </c>
      <c r="G75" s="550" t="s">
        <v>1349</v>
      </c>
      <c r="H75" s="551"/>
      <c r="I75" s="552"/>
    </row>
    <row r="76">
      <c r="A76" s="265"/>
      <c r="B76" s="404"/>
      <c r="C76" s="400"/>
      <c r="D76" s="182"/>
      <c r="E76" s="557"/>
      <c r="F76" s="554"/>
      <c r="G76" s="550"/>
      <c r="H76" s="551"/>
      <c r="I76" s="552"/>
    </row>
    <row r="77">
      <c r="A77" s="265"/>
      <c r="B77" s="404"/>
      <c r="C77" s="399"/>
      <c r="D77" s="182"/>
      <c r="E77" s="557"/>
      <c r="F77" s="558"/>
      <c r="G77" s="555"/>
      <c r="H77" s="551"/>
      <c r="I77" s="552"/>
    </row>
    <row r="78">
      <c r="A78" s="265"/>
      <c r="B78" s="440"/>
      <c r="C78" s="399"/>
      <c r="D78" s="182"/>
      <c r="E78" s="557"/>
      <c r="F78" s="558"/>
      <c r="G78" s="550"/>
      <c r="H78" s="551"/>
      <c r="I78" s="552"/>
    </row>
    <row r="79">
      <c r="A79" s="265"/>
      <c r="B79" s="440"/>
      <c r="C79" s="400"/>
      <c r="D79" s="574"/>
      <c r="E79" s="557"/>
      <c r="F79" s="558"/>
      <c r="G79" s="555"/>
      <c r="H79" s="551"/>
      <c r="I79" s="552"/>
    </row>
    <row r="80">
      <c r="A80" s="270"/>
      <c r="B80" s="478"/>
      <c r="C80" s="472"/>
      <c r="D80" s="577"/>
      <c r="E80" s="578"/>
      <c r="F80" s="561"/>
      <c r="G80" s="562"/>
      <c r="H80" s="563"/>
      <c r="I80" s="564"/>
    </row>
    <row r="81">
      <c r="A81" s="262" t="s">
        <v>1981</v>
      </c>
      <c r="B81" s="461"/>
      <c r="C81" s="421"/>
      <c r="D81" s="566"/>
      <c r="E81" s="567"/>
      <c r="F81" s="549"/>
      <c r="G81" s="550" t="s">
        <v>1982</v>
      </c>
      <c r="H81" s="556"/>
      <c r="I81" s="569"/>
    </row>
    <row r="82">
      <c r="A82" s="265"/>
      <c r="B82" s="404"/>
      <c r="C82" s="400"/>
      <c r="D82" s="182"/>
      <c r="E82" s="557"/>
      <c r="F82" s="554"/>
      <c r="G82" s="550"/>
      <c r="H82" s="551"/>
      <c r="I82" s="552"/>
    </row>
    <row r="83">
      <c r="A83" s="265"/>
      <c r="B83" s="440"/>
      <c r="C83" s="400"/>
      <c r="D83" s="182"/>
      <c r="E83" s="557"/>
      <c r="F83" s="558"/>
      <c r="G83" s="555"/>
      <c r="H83" s="551"/>
      <c r="I83" s="552"/>
    </row>
    <row r="84">
      <c r="A84" s="265"/>
      <c r="B84" s="480"/>
      <c r="C84" s="400"/>
      <c r="D84" s="574"/>
      <c r="E84" s="576"/>
      <c r="F84" s="554"/>
      <c r="G84" s="550" t="s">
        <v>1983</v>
      </c>
      <c r="H84" s="551"/>
      <c r="I84" s="552"/>
    </row>
    <row r="85">
      <c r="A85" s="265"/>
      <c r="B85" s="480"/>
      <c r="C85" s="400"/>
      <c r="D85" s="574"/>
      <c r="E85" s="576"/>
      <c r="F85" s="558"/>
      <c r="G85" s="555"/>
      <c r="H85" s="551"/>
      <c r="I85" s="552"/>
    </row>
    <row r="86">
      <c r="A86" s="270"/>
      <c r="B86" s="478"/>
      <c r="C86" s="472"/>
      <c r="D86" s="577"/>
      <c r="E86" s="578"/>
      <c r="F86" s="561"/>
      <c r="G86" s="562"/>
      <c r="H86" s="563"/>
      <c r="I86" s="564"/>
    </row>
    <row r="87">
      <c r="A87" s="262" t="s">
        <v>975</v>
      </c>
      <c r="B87" s="425"/>
      <c r="C87" s="421"/>
      <c r="D87" s="566"/>
      <c r="E87" s="557"/>
      <c r="F87" s="549"/>
      <c r="G87" s="550" t="s">
        <v>1984</v>
      </c>
      <c r="H87" s="556"/>
      <c r="I87" s="552"/>
    </row>
    <row r="88">
      <c r="A88" s="265"/>
      <c r="B88" s="404"/>
      <c r="C88" s="400"/>
      <c r="D88" s="182"/>
      <c r="E88" s="557"/>
      <c r="F88" s="554"/>
      <c r="G88" s="550"/>
      <c r="H88" s="551"/>
      <c r="I88" s="552"/>
    </row>
    <row r="89">
      <c r="A89" s="265"/>
      <c r="B89" s="480"/>
      <c r="C89" s="400"/>
      <c r="D89" s="182"/>
      <c r="E89" s="557"/>
      <c r="F89" s="558"/>
      <c r="G89" s="555"/>
      <c r="H89" s="551"/>
      <c r="I89" s="552"/>
    </row>
    <row r="90">
      <c r="A90" s="265"/>
      <c r="B90" s="480"/>
      <c r="C90" s="400"/>
      <c r="D90" s="182"/>
      <c r="E90" s="576"/>
      <c r="F90" s="558"/>
      <c r="G90" s="555"/>
      <c r="H90" s="551"/>
      <c r="I90" s="552"/>
    </row>
    <row r="91">
      <c r="A91" s="265"/>
      <c r="B91" s="480"/>
      <c r="C91" s="400"/>
      <c r="D91" s="182"/>
      <c r="E91" s="576"/>
      <c r="F91" s="558"/>
      <c r="G91" s="555"/>
      <c r="H91" s="551"/>
      <c r="I91" s="552"/>
    </row>
    <row r="92">
      <c r="A92" s="270"/>
      <c r="B92" s="478"/>
      <c r="C92" s="472"/>
      <c r="D92" s="577"/>
      <c r="E92" s="578"/>
      <c r="F92" s="561"/>
      <c r="G92" s="562"/>
      <c r="H92" s="563"/>
      <c r="I92" s="564"/>
    </row>
    <row r="93">
      <c r="A93" s="262" t="s">
        <v>977</v>
      </c>
      <c r="B93" s="425"/>
      <c r="C93" s="421"/>
      <c r="D93" s="566"/>
      <c r="E93" s="567"/>
      <c r="F93" s="549"/>
      <c r="G93" s="550" t="s">
        <v>1985</v>
      </c>
      <c r="H93" s="551"/>
      <c r="I93" s="552"/>
    </row>
    <row r="94">
      <c r="A94" s="265"/>
      <c r="B94" s="404"/>
      <c r="C94" s="399"/>
      <c r="D94" s="182"/>
      <c r="E94" s="557"/>
      <c r="F94" s="554">
        <v>10.0</v>
      </c>
      <c r="G94" s="550" t="s">
        <v>1986</v>
      </c>
      <c r="H94" s="551"/>
      <c r="I94" s="552"/>
    </row>
    <row r="95">
      <c r="A95" s="265"/>
      <c r="B95" s="477"/>
      <c r="C95" s="399"/>
      <c r="D95" s="182"/>
      <c r="E95" s="557"/>
      <c r="F95" s="558"/>
      <c r="G95" s="555"/>
      <c r="H95" s="551"/>
      <c r="I95" s="552"/>
    </row>
    <row r="96">
      <c r="A96" s="265"/>
      <c r="B96" s="477"/>
      <c r="C96" s="400"/>
      <c r="D96" s="182"/>
      <c r="E96" s="557"/>
      <c r="F96" s="558"/>
      <c r="G96" s="555"/>
      <c r="H96" s="551"/>
      <c r="I96" s="552"/>
    </row>
    <row r="97">
      <c r="A97" s="265"/>
      <c r="B97" s="477"/>
      <c r="C97" s="400"/>
      <c r="D97" s="182"/>
      <c r="E97" s="557"/>
      <c r="F97" s="558"/>
      <c r="G97" s="555"/>
      <c r="H97" s="551"/>
      <c r="I97" s="552"/>
    </row>
    <row r="98">
      <c r="A98" s="270"/>
      <c r="B98" s="478"/>
      <c r="C98" s="472"/>
      <c r="D98" s="559"/>
      <c r="E98" s="560"/>
      <c r="F98" s="561"/>
      <c r="G98" s="562"/>
      <c r="H98" s="563"/>
      <c r="I98" s="564"/>
    </row>
    <row r="99">
      <c r="A99" s="262" t="s">
        <v>978</v>
      </c>
      <c r="B99" s="425"/>
      <c r="C99" s="399"/>
      <c r="D99" s="182"/>
      <c r="E99" s="557"/>
      <c r="F99" s="549">
        <v>290.0</v>
      </c>
      <c r="G99" s="550" t="s">
        <v>1948</v>
      </c>
      <c r="H99" s="551"/>
      <c r="I99" s="552"/>
    </row>
    <row r="100">
      <c r="A100" s="265"/>
      <c r="B100" s="404"/>
      <c r="C100" s="399"/>
      <c r="D100" s="182"/>
      <c r="E100" s="557"/>
      <c r="F100" s="554"/>
      <c r="G100" s="550" t="s">
        <v>1987</v>
      </c>
      <c r="H100" s="551"/>
      <c r="I100" s="552"/>
    </row>
    <row r="101">
      <c r="A101" s="265"/>
      <c r="B101" s="404"/>
      <c r="C101" s="489"/>
      <c r="D101" s="579"/>
      <c r="E101" s="580"/>
      <c r="F101" s="558"/>
      <c r="G101" s="555"/>
      <c r="H101" s="551"/>
      <c r="I101" s="552"/>
    </row>
    <row r="102">
      <c r="A102" s="265"/>
      <c r="B102" s="404"/>
      <c r="C102" s="400"/>
      <c r="D102" s="182"/>
      <c r="E102" s="557"/>
      <c r="F102" s="554"/>
      <c r="G102" s="550"/>
      <c r="H102" s="551"/>
      <c r="I102" s="552"/>
    </row>
    <row r="103">
      <c r="A103" s="265"/>
      <c r="B103" s="477"/>
      <c r="C103" s="400"/>
      <c r="D103" s="182"/>
      <c r="E103" s="576"/>
      <c r="F103" s="558"/>
      <c r="G103" s="555"/>
      <c r="H103" s="551"/>
      <c r="I103" s="552"/>
    </row>
    <row r="104">
      <c r="A104" s="270"/>
      <c r="B104" s="478"/>
      <c r="C104" s="472"/>
      <c r="D104" s="559"/>
      <c r="E104" s="560"/>
      <c r="F104" s="561"/>
      <c r="G104" s="562"/>
      <c r="H104" s="563"/>
      <c r="I104" s="564"/>
    </row>
    <row r="105">
      <c r="A105" s="262" t="s">
        <v>1115</v>
      </c>
      <c r="B105" s="425"/>
      <c r="C105" s="414"/>
      <c r="D105" s="182"/>
      <c r="E105" s="557"/>
      <c r="F105" s="549">
        <v>400.0</v>
      </c>
      <c r="G105" s="550" t="s">
        <v>1988</v>
      </c>
      <c r="H105" s="551"/>
      <c r="I105" s="552"/>
    </row>
    <row r="106">
      <c r="A106" s="265"/>
      <c r="B106" s="404"/>
      <c r="C106" s="400"/>
      <c r="D106" s="182"/>
      <c r="E106" s="557"/>
      <c r="F106" s="554"/>
      <c r="G106" s="550"/>
      <c r="H106" s="551"/>
      <c r="I106" s="552"/>
    </row>
    <row r="107">
      <c r="A107" s="265"/>
      <c r="B107" s="477"/>
      <c r="C107" s="400"/>
      <c r="D107" s="182"/>
      <c r="E107" s="557"/>
      <c r="F107" s="558"/>
      <c r="G107" s="555"/>
      <c r="H107" s="551"/>
      <c r="I107" s="552"/>
    </row>
    <row r="108">
      <c r="A108" s="265"/>
      <c r="B108" s="480"/>
      <c r="C108" s="400"/>
      <c r="D108" s="182"/>
      <c r="E108" s="557"/>
      <c r="F108" s="554"/>
      <c r="G108" s="550"/>
      <c r="H108" s="551"/>
      <c r="I108" s="552"/>
    </row>
    <row r="109">
      <c r="A109" s="265"/>
      <c r="B109" s="480"/>
      <c r="C109" s="400"/>
      <c r="D109" s="574"/>
      <c r="E109" s="576"/>
      <c r="F109" s="558"/>
      <c r="G109" s="550"/>
      <c r="H109" s="551"/>
      <c r="I109" s="552"/>
    </row>
    <row r="110">
      <c r="A110" s="270"/>
      <c r="B110" s="478"/>
      <c r="C110" s="472"/>
      <c r="D110" s="577"/>
      <c r="E110" s="578"/>
      <c r="F110" s="561"/>
      <c r="G110" s="562"/>
      <c r="H110" s="563"/>
      <c r="I110" s="564"/>
    </row>
    <row r="111">
      <c r="A111" s="262" t="s">
        <v>980</v>
      </c>
      <c r="B111" s="425"/>
      <c r="C111" s="401"/>
      <c r="D111" s="566"/>
      <c r="E111" s="567"/>
      <c r="F111" s="549">
        <v>320.0</v>
      </c>
      <c r="G111" s="550" t="s">
        <v>1988</v>
      </c>
      <c r="H111" s="556"/>
      <c r="I111" s="552"/>
    </row>
    <row r="112">
      <c r="A112" s="265"/>
      <c r="B112" s="477"/>
      <c r="C112" s="400"/>
      <c r="D112" s="182"/>
      <c r="E112" s="557"/>
      <c r="F112" s="554"/>
      <c r="G112" s="550"/>
      <c r="H112" s="551"/>
      <c r="I112" s="552"/>
    </row>
    <row r="113">
      <c r="A113" s="265"/>
      <c r="B113" s="477"/>
      <c r="C113" s="400"/>
      <c r="D113" s="182"/>
      <c r="E113" s="557"/>
      <c r="F113" s="558"/>
      <c r="G113" s="555"/>
      <c r="H113" s="551"/>
      <c r="I113" s="552"/>
    </row>
    <row r="114">
      <c r="A114" s="265"/>
      <c r="B114" s="477"/>
      <c r="C114" s="400"/>
      <c r="D114" s="182"/>
      <c r="E114" s="557"/>
      <c r="F114" s="558"/>
      <c r="G114" s="555"/>
      <c r="H114" s="551"/>
      <c r="I114" s="552"/>
    </row>
    <row r="115">
      <c r="A115" s="265"/>
      <c r="B115" s="477"/>
      <c r="C115" s="400"/>
      <c r="D115" s="182"/>
      <c r="E115" s="576"/>
      <c r="F115" s="558"/>
      <c r="G115" s="555"/>
      <c r="H115" s="551"/>
      <c r="I115" s="552"/>
    </row>
    <row r="116">
      <c r="A116" s="270"/>
      <c r="B116" s="478"/>
      <c r="C116" s="472"/>
      <c r="D116" s="577"/>
      <c r="E116" s="578"/>
      <c r="F116" s="561"/>
      <c r="G116" s="562"/>
      <c r="H116" s="563"/>
      <c r="I116" s="564"/>
    </row>
    <row r="117">
      <c r="A117" s="262" t="s">
        <v>1989</v>
      </c>
      <c r="B117" s="425"/>
      <c r="C117" s="401"/>
      <c r="D117" s="182"/>
      <c r="E117" s="557"/>
      <c r="F117" s="549">
        <v>250.0</v>
      </c>
      <c r="G117" s="550" t="s">
        <v>1905</v>
      </c>
      <c r="H117" s="556"/>
      <c r="I117" s="552"/>
    </row>
    <row r="118">
      <c r="A118" s="265"/>
      <c r="B118" s="404"/>
      <c r="C118" s="400"/>
      <c r="D118" s="182"/>
      <c r="E118" s="557"/>
      <c r="F118" s="554">
        <v>300.0</v>
      </c>
      <c r="G118" s="550" t="s">
        <v>1906</v>
      </c>
      <c r="H118" s="551"/>
      <c r="I118" s="552"/>
    </row>
    <row r="119">
      <c r="A119" s="265"/>
      <c r="B119" s="404"/>
      <c r="C119" s="400"/>
      <c r="D119" s="182"/>
      <c r="E119" s="557"/>
      <c r="F119" s="554">
        <v>110.0</v>
      </c>
      <c r="G119" s="550" t="s">
        <v>1990</v>
      </c>
      <c r="H119" s="551"/>
      <c r="I119" s="552"/>
    </row>
    <row r="120">
      <c r="A120" s="265"/>
      <c r="B120" s="477"/>
      <c r="C120" s="400"/>
      <c r="D120" s="182"/>
      <c r="E120" s="557"/>
      <c r="F120" s="554">
        <v>310.0</v>
      </c>
      <c r="G120" s="550" t="s">
        <v>1991</v>
      </c>
      <c r="H120" s="581"/>
      <c r="I120" s="582"/>
    </row>
    <row r="121">
      <c r="A121" s="265"/>
      <c r="B121" s="477"/>
      <c r="C121" s="400"/>
      <c r="D121" s="182"/>
      <c r="E121" s="576"/>
      <c r="F121" s="558"/>
      <c r="G121" s="555"/>
      <c r="H121" s="551"/>
      <c r="I121" s="552"/>
    </row>
    <row r="122">
      <c r="A122" s="270"/>
      <c r="B122" s="478"/>
      <c r="C122" s="472"/>
      <c r="D122" s="577"/>
      <c r="E122" s="578"/>
      <c r="F122" s="561"/>
      <c r="G122" s="562"/>
      <c r="H122" s="563"/>
      <c r="I122" s="564"/>
    </row>
    <row r="123">
      <c r="A123" s="262" t="s">
        <v>984</v>
      </c>
      <c r="B123" s="425"/>
      <c r="C123" s="421"/>
      <c r="D123" s="566"/>
      <c r="E123" s="567"/>
      <c r="F123" s="549">
        <v>300.0</v>
      </c>
      <c r="G123" s="550" t="s">
        <v>1905</v>
      </c>
      <c r="H123" s="556"/>
      <c r="I123" s="569"/>
    </row>
    <row r="124">
      <c r="A124" s="265"/>
      <c r="B124" s="404"/>
      <c r="C124" s="399"/>
      <c r="D124" s="182"/>
      <c r="E124" s="576"/>
      <c r="F124" s="554">
        <v>100.0</v>
      </c>
      <c r="G124" s="550" t="s">
        <v>1906</v>
      </c>
      <c r="H124" s="551"/>
      <c r="I124" s="569"/>
    </row>
    <row r="125">
      <c r="A125" s="265"/>
      <c r="B125" s="404"/>
      <c r="C125" s="400"/>
      <c r="D125" s="182"/>
      <c r="E125" s="576"/>
      <c r="F125" s="558"/>
      <c r="G125" s="555"/>
      <c r="H125" s="551"/>
      <c r="I125" s="552"/>
    </row>
    <row r="126">
      <c r="A126" s="265"/>
      <c r="B126" s="404"/>
      <c r="C126" s="400"/>
      <c r="D126" s="182"/>
      <c r="E126" s="576"/>
      <c r="F126" s="558"/>
      <c r="G126" s="555"/>
      <c r="H126" s="551"/>
      <c r="I126" s="552"/>
    </row>
    <row r="127">
      <c r="A127" s="265"/>
      <c r="B127" s="404"/>
      <c r="C127" s="399"/>
      <c r="D127" s="182"/>
      <c r="E127" s="576"/>
      <c r="F127" s="558"/>
      <c r="G127" s="555"/>
      <c r="H127" s="551"/>
      <c r="I127" s="552"/>
    </row>
    <row r="128">
      <c r="A128" s="270"/>
      <c r="B128" s="478"/>
      <c r="C128" s="472"/>
      <c r="D128" s="559"/>
      <c r="E128" s="560"/>
      <c r="F128" s="561"/>
      <c r="G128" s="562"/>
      <c r="H128" s="563"/>
      <c r="I128" s="564"/>
    </row>
    <row r="129">
      <c r="A129" s="262" t="s">
        <v>985</v>
      </c>
      <c r="B129" s="425"/>
      <c r="C129" s="401"/>
      <c r="D129" s="566"/>
      <c r="E129" s="567"/>
      <c r="F129" s="549">
        <v>300.0</v>
      </c>
      <c r="G129" s="550" t="s">
        <v>1978</v>
      </c>
      <c r="H129" s="556"/>
      <c r="I129" s="569"/>
    </row>
    <row r="130">
      <c r="A130" s="265"/>
      <c r="B130" s="477"/>
      <c r="C130" s="400"/>
      <c r="D130" s="182"/>
      <c r="E130" s="576"/>
      <c r="F130" s="554"/>
      <c r="G130" s="550"/>
      <c r="H130" s="551"/>
      <c r="I130" s="552"/>
    </row>
    <row r="131">
      <c r="A131" s="265"/>
      <c r="B131" s="477"/>
      <c r="C131" s="400"/>
      <c r="D131" s="182"/>
      <c r="E131" s="576"/>
      <c r="F131" s="558"/>
      <c r="G131" s="555"/>
      <c r="H131" s="551"/>
      <c r="I131" s="552"/>
    </row>
    <row r="132">
      <c r="A132" s="265"/>
      <c r="B132" s="477"/>
      <c r="C132" s="400"/>
      <c r="D132" s="182"/>
      <c r="E132" s="576"/>
      <c r="F132" s="558"/>
      <c r="G132" s="555"/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70"/>
      <c r="B134" s="478"/>
      <c r="C134" s="472"/>
      <c r="D134" s="577"/>
      <c r="E134" s="578"/>
      <c r="F134" s="561"/>
      <c r="G134" s="562"/>
      <c r="H134" s="563"/>
      <c r="I134" s="564"/>
    </row>
    <row r="135">
      <c r="A135" s="262" t="s">
        <v>988</v>
      </c>
      <c r="B135" s="425">
        <v>9500.0</v>
      </c>
      <c r="C135" s="401"/>
      <c r="D135" s="566"/>
      <c r="E135" s="557" t="s">
        <v>1098</v>
      </c>
      <c r="F135" s="549">
        <v>180.0</v>
      </c>
      <c r="G135" s="550" t="s">
        <v>1905</v>
      </c>
      <c r="H135" s="551"/>
      <c r="I135" s="552"/>
    </row>
    <row r="136">
      <c r="A136" s="265"/>
      <c r="B136" s="477"/>
      <c r="C136" s="399"/>
      <c r="D136" s="182"/>
      <c r="E136" s="576"/>
      <c r="F136" s="554">
        <v>80.0</v>
      </c>
      <c r="G136" s="550" t="s">
        <v>1906</v>
      </c>
      <c r="H136" s="551"/>
      <c r="I136" s="552"/>
    </row>
    <row r="137">
      <c r="A137" s="265"/>
      <c r="B137" s="477"/>
      <c r="C137" s="400"/>
      <c r="D137" s="182"/>
      <c r="E137" s="576"/>
      <c r="F137" s="558"/>
      <c r="G137" s="555"/>
      <c r="H137" s="551"/>
      <c r="I137" s="552"/>
    </row>
    <row r="138">
      <c r="A138" s="265"/>
      <c r="B138" s="404"/>
      <c r="C138" s="400"/>
      <c r="D138" s="182"/>
      <c r="E138" s="576"/>
      <c r="F138" s="554"/>
      <c r="G138" s="550"/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70"/>
      <c r="B140" s="478"/>
      <c r="C140" s="472"/>
      <c r="D140" s="577"/>
      <c r="E140" s="578"/>
      <c r="F140" s="561"/>
      <c r="G140" s="562"/>
      <c r="H140" s="563"/>
      <c r="I140" s="564"/>
    </row>
    <row r="141">
      <c r="A141" s="280" t="s">
        <v>990</v>
      </c>
      <c r="B141" s="425"/>
      <c r="C141" s="401"/>
      <c r="D141" s="566"/>
      <c r="E141" s="557"/>
      <c r="F141" s="549">
        <v>400.0</v>
      </c>
      <c r="G141" s="550" t="s">
        <v>1978</v>
      </c>
      <c r="H141" s="556"/>
      <c r="I141" s="569"/>
    </row>
    <row r="142">
      <c r="A142" s="265"/>
      <c r="B142" s="404"/>
      <c r="C142" s="399"/>
      <c r="D142" s="182"/>
      <c r="E142" s="557"/>
      <c r="F142" s="554"/>
      <c r="G142" s="550"/>
      <c r="H142" s="551"/>
      <c r="I142" s="552"/>
    </row>
    <row r="143">
      <c r="A143" s="265"/>
      <c r="B143" s="404"/>
      <c r="C143" s="399"/>
      <c r="D143" s="182"/>
      <c r="E143" s="557"/>
      <c r="F143" s="554"/>
      <c r="G143" s="555"/>
      <c r="H143" s="551"/>
      <c r="I143" s="552"/>
    </row>
    <row r="144">
      <c r="A144" s="265"/>
      <c r="B144" s="404"/>
      <c r="C144" s="399"/>
      <c r="D144" s="182"/>
      <c r="E144" s="557"/>
      <c r="F144" s="554"/>
      <c r="G144" s="550"/>
      <c r="H144" s="551"/>
      <c r="I144" s="552"/>
    </row>
    <row r="145">
      <c r="A145" s="270"/>
      <c r="B145" s="404"/>
      <c r="C145" s="399"/>
      <c r="D145" s="182"/>
      <c r="E145" s="557"/>
      <c r="F145" s="554"/>
      <c r="G145" s="555"/>
      <c r="H145" s="551"/>
      <c r="I145" s="552"/>
    </row>
    <row r="146">
      <c r="A146" s="452"/>
      <c r="B146" s="404"/>
      <c r="C146" s="399"/>
      <c r="D146" s="182"/>
      <c r="E146" s="557"/>
      <c r="F146" s="554"/>
      <c r="G146" s="562"/>
      <c r="H146" s="563"/>
      <c r="I146" s="564"/>
    </row>
    <row r="147">
      <c r="A147" s="280" t="s">
        <v>992</v>
      </c>
      <c r="B147" s="461"/>
      <c r="C147" s="421"/>
      <c r="D147" s="583"/>
      <c r="E147" s="584"/>
      <c r="F147" s="549">
        <v>300.0</v>
      </c>
      <c r="G147" s="550" t="s">
        <v>1948</v>
      </c>
      <c r="H147" s="556"/>
      <c r="I147" s="552"/>
    </row>
    <row r="148">
      <c r="A148" s="265"/>
      <c r="B148" s="404"/>
      <c r="C148" s="399"/>
      <c r="D148" s="182"/>
      <c r="E148" s="557"/>
      <c r="F148" s="554">
        <v>200.0</v>
      </c>
      <c r="G148" s="550" t="s">
        <v>1992</v>
      </c>
      <c r="H148" s="551"/>
      <c r="I148" s="552"/>
    </row>
    <row r="149">
      <c r="A149" s="265"/>
      <c r="B149" s="477"/>
      <c r="C149" s="399"/>
      <c r="D149" s="182"/>
      <c r="E149" s="557"/>
      <c r="F149" s="554"/>
      <c r="G149" s="555"/>
      <c r="H149" s="551"/>
      <c r="I149" s="552"/>
    </row>
    <row r="150">
      <c r="A150" s="265"/>
      <c r="B150" s="477"/>
      <c r="C150" s="399"/>
      <c r="D150" s="182"/>
      <c r="E150" s="576"/>
      <c r="F150" s="558"/>
      <c r="G150" s="555"/>
      <c r="H150" s="551"/>
      <c r="I150" s="552"/>
    </row>
    <row r="151">
      <c r="A151" s="265"/>
      <c r="B151" s="404"/>
      <c r="C151" s="399"/>
      <c r="D151" s="182"/>
      <c r="E151" s="576"/>
      <c r="F151" s="554"/>
      <c r="G151" s="555"/>
      <c r="H151" s="551"/>
      <c r="I151" s="552"/>
    </row>
    <row r="152">
      <c r="A152" s="270"/>
      <c r="B152" s="478"/>
      <c r="C152" s="462"/>
      <c r="D152" s="577"/>
      <c r="E152" s="560"/>
      <c r="F152" s="561"/>
      <c r="G152" s="562"/>
      <c r="H152" s="563"/>
      <c r="I152" s="564"/>
    </row>
    <row r="153">
      <c r="A153" s="299" t="s">
        <v>1993</v>
      </c>
      <c r="B153" s="440"/>
      <c r="C153" s="462"/>
      <c r="D153" s="182"/>
      <c r="E153" s="557"/>
      <c r="F153" s="554">
        <v>510.0</v>
      </c>
      <c r="G153" s="550" t="s">
        <v>1988</v>
      </c>
      <c r="H153" s="551"/>
      <c r="I153" s="552"/>
    </row>
    <row r="154">
      <c r="B154" s="480"/>
      <c r="C154" s="462"/>
      <c r="D154" s="574"/>
      <c r="E154" s="576"/>
      <c r="F154" s="554"/>
      <c r="G154" s="550"/>
      <c r="H154" s="551"/>
      <c r="I154" s="552"/>
    </row>
    <row r="155">
      <c r="B155" s="480"/>
      <c r="C155" s="462"/>
      <c r="D155" s="574"/>
      <c r="E155" s="576"/>
      <c r="F155" s="558"/>
      <c r="G155" s="555"/>
      <c r="H155" s="551"/>
      <c r="I155" s="552"/>
    </row>
    <row r="156">
      <c r="B156" s="480"/>
      <c r="C156" s="462"/>
      <c r="D156" s="574"/>
      <c r="E156" s="576"/>
      <c r="F156" s="554">
        <v>160.0</v>
      </c>
      <c r="G156" s="550" t="s">
        <v>1473</v>
      </c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A158" s="585"/>
      <c r="B158" s="271"/>
      <c r="C158" s="586"/>
      <c r="D158" s="587"/>
      <c r="E158" s="588"/>
      <c r="F158" s="561"/>
      <c r="G158" s="562"/>
      <c r="H158" s="563"/>
      <c r="I158" s="564"/>
    </row>
    <row r="159">
      <c r="A159" s="299"/>
      <c r="B159" s="440" t="s">
        <v>1994</v>
      </c>
      <c r="C159" s="462"/>
      <c r="D159" s="182"/>
      <c r="E159" s="557"/>
      <c r="F159" s="554"/>
      <c r="G159" s="550"/>
      <c r="H159" s="551"/>
      <c r="I159" s="552"/>
    </row>
    <row r="160">
      <c r="B160" s="480">
        <f>SUM(B2:B159)</f>
        <v>29000</v>
      </c>
      <c r="C160" s="462"/>
      <c r="D160" s="574"/>
      <c r="E160" s="576"/>
      <c r="F160" s="554"/>
      <c r="G160" s="550"/>
      <c r="H160" s="551"/>
      <c r="I160" s="552"/>
    </row>
    <row r="161">
      <c r="B161" s="480"/>
      <c r="C161" s="462"/>
      <c r="D161" s="574"/>
      <c r="E161" s="576"/>
      <c r="F161" s="558"/>
      <c r="G161" s="555"/>
      <c r="H161" s="551"/>
      <c r="I161" s="552"/>
    </row>
    <row r="162">
      <c r="B162" s="480"/>
      <c r="C162" s="462"/>
      <c r="D162" s="574"/>
      <c r="E162" s="576"/>
      <c r="F162" s="558"/>
      <c r="G162" s="555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A164" s="585"/>
      <c r="B164" s="271"/>
      <c r="C164" s="586"/>
      <c r="D164" s="587"/>
      <c r="E164" s="588"/>
      <c r="F164" s="561"/>
      <c r="G164" s="562"/>
      <c r="H164" s="563"/>
      <c r="I164" s="564"/>
    </row>
    <row r="165">
      <c r="A165" s="299" t="s">
        <v>1964</v>
      </c>
      <c r="B165" s="440"/>
      <c r="C165" s="462"/>
      <c r="D165" s="182"/>
      <c r="E165" s="557"/>
      <c r="F165" s="554"/>
      <c r="G165" s="550"/>
      <c r="H165" s="551"/>
      <c r="I165" s="552"/>
    </row>
    <row r="166">
      <c r="B166" s="480"/>
      <c r="C166" s="462"/>
      <c r="D166" s="574"/>
      <c r="E166" s="576"/>
      <c r="F166" s="558"/>
      <c r="G166" s="555"/>
      <c r="H166" s="551"/>
      <c r="I166" s="552"/>
    </row>
    <row r="167">
      <c r="B167" s="480"/>
      <c r="C167" s="462"/>
      <c r="D167" s="574"/>
      <c r="E167" s="576"/>
      <c r="F167" s="558"/>
      <c r="G167" s="555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A170" s="585"/>
      <c r="B170" s="271"/>
      <c r="C170" s="586"/>
      <c r="D170" s="587"/>
      <c r="E170" s="588"/>
      <c r="F170" s="561"/>
      <c r="G170" s="562"/>
      <c r="H170" s="563"/>
      <c r="I170" s="564"/>
    </row>
    <row r="171">
      <c r="A171" s="299"/>
      <c r="B171" s="440"/>
      <c r="C171" s="462"/>
      <c r="D171" s="182"/>
      <c r="E171" s="557"/>
      <c r="F171" s="558"/>
      <c r="G171" s="555"/>
      <c r="H171" s="551"/>
      <c r="I171" s="552"/>
    </row>
    <row r="172">
      <c r="B172" s="480"/>
      <c r="C172" s="462"/>
      <c r="D172" s="574"/>
      <c r="E172" s="576"/>
      <c r="F172" s="558"/>
      <c r="G172" s="555"/>
      <c r="H172" s="551"/>
      <c r="I172" s="552"/>
    </row>
    <row r="173">
      <c r="B173" s="480"/>
      <c r="C173" s="462"/>
      <c r="D173" s="574"/>
      <c r="E173" s="576"/>
      <c r="F173" s="558"/>
      <c r="G173" s="555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A176" s="585"/>
      <c r="B176" s="271"/>
      <c r="C176" s="586"/>
      <c r="D176" s="587"/>
      <c r="E176" s="588"/>
      <c r="F176" s="561"/>
      <c r="G176" s="562"/>
      <c r="H176" s="563"/>
      <c r="I176" s="564"/>
    </row>
    <row r="177">
      <c r="A177" s="606"/>
      <c r="B177" s="600"/>
      <c r="C177" s="607"/>
      <c r="D177" s="566"/>
      <c r="E177" s="567"/>
      <c r="F177" s="597"/>
      <c r="G177" s="608"/>
      <c r="H177" s="609"/>
      <c r="I177" s="610"/>
    </row>
    <row r="178">
      <c r="A178" s="611"/>
      <c r="B178" s="480"/>
      <c r="C178" s="462"/>
      <c r="D178" s="574"/>
      <c r="E178" s="576"/>
      <c r="F178" s="558"/>
      <c r="G178" s="555"/>
      <c r="H178" s="551"/>
      <c r="I178" s="612"/>
    </row>
    <row r="179">
      <c r="A179" s="611"/>
      <c r="B179" s="480"/>
      <c r="C179" s="462"/>
      <c r="D179" s="574"/>
      <c r="E179" s="576"/>
      <c r="F179" s="558"/>
      <c r="G179" s="555"/>
      <c r="H179" s="551"/>
      <c r="I179" s="612"/>
    </row>
    <row r="180">
      <c r="A180" s="611"/>
      <c r="B180" s="480"/>
      <c r="C180" s="462"/>
      <c r="D180" s="574"/>
      <c r="E180" s="576"/>
      <c r="F180" s="558"/>
      <c r="G180" s="555"/>
      <c r="H180" s="551"/>
      <c r="I180" s="612"/>
    </row>
    <row r="181">
      <c r="A181" s="613"/>
      <c r="B181" s="478"/>
      <c r="C181" s="614"/>
      <c r="D181" s="577"/>
      <c r="E181" s="578"/>
      <c r="F181" s="561"/>
      <c r="G181" s="562"/>
      <c r="H181" s="563"/>
      <c r="I181" s="615"/>
    </row>
    <row r="182">
      <c r="A182" s="606"/>
      <c r="B182" s="600"/>
      <c r="C182" s="607"/>
      <c r="D182" s="566"/>
      <c r="E182" s="567"/>
      <c r="F182" s="597"/>
      <c r="G182" s="608"/>
      <c r="H182" s="609"/>
      <c r="I182" s="610"/>
    </row>
    <row r="183">
      <c r="A183" s="611"/>
      <c r="B183" s="480"/>
      <c r="C183" s="462"/>
      <c r="D183" s="574"/>
      <c r="E183" s="576"/>
      <c r="F183" s="558"/>
      <c r="G183" s="555"/>
      <c r="H183" s="551"/>
      <c r="I183" s="612"/>
    </row>
    <row r="184">
      <c r="A184" s="611"/>
      <c r="B184" s="480"/>
      <c r="C184" s="462"/>
      <c r="D184" s="574"/>
      <c r="E184" s="576"/>
      <c r="F184" s="558"/>
      <c r="G184" s="555"/>
      <c r="H184" s="551"/>
      <c r="I184" s="612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3"/>
      <c r="B186" s="478"/>
      <c r="C186" s="614"/>
      <c r="D186" s="577"/>
      <c r="E186" s="578"/>
      <c r="F186" s="561"/>
      <c r="G186" s="562"/>
      <c r="H186" s="563"/>
      <c r="I186" s="615"/>
    </row>
    <row r="187">
      <c r="A187" s="299"/>
      <c r="B187" s="440"/>
      <c r="C187" s="462"/>
      <c r="D187" s="182"/>
      <c r="E187" s="557"/>
      <c r="F187" s="558"/>
      <c r="G187" s="555"/>
      <c r="H187" s="551"/>
      <c r="I187" s="552"/>
    </row>
    <row r="188">
      <c r="B188" s="480"/>
      <c r="C188" s="462"/>
      <c r="D188" s="574"/>
      <c r="E188" s="576"/>
      <c r="F188" s="558"/>
      <c r="G188" s="555"/>
      <c r="H188" s="551"/>
      <c r="I188" s="552"/>
    </row>
    <row r="189">
      <c r="B189" s="480"/>
      <c r="C189" s="462"/>
      <c r="D189" s="574"/>
      <c r="E189" s="576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A192" s="585"/>
      <c r="B192" s="271"/>
      <c r="C192" s="586"/>
      <c r="D192" s="587"/>
      <c r="E192" s="588"/>
      <c r="F192" s="561"/>
      <c r="G192" s="562"/>
      <c r="H192" s="563"/>
      <c r="I192" s="564"/>
    </row>
    <row r="193">
      <c r="A193" s="303"/>
      <c r="B193" s="268"/>
      <c r="C193" s="253"/>
      <c r="D193" s="366"/>
      <c r="E193" s="555"/>
      <c r="F193" s="558"/>
      <c r="G193" s="555"/>
      <c r="H193" s="551"/>
      <c r="I193" s="552"/>
    </row>
    <row r="194">
      <c r="A194" s="303"/>
      <c r="B194" s="268"/>
      <c r="C194" s="253"/>
      <c r="D194" s="366"/>
      <c r="E194" s="555"/>
      <c r="F194" s="558"/>
      <c r="G194" s="555"/>
      <c r="H194" s="551"/>
      <c r="I194" s="552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4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5"/>
      <c r="B198" s="271"/>
      <c r="C198" s="273"/>
      <c r="D198" s="587"/>
      <c r="E198" s="562"/>
      <c r="F198" s="561"/>
      <c r="G198" s="555"/>
      <c r="H198" s="551"/>
      <c r="I198" s="552"/>
    </row>
    <row r="199">
      <c r="A199" s="265"/>
      <c r="B199" s="306"/>
      <c r="C199" s="241"/>
      <c r="D199" s="583"/>
      <c r="E199" s="548"/>
      <c r="F199" s="597"/>
      <c r="G199" s="555"/>
      <c r="H199" s="551"/>
      <c r="I199" s="552"/>
    </row>
    <row r="200">
      <c r="A200" s="265"/>
      <c r="B200" s="268"/>
      <c r="C200" s="253"/>
      <c r="D200" s="366"/>
      <c r="E200" s="555"/>
      <c r="F200" s="558"/>
      <c r="G200" s="555"/>
      <c r="H200" s="551"/>
      <c r="I200" s="552"/>
    </row>
    <row r="201">
      <c r="A201" s="265"/>
      <c r="B201" s="268"/>
      <c r="C201" s="253"/>
      <c r="D201" s="366"/>
      <c r="E201" s="555"/>
      <c r="F201" s="558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70"/>
      <c r="B207" s="268"/>
      <c r="C207" s="253"/>
      <c r="D207" s="366"/>
      <c r="E207" s="555"/>
      <c r="F207" s="558"/>
      <c r="G207" s="555"/>
      <c r="H207" s="551"/>
      <c r="I207" s="552"/>
    </row>
    <row r="208">
      <c r="B208" s="271"/>
      <c r="C208" s="273"/>
      <c r="D208" s="587"/>
      <c r="E208" s="562"/>
      <c r="F208" s="561"/>
      <c r="G208" s="555"/>
      <c r="H208" s="551"/>
      <c r="I208" s="552"/>
    </row>
    <row r="209">
      <c r="B209" s="306"/>
      <c r="C209" s="241"/>
      <c r="D209" s="583"/>
      <c r="E209" s="548"/>
      <c r="F209" s="597"/>
      <c r="G209" s="555"/>
      <c r="H209" s="551"/>
      <c r="I209" s="552"/>
    </row>
    <row r="210">
      <c r="B210" s="268"/>
      <c r="C210" s="253"/>
      <c r="D210" s="366"/>
      <c r="E210" s="555"/>
      <c r="F210" s="558"/>
      <c r="G210" s="555"/>
      <c r="H210" s="551"/>
      <c r="I210" s="552"/>
    </row>
    <row r="211">
      <c r="B211" s="268"/>
      <c r="C211" s="253"/>
      <c r="D211" s="366"/>
      <c r="E211" s="555"/>
      <c r="F211" s="558"/>
      <c r="G211" s="555"/>
      <c r="H211" s="551"/>
      <c r="I211" s="552"/>
    </row>
    <row r="212">
      <c r="B212" s="308"/>
      <c r="C212" s="253"/>
      <c r="D212" s="598"/>
      <c r="E212" s="555"/>
      <c r="F212" s="572"/>
      <c r="G212" s="555"/>
      <c r="H212" s="551"/>
      <c r="I212" s="552"/>
    </row>
    <row r="213">
      <c r="B213" s="308"/>
      <c r="C213" s="253"/>
      <c r="D213" s="598"/>
      <c r="E213" s="555"/>
      <c r="F213" s="572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</sheetData>
  <mergeCells count="33">
    <mergeCell ref="A2:A7"/>
    <mergeCell ref="A8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  <mergeCell ref="A69:A74"/>
    <mergeCell ref="A75:A80"/>
    <mergeCell ref="A81:A86"/>
    <mergeCell ref="A87:A92"/>
    <mergeCell ref="A93:A98"/>
    <mergeCell ref="A99:A104"/>
    <mergeCell ref="A105:A110"/>
    <mergeCell ref="A111:A116"/>
    <mergeCell ref="A117:A122"/>
    <mergeCell ref="A123:A128"/>
    <mergeCell ref="A171:A175"/>
    <mergeCell ref="A177:A181"/>
    <mergeCell ref="A182:A186"/>
    <mergeCell ref="A187:A191"/>
    <mergeCell ref="A198:A207"/>
    <mergeCell ref="A129:A134"/>
    <mergeCell ref="A135:A140"/>
    <mergeCell ref="A141:A145"/>
    <mergeCell ref="A147:A152"/>
    <mergeCell ref="A153:A157"/>
    <mergeCell ref="A159:A163"/>
    <mergeCell ref="A165:A1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1130</v>
      </c>
      <c r="B2" s="425"/>
      <c r="C2" s="532"/>
      <c r="D2" s="547"/>
      <c r="E2" s="548"/>
      <c r="F2" s="549"/>
      <c r="G2" s="550"/>
      <c r="H2" s="556"/>
      <c r="I2" s="552"/>
    </row>
    <row r="3">
      <c r="A3" s="265"/>
      <c r="B3" s="510"/>
      <c r="C3" s="399"/>
      <c r="D3" s="366"/>
      <c r="E3" s="553"/>
      <c r="F3" s="554">
        <v>280.0</v>
      </c>
      <c r="G3" s="550" t="s">
        <v>1988</v>
      </c>
      <c r="H3" s="556"/>
      <c r="I3" s="569"/>
    </row>
    <row r="4">
      <c r="A4" s="265"/>
      <c r="B4" s="404"/>
      <c r="C4" s="414"/>
      <c r="D4" s="182"/>
      <c r="E4" s="557"/>
      <c r="F4" s="558"/>
      <c r="G4" s="550"/>
      <c r="H4" s="556"/>
      <c r="I4" s="552"/>
    </row>
    <row r="5">
      <c r="A5" s="265"/>
      <c r="B5" s="404"/>
      <c r="C5" s="399"/>
      <c r="D5" s="182"/>
      <c r="E5" s="557"/>
      <c r="F5" s="558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52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997</v>
      </c>
      <c r="B8" s="425"/>
      <c r="C8" s="401"/>
      <c r="D8" s="182">
        <v>12582.0</v>
      </c>
      <c r="E8" s="557" t="s">
        <v>97</v>
      </c>
      <c r="F8" s="549">
        <v>30.0</v>
      </c>
      <c r="G8" s="550" t="s">
        <v>1995</v>
      </c>
      <c r="H8" s="556"/>
      <c r="I8" s="552"/>
    </row>
    <row r="9">
      <c r="A9" s="265"/>
      <c r="B9" s="419"/>
      <c r="C9" s="414"/>
      <c r="D9" s="182">
        <v>4585.0</v>
      </c>
      <c r="E9" s="557" t="s">
        <v>97</v>
      </c>
      <c r="F9" s="554"/>
      <c r="G9" s="550"/>
      <c r="H9" s="556"/>
      <c r="I9" s="552"/>
    </row>
    <row r="10">
      <c r="A10" s="265"/>
      <c r="B10" s="339"/>
      <c r="C10" s="414"/>
      <c r="D10" s="182">
        <v>12600.0</v>
      </c>
      <c r="E10" s="557" t="s">
        <v>227</v>
      </c>
      <c r="F10" s="554"/>
      <c r="G10" s="550"/>
      <c r="H10" s="556"/>
      <c r="I10" s="552"/>
    </row>
    <row r="11">
      <c r="A11" s="265"/>
      <c r="B11" s="404"/>
      <c r="C11" s="399"/>
      <c r="D11" s="182">
        <v>1670.0</v>
      </c>
      <c r="E11" s="557" t="s">
        <v>227</v>
      </c>
      <c r="F11" s="554"/>
      <c r="G11" s="550"/>
      <c r="H11" s="556"/>
      <c r="I11" s="552"/>
    </row>
    <row r="12">
      <c r="A12" s="265"/>
      <c r="B12" s="419"/>
      <c r="C12" s="414"/>
      <c r="D12" s="182">
        <v>1188.0</v>
      </c>
      <c r="E12" s="557" t="s">
        <v>227</v>
      </c>
      <c r="F12" s="558"/>
      <c r="G12" s="550"/>
      <c r="H12" s="556"/>
      <c r="I12" s="552"/>
    </row>
    <row r="13">
      <c r="A13" s="265"/>
      <c r="B13" s="404"/>
      <c r="C13" s="399"/>
      <c r="D13" s="182">
        <v>12200.0</v>
      </c>
      <c r="E13" s="557" t="s">
        <v>368</v>
      </c>
      <c r="F13" s="558"/>
      <c r="G13" s="555"/>
      <c r="H13" s="556"/>
      <c r="I13" s="552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998</v>
      </c>
      <c r="B15" s="600"/>
      <c r="C15" s="421"/>
      <c r="D15" s="566"/>
      <c r="E15" s="567"/>
      <c r="F15" s="549">
        <v>440.0</v>
      </c>
      <c r="G15" s="550" t="s">
        <v>1988</v>
      </c>
      <c r="H15" s="551"/>
      <c r="I15" s="569"/>
    </row>
    <row r="16">
      <c r="A16" s="265"/>
      <c r="B16" s="440"/>
      <c r="C16" s="414"/>
      <c r="D16" s="182"/>
      <c r="E16" s="557"/>
      <c r="F16" s="554"/>
      <c r="G16" s="553"/>
      <c r="H16" s="556"/>
      <c r="I16" s="552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65"/>
      <c r="B19" s="404"/>
      <c r="C19" s="399"/>
      <c r="D19" s="182"/>
      <c r="E19" s="557"/>
      <c r="F19" s="558"/>
      <c r="G19" s="555"/>
      <c r="H19" s="556"/>
      <c r="I19" s="552"/>
    </row>
    <row r="20">
      <c r="A20" s="270"/>
      <c r="B20" s="404"/>
      <c r="C20" s="399"/>
      <c r="D20" s="182"/>
      <c r="E20" s="557"/>
      <c r="F20" s="558"/>
      <c r="G20" s="562"/>
      <c r="H20" s="563"/>
      <c r="I20" s="601"/>
    </row>
    <row r="21">
      <c r="A21" s="262" t="s">
        <v>1002</v>
      </c>
      <c r="B21" s="425"/>
      <c r="C21" s="401"/>
      <c r="D21" s="566"/>
      <c r="E21" s="567"/>
      <c r="F21" s="549">
        <v>320.0</v>
      </c>
      <c r="G21" s="550" t="s">
        <v>1988</v>
      </c>
      <c r="H21" s="556"/>
      <c r="I21" s="569"/>
    </row>
    <row r="22">
      <c r="A22" s="265"/>
      <c r="B22" s="404"/>
      <c r="C22" s="399"/>
      <c r="D22" s="182"/>
      <c r="E22" s="557"/>
      <c r="F22" s="554">
        <v>60.0</v>
      </c>
      <c r="G22" s="550" t="s">
        <v>1996</v>
      </c>
      <c r="H22" s="551"/>
      <c r="I22" s="552"/>
    </row>
    <row r="23">
      <c r="A23" s="265"/>
      <c r="B23" s="457"/>
      <c r="C23" s="399"/>
      <c r="D23" s="182"/>
      <c r="E23" s="557"/>
      <c r="F23" s="558"/>
      <c r="G23" s="555"/>
      <c r="H23" s="551"/>
      <c r="I23" s="552"/>
    </row>
    <row r="24">
      <c r="A24" s="265"/>
      <c r="B24" s="468"/>
      <c r="C24" s="399"/>
      <c r="D24" s="570"/>
      <c r="E24" s="557"/>
      <c r="F24" s="558"/>
      <c r="G24" s="555"/>
      <c r="H24" s="551"/>
      <c r="I24" s="552"/>
    </row>
    <row r="25">
      <c r="A25" s="265"/>
      <c r="B25" s="468"/>
      <c r="C25" s="399"/>
      <c r="D25" s="182"/>
      <c r="E25" s="557"/>
      <c r="F25" s="554"/>
      <c r="G25" s="555"/>
      <c r="H25" s="551"/>
      <c r="I25" s="552"/>
    </row>
    <row r="26">
      <c r="A26" s="270"/>
      <c r="B26" s="404"/>
      <c r="C26" s="399"/>
      <c r="D26" s="182"/>
      <c r="E26" s="557"/>
      <c r="F26" s="558"/>
      <c r="G26" s="562"/>
      <c r="H26" s="563"/>
      <c r="I26" s="564"/>
    </row>
    <row r="27">
      <c r="A27" s="262" t="s">
        <v>1004</v>
      </c>
      <c r="B27" s="425"/>
      <c r="C27" s="421"/>
      <c r="D27" s="182"/>
      <c r="E27" s="567"/>
      <c r="F27" s="571">
        <v>600.0</v>
      </c>
      <c r="G27" s="550" t="s">
        <v>1988</v>
      </c>
      <c r="H27" s="551"/>
      <c r="I27" s="552"/>
    </row>
    <row r="28">
      <c r="A28" s="265"/>
      <c r="B28" s="404"/>
      <c r="C28" s="399"/>
      <c r="D28" s="182"/>
      <c r="E28" s="557"/>
      <c r="F28" s="83"/>
      <c r="G28" s="550"/>
      <c r="H28" s="551"/>
      <c r="I28" s="552"/>
    </row>
    <row r="29">
      <c r="A29" s="265"/>
      <c r="B29" s="404"/>
      <c r="C29" s="400"/>
      <c r="D29" s="182"/>
      <c r="E29" s="557"/>
      <c r="F29" s="572"/>
      <c r="G29" s="573"/>
      <c r="H29" s="551"/>
      <c r="I29" s="552"/>
    </row>
    <row r="30">
      <c r="A30" s="265"/>
      <c r="B30" s="404"/>
      <c r="C30" s="400"/>
      <c r="D30" s="182"/>
      <c r="E30" s="557"/>
      <c r="F30" s="83"/>
      <c r="G30" s="550"/>
      <c r="H30" s="551"/>
      <c r="I30" s="552"/>
    </row>
    <row r="31">
      <c r="A31" s="265"/>
      <c r="B31" s="404"/>
      <c r="C31" s="400"/>
      <c r="D31" s="182"/>
      <c r="E31" s="557"/>
      <c r="F31" s="558"/>
      <c r="G31" s="550"/>
      <c r="H31" s="551"/>
      <c r="I31" s="552"/>
    </row>
    <row r="32">
      <c r="A32" s="270"/>
      <c r="B32" s="440"/>
      <c r="C32" s="400"/>
      <c r="D32" s="574"/>
      <c r="E32" s="557"/>
      <c r="F32" s="558"/>
      <c r="G32" s="575"/>
      <c r="H32" s="563"/>
      <c r="I32" s="564"/>
    </row>
    <row r="33">
      <c r="A33" s="262" t="s">
        <v>1997</v>
      </c>
      <c r="B33" s="425"/>
      <c r="C33" s="401"/>
      <c r="D33" s="566">
        <v>3484.85</v>
      </c>
      <c r="E33" s="567" t="s">
        <v>97</v>
      </c>
      <c r="F33" s="549">
        <v>540.0</v>
      </c>
      <c r="G33" s="550" t="s">
        <v>1988</v>
      </c>
      <c r="H33" s="618" t="s">
        <v>1349</v>
      </c>
      <c r="I33" s="602"/>
      <c r="J33" s="603"/>
    </row>
    <row r="34">
      <c r="A34" s="265"/>
      <c r="B34" s="477"/>
      <c r="C34" s="400"/>
      <c r="D34" s="182"/>
      <c r="E34" s="576"/>
      <c r="F34" s="554"/>
      <c r="G34" s="550"/>
      <c r="H34" s="551"/>
      <c r="I34" s="552"/>
    </row>
    <row r="35">
      <c r="A35" s="265"/>
      <c r="B35" s="477"/>
      <c r="C35" s="400"/>
      <c r="D35" s="182"/>
      <c r="E35" s="576"/>
      <c r="F35" s="558"/>
      <c r="G35" s="555"/>
      <c r="H35" s="556"/>
      <c r="I35" s="552"/>
    </row>
    <row r="36">
      <c r="A36" s="265"/>
      <c r="B36" s="477"/>
      <c r="C36" s="400"/>
      <c r="D36" s="182"/>
      <c r="E36" s="576"/>
      <c r="F36" s="554">
        <v>240.0</v>
      </c>
      <c r="G36" s="550" t="s">
        <v>1473</v>
      </c>
      <c r="H36" s="556" t="s">
        <v>1349</v>
      </c>
      <c r="I36" s="552"/>
    </row>
    <row r="37">
      <c r="A37" s="265"/>
      <c r="B37" s="477"/>
      <c r="C37" s="400"/>
      <c r="D37" s="182"/>
      <c r="E37" s="576"/>
      <c r="F37" s="558"/>
      <c r="G37" s="555"/>
      <c r="H37" s="551"/>
      <c r="I37" s="569"/>
    </row>
    <row r="38">
      <c r="A38" s="270"/>
      <c r="B38" s="478"/>
      <c r="C38" s="472"/>
      <c r="D38" s="577"/>
      <c r="E38" s="578"/>
      <c r="F38" s="561"/>
      <c r="G38" s="562"/>
      <c r="H38" s="563"/>
      <c r="I38" s="601"/>
    </row>
    <row r="39">
      <c r="A39" s="262" t="s">
        <v>1007</v>
      </c>
      <c r="B39" s="425"/>
      <c r="C39" s="401"/>
      <c r="D39" s="566"/>
      <c r="E39" s="550"/>
      <c r="F39" s="549">
        <v>540.0</v>
      </c>
      <c r="G39" s="550" t="s">
        <v>1988</v>
      </c>
      <c r="H39" s="556" t="s">
        <v>1349</v>
      </c>
      <c r="I39" s="552"/>
    </row>
    <row r="40">
      <c r="A40" s="265"/>
      <c r="B40" s="404"/>
      <c r="C40" s="399"/>
      <c r="D40" s="182"/>
      <c r="E40" s="550"/>
      <c r="F40" s="554"/>
      <c r="G40" s="550"/>
      <c r="H40" s="556"/>
      <c r="I40" s="552"/>
    </row>
    <row r="41">
      <c r="A41" s="265"/>
      <c r="B41" s="440"/>
      <c r="C41" s="400"/>
      <c r="D41" s="182"/>
      <c r="E41" s="557"/>
      <c r="F41" s="558"/>
      <c r="G41" s="555"/>
      <c r="H41" s="556"/>
      <c r="I41" s="552"/>
    </row>
    <row r="42">
      <c r="A42" s="265"/>
      <c r="B42" s="440"/>
      <c r="C42" s="400"/>
      <c r="D42" s="182"/>
      <c r="E42" s="576"/>
      <c r="F42" s="558"/>
      <c r="G42" s="555"/>
      <c r="H42" s="556"/>
      <c r="I42" s="552"/>
    </row>
    <row r="43">
      <c r="A43" s="265"/>
      <c r="B43" s="480"/>
      <c r="C43" s="400"/>
      <c r="D43" s="182"/>
      <c r="E43" s="576"/>
      <c r="F43" s="558"/>
      <c r="G43" s="555"/>
      <c r="H43" s="556"/>
      <c r="I43" s="552"/>
    </row>
    <row r="44">
      <c r="A44" s="270"/>
      <c r="B44" s="478"/>
      <c r="C44" s="472"/>
      <c r="D44" s="577"/>
      <c r="E44" s="578"/>
      <c r="F44" s="561"/>
      <c r="G44" s="562"/>
      <c r="H44" s="599"/>
      <c r="I44" s="564"/>
    </row>
    <row r="45">
      <c r="A45" s="262" t="s">
        <v>1010</v>
      </c>
      <c r="B45" s="425"/>
      <c r="C45" s="421"/>
      <c r="D45" s="566">
        <v>67721.0</v>
      </c>
      <c r="E45" s="567" t="s">
        <v>1531</v>
      </c>
      <c r="F45" s="549">
        <v>300.0</v>
      </c>
      <c r="G45" s="550" t="s">
        <v>1988</v>
      </c>
      <c r="H45" s="556"/>
      <c r="I45" s="552"/>
    </row>
    <row r="46">
      <c r="A46" s="265"/>
      <c r="B46" s="404"/>
      <c r="C46" s="399"/>
      <c r="D46" s="182">
        <v>19000.0</v>
      </c>
      <c r="E46" s="557" t="s">
        <v>374</v>
      </c>
      <c r="F46" s="554"/>
      <c r="G46" s="550"/>
      <c r="H46" s="556"/>
      <c r="I46" s="552"/>
    </row>
    <row r="47">
      <c r="A47" s="265"/>
      <c r="B47" s="440"/>
      <c r="C47" s="400"/>
      <c r="D47" s="182"/>
      <c r="E47" s="557"/>
      <c r="F47" s="558"/>
      <c r="G47" s="555"/>
      <c r="H47" s="556"/>
      <c r="I47" s="552"/>
    </row>
    <row r="48">
      <c r="A48" s="265"/>
      <c r="B48" s="440"/>
      <c r="C48" s="400"/>
      <c r="D48" s="574"/>
      <c r="E48" s="576"/>
      <c r="F48" s="554"/>
      <c r="G48" s="550"/>
      <c r="H48" s="556"/>
      <c r="I48" s="552"/>
    </row>
    <row r="49">
      <c r="A49" s="265"/>
      <c r="B49" s="480"/>
      <c r="C49" s="400"/>
      <c r="D49" s="182"/>
      <c r="E49" s="576"/>
      <c r="F49" s="558"/>
      <c r="G49" s="555"/>
      <c r="H49" s="551"/>
      <c r="I49" s="569"/>
    </row>
    <row r="50">
      <c r="A50" s="270"/>
      <c r="B50" s="478"/>
      <c r="C50" s="472"/>
      <c r="D50" s="559"/>
      <c r="E50" s="560"/>
      <c r="F50" s="561"/>
      <c r="G50" s="562"/>
      <c r="H50" s="599"/>
      <c r="I50" s="564"/>
    </row>
    <row r="51">
      <c r="A51" s="262" t="s">
        <v>1014</v>
      </c>
      <c r="B51" s="425"/>
      <c r="C51" s="421"/>
      <c r="D51" s="566"/>
      <c r="E51" s="567"/>
      <c r="F51" s="549">
        <v>300.0</v>
      </c>
      <c r="G51" s="550" t="s">
        <v>1988</v>
      </c>
      <c r="H51" s="556" t="s">
        <v>1998</v>
      </c>
      <c r="I51" s="569"/>
    </row>
    <row r="52">
      <c r="A52" s="265"/>
      <c r="B52" s="404"/>
      <c r="C52" s="399"/>
      <c r="D52" s="182"/>
      <c r="E52" s="557"/>
      <c r="F52" s="554"/>
      <c r="G52" s="550"/>
      <c r="H52" s="551"/>
      <c r="I52" s="569"/>
    </row>
    <row r="53">
      <c r="A53" s="265"/>
      <c r="B53" s="404"/>
      <c r="C53" s="399"/>
      <c r="D53" s="182"/>
      <c r="E53" s="557"/>
      <c r="F53" s="558"/>
      <c r="G53" s="555"/>
      <c r="H53" s="556"/>
      <c r="I53" s="552"/>
    </row>
    <row r="54">
      <c r="A54" s="265"/>
      <c r="B54" s="404"/>
      <c r="C54" s="399"/>
      <c r="D54" s="182"/>
      <c r="E54" s="557"/>
      <c r="F54" s="558"/>
      <c r="G54" s="555"/>
      <c r="H54" s="556"/>
      <c r="I54" s="552"/>
    </row>
    <row r="55">
      <c r="A55" s="265"/>
      <c r="B55" s="440"/>
      <c r="C55" s="399"/>
      <c r="D55" s="182"/>
      <c r="E55" s="557"/>
      <c r="F55" s="558"/>
      <c r="G55" s="555"/>
      <c r="H55" s="551"/>
      <c r="I55" s="552"/>
    </row>
    <row r="56">
      <c r="A56" s="270"/>
      <c r="B56" s="470"/>
      <c r="C56" s="486"/>
      <c r="D56" s="559"/>
      <c r="E56" s="560"/>
      <c r="F56" s="561"/>
      <c r="G56" s="562"/>
      <c r="H56" s="563"/>
      <c r="I56" s="564"/>
    </row>
    <row r="57">
      <c r="A57" s="262" t="s">
        <v>1018</v>
      </c>
      <c r="B57" s="425"/>
      <c r="C57" s="421"/>
      <c r="D57" s="566">
        <v>4255.0</v>
      </c>
      <c r="E57" s="567" t="s">
        <v>97</v>
      </c>
      <c r="F57" s="549">
        <v>450.0</v>
      </c>
      <c r="G57" s="550" t="s">
        <v>1948</v>
      </c>
      <c r="H57" s="551"/>
      <c r="I57" s="552"/>
    </row>
    <row r="58">
      <c r="A58" s="265"/>
      <c r="B58" s="404"/>
      <c r="C58" s="400"/>
      <c r="D58" s="182"/>
      <c r="E58" s="557"/>
      <c r="F58" s="554"/>
      <c r="G58" s="550" t="s">
        <v>1999</v>
      </c>
      <c r="H58" s="551"/>
      <c r="I58" s="552"/>
    </row>
    <row r="59">
      <c r="A59" s="265"/>
      <c r="B59" s="404"/>
      <c r="C59" s="400"/>
      <c r="D59" s="182"/>
      <c r="E59" s="557"/>
      <c r="F59" s="558"/>
      <c r="G59" s="555"/>
      <c r="H59" s="551"/>
      <c r="I59" s="552"/>
    </row>
    <row r="60">
      <c r="A60" s="265"/>
      <c r="B60" s="477"/>
      <c r="C60" s="400"/>
      <c r="D60" s="182"/>
      <c r="E60" s="576"/>
      <c r="F60" s="558"/>
      <c r="G60" s="555"/>
      <c r="H60" s="551"/>
      <c r="I60" s="552"/>
    </row>
    <row r="61">
      <c r="A61" s="265"/>
      <c r="B61" s="477"/>
      <c r="C61" s="400"/>
      <c r="D61" s="182"/>
      <c r="E61" s="576"/>
      <c r="F61" s="558"/>
      <c r="G61" s="555"/>
      <c r="H61" s="551"/>
      <c r="I61" s="552"/>
    </row>
    <row r="62">
      <c r="A62" s="270"/>
      <c r="B62" s="478"/>
      <c r="C62" s="472"/>
      <c r="D62" s="559"/>
      <c r="E62" s="560"/>
      <c r="F62" s="561"/>
      <c r="G62" s="562"/>
      <c r="H62" s="563"/>
      <c r="I62" s="564"/>
    </row>
    <row r="63">
      <c r="A63" s="262" t="s">
        <v>1020</v>
      </c>
      <c r="B63" s="419"/>
      <c r="C63" s="414"/>
      <c r="D63" s="22"/>
      <c r="E63" s="550"/>
      <c r="F63" s="554">
        <v>460.0</v>
      </c>
      <c r="G63" s="550" t="s">
        <v>2000</v>
      </c>
      <c r="H63" s="556" t="s">
        <v>1349</v>
      </c>
      <c r="I63" s="552"/>
    </row>
    <row r="64">
      <c r="A64" s="265"/>
      <c r="B64" s="404"/>
      <c r="C64" s="399"/>
      <c r="D64" s="182"/>
      <c r="E64" s="557"/>
      <c r="F64" s="554"/>
      <c r="G64" s="550"/>
      <c r="H64" s="556"/>
      <c r="I64" s="552"/>
    </row>
    <row r="65">
      <c r="A65" s="265"/>
      <c r="B65" s="404"/>
      <c r="C65" s="399"/>
      <c r="D65" s="182"/>
      <c r="E65" s="557"/>
      <c r="F65" s="558"/>
      <c r="G65" s="555"/>
      <c r="H65" s="551"/>
      <c r="I65" s="552"/>
    </row>
    <row r="66">
      <c r="A66" s="265"/>
      <c r="B66" s="404"/>
      <c r="C66" s="399"/>
      <c r="D66" s="182"/>
      <c r="E66" s="557"/>
      <c r="F66" s="554"/>
      <c r="G66" s="550"/>
      <c r="H66" s="556"/>
      <c r="I66" s="552"/>
    </row>
    <row r="67">
      <c r="A67" s="265"/>
      <c r="B67" s="404"/>
      <c r="C67" s="400"/>
      <c r="D67" s="182"/>
      <c r="E67" s="557"/>
      <c r="F67" s="558"/>
      <c r="G67" s="555"/>
      <c r="H67" s="551"/>
      <c r="I67" s="552"/>
    </row>
    <row r="68">
      <c r="A68" s="270"/>
      <c r="B68" s="404"/>
      <c r="C68" s="399"/>
      <c r="D68" s="182"/>
      <c r="E68" s="557"/>
      <c r="F68" s="561"/>
      <c r="G68" s="562"/>
      <c r="H68" s="563"/>
      <c r="I68" s="564"/>
    </row>
    <row r="69">
      <c r="A69" s="262" t="s">
        <v>2001</v>
      </c>
      <c r="B69" s="425"/>
      <c r="C69" s="401"/>
      <c r="D69" s="566"/>
      <c r="E69" s="567"/>
      <c r="F69" s="554">
        <v>360.0</v>
      </c>
      <c r="G69" s="550" t="s">
        <v>2002</v>
      </c>
      <c r="H69" s="604">
        <f>SUM(H35:H68)</f>
        <v>0</v>
      </c>
      <c r="I69" s="605">
        <f>SUM(I37:I68)</f>
        <v>0</v>
      </c>
      <c r="J69" s="340" t="s">
        <v>1377</v>
      </c>
    </row>
    <row r="70">
      <c r="A70" s="265"/>
      <c r="B70" s="404"/>
      <c r="C70" s="400"/>
      <c r="D70" s="182"/>
      <c r="E70" s="557"/>
      <c r="F70" s="554">
        <v>200.0</v>
      </c>
      <c r="G70" s="550" t="s">
        <v>2003</v>
      </c>
      <c r="H70" s="556"/>
      <c r="I70" s="552"/>
    </row>
    <row r="71">
      <c r="A71" s="265"/>
      <c r="B71" s="404"/>
      <c r="C71" s="400"/>
      <c r="D71" s="182"/>
      <c r="E71" s="576"/>
      <c r="F71" s="554"/>
      <c r="G71" s="550"/>
      <c r="H71" s="551"/>
      <c r="I71" s="552"/>
    </row>
    <row r="72">
      <c r="A72" s="265"/>
      <c r="B72" s="480"/>
      <c r="C72" s="400"/>
      <c r="D72" s="182"/>
      <c r="E72" s="576"/>
      <c r="F72" s="554">
        <v>200.0</v>
      </c>
      <c r="G72" s="550" t="s">
        <v>1991</v>
      </c>
      <c r="H72" s="551"/>
      <c r="I72" s="552"/>
    </row>
    <row r="73">
      <c r="A73" s="265"/>
      <c r="B73" s="480"/>
      <c r="C73" s="400"/>
      <c r="D73" s="574"/>
      <c r="E73" s="576"/>
      <c r="F73" s="558"/>
      <c r="G73" s="555"/>
      <c r="H73" s="551"/>
      <c r="I73" s="552"/>
    </row>
    <row r="74">
      <c r="A74" s="270"/>
      <c r="B74" s="478"/>
      <c r="C74" s="472"/>
      <c r="D74" s="577"/>
      <c r="E74" s="578"/>
      <c r="F74" s="561"/>
      <c r="G74" s="562"/>
      <c r="H74" s="563"/>
      <c r="I74" s="564"/>
    </row>
    <row r="75">
      <c r="A75" s="262" t="s">
        <v>1023</v>
      </c>
      <c r="B75" s="425">
        <v>4200.0</v>
      </c>
      <c r="C75" s="401"/>
      <c r="D75" s="566"/>
      <c r="E75" s="567" t="s">
        <v>2004</v>
      </c>
      <c r="F75" s="549">
        <v>420.0</v>
      </c>
      <c r="G75" s="550" t="s">
        <v>1978</v>
      </c>
      <c r="H75" s="551"/>
      <c r="I75" s="552"/>
    </row>
    <row r="76">
      <c r="A76" s="265"/>
      <c r="B76" s="404">
        <v>3600.0</v>
      </c>
      <c r="C76" s="400"/>
      <c r="D76" s="182"/>
      <c r="E76" s="567" t="s">
        <v>2004</v>
      </c>
      <c r="F76" s="554"/>
      <c r="G76" s="550"/>
      <c r="H76" s="551"/>
      <c r="I76" s="552"/>
    </row>
    <row r="77">
      <c r="A77" s="265"/>
      <c r="B77" s="404"/>
      <c r="C77" s="399"/>
      <c r="D77" s="182"/>
      <c r="E77" s="557"/>
      <c r="F77" s="558"/>
      <c r="G77" s="555"/>
      <c r="H77" s="551"/>
      <c r="I77" s="552"/>
    </row>
    <row r="78">
      <c r="A78" s="265"/>
      <c r="B78" s="440"/>
      <c r="C78" s="399"/>
      <c r="D78" s="182"/>
      <c r="E78" s="557"/>
      <c r="F78" s="558"/>
      <c r="G78" s="550"/>
      <c r="H78" s="551"/>
      <c r="I78" s="552"/>
    </row>
    <row r="79">
      <c r="A79" s="265"/>
      <c r="B79" s="440"/>
      <c r="C79" s="400"/>
      <c r="D79" s="574"/>
      <c r="E79" s="557"/>
      <c r="F79" s="558"/>
      <c r="G79" s="555"/>
      <c r="H79" s="551"/>
      <c r="I79" s="552"/>
    </row>
    <row r="80">
      <c r="A80" s="270"/>
      <c r="B80" s="478"/>
      <c r="C80" s="472"/>
      <c r="D80" s="577"/>
      <c r="E80" s="578"/>
      <c r="F80" s="561"/>
      <c r="G80" s="562"/>
      <c r="H80" s="563"/>
      <c r="I80" s="564"/>
    </row>
    <row r="81">
      <c r="A81" s="262" t="s">
        <v>1025</v>
      </c>
      <c r="B81" s="461"/>
      <c r="C81" s="421"/>
      <c r="D81" s="566"/>
      <c r="E81" s="567"/>
      <c r="F81" s="549"/>
      <c r="G81" s="550"/>
      <c r="H81" s="556"/>
      <c r="I81" s="569"/>
    </row>
    <row r="82">
      <c r="A82" s="265"/>
      <c r="B82" s="404"/>
      <c r="C82" s="400"/>
      <c r="D82" s="182"/>
      <c r="E82" s="557"/>
      <c r="F82" s="554">
        <v>320.0</v>
      </c>
      <c r="G82" s="550" t="s">
        <v>1978</v>
      </c>
      <c r="H82" s="551"/>
      <c r="I82" s="552"/>
    </row>
    <row r="83">
      <c r="A83" s="265"/>
      <c r="B83" s="440"/>
      <c r="C83" s="400"/>
      <c r="D83" s="182"/>
      <c r="E83" s="557"/>
      <c r="F83" s="558"/>
      <c r="G83" s="555"/>
      <c r="H83" s="551"/>
      <c r="I83" s="552"/>
    </row>
    <row r="84">
      <c r="A84" s="265"/>
      <c r="B84" s="480"/>
      <c r="C84" s="400"/>
      <c r="D84" s="574"/>
      <c r="E84" s="576"/>
      <c r="F84" s="554"/>
      <c r="G84" s="550"/>
      <c r="H84" s="551"/>
      <c r="I84" s="552"/>
    </row>
    <row r="85">
      <c r="A85" s="265"/>
      <c r="B85" s="480"/>
      <c r="C85" s="400"/>
      <c r="D85" s="574"/>
      <c r="E85" s="576"/>
      <c r="F85" s="558"/>
      <c r="G85" s="555"/>
      <c r="H85" s="551"/>
      <c r="I85" s="552"/>
    </row>
    <row r="86">
      <c r="A86" s="270"/>
      <c r="B86" s="478"/>
      <c r="C86" s="472"/>
      <c r="D86" s="577"/>
      <c r="E86" s="578"/>
      <c r="F86" s="561"/>
      <c r="G86" s="562"/>
      <c r="H86" s="563"/>
      <c r="I86" s="564"/>
    </row>
    <row r="87">
      <c r="A87" s="262" t="s">
        <v>1026</v>
      </c>
      <c r="B87" s="425"/>
      <c r="C87" s="421"/>
      <c r="D87" s="566"/>
      <c r="E87" s="557"/>
      <c r="F87" s="549">
        <v>330.0</v>
      </c>
      <c r="G87" s="550" t="s">
        <v>1978</v>
      </c>
      <c r="H87" s="556"/>
      <c r="I87" s="552"/>
    </row>
    <row r="88">
      <c r="A88" s="265"/>
      <c r="B88" s="404"/>
      <c r="C88" s="400"/>
      <c r="D88" s="182"/>
      <c r="E88" s="557"/>
      <c r="F88" s="554"/>
      <c r="G88" s="550"/>
      <c r="H88" s="551"/>
      <c r="I88" s="552"/>
    </row>
    <row r="89">
      <c r="A89" s="265"/>
      <c r="B89" s="480"/>
      <c r="C89" s="400"/>
      <c r="D89" s="182"/>
      <c r="E89" s="557"/>
      <c r="F89" s="558"/>
      <c r="G89" s="555"/>
      <c r="H89" s="551"/>
      <c r="I89" s="552"/>
    </row>
    <row r="90">
      <c r="A90" s="265"/>
      <c r="B90" s="480"/>
      <c r="C90" s="400"/>
      <c r="D90" s="182"/>
      <c r="E90" s="576"/>
      <c r="F90" s="558"/>
      <c r="G90" s="555"/>
      <c r="H90" s="551"/>
      <c r="I90" s="552"/>
    </row>
    <row r="91">
      <c r="A91" s="265"/>
      <c r="B91" s="480"/>
      <c r="C91" s="400"/>
      <c r="D91" s="182"/>
      <c r="E91" s="576"/>
      <c r="F91" s="558"/>
      <c r="G91" s="555"/>
      <c r="H91" s="551"/>
      <c r="I91" s="552"/>
    </row>
    <row r="92">
      <c r="A92" s="270"/>
      <c r="B92" s="478"/>
      <c r="C92" s="472"/>
      <c r="D92" s="577"/>
      <c r="E92" s="578"/>
      <c r="F92" s="561"/>
      <c r="G92" s="562"/>
      <c r="H92" s="563"/>
      <c r="I92" s="564"/>
    </row>
    <row r="93">
      <c r="A93" s="262" t="s">
        <v>1027</v>
      </c>
      <c r="B93" s="425"/>
      <c r="C93" s="421"/>
      <c r="D93" s="566"/>
      <c r="E93" s="567"/>
      <c r="F93" s="549">
        <v>400.0</v>
      </c>
      <c r="G93" s="550" t="s">
        <v>1978</v>
      </c>
      <c r="H93" s="551"/>
      <c r="I93" s="552"/>
    </row>
    <row r="94">
      <c r="A94" s="265"/>
      <c r="B94" s="404"/>
      <c r="C94" s="399"/>
      <c r="D94" s="182"/>
      <c r="E94" s="557"/>
      <c r="F94" s="554"/>
      <c r="G94" s="550"/>
      <c r="H94" s="551"/>
      <c r="I94" s="552"/>
    </row>
    <row r="95">
      <c r="A95" s="265"/>
      <c r="B95" s="477"/>
      <c r="C95" s="399"/>
      <c r="D95" s="182"/>
      <c r="E95" s="557"/>
      <c r="F95" s="558"/>
      <c r="G95" s="555"/>
      <c r="H95" s="551"/>
      <c r="I95" s="552"/>
    </row>
    <row r="96">
      <c r="A96" s="265"/>
      <c r="B96" s="477"/>
      <c r="C96" s="400"/>
      <c r="D96" s="182"/>
      <c r="E96" s="557"/>
      <c r="F96" s="558"/>
      <c r="G96" s="555"/>
      <c r="H96" s="551"/>
      <c r="I96" s="552"/>
    </row>
    <row r="97">
      <c r="A97" s="265"/>
      <c r="B97" s="477"/>
      <c r="C97" s="400"/>
      <c r="D97" s="182"/>
      <c r="E97" s="557"/>
      <c r="F97" s="558"/>
      <c r="G97" s="555"/>
      <c r="H97" s="551"/>
      <c r="I97" s="552"/>
    </row>
    <row r="98">
      <c r="A98" s="270"/>
      <c r="B98" s="478"/>
      <c r="C98" s="472"/>
      <c r="D98" s="559"/>
      <c r="E98" s="560"/>
      <c r="F98" s="561"/>
      <c r="G98" s="562"/>
      <c r="H98" s="563"/>
      <c r="I98" s="564"/>
    </row>
    <row r="99">
      <c r="A99" s="262" t="s">
        <v>1028</v>
      </c>
      <c r="B99" s="425"/>
      <c r="C99" s="399"/>
      <c r="D99" s="182"/>
      <c r="E99" s="557"/>
      <c r="F99" s="549">
        <f>160+90+120</f>
        <v>370</v>
      </c>
      <c r="G99" s="550" t="s">
        <v>1988</v>
      </c>
      <c r="H99" s="551"/>
      <c r="I99" s="552"/>
    </row>
    <row r="100">
      <c r="A100" s="265"/>
      <c r="B100" s="404"/>
      <c r="C100" s="399"/>
      <c r="D100" s="182"/>
      <c r="E100" s="557"/>
      <c r="F100" s="554"/>
      <c r="G100" s="550"/>
      <c r="H100" s="551"/>
      <c r="I100" s="552"/>
    </row>
    <row r="101">
      <c r="A101" s="265"/>
      <c r="B101" s="404"/>
      <c r="C101" s="489"/>
      <c r="D101" s="579"/>
      <c r="E101" s="580"/>
      <c r="F101" s="558"/>
      <c r="G101" s="555"/>
      <c r="H101" s="551"/>
      <c r="I101" s="552"/>
    </row>
    <row r="102">
      <c r="A102" s="265"/>
      <c r="B102" s="404"/>
      <c r="C102" s="400"/>
      <c r="D102" s="182"/>
      <c r="E102" s="557"/>
      <c r="F102" s="554"/>
      <c r="G102" s="550"/>
      <c r="H102" s="551"/>
      <c r="I102" s="552"/>
    </row>
    <row r="103">
      <c r="A103" s="265"/>
      <c r="B103" s="477"/>
      <c r="C103" s="400"/>
      <c r="D103" s="182"/>
      <c r="E103" s="576"/>
      <c r="F103" s="558"/>
      <c r="G103" s="555"/>
      <c r="H103" s="551"/>
      <c r="I103" s="552"/>
    </row>
    <row r="104">
      <c r="A104" s="270"/>
      <c r="B104" s="478"/>
      <c r="C104" s="472"/>
      <c r="D104" s="559"/>
      <c r="E104" s="560"/>
      <c r="F104" s="561"/>
      <c r="G104" s="562"/>
      <c r="H104" s="563"/>
      <c r="I104" s="564"/>
    </row>
    <row r="105">
      <c r="A105" s="262" t="s">
        <v>2005</v>
      </c>
      <c r="B105" s="425"/>
      <c r="C105" s="414"/>
      <c r="D105" s="182"/>
      <c r="E105" s="557"/>
      <c r="F105" s="549">
        <f>370+160</f>
        <v>530</v>
      </c>
      <c r="G105" s="550" t="s">
        <v>2006</v>
      </c>
      <c r="H105" s="551"/>
      <c r="I105" s="552"/>
    </row>
    <row r="106">
      <c r="A106" s="265"/>
      <c r="B106" s="404"/>
      <c r="C106" s="400"/>
      <c r="D106" s="182"/>
      <c r="E106" s="557"/>
      <c r="F106" s="554"/>
      <c r="G106" s="550" t="s">
        <v>2007</v>
      </c>
      <c r="H106" s="551"/>
      <c r="I106" s="552"/>
    </row>
    <row r="107">
      <c r="A107" s="265"/>
      <c r="B107" s="477"/>
      <c r="C107" s="400"/>
      <c r="D107" s="182"/>
      <c r="E107" s="557"/>
      <c r="F107" s="558"/>
      <c r="G107" s="555"/>
      <c r="H107" s="551"/>
      <c r="I107" s="552"/>
    </row>
    <row r="108">
      <c r="A108" s="265"/>
      <c r="B108" s="480"/>
      <c r="C108" s="400"/>
      <c r="D108" s="182"/>
      <c r="E108" s="557"/>
      <c r="F108" s="554">
        <v>230.0</v>
      </c>
      <c r="G108" s="550" t="s">
        <v>2008</v>
      </c>
      <c r="H108" s="551"/>
      <c r="I108" s="552"/>
    </row>
    <row r="109">
      <c r="A109" s="265"/>
      <c r="B109" s="480"/>
      <c r="C109" s="400"/>
      <c r="D109" s="574"/>
      <c r="E109" s="576"/>
      <c r="F109" s="558"/>
      <c r="G109" s="550"/>
      <c r="H109" s="551"/>
      <c r="I109" s="552"/>
    </row>
    <row r="110">
      <c r="A110" s="270"/>
      <c r="B110" s="478"/>
      <c r="C110" s="472"/>
      <c r="D110" s="577"/>
      <c r="E110" s="578"/>
      <c r="F110" s="561"/>
      <c r="G110" s="562"/>
      <c r="H110" s="563"/>
      <c r="I110" s="564"/>
    </row>
    <row r="111">
      <c r="A111" s="262" t="s">
        <v>1156</v>
      </c>
      <c r="B111" s="425"/>
      <c r="C111" s="401"/>
      <c r="D111" s="566">
        <v>3149.0</v>
      </c>
      <c r="E111" s="567" t="s">
        <v>227</v>
      </c>
      <c r="F111" s="549">
        <v>170.0</v>
      </c>
      <c r="G111" s="550" t="s">
        <v>1905</v>
      </c>
      <c r="H111" s="556"/>
      <c r="I111" s="552"/>
    </row>
    <row r="112">
      <c r="A112" s="265"/>
      <c r="B112" s="477"/>
      <c r="C112" s="400"/>
      <c r="D112" s="182">
        <v>3646.0</v>
      </c>
      <c r="E112" s="557" t="s">
        <v>227</v>
      </c>
      <c r="F112" s="554">
        <v>210.0</v>
      </c>
      <c r="G112" s="550" t="s">
        <v>1906</v>
      </c>
      <c r="H112" s="551"/>
      <c r="I112" s="552"/>
    </row>
    <row r="113">
      <c r="A113" s="265"/>
      <c r="B113" s="477"/>
      <c r="C113" s="400"/>
      <c r="D113" s="182"/>
      <c r="E113" s="557"/>
      <c r="F113" s="558"/>
      <c r="G113" s="555"/>
      <c r="H113" s="551"/>
      <c r="I113" s="552"/>
    </row>
    <row r="114">
      <c r="A114" s="265"/>
      <c r="B114" s="477"/>
      <c r="C114" s="400"/>
      <c r="D114" s="182"/>
      <c r="E114" s="557"/>
      <c r="F114" s="558"/>
      <c r="G114" s="555"/>
      <c r="H114" s="551"/>
      <c r="I114" s="552"/>
    </row>
    <row r="115">
      <c r="A115" s="265"/>
      <c r="B115" s="477"/>
      <c r="C115" s="400"/>
      <c r="D115" s="182"/>
      <c r="E115" s="576"/>
      <c r="F115" s="558"/>
      <c r="G115" s="555"/>
      <c r="H115" s="551"/>
      <c r="I115" s="552"/>
    </row>
    <row r="116">
      <c r="A116" s="270"/>
      <c r="B116" s="478"/>
      <c r="C116" s="472"/>
      <c r="D116" s="577"/>
      <c r="E116" s="578"/>
      <c r="F116" s="561"/>
      <c r="G116" s="562"/>
      <c r="H116" s="563"/>
      <c r="I116" s="564"/>
    </row>
    <row r="117">
      <c r="A117" s="262" t="s">
        <v>1032</v>
      </c>
      <c r="B117" s="425"/>
      <c r="C117" s="401"/>
      <c r="D117" s="182">
        <v>5700.0</v>
      </c>
      <c r="E117" s="557" t="s">
        <v>260</v>
      </c>
      <c r="F117" s="549">
        <v>120.0</v>
      </c>
      <c r="G117" s="550" t="s">
        <v>2009</v>
      </c>
      <c r="H117" s="556"/>
      <c r="I117" s="552"/>
    </row>
    <row r="118">
      <c r="A118" s="265"/>
      <c r="B118" s="404"/>
      <c r="C118" s="400"/>
      <c r="D118" s="182"/>
      <c r="E118" s="557"/>
      <c r="F118" s="554"/>
      <c r="G118" s="550"/>
      <c r="H118" s="551"/>
      <c r="I118" s="552"/>
    </row>
    <row r="119">
      <c r="A119" s="265"/>
      <c r="B119" s="404"/>
      <c r="C119" s="400"/>
      <c r="D119" s="182"/>
      <c r="E119" s="557"/>
      <c r="F119" s="554"/>
      <c r="G119" s="550"/>
      <c r="H119" s="551"/>
      <c r="I119" s="552"/>
    </row>
    <row r="120">
      <c r="A120" s="265"/>
      <c r="B120" s="477"/>
      <c r="C120" s="400"/>
      <c r="D120" s="182"/>
      <c r="E120" s="557"/>
      <c r="F120" s="554"/>
      <c r="G120" s="550"/>
      <c r="H120" s="581"/>
      <c r="I120" s="582"/>
    </row>
    <row r="121">
      <c r="A121" s="265"/>
      <c r="B121" s="477"/>
      <c r="C121" s="400"/>
      <c r="D121" s="182"/>
      <c r="E121" s="576"/>
      <c r="F121" s="558"/>
      <c r="G121" s="555"/>
      <c r="H121" s="551"/>
      <c r="I121" s="552"/>
    </row>
    <row r="122">
      <c r="A122" s="270"/>
      <c r="B122" s="478"/>
      <c r="C122" s="472"/>
      <c r="D122" s="577"/>
      <c r="E122" s="578"/>
      <c r="F122" s="561"/>
      <c r="G122" s="562"/>
      <c r="H122" s="563"/>
      <c r="I122" s="564"/>
    </row>
    <row r="123">
      <c r="A123" s="262" t="s">
        <v>1035</v>
      </c>
      <c r="B123" s="425"/>
      <c r="C123" s="421"/>
      <c r="D123" s="566"/>
      <c r="E123" s="567"/>
      <c r="F123" s="549">
        <v>350.0</v>
      </c>
      <c r="G123" s="550" t="s">
        <v>1905</v>
      </c>
      <c r="H123" s="556"/>
      <c r="I123" s="569"/>
    </row>
    <row r="124">
      <c r="A124" s="265"/>
      <c r="B124" s="404"/>
      <c r="C124" s="399"/>
      <c r="D124" s="182"/>
      <c r="E124" s="576"/>
      <c r="F124" s="554">
        <v>160.0</v>
      </c>
      <c r="G124" s="550" t="s">
        <v>1906</v>
      </c>
      <c r="H124" s="551"/>
      <c r="I124" s="569"/>
    </row>
    <row r="125">
      <c r="A125" s="265"/>
      <c r="B125" s="404"/>
      <c r="C125" s="400"/>
      <c r="D125" s="182"/>
      <c r="E125" s="576"/>
      <c r="F125" s="558"/>
      <c r="G125" s="555"/>
      <c r="H125" s="551"/>
      <c r="I125" s="552"/>
    </row>
    <row r="126">
      <c r="A126" s="265"/>
      <c r="B126" s="404"/>
      <c r="C126" s="400"/>
      <c r="D126" s="182"/>
      <c r="E126" s="576"/>
      <c r="F126" s="558"/>
      <c r="G126" s="555"/>
      <c r="H126" s="551"/>
      <c r="I126" s="552"/>
    </row>
    <row r="127">
      <c r="A127" s="265"/>
      <c r="B127" s="404"/>
      <c r="C127" s="399"/>
      <c r="D127" s="182"/>
      <c r="E127" s="576"/>
      <c r="F127" s="558"/>
      <c r="G127" s="555"/>
      <c r="H127" s="551"/>
      <c r="I127" s="552"/>
    </row>
    <row r="128">
      <c r="A128" s="270"/>
      <c r="B128" s="478"/>
      <c r="C128" s="472"/>
      <c r="D128" s="559"/>
      <c r="E128" s="560"/>
      <c r="F128" s="561"/>
      <c r="G128" s="562"/>
      <c r="H128" s="563"/>
      <c r="I128" s="564"/>
    </row>
    <row r="129">
      <c r="A129" s="262" t="s">
        <v>1036</v>
      </c>
      <c r="B129" s="425"/>
      <c r="C129" s="401"/>
      <c r="D129" s="566">
        <v>3000.0</v>
      </c>
      <c r="E129" s="567" t="s">
        <v>1676</v>
      </c>
      <c r="F129" s="549">
        <v>520.0</v>
      </c>
      <c r="G129" s="550" t="s">
        <v>1978</v>
      </c>
      <c r="H129" s="556"/>
      <c r="I129" s="569"/>
    </row>
    <row r="130">
      <c r="A130" s="265"/>
      <c r="B130" s="477"/>
      <c r="C130" s="399">
        <v>7900.0</v>
      </c>
      <c r="D130" s="182"/>
      <c r="E130" s="557" t="s">
        <v>2010</v>
      </c>
      <c r="F130" s="554"/>
      <c r="G130" s="550"/>
      <c r="H130" s="551"/>
      <c r="I130" s="552"/>
    </row>
    <row r="131">
      <c r="A131" s="265"/>
      <c r="B131" s="477"/>
      <c r="C131" s="400"/>
      <c r="D131" s="182"/>
      <c r="E131" s="576"/>
      <c r="F131" s="558"/>
      <c r="G131" s="555"/>
      <c r="H131" s="551"/>
      <c r="I131" s="552"/>
    </row>
    <row r="132">
      <c r="A132" s="265"/>
      <c r="B132" s="477"/>
      <c r="C132" s="400"/>
      <c r="D132" s="182"/>
      <c r="E132" s="576"/>
      <c r="F132" s="558"/>
      <c r="G132" s="555"/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70"/>
      <c r="B134" s="478"/>
      <c r="C134" s="472"/>
      <c r="D134" s="577"/>
      <c r="E134" s="578"/>
      <c r="F134" s="561"/>
      <c r="G134" s="562"/>
      <c r="H134" s="563"/>
      <c r="I134" s="564"/>
    </row>
    <row r="135">
      <c r="A135" s="262" t="s">
        <v>1039</v>
      </c>
      <c r="B135" s="425">
        <v>19310.0</v>
      </c>
      <c r="C135" s="401"/>
      <c r="D135" s="566"/>
      <c r="E135" s="550" t="s">
        <v>1061</v>
      </c>
      <c r="F135" s="549">
        <v>500.0</v>
      </c>
      <c r="G135" s="550" t="s">
        <v>1978</v>
      </c>
      <c r="H135" s="551"/>
      <c r="I135" s="552"/>
    </row>
    <row r="136">
      <c r="A136" s="265"/>
      <c r="B136" s="477"/>
      <c r="C136" s="399"/>
      <c r="D136" s="182"/>
      <c r="E136" s="576"/>
      <c r="F136" s="554"/>
      <c r="G136" s="550"/>
      <c r="H136" s="551"/>
      <c r="I136" s="552"/>
    </row>
    <row r="137">
      <c r="A137" s="265"/>
      <c r="B137" s="477"/>
      <c r="C137" s="400"/>
      <c r="D137" s="182"/>
      <c r="E137" s="576"/>
      <c r="F137" s="558"/>
      <c r="G137" s="555"/>
      <c r="H137" s="551"/>
      <c r="I137" s="552"/>
    </row>
    <row r="138">
      <c r="A138" s="265"/>
      <c r="B138" s="404"/>
      <c r="C138" s="400"/>
      <c r="D138" s="182"/>
      <c r="E138" s="576"/>
      <c r="F138" s="554"/>
      <c r="G138" s="550"/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70"/>
      <c r="B140" s="478"/>
      <c r="C140" s="472"/>
      <c r="D140" s="577"/>
      <c r="E140" s="578"/>
      <c r="F140" s="561"/>
      <c r="G140" s="562"/>
      <c r="H140" s="563"/>
      <c r="I140" s="564"/>
    </row>
    <row r="141">
      <c r="A141" s="280" t="s">
        <v>2011</v>
      </c>
      <c r="B141" s="425"/>
      <c r="C141" s="401"/>
      <c r="D141" s="566"/>
      <c r="E141" s="557"/>
      <c r="F141" s="549">
        <v>400.0</v>
      </c>
      <c r="G141" s="550" t="s">
        <v>2012</v>
      </c>
      <c r="H141" s="556"/>
      <c r="I141" s="569"/>
    </row>
    <row r="142">
      <c r="A142" s="265"/>
      <c r="B142" s="404"/>
      <c r="C142" s="399"/>
      <c r="D142" s="182"/>
      <c r="E142" s="557"/>
      <c r="F142" s="554"/>
      <c r="G142" s="550"/>
      <c r="H142" s="551"/>
      <c r="I142" s="552"/>
    </row>
    <row r="143">
      <c r="A143" s="265"/>
      <c r="B143" s="404"/>
      <c r="C143" s="399"/>
      <c r="D143" s="182"/>
      <c r="E143" s="557"/>
      <c r="F143" s="554"/>
      <c r="G143" s="555"/>
      <c r="H143" s="551"/>
      <c r="I143" s="552"/>
    </row>
    <row r="144">
      <c r="A144" s="265"/>
      <c r="B144" s="404"/>
      <c r="C144" s="399"/>
      <c r="D144" s="182"/>
      <c r="E144" s="557"/>
      <c r="F144" s="554">
        <v>140.0</v>
      </c>
      <c r="G144" s="550" t="s">
        <v>1991</v>
      </c>
      <c r="H144" s="551"/>
      <c r="I144" s="552"/>
    </row>
    <row r="145">
      <c r="A145" s="270"/>
      <c r="B145" s="404"/>
      <c r="C145" s="399"/>
      <c r="D145" s="182"/>
      <c r="E145" s="557"/>
      <c r="F145" s="554"/>
      <c r="G145" s="555"/>
      <c r="H145" s="551"/>
      <c r="I145" s="552"/>
    </row>
    <row r="146">
      <c r="A146" s="452"/>
      <c r="B146" s="404"/>
      <c r="C146" s="399"/>
      <c r="D146" s="182"/>
      <c r="E146" s="557"/>
      <c r="F146" s="554"/>
      <c r="G146" s="562"/>
      <c r="H146" s="563"/>
      <c r="I146" s="564"/>
    </row>
    <row r="147">
      <c r="A147" s="280" t="s">
        <v>1042</v>
      </c>
      <c r="B147" s="461"/>
      <c r="C147" s="421"/>
      <c r="D147" s="583"/>
      <c r="E147" s="584"/>
      <c r="F147" s="549">
        <v>200.0</v>
      </c>
      <c r="G147" s="550" t="s">
        <v>1905</v>
      </c>
      <c r="H147" s="556"/>
      <c r="I147" s="552"/>
    </row>
    <row r="148">
      <c r="A148" s="265"/>
      <c r="B148" s="404"/>
      <c r="C148" s="399"/>
      <c r="D148" s="182"/>
      <c r="E148" s="557"/>
      <c r="F148" s="554">
        <v>270.0</v>
      </c>
      <c r="G148" s="550" t="s">
        <v>1906</v>
      </c>
      <c r="H148" s="551"/>
      <c r="I148" s="552"/>
    </row>
    <row r="149">
      <c r="A149" s="265"/>
      <c r="B149" s="477"/>
      <c r="C149" s="399"/>
      <c r="D149" s="182"/>
      <c r="E149" s="557"/>
      <c r="F149" s="554"/>
      <c r="G149" s="555"/>
      <c r="H149" s="551"/>
      <c r="I149" s="552"/>
    </row>
    <row r="150">
      <c r="A150" s="265"/>
      <c r="B150" s="477"/>
      <c r="C150" s="399"/>
      <c r="D150" s="182"/>
      <c r="E150" s="576"/>
      <c r="F150" s="558"/>
      <c r="G150" s="555"/>
      <c r="H150" s="551"/>
      <c r="I150" s="552"/>
    </row>
    <row r="151">
      <c r="A151" s="265"/>
      <c r="B151" s="404"/>
      <c r="C151" s="399"/>
      <c r="D151" s="182"/>
      <c r="E151" s="576"/>
      <c r="F151" s="554"/>
      <c r="G151" s="555"/>
      <c r="H151" s="551"/>
      <c r="I151" s="552"/>
    </row>
    <row r="152">
      <c r="A152" s="270"/>
      <c r="B152" s="478"/>
      <c r="C152" s="462"/>
      <c r="D152" s="577"/>
      <c r="E152" s="560"/>
      <c r="F152" s="561"/>
      <c r="G152" s="562"/>
      <c r="H152" s="563"/>
      <c r="I152" s="564"/>
    </row>
    <row r="153">
      <c r="A153" s="299" t="s">
        <v>1043</v>
      </c>
      <c r="B153" s="440"/>
      <c r="C153" s="462"/>
      <c r="D153" s="182"/>
      <c r="E153" s="557"/>
      <c r="F153" s="554">
        <v>170.0</v>
      </c>
      <c r="G153" s="550" t="s">
        <v>1905</v>
      </c>
      <c r="H153" s="551"/>
      <c r="I153" s="552"/>
    </row>
    <row r="154">
      <c r="B154" s="480"/>
      <c r="C154" s="462"/>
      <c r="D154" s="574"/>
      <c r="E154" s="576"/>
      <c r="F154" s="554">
        <v>150.0</v>
      </c>
      <c r="G154" s="550" t="s">
        <v>1906</v>
      </c>
      <c r="H154" s="551"/>
      <c r="I154" s="552"/>
    </row>
    <row r="155">
      <c r="B155" s="480"/>
      <c r="C155" s="462"/>
      <c r="D155" s="574"/>
      <c r="E155" s="576"/>
      <c r="F155" s="558"/>
      <c r="G155" s="555"/>
      <c r="H155" s="551"/>
      <c r="I155" s="552"/>
    </row>
    <row r="156">
      <c r="B156" s="480"/>
      <c r="C156" s="462"/>
      <c r="D156" s="574"/>
      <c r="E156" s="576"/>
      <c r="F156" s="558"/>
      <c r="G156" s="555"/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A158" s="585"/>
      <c r="B158" s="271"/>
      <c r="C158" s="586"/>
      <c r="D158" s="587"/>
      <c r="E158" s="588"/>
      <c r="F158" s="561"/>
      <c r="G158" s="562"/>
      <c r="H158" s="563"/>
      <c r="I158" s="564"/>
    </row>
    <row r="159">
      <c r="A159" s="299"/>
      <c r="B159" s="440"/>
      <c r="C159" s="462"/>
      <c r="D159" s="182"/>
      <c r="E159" s="557"/>
      <c r="F159" s="554"/>
      <c r="G159" s="550"/>
      <c r="H159" s="551"/>
      <c r="I159" s="552"/>
    </row>
    <row r="160">
      <c r="B160" s="480"/>
      <c r="C160" s="462"/>
      <c r="D160" s="574"/>
      <c r="E160" s="576"/>
      <c r="F160" s="554"/>
      <c r="G160" s="550"/>
      <c r="H160" s="551"/>
      <c r="I160" s="552"/>
    </row>
    <row r="161">
      <c r="B161" s="480"/>
      <c r="C161" s="462"/>
      <c r="D161" s="574"/>
      <c r="E161" s="576"/>
      <c r="F161" s="558"/>
      <c r="G161" s="555"/>
      <c r="H161" s="551"/>
      <c r="I161" s="552"/>
    </row>
    <row r="162">
      <c r="B162" s="480"/>
      <c r="C162" s="462"/>
      <c r="D162" s="574"/>
      <c r="E162" s="576"/>
      <c r="F162" s="558"/>
      <c r="G162" s="555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A164" s="585"/>
      <c r="B164" s="271"/>
      <c r="C164" s="586"/>
      <c r="D164" s="587"/>
      <c r="E164" s="588"/>
      <c r="F164" s="561"/>
      <c r="G164" s="562"/>
      <c r="H164" s="563"/>
      <c r="I164" s="564"/>
    </row>
    <row r="165">
      <c r="A165" s="299" t="s">
        <v>1964</v>
      </c>
      <c r="B165" s="440"/>
      <c r="C165" s="462"/>
      <c r="D165" s="182"/>
      <c r="E165" s="557"/>
      <c r="F165" s="554"/>
      <c r="G165" s="550"/>
      <c r="H165" s="551"/>
      <c r="I165" s="552"/>
    </row>
    <row r="166">
      <c r="B166" s="480"/>
      <c r="C166" s="462"/>
      <c r="D166" s="574"/>
      <c r="E166" s="576"/>
      <c r="F166" s="558"/>
      <c r="G166" s="555"/>
      <c r="H166" s="551"/>
      <c r="I166" s="552"/>
    </row>
    <row r="167">
      <c r="B167" s="480"/>
      <c r="C167" s="462"/>
      <c r="D167" s="574"/>
      <c r="E167" s="576"/>
      <c r="F167" s="558"/>
      <c r="G167" s="555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A170" s="585"/>
      <c r="B170" s="271"/>
      <c r="C170" s="586"/>
      <c r="D170" s="587"/>
      <c r="E170" s="588"/>
      <c r="F170" s="561"/>
      <c r="G170" s="562"/>
      <c r="H170" s="563"/>
      <c r="I170" s="564"/>
    </row>
    <row r="171">
      <c r="A171" s="299"/>
      <c r="B171" s="440"/>
      <c r="C171" s="462"/>
      <c r="D171" s="182"/>
      <c r="E171" s="557"/>
      <c r="F171" s="558"/>
      <c r="G171" s="555"/>
      <c r="H171" s="551"/>
      <c r="I171" s="552"/>
    </row>
    <row r="172">
      <c r="B172" s="480"/>
      <c r="C172" s="462"/>
      <c r="D172" s="574"/>
      <c r="E172" s="576"/>
      <c r="F172" s="558"/>
      <c r="G172" s="555"/>
      <c r="H172" s="551"/>
      <c r="I172" s="552"/>
    </row>
    <row r="173">
      <c r="B173" s="480"/>
      <c r="C173" s="462"/>
      <c r="D173" s="574"/>
      <c r="E173" s="576"/>
      <c r="F173" s="558"/>
      <c r="G173" s="555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A176" s="585"/>
      <c r="B176" s="271"/>
      <c r="C176" s="586"/>
      <c r="D176" s="587"/>
      <c r="E176" s="588"/>
      <c r="F176" s="561"/>
      <c r="G176" s="562"/>
      <c r="H176" s="563"/>
      <c r="I176" s="564"/>
    </row>
    <row r="177">
      <c r="A177" s="606"/>
      <c r="B177" s="600"/>
      <c r="C177" s="607"/>
      <c r="D177" s="566"/>
      <c r="E177" s="567"/>
      <c r="F177" s="597"/>
      <c r="G177" s="608"/>
      <c r="H177" s="609"/>
      <c r="I177" s="610"/>
    </row>
    <row r="178">
      <c r="A178" s="611"/>
      <c r="B178" s="480"/>
      <c r="C178" s="462"/>
      <c r="D178" s="574"/>
      <c r="E178" s="576"/>
      <c r="F178" s="558"/>
      <c r="G178" s="555"/>
      <c r="H178" s="551"/>
      <c r="I178" s="612"/>
    </row>
    <row r="179">
      <c r="A179" s="611"/>
      <c r="B179" s="480"/>
      <c r="C179" s="462"/>
      <c r="D179" s="574"/>
      <c r="E179" s="576"/>
      <c r="F179" s="558"/>
      <c r="G179" s="555"/>
      <c r="H179" s="551"/>
      <c r="I179" s="612"/>
    </row>
    <row r="180">
      <c r="A180" s="611"/>
      <c r="B180" s="480"/>
      <c r="C180" s="462"/>
      <c r="D180" s="574"/>
      <c r="E180" s="576"/>
      <c r="F180" s="558"/>
      <c r="G180" s="555"/>
      <c r="H180" s="551"/>
      <c r="I180" s="612"/>
    </row>
    <row r="181">
      <c r="A181" s="613"/>
      <c r="B181" s="478"/>
      <c r="C181" s="614"/>
      <c r="D181" s="577"/>
      <c r="E181" s="578"/>
      <c r="F181" s="561"/>
      <c r="G181" s="562"/>
      <c r="H181" s="563"/>
      <c r="I181" s="615"/>
    </row>
    <row r="182">
      <c r="A182" s="606"/>
      <c r="B182" s="600"/>
      <c r="C182" s="607"/>
      <c r="D182" s="566"/>
      <c r="E182" s="567"/>
      <c r="F182" s="597"/>
      <c r="G182" s="608"/>
      <c r="H182" s="609"/>
      <c r="I182" s="610"/>
    </row>
    <row r="183">
      <c r="A183" s="611"/>
      <c r="B183" s="480"/>
      <c r="C183" s="462"/>
      <c r="D183" s="574"/>
      <c r="E183" s="576"/>
      <c r="F183" s="558"/>
      <c r="G183" s="555"/>
      <c r="H183" s="551"/>
      <c r="I183" s="612"/>
    </row>
    <row r="184">
      <c r="A184" s="611"/>
      <c r="B184" s="480"/>
      <c r="C184" s="462"/>
      <c r="D184" s="574"/>
      <c r="E184" s="576"/>
      <c r="F184" s="558"/>
      <c r="G184" s="555"/>
      <c r="H184" s="551"/>
      <c r="I184" s="612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3"/>
      <c r="B186" s="478"/>
      <c r="C186" s="614"/>
      <c r="D186" s="577"/>
      <c r="E186" s="578"/>
      <c r="F186" s="561"/>
      <c r="G186" s="562"/>
      <c r="H186" s="563"/>
      <c r="I186" s="615"/>
    </row>
    <row r="187">
      <c r="A187" s="299"/>
      <c r="B187" s="440"/>
      <c r="C187" s="462"/>
      <c r="D187" s="182"/>
      <c r="E187" s="557"/>
      <c r="F187" s="558"/>
      <c r="G187" s="555"/>
      <c r="H187" s="551"/>
      <c r="I187" s="552"/>
    </row>
    <row r="188">
      <c r="B188" s="480"/>
      <c r="C188" s="462"/>
      <c r="D188" s="574"/>
      <c r="E188" s="576"/>
      <c r="F188" s="558"/>
      <c r="G188" s="555"/>
      <c r="H188" s="551"/>
      <c r="I188" s="552"/>
    </row>
    <row r="189">
      <c r="B189" s="480"/>
      <c r="C189" s="462"/>
      <c r="D189" s="574"/>
      <c r="E189" s="576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A192" s="585"/>
      <c r="B192" s="271"/>
      <c r="C192" s="586"/>
      <c r="D192" s="587"/>
      <c r="E192" s="588"/>
      <c r="F192" s="561"/>
      <c r="G192" s="562"/>
      <c r="H192" s="563"/>
      <c r="I192" s="564"/>
    </row>
    <row r="193">
      <c r="A193" s="303"/>
      <c r="B193" s="268"/>
      <c r="C193" s="253"/>
      <c r="D193" s="366"/>
      <c r="E193" s="555"/>
      <c r="F193" s="558"/>
      <c r="G193" s="555"/>
      <c r="H193" s="551"/>
      <c r="I193" s="552"/>
    </row>
    <row r="194">
      <c r="A194" s="303"/>
      <c r="B194" s="268"/>
      <c r="C194" s="253"/>
      <c r="D194" s="366"/>
      <c r="E194" s="555"/>
      <c r="F194" s="558"/>
      <c r="G194" s="555"/>
      <c r="H194" s="551"/>
      <c r="I194" s="552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4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5"/>
      <c r="B198" s="271"/>
      <c r="C198" s="273"/>
      <c r="D198" s="587"/>
      <c r="E198" s="562"/>
      <c r="F198" s="561"/>
      <c r="G198" s="555"/>
      <c r="H198" s="551"/>
      <c r="I198" s="552"/>
    </row>
    <row r="199">
      <c r="A199" s="265"/>
      <c r="B199" s="306"/>
      <c r="C199" s="241"/>
      <c r="D199" s="583"/>
      <c r="E199" s="548"/>
      <c r="F199" s="597"/>
      <c r="G199" s="555"/>
      <c r="H199" s="551"/>
      <c r="I199" s="552"/>
    </row>
    <row r="200">
      <c r="A200" s="265"/>
      <c r="B200" s="268"/>
      <c r="C200" s="253"/>
      <c r="D200" s="366"/>
      <c r="E200" s="555"/>
      <c r="F200" s="558"/>
      <c r="G200" s="555"/>
      <c r="H200" s="551"/>
      <c r="I200" s="552"/>
    </row>
    <row r="201">
      <c r="A201" s="265"/>
      <c r="B201" s="268"/>
      <c r="C201" s="253"/>
      <c r="D201" s="366"/>
      <c r="E201" s="555"/>
      <c r="F201" s="558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70"/>
      <c r="B207" s="268"/>
      <c r="C207" s="253"/>
      <c r="D207" s="366"/>
      <c r="E207" s="555"/>
      <c r="F207" s="558"/>
      <c r="G207" s="555"/>
      <c r="H207" s="551"/>
      <c r="I207" s="552"/>
    </row>
    <row r="208">
      <c r="B208" s="271"/>
      <c r="C208" s="273"/>
      <c r="D208" s="587"/>
      <c r="E208" s="562"/>
      <c r="F208" s="561"/>
      <c r="G208" s="555"/>
      <c r="H208" s="551"/>
      <c r="I208" s="552"/>
    </row>
    <row r="209">
      <c r="B209" s="306"/>
      <c r="C209" s="241"/>
      <c r="D209" s="583"/>
      <c r="E209" s="548"/>
      <c r="F209" s="597"/>
      <c r="G209" s="555"/>
      <c r="H209" s="551"/>
      <c r="I209" s="552"/>
    </row>
    <row r="210">
      <c r="B210" s="268"/>
      <c r="C210" s="253"/>
      <c r="D210" s="366"/>
      <c r="E210" s="555"/>
      <c r="F210" s="558"/>
      <c r="G210" s="555"/>
      <c r="H210" s="551"/>
      <c r="I210" s="552"/>
    </row>
    <row r="211">
      <c r="B211" s="268"/>
      <c r="C211" s="253"/>
      <c r="D211" s="366"/>
      <c r="E211" s="555"/>
      <c r="F211" s="558"/>
      <c r="G211" s="555"/>
      <c r="H211" s="551"/>
      <c r="I211" s="552"/>
    </row>
    <row r="212">
      <c r="B212" s="308"/>
      <c r="C212" s="253"/>
      <c r="D212" s="598"/>
      <c r="E212" s="555"/>
      <c r="F212" s="572"/>
      <c r="G212" s="555"/>
      <c r="H212" s="551"/>
      <c r="I212" s="552"/>
    </row>
    <row r="213">
      <c r="B213" s="308"/>
      <c r="C213" s="253"/>
      <c r="D213" s="598"/>
      <c r="E213" s="555"/>
      <c r="F213" s="572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</sheetData>
  <mergeCells count="33">
    <mergeCell ref="A2:A7"/>
    <mergeCell ref="A8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  <mergeCell ref="A69:A74"/>
    <mergeCell ref="A75:A80"/>
    <mergeCell ref="A81:A86"/>
    <mergeCell ref="A87:A92"/>
    <mergeCell ref="A93:A98"/>
    <mergeCell ref="A99:A104"/>
    <mergeCell ref="A105:A110"/>
    <mergeCell ref="A111:A116"/>
    <mergeCell ref="A117:A122"/>
    <mergeCell ref="A123:A128"/>
    <mergeCell ref="A171:A175"/>
    <mergeCell ref="A177:A181"/>
    <mergeCell ref="A182:A186"/>
    <mergeCell ref="A187:A191"/>
    <mergeCell ref="A198:A207"/>
    <mergeCell ref="A129:A134"/>
    <mergeCell ref="A135:A140"/>
    <mergeCell ref="A141:A145"/>
    <mergeCell ref="A147:A152"/>
    <mergeCell ref="A153:A157"/>
    <mergeCell ref="A159:A163"/>
    <mergeCell ref="A165:A16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2013</v>
      </c>
      <c r="B2" s="425"/>
      <c r="C2" s="532"/>
      <c r="D2" s="547"/>
      <c r="E2" s="548"/>
      <c r="F2" s="549">
        <v>260.0</v>
      </c>
      <c r="G2" s="550" t="s">
        <v>1905</v>
      </c>
      <c r="H2" s="556">
        <v>-100.0</v>
      </c>
      <c r="I2" s="569">
        <v>-100.0</v>
      </c>
      <c r="J2" s="2" t="s">
        <v>2014</v>
      </c>
    </row>
    <row r="3">
      <c r="A3" s="265"/>
      <c r="B3" s="510"/>
      <c r="C3" s="399"/>
      <c r="D3" s="366"/>
      <c r="E3" s="553"/>
      <c r="F3" s="554">
        <v>330.0</v>
      </c>
      <c r="G3" s="550" t="s">
        <v>2015</v>
      </c>
      <c r="H3" s="556">
        <v>-180.0</v>
      </c>
      <c r="I3" s="552"/>
      <c r="J3" s="2" t="s">
        <v>2016</v>
      </c>
    </row>
    <row r="4">
      <c r="A4" s="265"/>
      <c r="B4" s="404"/>
      <c r="C4" s="414"/>
      <c r="D4" s="182"/>
      <c r="E4" s="557"/>
      <c r="F4" s="558"/>
      <c r="G4" s="550"/>
      <c r="H4" s="556"/>
      <c r="I4" s="569">
        <v>-180.0</v>
      </c>
      <c r="J4" s="2" t="s">
        <v>2017</v>
      </c>
    </row>
    <row r="5">
      <c r="A5" s="265"/>
      <c r="B5" s="404"/>
      <c r="C5" s="399"/>
      <c r="D5" s="182"/>
      <c r="E5" s="557"/>
      <c r="F5" s="558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>
        <v>-220.0</v>
      </c>
      <c r="J6" s="2" t="s">
        <v>2018</v>
      </c>
    </row>
    <row r="7">
      <c r="A7" s="270"/>
      <c r="B7" s="470"/>
      <c r="C7" s="472"/>
      <c r="D7" s="559"/>
      <c r="E7" s="560"/>
      <c r="F7" s="561"/>
      <c r="G7" s="562"/>
      <c r="H7" s="599">
        <v>-135.0</v>
      </c>
      <c r="I7" s="564"/>
    </row>
    <row r="8">
      <c r="A8" s="262" t="s">
        <v>878</v>
      </c>
      <c r="B8" s="425"/>
      <c r="C8" s="401"/>
      <c r="D8" s="182"/>
      <c r="E8" s="557"/>
      <c r="F8" s="549">
        <v>250.0</v>
      </c>
      <c r="G8" s="550" t="s">
        <v>1905</v>
      </c>
      <c r="H8" s="556">
        <v>-85.0</v>
      </c>
      <c r="I8" s="552"/>
      <c r="J8" s="2" t="s">
        <v>1204</v>
      </c>
    </row>
    <row r="9">
      <c r="A9" s="265"/>
      <c r="B9" s="419"/>
      <c r="C9" s="414"/>
      <c r="D9" s="182"/>
      <c r="E9" s="557"/>
      <c r="F9" s="554">
        <v>60.0</v>
      </c>
      <c r="G9" s="550" t="s">
        <v>1906</v>
      </c>
      <c r="H9" s="556">
        <v>-292.4</v>
      </c>
      <c r="I9" s="552"/>
      <c r="J9" s="2" t="s">
        <v>2019</v>
      </c>
    </row>
    <row r="10">
      <c r="A10" s="265"/>
      <c r="B10" s="339"/>
      <c r="C10" s="414"/>
      <c r="D10" s="182"/>
      <c r="E10" s="557"/>
      <c r="F10" s="554">
        <v>110.0</v>
      </c>
      <c r="G10" s="550" t="s">
        <v>1906</v>
      </c>
      <c r="H10" s="556">
        <v>-100.0</v>
      </c>
      <c r="I10" s="552"/>
      <c r="J10" s="2" t="s">
        <v>2020</v>
      </c>
    </row>
    <row r="11">
      <c r="A11" s="265"/>
      <c r="B11" s="404"/>
      <c r="C11" s="399"/>
      <c r="D11" s="182"/>
      <c r="E11" s="557"/>
      <c r="F11" s="554"/>
      <c r="G11" s="550"/>
      <c r="H11" s="556"/>
      <c r="I11" s="569">
        <v>-59.0</v>
      </c>
      <c r="J11" s="2" t="s">
        <v>2021</v>
      </c>
    </row>
    <row r="12">
      <c r="A12" s="265"/>
      <c r="B12" s="419"/>
      <c r="C12" s="414"/>
      <c r="D12" s="182"/>
      <c r="E12" s="557"/>
      <c r="F12" s="558"/>
      <c r="G12" s="550"/>
      <c r="H12" s="556">
        <v>-19.0</v>
      </c>
      <c r="I12" s="552"/>
      <c r="J12" s="2" t="s">
        <v>2022</v>
      </c>
    </row>
    <row r="13">
      <c r="A13" s="265"/>
      <c r="B13" s="404"/>
      <c r="C13" s="399"/>
      <c r="D13" s="182"/>
      <c r="E13" s="557"/>
      <c r="F13" s="558"/>
      <c r="G13" s="555"/>
      <c r="H13" s="556"/>
      <c r="I13" s="569">
        <v>-350.0</v>
      </c>
      <c r="J13" s="2" t="s">
        <v>2023</v>
      </c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879</v>
      </c>
      <c r="B15" s="600"/>
      <c r="C15" s="421"/>
      <c r="D15" s="566"/>
      <c r="E15" s="567"/>
      <c r="F15" s="549">
        <v>220.0</v>
      </c>
      <c r="G15" s="550" t="s">
        <v>1905</v>
      </c>
      <c r="H15" s="581">
        <f t="shared" ref="H15:I15" si="1">SUM(H2:H14)</f>
        <v>-911.4</v>
      </c>
      <c r="I15" s="619">
        <f t="shared" si="1"/>
        <v>-909</v>
      </c>
      <c r="J15" s="603" t="s">
        <v>2024</v>
      </c>
    </row>
    <row r="16">
      <c r="A16" s="265"/>
      <c r="B16" s="440"/>
      <c r="C16" s="414"/>
      <c r="D16" s="182"/>
      <c r="E16" s="557"/>
      <c r="F16" s="554">
        <v>200.0</v>
      </c>
      <c r="G16" s="557" t="s">
        <v>1906</v>
      </c>
      <c r="H16" s="556"/>
      <c r="I16" s="569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>
        <v>-69.0</v>
      </c>
      <c r="I18" s="552"/>
      <c r="J18" s="2" t="s">
        <v>2025</v>
      </c>
    </row>
    <row r="19">
      <c r="A19" s="270"/>
      <c r="B19" s="404"/>
      <c r="C19" s="399"/>
      <c r="D19" s="182"/>
      <c r="E19" s="557"/>
      <c r="F19" s="558"/>
      <c r="G19" s="562"/>
      <c r="H19" s="599">
        <v>-30.0</v>
      </c>
      <c r="I19" s="601"/>
      <c r="J19" s="2" t="s">
        <v>2026</v>
      </c>
    </row>
    <row r="20">
      <c r="A20" s="262" t="s">
        <v>2027</v>
      </c>
      <c r="B20" s="425"/>
      <c r="C20" s="401"/>
      <c r="D20" s="566"/>
      <c r="E20" s="567"/>
      <c r="F20" s="549">
        <v>240.0</v>
      </c>
      <c r="G20" s="550" t="s">
        <v>1905</v>
      </c>
      <c r="H20" s="556"/>
      <c r="I20" s="569">
        <v>-27.0</v>
      </c>
      <c r="J20" s="2" t="s">
        <v>2028</v>
      </c>
    </row>
    <row r="21">
      <c r="A21" s="265"/>
      <c r="B21" s="404"/>
      <c r="C21" s="399"/>
      <c r="D21" s="182"/>
      <c r="E21" s="557"/>
      <c r="F21" s="554"/>
      <c r="G21" s="550" t="s">
        <v>2029</v>
      </c>
      <c r="H21" s="551"/>
      <c r="I21" s="569">
        <v>-37.0</v>
      </c>
      <c r="J21" s="2" t="s">
        <v>2030</v>
      </c>
    </row>
    <row r="22">
      <c r="A22" s="265"/>
      <c r="B22" s="457"/>
      <c r="C22" s="399"/>
      <c r="D22" s="182"/>
      <c r="E22" s="557"/>
      <c r="F22" s="558"/>
      <c r="G22" s="555"/>
      <c r="H22" s="551"/>
      <c r="I22" s="569">
        <v>-26.0</v>
      </c>
      <c r="J22" s="2" t="s">
        <v>2031</v>
      </c>
    </row>
    <row r="23">
      <c r="A23" s="265"/>
      <c r="B23" s="468"/>
      <c r="C23" s="399"/>
      <c r="D23" s="570"/>
      <c r="E23" s="557"/>
      <c r="F23" s="554">
        <v>100.0</v>
      </c>
      <c r="G23" s="550" t="s">
        <v>1976</v>
      </c>
      <c r="H23" s="551"/>
      <c r="I23" s="569">
        <v>-20.0</v>
      </c>
      <c r="J23" s="2" t="s">
        <v>2032</v>
      </c>
    </row>
    <row r="24">
      <c r="A24" s="265"/>
      <c r="B24" s="468"/>
      <c r="C24" s="399"/>
      <c r="D24" s="182"/>
      <c r="E24" s="557"/>
      <c r="F24" s="554"/>
      <c r="G24" s="555"/>
      <c r="H24" s="551"/>
      <c r="I24" s="569">
        <v>-17.0</v>
      </c>
      <c r="J24" s="2" t="s">
        <v>2032</v>
      </c>
    </row>
    <row r="25">
      <c r="A25" s="270"/>
      <c r="B25" s="404"/>
      <c r="C25" s="399"/>
      <c r="D25" s="182"/>
      <c r="E25" s="557"/>
      <c r="F25" s="558"/>
      <c r="G25" s="562"/>
      <c r="H25" s="563"/>
      <c r="I25" s="601">
        <v>-39.0</v>
      </c>
      <c r="J25" s="2" t="s">
        <v>2032</v>
      </c>
    </row>
    <row r="26">
      <c r="A26" s="262" t="s">
        <v>883</v>
      </c>
      <c r="B26" s="425"/>
      <c r="C26" s="421"/>
      <c r="D26" s="182"/>
      <c r="E26" s="567"/>
      <c r="F26" s="571">
        <v>370.0</v>
      </c>
      <c r="G26" s="550" t="s">
        <v>1905</v>
      </c>
      <c r="H26" s="556">
        <v>-18.0</v>
      </c>
      <c r="I26" s="569"/>
      <c r="J26" s="2" t="s">
        <v>2033</v>
      </c>
    </row>
    <row r="27">
      <c r="A27" s="265"/>
      <c r="B27" s="404"/>
      <c r="C27" s="399"/>
      <c r="D27" s="182"/>
      <c r="E27" s="557"/>
      <c r="F27" s="83">
        <v>170.0</v>
      </c>
      <c r="G27" s="550" t="s">
        <v>1906</v>
      </c>
      <c r="H27" s="556"/>
      <c r="I27" s="569">
        <v>-30.0</v>
      </c>
      <c r="J27" s="2" t="s">
        <v>2034</v>
      </c>
    </row>
    <row r="28">
      <c r="A28" s="265"/>
      <c r="B28" s="404"/>
      <c r="C28" s="400"/>
      <c r="D28" s="182"/>
      <c r="E28" s="557"/>
      <c r="F28" s="572"/>
      <c r="G28" s="573"/>
      <c r="H28" s="556">
        <f>-28-34</f>
        <v>-62</v>
      </c>
      <c r="I28" s="552"/>
      <c r="J28" s="2" t="s">
        <v>2035</v>
      </c>
    </row>
    <row r="29">
      <c r="A29" s="265"/>
      <c r="B29" s="404"/>
      <c r="C29" s="400"/>
      <c r="D29" s="182"/>
      <c r="E29" s="557"/>
      <c r="F29" s="83"/>
      <c r="G29" s="550"/>
      <c r="H29" s="556">
        <v>-30.0</v>
      </c>
      <c r="I29" s="552"/>
      <c r="J29" s="2" t="s">
        <v>2036</v>
      </c>
    </row>
    <row r="30">
      <c r="A30" s="265"/>
      <c r="B30" s="404"/>
      <c r="C30" s="400"/>
      <c r="D30" s="182"/>
      <c r="E30" s="557"/>
      <c r="F30" s="558"/>
      <c r="G30" s="550"/>
      <c r="H30" s="556">
        <v>-10.0</v>
      </c>
      <c r="I30" s="552"/>
      <c r="J30" s="2" t="s">
        <v>2037</v>
      </c>
    </row>
    <row r="31">
      <c r="A31" s="270"/>
      <c r="B31" s="440"/>
      <c r="C31" s="400"/>
      <c r="D31" s="574"/>
      <c r="E31" s="557"/>
      <c r="F31" s="558"/>
      <c r="G31" s="575"/>
      <c r="H31" s="556">
        <v>-50.0</v>
      </c>
      <c r="I31" s="552"/>
      <c r="J31" s="2" t="s">
        <v>2038</v>
      </c>
    </row>
    <row r="32">
      <c r="A32" s="437"/>
      <c r="B32" s="440"/>
      <c r="C32" s="400"/>
      <c r="D32" s="574"/>
      <c r="E32" s="557"/>
      <c r="F32" s="558"/>
      <c r="G32" s="573"/>
      <c r="H32" s="556"/>
      <c r="I32" s="569">
        <v>-34.0</v>
      </c>
      <c r="J32" s="2" t="s">
        <v>2039</v>
      </c>
    </row>
    <row r="33">
      <c r="A33" s="437"/>
      <c r="B33" s="440"/>
      <c r="C33" s="400"/>
      <c r="D33" s="574"/>
      <c r="E33" s="557"/>
      <c r="F33" s="558"/>
      <c r="G33" s="573"/>
      <c r="H33" s="556">
        <v>-100.0</v>
      </c>
      <c r="I33" s="569">
        <v>-150.0</v>
      </c>
      <c r="J33" s="2" t="s">
        <v>2040</v>
      </c>
    </row>
    <row r="34">
      <c r="A34" s="437"/>
      <c r="B34" s="440"/>
      <c r="C34" s="400"/>
      <c r="D34" s="574"/>
      <c r="E34" s="557"/>
      <c r="F34" s="558"/>
      <c r="G34" s="573"/>
      <c r="H34" s="556">
        <v>-250.0</v>
      </c>
      <c r="I34" s="552"/>
      <c r="J34" s="2" t="s">
        <v>2041</v>
      </c>
    </row>
    <row r="35">
      <c r="A35" s="262" t="s">
        <v>885</v>
      </c>
      <c r="B35" s="425"/>
      <c r="C35" s="401"/>
      <c r="D35" s="566"/>
      <c r="E35" s="567"/>
      <c r="F35" s="549">
        <v>210.0</v>
      </c>
      <c r="G35" s="550" t="s">
        <v>1905</v>
      </c>
      <c r="H35" s="556"/>
      <c r="I35" s="569">
        <v>-350.0</v>
      </c>
      <c r="J35" s="2" t="s">
        <v>2042</v>
      </c>
    </row>
    <row r="36">
      <c r="A36" s="265"/>
      <c r="B36" s="477"/>
      <c r="C36" s="400"/>
      <c r="D36" s="182"/>
      <c r="E36" s="576"/>
      <c r="F36" s="554">
        <v>160.0</v>
      </c>
      <c r="G36" s="550" t="s">
        <v>1906</v>
      </c>
      <c r="H36" s="556">
        <v>-41.9</v>
      </c>
      <c r="I36" s="552"/>
      <c r="J36" s="2" t="s">
        <v>2043</v>
      </c>
    </row>
    <row r="37">
      <c r="A37" s="265"/>
      <c r="B37" s="477"/>
      <c r="C37" s="400"/>
      <c r="D37" s="182"/>
      <c r="E37" s="576"/>
      <c r="F37" s="554">
        <v>40.0</v>
      </c>
      <c r="G37" s="550" t="s">
        <v>1906</v>
      </c>
      <c r="H37" s="556">
        <v>-20.0</v>
      </c>
      <c r="I37" s="552"/>
      <c r="J37" s="2" t="s">
        <v>2044</v>
      </c>
    </row>
    <row r="38">
      <c r="A38" s="265"/>
      <c r="B38" s="477"/>
      <c r="C38" s="400"/>
      <c r="D38" s="182"/>
      <c r="E38" s="576"/>
      <c r="F38" s="554"/>
      <c r="G38" s="550"/>
      <c r="H38" s="556">
        <v>-46.0</v>
      </c>
      <c r="I38" s="552"/>
      <c r="J38" s="2" t="s">
        <v>2045</v>
      </c>
    </row>
    <row r="39">
      <c r="A39" s="265"/>
      <c r="B39" s="477"/>
      <c r="C39" s="400"/>
      <c r="D39" s="182"/>
      <c r="E39" s="576"/>
      <c r="F39" s="558"/>
      <c r="G39" s="555"/>
      <c r="H39" s="556"/>
      <c r="I39" s="569">
        <v>-557.0</v>
      </c>
      <c r="J39" s="2" t="s">
        <v>2046</v>
      </c>
    </row>
    <row r="40">
      <c r="A40" s="270"/>
      <c r="B40" s="478"/>
      <c r="C40" s="472"/>
      <c r="D40" s="577"/>
      <c r="E40" s="578"/>
      <c r="F40" s="561"/>
      <c r="G40" s="562"/>
      <c r="H40" s="599">
        <v>-360.0</v>
      </c>
      <c r="I40" s="564"/>
      <c r="J40" s="2" t="s">
        <v>2047</v>
      </c>
    </row>
    <row r="41">
      <c r="A41" s="262" t="s">
        <v>887</v>
      </c>
      <c r="B41" s="425"/>
      <c r="C41" s="401"/>
      <c r="D41" s="566"/>
      <c r="E41" s="550"/>
      <c r="F41" s="549">
        <v>260.0</v>
      </c>
      <c r="G41" s="550" t="s">
        <v>1905</v>
      </c>
      <c r="H41" s="556">
        <v>-40.0</v>
      </c>
      <c r="I41" s="552"/>
      <c r="J41" s="2" t="s">
        <v>2048</v>
      </c>
    </row>
    <row r="42">
      <c r="A42" s="265"/>
      <c r="B42" s="404"/>
      <c r="C42" s="399"/>
      <c r="D42" s="182"/>
      <c r="E42" s="550"/>
      <c r="F42" s="554">
        <v>100.0</v>
      </c>
      <c r="G42" s="550" t="s">
        <v>1906</v>
      </c>
      <c r="H42" s="556">
        <v>-20.0</v>
      </c>
      <c r="I42" s="552"/>
      <c r="J42" s="2" t="s">
        <v>2049</v>
      </c>
    </row>
    <row r="43">
      <c r="A43" s="265"/>
      <c r="B43" s="440"/>
      <c r="C43" s="400"/>
      <c r="D43" s="182"/>
      <c r="E43" s="557"/>
      <c r="F43" s="558"/>
      <c r="G43" s="555"/>
      <c r="H43" s="556">
        <v>-6.0</v>
      </c>
      <c r="I43" s="552"/>
      <c r="J43" s="2" t="s">
        <v>2050</v>
      </c>
    </row>
    <row r="44">
      <c r="A44" s="265"/>
      <c r="B44" s="440"/>
      <c r="C44" s="400"/>
      <c r="D44" s="182"/>
      <c r="E44" s="576"/>
      <c r="F44" s="558"/>
      <c r="G44" s="555"/>
      <c r="H44" s="556">
        <v>-20.0</v>
      </c>
      <c r="I44" s="552"/>
      <c r="J44" s="2" t="s">
        <v>2051</v>
      </c>
    </row>
    <row r="45">
      <c r="A45" s="265"/>
      <c r="B45" s="480"/>
      <c r="C45" s="400"/>
      <c r="D45" s="182"/>
      <c r="E45" s="576"/>
      <c r="F45" s="558"/>
      <c r="G45" s="555"/>
      <c r="H45" s="556">
        <v>-10.0</v>
      </c>
      <c r="I45" s="569"/>
      <c r="J45" s="2" t="s">
        <v>2052</v>
      </c>
    </row>
    <row r="46">
      <c r="A46" s="270"/>
      <c r="B46" s="478"/>
      <c r="C46" s="472"/>
      <c r="D46" s="577"/>
      <c r="E46" s="578"/>
      <c r="F46" s="561"/>
      <c r="G46" s="562"/>
      <c r="H46" s="599">
        <v>-19.0</v>
      </c>
      <c r="I46" s="564"/>
      <c r="J46" s="2" t="s">
        <v>2053</v>
      </c>
    </row>
    <row r="47">
      <c r="A47" s="262" t="s">
        <v>888</v>
      </c>
      <c r="B47" s="425"/>
      <c r="C47" s="421"/>
      <c r="D47" s="566"/>
      <c r="E47" s="567"/>
      <c r="F47" s="549">
        <v>200.0</v>
      </c>
      <c r="G47" s="550" t="s">
        <v>1905</v>
      </c>
      <c r="H47" s="556">
        <v>-19.0</v>
      </c>
      <c r="I47" s="552"/>
      <c r="J47" s="2" t="s">
        <v>2054</v>
      </c>
    </row>
    <row r="48">
      <c r="A48" s="265"/>
      <c r="B48" s="404"/>
      <c r="C48" s="399"/>
      <c r="D48" s="182"/>
      <c r="E48" s="557"/>
      <c r="F48" s="554">
        <v>260.0</v>
      </c>
      <c r="G48" s="550" t="s">
        <v>1906</v>
      </c>
      <c r="H48" s="556">
        <v>-31.0</v>
      </c>
      <c r="I48" s="552"/>
      <c r="J48" s="2" t="s">
        <v>2055</v>
      </c>
    </row>
    <row r="49">
      <c r="A49" s="265"/>
      <c r="B49" s="440"/>
      <c r="C49" s="400"/>
      <c r="D49" s="182"/>
      <c r="E49" s="557"/>
      <c r="F49" s="558"/>
      <c r="G49" s="555"/>
      <c r="H49" s="556"/>
      <c r="I49" s="569">
        <v>-29.0</v>
      </c>
      <c r="J49" s="2" t="s">
        <v>2056</v>
      </c>
    </row>
    <row r="50">
      <c r="A50" s="265"/>
      <c r="B50" s="440"/>
      <c r="C50" s="400"/>
      <c r="D50" s="574"/>
      <c r="E50" s="576"/>
      <c r="F50" s="554"/>
      <c r="G50" s="550"/>
      <c r="H50" s="556">
        <v>-81.3</v>
      </c>
      <c r="I50" s="552"/>
      <c r="J50" s="2" t="s">
        <v>2057</v>
      </c>
    </row>
    <row r="51">
      <c r="A51" s="265"/>
      <c r="B51" s="480"/>
      <c r="C51" s="400"/>
      <c r="D51" s="182"/>
      <c r="E51" s="576"/>
      <c r="F51" s="558"/>
      <c r="G51" s="555"/>
      <c r="H51" s="556">
        <v>-100.0</v>
      </c>
      <c r="I51" s="569"/>
      <c r="J51" s="2" t="s">
        <v>2058</v>
      </c>
    </row>
    <row r="52">
      <c r="A52" s="265"/>
      <c r="B52" s="480"/>
      <c r="C52" s="400"/>
      <c r="D52" s="182"/>
      <c r="E52" s="557"/>
      <c r="F52" s="558"/>
      <c r="G52" s="555"/>
      <c r="H52" s="556">
        <f>199</f>
        <v>199</v>
      </c>
      <c r="I52" s="552"/>
      <c r="J52" s="2" t="s">
        <v>2059</v>
      </c>
    </row>
    <row r="53">
      <c r="A53" s="270"/>
      <c r="B53" s="478"/>
      <c r="C53" s="472"/>
      <c r="D53" s="559"/>
      <c r="E53" s="560"/>
      <c r="F53" s="561"/>
      <c r="G53" s="562"/>
      <c r="H53" s="599"/>
      <c r="I53" s="601">
        <v>-500.0</v>
      </c>
      <c r="J53" s="2" t="s">
        <v>2060</v>
      </c>
    </row>
    <row r="54">
      <c r="A54" s="437"/>
      <c r="B54" s="480"/>
      <c r="C54" s="400"/>
      <c r="D54" s="182"/>
      <c r="E54" s="557"/>
      <c r="F54" s="558"/>
      <c r="G54" s="555"/>
      <c r="H54" s="556">
        <v>-100.0</v>
      </c>
      <c r="I54" s="552"/>
      <c r="J54" s="2" t="s">
        <v>2061</v>
      </c>
    </row>
    <row r="55">
      <c r="A55" s="437"/>
      <c r="B55" s="480"/>
      <c r="C55" s="400"/>
      <c r="D55" s="182"/>
      <c r="E55" s="557"/>
      <c r="F55" s="558"/>
      <c r="G55" s="555"/>
      <c r="H55" s="556">
        <v>-39.0</v>
      </c>
      <c r="I55" s="552"/>
      <c r="J55" s="2" t="s">
        <v>2062</v>
      </c>
    </row>
    <row r="56">
      <c r="A56" s="437"/>
      <c r="B56" s="480"/>
      <c r="C56" s="400"/>
      <c r="D56" s="182"/>
      <c r="E56" s="557"/>
      <c r="F56" s="558"/>
      <c r="G56" s="555"/>
      <c r="H56" s="556"/>
      <c r="I56" s="569">
        <v>-400.0</v>
      </c>
      <c r="J56" s="2" t="s">
        <v>2063</v>
      </c>
    </row>
    <row r="57">
      <c r="A57" s="437"/>
      <c r="B57" s="480"/>
      <c r="C57" s="400"/>
      <c r="D57" s="182"/>
      <c r="E57" s="557"/>
      <c r="F57" s="558"/>
      <c r="G57" s="555"/>
      <c r="H57" s="556">
        <v>-120.0</v>
      </c>
      <c r="I57" s="552"/>
      <c r="J57" s="2" t="s">
        <v>2064</v>
      </c>
    </row>
    <row r="58">
      <c r="A58" s="437"/>
      <c r="B58" s="480"/>
      <c r="C58" s="400"/>
      <c r="D58" s="182"/>
      <c r="E58" s="557"/>
      <c r="F58" s="558"/>
      <c r="G58" s="555"/>
      <c r="H58" s="556">
        <v>-12.5</v>
      </c>
      <c r="I58" s="552"/>
      <c r="J58" s="2" t="s">
        <v>2065</v>
      </c>
    </row>
    <row r="59">
      <c r="A59" s="437"/>
      <c r="B59" s="480"/>
      <c r="C59" s="400"/>
      <c r="D59" s="182"/>
      <c r="E59" s="557"/>
      <c r="F59" s="558"/>
      <c r="G59" s="555"/>
      <c r="H59" s="556">
        <v>-62.1</v>
      </c>
      <c r="I59" s="552"/>
      <c r="J59" s="2" t="s">
        <v>2066</v>
      </c>
    </row>
    <row r="60">
      <c r="A60" s="437"/>
      <c r="B60" s="480"/>
      <c r="C60" s="400"/>
      <c r="D60" s="182"/>
      <c r="E60" s="557"/>
      <c r="F60" s="558"/>
      <c r="G60" s="555"/>
      <c r="H60" s="556">
        <v>-110.0</v>
      </c>
      <c r="I60" s="552"/>
      <c r="J60" s="2" t="s">
        <v>2067</v>
      </c>
    </row>
    <row r="61">
      <c r="A61" s="437"/>
      <c r="B61" s="480"/>
      <c r="C61" s="400"/>
      <c r="D61" s="182"/>
      <c r="E61" s="557"/>
      <c r="F61" s="558"/>
      <c r="G61" s="555"/>
      <c r="H61" s="556">
        <v>-160.0</v>
      </c>
      <c r="I61" s="552"/>
      <c r="J61" s="2" t="s">
        <v>2068</v>
      </c>
    </row>
    <row r="62">
      <c r="A62" s="437"/>
      <c r="B62" s="480"/>
      <c r="C62" s="400"/>
      <c r="D62" s="182"/>
      <c r="E62" s="557"/>
      <c r="F62" s="558"/>
      <c r="G62" s="555"/>
      <c r="H62" s="556">
        <v>-76.0</v>
      </c>
      <c r="I62" s="552"/>
      <c r="J62" s="2" t="s">
        <v>2069</v>
      </c>
    </row>
    <row r="63">
      <c r="A63" s="437"/>
      <c r="B63" s="480"/>
      <c r="C63" s="400"/>
      <c r="D63" s="182"/>
      <c r="E63" s="557"/>
      <c r="F63" s="558"/>
      <c r="G63" s="555"/>
      <c r="H63" s="556">
        <v>-50.0</v>
      </c>
      <c r="I63" s="552"/>
      <c r="J63" s="2" t="s">
        <v>2070</v>
      </c>
    </row>
    <row r="64">
      <c r="A64" s="437"/>
      <c r="B64" s="480"/>
      <c r="C64" s="400"/>
      <c r="D64" s="182"/>
      <c r="E64" s="557"/>
      <c r="F64" s="558"/>
      <c r="G64" s="555"/>
      <c r="H64" s="556"/>
      <c r="I64" s="569">
        <v>-100.0</v>
      </c>
      <c r="J64" s="2" t="s">
        <v>2071</v>
      </c>
    </row>
    <row r="65">
      <c r="A65" s="437"/>
      <c r="B65" s="480"/>
      <c r="C65" s="400"/>
      <c r="D65" s="182"/>
      <c r="E65" s="557"/>
      <c r="F65" s="558"/>
      <c r="G65" s="555"/>
      <c r="H65" s="556">
        <v>-22.0</v>
      </c>
      <c r="I65" s="552"/>
      <c r="J65" s="2" t="s">
        <v>2072</v>
      </c>
    </row>
    <row r="66">
      <c r="A66" s="437"/>
      <c r="B66" s="480"/>
      <c r="C66" s="400"/>
      <c r="D66" s="182"/>
      <c r="E66" s="557"/>
      <c r="F66" s="558"/>
      <c r="G66" s="555"/>
      <c r="H66" s="556">
        <v>-140.0</v>
      </c>
      <c r="I66" s="552"/>
      <c r="J66" s="2" t="s">
        <v>2073</v>
      </c>
    </row>
    <row r="67">
      <c r="A67" s="437"/>
      <c r="B67" s="480"/>
      <c r="C67" s="400"/>
      <c r="D67" s="182"/>
      <c r="E67" s="557"/>
      <c r="F67" s="558"/>
      <c r="G67" s="555"/>
      <c r="H67" s="556">
        <v>-250.0</v>
      </c>
      <c r="I67" s="569">
        <v>-250.0</v>
      </c>
      <c r="J67" s="2" t="s">
        <v>2074</v>
      </c>
    </row>
    <row r="68">
      <c r="A68" s="437"/>
      <c r="B68" s="480"/>
      <c r="C68" s="400"/>
      <c r="D68" s="182"/>
      <c r="E68" s="557"/>
      <c r="F68" s="558"/>
      <c r="G68" s="555"/>
      <c r="H68" s="556">
        <v>-60.0</v>
      </c>
      <c r="I68" s="552"/>
      <c r="J68" s="2" t="s">
        <v>2075</v>
      </c>
    </row>
    <row r="69">
      <c r="A69" s="437"/>
      <c r="B69" s="480"/>
      <c r="C69" s="400"/>
      <c r="D69" s="182"/>
      <c r="E69" s="557"/>
      <c r="F69" s="558"/>
      <c r="G69" s="555"/>
      <c r="H69" s="556">
        <v>-44.5</v>
      </c>
      <c r="I69" s="552"/>
      <c r="J69" s="2" t="s">
        <v>2076</v>
      </c>
    </row>
    <row r="70">
      <c r="A70" s="437"/>
      <c r="B70" s="480"/>
      <c r="C70" s="400"/>
      <c r="D70" s="182"/>
      <c r="E70" s="557"/>
      <c r="F70" s="558"/>
      <c r="G70" s="555"/>
      <c r="H70" s="556">
        <v>-26.0</v>
      </c>
      <c r="I70" s="552"/>
      <c r="J70" s="2" t="s">
        <v>2076</v>
      </c>
    </row>
    <row r="71">
      <c r="A71" s="437"/>
      <c r="B71" s="480"/>
      <c r="C71" s="400"/>
      <c r="D71" s="182"/>
      <c r="E71" s="557"/>
      <c r="F71" s="558"/>
      <c r="G71" s="555"/>
      <c r="H71" s="556">
        <f>-60-150</f>
        <v>-210</v>
      </c>
      <c r="I71" s="569">
        <v>-210.0</v>
      </c>
      <c r="J71" s="2" t="s">
        <v>2077</v>
      </c>
    </row>
    <row r="72">
      <c r="A72" s="437"/>
      <c r="B72" s="480"/>
      <c r="C72" s="400"/>
      <c r="D72" s="182"/>
      <c r="E72" s="557"/>
      <c r="F72" s="558"/>
      <c r="G72" s="555"/>
      <c r="H72" s="556">
        <v>-50.0</v>
      </c>
      <c r="I72" s="552"/>
      <c r="J72" s="2" t="s">
        <v>2078</v>
      </c>
    </row>
    <row r="73">
      <c r="A73" s="437"/>
      <c r="B73" s="480"/>
      <c r="C73" s="400"/>
      <c r="D73" s="182"/>
      <c r="E73" s="557"/>
      <c r="F73" s="558"/>
      <c r="G73" s="555"/>
      <c r="H73" s="556">
        <v>-10.0</v>
      </c>
      <c r="I73" s="552"/>
      <c r="J73" s="2" t="s">
        <v>2079</v>
      </c>
    </row>
    <row r="74">
      <c r="A74" s="437"/>
      <c r="B74" s="480"/>
      <c r="C74" s="400"/>
      <c r="D74" s="182"/>
      <c r="E74" s="557"/>
      <c r="F74" s="558"/>
      <c r="G74" s="555"/>
      <c r="H74" s="556"/>
      <c r="I74" s="552"/>
    </row>
    <row r="75">
      <c r="A75" s="437"/>
      <c r="B75" s="480"/>
      <c r="C75" s="400"/>
      <c r="D75" s="182"/>
      <c r="E75" s="557"/>
      <c r="F75" s="558"/>
      <c r="G75" s="555"/>
      <c r="H75" s="556"/>
      <c r="I75" s="552"/>
    </row>
    <row r="76">
      <c r="A76" s="437"/>
      <c r="B76" s="480"/>
      <c r="C76" s="400"/>
      <c r="D76" s="182"/>
      <c r="E76" s="557"/>
      <c r="F76" s="558"/>
      <c r="G76" s="555"/>
      <c r="H76" s="556"/>
      <c r="I76" s="552"/>
    </row>
    <row r="77">
      <c r="A77" s="262" t="s">
        <v>890</v>
      </c>
      <c r="B77" s="425"/>
      <c r="C77" s="421"/>
      <c r="D77" s="566"/>
      <c r="E77" s="567"/>
      <c r="F77" s="549">
        <v>340.0</v>
      </c>
      <c r="G77" s="550" t="s">
        <v>1978</v>
      </c>
      <c r="H77" s="620">
        <f t="shared" ref="H77:I77" si="2">SUM(H30:H76)</f>
        <v>-2567.3</v>
      </c>
      <c r="I77" s="564">
        <f t="shared" si="2"/>
        <v>-2580</v>
      </c>
      <c r="J77" s="603"/>
    </row>
    <row r="78">
      <c r="A78" s="265"/>
      <c r="B78" s="404"/>
      <c r="C78" s="399"/>
      <c r="D78" s="182"/>
      <c r="E78" s="557"/>
      <c r="F78" s="554"/>
      <c r="G78" s="550"/>
      <c r="H78" s="551"/>
      <c r="I78" s="569"/>
    </row>
    <row r="79">
      <c r="A79" s="265"/>
      <c r="B79" s="404"/>
      <c r="C79" s="399"/>
      <c r="D79" s="182"/>
      <c r="E79" s="557"/>
      <c r="F79" s="558"/>
      <c r="G79" s="555"/>
      <c r="H79" s="556"/>
      <c r="I79" s="552"/>
    </row>
    <row r="80">
      <c r="A80" s="265"/>
      <c r="B80" s="404"/>
      <c r="C80" s="399"/>
      <c r="D80" s="182"/>
      <c r="E80" s="557"/>
      <c r="F80" s="558"/>
      <c r="G80" s="555"/>
      <c r="H80" s="556"/>
      <c r="I80" s="552"/>
    </row>
    <row r="81">
      <c r="A81" s="265"/>
      <c r="B81" s="440"/>
      <c r="C81" s="399"/>
      <c r="D81" s="182"/>
      <c r="E81" s="557"/>
      <c r="F81" s="558"/>
      <c r="G81" s="555"/>
      <c r="H81" s="551"/>
      <c r="I81" s="552"/>
    </row>
    <row r="82">
      <c r="A82" s="270"/>
      <c r="B82" s="470"/>
      <c r="C82" s="486"/>
      <c r="D82" s="559"/>
      <c r="E82" s="560"/>
      <c r="F82" s="561"/>
      <c r="G82" s="562"/>
      <c r="H82" s="551"/>
      <c r="I82" s="552"/>
    </row>
    <row r="83">
      <c r="A83" s="262" t="s">
        <v>2080</v>
      </c>
      <c r="B83" s="425"/>
      <c r="C83" s="421"/>
      <c r="D83" s="566"/>
      <c r="E83" s="567"/>
      <c r="F83" s="549">
        <v>270.0</v>
      </c>
      <c r="G83" s="550" t="s">
        <v>2081</v>
      </c>
      <c r="H83" s="620"/>
      <c r="I83" s="564"/>
    </row>
    <row r="84">
      <c r="A84" s="265"/>
      <c r="B84" s="404"/>
      <c r="C84" s="400"/>
      <c r="D84" s="182"/>
      <c r="E84" s="557"/>
      <c r="F84" s="554">
        <v>210.0</v>
      </c>
      <c r="G84" s="550" t="s">
        <v>1906</v>
      </c>
      <c r="H84" s="551"/>
      <c r="I84" s="552"/>
    </row>
    <row r="85">
      <c r="A85" s="265"/>
      <c r="B85" s="404"/>
      <c r="C85" s="400"/>
      <c r="D85" s="182"/>
      <c r="E85" s="557"/>
      <c r="F85" s="558"/>
      <c r="G85" s="555"/>
      <c r="H85" s="551"/>
      <c r="I85" s="552"/>
    </row>
    <row r="86">
      <c r="A86" s="265"/>
      <c r="B86" s="477"/>
      <c r="C86" s="400"/>
      <c r="D86" s="182"/>
      <c r="E86" s="576"/>
      <c r="F86" s="554">
        <v>370.0</v>
      </c>
      <c r="G86" s="550" t="s">
        <v>1976</v>
      </c>
      <c r="H86" s="551"/>
      <c r="I86" s="552"/>
    </row>
    <row r="87">
      <c r="A87" s="265"/>
      <c r="B87" s="477"/>
      <c r="C87" s="400"/>
      <c r="D87" s="182"/>
      <c r="E87" s="576"/>
      <c r="F87" s="558"/>
      <c r="G87" s="555"/>
      <c r="H87" s="551"/>
      <c r="I87" s="552"/>
    </row>
    <row r="88">
      <c r="A88" s="270"/>
      <c r="B88" s="478"/>
      <c r="C88" s="472"/>
      <c r="D88" s="559"/>
      <c r="E88" s="560"/>
      <c r="F88" s="561"/>
      <c r="G88" s="562"/>
      <c r="H88" s="563"/>
      <c r="I88" s="564"/>
    </row>
    <row r="89">
      <c r="A89" s="262" t="s">
        <v>900</v>
      </c>
      <c r="B89" s="419"/>
      <c r="C89" s="414"/>
      <c r="D89" s="22"/>
      <c r="E89" s="550"/>
      <c r="F89" s="554">
        <v>200.0</v>
      </c>
      <c r="G89" s="550" t="s">
        <v>1905</v>
      </c>
      <c r="H89" s="556"/>
      <c r="I89" s="552"/>
    </row>
    <row r="90">
      <c r="A90" s="265"/>
      <c r="B90" s="404"/>
      <c r="C90" s="399"/>
      <c r="D90" s="182"/>
      <c r="E90" s="557"/>
      <c r="F90" s="554">
        <v>200.0</v>
      </c>
      <c r="G90" s="550" t="s">
        <v>2082</v>
      </c>
      <c r="H90" s="556"/>
      <c r="I90" s="552"/>
    </row>
    <row r="91">
      <c r="A91" s="265"/>
      <c r="B91" s="404"/>
      <c r="C91" s="399"/>
      <c r="D91" s="182"/>
      <c r="E91" s="557"/>
      <c r="F91" s="558"/>
      <c r="G91" s="555"/>
      <c r="H91" s="551"/>
      <c r="I91" s="552"/>
    </row>
    <row r="92">
      <c r="A92" s="265"/>
      <c r="B92" s="404"/>
      <c r="C92" s="399"/>
      <c r="D92" s="182"/>
      <c r="E92" s="557"/>
      <c r="F92" s="554"/>
      <c r="G92" s="550"/>
      <c r="H92" s="556"/>
      <c r="I92" s="552"/>
    </row>
    <row r="93">
      <c r="A93" s="265"/>
      <c r="B93" s="404"/>
      <c r="C93" s="400"/>
      <c r="D93" s="182"/>
      <c r="E93" s="557"/>
      <c r="F93" s="558"/>
      <c r="G93" s="555"/>
      <c r="H93" s="551"/>
      <c r="I93" s="552"/>
    </row>
    <row r="94">
      <c r="A94" s="270"/>
      <c r="B94" s="404"/>
      <c r="C94" s="399"/>
      <c r="D94" s="182"/>
      <c r="E94" s="557"/>
      <c r="F94" s="561"/>
      <c r="G94" s="562"/>
      <c r="H94" s="563"/>
      <c r="I94" s="564"/>
    </row>
    <row r="95">
      <c r="A95" s="262" t="s">
        <v>901</v>
      </c>
      <c r="B95" s="425"/>
      <c r="C95" s="401"/>
      <c r="D95" s="566"/>
      <c r="E95" s="567"/>
      <c r="F95" s="554"/>
      <c r="G95" s="550"/>
      <c r="H95" s="604"/>
      <c r="I95" s="605"/>
      <c r="J95" s="340" t="s">
        <v>1377</v>
      </c>
    </row>
    <row r="96">
      <c r="A96" s="265"/>
      <c r="B96" s="404">
        <v>150000.0</v>
      </c>
      <c r="C96" s="400"/>
      <c r="D96" s="182"/>
      <c r="E96" s="557" t="s">
        <v>2083</v>
      </c>
      <c r="F96" s="554">
        <v>330.0</v>
      </c>
      <c r="G96" s="550" t="s">
        <v>2084</v>
      </c>
      <c r="H96" s="556"/>
      <c r="I96" s="552"/>
    </row>
    <row r="97">
      <c r="A97" s="265"/>
      <c r="B97" s="404"/>
      <c r="C97" s="400"/>
      <c r="D97" s="182"/>
      <c r="E97" s="576"/>
      <c r="F97" s="554">
        <v>80.0</v>
      </c>
      <c r="G97" s="550" t="s">
        <v>2085</v>
      </c>
      <c r="H97" s="551"/>
      <c r="I97" s="552"/>
    </row>
    <row r="98">
      <c r="A98" s="265"/>
      <c r="B98" s="480"/>
      <c r="C98" s="400"/>
      <c r="D98" s="182"/>
      <c r="E98" s="576"/>
      <c r="F98" s="554"/>
      <c r="G98" s="550"/>
      <c r="H98" s="551"/>
      <c r="I98" s="552"/>
    </row>
    <row r="99">
      <c r="A99" s="265"/>
      <c r="B99" s="480"/>
      <c r="C99" s="400"/>
      <c r="D99" s="574"/>
      <c r="E99" s="576"/>
      <c r="F99" s="558"/>
      <c r="G99" s="555"/>
      <c r="H99" s="551"/>
      <c r="I99" s="552"/>
    </row>
    <row r="100">
      <c r="A100" s="270"/>
      <c r="B100" s="478"/>
      <c r="C100" s="472"/>
      <c r="D100" s="577"/>
      <c r="E100" s="578"/>
      <c r="F100" s="561"/>
      <c r="G100" s="562"/>
      <c r="H100" s="563"/>
      <c r="I100" s="564"/>
    </row>
    <row r="101">
      <c r="A101" s="262" t="s">
        <v>904</v>
      </c>
      <c r="B101" s="425"/>
      <c r="C101" s="401"/>
      <c r="D101" s="566"/>
      <c r="E101" s="567"/>
      <c r="F101" s="549">
        <v>230.0</v>
      </c>
      <c r="G101" s="550" t="s">
        <v>2086</v>
      </c>
      <c r="H101" s="551"/>
      <c r="I101" s="552"/>
    </row>
    <row r="102">
      <c r="A102" s="265"/>
      <c r="B102" s="404"/>
      <c r="C102" s="400"/>
      <c r="D102" s="182"/>
      <c r="E102" s="567"/>
      <c r="F102" s="554">
        <v>120.0</v>
      </c>
      <c r="G102" s="550" t="s">
        <v>2084</v>
      </c>
      <c r="H102" s="551"/>
      <c r="I102" s="552"/>
    </row>
    <row r="103">
      <c r="A103" s="265"/>
      <c r="B103" s="404"/>
      <c r="C103" s="399"/>
      <c r="D103" s="182"/>
      <c r="E103" s="557"/>
      <c r="F103" s="558"/>
      <c r="G103" s="555"/>
      <c r="H103" s="551"/>
      <c r="I103" s="552"/>
    </row>
    <row r="104">
      <c r="A104" s="265"/>
      <c r="B104" s="440"/>
      <c r="C104" s="399"/>
      <c r="D104" s="182"/>
      <c r="E104" s="557"/>
      <c r="F104" s="558"/>
      <c r="G104" s="550"/>
      <c r="H104" s="551"/>
      <c r="I104" s="552"/>
    </row>
    <row r="105">
      <c r="A105" s="265"/>
      <c r="B105" s="440"/>
      <c r="C105" s="400"/>
      <c r="D105" s="574"/>
      <c r="E105" s="557"/>
      <c r="F105" s="558"/>
      <c r="G105" s="555"/>
      <c r="H105" s="551"/>
      <c r="I105" s="552"/>
    </row>
    <row r="106">
      <c r="A106" s="270"/>
      <c r="B106" s="478"/>
      <c r="C106" s="472"/>
      <c r="D106" s="577"/>
      <c r="E106" s="578"/>
      <c r="F106" s="561"/>
      <c r="G106" s="562"/>
      <c r="H106" s="563"/>
      <c r="I106" s="564"/>
    </row>
    <row r="107">
      <c r="A107" s="262" t="s">
        <v>905</v>
      </c>
      <c r="B107" s="461"/>
      <c r="C107" s="421"/>
      <c r="D107" s="566"/>
      <c r="E107" s="567"/>
      <c r="F107" s="549">
        <v>200.0</v>
      </c>
      <c r="G107" s="550" t="s">
        <v>2086</v>
      </c>
      <c r="H107" s="556"/>
      <c r="I107" s="569"/>
    </row>
    <row r="108">
      <c r="A108" s="265"/>
      <c r="B108" s="404"/>
      <c r="C108" s="400"/>
      <c r="D108" s="182"/>
      <c r="E108" s="557"/>
      <c r="F108" s="554">
        <v>130.0</v>
      </c>
      <c r="G108" s="550" t="s">
        <v>2084</v>
      </c>
      <c r="H108" s="551"/>
      <c r="I108" s="552"/>
    </row>
    <row r="109">
      <c r="A109" s="265"/>
      <c r="B109" s="440"/>
      <c r="C109" s="400"/>
      <c r="D109" s="182"/>
      <c r="E109" s="557"/>
      <c r="F109" s="558"/>
      <c r="G109" s="555"/>
      <c r="H109" s="551"/>
      <c r="I109" s="552"/>
    </row>
    <row r="110">
      <c r="A110" s="265"/>
      <c r="B110" s="480"/>
      <c r="C110" s="400"/>
      <c r="D110" s="574"/>
      <c r="E110" s="576"/>
      <c r="F110" s="554"/>
      <c r="G110" s="550"/>
      <c r="H110" s="551"/>
      <c r="I110" s="552"/>
    </row>
    <row r="111">
      <c r="A111" s="265"/>
      <c r="B111" s="480"/>
      <c r="C111" s="400"/>
      <c r="D111" s="574"/>
      <c r="E111" s="576"/>
      <c r="F111" s="558"/>
      <c r="G111" s="555"/>
      <c r="H111" s="551"/>
      <c r="I111" s="552"/>
    </row>
    <row r="112">
      <c r="A112" s="270"/>
      <c r="B112" s="478"/>
      <c r="C112" s="472"/>
      <c r="D112" s="577"/>
      <c r="E112" s="578"/>
      <c r="F112" s="561"/>
      <c r="G112" s="562"/>
      <c r="H112" s="563"/>
      <c r="I112" s="564"/>
    </row>
    <row r="113">
      <c r="A113" s="262" t="s">
        <v>906</v>
      </c>
      <c r="B113" s="425"/>
      <c r="C113" s="421"/>
      <c r="D113" s="566"/>
      <c r="E113" s="557"/>
      <c r="F113" s="549">
        <v>230.0</v>
      </c>
      <c r="G113" s="550" t="s">
        <v>1905</v>
      </c>
      <c r="H113" s="556"/>
      <c r="I113" s="552"/>
    </row>
    <row r="114">
      <c r="A114" s="265"/>
      <c r="B114" s="404"/>
      <c r="C114" s="400"/>
      <c r="D114" s="182"/>
      <c r="E114" s="557"/>
      <c r="F114" s="554">
        <v>20.0</v>
      </c>
      <c r="G114" s="550" t="s">
        <v>1906</v>
      </c>
      <c r="H114" s="551"/>
      <c r="I114" s="552"/>
    </row>
    <row r="115">
      <c r="A115" s="265"/>
      <c r="B115" s="480"/>
      <c r="C115" s="400"/>
      <c r="D115" s="182"/>
      <c r="E115" s="557"/>
      <c r="F115" s="558"/>
      <c r="G115" s="555"/>
      <c r="H115" s="551"/>
      <c r="I115" s="552"/>
    </row>
    <row r="116">
      <c r="A116" s="265"/>
      <c r="B116" s="480"/>
      <c r="C116" s="400"/>
      <c r="D116" s="182"/>
      <c r="E116" s="576"/>
      <c r="F116" s="558"/>
      <c r="G116" s="555"/>
      <c r="H116" s="551"/>
      <c r="I116" s="552"/>
    </row>
    <row r="117">
      <c r="A117" s="265"/>
      <c r="B117" s="480"/>
      <c r="C117" s="400"/>
      <c r="D117" s="182"/>
      <c r="E117" s="576"/>
      <c r="F117" s="558"/>
      <c r="G117" s="555"/>
      <c r="H117" s="551"/>
      <c r="I117" s="552"/>
    </row>
    <row r="118">
      <c r="A118" s="270"/>
      <c r="B118" s="478"/>
      <c r="C118" s="472"/>
      <c r="D118" s="577"/>
      <c r="E118" s="578"/>
      <c r="F118" s="561"/>
      <c r="G118" s="562"/>
      <c r="H118" s="563"/>
      <c r="I118" s="564"/>
    </row>
    <row r="119">
      <c r="A119" s="262" t="s">
        <v>2087</v>
      </c>
      <c r="B119" s="425"/>
      <c r="C119" s="421"/>
      <c r="D119" s="566"/>
      <c r="E119" s="567"/>
      <c r="F119" s="549"/>
      <c r="G119" s="550" t="s">
        <v>2088</v>
      </c>
      <c r="H119" s="551"/>
      <c r="I119" s="552"/>
    </row>
    <row r="120">
      <c r="A120" s="265"/>
      <c r="B120" s="404"/>
      <c r="C120" s="399"/>
      <c r="D120" s="182"/>
      <c r="E120" s="557"/>
      <c r="F120" s="554">
        <v>210.0</v>
      </c>
      <c r="G120" s="550" t="s">
        <v>1906</v>
      </c>
      <c r="H120" s="551"/>
      <c r="I120" s="552"/>
    </row>
    <row r="121">
      <c r="A121" s="265"/>
      <c r="B121" s="477"/>
      <c r="C121" s="399"/>
      <c r="D121" s="182"/>
      <c r="E121" s="557"/>
      <c r="F121" s="558"/>
      <c r="G121" s="555"/>
      <c r="H121" s="551"/>
      <c r="I121" s="552"/>
    </row>
    <row r="122">
      <c r="A122" s="265"/>
      <c r="B122" s="477"/>
      <c r="C122" s="400"/>
      <c r="D122" s="182"/>
      <c r="E122" s="557"/>
      <c r="F122" s="554"/>
      <c r="G122" s="550"/>
      <c r="H122" s="551"/>
      <c r="I122" s="552"/>
    </row>
    <row r="123">
      <c r="A123" s="265"/>
      <c r="B123" s="477"/>
      <c r="C123" s="400"/>
      <c r="D123" s="182"/>
      <c r="E123" s="557"/>
      <c r="F123" s="554">
        <v>130.0</v>
      </c>
      <c r="G123" s="550" t="s">
        <v>1991</v>
      </c>
      <c r="H123" s="551"/>
      <c r="I123" s="552"/>
    </row>
    <row r="124">
      <c r="A124" s="270"/>
      <c r="B124" s="478"/>
      <c r="C124" s="472"/>
      <c r="D124" s="559"/>
      <c r="E124" s="560"/>
      <c r="F124" s="561"/>
      <c r="G124" s="562"/>
      <c r="H124" s="563"/>
      <c r="I124" s="564"/>
    </row>
    <row r="125">
      <c r="A125" s="262" t="s">
        <v>909</v>
      </c>
      <c r="B125" s="425"/>
      <c r="C125" s="399"/>
      <c r="D125" s="182"/>
      <c r="E125" s="557"/>
      <c r="F125" s="549">
        <v>400.0</v>
      </c>
      <c r="G125" s="550" t="s">
        <v>1905</v>
      </c>
      <c r="H125" s="551"/>
      <c r="I125" s="552"/>
    </row>
    <row r="126">
      <c r="A126" s="265"/>
      <c r="B126" s="404"/>
      <c r="C126" s="399"/>
      <c r="D126" s="182"/>
      <c r="E126" s="557"/>
      <c r="F126" s="554">
        <v>110.0</v>
      </c>
      <c r="G126" s="550" t="s">
        <v>1906</v>
      </c>
      <c r="H126" s="551"/>
      <c r="I126" s="552"/>
    </row>
    <row r="127">
      <c r="A127" s="265"/>
      <c r="B127" s="404"/>
      <c r="C127" s="489"/>
      <c r="D127" s="579"/>
      <c r="E127" s="580"/>
      <c r="F127" s="554">
        <v>30.0</v>
      </c>
      <c r="G127" s="550" t="s">
        <v>1906</v>
      </c>
      <c r="H127" s="551"/>
      <c r="I127" s="552"/>
    </row>
    <row r="128">
      <c r="A128" s="265"/>
      <c r="B128" s="404"/>
      <c r="C128" s="400"/>
      <c r="D128" s="182"/>
      <c r="E128" s="557"/>
      <c r="F128" s="554"/>
      <c r="G128" s="550"/>
      <c r="H128" s="551"/>
      <c r="I128" s="552"/>
    </row>
    <row r="129">
      <c r="A129" s="265"/>
      <c r="B129" s="477"/>
      <c r="C129" s="400"/>
      <c r="D129" s="182"/>
      <c r="E129" s="576"/>
      <c r="F129" s="558"/>
      <c r="G129" s="555"/>
      <c r="H129" s="551"/>
      <c r="I129" s="552"/>
    </row>
    <row r="130">
      <c r="A130" s="270"/>
      <c r="B130" s="478"/>
      <c r="C130" s="472"/>
      <c r="D130" s="559"/>
      <c r="E130" s="560"/>
      <c r="F130" s="561"/>
      <c r="G130" s="562"/>
      <c r="H130" s="563"/>
      <c r="I130" s="564"/>
    </row>
    <row r="131">
      <c r="A131" s="262" t="s">
        <v>911</v>
      </c>
      <c r="B131" s="425">
        <v>10640.1</v>
      </c>
      <c r="C131" s="414"/>
      <c r="D131" s="182"/>
      <c r="E131" s="557" t="s">
        <v>708</v>
      </c>
      <c r="F131" s="549">
        <v>200.0</v>
      </c>
      <c r="G131" s="550" t="s">
        <v>2089</v>
      </c>
      <c r="H131" s="551"/>
      <c r="I131" s="552"/>
    </row>
    <row r="132">
      <c r="A132" s="265"/>
      <c r="B132" s="404"/>
      <c r="C132" s="400"/>
      <c r="D132" s="182"/>
      <c r="E132" s="557"/>
      <c r="F132" s="554">
        <v>70.0</v>
      </c>
      <c r="G132" s="550" t="s">
        <v>1906</v>
      </c>
      <c r="H132" s="551"/>
      <c r="I132" s="552"/>
    </row>
    <row r="133">
      <c r="A133" s="265"/>
      <c r="B133" s="477"/>
      <c r="C133" s="400"/>
      <c r="D133" s="182"/>
      <c r="E133" s="557"/>
      <c r="F133" s="558"/>
      <c r="G133" s="555"/>
      <c r="H133" s="551"/>
      <c r="I133" s="552"/>
    </row>
    <row r="134">
      <c r="A134" s="265"/>
      <c r="B134" s="480"/>
      <c r="C134" s="400"/>
      <c r="D134" s="182"/>
      <c r="E134" s="557"/>
      <c r="F134" s="554"/>
      <c r="G134" s="550"/>
      <c r="H134" s="551"/>
      <c r="I134" s="552"/>
    </row>
    <row r="135">
      <c r="A135" s="265"/>
      <c r="B135" s="480"/>
      <c r="C135" s="400"/>
      <c r="D135" s="574"/>
      <c r="E135" s="576"/>
      <c r="F135" s="558"/>
      <c r="G135" s="550"/>
      <c r="H135" s="551"/>
      <c r="I135" s="552"/>
    </row>
    <row r="136">
      <c r="A136" s="270"/>
      <c r="B136" s="478"/>
      <c r="C136" s="472"/>
      <c r="D136" s="577"/>
      <c r="E136" s="578"/>
      <c r="F136" s="561"/>
      <c r="G136" s="562"/>
      <c r="H136" s="563"/>
      <c r="I136" s="564"/>
    </row>
    <row r="137">
      <c r="A137" s="262" t="s">
        <v>917</v>
      </c>
      <c r="B137" s="425"/>
      <c r="C137" s="401"/>
      <c r="D137" s="566"/>
      <c r="E137" s="567"/>
      <c r="F137" s="549">
        <v>400.0</v>
      </c>
      <c r="G137" s="550" t="s">
        <v>1905</v>
      </c>
      <c r="H137" s="556"/>
      <c r="I137" s="552"/>
    </row>
    <row r="138">
      <c r="A138" s="265"/>
      <c r="B138" s="477"/>
      <c r="C138" s="400"/>
      <c r="D138" s="182"/>
      <c r="E138" s="557"/>
      <c r="F138" s="554">
        <v>60.0</v>
      </c>
      <c r="G138" s="550" t="s">
        <v>1906</v>
      </c>
      <c r="H138" s="551"/>
      <c r="I138" s="552"/>
    </row>
    <row r="139">
      <c r="A139" s="265"/>
      <c r="B139" s="477"/>
      <c r="C139" s="400"/>
      <c r="D139" s="182"/>
      <c r="E139" s="557"/>
      <c r="F139" s="558"/>
      <c r="G139" s="555"/>
      <c r="H139" s="551"/>
      <c r="I139" s="552"/>
    </row>
    <row r="140">
      <c r="A140" s="265"/>
      <c r="B140" s="477"/>
      <c r="C140" s="400"/>
      <c r="D140" s="182"/>
      <c r="E140" s="557"/>
      <c r="F140" s="558"/>
      <c r="G140" s="555"/>
      <c r="H140" s="551"/>
      <c r="I140" s="552"/>
    </row>
    <row r="141">
      <c r="A141" s="265"/>
      <c r="B141" s="477"/>
      <c r="C141" s="400"/>
      <c r="D141" s="182"/>
      <c r="E141" s="576"/>
      <c r="F141" s="558"/>
      <c r="G141" s="555"/>
      <c r="H141" s="551"/>
      <c r="I141" s="552"/>
    </row>
    <row r="142">
      <c r="A142" s="270"/>
      <c r="B142" s="478"/>
      <c r="C142" s="472"/>
      <c r="D142" s="577"/>
      <c r="E142" s="578"/>
      <c r="F142" s="561"/>
      <c r="G142" s="562"/>
      <c r="H142" s="563"/>
      <c r="I142" s="564"/>
    </row>
    <row r="143">
      <c r="A143" s="262" t="s">
        <v>921</v>
      </c>
      <c r="B143" s="425"/>
      <c r="C143" s="401"/>
      <c r="D143" s="182"/>
      <c r="E143" s="557"/>
      <c r="F143" s="549">
        <v>120.0</v>
      </c>
      <c r="G143" s="550" t="s">
        <v>1906</v>
      </c>
      <c r="H143" s="556"/>
      <c r="I143" s="552"/>
    </row>
    <row r="144">
      <c r="A144" s="265"/>
      <c r="B144" s="404"/>
      <c r="C144" s="400"/>
      <c r="D144" s="182"/>
      <c r="E144" s="557"/>
      <c r="F144" s="554">
        <v>200.0</v>
      </c>
      <c r="G144" s="550" t="s">
        <v>1905</v>
      </c>
      <c r="H144" s="551"/>
      <c r="I144" s="552"/>
    </row>
    <row r="145">
      <c r="A145" s="265"/>
      <c r="B145" s="404"/>
      <c r="C145" s="400"/>
      <c r="D145" s="182"/>
      <c r="E145" s="557"/>
      <c r="F145" s="554"/>
      <c r="G145" s="550"/>
      <c r="H145" s="551"/>
      <c r="I145" s="552"/>
    </row>
    <row r="146">
      <c r="A146" s="265"/>
      <c r="B146" s="477"/>
      <c r="C146" s="400"/>
      <c r="D146" s="182"/>
      <c r="E146" s="557"/>
      <c r="F146" s="554"/>
      <c r="G146" s="550"/>
      <c r="H146" s="581"/>
      <c r="I146" s="582"/>
    </row>
    <row r="147">
      <c r="A147" s="265"/>
      <c r="B147" s="477"/>
      <c r="C147" s="400"/>
      <c r="D147" s="182"/>
      <c r="E147" s="576"/>
      <c r="F147" s="558"/>
      <c r="G147" s="555"/>
      <c r="H147" s="551"/>
      <c r="I147" s="552"/>
    </row>
    <row r="148">
      <c r="A148" s="270"/>
      <c r="B148" s="478"/>
      <c r="C148" s="472"/>
      <c r="D148" s="577"/>
      <c r="E148" s="578"/>
      <c r="F148" s="561"/>
      <c r="G148" s="562"/>
      <c r="H148" s="563"/>
      <c r="I148" s="564"/>
    </row>
    <row r="149">
      <c r="A149" s="262" t="s">
        <v>922</v>
      </c>
      <c r="B149" s="425"/>
      <c r="C149" s="421"/>
      <c r="D149" s="566"/>
      <c r="E149" s="567"/>
      <c r="F149" s="549"/>
      <c r="G149" s="550"/>
      <c r="H149" s="556"/>
      <c r="I149" s="569"/>
    </row>
    <row r="150">
      <c r="A150" s="265"/>
      <c r="B150" s="404"/>
      <c r="C150" s="399"/>
      <c r="D150" s="182"/>
      <c r="E150" s="576"/>
      <c r="F150" s="554">
        <v>130.0</v>
      </c>
      <c r="G150" s="550" t="s">
        <v>1905</v>
      </c>
      <c r="H150" s="551"/>
      <c r="I150" s="569"/>
    </row>
    <row r="151">
      <c r="A151" s="265"/>
      <c r="B151" s="404"/>
      <c r="C151" s="400"/>
      <c r="D151" s="182"/>
      <c r="E151" s="576"/>
      <c r="F151" s="554">
        <v>150.0</v>
      </c>
      <c r="G151" s="550" t="s">
        <v>1906</v>
      </c>
      <c r="H151" s="551"/>
      <c r="I151" s="552"/>
    </row>
    <row r="152">
      <c r="A152" s="265"/>
      <c r="B152" s="404"/>
      <c r="C152" s="400"/>
      <c r="D152" s="182"/>
      <c r="E152" s="576"/>
      <c r="F152" s="558"/>
      <c r="G152" s="555"/>
      <c r="H152" s="551"/>
      <c r="I152" s="552"/>
    </row>
    <row r="153">
      <c r="A153" s="265"/>
      <c r="B153" s="404"/>
      <c r="C153" s="399"/>
      <c r="D153" s="182"/>
      <c r="E153" s="576"/>
      <c r="F153" s="558"/>
      <c r="G153" s="555"/>
      <c r="H153" s="551"/>
      <c r="I153" s="552"/>
    </row>
    <row r="154">
      <c r="A154" s="270"/>
      <c r="B154" s="478"/>
      <c r="C154" s="472"/>
      <c r="D154" s="559"/>
      <c r="E154" s="560"/>
      <c r="F154" s="561"/>
      <c r="G154" s="562"/>
      <c r="H154" s="563"/>
      <c r="I154" s="564"/>
    </row>
    <row r="155">
      <c r="A155" s="262" t="s">
        <v>2090</v>
      </c>
      <c r="B155" s="425"/>
      <c r="C155" s="401"/>
      <c r="D155" s="566"/>
      <c r="E155" s="567"/>
      <c r="F155" s="549">
        <v>280.0</v>
      </c>
      <c r="G155" s="550" t="s">
        <v>1905</v>
      </c>
      <c r="H155" s="556"/>
      <c r="I155" s="569"/>
    </row>
    <row r="156">
      <c r="A156" s="265"/>
      <c r="B156" s="477"/>
      <c r="C156" s="399"/>
      <c r="D156" s="182"/>
      <c r="E156" s="557"/>
      <c r="F156" s="554"/>
      <c r="G156" s="550" t="s">
        <v>2091</v>
      </c>
      <c r="H156" s="551"/>
      <c r="I156" s="552"/>
    </row>
    <row r="157">
      <c r="A157" s="265"/>
      <c r="B157" s="477"/>
      <c r="C157" s="400"/>
      <c r="D157" s="182"/>
      <c r="E157" s="576"/>
      <c r="F157" s="558"/>
      <c r="G157" s="555"/>
      <c r="H157" s="551"/>
      <c r="I157" s="552"/>
    </row>
    <row r="158">
      <c r="A158" s="265"/>
      <c r="B158" s="477"/>
      <c r="C158" s="400"/>
      <c r="D158" s="182"/>
      <c r="E158" s="576"/>
      <c r="F158" s="554">
        <v>300.0</v>
      </c>
      <c r="G158" s="550" t="s">
        <v>1991</v>
      </c>
      <c r="H158" s="551"/>
      <c r="I158" s="552"/>
    </row>
    <row r="159">
      <c r="A159" s="265"/>
      <c r="B159" s="477"/>
      <c r="C159" s="400"/>
      <c r="D159" s="182"/>
      <c r="E159" s="576"/>
      <c r="F159" s="558"/>
      <c r="G159" s="555"/>
      <c r="H159" s="551"/>
      <c r="I159" s="552"/>
    </row>
    <row r="160">
      <c r="A160" s="270"/>
      <c r="B160" s="478"/>
      <c r="C160" s="472"/>
      <c r="D160" s="577"/>
      <c r="E160" s="578"/>
      <c r="F160" s="561"/>
      <c r="G160" s="562"/>
      <c r="H160" s="563"/>
      <c r="I160" s="564"/>
    </row>
    <row r="161">
      <c r="A161" s="262" t="s">
        <v>928</v>
      </c>
      <c r="B161" s="425"/>
      <c r="C161" s="401"/>
      <c r="D161" s="566"/>
      <c r="E161" s="550"/>
      <c r="F161" s="549"/>
      <c r="G161" s="550" t="s">
        <v>2092</v>
      </c>
      <c r="H161" s="551"/>
      <c r="I161" s="552"/>
    </row>
    <row r="162">
      <c r="A162" s="265"/>
      <c r="B162" s="477"/>
      <c r="C162" s="399"/>
      <c r="D162" s="182"/>
      <c r="E162" s="576"/>
      <c r="F162" s="554"/>
      <c r="G162" s="550" t="s">
        <v>2093</v>
      </c>
      <c r="H162" s="551"/>
      <c r="I162" s="552"/>
    </row>
    <row r="163">
      <c r="A163" s="265"/>
      <c r="B163" s="477"/>
      <c r="C163" s="400"/>
      <c r="D163" s="182"/>
      <c r="E163" s="576"/>
      <c r="F163" s="558"/>
      <c r="G163" s="555"/>
      <c r="H163" s="551"/>
      <c r="I163" s="552"/>
    </row>
    <row r="164">
      <c r="A164" s="265"/>
      <c r="B164" s="404"/>
      <c r="C164" s="400"/>
      <c r="D164" s="182"/>
      <c r="E164" s="576"/>
      <c r="F164" s="554"/>
      <c r="G164" s="550"/>
      <c r="H164" s="551"/>
      <c r="I164" s="552"/>
    </row>
    <row r="165">
      <c r="A165" s="265"/>
      <c r="B165" s="477"/>
      <c r="C165" s="400"/>
      <c r="D165" s="182"/>
      <c r="E165" s="576"/>
      <c r="F165" s="558"/>
      <c r="G165" s="555"/>
      <c r="H165" s="551"/>
      <c r="I165" s="552"/>
    </row>
    <row r="166">
      <c r="A166" s="270"/>
      <c r="B166" s="478"/>
      <c r="C166" s="472"/>
      <c r="D166" s="577"/>
      <c r="E166" s="578"/>
      <c r="F166" s="561"/>
      <c r="G166" s="562"/>
      <c r="H166" s="563"/>
      <c r="I166" s="564"/>
    </row>
    <row r="167">
      <c r="A167" s="280" t="s">
        <v>930</v>
      </c>
      <c r="B167" s="425"/>
      <c r="C167" s="401"/>
      <c r="D167" s="566"/>
      <c r="E167" s="557"/>
      <c r="F167" s="549">
        <v>230.0</v>
      </c>
      <c r="G167" s="550" t="s">
        <v>1905</v>
      </c>
      <c r="H167" s="556"/>
      <c r="I167" s="569"/>
    </row>
    <row r="168">
      <c r="A168" s="265"/>
      <c r="B168" s="404"/>
      <c r="C168" s="399"/>
      <c r="D168" s="182"/>
      <c r="E168" s="557"/>
      <c r="F168" s="554">
        <v>200.0</v>
      </c>
      <c r="G168" s="550" t="s">
        <v>2094</v>
      </c>
      <c r="H168" s="551"/>
      <c r="I168" s="552"/>
    </row>
    <row r="169">
      <c r="A169" s="265"/>
      <c r="B169" s="404"/>
      <c r="C169" s="399"/>
      <c r="D169" s="182"/>
      <c r="E169" s="557"/>
      <c r="F169" s="554"/>
      <c r="G169" s="555"/>
      <c r="H169" s="551"/>
      <c r="I169" s="552"/>
    </row>
    <row r="170">
      <c r="A170" s="265"/>
      <c r="B170" s="404"/>
      <c r="C170" s="399"/>
      <c r="D170" s="182"/>
      <c r="E170" s="557"/>
      <c r="F170" s="554"/>
      <c r="G170" s="550"/>
      <c r="H170" s="551"/>
      <c r="I170" s="552"/>
    </row>
    <row r="171">
      <c r="A171" s="270"/>
      <c r="B171" s="404"/>
      <c r="C171" s="399"/>
      <c r="D171" s="182"/>
      <c r="E171" s="557"/>
      <c r="F171" s="554"/>
      <c r="G171" s="555"/>
      <c r="H171" s="551"/>
      <c r="I171" s="552"/>
    </row>
    <row r="172">
      <c r="A172" s="452"/>
      <c r="B172" s="404"/>
      <c r="C172" s="399"/>
      <c r="D172" s="182"/>
      <c r="E172" s="557"/>
      <c r="F172" s="554"/>
      <c r="G172" s="562"/>
      <c r="H172" s="563"/>
      <c r="I172" s="564"/>
    </row>
    <row r="173">
      <c r="A173" s="280" t="s">
        <v>932</v>
      </c>
      <c r="B173" s="461"/>
      <c r="C173" s="421"/>
      <c r="D173" s="583"/>
      <c r="E173" s="584"/>
      <c r="F173" s="549">
        <v>370.0</v>
      </c>
      <c r="G173" s="550" t="s">
        <v>1905</v>
      </c>
      <c r="H173" s="556"/>
      <c r="I173" s="552"/>
    </row>
    <row r="174">
      <c r="A174" s="265"/>
      <c r="B174" s="404"/>
      <c r="C174" s="399"/>
      <c r="D174" s="182"/>
      <c r="E174" s="557"/>
      <c r="F174" s="554">
        <v>100.0</v>
      </c>
      <c r="G174" s="550" t="s">
        <v>2095</v>
      </c>
      <c r="H174" s="551"/>
      <c r="I174" s="552"/>
    </row>
    <row r="175">
      <c r="A175" s="265"/>
      <c r="B175" s="477"/>
      <c r="C175" s="399"/>
      <c r="D175" s="182"/>
      <c r="E175" s="557"/>
      <c r="F175" s="554"/>
      <c r="G175" s="555"/>
      <c r="H175" s="551"/>
      <c r="I175" s="552"/>
    </row>
    <row r="176">
      <c r="A176" s="265"/>
      <c r="B176" s="477"/>
      <c r="C176" s="399"/>
      <c r="D176" s="182"/>
      <c r="E176" s="576"/>
      <c r="F176" s="558"/>
      <c r="G176" s="555"/>
      <c r="H176" s="551"/>
      <c r="I176" s="552"/>
    </row>
    <row r="177">
      <c r="A177" s="265"/>
      <c r="B177" s="404"/>
      <c r="C177" s="399"/>
      <c r="D177" s="182"/>
      <c r="E177" s="576"/>
      <c r="F177" s="554"/>
      <c r="G177" s="555"/>
      <c r="H177" s="551"/>
      <c r="I177" s="552"/>
    </row>
    <row r="178">
      <c r="A178" s="270"/>
      <c r="B178" s="478"/>
      <c r="C178" s="462"/>
      <c r="D178" s="577"/>
      <c r="E178" s="560"/>
      <c r="F178" s="561"/>
      <c r="G178" s="562"/>
      <c r="H178" s="563"/>
      <c r="I178" s="564"/>
    </row>
    <row r="179">
      <c r="A179" s="299" t="s">
        <v>934</v>
      </c>
      <c r="B179" s="440"/>
      <c r="C179" s="462"/>
      <c r="D179" s="182"/>
      <c r="E179" s="557"/>
      <c r="F179" s="554">
        <v>220.0</v>
      </c>
      <c r="G179" s="550" t="s">
        <v>1905</v>
      </c>
      <c r="H179" s="551"/>
      <c r="I179" s="552"/>
    </row>
    <row r="180">
      <c r="B180" s="480"/>
      <c r="C180" s="462"/>
      <c r="D180" s="574"/>
      <c r="E180" s="576"/>
      <c r="F180" s="554">
        <v>170.0</v>
      </c>
      <c r="G180" s="550" t="s">
        <v>1906</v>
      </c>
      <c r="H180" s="551"/>
      <c r="I180" s="552"/>
    </row>
    <row r="181">
      <c r="B181" s="480"/>
      <c r="C181" s="462"/>
      <c r="D181" s="574"/>
      <c r="E181" s="576"/>
      <c r="F181" s="558"/>
      <c r="G181" s="555"/>
      <c r="H181" s="551"/>
      <c r="I181" s="552"/>
    </row>
    <row r="182">
      <c r="B182" s="480"/>
      <c r="C182" s="462"/>
      <c r="D182" s="574"/>
      <c r="E182" s="576"/>
      <c r="F182" s="558"/>
      <c r="G182" s="555"/>
      <c r="H182" s="551"/>
      <c r="I182" s="552"/>
    </row>
    <row r="183">
      <c r="B183" s="480"/>
      <c r="C183" s="462"/>
      <c r="D183" s="574"/>
      <c r="E183" s="576"/>
      <c r="F183" s="558"/>
      <c r="G183" s="555"/>
      <c r="H183" s="551"/>
      <c r="I183" s="552"/>
    </row>
    <row r="184">
      <c r="A184" s="585"/>
      <c r="B184" s="271"/>
      <c r="C184" s="586"/>
      <c r="D184" s="587"/>
      <c r="E184" s="588"/>
      <c r="F184" s="561"/>
      <c r="G184" s="562"/>
      <c r="H184" s="563"/>
      <c r="I184" s="564"/>
    </row>
    <row r="185">
      <c r="A185" s="299" t="s">
        <v>1210</v>
      </c>
      <c r="B185" s="440"/>
      <c r="C185" s="462"/>
      <c r="D185" s="182"/>
      <c r="E185" s="557"/>
      <c r="F185" s="554">
        <v>210.0</v>
      </c>
      <c r="G185" s="550" t="s">
        <v>1948</v>
      </c>
      <c r="H185" s="551"/>
      <c r="I185" s="552"/>
    </row>
    <row r="186">
      <c r="B186" s="480"/>
      <c r="C186" s="462"/>
      <c r="D186" s="574"/>
      <c r="E186" s="576"/>
      <c r="F186" s="554">
        <v>130.0</v>
      </c>
      <c r="G186" s="550" t="s">
        <v>1930</v>
      </c>
      <c r="H186" s="551"/>
      <c r="I186" s="552"/>
    </row>
    <row r="187">
      <c r="B187" s="480"/>
      <c r="C187" s="462"/>
      <c r="D187" s="574"/>
      <c r="E187" s="576"/>
      <c r="F187" s="558"/>
      <c r="G187" s="555"/>
      <c r="H187" s="551"/>
      <c r="I187" s="552"/>
    </row>
    <row r="188">
      <c r="B188" s="480"/>
      <c r="C188" s="462"/>
      <c r="D188" s="574"/>
      <c r="E188" s="576"/>
      <c r="F188" s="558"/>
      <c r="G188" s="555"/>
      <c r="H188" s="551"/>
      <c r="I188" s="552"/>
    </row>
    <row r="189">
      <c r="B189" s="480"/>
      <c r="C189" s="462"/>
      <c r="D189" s="574"/>
      <c r="E189" s="576"/>
      <c r="F189" s="558"/>
      <c r="G189" s="555"/>
      <c r="H189" s="551"/>
      <c r="I189" s="552"/>
    </row>
    <row r="190">
      <c r="A190" s="585"/>
      <c r="B190" s="271"/>
      <c r="C190" s="586"/>
      <c r="D190" s="587"/>
      <c r="E190" s="588"/>
      <c r="F190" s="561"/>
      <c r="G190" s="562"/>
      <c r="H190" s="563"/>
      <c r="I190" s="564"/>
    </row>
    <row r="191">
      <c r="A191" s="299" t="s">
        <v>1964</v>
      </c>
      <c r="B191" s="440"/>
      <c r="C191" s="462"/>
      <c r="D191" s="182"/>
      <c r="E191" s="557"/>
      <c r="F191" s="554"/>
      <c r="G191" s="550"/>
      <c r="H191" s="551"/>
      <c r="I191" s="552"/>
    </row>
    <row r="192">
      <c r="B192" s="480"/>
      <c r="C192" s="462"/>
      <c r="D192" s="574"/>
      <c r="E192" s="576"/>
      <c r="F192" s="558"/>
      <c r="G192" s="555"/>
      <c r="H192" s="551"/>
      <c r="I192" s="552"/>
    </row>
    <row r="193">
      <c r="B193" s="480"/>
      <c r="C193" s="462"/>
      <c r="D193" s="574"/>
      <c r="E193" s="576"/>
      <c r="F193" s="558"/>
      <c r="G193" s="555"/>
      <c r="H193" s="551"/>
      <c r="I193" s="552"/>
    </row>
    <row r="194">
      <c r="B194" s="480"/>
      <c r="C194" s="462"/>
      <c r="D194" s="574"/>
      <c r="E194" s="576"/>
      <c r="F194" s="558"/>
      <c r="G194" s="555"/>
      <c r="H194" s="551"/>
      <c r="I194" s="552"/>
    </row>
    <row r="195">
      <c r="B195" s="480"/>
      <c r="C195" s="462"/>
      <c r="D195" s="574"/>
      <c r="E195" s="576"/>
      <c r="F195" s="558"/>
      <c r="G195" s="555"/>
      <c r="H195" s="551"/>
      <c r="I195" s="552"/>
    </row>
    <row r="196">
      <c r="A196" s="585"/>
      <c r="B196" s="271"/>
      <c r="C196" s="586"/>
      <c r="D196" s="587"/>
      <c r="E196" s="588"/>
      <c r="F196" s="561"/>
      <c r="G196" s="562"/>
      <c r="H196" s="563"/>
      <c r="I196" s="564"/>
    </row>
    <row r="197">
      <c r="A197" s="299"/>
      <c r="B197" s="440"/>
      <c r="C197" s="462"/>
      <c r="D197" s="182"/>
      <c r="E197" s="557"/>
      <c r="F197" s="558"/>
      <c r="G197" s="555"/>
      <c r="H197" s="551"/>
      <c r="I197" s="552"/>
    </row>
    <row r="198">
      <c r="B198" s="480"/>
      <c r="C198" s="462"/>
      <c r="D198" s="574"/>
      <c r="E198" s="576"/>
      <c r="F198" s="558"/>
      <c r="G198" s="555"/>
      <c r="H198" s="551"/>
      <c r="I198" s="552"/>
    </row>
    <row r="199">
      <c r="B199" s="480"/>
      <c r="C199" s="462"/>
      <c r="D199" s="574"/>
      <c r="E199" s="576"/>
      <c r="F199" s="558"/>
      <c r="G199" s="555"/>
      <c r="H199" s="551"/>
      <c r="I199" s="552"/>
    </row>
    <row r="200">
      <c r="B200" s="480"/>
      <c r="C200" s="462"/>
      <c r="D200" s="574"/>
      <c r="E200" s="576"/>
      <c r="F200" s="558"/>
      <c r="G200" s="555"/>
      <c r="H200" s="551"/>
      <c r="I200" s="552"/>
    </row>
    <row r="201">
      <c r="B201" s="480"/>
      <c r="C201" s="462"/>
      <c r="D201" s="574"/>
      <c r="E201" s="576"/>
      <c r="F201" s="558"/>
      <c r="G201" s="555"/>
      <c r="H201" s="551"/>
      <c r="I201" s="552"/>
    </row>
    <row r="202">
      <c r="A202" s="585"/>
      <c r="B202" s="271"/>
      <c r="C202" s="586"/>
      <c r="D202" s="587"/>
      <c r="E202" s="588"/>
      <c r="F202" s="561"/>
      <c r="G202" s="562"/>
      <c r="H202" s="563"/>
      <c r="I202" s="564"/>
    </row>
    <row r="203">
      <c r="A203" s="606"/>
      <c r="B203" s="600"/>
      <c r="C203" s="607"/>
      <c r="D203" s="566"/>
      <c r="E203" s="567"/>
      <c r="F203" s="597"/>
      <c r="G203" s="608"/>
      <c r="H203" s="609"/>
      <c r="I203" s="610"/>
    </row>
    <row r="204">
      <c r="A204" s="611"/>
      <c r="B204" s="480"/>
      <c r="C204" s="462"/>
      <c r="D204" s="574"/>
      <c r="E204" s="576"/>
      <c r="F204" s="558"/>
      <c r="G204" s="555"/>
      <c r="H204" s="551"/>
      <c r="I204" s="612"/>
    </row>
    <row r="205">
      <c r="A205" s="611"/>
      <c r="B205" s="480"/>
      <c r="C205" s="462"/>
      <c r="D205" s="574"/>
      <c r="E205" s="576"/>
      <c r="F205" s="558"/>
      <c r="G205" s="555"/>
      <c r="H205" s="551"/>
      <c r="I205" s="612"/>
    </row>
    <row r="206">
      <c r="A206" s="611"/>
      <c r="B206" s="480"/>
      <c r="C206" s="462"/>
      <c r="D206" s="574"/>
      <c r="E206" s="576"/>
      <c r="F206" s="558"/>
      <c r="G206" s="555"/>
      <c r="H206" s="551"/>
      <c r="I206" s="612"/>
    </row>
    <row r="207">
      <c r="A207" s="613"/>
      <c r="B207" s="478"/>
      <c r="C207" s="614"/>
      <c r="D207" s="577"/>
      <c r="E207" s="578"/>
      <c r="F207" s="561"/>
      <c r="G207" s="562"/>
      <c r="H207" s="563"/>
      <c r="I207" s="615"/>
    </row>
    <row r="208">
      <c r="A208" s="606"/>
      <c r="B208" s="600"/>
      <c r="C208" s="607"/>
      <c r="D208" s="566"/>
      <c r="E208" s="567"/>
      <c r="F208" s="597"/>
      <c r="G208" s="608"/>
      <c r="H208" s="609"/>
      <c r="I208" s="610"/>
    </row>
    <row r="209">
      <c r="A209" s="611"/>
      <c r="B209" s="480"/>
      <c r="C209" s="462"/>
      <c r="D209" s="574"/>
      <c r="E209" s="576"/>
      <c r="F209" s="558"/>
      <c r="G209" s="555"/>
      <c r="H209" s="551"/>
      <c r="I209" s="612"/>
    </row>
    <row r="210">
      <c r="A210" s="611"/>
      <c r="B210" s="480"/>
      <c r="C210" s="462"/>
      <c r="D210" s="574"/>
      <c r="E210" s="576"/>
      <c r="F210" s="558"/>
      <c r="G210" s="555"/>
      <c r="H210" s="551"/>
      <c r="I210" s="612"/>
    </row>
    <row r="211">
      <c r="A211" s="611"/>
      <c r="B211" s="480"/>
      <c r="C211" s="462"/>
      <c r="D211" s="574"/>
      <c r="E211" s="576"/>
      <c r="F211" s="558"/>
      <c r="G211" s="555"/>
      <c r="H211" s="551"/>
      <c r="I211" s="612"/>
    </row>
    <row r="212">
      <c r="A212" s="613"/>
      <c r="B212" s="478"/>
      <c r="C212" s="614"/>
      <c r="D212" s="577"/>
      <c r="E212" s="578"/>
      <c r="F212" s="561"/>
      <c r="G212" s="562"/>
      <c r="H212" s="563"/>
      <c r="I212" s="615"/>
    </row>
    <row r="213">
      <c r="A213" s="299"/>
      <c r="B213" s="440"/>
      <c r="C213" s="462"/>
      <c r="D213" s="182"/>
      <c r="E213" s="557"/>
      <c r="F213" s="558"/>
      <c r="G213" s="555"/>
      <c r="H213" s="551"/>
      <c r="I213" s="552"/>
    </row>
    <row r="214">
      <c r="B214" s="480"/>
      <c r="C214" s="462"/>
      <c r="D214" s="574"/>
      <c r="E214" s="576"/>
      <c r="F214" s="558"/>
      <c r="G214" s="555"/>
      <c r="H214" s="551"/>
      <c r="I214" s="552"/>
    </row>
    <row r="215">
      <c r="B215" s="480"/>
      <c r="C215" s="462"/>
      <c r="D215" s="574"/>
      <c r="E215" s="576"/>
      <c r="F215" s="558"/>
      <c r="G215" s="555"/>
      <c r="H215" s="551"/>
      <c r="I215" s="552"/>
    </row>
    <row r="216">
      <c r="B216" s="480"/>
      <c r="C216" s="462"/>
      <c r="D216" s="574"/>
      <c r="E216" s="576"/>
      <c r="F216" s="558"/>
      <c r="G216" s="555"/>
      <c r="H216" s="551"/>
      <c r="I216" s="552"/>
    </row>
    <row r="217">
      <c r="B217" s="480"/>
      <c r="C217" s="462"/>
      <c r="D217" s="574"/>
      <c r="E217" s="576"/>
      <c r="F217" s="558"/>
      <c r="G217" s="555"/>
      <c r="H217" s="551"/>
      <c r="I217" s="552"/>
    </row>
    <row r="218">
      <c r="A218" s="585"/>
      <c r="B218" s="271"/>
      <c r="C218" s="586"/>
      <c r="D218" s="587"/>
      <c r="E218" s="588"/>
      <c r="F218" s="561"/>
      <c r="G218" s="562"/>
      <c r="H218" s="563"/>
      <c r="I218" s="564"/>
    </row>
    <row r="219">
      <c r="A219" s="303"/>
      <c r="B219" s="268"/>
      <c r="C219" s="253"/>
      <c r="D219" s="366"/>
      <c r="E219" s="555"/>
      <c r="F219" s="558"/>
      <c r="G219" s="555"/>
      <c r="H219" s="551"/>
      <c r="I219" s="552"/>
    </row>
    <row r="220">
      <c r="A220" s="303"/>
      <c r="B220" s="268"/>
      <c r="C220" s="253"/>
      <c r="D220" s="366"/>
      <c r="E220" s="555"/>
      <c r="F220" s="558"/>
      <c r="G220" s="555"/>
      <c r="H220" s="551"/>
      <c r="I220" s="552"/>
    </row>
    <row r="221">
      <c r="A221" s="303"/>
      <c r="B221" s="268"/>
      <c r="C221" s="253"/>
      <c r="D221" s="366"/>
      <c r="E221" s="555"/>
      <c r="F221" s="558"/>
      <c r="G221" s="555"/>
      <c r="H221" s="551"/>
      <c r="I221" s="552"/>
    </row>
    <row r="222">
      <c r="A222" s="303"/>
      <c r="B222" s="268"/>
      <c r="C222" s="253"/>
      <c r="D222" s="366"/>
      <c r="E222" s="555"/>
      <c r="F222" s="558"/>
      <c r="G222" s="555"/>
      <c r="H222" s="551"/>
      <c r="I222" s="552"/>
    </row>
    <row r="223">
      <c r="A223" s="304"/>
      <c r="B223" s="268"/>
      <c r="C223" s="253"/>
      <c r="D223" s="366"/>
      <c r="E223" s="555"/>
      <c r="F223" s="558"/>
      <c r="G223" s="555"/>
      <c r="H223" s="551"/>
      <c r="I223" s="552"/>
    </row>
    <row r="224">
      <c r="A224" s="305"/>
      <c r="B224" s="271"/>
      <c r="C224" s="273"/>
      <c r="D224" s="587"/>
      <c r="E224" s="562"/>
      <c r="F224" s="561"/>
      <c r="G224" s="555"/>
      <c r="H224" s="551"/>
      <c r="I224" s="552"/>
    </row>
    <row r="225">
      <c r="A225" s="265"/>
      <c r="B225" s="306"/>
      <c r="C225" s="241"/>
      <c r="D225" s="583"/>
      <c r="E225" s="548"/>
      <c r="F225" s="597"/>
      <c r="G225" s="555"/>
      <c r="H225" s="551"/>
      <c r="I225" s="552"/>
    </row>
    <row r="226">
      <c r="A226" s="265"/>
      <c r="B226" s="268"/>
      <c r="C226" s="253"/>
      <c r="D226" s="366"/>
      <c r="E226" s="555"/>
      <c r="F226" s="558"/>
      <c r="G226" s="555"/>
      <c r="H226" s="551"/>
      <c r="I226" s="552"/>
    </row>
    <row r="227">
      <c r="A227" s="265"/>
      <c r="B227" s="268"/>
      <c r="C227" s="253"/>
      <c r="D227" s="366"/>
      <c r="E227" s="555"/>
      <c r="F227" s="558"/>
      <c r="G227" s="555"/>
      <c r="H227" s="551"/>
      <c r="I227" s="552"/>
    </row>
    <row r="228">
      <c r="A228" s="265"/>
      <c r="B228" s="268"/>
      <c r="C228" s="253"/>
      <c r="D228" s="366"/>
      <c r="E228" s="555"/>
      <c r="F228" s="558"/>
      <c r="G228" s="555"/>
      <c r="H228" s="551"/>
      <c r="I228" s="552"/>
    </row>
    <row r="229">
      <c r="A229" s="265"/>
      <c r="B229" s="268"/>
      <c r="C229" s="253"/>
      <c r="D229" s="366"/>
      <c r="E229" s="555"/>
      <c r="F229" s="558"/>
      <c r="G229" s="555"/>
      <c r="H229" s="551"/>
      <c r="I229" s="552"/>
    </row>
    <row r="230">
      <c r="A230" s="265"/>
      <c r="B230" s="268"/>
      <c r="C230" s="253"/>
      <c r="D230" s="366"/>
      <c r="E230" s="555"/>
      <c r="F230" s="558"/>
      <c r="G230" s="555"/>
      <c r="H230" s="551"/>
      <c r="I230" s="552"/>
    </row>
    <row r="231">
      <c r="A231" s="265"/>
      <c r="B231" s="268"/>
      <c r="C231" s="253"/>
      <c r="D231" s="366"/>
      <c r="E231" s="555"/>
      <c r="F231" s="558"/>
      <c r="G231" s="555"/>
      <c r="H231" s="551"/>
      <c r="I231" s="552"/>
    </row>
    <row r="232">
      <c r="A232" s="265"/>
      <c r="B232" s="268"/>
      <c r="C232" s="253"/>
      <c r="D232" s="366"/>
      <c r="E232" s="555"/>
      <c r="F232" s="558"/>
      <c r="G232" s="555"/>
      <c r="H232" s="551"/>
      <c r="I232" s="552"/>
    </row>
    <row r="233">
      <c r="A233" s="270"/>
      <c r="B233" s="268"/>
      <c r="C233" s="253"/>
      <c r="D233" s="366"/>
      <c r="E233" s="555"/>
      <c r="F233" s="558"/>
      <c r="G233" s="555"/>
      <c r="H233" s="551"/>
      <c r="I233" s="552"/>
    </row>
    <row r="234">
      <c r="B234" s="271"/>
      <c r="C234" s="273"/>
      <c r="D234" s="587"/>
      <c r="E234" s="562"/>
      <c r="F234" s="561"/>
      <c r="G234" s="555"/>
      <c r="H234" s="551"/>
      <c r="I234" s="552"/>
    </row>
    <row r="235">
      <c r="B235" s="306"/>
      <c r="C235" s="241"/>
      <c r="D235" s="583"/>
      <c r="E235" s="548"/>
      <c r="F235" s="597"/>
      <c r="G235" s="555"/>
      <c r="H235" s="551"/>
      <c r="I235" s="552"/>
    </row>
    <row r="236">
      <c r="B236" s="268"/>
      <c r="C236" s="253"/>
      <c r="D236" s="366"/>
      <c r="E236" s="555"/>
      <c r="F236" s="558"/>
      <c r="G236" s="555"/>
      <c r="H236" s="551"/>
      <c r="I236" s="552"/>
    </row>
    <row r="237">
      <c r="B237" s="268"/>
      <c r="C237" s="253"/>
      <c r="D237" s="366"/>
      <c r="E237" s="555"/>
      <c r="F237" s="558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  <row r="518">
      <c r="B518" s="308"/>
      <c r="C518" s="253"/>
      <c r="D518" s="598"/>
      <c r="E518" s="555"/>
      <c r="F518" s="572"/>
      <c r="G518" s="555"/>
      <c r="H518" s="551"/>
      <c r="I518" s="552"/>
    </row>
    <row r="519">
      <c r="B519" s="308"/>
      <c r="C519" s="253"/>
      <c r="D519" s="598"/>
      <c r="E519" s="555"/>
      <c r="F519" s="572"/>
      <c r="G519" s="555"/>
      <c r="H519" s="551"/>
      <c r="I519" s="552"/>
    </row>
    <row r="520">
      <c r="B520" s="308"/>
      <c r="C520" s="253"/>
      <c r="D520" s="598"/>
      <c r="E520" s="555"/>
      <c r="F520" s="572"/>
      <c r="G520" s="555"/>
      <c r="H520" s="551"/>
      <c r="I520" s="552"/>
    </row>
    <row r="521">
      <c r="B521" s="308"/>
      <c r="C521" s="253"/>
      <c r="D521" s="598"/>
      <c r="E521" s="555"/>
      <c r="F521" s="572"/>
      <c r="G521" s="555"/>
      <c r="H521" s="551"/>
      <c r="I521" s="552"/>
    </row>
    <row r="522">
      <c r="B522" s="308"/>
      <c r="C522" s="253"/>
      <c r="D522" s="598"/>
      <c r="E522" s="555"/>
      <c r="F522" s="572"/>
      <c r="G522" s="555"/>
      <c r="H522" s="551"/>
      <c r="I522" s="552"/>
    </row>
    <row r="523">
      <c r="B523" s="308"/>
      <c r="C523" s="253"/>
      <c r="D523" s="598"/>
      <c r="E523" s="555"/>
      <c r="F523" s="572"/>
      <c r="G523" s="555"/>
      <c r="H523" s="551"/>
      <c r="I523" s="552"/>
    </row>
    <row r="524">
      <c r="B524" s="308"/>
      <c r="C524" s="253"/>
      <c r="D524" s="598"/>
      <c r="E524" s="555"/>
      <c r="F524" s="572"/>
      <c r="G524" s="555"/>
      <c r="H524" s="551"/>
      <c r="I524" s="552"/>
    </row>
    <row r="525">
      <c r="B525" s="308"/>
      <c r="C525" s="253"/>
      <c r="D525" s="598"/>
      <c r="E525" s="555"/>
      <c r="F525" s="572"/>
      <c r="G525" s="555"/>
      <c r="H525" s="551"/>
      <c r="I525" s="552"/>
    </row>
    <row r="526">
      <c r="B526" s="308"/>
      <c r="C526" s="253"/>
      <c r="D526" s="598"/>
      <c r="E526" s="555"/>
      <c r="F526" s="572"/>
      <c r="G526" s="555"/>
      <c r="H526" s="551"/>
      <c r="I526" s="552"/>
    </row>
    <row r="527">
      <c r="B527" s="308"/>
      <c r="C527" s="253"/>
      <c r="D527" s="598"/>
      <c r="E527" s="555"/>
      <c r="F527" s="572"/>
      <c r="G527" s="555"/>
      <c r="H527" s="551"/>
      <c r="I527" s="552"/>
    </row>
    <row r="528">
      <c r="B528" s="308"/>
      <c r="C528" s="253"/>
      <c r="D528" s="598"/>
      <c r="E528" s="555"/>
      <c r="F528" s="572"/>
      <c r="G528" s="555"/>
      <c r="H528" s="551"/>
      <c r="I528" s="552"/>
    </row>
    <row r="529">
      <c r="B529" s="308"/>
      <c r="C529" s="253"/>
      <c r="D529" s="598"/>
      <c r="E529" s="555"/>
      <c r="F529" s="572"/>
      <c r="G529" s="555"/>
      <c r="H529" s="551"/>
      <c r="I529" s="552"/>
    </row>
    <row r="530">
      <c r="B530" s="308"/>
      <c r="C530" s="253"/>
      <c r="D530" s="598"/>
      <c r="E530" s="555"/>
      <c r="F530" s="572"/>
      <c r="G530" s="555"/>
      <c r="H530" s="551"/>
      <c r="I530" s="552"/>
    </row>
    <row r="531">
      <c r="B531" s="308"/>
      <c r="C531" s="253"/>
      <c r="D531" s="598"/>
      <c r="E531" s="555"/>
      <c r="F531" s="572"/>
      <c r="G531" s="555"/>
      <c r="H531" s="551"/>
      <c r="I531" s="552"/>
    </row>
    <row r="532">
      <c r="B532" s="308"/>
      <c r="C532" s="253"/>
      <c r="D532" s="598"/>
      <c r="E532" s="555"/>
      <c r="F532" s="572"/>
      <c r="G532" s="555"/>
      <c r="H532" s="551"/>
      <c r="I532" s="552"/>
    </row>
    <row r="533">
      <c r="B533" s="308"/>
      <c r="C533" s="253"/>
      <c r="D533" s="598"/>
      <c r="E533" s="555"/>
      <c r="F533" s="572"/>
      <c r="G533" s="555"/>
      <c r="H533" s="551"/>
      <c r="I533" s="552"/>
    </row>
    <row r="534">
      <c r="B534" s="308"/>
      <c r="C534" s="253"/>
      <c r="D534" s="598"/>
      <c r="E534" s="555"/>
      <c r="F534" s="572"/>
      <c r="G534" s="555"/>
      <c r="H534" s="551"/>
      <c r="I534" s="552"/>
    </row>
    <row r="535">
      <c r="B535" s="308"/>
      <c r="C535" s="253"/>
      <c r="D535" s="598"/>
      <c r="E535" s="555"/>
      <c r="F535" s="572"/>
      <c r="G535" s="555"/>
      <c r="H535" s="551"/>
      <c r="I535" s="552"/>
    </row>
    <row r="536">
      <c r="B536" s="308"/>
      <c r="C536" s="253"/>
      <c r="D536" s="598"/>
      <c r="E536" s="555"/>
      <c r="F536" s="572"/>
      <c r="G536" s="555"/>
      <c r="H536" s="551"/>
      <c r="I536" s="552"/>
    </row>
    <row r="537">
      <c r="B537" s="308"/>
      <c r="C537" s="253"/>
      <c r="D537" s="598"/>
      <c r="E537" s="555"/>
      <c r="F537" s="572"/>
      <c r="G537" s="555"/>
      <c r="H537" s="551"/>
      <c r="I537" s="552"/>
    </row>
    <row r="538">
      <c r="B538" s="308"/>
      <c r="C538" s="253"/>
      <c r="D538" s="598"/>
      <c r="E538" s="555"/>
      <c r="F538" s="572"/>
      <c r="G538" s="555"/>
      <c r="H538" s="551"/>
      <c r="I538" s="552"/>
    </row>
    <row r="539">
      <c r="B539" s="308"/>
      <c r="C539" s="253"/>
      <c r="D539" s="598"/>
      <c r="E539" s="555"/>
      <c r="F539" s="572"/>
      <c r="G539" s="555"/>
      <c r="H539" s="551"/>
      <c r="I539" s="552"/>
    </row>
    <row r="540">
      <c r="B540" s="308"/>
      <c r="C540" s="253"/>
      <c r="D540" s="598"/>
      <c r="E540" s="555"/>
      <c r="F540" s="572"/>
      <c r="G540" s="555"/>
      <c r="H540" s="551"/>
      <c r="I540" s="552"/>
    </row>
    <row r="541">
      <c r="B541" s="308"/>
      <c r="C541" s="253"/>
      <c r="D541" s="598"/>
      <c r="E541" s="555"/>
      <c r="F541" s="572"/>
      <c r="G541" s="555"/>
      <c r="H541" s="551"/>
      <c r="I541" s="552"/>
    </row>
    <row r="542">
      <c r="B542" s="308"/>
      <c r="C542" s="253"/>
      <c r="D542" s="598"/>
      <c r="E542" s="555"/>
      <c r="F542" s="572"/>
      <c r="G542" s="555"/>
      <c r="H542" s="551"/>
      <c r="I542" s="552"/>
    </row>
    <row r="543">
      <c r="B543" s="308"/>
      <c r="C543" s="253"/>
      <c r="D543" s="598"/>
      <c r="E543" s="555"/>
      <c r="F543" s="572"/>
      <c r="G543" s="555"/>
      <c r="H543" s="551"/>
      <c r="I543" s="552"/>
    </row>
  </sheetData>
  <mergeCells count="33">
    <mergeCell ref="A2:A7"/>
    <mergeCell ref="A8:A14"/>
    <mergeCell ref="A15:A19"/>
    <mergeCell ref="A20:A25"/>
    <mergeCell ref="A26:A31"/>
    <mergeCell ref="A35:A40"/>
    <mergeCell ref="A41:A46"/>
    <mergeCell ref="A47:A53"/>
    <mergeCell ref="A77:A82"/>
    <mergeCell ref="A83:A88"/>
    <mergeCell ref="A89:A94"/>
    <mergeCell ref="A95:A100"/>
    <mergeCell ref="A101:A106"/>
    <mergeCell ref="A107:A112"/>
    <mergeCell ref="A113:A118"/>
    <mergeCell ref="A119:A124"/>
    <mergeCell ref="A125:A130"/>
    <mergeCell ref="A131:A136"/>
    <mergeCell ref="A137:A142"/>
    <mergeCell ref="A143:A148"/>
    <mergeCell ref="A149:A154"/>
    <mergeCell ref="A197:A201"/>
    <mergeCell ref="A203:A207"/>
    <mergeCell ref="A208:A212"/>
    <mergeCell ref="A213:A217"/>
    <mergeCell ref="A224:A233"/>
    <mergeCell ref="A155:A160"/>
    <mergeCell ref="A161:A166"/>
    <mergeCell ref="A167:A171"/>
    <mergeCell ref="A173:A178"/>
    <mergeCell ref="A179:A183"/>
    <mergeCell ref="A185:A189"/>
    <mergeCell ref="A191:A19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16.13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2096</v>
      </c>
      <c r="B2" s="425"/>
      <c r="C2" s="532"/>
      <c r="D2" s="547"/>
      <c r="E2" s="548"/>
      <c r="F2" s="549">
        <v>120.0</v>
      </c>
      <c r="G2" s="550" t="s">
        <v>2097</v>
      </c>
      <c r="H2" s="556"/>
      <c r="I2" s="569"/>
    </row>
    <row r="3">
      <c r="A3" s="265"/>
      <c r="B3" s="510"/>
      <c r="C3" s="399"/>
      <c r="D3" s="366"/>
      <c r="E3" s="553"/>
      <c r="F3" s="554">
        <v>110.0</v>
      </c>
      <c r="G3" s="550" t="s">
        <v>1965</v>
      </c>
      <c r="H3" s="556"/>
      <c r="I3" s="552"/>
    </row>
    <row r="4">
      <c r="A4" s="265"/>
      <c r="B4" s="404"/>
      <c r="C4" s="414"/>
      <c r="D4" s="182"/>
      <c r="E4" s="557"/>
      <c r="F4" s="558"/>
      <c r="G4" s="550"/>
      <c r="H4" s="556"/>
      <c r="I4" s="569"/>
    </row>
    <row r="5">
      <c r="A5" s="265"/>
      <c r="B5" s="404"/>
      <c r="C5" s="399"/>
      <c r="D5" s="182"/>
      <c r="E5" s="557"/>
      <c r="F5" s="554">
        <v>160.0</v>
      </c>
      <c r="G5" s="550" t="s">
        <v>1342</v>
      </c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1219</v>
      </c>
      <c r="B8" s="425"/>
      <c r="C8" s="401"/>
      <c r="D8" s="182"/>
      <c r="E8" s="557"/>
      <c r="F8" s="549">
        <v>200.0</v>
      </c>
      <c r="G8" s="550" t="s">
        <v>2097</v>
      </c>
      <c r="H8" s="556"/>
      <c r="I8" s="552"/>
    </row>
    <row r="9">
      <c r="A9" s="265"/>
      <c r="B9" s="419"/>
      <c r="C9" s="414"/>
      <c r="D9" s="182"/>
      <c r="E9" s="557"/>
      <c r="F9" s="554">
        <v>220.0</v>
      </c>
      <c r="G9" s="550" t="s">
        <v>1930</v>
      </c>
      <c r="H9" s="556"/>
      <c r="I9" s="552"/>
    </row>
    <row r="10">
      <c r="A10" s="265"/>
      <c r="B10" s="339"/>
      <c r="C10" s="414"/>
      <c r="D10" s="182"/>
      <c r="E10" s="557"/>
      <c r="F10" s="554"/>
      <c r="G10" s="550"/>
      <c r="H10" s="556"/>
      <c r="I10" s="552"/>
    </row>
    <row r="11">
      <c r="A11" s="265"/>
      <c r="B11" s="404"/>
      <c r="C11" s="399"/>
      <c r="D11" s="182"/>
      <c r="E11" s="557"/>
      <c r="F11" s="554"/>
      <c r="G11" s="550"/>
      <c r="H11" s="556"/>
      <c r="I11" s="569"/>
    </row>
    <row r="12">
      <c r="A12" s="265"/>
      <c r="B12" s="419"/>
      <c r="C12" s="414"/>
      <c r="D12" s="182"/>
      <c r="E12" s="557"/>
      <c r="F12" s="558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69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1222</v>
      </c>
      <c r="B15" s="600"/>
      <c r="C15" s="421"/>
      <c r="D15" s="566"/>
      <c r="E15" s="567"/>
      <c r="F15" s="549">
        <v>190.0</v>
      </c>
      <c r="G15" s="550" t="s">
        <v>1948</v>
      </c>
      <c r="H15" s="581"/>
      <c r="I15" s="619"/>
      <c r="J15" s="603"/>
    </row>
    <row r="16">
      <c r="A16" s="265"/>
      <c r="B16" s="440"/>
      <c r="C16" s="414"/>
      <c r="D16" s="182"/>
      <c r="E16" s="557"/>
      <c r="F16" s="554">
        <v>200.0</v>
      </c>
      <c r="G16" s="557" t="s">
        <v>1930</v>
      </c>
      <c r="H16" s="556"/>
      <c r="I16" s="569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70"/>
      <c r="B19" s="404"/>
      <c r="C19" s="399"/>
      <c r="D19" s="182"/>
      <c r="E19" s="557"/>
      <c r="F19" s="558"/>
      <c r="G19" s="562"/>
      <c r="H19" s="599"/>
      <c r="I19" s="601"/>
    </row>
    <row r="20">
      <c r="A20" s="262" t="s">
        <v>1224</v>
      </c>
      <c r="B20" s="425"/>
      <c r="C20" s="401"/>
      <c r="D20" s="566"/>
      <c r="E20" s="567"/>
      <c r="F20" s="549">
        <v>200.0</v>
      </c>
      <c r="G20" s="550" t="s">
        <v>1948</v>
      </c>
      <c r="H20" s="556"/>
      <c r="I20" s="569"/>
    </row>
    <row r="21">
      <c r="A21" s="265"/>
      <c r="B21" s="404"/>
      <c r="C21" s="399"/>
      <c r="D21" s="182"/>
      <c r="E21" s="557"/>
      <c r="F21" s="554">
        <v>180.0</v>
      </c>
      <c r="G21" s="550" t="s">
        <v>1930</v>
      </c>
      <c r="H21" s="551"/>
      <c r="I21" s="569"/>
    </row>
    <row r="22">
      <c r="A22" s="265"/>
      <c r="B22" s="457"/>
      <c r="C22" s="399"/>
      <c r="D22" s="182"/>
      <c r="E22" s="557"/>
      <c r="F22" s="558"/>
      <c r="G22" s="555"/>
      <c r="H22" s="551"/>
      <c r="I22" s="569"/>
    </row>
    <row r="23">
      <c r="A23" s="265"/>
      <c r="B23" s="468"/>
      <c r="C23" s="399"/>
      <c r="D23" s="570"/>
      <c r="E23" s="557"/>
      <c r="F23" s="554"/>
      <c r="G23" s="550"/>
      <c r="H23" s="551"/>
      <c r="I23" s="569"/>
    </row>
    <row r="24">
      <c r="A24" s="265"/>
      <c r="B24" s="468"/>
      <c r="C24" s="399"/>
      <c r="D24" s="182"/>
      <c r="E24" s="557"/>
      <c r="F24" s="554"/>
      <c r="G24" s="555"/>
      <c r="H24" s="551"/>
      <c r="I24" s="569"/>
    </row>
    <row r="25">
      <c r="A25" s="270"/>
      <c r="B25" s="404"/>
      <c r="C25" s="399"/>
      <c r="D25" s="182"/>
      <c r="E25" s="557"/>
      <c r="F25" s="558"/>
      <c r="G25" s="562"/>
      <c r="H25" s="563"/>
      <c r="I25" s="601"/>
    </row>
    <row r="26">
      <c r="A26" s="262" t="s">
        <v>1226</v>
      </c>
      <c r="B26" s="425"/>
      <c r="C26" s="421"/>
      <c r="D26" s="182"/>
      <c r="E26" s="567"/>
      <c r="F26" s="571">
        <v>270.0</v>
      </c>
      <c r="G26" s="550" t="s">
        <v>1930</v>
      </c>
      <c r="H26" s="556"/>
      <c r="I26" s="569"/>
    </row>
    <row r="27">
      <c r="A27" s="265"/>
      <c r="B27" s="404"/>
      <c r="C27" s="399"/>
      <c r="D27" s="182"/>
      <c r="E27" s="557"/>
      <c r="F27" s="83">
        <v>200.0</v>
      </c>
      <c r="G27" s="550" t="s">
        <v>1948</v>
      </c>
      <c r="H27" s="556"/>
      <c r="I27" s="569"/>
    </row>
    <row r="28">
      <c r="A28" s="265"/>
      <c r="B28" s="404"/>
      <c r="C28" s="400"/>
      <c r="D28" s="182"/>
      <c r="E28" s="557"/>
      <c r="F28" s="572"/>
      <c r="G28" s="573"/>
      <c r="H28" s="556"/>
      <c r="I28" s="552"/>
    </row>
    <row r="29">
      <c r="A29" s="265"/>
      <c r="B29" s="404"/>
      <c r="C29" s="400"/>
      <c r="D29" s="182"/>
      <c r="E29" s="557"/>
      <c r="F29" s="83"/>
      <c r="G29" s="550"/>
      <c r="H29" s="556"/>
      <c r="I29" s="552"/>
    </row>
    <row r="30">
      <c r="A30" s="265"/>
      <c r="B30" s="404"/>
      <c r="C30" s="400"/>
      <c r="D30" s="182"/>
      <c r="E30" s="557"/>
      <c r="F30" s="558"/>
      <c r="G30" s="550"/>
      <c r="H30" s="556"/>
      <c r="I30" s="552"/>
    </row>
    <row r="31">
      <c r="A31" s="270"/>
      <c r="B31" s="440"/>
      <c r="C31" s="400"/>
      <c r="D31" s="574"/>
      <c r="E31" s="557"/>
      <c r="F31" s="558"/>
      <c r="G31" s="575"/>
      <c r="H31" s="556"/>
      <c r="I31" s="552"/>
    </row>
    <row r="32">
      <c r="A32" s="437"/>
      <c r="B32" s="440"/>
      <c r="C32" s="400"/>
      <c r="D32" s="574"/>
      <c r="E32" s="557"/>
      <c r="F32" s="558"/>
      <c r="G32" s="573"/>
      <c r="H32" s="556"/>
      <c r="I32" s="569"/>
    </row>
    <row r="33">
      <c r="A33" s="437"/>
      <c r="B33" s="440"/>
      <c r="C33" s="400"/>
      <c r="D33" s="574"/>
      <c r="E33" s="557"/>
      <c r="F33" s="558"/>
      <c r="G33" s="573"/>
      <c r="H33" s="556"/>
      <c r="I33" s="569"/>
    </row>
    <row r="34">
      <c r="A34" s="437"/>
      <c r="B34" s="440"/>
      <c r="C34" s="400"/>
      <c r="D34" s="574"/>
      <c r="E34" s="557"/>
      <c r="F34" s="558"/>
      <c r="G34" s="573"/>
      <c r="H34" s="556"/>
      <c r="I34" s="552"/>
    </row>
    <row r="35">
      <c r="A35" s="262" t="s">
        <v>1227</v>
      </c>
      <c r="B35" s="425"/>
      <c r="C35" s="401"/>
      <c r="D35" s="566"/>
      <c r="E35" s="567"/>
      <c r="F35" s="549">
        <v>300.0</v>
      </c>
      <c r="G35" s="550" t="s">
        <v>1948</v>
      </c>
      <c r="H35" s="556"/>
      <c r="I35" s="552"/>
    </row>
    <row r="36">
      <c r="A36" s="265"/>
      <c r="B36" s="477"/>
      <c r="C36" s="400"/>
      <c r="D36" s="182"/>
      <c r="E36" s="576"/>
      <c r="F36" s="554"/>
      <c r="G36" s="550" t="s">
        <v>2098</v>
      </c>
      <c r="H36" s="551"/>
      <c r="I36" s="552"/>
    </row>
    <row r="37">
      <c r="A37" s="265"/>
      <c r="B37" s="477"/>
      <c r="C37" s="400"/>
      <c r="D37" s="182"/>
      <c r="E37" s="576"/>
      <c r="F37" s="554">
        <v>230.0</v>
      </c>
      <c r="G37" s="550" t="s">
        <v>1930</v>
      </c>
      <c r="H37" s="556"/>
      <c r="I37" s="552"/>
    </row>
    <row r="38">
      <c r="A38" s="265"/>
      <c r="B38" s="477"/>
      <c r="C38" s="400"/>
      <c r="D38" s="182"/>
      <c r="E38" s="576"/>
      <c r="F38" s="554"/>
      <c r="G38" s="550"/>
      <c r="H38" s="556"/>
      <c r="I38" s="552"/>
    </row>
    <row r="39">
      <c r="A39" s="265"/>
      <c r="B39" s="477"/>
      <c r="C39" s="400"/>
      <c r="D39" s="182"/>
      <c r="E39" s="576"/>
      <c r="F39" s="558"/>
      <c r="G39" s="555"/>
      <c r="H39" s="551"/>
      <c r="I39" s="569"/>
    </row>
    <row r="40">
      <c r="A40" s="270"/>
      <c r="B40" s="478"/>
      <c r="C40" s="472"/>
      <c r="D40" s="577"/>
      <c r="E40" s="578"/>
      <c r="F40" s="561"/>
      <c r="G40" s="562"/>
      <c r="H40" s="563"/>
      <c r="I40" s="601"/>
    </row>
    <row r="41">
      <c r="A41" s="262" t="s">
        <v>2099</v>
      </c>
      <c r="B41" s="425"/>
      <c r="C41" s="401"/>
      <c r="D41" s="566"/>
      <c r="E41" s="550"/>
      <c r="F41" s="549">
        <v>120.0</v>
      </c>
      <c r="G41" s="550" t="s">
        <v>2086</v>
      </c>
      <c r="H41" s="620"/>
      <c r="I41" s="564"/>
      <c r="J41" s="603"/>
    </row>
    <row r="42">
      <c r="A42" s="265"/>
      <c r="B42" s="404"/>
      <c r="C42" s="399"/>
      <c r="D42" s="182"/>
      <c r="E42" s="550"/>
      <c r="F42" s="554">
        <f>260+90</f>
        <v>350</v>
      </c>
      <c r="G42" s="550" t="s">
        <v>2084</v>
      </c>
      <c r="H42" s="556"/>
      <c r="I42" s="552"/>
    </row>
    <row r="43">
      <c r="A43" s="265"/>
      <c r="B43" s="440"/>
      <c r="C43" s="400"/>
      <c r="D43" s="182"/>
      <c r="E43" s="557"/>
      <c r="F43" s="558"/>
      <c r="G43" s="555"/>
      <c r="H43" s="556"/>
      <c r="I43" s="552"/>
    </row>
    <row r="44">
      <c r="A44" s="265"/>
      <c r="B44" s="440"/>
      <c r="C44" s="400"/>
      <c r="D44" s="182"/>
      <c r="E44" s="576"/>
      <c r="F44" s="554">
        <v>210.0</v>
      </c>
      <c r="G44" s="550" t="s">
        <v>2100</v>
      </c>
      <c r="H44" s="556"/>
      <c r="I44" s="552"/>
    </row>
    <row r="45">
      <c r="A45" s="265"/>
      <c r="B45" s="480"/>
      <c r="C45" s="400"/>
      <c r="D45" s="182"/>
      <c r="E45" s="576"/>
      <c r="F45" s="558"/>
      <c r="G45" s="555"/>
      <c r="H45" s="556"/>
      <c r="I45" s="552"/>
    </row>
    <row r="46">
      <c r="A46" s="270"/>
      <c r="B46" s="478"/>
      <c r="C46" s="472"/>
      <c r="D46" s="577"/>
      <c r="E46" s="578"/>
      <c r="F46" s="561"/>
      <c r="G46" s="562"/>
      <c r="H46" s="599"/>
      <c r="I46" s="564"/>
    </row>
    <row r="47">
      <c r="A47" s="262" t="s">
        <v>2101</v>
      </c>
      <c r="B47" s="425"/>
      <c r="C47" s="421"/>
      <c r="D47" s="566"/>
      <c r="E47" s="567"/>
      <c r="F47" s="549">
        <v>400.0</v>
      </c>
      <c r="G47" s="550" t="s">
        <v>2086</v>
      </c>
      <c r="H47" s="556"/>
      <c r="I47" s="552"/>
    </row>
    <row r="48">
      <c r="A48" s="265"/>
      <c r="B48" s="404"/>
      <c r="C48" s="399"/>
      <c r="D48" s="182"/>
      <c r="E48" s="557"/>
      <c r="F48" s="554">
        <v>100.0</v>
      </c>
      <c r="G48" s="550" t="s">
        <v>2084</v>
      </c>
      <c r="H48" s="556"/>
      <c r="I48" s="552"/>
    </row>
    <row r="49">
      <c r="A49" s="265"/>
      <c r="B49" s="440"/>
      <c r="C49" s="400"/>
      <c r="D49" s="182"/>
      <c r="E49" s="557"/>
      <c r="F49" s="558"/>
      <c r="G49" s="555"/>
      <c r="H49" s="556"/>
      <c r="I49" s="552"/>
    </row>
    <row r="50">
      <c r="A50" s="265"/>
      <c r="B50" s="440"/>
      <c r="C50" s="400"/>
      <c r="D50" s="574"/>
      <c r="E50" s="576"/>
      <c r="F50" s="554"/>
      <c r="G50" s="550"/>
      <c r="H50" s="556"/>
      <c r="I50" s="552"/>
    </row>
    <row r="51">
      <c r="A51" s="265"/>
      <c r="B51" s="480"/>
      <c r="C51" s="400"/>
      <c r="D51" s="182"/>
      <c r="E51" s="576"/>
      <c r="F51" s="558"/>
      <c r="G51" s="555"/>
      <c r="H51" s="551"/>
      <c r="I51" s="569"/>
    </row>
    <row r="52">
      <c r="A52" s="270"/>
      <c r="B52" s="478"/>
      <c r="C52" s="472"/>
      <c r="D52" s="559"/>
      <c r="E52" s="560"/>
      <c r="F52" s="561"/>
      <c r="G52" s="562"/>
      <c r="H52" s="599"/>
      <c r="I52" s="564"/>
    </row>
    <row r="53">
      <c r="A53" s="262" t="s">
        <v>2102</v>
      </c>
      <c r="B53" s="425"/>
      <c r="C53" s="421" t="s">
        <v>2103</v>
      </c>
      <c r="D53" s="566"/>
      <c r="E53" s="567"/>
      <c r="F53" s="549"/>
      <c r="G53" s="550" t="s">
        <v>2104</v>
      </c>
      <c r="H53" s="556"/>
      <c r="I53" s="569"/>
    </row>
    <row r="54">
      <c r="A54" s="265"/>
      <c r="B54" s="404"/>
      <c r="C54" s="399"/>
      <c r="D54" s="182"/>
      <c r="E54" s="557"/>
      <c r="F54" s="554"/>
      <c r="G54" s="550"/>
      <c r="H54" s="551"/>
      <c r="I54" s="569"/>
    </row>
    <row r="55">
      <c r="A55" s="265"/>
      <c r="B55" s="404"/>
      <c r="C55" s="399"/>
      <c r="D55" s="182"/>
      <c r="E55" s="557"/>
      <c r="F55" s="554">
        <v>180.0</v>
      </c>
      <c r="G55" s="550" t="s">
        <v>2086</v>
      </c>
      <c r="H55" s="556"/>
      <c r="I55" s="552"/>
    </row>
    <row r="56">
      <c r="A56" s="265"/>
      <c r="B56" s="404"/>
      <c r="C56" s="399"/>
      <c r="D56" s="182"/>
      <c r="E56" s="557"/>
      <c r="F56" s="554">
        <v>220.0</v>
      </c>
      <c r="G56" s="550" t="s">
        <v>2084</v>
      </c>
      <c r="H56" s="556"/>
      <c r="I56" s="552"/>
    </row>
    <row r="57">
      <c r="A57" s="265"/>
      <c r="B57" s="440"/>
      <c r="C57" s="399"/>
      <c r="D57" s="182"/>
      <c r="E57" s="557"/>
      <c r="F57" s="558"/>
      <c r="G57" s="555"/>
      <c r="H57" s="551"/>
      <c r="I57" s="552"/>
    </row>
    <row r="58">
      <c r="A58" s="270"/>
      <c r="B58" s="470"/>
      <c r="C58" s="486"/>
      <c r="D58" s="559"/>
      <c r="E58" s="560"/>
      <c r="F58" s="561"/>
      <c r="G58" s="562"/>
      <c r="H58" s="563"/>
      <c r="I58" s="564"/>
    </row>
    <row r="59">
      <c r="A59" s="262" t="s">
        <v>1730</v>
      </c>
      <c r="B59" s="425"/>
      <c r="C59" s="421"/>
      <c r="D59" s="566"/>
      <c r="E59" s="567"/>
      <c r="F59" s="549">
        <v>300.0</v>
      </c>
      <c r="G59" s="550" t="s">
        <v>2086</v>
      </c>
      <c r="H59" s="551"/>
      <c r="I59" s="552"/>
    </row>
    <row r="60">
      <c r="A60" s="265"/>
      <c r="B60" s="404"/>
      <c r="C60" s="400"/>
      <c r="D60" s="182"/>
      <c r="E60" s="557"/>
      <c r="F60" s="554">
        <v>200.0</v>
      </c>
      <c r="G60" s="550" t="s">
        <v>2105</v>
      </c>
      <c r="H60" s="551"/>
      <c r="I60" s="552"/>
    </row>
    <row r="61">
      <c r="A61" s="265"/>
      <c r="B61" s="404"/>
      <c r="C61" s="400"/>
      <c r="D61" s="182"/>
      <c r="E61" s="557"/>
      <c r="F61" s="558"/>
      <c r="G61" s="555"/>
      <c r="H61" s="551"/>
      <c r="I61" s="552"/>
    </row>
    <row r="62">
      <c r="A62" s="265"/>
      <c r="B62" s="477"/>
      <c r="C62" s="400"/>
      <c r="D62" s="182"/>
      <c r="E62" s="576"/>
      <c r="F62" s="554"/>
      <c r="G62" s="550"/>
      <c r="H62" s="551"/>
      <c r="I62" s="552"/>
    </row>
    <row r="63">
      <c r="A63" s="265"/>
      <c r="B63" s="477"/>
      <c r="C63" s="400"/>
      <c r="D63" s="182"/>
      <c r="E63" s="576"/>
      <c r="F63" s="558"/>
      <c r="G63" s="555"/>
      <c r="H63" s="551"/>
      <c r="I63" s="552"/>
    </row>
    <row r="64">
      <c r="A64" s="270"/>
      <c r="B64" s="478"/>
      <c r="C64" s="472"/>
      <c r="D64" s="559"/>
      <c r="E64" s="560"/>
      <c r="F64" s="561"/>
      <c r="G64" s="562"/>
      <c r="H64" s="563"/>
      <c r="I64" s="564"/>
    </row>
    <row r="65">
      <c r="A65" s="262" t="s">
        <v>2106</v>
      </c>
      <c r="B65" s="419"/>
      <c r="C65" s="414"/>
      <c r="D65" s="22"/>
      <c r="E65" s="550"/>
      <c r="F65" s="554">
        <v>370.0</v>
      </c>
      <c r="G65" s="550" t="s">
        <v>2086</v>
      </c>
      <c r="H65" s="556"/>
      <c r="I65" s="552"/>
    </row>
    <row r="66">
      <c r="A66" s="265"/>
      <c r="B66" s="404"/>
      <c r="C66" s="399"/>
      <c r="D66" s="182"/>
      <c r="E66" s="557"/>
      <c r="F66" s="554">
        <v>270.0</v>
      </c>
      <c r="G66" s="550" t="s">
        <v>2084</v>
      </c>
      <c r="H66" s="556"/>
      <c r="I66" s="552"/>
    </row>
    <row r="67">
      <c r="A67" s="265"/>
      <c r="B67" s="404"/>
      <c r="C67" s="399"/>
      <c r="D67" s="182"/>
      <c r="E67" s="557"/>
      <c r="F67" s="558"/>
      <c r="G67" s="555"/>
      <c r="H67" s="551"/>
      <c r="I67" s="552"/>
    </row>
    <row r="68">
      <c r="A68" s="265"/>
      <c r="B68" s="404"/>
      <c r="C68" s="399"/>
      <c r="D68" s="182"/>
      <c r="E68" s="557"/>
      <c r="F68" s="554"/>
      <c r="G68" s="550"/>
      <c r="H68" s="556"/>
      <c r="I68" s="552"/>
    </row>
    <row r="69">
      <c r="A69" s="265"/>
      <c r="B69" s="404"/>
      <c r="C69" s="400"/>
      <c r="D69" s="182"/>
      <c r="E69" s="557"/>
      <c r="F69" s="558"/>
      <c r="G69" s="555"/>
      <c r="H69" s="551"/>
      <c r="I69" s="552"/>
    </row>
    <row r="70">
      <c r="A70" s="270"/>
      <c r="B70" s="404"/>
      <c r="C70" s="399"/>
      <c r="D70" s="182"/>
      <c r="E70" s="557"/>
      <c r="F70" s="561"/>
      <c r="G70" s="562"/>
      <c r="H70" s="563"/>
      <c r="I70" s="564"/>
    </row>
    <row r="71">
      <c r="A71" s="262" t="s">
        <v>2107</v>
      </c>
      <c r="B71" s="425"/>
      <c r="C71" s="401"/>
      <c r="D71" s="566"/>
      <c r="E71" s="567"/>
      <c r="F71" s="554">
        <v>170.0</v>
      </c>
      <c r="G71" s="550" t="s">
        <v>2108</v>
      </c>
      <c r="H71" s="604"/>
      <c r="I71" s="605"/>
      <c r="J71" s="340"/>
    </row>
    <row r="72">
      <c r="A72" s="265"/>
      <c r="B72" s="404"/>
      <c r="C72" s="400"/>
      <c r="D72" s="182"/>
      <c r="E72" s="557"/>
      <c r="F72" s="554">
        <v>60.0</v>
      </c>
      <c r="G72" s="550" t="s">
        <v>2109</v>
      </c>
      <c r="H72" s="556"/>
      <c r="I72" s="552"/>
    </row>
    <row r="73">
      <c r="A73" s="265"/>
      <c r="B73" s="404"/>
      <c r="C73" s="400"/>
      <c r="D73" s="182"/>
      <c r="E73" s="576"/>
      <c r="F73" s="554"/>
      <c r="G73" s="550"/>
      <c r="H73" s="551"/>
      <c r="I73" s="552"/>
    </row>
    <row r="74">
      <c r="A74" s="265"/>
      <c r="B74" s="480"/>
      <c r="C74" s="400"/>
      <c r="D74" s="182"/>
      <c r="E74" s="576"/>
      <c r="F74" s="554"/>
      <c r="G74" s="550"/>
      <c r="H74" s="551"/>
      <c r="I74" s="552"/>
    </row>
    <row r="75">
      <c r="A75" s="265"/>
      <c r="B75" s="480"/>
      <c r="C75" s="400"/>
      <c r="D75" s="574"/>
      <c r="E75" s="576"/>
      <c r="F75" s="558"/>
      <c r="G75" s="555"/>
      <c r="H75" s="551"/>
      <c r="I75" s="552"/>
    </row>
    <row r="76">
      <c r="A76" s="270"/>
      <c r="B76" s="478"/>
      <c r="C76" s="472"/>
      <c r="D76" s="577"/>
      <c r="E76" s="578"/>
      <c r="F76" s="561"/>
      <c r="G76" s="562"/>
      <c r="H76" s="563"/>
      <c r="I76" s="564"/>
    </row>
    <row r="77">
      <c r="A77" s="262" t="s">
        <v>2110</v>
      </c>
      <c r="B77" s="425"/>
      <c r="C77" s="401"/>
      <c r="D77" s="566"/>
      <c r="E77" s="567"/>
      <c r="F77" s="549">
        <v>230.0</v>
      </c>
      <c r="G77" s="550" t="s">
        <v>2111</v>
      </c>
      <c r="H77" s="551"/>
      <c r="I77" s="552"/>
    </row>
    <row r="78">
      <c r="A78" s="265"/>
      <c r="B78" s="404"/>
      <c r="C78" s="400"/>
      <c r="D78" s="182"/>
      <c r="E78" s="567"/>
      <c r="F78" s="554"/>
      <c r="G78" s="550"/>
      <c r="H78" s="551"/>
      <c r="I78" s="552"/>
    </row>
    <row r="79">
      <c r="A79" s="265"/>
      <c r="B79" s="404"/>
      <c r="C79" s="399"/>
      <c r="D79" s="182"/>
      <c r="E79" s="557"/>
      <c r="F79" s="558"/>
      <c r="G79" s="555"/>
      <c r="H79" s="551"/>
      <c r="I79" s="552"/>
    </row>
    <row r="80">
      <c r="A80" s="265"/>
      <c r="B80" s="440"/>
      <c r="C80" s="399"/>
      <c r="D80" s="182"/>
      <c r="E80" s="557"/>
      <c r="F80" s="554">
        <v>210.0</v>
      </c>
      <c r="G80" s="550" t="s">
        <v>1991</v>
      </c>
      <c r="H80" s="551"/>
      <c r="I80" s="552"/>
    </row>
    <row r="81">
      <c r="A81" s="265"/>
      <c r="B81" s="440"/>
      <c r="C81" s="400"/>
      <c r="D81" s="574"/>
      <c r="E81" s="557"/>
      <c r="F81" s="558"/>
      <c r="G81" s="555"/>
      <c r="H81" s="551"/>
      <c r="I81" s="552"/>
    </row>
    <row r="82">
      <c r="A82" s="270"/>
      <c r="B82" s="478"/>
      <c r="C82" s="472"/>
      <c r="D82" s="577"/>
      <c r="E82" s="578"/>
      <c r="F82" s="561"/>
      <c r="G82" s="562"/>
      <c r="H82" s="563"/>
      <c r="I82" s="564"/>
    </row>
    <row r="83">
      <c r="A83" s="262" t="s">
        <v>1244</v>
      </c>
      <c r="B83" s="461"/>
      <c r="C83" s="421"/>
      <c r="D83" s="566"/>
      <c r="E83" s="567"/>
      <c r="F83" s="549">
        <v>240.0</v>
      </c>
      <c r="G83" s="550" t="s">
        <v>1905</v>
      </c>
      <c r="H83" s="556"/>
      <c r="I83" s="569"/>
    </row>
    <row r="84">
      <c r="A84" s="265"/>
      <c r="B84" s="404"/>
      <c r="C84" s="400"/>
      <c r="D84" s="182"/>
      <c r="E84" s="557"/>
      <c r="F84" s="554">
        <v>200.0</v>
      </c>
      <c r="G84" s="550" t="s">
        <v>1906</v>
      </c>
      <c r="H84" s="551"/>
      <c r="I84" s="552"/>
    </row>
    <row r="85">
      <c r="A85" s="265"/>
      <c r="B85" s="440"/>
      <c r="C85" s="400"/>
      <c r="D85" s="182"/>
      <c r="E85" s="557"/>
      <c r="F85" s="558"/>
      <c r="G85" s="555"/>
      <c r="H85" s="551"/>
      <c r="I85" s="552"/>
    </row>
    <row r="86">
      <c r="A86" s="265"/>
      <c r="B86" s="480"/>
      <c r="C86" s="400"/>
      <c r="D86" s="574"/>
      <c r="E86" s="576"/>
      <c r="F86" s="554"/>
      <c r="G86" s="550"/>
      <c r="H86" s="551"/>
      <c r="I86" s="552"/>
    </row>
    <row r="87">
      <c r="A87" s="265"/>
      <c r="B87" s="480"/>
      <c r="C87" s="400"/>
      <c r="D87" s="574"/>
      <c r="E87" s="576"/>
      <c r="F87" s="558"/>
      <c r="G87" s="555"/>
      <c r="H87" s="551"/>
      <c r="I87" s="552"/>
    </row>
    <row r="88">
      <c r="A88" s="270"/>
      <c r="B88" s="478"/>
      <c r="C88" s="472"/>
      <c r="D88" s="577"/>
      <c r="E88" s="578"/>
      <c r="F88" s="561"/>
      <c r="G88" s="562"/>
      <c r="H88" s="563"/>
      <c r="I88" s="564"/>
    </row>
    <row r="89">
      <c r="A89" s="262" t="s">
        <v>1246</v>
      </c>
      <c r="B89" s="425"/>
      <c r="C89" s="421"/>
      <c r="D89" s="566"/>
      <c r="E89" s="557"/>
      <c r="F89" s="549">
        <v>260.0</v>
      </c>
      <c r="G89" s="550" t="s">
        <v>1905</v>
      </c>
      <c r="H89" s="556"/>
      <c r="I89" s="552"/>
    </row>
    <row r="90">
      <c r="A90" s="265"/>
      <c r="B90" s="404"/>
      <c r="C90" s="400"/>
      <c r="D90" s="182"/>
      <c r="E90" s="557"/>
      <c r="F90" s="554">
        <v>80.0</v>
      </c>
      <c r="G90" s="550" t="s">
        <v>1906</v>
      </c>
      <c r="H90" s="551"/>
      <c r="I90" s="552"/>
    </row>
    <row r="91">
      <c r="A91" s="265"/>
      <c r="B91" s="480"/>
      <c r="C91" s="400"/>
      <c r="D91" s="182"/>
      <c r="E91" s="557"/>
      <c r="F91" s="558"/>
      <c r="G91" s="555"/>
      <c r="H91" s="551"/>
      <c r="I91" s="552"/>
    </row>
    <row r="92">
      <c r="A92" s="265"/>
      <c r="B92" s="480"/>
      <c r="C92" s="400"/>
      <c r="D92" s="182"/>
      <c r="E92" s="576"/>
      <c r="F92" s="558"/>
      <c r="G92" s="555"/>
      <c r="H92" s="551"/>
      <c r="I92" s="552"/>
    </row>
    <row r="93">
      <c r="A93" s="265"/>
      <c r="B93" s="480"/>
      <c r="C93" s="400"/>
      <c r="D93" s="182"/>
      <c r="E93" s="576"/>
      <c r="F93" s="558"/>
      <c r="G93" s="555"/>
      <c r="H93" s="551"/>
      <c r="I93" s="552"/>
    </row>
    <row r="94">
      <c r="A94" s="270"/>
      <c r="B94" s="478"/>
      <c r="C94" s="472"/>
      <c r="D94" s="577"/>
      <c r="E94" s="578"/>
      <c r="F94" s="561"/>
      <c r="G94" s="562"/>
      <c r="H94" s="563"/>
      <c r="I94" s="564"/>
    </row>
    <row r="95">
      <c r="A95" s="262" t="s">
        <v>1248</v>
      </c>
      <c r="B95" s="425"/>
      <c r="C95" s="421"/>
      <c r="D95" s="566"/>
      <c r="E95" s="567"/>
      <c r="F95" s="549">
        <v>200.0</v>
      </c>
      <c r="G95" s="550" t="s">
        <v>2112</v>
      </c>
      <c r="H95" s="551"/>
      <c r="I95" s="552"/>
    </row>
    <row r="96">
      <c r="A96" s="265"/>
      <c r="B96" s="404"/>
      <c r="C96" s="399"/>
      <c r="D96" s="182"/>
      <c r="E96" s="557"/>
      <c r="F96" s="554">
        <v>150.0</v>
      </c>
      <c r="G96" s="550" t="s">
        <v>2084</v>
      </c>
      <c r="H96" s="551"/>
      <c r="I96" s="552"/>
    </row>
    <row r="97">
      <c r="A97" s="265"/>
      <c r="B97" s="477"/>
      <c r="C97" s="399"/>
      <c r="D97" s="182"/>
      <c r="E97" s="557"/>
      <c r="F97" s="558"/>
      <c r="G97" s="555"/>
      <c r="H97" s="551"/>
      <c r="I97" s="552"/>
    </row>
    <row r="98">
      <c r="A98" s="265"/>
      <c r="B98" s="477"/>
      <c r="C98" s="400"/>
      <c r="D98" s="182"/>
      <c r="E98" s="557"/>
      <c r="F98" s="554"/>
      <c r="G98" s="550"/>
      <c r="H98" s="551"/>
      <c r="I98" s="552"/>
    </row>
    <row r="99">
      <c r="A99" s="265"/>
      <c r="B99" s="477"/>
      <c r="C99" s="400"/>
      <c r="D99" s="182"/>
      <c r="E99" s="557"/>
      <c r="F99" s="554"/>
      <c r="G99" s="550"/>
      <c r="H99" s="551"/>
      <c r="I99" s="552"/>
    </row>
    <row r="100">
      <c r="A100" s="270"/>
      <c r="B100" s="478"/>
      <c r="C100" s="472"/>
      <c r="D100" s="559"/>
      <c r="E100" s="560"/>
      <c r="F100" s="561"/>
      <c r="G100" s="562"/>
      <c r="H100" s="563"/>
      <c r="I100" s="564"/>
    </row>
    <row r="101">
      <c r="A101" s="262" t="s">
        <v>1251</v>
      </c>
      <c r="B101" s="425">
        <v>91301.76</v>
      </c>
      <c r="C101" s="399"/>
      <c r="D101" s="182"/>
      <c r="E101" s="557" t="s">
        <v>2113</v>
      </c>
      <c r="F101" s="549">
        <v>170.0</v>
      </c>
      <c r="G101" s="550" t="s">
        <v>1905</v>
      </c>
      <c r="H101" s="551"/>
      <c r="I101" s="552"/>
    </row>
    <row r="102">
      <c r="A102" s="265"/>
      <c r="B102" s="404"/>
      <c r="C102" s="399"/>
      <c r="D102" s="182"/>
      <c r="E102" s="557"/>
      <c r="F102" s="554">
        <v>200.0</v>
      </c>
      <c r="G102" s="550" t="s">
        <v>2084</v>
      </c>
      <c r="H102" s="551"/>
      <c r="I102" s="552"/>
    </row>
    <row r="103">
      <c r="A103" s="265"/>
      <c r="B103" s="404"/>
      <c r="C103" s="489"/>
      <c r="D103" s="579"/>
      <c r="E103" s="580"/>
      <c r="F103" s="554"/>
      <c r="G103" s="550"/>
      <c r="H103" s="551"/>
      <c r="I103" s="552"/>
    </row>
    <row r="104">
      <c r="A104" s="265"/>
      <c r="B104" s="404"/>
      <c r="C104" s="400"/>
      <c r="D104" s="182"/>
      <c r="E104" s="557"/>
      <c r="F104" s="554"/>
      <c r="G104" s="550"/>
      <c r="H104" s="551"/>
      <c r="I104" s="552"/>
    </row>
    <row r="105">
      <c r="A105" s="265"/>
      <c r="B105" s="477"/>
      <c r="C105" s="400"/>
      <c r="D105" s="182"/>
      <c r="E105" s="576"/>
      <c r="F105" s="558"/>
      <c r="G105" s="555"/>
      <c r="H105" s="551"/>
      <c r="I105" s="552"/>
    </row>
    <row r="106">
      <c r="A106" s="270"/>
      <c r="B106" s="478"/>
      <c r="C106" s="472"/>
      <c r="D106" s="559"/>
      <c r="E106" s="560"/>
      <c r="F106" s="561"/>
      <c r="G106" s="562"/>
      <c r="H106" s="563"/>
      <c r="I106" s="564"/>
    </row>
    <row r="107">
      <c r="A107" s="262" t="s">
        <v>1252</v>
      </c>
      <c r="B107" s="425"/>
      <c r="C107" s="414"/>
      <c r="D107" s="182"/>
      <c r="E107" s="557"/>
      <c r="F107" s="549">
        <v>360.0</v>
      </c>
      <c r="G107" s="550" t="s">
        <v>1978</v>
      </c>
      <c r="H107" s="551"/>
      <c r="I107" s="552"/>
    </row>
    <row r="108">
      <c r="A108" s="265"/>
      <c r="B108" s="404"/>
      <c r="C108" s="400"/>
      <c r="D108" s="182"/>
      <c r="E108" s="557"/>
      <c r="F108" s="554"/>
      <c r="G108" s="550"/>
      <c r="H108" s="551"/>
      <c r="I108" s="552"/>
    </row>
    <row r="109">
      <c r="A109" s="265"/>
      <c r="B109" s="477"/>
      <c r="C109" s="400"/>
      <c r="D109" s="182"/>
      <c r="E109" s="557"/>
      <c r="F109" s="558"/>
      <c r="G109" s="555"/>
      <c r="H109" s="551"/>
      <c r="I109" s="552"/>
    </row>
    <row r="110">
      <c r="A110" s="265"/>
      <c r="B110" s="480"/>
      <c r="C110" s="400"/>
      <c r="D110" s="182"/>
      <c r="E110" s="557"/>
      <c r="F110" s="554"/>
      <c r="G110" s="550"/>
      <c r="H110" s="551"/>
      <c r="I110" s="552"/>
    </row>
    <row r="111">
      <c r="A111" s="265"/>
      <c r="B111" s="480"/>
      <c r="C111" s="400"/>
      <c r="D111" s="574"/>
      <c r="E111" s="576"/>
      <c r="F111" s="558"/>
      <c r="G111" s="550"/>
      <c r="H111" s="551"/>
      <c r="I111" s="552"/>
    </row>
    <row r="112">
      <c r="A112" s="270"/>
      <c r="B112" s="478"/>
      <c r="C112" s="472"/>
      <c r="D112" s="577"/>
      <c r="E112" s="578"/>
      <c r="F112" s="561"/>
      <c r="G112" s="562"/>
      <c r="H112" s="563"/>
      <c r="I112" s="564"/>
    </row>
    <row r="113">
      <c r="A113" s="262" t="s">
        <v>2114</v>
      </c>
      <c r="B113" s="425"/>
      <c r="C113" s="401"/>
      <c r="D113" s="566"/>
      <c r="E113" s="567"/>
      <c r="F113" s="549">
        <v>200.0</v>
      </c>
      <c r="G113" s="550" t="s">
        <v>2086</v>
      </c>
      <c r="H113" s="556"/>
      <c r="I113" s="552"/>
    </row>
    <row r="114">
      <c r="A114" s="265"/>
      <c r="B114" s="477"/>
      <c r="C114" s="400"/>
      <c r="D114" s="182"/>
      <c r="E114" s="557"/>
      <c r="F114" s="554">
        <v>90.0</v>
      </c>
      <c r="G114" s="550" t="s">
        <v>2084</v>
      </c>
      <c r="H114" s="551"/>
      <c r="I114" s="552"/>
    </row>
    <row r="115">
      <c r="A115" s="265"/>
      <c r="B115" s="477"/>
      <c r="C115" s="400"/>
      <c r="D115" s="182"/>
      <c r="E115" s="557"/>
      <c r="F115" s="558"/>
      <c r="G115" s="555"/>
      <c r="H115" s="551"/>
      <c r="I115" s="552"/>
    </row>
    <row r="116">
      <c r="A116" s="265"/>
      <c r="B116" s="477"/>
      <c r="C116" s="400"/>
      <c r="D116" s="182"/>
      <c r="E116" s="557"/>
      <c r="F116" s="554">
        <v>170.0</v>
      </c>
      <c r="G116" s="550" t="s">
        <v>2100</v>
      </c>
      <c r="H116" s="551"/>
      <c r="I116" s="552"/>
    </row>
    <row r="117">
      <c r="A117" s="265"/>
      <c r="B117" s="477"/>
      <c r="C117" s="400"/>
      <c r="D117" s="182"/>
      <c r="E117" s="576"/>
      <c r="F117" s="558"/>
      <c r="G117" s="555"/>
      <c r="H117" s="551"/>
      <c r="I117" s="552"/>
    </row>
    <row r="118">
      <c r="A118" s="270"/>
      <c r="B118" s="478"/>
      <c r="C118" s="472"/>
      <c r="D118" s="577"/>
      <c r="E118" s="578"/>
      <c r="F118" s="561"/>
      <c r="G118" s="562"/>
      <c r="H118" s="563"/>
      <c r="I118" s="564"/>
    </row>
    <row r="119">
      <c r="A119" s="262" t="s">
        <v>1255</v>
      </c>
      <c r="B119" s="425"/>
      <c r="C119" s="401"/>
      <c r="D119" s="182"/>
      <c r="E119" s="557"/>
      <c r="F119" s="549">
        <v>290.0</v>
      </c>
      <c r="G119" s="550" t="s">
        <v>2115</v>
      </c>
      <c r="H119" s="556"/>
      <c r="I119" s="552"/>
    </row>
    <row r="120">
      <c r="A120" s="265"/>
      <c r="B120" s="404"/>
      <c r="C120" s="400"/>
      <c r="D120" s="182"/>
      <c r="E120" s="557"/>
      <c r="F120" s="554"/>
      <c r="G120" s="550"/>
      <c r="H120" s="551"/>
      <c r="I120" s="552"/>
    </row>
    <row r="121">
      <c r="A121" s="265"/>
      <c r="B121" s="404"/>
      <c r="C121" s="400"/>
      <c r="D121" s="182"/>
      <c r="E121" s="557"/>
      <c r="F121" s="554"/>
      <c r="G121" s="550"/>
      <c r="H121" s="551"/>
      <c r="I121" s="552"/>
    </row>
    <row r="122">
      <c r="A122" s="265"/>
      <c r="B122" s="477"/>
      <c r="C122" s="400"/>
      <c r="D122" s="182"/>
      <c r="E122" s="557"/>
      <c r="F122" s="554"/>
      <c r="G122" s="550"/>
      <c r="H122" s="581"/>
      <c r="I122" s="582"/>
    </row>
    <row r="123">
      <c r="A123" s="265"/>
      <c r="B123" s="477"/>
      <c r="C123" s="400"/>
      <c r="D123" s="182"/>
      <c r="E123" s="576"/>
      <c r="F123" s="558"/>
      <c r="G123" s="555"/>
      <c r="H123" s="551"/>
      <c r="I123" s="552"/>
    </row>
    <row r="124">
      <c r="A124" s="270"/>
      <c r="B124" s="478"/>
      <c r="C124" s="472"/>
      <c r="D124" s="577"/>
      <c r="E124" s="578"/>
      <c r="F124" s="561"/>
      <c r="G124" s="562"/>
      <c r="H124" s="563"/>
      <c r="I124" s="564"/>
    </row>
    <row r="125">
      <c r="A125" s="262" t="s">
        <v>1256</v>
      </c>
      <c r="B125" s="425"/>
      <c r="C125" s="421"/>
      <c r="D125" s="566"/>
      <c r="E125" s="567"/>
      <c r="F125" s="549">
        <v>200.0</v>
      </c>
      <c r="G125" s="550" t="s">
        <v>2086</v>
      </c>
      <c r="H125" s="556"/>
      <c r="I125" s="569"/>
    </row>
    <row r="126">
      <c r="A126" s="265"/>
      <c r="B126" s="404"/>
      <c r="C126" s="399"/>
      <c r="D126" s="182"/>
      <c r="E126" s="576"/>
      <c r="F126" s="554">
        <v>250.0</v>
      </c>
      <c r="G126" s="550" t="s">
        <v>2084</v>
      </c>
      <c r="H126" s="551"/>
      <c r="I126" s="569"/>
    </row>
    <row r="127">
      <c r="A127" s="265"/>
      <c r="B127" s="404"/>
      <c r="C127" s="400"/>
      <c r="D127" s="182"/>
      <c r="E127" s="576"/>
      <c r="F127" s="554"/>
      <c r="G127" s="550"/>
      <c r="H127" s="551"/>
      <c r="I127" s="552"/>
    </row>
    <row r="128">
      <c r="A128" s="265"/>
      <c r="B128" s="404"/>
      <c r="C128" s="400"/>
      <c r="D128" s="182"/>
      <c r="E128" s="576"/>
      <c r="F128" s="558"/>
      <c r="G128" s="555"/>
      <c r="H128" s="551"/>
      <c r="I128" s="552"/>
    </row>
    <row r="129">
      <c r="A129" s="265"/>
      <c r="B129" s="404"/>
      <c r="C129" s="399"/>
      <c r="D129" s="182"/>
      <c r="E129" s="576"/>
      <c r="F129" s="558"/>
      <c r="G129" s="555"/>
      <c r="H129" s="551"/>
      <c r="I129" s="552"/>
    </row>
    <row r="130">
      <c r="A130" s="270"/>
      <c r="B130" s="478"/>
      <c r="C130" s="472"/>
      <c r="D130" s="559"/>
      <c r="E130" s="560"/>
      <c r="F130" s="561"/>
      <c r="G130" s="562"/>
      <c r="H130" s="563"/>
      <c r="I130" s="564"/>
    </row>
    <row r="131">
      <c r="A131" s="262" t="s">
        <v>1260</v>
      </c>
      <c r="B131" s="425"/>
      <c r="C131" s="401"/>
      <c r="D131" s="566"/>
      <c r="E131" s="567"/>
      <c r="F131" s="549">
        <v>220.0</v>
      </c>
      <c r="G131" s="550" t="s">
        <v>2086</v>
      </c>
      <c r="H131" s="556"/>
      <c r="I131" s="569"/>
    </row>
    <row r="132">
      <c r="A132" s="265"/>
      <c r="B132" s="477"/>
      <c r="C132" s="399"/>
      <c r="D132" s="182"/>
      <c r="E132" s="557"/>
      <c r="F132" s="554">
        <v>60.0</v>
      </c>
      <c r="G132" s="550" t="s">
        <v>2084</v>
      </c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65"/>
      <c r="B134" s="477"/>
      <c r="C134" s="400"/>
      <c r="D134" s="182"/>
      <c r="E134" s="576"/>
      <c r="F134" s="554"/>
      <c r="G134" s="550"/>
      <c r="H134" s="551"/>
      <c r="I134" s="552"/>
    </row>
    <row r="135">
      <c r="A135" s="265"/>
      <c r="B135" s="477"/>
      <c r="C135" s="400"/>
      <c r="D135" s="182"/>
      <c r="E135" s="576"/>
      <c r="F135" s="558"/>
      <c r="G135" s="555"/>
      <c r="H135" s="551"/>
      <c r="I135" s="552"/>
    </row>
    <row r="136">
      <c r="A136" s="270"/>
      <c r="B136" s="478"/>
      <c r="C136" s="472"/>
      <c r="D136" s="577"/>
      <c r="E136" s="578"/>
      <c r="F136" s="561"/>
      <c r="G136" s="562"/>
      <c r="H136" s="563"/>
      <c r="I136" s="564"/>
    </row>
    <row r="137">
      <c r="A137" s="262" t="s">
        <v>1263</v>
      </c>
      <c r="B137" s="425"/>
      <c r="C137" s="401"/>
      <c r="D137" s="566"/>
      <c r="E137" s="550"/>
      <c r="F137" s="549">
        <v>170.0</v>
      </c>
      <c r="G137" s="550" t="s">
        <v>2086</v>
      </c>
      <c r="H137" s="551"/>
      <c r="I137" s="552"/>
    </row>
    <row r="138">
      <c r="A138" s="265"/>
      <c r="B138" s="477"/>
      <c r="C138" s="399"/>
      <c r="D138" s="182"/>
      <c r="E138" s="576"/>
      <c r="F138" s="554">
        <v>130.0</v>
      </c>
      <c r="G138" s="550" t="s">
        <v>2084</v>
      </c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65"/>
      <c r="B140" s="404"/>
      <c r="C140" s="400"/>
      <c r="D140" s="182"/>
      <c r="E140" s="576"/>
      <c r="F140" s="554"/>
      <c r="G140" s="550"/>
      <c r="H140" s="551"/>
      <c r="I140" s="552"/>
    </row>
    <row r="141">
      <c r="A141" s="265"/>
      <c r="B141" s="477"/>
      <c r="C141" s="400"/>
      <c r="D141" s="182"/>
      <c r="E141" s="576"/>
      <c r="F141" s="558"/>
      <c r="G141" s="555"/>
      <c r="H141" s="551"/>
      <c r="I141" s="552"/>
    </row>
    <row r="142">
      <c r="A142" s="270"/>
      <c r="B142" s="478"/>
      <c r="C142" s="472"/>
      <c r="D142" s="577"/>
      <c r="E142" s="578"/>
      <c r="F142" s="561"/>
      <c r="G142" s="562"/>
      <c r="H142" s="563"/>
      <c r="I142" s="564"/>
    </row>
    <row r="143">
      <c r="A143" s="280" t="s">
        <v>1265</v>
      </c>
      <c r="B143" s="425"/>
      <c r="C143" s="401"/>
      <c r="D143" s="566"/>
      <c r="E143" s="557"/>
      <c r="F143" s="549">
        <v>200.0</v>
      </c>
      <c r="G143" s="550" t="s">
        <v>1948</v>
      </c>
      <c r="H143" s="556"/>
      <c r="I143" s="569"/>
    </row>
    <row r="144">
      <c r="A144" s="265"/>
      <c r="B144" s="404"/>
      <c r="C144" s="399"/>
      <c r="D144" s="182"/>
      <c r="E144" s="557"/>
      <c r="F144" s="554">
        <v>180.0</v>
      </c>
      <c r="G144" s="550" t="s">
        <v>1930</v>
      </c>
      <c r="H144" s="551"/>
      <c r="I144" s="552"/>
    </row>
    <row r="145">
      <c r="A145" s="265"/>
      <c r="B145" s="404"/>
      <c r="C145" s="399"/>
      <c r="D145" s="182"/>
      <c r="E145" s="557"/>
      <c r="F145" s="554"/>
      <c r="G145" s="555"/>
      <c r="H145" s="551"/>
      <c r="I145" s="552"/>
    </row>
    <row r="146">
      <c r="A146" s="265"/>
      <c r="B146" s="404"/>
      <c r="C146" s="399"/>
      <c r="D146" s="182">
        <v>43000.0</v>
      </c>
      <c r="E146" s="557" t="s">
        <v>426</v>
      </c>
      <c r="F146" s="554"/>
      <c r="G146" s="550"/>
      <c r="H146" s="551"/>
      <c r="I146" s="552"/>
    </row>
    <row r="147">
      <c r="A147" s="270"/>
      <c r="B147" s="404"/>
      <c r="C147" s="399"/>
      <c r="D147" s="182"/>
      <c r="E147" s="557"/>
      <c r="F147" s="554"/>
      <c r="G147" s="555"/>
      <c r="H147" s="551"/>
      <c r="I147" s="552"/>
    </row>
    <row r="148">
      <c r="A148" s="452"/>
      <c r="B148" s="404"/>
      <c r="C148" s="399"/>
      <c r="D148" s="182"/>
      <c r="E148" s="557"/>
      <c r="F148" s="554"/>
      <c r="G148" s="562"/>
      <c r="H148" s="563"/>
      <c r="I148" s="564"/>
    </row>
    <row r="149">
      <c r="A149" s="280" t="s">
        <v>2116</v>
      </c>
      <c r="B149" s="461"/>
      <c r="C149" s="421"/>
      <c r="D149" s="583"/>
      <c r="E149" s="584"/>
      <c r="F149" s="549"/>
      <c r="G149" s="550"/>
      <c r="H149" s="556"/>
      <c r="I149" s="552"/>
    </row>
    <row r="150">
      <c r="A150" s="265"/>
      <c r="B150" s="404"/>
      <c r="C150" s="399"/>
      <c r="D150" s="182"/>
      <c r="E150" s="557"/>
      <c r="F150" s="554"/>
      <c r="G150" s="550"/>
      <c r="H150" s="551"/>
      <c r="I150" s="552"/>
    </row>
    <row r="151">
      <c r="A151" s="265"/>
      <c r="B151" s="477"/>
      <c r="C151" s="399"/>
      <c r="D151" s="182"/>
      <c r="E151" s="557"/>
      <c r="F151" s="554"/>
      <c r="G151" s="555"/>
      <c r="H151" s="551"/>
      <c r="I151" s="552"/>
    </row>
    <row r="152">
      <c r="A152" s="265"/>
      <c r="B152" s="477"/>
      <c r="C152" s="399"/>
      <c r="D152" s="182"/>
      <c r="E152" s="576"/>
      <c r="F152" s="558"/>
      <c r="G152" s="555"/>
      <c r="H152" s="551"/>
      <c r="I152" s="552"/>
    </row>
    <row r="153">
      <c r="A153" s="265"/>
      <c r="B153" s="404"/>
      <c r="C153" s="399"/>
      <c r="D153" s="182"/>
      <c r="E153" s="576"/>
      <c r="F153" s="554"/>
      <c r="G153" s="555"/>
      <c r="H153" s="551"/>
      <c r="I153" s="552"/>
    </row>
    <row r="154">
      <c r="A154" s="270"/>
      <c r="B154" s="478"/>
      <c r="C154" s="462"/>
      <c r="D154" s="577"/>
      <c r="E154" s="560"/>
      <c r="F154" s="561"/>
      <c r="G154" s="562"/>
      <c r="H154" s="563"/>
      <c r="I154" s="564"/>
    </row>
    <row r="155">
      <c r="A155" s="299"/>
      <c r="B155" s="440"/>
      <c r="C155" s="462"/>
      <c r="D155" s="182"/>
      <c r="E155" s="557"/>
      <c r="F155" s="554"/>
      <c r="G155" s="550"/>
      <c r="H155" s="551"/>
      <c r="I155" s="552"/>
    </row>
    <row r="156">
      <c r="B156" s="480"/>
      <c r="C156" s="462"/>
      <c r="D156" s="574"/>
      <c r="E156" s="576"/>
      <c r="F156" s="554"/>
      <c r="G156" s="550"/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B158" s="480"/>
      <c r="C158" s="462"/>
      <c r="D158" s="574"/>
      <c r="E158" s="576"/>
      <c r="F158" s="558"/>
      <c r="G158" s="555"/>
      <c r="H158" s="551"/>
      <c r="I158" s="552"/>
    </row>
    <row r="159">
      <c r="B159" s="480"/>
      <c r="C159" s="462"/>
      <c r="D159" s="574"/>
      <c r="E159" s="576"/>
      <c r="F159" s="558"/>
      <c r="G159" s="555"/>
      <c r="H159" s="551"/>
      <c r="I159" s="552"/>
    </row>
    <row r="160">
      <c r="A160" s="585"/>
      <c r="B160" s="271"/>
      <c r="C160" s="586"/>
      <c r="D160" s="587"/>
      <c r="E160" s="588"/>
      <c r="F160" s="561"/>
      <c r="G160" s="562"/>
      <c r="H160" s="563"/>
      <c r="I160" s="564"/>
    </row>
    <row r="161">
      <c r="A161" s="299"/>
      <c r="B161" s="440"/>
      <c r="C161" s="462"/>
      <c r="D161" s="182"/>
      <c r="E161" s="557"/>
      <c r="F161" s="554"/>
      <c r="G161" s="550"/>
      <c r="H161" s="551"/>
      <c r="I161" s="552"/>
    </row>
    <row r="162">
      <c r="B162" s="480"/>
      <c r="C162" s="462"/>
      <c r="D162" s="574"/>
      <c r="E162" s="576"/>
      <c r="F162" s="554"/>
      <c r="G162" s="550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B164" s="480"/>
      <c r="C164" s="462"/>
      <c r="D164" s="574"/>
      <c r="E164" s="576"/>
      <c r="F164" s="558"/>
      <c r="G164" s="555"/>
      <c r="H164" s="551"/>
      <c r="I164" s="552"/>
    </row>
    <row r="165">
      <c r="B165" s="480"/>
      <c r="C165" s="462"/>
      <c r="D165" s="574"/>
      <c r="E165" s="576"/>
      <c r="F165" s="558"/>
      <c r="G165" s="555"/>
      <c r="H165" s="551"/>
      <c r="I165" s="552"/>
    </row>
    <row r="166">
      <c r="A166" s="585"/>
      <c r="B166" s="271"/>
      <c r="C166" s="586"/>
      <c r="D166" s="587"/>
      <c r="E166" s="588"/>
      <c r="F166" s="561"/>
      <c r="G166" s="562"/>
      <c r="H166" s="563"/>
      <c r="I166" s="564"/>
    </row>
    <row r="167">
      <c r="A167" s="299" t="s">
        <v>1964</v>
      </c>
      <c r="B167" s="440"/>
      <c r="C167" s="462"/>
      <c r="D167" s="182"/>
      <c r="E167" s="557"/>
      <c r="F167" s="554"/>
      <c r="G167" s="550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B170" s="480"/>
      <c r="C170" s="462"/>
      <c r="D170" s="574"/>
      <c r="E170" s="576"/>
      <c r="F170" s="558"/>
      <c r="G170" s="555"/>
      <c r="H170" s="551"/>
      <c r="I170" s="552"/>
    </row>
    <row r="171">
      <c r="B171" s="480"/>
      <c r="C171" s="462"/>
      <c r="D171" s="574"/>
      <c r="E171" s="576"/>
      <c r="F171" s="558"/>
      <c r="G171" s="555"/>
      <c r="H171" s="551"/>
      <c r="I171" s="552"/>
    </row>
    <row r="172">
      <c r="A172" s="585"/>
      <c r="B172" s="271"/>
      <c r="C172" s="586"/>
      <c r="D172" s="587"/>
      <c r="E172" s="588"/>
      <c r="F172" s="561"/>
      <c r="G172" s="562"/>
      <c r="H172" s="563"/>
      <c r="I172" s="564"/>
    </row>
    <row r="173">
      <c r="A173" s="299"/>
      <c r="B173" s="440"/>
      <c r="C173" s="462"/>
      <c r="D173" s="182"/>
      <c r="E173" s="557"/>
      <c r="F173" s="558"/>
      <c r="G173" s="555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B176" s="480"/>
      <c r="C176" s="462"/>
      <c r="D176" s="574"/>
      <c r="E176" s="576"/>
      <c r="F176" s="558"/>
      <c r="G176" s="555"/>
      <c r="H176" s="551"/>
      <c r="I176" s="552"/>
    </row>
    <row r="177">
      <c r="B177" s="480"/>
      <c r="C177" s="462"/>
      <c r="D177" s="574"/>
      <c r="E177" s="576"/>
      <c r="F177" s="558"/>
      <c r="G177" s="555"/>
      <c r="H177" s="551"/>
      <c r="I177" s="552"/>
    </row>
    <row r="178">
      <c r="A178" s="585"/>
      <c r="B178" s="271"/>
      <c r="C178" s="586"/>
      <c r="D178" s="587"/>
      <c r="E178" s="588"/>
      <c r="F178" s="561"/>
      <c r="G178" s="562"/>
      <c r="H178" s="563"/>
      <c r="I178" s="564"/>
    </row>
    <row r="179">
      <c r="A179" s="606"/>
      <c r="B179" s="600"/>
      <c r="C179" s="607"/>
      <c r="D179" s="566"/>
      <c r="E179" s="567"/>
      <c r="F179" s="597"/>
      <c r="G179" s="608"/>
      <c r="H179" s="609"/>
      <c r="I179" s="610"/>
    </row>
    <row r="180">
      <c r="A180" s="611"/>
      <c r="B180" s="480"/>
      <c r="C180" s="462"/>
      <c r="D180" s="574"/>
      <c r="E180" s="576"/>
      <c r="F180" s="558"/>
      <c r="G180" s="555"/>
      <c r="H180" s="551"/>
      <c r="I180" s="612"/>
    </row>
    <row r="181">
      <c r="A181" s="611"/>
      <c r="B181" s="480"/>
      <c r="C181" s="462"/>
      <c r="D181" s="574"/>
      <c r="E181" s="576"/>
      <c r="F181" s="558"/>
      <c r="G181" s="555"/>
      <c r="H181" s="551"/>
      <c r="I181" s="612"/>
    </row>
    <row r="182">
      <c r="A182" s="611"/>
      <c r="B182" s="480"/>
      <c r="C182" s="462"/>
      <c r="D182" s="574"/>
      <c r="E182" s="576"/>
      <c r="F182" s="558"/>
      <c r="G182" s="555"/>
      <c r="H182" s="551"/>
      <c r="I182" s="612"/>
    </row>
    <row r="183">
      <c r="A183" s="613"/>
      <c r="B183" s="478"/>
      <c r="C183" s="614"/>
      <c r="D183" s="577"/>
      <c r="E183" s="578"/>
      <c r="F183" s="561"/>
      <c r="G183" s="562"/>
      <c r="H183" s="563"/>
      <c r="I183" s="615"/>
    </row>
    <row r="184">
      <c r="A184" s="606"/>
      <c r="B184" s="600"/>
      <c r="C184" s="607"/>
      <c r="D184" s="566"/>
      <c r="E184" s="567"/>
      <c r="F184" s="597"/>
      <c r="G184" s="608"/>
      <c r="H184" s="609"/>
      <c r="I184" s="610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1"/>
      <c r="B186" s="480"/>
      <c r="C186" s="462"/>
      <c r="D186" s="574"/>
      <c r="E186" s="576"/>
      <c r="F186" s="558"/>
      <c r="G186" s="555"/>
      <c r="H186" s="551"/>
      <c r="I186" s="612"/>
    </row>
    <row r="187">
      <c r="A187" s="611"/>
      <c r="B187" s="480"/>
      <c r="C187" s="462"/>
      <c r="D187" s="574"/>
      <c r="E187" s="576"/>
      <c r="F187" s="558"/>
      <c r="G187" s="555"/>
      <c r="H187" s="551"/>
      <c r="I187" s="612"/>
    </row>
    <row r="188">
      <c r="A188" s="613"/>
      <c r="B188" s="478"/>
      <c r="C188" s="614"/>
      <c r="D188" s="577"/>
      <c r="E188" s="578"/>
      <c r="F188" s="561"/>
      <c r="G188" s="562"/>
      <c r="H188" s="563"/>
      <c r="I188" s="615"/>
    </row>
    <row r="189">
      <c r="A189" s="299"/>
      <c r="B189" s="440"/>
      <c r="C189" s="462"/>
      <c r="D189" s="182"/>
      <c r="E189" s="557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B192" s="480"/>
      <c r="C192" s="462"/>
      <c r="D192" s="574"/>
      <c r="E192" s="576"/>
      <c r="F192" s="558"/>
      <c r="G192" s="555"/>
      <c r="H192" s="551"/>
      <c r="I192" s="552"/>
    </row>
    <row r="193">
      <c r="B193" s="480"/>
      <c r="C193" s="462"/>
      <c r="D193" s="574"/>
      <c r="E193" s="576"/>
      <c r="F193" s="558"/>
      <c r="G193" s="555"/>
      <c r="H193" s="551"/>
      <c r="I193" s="552"/>
    </row>
    <row r="194">
      <c r="A194" s="585"/>
      <c r="B194" s="271"/>
      <c r="C194" s="586"/>
      <c r="D194" s="587"/>
      <c r="E194" s="588"/>
      <c r="F194" s="561"/>
      <c r="G194" s="562"/>
      <c r="H194" s="563"/>
      <c r="I194" s="564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3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3"/>
      <c r="B198" s="268"/>
      <c r="C198" s="253"/>
      <c r="D198" s="366"/>
      <c r="E198" s="555"/>
      <c r="F198" s="558"/>
      <c r="G198" s="555"/>
      <c r="H198" s="551"/>
      <c r="I198" s="552"/>
    </row>
    <row r="199">
      <c r="A199" s="304"/>
      <c r="B199" s="268"/>
      <c r="C199" s="253"/>
      <c r="D199" s="366"/>
      <c r="E199" s="555"/>
      <c r="F199" s="558"/>
      <c r="G199" s="555"/>
      <c r="H199" s="551"/>
      <c r="I199" s="552"/>
    </row>
    <row r="200">
      <c r="A200" s="305"/>
      <c r="B200" s="271"/>
      <c r="C200" s="273"/>
      <c r="D200" s="587"/>
      <c r="E200" s="562"/>
      <c r="F200" s="561"/>
      <c r="G200" s="555"/>
      <c r="H200" s="551"/>
      <c r="I200" s="552"/>
    </row>
    <row r="201">
      <c r="A201" s="265"/>
      <c r="B201" s="306"/>
      <c r="C201" s="241"/>
      <c r="D201" s="583"/>
      <c r="E201" s="548"/>
      <c r="F201" s="597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65"/>
      <c r="B207" s="268"/>
      <c r="C207" s="253"/>
      <c r="D207" s="366"/>
      <c r="E207" s="555"/>
      <c r="F207" s="558"/>
      <c r="G207" s="555"/>
      <c r="H207" s="551"/>
      <c r="I207" s="552"/>
    </row>
    <row r="208">
      <c r="A208" s="265"/>
      <c r="B208" s="268"/>
      <c r="C208" s="253"/>
      <c r="D208" s="366"/>
      <c r="E208" s="555"/>
      <c r="F208" s="558"/>
      <c r="G208" s="555"/>
      <c r="H208" s="551"/>
      <c r="I208" s="552"/>
    </row>
    <row r="209">
      <c r="A209" s="270"/>
      <c r="B209" s="268"/>
      <c r="C209" s="253"/>
      <c r="D209" s="366"/>
      <c r="E209" s="555"/>
      <c r="F209" s="558"/>
      <c r="G209" s="555"/>
      <c r="H209" s="551"/>
      <c r="I209" s="552"/>
    </row>
    <row r="210">
      <c r="B210" s="271"/>
      <c r="C210" s="273"/>
      <c r="D210" s="587"/>
      <c r="E210" s="562"/>
      <c r="F210" s="561"/>
      <c r="G210" s="555"/>
      <c r="H210" s="551"/>
      <c r="I210" s="552"/>
    </row>
    <row r="211">
      <c r="B211" s="306"/>
      <c r="C211" s="241"/>
      <c r="D211" s="583"/>
      <c r="E211" s="548"/>
      <c r="F211" s="597"/>
      <c r="G211" s="555"/>
      <c r="H211" s="551"/>
      <c r="I211" s="552"/>
    </row>
    <row r="212">
      <c r="B212" s="268"/>
      <c r="C212" s="253"/>
      <c r="D212" s="366"/>
      <c r="E212" s="555"/>
      <c r="F212" s="558"/>
      <c r="G212" s="555"/>
      <c r="H212" s="551"/>
      <c r="I212" s="552"/>
    </row>
    <row r="213">
      <c r="B213" s="268"/>
      <c r="C213" s="253"/>
      <c r="D213" s="366"/>
      <c r="E213" s="555"/>
      <c r="F213" s="558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  <row r="518">
      <c r="B518" s="308"/>
      <c r="C518" s="253"/>
      <c r="D518" s="598"/>
      <c r="E518" s="555"/>
      <c r="F518" s="572"/>
      <c r="G518" s="555"/>
      <c r="H518" s="551"/>
      <c r="I518" s="552"/>
    </row>
    <row r="519">
      <c r="B519" s="308"/>
      <c r="C519" s="253"/>
      <c r="D519" s="598"/>
      <c r="E519" s="555"/>
      <c r="F519" s="572"/>
      <c r="G519" s="555"/>
      <c r="H519" s="551"/>
      <c r="I519" s="552"/>
    </row>
  </sheetData>
  <mergeCells count="33">
    <mergeCell ref="A2:A7"/>
    <mergeCell ref="A8:A14"/>
    <mergeCell ref="A15:A19"/>
    <mergeCell ref="A20:A25"/>
    <mergeCell ref="A26:A31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2"/>
    <mergeCell ref="A113:A118"/>
    <mergeCell ref="A119:A124"/>
    <mergeCell ref="A125:A130"/>
    <mergeCell ref="A173:A177"/>
    <mergeCell ref="A179:A183"/>
    <mergeCell ref="A184:A188"/>
    <mergeCell ref="A189:A193"/>
    <mergeCell ref="A200:A209"/>
    <mergeCell ref="A131:A136"/>
    <mergeCell ref="A137:A142"/>
    <mergeCell ref="A143:A147"/>
    <mergeCell ref="A149:A154"/>
    <mergeCell ref="A155:A159"/>
    <mergeCell ref="A161:A165"/>
    <mergeCell ref="A167:A1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16.13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/>
      <c r="B2" s="425"/>
      <c r="C2" s="532"/>
      <c r="D2" s="547"/>
      <c r="E2" s="548"/>
      <c r="F2" s="549"/>
      <c r="G2" s="550"/>
      <c r="H2" s="556"/>
      <c r="I2" s="569"/>
    </row>
    <row r="3">
      <c r="A3" s="265"/>
      <c r="B3" s="510"/>
      <c r="C3" s="399"/>
      <c r="D3" s="366"/>
      <c r="E3" s="553"/>
      <c r="F3" s="554"/>
      <c r="G3" s="550"/>
      <c r="H3" s="556"/>
      <c r="I3" s="552"/>
    </row>
    <row r="4">
      <c r="A4" s="265"/>
      <c r="B4" s="404"/>
      <c r="C4" s="414"/>
      <c r="D4" s="182"/>
      <c r="E4" s="557"/>
      <c r="F4" s="558"/>
      <c r="G4" s="550"/>
      <c r="H4" s="556"/>
      <c r="I4" s="569"/>
    </row>
    <row r="5">
      <c r="A5" s="265"/>
      <c r="B5" s="404"/>
      <c r="C5" s="399"/>
      <c r="D5" s="182"/>
      <c r="E5" s="557"/>
      <c r="F5" s="554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1130</v>
      </c>
      <c r="B8" s="425">
        <v>30116.0</v>
      </c>
      <c r="C8" s="401"/>
      <c r="D8" s="182"/>
      <c r="E8" s="557" t="s">
        <v>1531</v>
      </c>
      <c r="F8" s="549">
        <v>290.0</v>
      </c>
      <c r="G8" s="550" t="s">
        <v>2117</v>
      </c>
      <c r="H8" s="556"/>
      <c r="I8" s="552"/>
    </row>
    <row r="9">
      <c r="A9" s="265"/>
      <c r="B9" s="419"/>
      <c r="C9" s="414"/>
      <c r="D9" s="182"/>
      <c r="E9" s="557"/>
      <c r="F9" s="554"/>
      <c r="G9" s="550"/>
      <c r="H9" s="556"/>
      <c r="I9" s="552"/>
    </row>
    <row r="10">
      <c r="A10" s="265"/>
      <c r="B10" s="339"/>
      <c r="C10" s="414"/>
      <c r="D10" s="182"/>
      <c r="E10" s="557"/>
      <c r="F10" s="554"/>
      <c r="G10" s="550"/>
      <c r="H10" s="556"/>
      <c r="I10" s="552"/>
    </row>
    <row r="11">
      <c r="A11" s="265"/>
      <c r="B11" s="404"/>
      <c r="C11" s="399"/>
      <c r="D11" s="182"/>
      <c r="E11" s="557"/>
      <c r="F11" s="554"/>
      <c r="G11" s="550"/>
      <c r="H11" s="556"/>
      <c r="I11" s="569"/>
    </row>
    <row r="12">
      <c r="A12" s="265"/>
      <c r="B12" s="419"/>
      <c r="C12" s="414"/>
      <c r="D12" s="182"/>
      <c r="E12" s="557"/>
      <c r="F12" s="558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69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997</v>
      </c>
      <c r="B15" s="600"/>
      <c r="C15" s="421"/>
      <c r="D15" s="566"/>
      <c r="E15" s="567"/>
      <c r="F15" s="549">
        <v>220.0</v>
      </c>
      <c r="G15" s="550" t="s">
        <v>1905</v>
      </c>
      <c r="H15" s="581"/>
      <c r="I15" s="619"/>
      <c r="J15" s="603"/>
    </row>
    <row r="16">
      <c r="A16" s="265"/>
      <c r="B16" s="440"/>
      <c r="C16" s="414"/>
      <c r="D16" s="182"/>
      <c r="E16" s="557"/>
      <c r="F16" s="554">
        <v>120.0</v>
      </c>
      <c r="G16" s="557" t="s">
        <v>1906</v>
      </c>
      <c r="H16" s="556"/>
      <c r="I16" s="569"/>
    </row>
    <row r="17">
      <c r="A17" s="265"/>
      <c r="B17" s="404"/>
      <c r="C17" s="476"/>
      <c r="D17" s="182"/>
      <c r="E17" s="557"/>
      <c r="F17" s="568">
        <v>50.0</v>
      </c>
      <c r="G17" s="550" t="s">
        <v>2118</v>
      </c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70"/>
      <c r="B19" s="404"/>
      <c r="C19" s="399"/>
      <c r="D19" s="182"/>
      <c r="E19" s="557"/>
      <c r="F19" s="558"/>
      <c r="G19" s="562"/>
      <c r="H19" s="599"/>
      <c r="I19" s="601"/>
    </row>
    <row r="20">
      <c r="A20" s="262" t="s">
        <v>998</v>
      </c>
      <c r="B20" s="425"/>
      <c r="C20" s="401">
        <v>121000.0</v>
      </c>
      <c r="D20" s="566"/>
      <c r="E20" s="567" t="s">
        <v>2119</v>
      </c>
      <c r="F20" s="549">
        <v>280.0</v>
      </c>
      <c r="G20" s="550" t="s">
        <v>1905</v>
      </c>
      <c r="H20" s="556"/>
      <c r="I20" s="569"/>
    </row>
    <row r="21">
      <c r="A21" s="265"/>
      <c r="B21" s="404"/>
      <c r="C21" s="399"/>
      <c r="D21" s="182"/>
      <c r="E21" s="557"/>
      <c r="F21" s="554">
        <v>150.0</v>
      </c>
      <c r="G21" s="550" t="s">
        <v>1906</v>
      </c>
      <c r="H21" s="551"/>
      <c r="I21" s="569"/>
    </row>
    <row r="22">
      <c r="A22" s="265"/>
      <c r="B22" s="457"/>
      <c r="C22" s="399"/>
      <c r="D22" s="182"/>
      <c r="E22" s="557"/>
      <c r="F22" s="558"/>
      <c r="G22" s="555"/>
      <c r="H22" s="551"/>
      <c r="I22" s="569"/>
    </row>
    <row r="23">
      <c r="A23" s="265"/>
      <c r="B23" s="468"/>
      <c r="C23" s="399"/>
      <c r="D23" s="570"/>
      <c r="E23" s="557"/>
      <c r="F23" s="554"/>
      <c r="G23" s="550"/>
      <c r="H23" s="551"/>
      <c r="I23" s="569"/>
    </row>
    <row r="24">
      <c r="A24" s="265"/>
      <c r="B24" s="468"/>
      <c r="C24" s="399"/>
      <c r="D24" s="182"/>
      <c r="E24" s="557"/>
      <c r="F24" s="554"/>
      <c r="G24" s="555"/>
      <c r="H24" s="551"/>
      <c r="I24" s="569"/>
    </row>
    <row r="25">
      <c r="A25" s="270"/>
      <c r="B25" s="404"/>
      <c r="C25" s="399"/>
      <c r="D25" s="182"/>
      <c r="E25" s="557"/>
      <c r="F25" s="558"/>
      <c r="G25" s="562"/>
      <c r="H25" s="563"/>
      <c r="I25" s="601"/>
    </row>
    <row r="26">
      <c r="A26" s="262" t="s">
        <v>1002</v>
      </c>
      <c r="B26" s="425"/>
      <c r="C26" s="421">
        <v>50000.0</v>
      </c>
      <c r="D26" s="182"/>
      <c r="E26" s="567" t="s">
        <v>2120</v>
      </c>
      <c r="F26" s="571">
        <v>200.0</v>
      </c>
      <c r="G26" s="550" t="s">
        <v>1905</v>
      </c>
      <c r="H26" s="556"/>
      <c r="I26" s="569"/>
    </row>
    <row r="27">
      <c r="A27" s="265"/>
      <c r="B27" s="404"/>
      <c r="C27" s="399"/>
      <c r="D27" s="182"/>
      <c r="E27" s="557"/>
      <c r="F27" s="83">
        <v>110.0</v>
      </c>
      <c r="G27" s="550" t="s">
        <v>1906</v>
      </c>
      <c r="H27" s="556"/>
      <c r="I27" s="569"/>
    </row>
    <row r="28">
      <c r="A28" s="265"/>
      <c r="B28" s="404"/>
      <c r="C28" s="400"/>
      <c r="D28" s="182"/>
      <c r="E28" s="557"/>
      <c r="F28" s="572"/>
      <c r="G28" s="573"/>
      <c r="H28" s="556"/>
      <c r="I28" s="552"/>
    </row>
    <row r="29">
      <c r="A29" s="265"/>
      <c r="B29" s="404"/>
      <c r="C29" s="400"/>
      <c r="D29" s="182"/>
      <c r="E29" s="557"/>
      <c r="F29" s="83"/>
      <c r="G29" s="550"/>
      <c r="H29" s="556"/>
      <c r="I29" s="552"/>
    </row>
    <row r="30">
      <c r="A30" s="265"/>
      <c r="B30" s="404"/>
      <c r="C30" s="400"/>
      <c r="D30" s="182"/>
      <c r="E30" s="557"/>
      <c r="F30" s="558"/>
      <c r="G30" s="550"/>
      <c r="H30" s="556"/>
      <c r="I30" s="552"/>
    </row>
    <row r="31">
      <c r="A31" s="270"/>
      <c r="B31" s="440"/>
      <c r="C31" s="400"/>
      <c r="D31" s="574"/>
      <c r="E31" s="557"/>
      <c r="F31" s="558"/>
      <c r="G31" s="575"/>
      <c r="H31" s="556"/>
      <c r="I31" s="552"/>
    </row>
    <row r="32">
      <c r="A32" s="437"/>
      <c r="B32" s="440"/>
      <c r="C32" s="400"/>
      <c r="D32" s="574"/>
      <c r="E32" s="557"/>
      <c r="F32" s="558"/>
      <c r="G32" s="573"/>
      <c r="H32" s="556"/>
      <c r="I32" s="569"/>
    </row>
    <row r="33">
      <c r="A33" s="437"/>
      <c r="B33" s="440"/>
      <c r="C33" s="400"/>
      <c r="D33" s="574"/>
      <c r="E33" s="557"/>
      <c r="F33" s="558"/>
      <c r="G33" s="573"/>
      <c r="H33" s="556"/>
      <c r="I33" s="569"/>
    </row>
    <row r="34">
      <c r="A34" s="437"/>
      <c r="B34" s="440"/>
      <c r="C34" s="400"/>
      <c r="D34" s="574"/>
      <c r="E34" s="557"/>
      <c r="F34" s="558"/>
      <c r="G34" s="573"/>
      <c r="H34" s="556"/>
      <c r="I34" s="552"/>
    </row>
    <row r="35">
      <c r="A35" s="262" t="s">
        <v>1004</v>
      </c>
      <c r="B35" s="425"/>
      <c r="C35" s="401"/>
      <c r="D35" s="566"/>
      <c r="E35" s="567"/>
      <c r="F35" s="549">
        <v>100.0</v>
      </c>
      <c r="G35" s="550" t="s">
        <v>1905</v>
      </c>
      <c r="H35" s="556"/>
      <c r="I35" s="552"/>
    </row>
    <row r="36">
      <c r="A36" s="265"/>
      <c r="B36" s="477"/>
      <c r="C36" s="400"/>
      <c r="D36" s="182"/>
      <c r="E36" s="576"/>
      <c r="F36" s="554">
        <v>110.0</v>
      </c>
      <c r="G36" s="550" t="s">
        <v>1906</v>
      </c>
      <c r="H36" s="551"/>
      <c r="I36" s="552"/>
    </row>
    <row r="37">
      <c r="A37" s="265"/>
      <c r="B37" s="477"/>
      <c r="C37" s="400"/>
      <c r="D37" s="182"/>
      <c r="E37" s="576"/>
      <c r="F37" s="554"/>
      <c r="G37" s="550"/>
      <c r="H37" s="556"/>
      <c r="I37" s="552"/>
    </row>
    <row r="38">
      <c r="A38" s="265"/>
      <c r="B38" s="477"/>
      <c r="C38" s="400"/>
      <c r="D38" s="182"/>
      <c r="E38" s="576"/>
      <c r="F38" s="554"/>
      <c r="G38" s="550"/>
      <c r="H38" s="556"/>
      <c r="I38" s="552"/>
    </row>
    <row r="39">
      <c r="A39" s="265"/>
      <c r="B39" s="477"/>
      <c r="C39" s="400"/>
      <c r="D39" s="182"/>
      <c r="E39" s="576"/>
      <c r="F39" s="558"/>
      <c r="G39" s="555"/>
      <c r="H39" s="551"/>
      <c r="I39" s="569"/>
    </row>
    <row r="40">
      <c r="A40" s="270"/>
      <c r="B40" s="478"/>
      <c r="C40" s="472"/>
      <c r="D40" s="577"/>
      <c r="E40" s="578"/>
      <c r="F40" s="561"/>
      <c r="G40" s="562"/>
      <c r="H40" s="563"/>
      <c r="I40" s="601"/>
    </row>
    <row r="41">
      <c r="A41" s="262" t="s">
        <v>1997</v>
      </c>
      <c r="B41" s="425">
        <v>17000.0</v>
      </c>
      <c r="C41" s="401"/>
      <c r="D41" s="566"/>
      <c r="E41" s="550" t="s">
        <v>549</v>
      </c>
      <c r="F41" s="549"/>
      <c r="G41" s="550" t="s">
        <v>2121</v>
      </c>
      <c r="H41" s="620"/>
      <c r="I41" s="564"/>
      <c r="J41" s="603"/>
    </row>
    <row r="42">
      <c r="A42" s="265"/>
      <c r="B42" s="404"/>
      <c r="C42" s="399"/>
      <c r="D42" s="182"/>
      <c r="E42" s="550"/>
      <c r="F42" s="554">
        <v>130.0</v>
      </c>
      <c r="G42" s="550" t="s">
        <v>1930</v>
      </c>
      <c r="H42" s="556"/>
      <c r="I42" s="552"/>
    </row>
    <row r="43">
      <c r="A43" s="265"/>
      <c r="B43" s="440"/>
      <c r="C43" s="400"/>
      <c r="D43" s="182"/>
      <c r="E43" s="557"/>
      <c r="F43" s="558"/>
      <c r="G43" s="555"/>
      <c r="H43" s="556"/>
      <c r="I43" s="552"/>
    </row>
    <row r="44">
      <c r="A44" s="265"/>
      <c r="B44" s="440"/>
      <c r="C44" s="400"/>
      <c r="D44" s="182"/>
      <c r="E44" s="576"/>
      <c r="F44" s="554">
        <v>120.0</v>
      </c>
      <c r="G44" s="550" t="s">
        <v>1473</v>
      </c>
      <c r="H44" s="556"/>
      <c r="I44" s="552"/>
    </row>
    <row r="45">
      <c r="A45" s="265"/>
      <c r="B45" s="480"/>
      <c r="C45" s="400"/>
      <c r="D45" s="182"/>
      <c r="E45" s="576"/>
      <c r="F45" s="558"/>
      <c r="G45" s="555"/>
      <c r="H45" s="556"/>
      <c r="I45" s="552"/>
    </row>
    <row r="46">
      <c r="A46" s="270"/>
      <c r="B46" s="478"/>
      <c r="C46" s="472"/>
      <c r="D46" s="577"/>
      <c r="E46" s="578"/>
      <c r="F46" s="561"/>
      <c r="G46" s="562"/>
      <c r="H46" s="599"/>
      <c r="I46" s="564"/>
    </row>
    <row r="47">
      <c r="A47" s="262" t="s">
        <v>2122</v>
      </c>
      <c r="B47" s="425"/>
      <c r="C47" s="421"/>
      <c r="D47" s="566"/>
      <c r="E47" s="567"/>
      <c r="F47" s="549">
        <v>130.0</v>
      </c>
      <c r="G47" s="550" t="s">
        <v>1948</v>
      </c>
      <c r="H47" s="556"/>
      <c r="I47" s="552"/>
    </row>
    <row r="48">
      <c r="A48" s="265"/>
      <c r="B48" s="404"/>
      <c r="C48" s="399"/>
      <c r="D48" s="182"/>
      <c r="E48" s="557"/>
      <c r="F48" s="554">
        <v>240.0</v>
      </c>
      <c r="G48" s="550" t="s">
        <v>2123</v>
      </c>
      <c r="H48" s="556"/>
      <c r="I48" s="552"/>
    </row>
    <row r="49">
      <c r="A49" s="265"/>
      <c r="B49" s="440"/>
      <c r="C49" s="400"/>
      <c r="D49" s="182"/>
      <c r="E49" s="557"/>
      <c r="F49" s="558"/>
      <c r="G49" s="555"/>
      <c r="H49" s="556"/>
      <c r="I49" s="552"/>
    </row>
    <row r="50">
      <c r="A50" s="265"/>
      <c r="B50" s="440"/>
      <c r="C50" s="400"/>
      <c r="D50" s="574"/>
      <c r="E50" s="576"/>
      <c r="F50" s="554"/>
      <c r="G50" s="550"/>
      <c r="H50" s="556"/>
      <c r="I50" s="552"/>
    </row>
    <row r="51">
      <c r="A51" s="265"/>
      <c r="B51" s="480"/>
      <c r="C51" s="400"/>
      <c r="D51" s="182"/>
      <c r="E51" s="576"/>
      <c r="F51" s="558"/>
      <c r="G51" s="555"/>
      <c r="H51" s="551"/>
      <c r="I51" s="569"/>
    </row>
    <row r="52">
      <c r="A52" s="270"/>
      <c r="B52" s="478"/>
      <c r="C52" s="472"/>
      <c r="D52" s="559"/>
      <c r="E52" s="560"/>
      <c r="F52" s="561"/>
      <c r="G52" s="562"/>
      <c r="H52" s="599"/>
      <c r="I52" s="564"/>
    </row>
    <row r="53">
      <c r="A53" s="262" t="s">
        <v>2124</v>
      </c>
      <c r="B53" s="425"/>
      <c r="C53" s="421"/>
      <c r="D53" s="566"/>
      <c r="E53" s="567"/>
      <c r="F53" s="549">
        <v>130.0</v>
      </c>
      <c r="G53" s="550" t="s">
        <v>1948</v>
      </c>
      <c r="H53" s="556"/>
      <c r="I53" s="569"/>
    </row>
    <row r="54">
      <c r="A54" s="265"/>
      <c r="B54" s="404"/>
      <c r="C54" s="399"/>
      <c r="D54" s="182"/>
      <c r="E54" s="557"/>
      <c r="F54" s="554">
        <v>220.0</v>
      </c>
      <c r="G54" s="550" t="s">
        <v>2125</v>
      </c>
      <c r="H54" s="551"/>
      <c r="I54" s="569"/>
    </row>
    <row r="55">
      <c r="A55" s="265"/>
      <c r="B55" s="404"/>
      <c r="C55" s="399"/>
      <c r="D55" s="182"/>
      <c r="E55" s="557"/>
      <c r="F55" s="554"/>
      <c r="G55" s="550"/>
      <c r="H55" s="556"/>
      <c r="I55" s="552"/>
    </row>
    <row r="56">
      <c r="A56" s="265"/>
      <c r="B56" s="404"/>
      <c r="C56" s="399"/>
      <c r="D56" s="182"/>
      <c r="E56" s="557"/>
      <c r="F56" s="554"/>
      <c r="G56" s="550"/>
      <c r="H56" s="556"/>
      <c r="I56" s="552"/>
    </row>
    <row r="57">
      <c r="A57" s="265"/>
      <c r="B57" s="440"/>
      <c r="C57" s="399"/>
      <c r="D57" s="182"/>
      <c r="E57" s="557"/>
      <c r="F57" s="558"/>
      <c r="G57" s="555"/>
      <c r="H57" s="551"/>
      <c r="I57" s="552"/>
    </row>
    <row r="58">
      <c r="A58" s="270"/>
      <c r="B58" s="470"/>
      <c r="C58" s="486"/>
      <c r="D58" s="559"/>
      <c r="E58" s="560"/>
      <c r="F58" s="561"/>
      <c r="G58" s="562"/>
      <c r="H58" s="563"/>
      <c r="I58" s="564"/>
    </row>
    <row r="59">
      <c r="A59" s="262" t="s">
        <v>2126</v>
      </c>
      <c r="B59" s="425"/>
      <c r="C59" s="421"/>
      <c r="D59" s="566"/>
      <c r="E59" s="567"/>
      <c r="F59" s="549">
        <v>300.0</v>
      </c>
      <c r="G59" s="550" t="s">
        <v>2127</v>
      </c>
      <c r="H59" s="551"/>
      <c r="I59" s="552"/>
    </row>
    <row r="60">
      <c r="A60" s="265"/>
      <c r="B60" s="404"/>
      <c r="C60" s="400"/>
      <c r="D60" s="182"/>
      <c r="E60" s="557"/>
      <c r="F60" s="554">
        <v>220.0</v>
      </c>
      <c r="G60" s="550" t="s">
        <v>1930</v>
      </c>
      <c r="H60" s="551"/>
      <c r="I60" s="552"/>
    </row>
    <row r="61">
      <c r="A61" s="265"/>
      <c r="B61" s="404"/>
      <c r="C61" s="400"/>
      <c r="D61" s="182"/>
      <c r="E61" s="557"/>
      <c r="F61" s="558"/>
      <c r="G61" s="555"/>
      <c r="H61" s="551"/>
      <c r="I61" s="552"/>
    </row>
    <row r="62">
      <c r="A62" s="265"/>
      <c r="B62" s="477"/>
      <c r="C62" s="400"/>
      <c r="D62" s="182"/>
      <c r="E62" s="576"/>
      <c r="F62" s="554"/>
      <c r="G62" s="550"/>
      <c r="H62" s="551"/>
      <c r="I62" s="552"/>
    </row>
    <row r="63">
      <c r="A63" s="265"/>
      <c r="B63" s="477"/>
      <c r="C63" s="400"/>
      <c r="D63" s="182"/>
      <c r="E63" s="576"/>
      <c r="F63" s="558"/>
      <c r="G63" s="555"/>
      <c r="H63" s="551"/>
      <c r="I63" s="552"/>
    </row>
    <row r="64">
      <c r="A64" s="270"/>
      <c r="B64" s="478"/>
      <c r="C64" s="472"/>
      <c r="D64" s="559"/>
      <c r="E64" s="560"/>
      <c r="F64" s="561"/>
      <c r="G64" s="562"/>
      <c r="H64" s="563"/>
      <c r="I64" s="564"/>
    </row>
    <row r="65">
      <c r="A65" s="262" t="s">
        <v>1018</v>
      </c>
      <c r="B65" s="419"/>
      <c r="C65" s="414"/>
      <c r="D65" s="22"/>
      <c r="E65" s="550"/>
      <c r="F65" s="554">
        <v>200.0</v>
      </c>
      <c r="G65" s="550" t="s">
        <v>2097</v>
      </c>
      <c r="H65" s="556"/>
      <c r="I65" s="552"/>
    </row>
    <row r="66">
      <c r="A66" s="265"/>
      <c r="B66" s="404"/>
      <c r="C66" s="399"/>
      <c r="D66" s="182"/>
      <c r="E66" s="557"/>
      <c r="F66" s="554">
        <v>160.0</v>
      </c>
      <c r="G66" s="550" t="s">
        <v>1930</v>
      </c>
      <c r="H66" s="556"/>
      <c r="I66" s="552"/>
    </row>
    <row r="67">
      <c r="A67" s="265"/>
      <c r="B67" s="404">
        <v>21150.0</v>
      </c>
      <c r="C67" s="399"/>
      <c r="D67" s="182"/>
      <c r="E67" s="557" t="s">
        <v>1415</v>
      </c>
      <c r="F67" s="558"/>
      <c r="G67" s="555"/>
      <c r="H67" s="551"/>
      <c r="I67" s="552"/>
    </row>
    <row r="68">
      <c r="A68" s="265"/>
      <c r="B68" s="404"/>
      <c r="C68" s="399"/>
      <c r="D68" s="182"/>
      <c r="E68" s="557"/>
      <c r="F68" s="554"/>
      <c r="G68" s="550"/>
      <c r="H68" s="556"/>
      <c r="I68" s="552"/>
    </row>
    <row r="69">
      <c r="A69" s="265"/>
      <c r="B69" s="404"/>
      <c r="C69" s="400"/>
      <c r="D69" s="182"/>
      <c r="E69" s="557"/>
      <c r="F69" s="558"/>
      <c r="G69" s="555"/>
      <c r="H69" s="551"/>
      <c r="I69" s="552"/>
    </row>
    <row r="70">
      <c r="A70" s="270"/>
      <c r="B70" s="404"/>
      <c r="C70" s="399"/>
      <c r="D70" s="182"/>
      <c r="E70" s="557"/>
      <c r="F70" s="561"/>
      <c r="G70" s="562"/>
      <c r="H70" s="563"/>
      <c r="I70" s="564"/>
    </row>
    <row r="71">
      <c r="A71" s="262" t="s">
        <v>1020</v>
      </c>
      <c r="B71" s="425"/>
      <c r="C71" s="401"/>
      <c r="D71" s="566"/>
      <c r="E71" s="567"/>
      <c r="F71" s="554">
        <v>120.0</v>
      </c>
      <c r="G71" s="550" t="s">
        <v>1948</v>
      </c>
      <c r="H71" s="604"/>
      <c r="I71" s="605"/>
      <c r="J71" s="340"/>
    </row>
    <row r="72">
      <c r="A72" s="265"/>
      <c r="B72" s="404"/>
      <c r="C72" s="400"/>
      <c r="D72" s="182"/>
      <c r="E72" s="557"/>
      <c r="F72" s="554"/>
      <c r="G72" s="550" t="s">
        <v>2128</v>
      </c>
      <c r="H72" s="556"/>
      <c r="I72" s="552"/>
    </row>
    <row r="73">
      <c r="A73" s="265"/>
      <c r="B73" s="404"/>
      <c r="C73" s="399">
        <v>170000.0</v>
      </c>
      <c r="D73" s="182"/>
      <c r="E73" s="557" t="s">
        <v>2129</v>
      </c>
      <c r="F73" s="554">
        <v>190.0</v>
      </c>
      <c r="G73" s="550" t="s">
        <v>1965</v>
      </c>
      <c r="H73" s="551"/>
      <c r="I73" s="552"/>
    </row>
    <row r="74">
      <c r="A74" s="265"/>
      <c r="B74" s="480"/>
      <c r="C74" s="400"/>
      <c r="D74" s="182"/>
      <c r="E74" s="576"/>
      <c r="F74" s="554"/>
      <c r="G74" s="550"/>
      <c r="H74" s="551"/>
      <c r="I74" s="552"/>
    </row>
    <row r="75">
      <c r="A75" s="265"/>
      <c r="B75" s="480"/>
      <c r="C75" s="400"/>
      <c r="D75" s="574"/>
      <c r="E75" s="576"/>
      <c r="F75" s="558"/>
      <c r="G75" s="555"/>
      <c r="H75" s="551"/>
      <c r="I75" s="552"/>
    </row>
    <row r="76">
      <c r="A76" s="270"/>
      <c r="B76" s="478"/>
      <c r="C76" s="472"/>
      <c r="D76" s="577"/>
      <c r="E76" s="578"/>
      <c r="F76" s="561"/>
      <c r="G76" s="562"/>
      <c r="H76" s="563"/>
      <c r="I76" s="564"/>
    </row>
    <row r="77">
      <c r="A77" s="262" t="s">
        <v>2130</v>
      </c>
      <c r="B77" s="425"/>
      <c r="C77" s="401"/>
      <c r="D77" s="566"/>
      <c r="E77" s="567"/>
      <c r="F77" s="549">
        <v>200.0</v>
      </c>
      <c r="G77" s="550" t="s">
        <v>2097</v>
      </c>
      <c r="H77" s="551"/>
      <c r="I77" s="552"/>
    </row>
    <row r="78">
      <c r="A78" s="265"/>
      <c r="B78" s="404"/>
      <c r="C78" s="400"/>
      <c r="D78" s="182"/>
      <c r="E78" s="567"/>
      <c r="F78" s="554">
        <v>150.0</v>
      </c>
      <c r="G78" s="550" t="s">
        <v>2084</v>
      </c>
      <c r="H78" s="551"/>
      <c r="I78" s="552"/>
    </row>
    <row r="79">
      <c r="A79" s="265"/>
      <c r="B79" s="404"/>
      <c r="C79" s="399"/>
      <c r="D79" s="182"/>
      <c r="E79" s="557"/>
      <c r="F79" s="558"/>
      <c r="G79" s="555"/>
      <c r="H79" s="551"/>
      <c r="I79" s="552"/>
    </row>
    <row r="80">
      <c r="A80" s="265"/>
      <c r="B80" s="440"/>
      <c r="C80" s="399"/>
      <c r="D80" s="182"/>
      <c r="E80" s="557"/>
      <c r="F80" s="554">
        <v>250.0</v>
      </c>
      <c r="G80" s="550" t="s">
        <v>2100</v>
      </c>
      <c r="H80" s="551"/>
      <c r="I80" s="552"/>
    </row>
    <row r="81">
      <c r="A81" s="265"/>
      <c r="B81" s="440"/>
      <c r="C81" s="400"/>
      <c r="D81" s="574"/>
      <c r="E81" s="557"/>
      <c r="F81" s="558"/>
      <c r="G81" s="555"/>
      <c r="H81" s="551"/>
      <c r="I81" s="552"/>
    </row>
    <row r="82">
      <c r="A82" s="270"/>
      <c r="B82" s="478"/>
      <c r="C82" s="472"/>
      <c r="D82" s="577"/>
      <c r="E82" s="578"/>
      <c r="F82" s="561"/>
      <c r="G82" s="562"/>
      <c r="H82" s="563"/>
      <c r="I82" s="564"/>
    </row>
    <row r="83">
      <c r="A83" s="262" t="s">
        <v>1023</v>
      </c>
      <c r="B83" s="461"/>
      <c r="C83" s="421"/>
      <c r="D83" s="566"/>
      <c r="E83" s="567"/>
      <c r="F83" s="549">
        <v>230.0</v>
      </c>
      <c r="G83" s="550" t="s">
        <v>2086</v>
      </c>
      <c r="H83" s="556"/>
      <c r="I83" s="569"/>
    </row>
    <row r="84">
      <c r="A84" s="265"/>
      <c r="B84" s="404"/>
      <c r="C84" s="400"/>
      <c r="D84" s="182"/>
      <c r="E84" s="557"/>
      <c r="F84" s="554">
        <v>110.0</v>
      </c>
      <c r="G84" s="550" t="s">
        <v>1930</v>
      </c>
      <c r="H84" s="551"/>
      <c r="I84" s="552"/>
    </row>
    <row r="85">
      <c r="A85" s="265"/>
      <c r="B85" s="440"/>
      <c r="C85" s="400"/>
      <c r="D85" s="182"/>
      <c r="E85" s="557"/>
      <c r="F85" s="558"/>
      <c r="G85" s="555"/>
      <c r="H85" s="551"/>
      <c r="I85" s="552"/>
    </row>
    <row r="86">
      <c r="A86" s="265"/>
      <c r="B86" s="480"/>
      <c r="C86" s="400"/>
      <c r="D86" s="574"/>
      <c r="E86" s="576"/>
      <c r="F86" s="554"/>
      <c r="G86" s="550"/>
      <c r="H86" s="551"/>
      <c r="I86" s="552"/>
    </row>
    <row r="87">
      <c r="A87" s="265"/>
      <c r="B87" s="480"/>
      <c r="C87" s="400"/>
      <c r="D87" s="574"/>
      <c r="E87" s="576"/>
      <c r="F87" s="558"/>
      <c r="G87" s="555"/>
      <c r="H87" s="551"/>
      <c r="I87" s="552"/>
    </row>
    <row r="88">
      <c r="A88" s="270"/>
      <c r="B88" s="478"/>
      <c r="C88" s="472"/>
      <c r="D88" s="577"/>
      <c r="E88" s="578"/>
      <c r="F88" s="561"/>
      <c r="G88" s="562"/>
      <c r="H88" s="563"/>
      <c r="I88" s="564"/>
    </row>
    <row r="89">
      <c r="A89" s="262" t="s">
        <v>1025</v>
      </c>
      <c r="B89" s="425"/>
      <c r="C89" s="421"/>
      <c r="D89" s="566"/>
      <c r="E89" s="557"/>
      <c r="F89" s="549">
        <v>200.0</v>
      </c>
      <c r="G89" s="550" t="s">
        <v>2086</v>
      </c>
      <c r="H89" s="556"/>
      <c r="I89" s="552"/>
    </row>
    <row r="90">
      <c r="A90" s="265"/>
      <c r="B90" s="404"/>
      <c r="C90" s="399">
        <v>380000.0</v>
      </c>
      <c r="D90" s="182"/>
      <c r="E90" s="557" t="s">
        <v>2131</v>
      </c>
      <c r="F90" s="554">
        <v>340.0</v>
      </c>
      <c r="G90" s="550" t="s">
        <v>2084</v>
      </c>
      <c r="H90" s="551"/>
      <c r="I90" s="552"/>
    </row>
    <row r="91">
      <c r="A91" s="265"/>
      <c r="B91" s="480"/>
      <c r="C91" s="400"/>
      <c r="D91" s="182"/>
      <c r="E91" s="557"/>
      <c r="F91" s="558"/>
      <c r="G91" s="555"/>
      <c r="H91" s="551"/>
      <c r="I91" s="552"/>
    </row>
    <row r="92">
      <c r="A92" s="265"/>
      <c r="B92" s="480"/>
      <c r="C92" s="400"/>
      <c r="D92" s="182"/>
      <c r="E92" s="576"/>
      <c r="F92" s="558"/>
      <c r="G92" s="555"/>
      <c r="H92" s="551"/>
      <c r="I92" s="552"/>
    </row>
    <row r="93">
      <c r="A93" s="265"/>
      <c r="B93" s="480"/>
      <c r="C93" s="400"/>
      <c r="D93" s="182"/>
      <c r="E93" s="576"/>
      <c r="F93" s="558"/>
      <c r="G93" s="555"/>
      <c r="H93" s="551"/>
      <c r="I93" s="552"/>
    </row>
    <row r="94">
      <c r="A94" s="270"/>
      <c r="B94" s="478"/>
      <c r="C94" s="472"/>
      <c r="D94" s="577"/>
      <c r="E94" s="578"/>
      <c r="F94" s="561"/>
      <c r="G94" s="562"/>
      <c r="H94" s="563"/>
      <c r="I94" s="564"/>
    </row>
    <row r="95">
      <c r="A95" s="262" t="s">
        <v>1026</v>
      </c>
      <c r="B95" s="425"/>
      <c r="C95" s="421"/>
      <c r="D95" s="566"/>
      <c r="E95" s="567"/>
      <c r="F95" s="549">
        <v>260.0</v>
      </c>
      <c r="G95" s="550" t="s">
        <v>2086</v>
      </c>
      <c r="H95" s="551"/>
      <c r="I95" s="552"/>
    </row>
    <row r="96">
      <c r="A96" s="265"/>
      <c r="B96" s="404">
        <v>13900.0</v>
      </c>
      <c r="C96" s="399"/>
      <c r="D96" s="182"/>
      <c r="E96" s="557" t="s">
        <v>2132</v>
      </c>
      <c r="F96" s="554">
        <v>360.0</v>
      </c>
      <c r="G96" s="550" t="s">
        <v>2133</v>
      </c>
      <c r="H96" s="551"/>
      <c r="I96" s="552"/>
    </row>
    <row r="97">
      <c r="A97" s="265"/>
      <c r="B97" s="404">
        <v>50000.0</v>
      </c>
      <c r="C97" s="399"/>
      <c r="D97" s="182"/>
      <c r="E97" s="557" t="s">
        <v>2134</v>
      </c>
      <c r="F97" s="558"/>
      <c r="G97" s="555"/>
      <c r="H97" s="551"/>
      <c r="I97" s="552"/>
    </row>
    <row r="98">
      <c r="A98" s="265"/>
      <c r="B98" s="477"/>
      <c r="C98" s="400"/>
      <c r="D98" s="182"/>
      <c r="E98" s="557"/>
      <c r="F98" s="554"/>
      <c r="G98" s="550"/>
      <c r="H98" s="551"/>
      <c r="I98" s="552"/>
    </row>
    <row r="99">
      <c r="A99" s="265"/>
      <c r="B99" s="477"/>
      <c r="C99" s="400"/>
      <c r="D99" s="182"/>
      <c r="E99" s="557"/>
      <c r="F99" s="554"/>
      <c r="G99" s="550"/>
      <c r="H99" s="551"/>
      <c r="I99" s="552"/>
    </row>
    <row r="100">
      <c r="A100" s="270"/>
      <c r="B100" s="478"/>
      <c r="C100" s="472"/>
      <c r="D100" s="559"/>
      <c r="E100" s="560"/>
      <c r="F100" s="561"/>
      <c r="G100" s="562"/>
      <c r="H100" s="563"/>
      <c r="I100" s="564"/>
    </row>
    <row r="101">
      <c r="A101" s="262" t="s">
        <v>1027</v>
      </c>
      <c r="B101" s="425"/>
      <c r="C101" s="399"/>
      <c r="D101" s="182"/>
      <c r="E101" s="557"/>
      <c r="F101" s="549">
        <v>300.0</v>
      </c>
      <c r="G101" s="550" t="s">
        <v>1948</v>
      </c>
      <c r="H101" s="551"/>
      <c r="I101" s="552"/>
    </row>
    <row r="102">
      <c r="A102" s="265"/>
      <c r="B102" s="404"/>
      <c r="C102" s="399"/>
      <c r="D102" s="182"/>
      <c r="E102" s="557"/>
      <c r="F102" s="554">
        <v>110.0</v>
      </c>
      <c r="G102" s="550" t="s">
        <v>2084</v>
      </c>
      <c r="H102" s="551"/>
      <c r="I102" s="552"/>
    </row>
    <row r="103">
      <c r="A103" s="265"/>
      <c r="B103" s="404"/>
      <c r="C103" s="489"/>
      <c r="D103" s="579"/>
      <c r="E103" s="580"/>
      <c r="F103" s="554"/>
      <c r="G103" s="550"/>
      <c r="H103" s="551"/>
      <c r="I103" s="552"/>
    </row>
    <row r="104">
      <c r="A104" s="265"/>
      <c r="B104" s="404"/>
      <c r="C104" s="400"/>
      <c r="D104" s="182"/>
      <c r="E104" s="557"/>
      <c r="F104" s="554"/>
      <c r="G104" s="550"/>
      <c r="H104" s="551"/>
      <c r="I104" s="552"/>
    </row>
    <row r="105">
      <c r="A105" s="265"/>
      <c r="B105" s="477"/>
      <c r="C105" s="400"/>
      <c r="D105" s="182"/>
      <c r="E105" s="576"/>
      <c r="F105" s="558"/>
      <c r="G105" s="555"/>
      <c r="H105" s="551"/>
      <c r="I105" s="552"/>
    </row>
    <row r="106">
      <c r="A106" s="270"/>
      <c r="B106" s="478"/>
      <c r="C106" s="472"/>
      <c r="D106" s="559"/>
      <c r="E106" s="560"/>
      <c r="F106" s="561"/>
      <c r="G106" s="562"/>
      <c r="H106" s="563"/>
      <c r="I106" s="564"/>
    </row>
    <row r="107">
      <c r="A107" s="262" t="s">
        <v>1028</v>
      </c>
      <c r="B107" s="425"/>
      <c r="C107" s="414"/>
      <c r="D107" s="182"/>
      <c r="E107" s="557"/>
      <c r="F107" s="549">
        <v>290.0</v>
      </c>
      <c r="G107" s="550" t="s">
        <v>2086</v>
      </c>
      <c r="H107" s="551"/>
      <c r="I107" s="552"/>
    </row>
    <row r="108">
      <c r="A108" s="265"/>
      <c r="B108" s="404"/>
      <c r="C108" s="400"/>
      <c r="D108" s="182"/>
      <c r="E108" s="557"/>
      <c r="F108" s="554">
        <v>130.0</v>
      </c>
      <c r="G108" s="550" t="s">
        <v>2084</v>
      </c>
      <c r="H108" s="551"/>
      <c r="I108" s="552"/>
    </row>
    <row r="109">
      <c r="A109" s="265"/>
      <c r="B109" s="477"/>
      <c r="C109" s="400"/>
      <c r="D109" s="182"/>
      <c r="E109" s="557"/>
      <c r="F109" s="558"/>
      <c r="G109" s="555"/>
      <c r="H109" s="551"/>
      <c r="I109" s="552"/>
    </row>
    <row r="110">
      <c r="A110" s="265"/>
      <c r="B110" s="480"/>
      <c r="C110" s="400"/>
      <c r="D110" s="182"/>
      <c r="E110" s="557"/>
      <c r="F110" s="554"/>
      <c r="G110" s="550"/>
      <c r="H110" s="551"/>
      <c r="I110" s="552"/>
    </row>
    <row r="111">
      <c r="A111" s="265"/>
      <c r="B111" s="480"/>
      <c r="C111" s="400"/>
      <c r="D111" s="574"/>
      <c r="E111" s="576"/>
      <c r="F111" s="558"/>
      <c r="G111" s="550"/>
      <c r="H111" s="551"/>
      <c r="I111" s="552"/>
    </row>
    <row r="112">
      <c r="A112" s="270"/>
      <c r="B112" s="478"/>
      <c r="C112" s="472"/>
      <c r="D112" s="577"/>
      <c r="E112" s="578"/>
      <c r="F112" s="561"/>
      <c r="G112" s="562"/>
      <c r="H112" s="563"/>
      <c r="I112" s="564"/>
    </row>
    <row r="113">
      <c r="A113" s="262" t="s">
        <v>2135</v>
      </c>
      <c r="B113" s="425"/>
      <c r="C113" s="401"/>
      <c r="D113" s="566"/>
      <c r="E113" s="567"/>
      <c r="F113" s="549">
        <v>230.0</v>
      </c>
      <c r="G113" s="550" t="s">
        <v>2136</v>
      </c>
      <c r="H113" s="556"/>
      <c r="I113" s="552"/>
    </row>
    <row r="114">
      <c r="A114" s="265"/>
      <c r="B114" s="477"/>
      <c r="C114" s="400"/>
      <c r="D114" s="182"/>
      <c r="E114" s="557"/>
      <c r="F114" s="554">
        <v>150.0</v>
      </c>
      <c r="G114" s="550" t="s">
        <v>1930</v>
      </c>
      <c r="H114" s="551"/>
      <c r="I114" s="552"/>
    </row>
    <row r="115">
      <c r="A115" s="265"/>
      <c r="B115" s="477"/>
      <c r="C115" s="400"/>
      <c r="D115" s="182"/>
      <c r="E115" s="557"/>
      <c r="F115" s="554">
        <v>110.0</v>
      </c>
      <c r="G115" s="550" t="s">
        <v>1473</v>
      </c>
      <c r="H115" s="551"/>
      <c r="I115" s="552"/>
    </row>
    <row r="116">
      <c r="A116" s="265"/>
      <c r="B116" s="477"/>
      <c r="C116" s="400"/>
      <c r="D116" s="182"/>
      <c r="E116" s="557"/>
      <c r="F116" s="554"/>
      <c r="G116" s="550"/>
      <c r="H116" s="551"/>
      <c r="I116" s="552"/>
    </row>
    <row r="117">
      <c r="A117" s="265"/>
      <c r="B117" s="477"/>
      <c r="C117" s="400"/>
      <c r="D117" s="182"/>
      <c r="E117" s="576"/>
      <c r="F117" s="558"/>
      <c r="G117" s="555"/>
      <c r="H117" s="551"/>
      <c r="I117" s="552"/>
    </row>
    <row r="118">
      <c r="A118" s="270"/>
      <c r="B118" s="478"/>
      <c r="C118" s="472"/>
      <c r="D118" s="577"/>
      <c r="E118" s="578"/>
      <c r="F118" s="561"/>
      <c r="G118" s="562"/>
      <c r="H118" s="563"/>
      <c r="I118" s="564"/>
    </row>
    <row r="119">
      <c r="A119" s="262" t="s">
        <v>1156</v>
      </c>
      <c r="B119" s="425"/>
      <c r="C119" s="401"/>
      <c r="D119" s="182"/>
      <c r="E119" s="557"/>
      <c r="F119" s="549">
        <v>280.0</v>
      </c>
      <c r="G119" s="550" t="s">
        <v>1948</v>
      </c>
      <c r="H119" s="556"/>
      <c r="I119" s="552"/>
    </row>
    <row r="120">
      <c r="A120" s="265"/>
      <c r="B120" s="404"/>
      <c r="C120" s="400"/>
      <c r="D120" s="182"/>
      <c r="E120" s="557"/>
      <c r="F120" s="554">
        <v>400.0</v>
      </c>
      <c r="G120" s="550" t="s">
        <v>1930</v>
      </c>
      <c r="H120" s="551"/>
      <c r="I120" s="552"/>
    </row>
    <row r="121">
      <c r="A121" s="265"/>
      <c r="B121" s="404"/>
      <c r="C121" s="400"/>
      <c r="D121" s="182"/>
      <c r="E121" s="557"/>
      <c r="F121" s="554"/>
      <c r="G121" s="550"/>
      <c r="H121" s="551"/>
      <c r="I121" s="552"/>
    </row>
    <row r="122">
      <c r="A122" s="265"/>
      <c r="B122" s="477"/>
      <c r="C122" s="400"/>
      <c r="D122" s="182"/>
      <c r="E122" s="557"/>
      <c r="F122" s="554"/>
      <c r="G122" s="550"/>
      <c r="H122" s="581"/>
      <c r="I122" s="582"/>
    </row>
    <row r="123">
      <c r="A123" s="265"/>
      <c r="B123" s="477"/>
      <c r="C123" s="400"/>
      <c r="D123" s="182"/>
      <c r="E123" s="576"/>
      <c r="F123" s="558"/>
      <c r="G123" s="555"/>
      <c r="H123" s="551"/>
      <c r="I123" s="552"/>
    </row>
    <row r="124">
      <c r="A124" s="270"/>
      <c r="B124" s="478"/>
      <c r="C124" s="472"/>
      <c r="D124" s="577"/>
      <c r="E124" s="578"/>
      <c r="F124" s="561"/>
      <c r="G124" s="562"/>
      <c r="H124" s="563"/>
      <c r="I124" s="564"/>
    </row>
    <row r="125">
      <c r="A125" s="262" t="s">
        <v>1032</v>
      </c>
      <c r="B125" s="425"/>
      <c r="C125" s="421"/>
      <c r="D125" s="566"/>
      <c r="E125" s="567"/>
      <c r="F125" s="549">
        <v>170.0</v>
      </c>
      <c r="G125" s="550" t="s">
        <v>1948</v>
      </c>
      <c r="H125" s="556"/>
      <c r="I125" s="569"/>
    </row>
    <row r="126">
      <c r="A126" s="265"/>
      <c r="B126" s="404"/>
      <c r="C126" s="399"/>
      <c r="D126" s="182"/>
      <c r="E126" s="576"/>
      <c r="F126" s="554">
        <v>170.0</v>
      </c>
      <c r="G126" s="550" t="s">
        <v>1930</v>
      </c>
      <c r="H126" s="551"/>
      <c r="I126" s="569"/>
    </row>
    <row r="127">
      <c r="A127" s="265"/>
      <c r="B127" s="404"/>
      <c r="C127" s="400"/>
      <c r="D127" s="182"/>
      <c r="E127" s="576"/>
      <c r="F127" s="554"/>
      <c r="G127" s="550"/>
      <c r="H127" s="551"/>
      <c r="I127" s="552"/>
    </row>
    <row r="128">
      <c r="A128" s="265"/>
      <c r="B128" s="404"/>
      <c r="C128" s="400"/>
      <c r="D128" s="182"/>
      <c r="E128" s="576"/>
      <c r="F128" s="558"/>
      <c r="G128" s="555"/>
      <c r="H128" s="551"/>
      <c r="I128" s="552"/>
    </row>
    <row r="129">
      <c r="A129" s="265"/>
      <c r="B129" s="404"/>
      <c r="C129" s="399"/>
      <c r="D129" s="182"/>
      <c r="E129" s="576"/>
      <c r="F129" s="558"/>
      <c r="G129" s="555"/>
      <c r="H129" s="551"/>
      <c r="I129" s="552"/>
    </row>
    <row r="130">
      <c r="A130" s="270"/>
      <c r="B130" s="478"/>
      <c r="C130" s="472"/>
      <c r="D130" s="559"/>
      <c r="E130" s="560"/>
      <c r="F130" s="561"/>
      <c r="G130" s="562"/>
      <c r="H130" s="563"/>
      <c r="I130" s="564"/>
    </row>
    <row r="131">
      <c r="A131" s="262" t="s">
        <v>1035</v>
      </c>
      <c r="B131" s="425"/>
      <c r="C131" s="401"/>
      <c r="D131" s="566"/>
      <c r="E131" s="567"/>
      <c r="F131" s="549">
        <v>160.0</v>
      </c>
      <c r="G131" s="550" t="s">
        <v>1988</v>
      </c>
      <c r="H131" s="556"/>
      <c r="I131" s="569"/>
    </row>
    <row r="132">
      <c r="A132" s="265"/>
      <c r="B132" s="477"/>
      <c r="C132" s="399"/>
      <c r="D132" s="182"/>
      <c r="E132" s="557"/>
      <c r="F132" s="554"/>
      <c r="G132" s="550"/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65"/>
      <c r="B134" s="477"/>
      <c r="C134" s="400"/>
      <c r="D134" s="182"/>
      <c r="E134" s="576"/>
      <c r="F134" s="554"/>
      <c r="G134" s="550"/>
      <c r="H134" s="551"/>
      <c r="I134" s="552"/>
    </row>
    <row r="135">
      <c r="A135" s="265"/>
      <c r="B135" s="477"/>
      <c r="C135" s="400"/>
      <c r="D135" s="182"/>
      <c r="E135" s="576"/>
      <c r="F135" s="558"/>
      <c r="G135" s="555"/>
      <c r="H135" s="551"/>
      <c r="I135" s="552"/>
    </row>
    <row r="136">
      <c r="A136" s="270"/>
      <c r="B136" s="478"/>
      <c r="C136" s="472"/>
      <c r="D136" s="577"/>
      <c r="E136" s="578"/>
      <c r="F136" s="561"/>
      <c r="G136" s="562"/>
      <c r="H136" s="563"/>
      <c r="I136" s="564"/>
    </row>
    <row r="137">
      <c r="A137" s="262" t="s">
        <v>1036</v>
      </c>
      <c r="B137" s="425"/>
      <c r="C137" s="401"/>
      <c r="D137" s="566"/>
      <c r="E137" s="550"/>
      <c r="F137" s="549"/>
      <c r="G137" s="550" t="s">
        <v>2137</v>
      </c>
      <c r="H137" s="551"/>
      <c r="I137" s="552"/>
    </row>
    <row r="138">
      <c r="A138" s="265"/>
      <c r="B138" s="477"/>
      <c r="C138" s="399"/>
      <c r="D138" s="182"/>
      <c r="E138" s="576"/>
      <c r="F138" s="554"/>
      <c r="G138" s="550"/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65"/>
      <c r="B140" s="404"/>
      <c r="C140" s="400"/>
      <c r="D140" s="182"/>
      <c r="E140" s="576"/>
      <c r="F140" s="554"/>
      <c r="G140" s="550"/>
      <c r="H140" s="551"/>
      <c r="I140" s="552"/>
    </row>
    <row r="141">
      <c r="A141" s="265"/>
      <c r="B141" s="477"/>
      <c r="C141" s="400"/>
      <c r="D141" s="182"/>
      <c r="E141" s="576"/>
      <c r="F141" s="558"/>
      <c r="G141" s="555"/>
      <c r="H141" s="551"/>
      <c r="I141" s="552"/>
    </row>
    <row r="142">
      <c r="A142" s="270"/>
      <c r="B142" s="478"/>
      <c r="C142" s="472"/>
      <c r="D142" s="577"/>
      <c r="E142" s="578"/>
      <c r="F142" s="561"/>
      <c r="G142" s="562"/>
      <c r="H142" s="563"/>
      <c r="I142" s="564"/>
    </row>
    <row r="143">
      <c r="A143" s="280" t="s">
        <v>1039</v>
      </c>
      <c r="B143" s="425"/>
      <c r="C143" s="401"/>
      <c r="D143" s="566"/>
      <c r="E143" s="557"/>
      <c r="F143" s="549">
        <v>200.0</v>
      </c>
      <c r="G143" s="550" t="s">
        <v>1912</v>
      </c>
      <c r="H143" s="556"/>
      <c r="I143" s="569"/>
    </row>
    <row r="144">
      <c r="A144" s="265"/>
      <c r="B144" s="404"/>
      <c r="C144" s="399"/>
      <c r="D144" s="182"/>
      <c r="E144" s="557"/>
      <c r="F144" s="554"/>
      <c r="G144" s="550"/>
      <c r="H144" s="551"/>
      <c r="I144" s="552"/>
    </row>
    <row r="145">
      <c r="A145" s="265"/>
      <c r="B145" s="404"/>
      <c r="C145" s="399"/>
      <c r="D145" s="182"/>
      <c r="E145" s="557"/>
      <c r="F145" s="554"/>
      <c r="G145" s="555"/>
      <c r="H145" s="551"/>
      <c r="I145" s="552"/>
    </row>
    <row r="146">
      <c r="A146" s="265"/>
      <c r="B146" s="404"/>
      <c r="C146" s="399"/>
      <c r="D146" s="182"/>
      <c r="E146" s="557"/>
      <c r="F146" s="554"/>
      <c r="G146" s="550"/>
      <c r="H146" s="551"/>
      <c r="I146" s="552"/>
    </row>
    <row r="147">
      <c r="A147" s="270"/>
      <c r="B147" s="404"/>
      <c r="C147" s="399"/>
      <c r="D147" s="182"/>
      <c r="E147" s="557"/>
      <c r="F147" s="554"/>
      <c r="G147" s="555"/>
      <c r="H147" s="551"/>
      <c r="I147" s="552"/>
    </row>
    <row r="148">
      <c r="A148" s="452"/>
      <c r="B148" s="404"/>
      <c r="C148" s="399"/>
      <c r="D148" s="182"/>
      <c r="E148" s="557"/>
      <c r="F148" s="554"/>
      <c r="G148" s="562"/>
      <c r="H148" s="563"/>
      <c r="I148" s="564"/>
    </row>
    <row r="149">
      <c r="A149" s="280" t="s">
        <v>2138</v>
      </c>
      <c r="B149" s="461"/>
      <c r="C149" s="421"/>
      <c r="D149" s="583"/>
      <c r="E149" s="584"/>
      <c r="F149" s="549">
        <v>200.0</v>
      </c>
      <c r="G149" s="550" t="s">
        <v>1905</v>
      </c>
      <c r="H149" s="556"/>
      <c r="I149" s="552"/>
    </row>
    <row r="150">
      <c r="A150" s="265"/>
      <c r="B150" s="404"/>
      <c r="C150" s="399"/>
      <c r="D150" s="182"/>
      <c r="E150" s="557"/>
      <c r="F150" s="554">
        <v>340.0</v>
      </c>
      <c r="G150" s="550" t="s">
        <v>2139</v>
      </c>
      <c r="H150" s="551"/>
      <c r="I150" s="552"/>
    </row>
    <row r="151">
      <c r="A151" s="265"/>
      <c r="B151" s="477"/>
      <c r="C151" s="399"/>
      <c r="D151" s="182"/>
      <c r="E151" s="557"/>
      <c r="F151" s="554"/>
      <c r="G151" s="555"/>
      <c r="H151" s="551"/>
      <c r="I151" s="552"/>
    </row>
    <row r="152">
      <c r="A152" s="265"/>
      <c r="B152" s="477"/>
      <c r="C152" s="399"/>
      <c r="D152" s="182"/>
      <c r="E152" s="576"/>
      <c r="F152" s="554">
        <v>130.0</v>
      </c>
      <c r="G152" s="550" t="s">
        <v>1991</v>
      </c>
      <c r="H152" s="551"/>
      <c r="I152" s="552"/>
    </row>
    <row r="153">
      <c r="A153" s="265"/>
      <c r="B153" s="404"/>
      <c r="C153" s="399"/>
      <c r="D153" s="182"/>
      <c r="E153" s="576"/>
      <c r="F153" s="554"/>
      <c r="G153" s="555"/>
      <c r="H153" s="551"/>
      <c r="I153" s="552"/>
    </row>
    <row r="154">
      <c r="A154" s="270"/>
      <c r="B154" s="478"/>
      <c r="C154" s="462"/>
      <c r="D154" s="577"/>
      <c r="E154" s="560"/>
      <c r="F154" s="561"/>
      <c r="G154" s="562"/>
      <c r="H154" s="563"/>
      <c r="I154" s="564"/>
    </row>
    <row r="155">
      <c r="A155" s="299" t="s">
        <v>1042</v>
      </c>
      <c r="B155" s="440"/>
      <c r="C155" s="462"/>
      <c r="D155" s="182"/>
      <c r="E155" s="557"/>
      <c r="F155" s="554">
        <v>110.0</v>
      </c>
      <c r="G155" s="550" t="s">
        <v>2140</v>
      </c>
      <c r="H155" s="551"/>
      <c r="I155" s="552"/>
    </row>
    <row r="156">
      <c r="B156" s="440">
        <v>91301.76</v>
      </c>
      <c r="C156" s="462"/>
      <c r="D156" s="574"/>
      <c r="E156" s="557" t="s">
        <v>2113</v>
      </c>
      <c r="F156" s="554">
        <v>130.0</v>
      </c>
      <c r="G156" s="550" t="s">
        <v>1906</v>
      </c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B158" s="480"/>
      <c r="C158" s="462"/>
      <c r="D158" s="574"/>
      <c r="E158" s="576"/>
      <c r="F158" s="554"/>
      <c r="G158" s="550"/>
      <c r="H158" s="551"/>
      <c r="I158" s="552"/>
    </row>
    <row r="159">
      <c r="B159" s="480"/>
      <c r="C159" s="462"/>
      <c r="D159" s="574"/>
      <c r="E159" s="576"/>
      <c r="F159" s="558"/>
      <c r="G159" s="555"/>
      <c r="H159" s="551"/>
      <c r="I159" s="552"/>
    </row>
    <row r="160">
      <c r="A160" s="585"/>
      <c r="B160" s="271"/>
      <c r="C160" s="586"/>
      <c r="D160" s="587"/>
      <c r="E160" s="588"/>
      <c r="F160" s="561"/>
      <c r="G160" s="562"/>
      <c r="H160" s="563"/>
      <c r="I160" s="564"/>
    </row>
    <row r="161">
      <c r="A161" s="299" t="s">
        <v>1043</v>
      </c>
      <c r="B161" s="440"/>
      <c r="C161" s="462"/>
      <c r="D161" s="182"/>
      <c r="E161" s="557"/>
      <c r="F161" s="554">
        <v>100.0</v>
      </c>
      <c r="G161" s="550" t="s">
        <v>2141</v>
      </c>
      <c r="H161" s="551"/>
      <c r="I161" s="552"/>
    </row>
    <row r="162">
      <c r="B162" s="480"/>
      <c r="C162" s="462"/>
      <c r="D162" s="574"/>
      <c r="E162" s="576"/>
      <c r="F162" s="554">
        <v>220.0</v>
      </c>
      <c r="G162" s="550" t="s">
        <v>1906</v>
      </c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B164" s="480"/>
      <c r="C164" s="462"/>
      <c r="D164" s="574"/>
      <c r="E164" s="576"/>
      <c r="F164" s="558"/>
      <c r="G164" s="555"/>
      <c r="H164" s="551"/>
      <c r="I164" s="552"/>
    </row>
    <row r="165">
      <c r="B165" s="480"/>
      <c r="C165" s="462"/>
      <c r="D165" s="574"/>
      <c r="E165" s="576"/>
      <c r="F165" s="558"/>
      <c r="G165" s="555"/>
      <c r="H165" s="551"/>
      <c r="I165" s="552"/>
    </row>
    <row r="166">
      <c r="A166" s="585"/>
      <c r="B166" s="271"/>
      <c r="C166" s="586"/>
      <c r="D166" s="587"/>
      <c r="E166" s="588"/>
      <c r="F166" s="561"/>
      <c r="G166" s="562"/>
      <c r="H166" s="563"/>
      <c r="I166" s="564"/>
    </row>
    <row r="167">
      <c r="A167" s="299" t="s">
        <v>1045</v>
      </c>
      <c r="B167" s="440"/>
      <c r="C167" s="462"/>
      <c r="D167" s="182"/>
      <c r="E167" s="557"/>
      <c r="F167" s="554">
        <v>100.0</v>
      </c>
      <c r="G167" s="550" t="s">
        <v>1978</v>
      </c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B170" s="480"/>
      <c r="C170" s="462"/>
      <c r="D170" s="574"/>
      <c r="E170" s="576"/>
      <c r="F170" s="558"/>
      <c r="G170" s="555"/>
      <c r="H170" s="551"/>
      <c r="I170" s="552"/>
    </row>
    <row r="171">
      <c r="B171" s="480"/>
      <c r="C171" s="462"/>
      <c r="D171" s="574"/>
      <c r="E171" s="576"/>
      <c r="F171" s="558"/>
      <c r="G171" s="555"/>
      <c r="H171" s="551"/>
      <c r="I171" s="552"/>
    </row>
    <row r="172">
      <c r="A172" s="585"/>
      <c r="B172" s="271"/>
      <c r="C172" s="586"/>
      <c r="D172" s="587"/>
      <c r="E172" s="588"/>
      <c r="F172" s="561"/>
      <c r="G172" s="562"/>
      <c r="H172" s="563"/>
      <c r="I172" s="564"/>
    </row>
    <row r="173">
      <c r="A173" s="299" t="s">
        <v>2142</v>
      </c>
      <c r="B173" s="440"/>
      <c r="C173" s="462"/>
      <c r="D173" s="182"/>
      <c r="E173" s="557"/>
      <c r="F173" s="554">
        <v>270.0</v>
      </c>
      <c r="G173" s="550" t="s">
        <v>2143</v>
      </c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B176" s="480"/>
      <c r="C176" s="462"/>
      <c r="D176" s="574"/>
      <c r="E176" s="576"/>
      <c r="F176" s="558"/>
      <c r="G176" s="555"/>
      <c r="H176" s="551"/>
      <c r="I176" s="552"/>
    </row>
    <row r="177">
      <c r="B177" s="480"/>
      <c r="C177" s="462"/>
      <c r="D177" s="574"/>
      <c r="E177" s="576"/>
      <c r="F177" s="558"/>
      <c r="G177" s="555"/>
      <c r="H177" s="551"/>
      <c r="I177" s="552"/>
    </row>
    <row r="178">
      <c r="A178" s="585"/>
      <c r="B178" s="271"/>
      <c r="C178" s="586"/>
      <c r="D178" s="587"/>
      <c r="E178" s="588"/>
      <c r="F178" s="561"/>
      <c r="G178" s="562"/>
      <c r="H178" s="563"/>
      <c r="I178" s="564"/>
    </row>
    <row r="179">
      <c r="A179" s="606" t="s">
        <v>2144</v>
      </c>
      <c r="B179" s="600"/>
      <c r="C179" s="607"/>
      <c r="D179" s="566"/>
      <c r="E179" s="567"/>
      <c r="F179" s="549">
        <v>160.0</v>
      </c>
      <c r="G179" s="548" t="s">
        <v>1948</v>
      </c>
      <c r="H179" s="609"/>
      <c r="I179" s="610"/>
    </row>
    <row r="180">
      <c r="A180" s="611"/>
      <c r="B180" s="480"/>
      <c r="C180" s="462"/>
      <c r="D180" s="574"/>
      <c r="E180" s="576"/>
      <c r="F180" s="558"/>
      <c r="G180" s="550" t="s">
        <v>2145</v>
      </c>
      <c r="H180" s="551"/>
      <c r="I180" s="612"/>
    </row>
    <row r="181">
      <c r="A181" s="611"/>
      <c r="B181" s="480"/>
      <c r="C181" s="462"/>
      <c r="D181" s="574"/>
      <c r="E181" s="576"/>
      <c r="F181" s="558"/>
      <c r="G181" s="550" t="s">
        <v>1930</v>
      </c>
      <c r="H181" s="551"/>
      <c r="I181" s="612"/>
    </row>
    <row r="182">
      <c r="A182" s="611"/>
      <c r="B182" s="480"/>
      <c r="C182" s="462"/>
      <c r="D182" s="574"/>
      <c r="E182" s="576"/>
      <c r="F182" s="558"/>
      <c r="G182" s="550" t="s">
        <v>1473</v>
      </c>
      <c r="H182" s="551"/>
      <c r="I182" s="612"/>
    </row>
    <row r="183">
      <c r="A183" s="613"/>
      <c r="B183" s="478"/>
      <c r="C183" s="614"/>
      <c r="D183" s="577"/>
      <c r="E183" s="578"/>
      <c r="F183" s="561"/>
      <c r="G183" s="562"/>
      <c r="H183" s="563"/>
      <c r="I183" s="615"/>
    </row>
    <row r="184">
      <c r="A184" s="606"/>
      <c r="B184" s="600"/>
      <c r="C184" s="607"/>
      <c r="D184" s="566"/>
      <c r="E184" s="567"/>
      <c r="F184" s="597"/>
      <c r="G184" s="608"/>
      <c r="H184" s="609"/>
      <c r="I184" s="610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1"/>
      <c r="B186" s="480"/>
      <c r="C186" s="462"/>
      <c r="D186" s="574"/>
      <c r="E186" s="576"/>
      <c r="F186" s="558"/>
      <c r="G186" s="555"/>
      <c r="H186" s="551"/>
      <c r="I186" s="612"/>
    </row>
    <row r="187">
      <c r="A187" s="611"/>
      <c r="B187" s="480"/>
      <c r="C187" s="462"/>
      <c r="D187" s="574"/>
      <c r="E187" s="576"/>
      <c r="F187" s="558"/>
      <c r="G187" s="555"/>
      <c r="H187" s="551"/>
      <c r="I187" s="612"/>
    </row>
    <row r="188">
      <c r="A188" s="613"/>
      <c r="B188" s="478">
        <f>SUM(B2:B187)</f>
        <v>223467.76</v>
      </c>
      <c r="C188" s="614">
        <f>SUM(C20:C187)</f>
        <v>721000</v>
      </c>
      <c r="D188" s="577"/>
      <c r="E188" s="578"/>
      <c r="F188" s="561"/>
      <c r="G188" s="562"/>
      <c r="H188" s="563"/>
      <c r="I188" s="615"/>
    </row>
    <row r="189">
      <c r="A189" s="299"/>
      <c r="B189" s="440"/>
      <c r="C189" s="462"/>
      <c r="D189" s="182"/>
      <c r="E189" s="557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B192" s="480"/>
      <c r="C192" s="462"/>
      <c r="D192" s="574"/>
      <c r="E192" s="576"/>
      <c r="F192" s="558"/>
      <c r="G192" s="555"/>
      <c r="H192" s="551"/>
      <c r="I192" s="552"/>
    </row>
    <row r="193">
      <c r="B193" s="480"/>
      <c r="C193" s="462"/>
      <c r="D193" s="574"/>
      <c r="E193" s="576"/>
      <c r="F193" s="558"/>
      <c r="G193" s="555"/>
      <c r="H193" s="551"/>
      <c r="I193" s="552"/>
    </row>
    <row r="194">
      <c r="A194" s="585"/>
      <c r="B194" s="271"/>
      <c r="C194" s="586"/>
      <c r="D194" s="587"/>
      <c r="E194" s="588"/>
      <c r="F194" s="561"/>
      <c r="G194" s="562"/>
      <c r="H194" s="563"/>
      <c r="I194" s="564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3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3"/>
      <c r="B198" s="268"/>
      <c r="C198" s="253"/>
      <c r="D198" s="366"/>
      <c r="E198" s="555"/>
      <c r="F198" s="558"/>
      <c r="G198" s="555"/>
      <c r="H198" s="551"/>
      <c r="I198" s="552"/>
    </row>
    <row r="199">
      <c r="A199" s="304"/>
      <c r="B199" s="268"/>
      <c r="C199" s="253"/>
      <c r="D199" s="366"/>
      <c r="E199" s="555"/>
      <c r="F199" s="558"/>
      <c r="G199" s="555"/>
      <c r="H199" s="551"/>
      <c r="I199" s="552"/>
    </row>
    <row r="200">
      <c r="A200" s="305"/>
      <c r="B200" s="271"/>
      <c r="C200" s="273"/>
      <c r="D200" s="587"/>
      <c r="E200" s="562"/>
      <c r="F200" s="561"/>
      <c r="G200" s="555"/>
      <c r="H200" s="551"/>
      <c r="I200" s="552"/>
    </row>
    <row r="201">
      <c r="A201" s="265"/>
      <c r="B201" s="306"/>
      <c r="C201" s="241"/>
      <c r="D201" s="583"/>
      <c r="E201" s="548"/>
      <c r="F201" s="597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65"/>
      <c r="B207" s="268"/>
      <c r="C207" s="253"/>
      <c r="D207" s="366"/>
      <c r="E207" s="555"/>
      <c r="F207" s="558"/>
      <c r="G207" s="555"/>
      <c r="H207" s="551"/>
      <c r="I207" s="552"/>
    </row>
    <row r="208">
      <c r="A208" s="265"/>
      <c r="B208" s="268"/>
      <c r="C208" s="253"/>
      <c r="D208" s="366"/>
      <c r="E208" s="555"/>
      <c r="F208" s="558"/>
      <c r="G208" s="555"/>
      <c r="H208" s="551"/>
      <c r="I208" s="552"/>
    </row>
    <row r="209">
      <c r="A209" s="270"/>
      <c r="B209" s="268"/>
      <c r="C209" s="253"/>
      <c r="D209" s="366"/>
      <c r="E209" s="555"/>
      <c r="F209" s="558"/>
      <c r="G209" s="555"/>
      <c r="H209" s="551"/>
      <c r="I209" s="552"/>
    </row>
    <row r="210">
      <c r="B210" s="271"/>
      <c r="C210" s="273"/>
      <c r="D210" s="587"/>
      <c r="E210" s="562"/>
      <c r="F210" s="561"/>
      <c r="G210" s="555"/>
      <c r="H210" s="551"/>
      <c r="I210" s="552"/>
    </row>
    <row r="211">
      <c r="B211" s="306"/>
      <c r="C211" s="241"/>
      <c r="D211" s="583"/>
      <c r="E211" s="548"/>
      <c r="F211" s="597"/>
      <c r="G211" s="555"/>
      <c r="H211" s="551"/>
      <c r="I211" s="552"/>
    </row>
    <row r="212">
      <c r="B212" s="268"/>
      <c r="C212" s="253"/>
      <c r="D212" s="366"/>
      <c r="E212" s="555"/>
      <c r="F212" s="558"/>
      <c r="G212" s="555"/>
      <c r="H212" s="551"/>
      <c r="I212" s="552"/>
    </row>
    <row r="213">
      <c r="B213" s="268"/>
      <c r="C213" s="253"/>
      <c r="D213" s="366"/>
      <c r="E213" s="555"/>
      <c r="F213" s="558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  <row r="518">
      <c r="B518" s="308"/>
      <c r="C518" s="253"/>
      <c r="D518" s="598"/>
      <c r="E518" s="555"/>
      <c r="F518" s="572"/>
      <c r="G518" s="555"/>
      <c r="H518" s="551"/>
      <c r="I518" s="552"/>
    </row>
    <row r="519">
      <c r="B519" s="308"/>
      <c r="C519" s="253"/>
      <c r="D519" s="598"/>
      <c r="E519" s="555"/>
      <c r="F519" s="572"/>
      <c r="G519" s="555"/>
      <c r="H519" s="551"/>
      <c r="I519" s="552"/>
    </row>
  </sheetData>
  <mergeCells count="33">
    <mergeCell ref="A2:A7"/>
    <mergeCell ref="A8:A14"/>
    <mergeCell ref="A15:A19"/>
    <mergeCell ref="A20:A25"/>
    <mergeCell ref="A26:A31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2"/>
    <mergeCell ref="A113:A118"/>
    <mergeCell ref="A119:A124"/>
    <mergeCell ref="A125:A130"/>
    <mergeCell ref="A173:A177"/>
    <mergeCell ref="A179:A183"/>
    <mergeCell ref="A184:A188"/>
    <mergeCell ref="A189:A193"/>
    <mergeCell ref="A200:A209"/>
    <mergeCell ref="A131:A136"/>
    <mergeCell ref="A137:A142"/>
    <mergeCell ref="A143:A147"/>
    <mergeCell ref="A149:A154"/>
    <mergeCell ref="A155:A159"/>
    <mergeCell ref="A161:A165"/>
    <mergeCell ref="A167:A1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13.25"/>
    <col customWidth="1" min="3" max="3" width="9.13"/>
    <col customWidth="1" min="4" max="5" width="7.75"/>
    <col customWidth="1" min="6" max="6" width="8.0"/>
    <col customWidth="1" min="7" max="7" width="9.13"/>
    <col customWidth="1" min="8" max="9" width="10.75"/>
    <col customWidth="1" min="10" max="12" width="9.13"/>
    <col customWidth="1" min="13" max="13" width="16.88"/>
    <col customWidth="1" min="14" max="14" width="11.38"/>
    <col customWidth="1" min="15" max="15" width="12.13"/>
    <col customWidth="1" min="16" max="36" width="9.13"/>
  </cols>
  <sheetData>
    <row r="1" ht="25.5" customHeight="1">
      <c r="A1" s="6" t="s">
        <v>736</v>
      </c>
      <c r="B1" s="6" t="s">
        <v>9</v>
      </c>
      <c r="C1" s="7" t="s">
        <v>10</v>
      </c>
      <c r="D1" s="8" t="s">
        <v>11</v>
      </c>
      <c r="E1" s="9" t="s">
        <v>12</v>
      </c>
      <c r="F1" s="10" t="s">
        <v>13</v>
      </c>
      <c r="G1" s="6" t="s">
        <v>14</v>
      </c>
      <c r="H1" s="11" t="s">
        <v>2146</v>
      </c>
      <c r="I1" s="11" t="s">
        <v>2147</v>
      </c>
      <c r="J1" s="12" t="s">
        <v>16</v>
      </c>
      <c r="K1" s="13" t="s">
        <v>17</v>
      </c>
      <c r="L1" s="14" t="s">
        <v>18</v>
      </c>
      <c r="M1" s="15" t="s">
        <v>57</v>
      </c>
      <c r="N1" s="16" t="s">
        <v>751</v>
      </c>
      <c r="O1" s="6"/>
      <c r="P1" s="6"/>
      <c r="R1" s="6"/>
      <c r="S1" s="6"/>
      <c r="T1" s="6"/>
      <c r="U1" s="6"/>
      <c r="V1" s="6"/>
      <c r="W1" s="6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hidden="1">
      <c r="A2" s="343" t="s">
        <v>21</v>
      </c>
      <c r="B2" s="21">
        <v>45292.0</v>
      </c>
      <c r="C2" s="22"/>
      <c r="D2" s="23"/>
      <c r="E2" s="24"/>
      <c r="F2" s="25"/>
      <c r="G2" s="101"/>
      <c r="H2" s="27"/>
      <c r="I2" s="27"/>
      <c r="J2" s="28"/>
      <c r="K2" s="29"/>
      <c r="L2" s="30"/>
      <c r="M2" s="31"/>
      <c r="N2" s="32"/>
      <c r="O2" s="33"/>
      <c r="P2" s="34"/>
      <c r="Q2" s="35"/>
      <c r="R2" s="33"/>
      <c r="S2" s="33"/>
      <c r="T2" s="35"/>
      <c r="U2" s="35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hidden="1">
      <c r="A3" s="344" t="s">
        <v>22</v>
      </c>
      <c r="B3" s="21">
        <v>45293.0</v>
      </c>
      <c r="C3" s="22">
        <v>566040.0</v>
      </c>
      <c r="D3" s="23">
        <v>358700.0</v>
      </c>
      <c r="E3" s="24">
        <v>3900.0</v>
      </c>
      <c r="F3" s="25">
        <v>7500.0</v>
      </c>
      <c r="G3" s="101">
        <f>8400+186800</f>
        <v>195200</v>
      </c>
      <c r="H3" s="27">
        <v>132856.0</v>
      </c>
      <c r="I3" s="27"/>
      <c r="J3" s="28">
        <v>33700.0</v>
      </c>
      <c r="K3" s="29">
        <v>61300.0</v>
      </c>
      <c r="L3" s="30">
        <v>163640.0</v>
      </c>
      <c r="M3" s="31"/>
      <c r="N3" s="39"/>
      <c r="O3" s="33"/>
      <c r="P3" s="40"/>
      <c r="Q3" s="35"/>
      <c r="R3" s="33"/>
      <c r="S3" s="33"/>
      <c r="T3" s="35"/>
      <c r="U3" s="35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hidden="1">
      <c r="A4" s="344" t="s">
        <v>23</v>
      </c>
      <c r="B4" s="41">
        <v>45294.0</v>
      </c>
      <c r="C4" s="22">
        <v>531340.0</v>
      </c>
      <c r="D4" s="23">
        <v>408580.0</v>
      </c>
      <c r="E4" s="24">
        <v>3900.0</v>
      </c>
      <c r="F4" s="25">
        <v>10400.0</v>
      </c>
      <c r="G4" s="101">
        <f>135000+7000</f>
        <v>142000</v>
      </c>
      <c r="H4" s="27">
        <v>152707.0</v>
      </c>
      <c r="I4" s="27"/>
      <c r="J4" s="28"/>
      <c r="K4" s="29">
        <v>122080.0</v>
      </c>
      <c r="L4" s="30">
        <v>124160.0</v>
      </c>
      <c r="M4" s="31"/>
      <c r="N4" s="39"/>
      <c r="O4" s="33"/>
      <c r="P4" s="40"/>
      <c r="Q4" s="35"/>
      <c r="R4" s="33"/>
      <c r="S4" s="33"/>
      <c r="T4" s="35"/>
      <c r="U4" s="35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 hidden="1">
      <c r="A5" s="344" t="s">
        <v>24</v>
      </c>
      <c r="B5" s="41">
        <v>45295.0</v>
      </c>
      <c r="C5" s="22">
        <f>1193100-396200</f>
        <v>796900</v>
      </c>
      <c r="D5" s="23">
        <v>549460.0</v>
      </c>
      <c r="E5" s="24">
        <f>600+1500+2200+250+500+800+240</f>
        <v>6090</v>
      </c>
      <c r="F5" s="25">
        <f>10400</f>
        <v>10400</v>
      </c>
      <c r="G5" s="101">
        <f>9500+247550</f>
        <v>257050</v>
      </c>
      <c r="H5" s="27">
        <v>129775.0</v>
      </c>
      <c r="I5" s="27"/>
      <c r="J5" s="28">
        <f>465500-396200</f>
        <v>69300</v>
      </c>
      <c r="K5" s="29">
        <v>149610.0</v>
      </c>
      <c r="L5" s="30">
        <v>187490.0</v>
      </c>
      <c r="M5" s="31"/>
      <c r="N5" s="39"/>
      <c r="O5" s="33"/>
      <c r="P5" s="40"/>
      <c r="Q5" s="35"/>
      <c r="R5" s="33"/>
      <c r="S5" s="33"/>
      <c r="T5" s="35"/>
      <c r="U5" s="35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</row>
    <row r="6" hidden="1">
      <c r="A6" s="344" t="s">
        <v>25</v>
      </c>
      <c r="B6" s="41">
        <v>45296.0</v>
      </c>
      <c r="C6" s="22">
        <f>1639650-796900-396200</f>
        <v>446550</v>
      </c>
      <c r="D6" s="23">
        <v>296500.0</v>
      </c>
      <c r="E6" s="24">
        <v>7800.0</v>
      </c>
      <c r="F6" s="25">
        <v>10300.0</v>
      </c>
      <c r="G6" s="101">
        <v>179800.0</v>
      </c>
      <c r="H6" s="27">
        <v>92371.0</v>
      </c>
      <c r="I6" s="27"/>
      <c r="J6" s="28">
        <v>31400.0</v>
      </c>
      <c r="K6" s="29">
        <f>212610-K5</f>
        <v>63000</v>
      </c>
      <c r="L6" s="30">
        <f>249340-L5</f>
        <v>61850</v>
      </c>
      <c r="M6" s="31"/>
      <c r="N6" s="39"/>
      <c r="O6" s="33"/>
      <c r="P6" s="40"/>
      <c r="Q6" s="35"/>
      <c r="R6" s="33"/>
      <c r="S6" s="33"/>
      <c r="T6" s="35"/>
      <c r="U6" s="35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</row>
    <row r="7" hidden="1">
      <c r="A7" s="344" t="s">
        <v>26</v>
      </c>
      <c r="B7" s="41">
        <v>45297.0</v>
      </c>
      <c r="C7" s="22">
        <v>511010.0</v>
      </c>
      <c r="D7" s="23">
        <v>414500.0</v>
      </c>
      <c r="E7" s="24">
        <f>700+2100+500+500+800+280</f>
        <v>4880</v>
      </c>
      <c r="F7" s="25">
        <v>4400.0</v>
      </c>
      <c r="G7" s="101">
        <f>238000+24700</f>
        <v>262700</v>
      </c>
      <c r="H7" s="27">
        <v>69621.0</v>
      </c>
      <c r="I7" s="27"/>
      <c r="J7" s="28"/>
      <c r="K7" s="29">
        <v>95700.0</v>
      </c>
      <c r="L7" s="30">
        <v>85110.0</v>
      </c>
      <c r="M7" s="31"/>
      <c r="N7" s="39"/>
      <c r="O7" s="33"/>
      <c r="P7" s="40"/>
      <c r="Q7" s="35"/>
      <c r="R7" s="33"/>
      <c r="S7" s="33"/>
      <c r="T7" s="35"/>
      <c r="U7" s="35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</row>
    <row r="8" hidden="1">
      <c r="A8" s="345" t="s">
        <v>27</v>
      </c>
      <c r="B8" s="43"/>
      <c r="C8" s="346"/>
      <c r="D8" s="51"/>
      <c r="E8" s="51"/>
      <c r="F8" s="51"/>
      <c r="G8" s="346"/>
      <c r="H8" s="346"/>
      <c r="I8" s="346"/>
      <c r="J8" s="51"/>
      <c r="K8" s="51"/>
      <c r="L8" s="51"/>
      <c r="M8" s="51"/>
      <c r="N8" s="51"/>
      <c r="O8" s="33"/>
      <c r="P8" s="40"/>
      <c r="Q8" s="35"/>
      <c r="R8" s="33"/>
      <c r="S8" s="33"/>
      <c r="T8" s="35"/>
      <c r="U8" s="35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 hidden="1">
      <c r="A9" s="343" t="s">
        <v>21</v>
      </c>
      <c r="B9" s="41">
        <v>45299.0</v>
      </c>
      <c r="C9" s="22">
        <v>500720.0</v>
      </c>
      <c r="D9" s="23">
        <v>350950.0</v>
      </c>
      <c r="E9" s="24">
        <v>4800.0</v>
      </c>
      <c r="F9" s="25">
        <v>4400.0</v>
      </c>
      <c r="G9" s="101">
        <v>155100.0</v>
      </c>
      <c r="H9" s="27">
        <v>69936.0</v>
      </c>
      <c r="I9" s="27"/>
      <c r="J9" s="28"/>
      <c r="K9" s="29">
        <v>116800.0</v>
      </c>
      <c r="L9" s="30">
        <v>155370.0</v>
      </c>
      <c r="M9" s="31"/>
      <c r="N9" s="32"/>
      <c r="O9" s="33"/>
      <c r="P9" s="40"/>
      <c r="Q9" s="35"/>
      <c r="R9" s="33"/>
      <c r="S9" s="33"/>
      <c r="T9" s="35"/>
      <c r="U9" s="35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hidden="1">
      <c r="A10" s="344" t="s">
        <v>22</v>
      </c>
      <c r="B10" s="41">
        <v>45300.0</v>
      </c>
      <c r="C10" s="22">
        <v>527390.0</v>
      </c>
      <c r="D10" s="23">
        <v>368840.0</v>
      </c>
      <c r="E10" s="24">
        <f>1000+400+750+500+840+240</f>
        <v>3730</v>
      </c>
      <c r="F10" s="25">
        <f>4400</f>
        <v>4400</v>
      </c>
      <c r="G10" s="101">
        <f>123810+6200</f>
        <v>130010</v>
      </c>
      <c r="H10" s="27">
        <v>173866.5</v>
      </c>
      <c r="I10" s="27"/>
      <c r="J10" s="28"/>
      <c r="K10" s="29">
        <v>62600.0</v>
      </c>
      <c r="L10" s="30">
        <v>157750.0</v>
      </c>
      <c r="M10" s="31"/>
      <c r="N10" s="32"/>
      <c r="O10" s="33"/>
      <c r="P10" s="40"/>
      <c r="Q10" s="35"/>
      <c r="R10" s="33"/>
      <c r="S10" s="33"/>
      <c r="T10" s="35"/>
      <c r="U10" s="35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</row>
    <row r="11" hidden="1">
      <c r="A11" s="344" t="s">
        <v>23</v>
      </c>
      <c r="B11" s="41">
        <v>45301.0</v>
      </c>
      <c r="C11" s="22">
        <v>670100.0</v>
      </c>
      <c r="D11" s="23">
        <v>495650.0</v>
      </c>
      <c r="E11" s="24">
        <f>2000+1000+1200+300+500+840+250</f>
        <v>6090</v>
      </c>
      <c r="F11" s="25">
        <v>4400.0</v>
      </c>
      <c r="G11" s="101">
        <f>211000+23700</f>
        <v>234700</v>
      </c>
      <c r="H11" s="27">
        <v>111871.0</v>
      </c>
      <c r="I11" s="27"/>
      <c r="J11" s="28">
        <v>26800.0</v>
      </c>
      <c r="K11" s="29">
        <v>132200.0</v>
      </c>
      <c r="L11" s="30">
        <v>148750.0</v>
      </c>
      <c r="M11" s="49"/>
      <c r="N11" s="39"/>
      <c r="O11" s="33"/>
      <c r="P11" s="40"/>
      <c r="Q11" s="35"/>
      <c r="R11" s="33"/>
      <c r="S11" s="33"/>
      <c r="T11" s="35"/>
      <c r="U11" s="35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 hidden="1">
      <c r="A12" s="344" t="s">
        <v>24</v>
      </c>
      <c r="B12" s="41">
        <v>45302.0</v>
      </c>
      <c r="C12" s="22">
        <v>732930.0</v>
      </c>
      <c r="D12" s="23">
        <v>647150.0</v>
      </c>
      <c r="E12" s="24">
        <f>800+2500+700+550+500+880+220</f>
        <v>6150</v>
      </c>
      <c r="F12" s="25">
        <f>4400</f>
        <v>4400</v>
      </c>
      <c r="G12" s="101">
        <f>162600+106000</f>
        <v>268600</v>
      </c>
      <c r="H12" s="27">
        <v>207310.5</v>
      </c>
      <c r="I12" s="27"/>
      <c r="J12" s="28"/>
      <c r="K12" s="29">
        <v>138700.0</v>
      </c>
      <c r="L12" s="30">
        <v>94280.0</v>
      </c>
      <c r="M12" s="31"/>
      <c r="N12" s="39"/>
      <c r="O12" s="33"/>
      <c r="P12" s="40"/>
      <c r="Q12" s="35"/>
      <c r="R12" s="33"/>
      <c r="S12" s="33"/>
      <c r="T12" s="35"/>
      <c r="U12" s="35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hidden="1">
      <c r="A13" s="344" t="s">
        <v>25</v>
      </c>
      <c r="B13" s="41">
        <v>45303.0</v>
      </c>
      <c r="C13" s="22">
        <v>549550.0</v>
      </c>
      <c r="D13" s="23">
        <v>450950.0</v>
      </c>
      <c r="E13" s="24">
        <v>1000.0</v>
      </c>
      <c r="F13" s="25">
        <v>4400.0</v>
      </c>
      <c r="G13" s="101">
        <f>228270+6800</f>
        <v>235070</v>
      </c>
      <c r="H13" s="27">
        <v>86871.0</v>
      </c>
      <c r="I13" s="27"/>
      <c r="J13" s="28"/>
      <c r="K13" s="29">
        <v>131000.0</v>
      </c>
      <c r="L13" s="30">
        <v>98600.0</v>
      </c>
      <c r="M13" s="31"/>
      <c r="N13" s="39"/>
      <c r="O13" s="33"/>
      <c r="P13" s="40"/>
      <c r="Q13" s="35"/>
      <c r="R13" s="33"/>
      <c r="S13" s="33"/>
      <c r="T13" s="35"/>
      <c r="U13" s="35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idden="1">
      <c r="A14" s="344" t="s">
        <v>26</v>
      </c>
      <c r="B14" s="41">
        <v>45304.0</v>
      </c>
      <c r="C14" s="22">
        <v>548110.0</v>
      </c>
      <c r="D14" s="23">
        <v>456960.0</v>
      </c>
      <c r="E14" s="24">
        <v>1800.0</v>
      </c>
      <c r="F14" s="25">
        <v>2400.0</v>
      </c>
      <c r="G14" s="101">
        <f>218760+69900</f>
        <v>288660</v>
      </c>
      <c r="H14" s="27">
        <v>88886.0</v>
      </c>
      <c r="I14" s="27"/>
      <c r="J14" s="28"/>
      <c r="K14" s="29">
        <v>79500.0</v>
      </c>
      <c r="L14" s="30">
        <v>91150.0</v>
      </c>
      <c r="M14" s="31"/>
      <c r="N14" s="39"/>
      <c r="O14" s="33"/>
      <c r="P14" s="40"/>
      <c r="Q14" s="35"/>
      <c r="R14" s="33"/>
      <c r="S14" s="33"/>
      <c r="T14" s="35"/>
      <c r="U14" s="35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 hidden="1">
      <c r="A15" s="347" t="s">
        <v>27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33"/>
      <c r="P15" s="40"/>
      <c r="Q15" s="35"/>
      <c r="R15" s="33"/>
      <c r="S15" s="33"/>
      <c r="T15" s="35"/>
      <c r="U15" s="35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</row>
    <row r="16" hidden="1">
      <c r="A16" s="348" t="s">
        <v>21</v>
      </c>
      <c r="B16" s="349">
        <v>45306.0</v>
      </c>
      <c r="C16" s="22">
        <v>630080.0</v>
      </c>
      <c r="D16" s="23">
        <v>480860.0</v>
      </c>
      <c r="E16" s="24">
        <v>3500.0</v>
      </c>
      <c r="F16" s="25">
        <v>1400.0</v>
      </c>
      <c r="G16" s="101">
        <f>200500+49300+11400</f>
        <v>261200</v>
      </c>
      <c r="H16" s="27">
        <v>95947.0</v>
      </c>
      <c r="I16" s="27"/>
      <c r="J16" s="28">
        <v>24200.0</v>
      </c>
      <c r="K16" s="29">
        <v>131960.0</v>
      </c>
      <c r="L16" s="30">
        <v>124120.0</v>
      </c>
      <c r="M16" s="31"/>
      <c r="N16" s="39"/>
      <c r="O16" s="33"/>
      <c r="P16" s="40"/>
      <c r="Q16" s="35"/>
      <c r="R16" s="33"/>
      <c r="S16" s="33"/>
      <c r="T16" s="35"/>
      <c r="U16" s="35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 hidden="1">
      <c r="A17" s="350" t="s">
        <v>22</v>
      </c>
      <c r="B17" s="349">
        <v>45307.0</v>
      </c>
      <c r="C17" s="22">
        <v>549500.0</v>
      </c>
      <c r="D17" s="23">
        <v>438150.0</v>
      </c>
      <c r="E17" s="24">
        <v>5300.0</v>
      </c>
      <c r="F17" s="25">
        <v>4400.0</v>
      </c>
      <c r="G17" s="101">
        <f>212000+6500</f>
        <v>218500</v>
      </c>
      <c r="H17" s="27">
        <v>115901.0</v>
      </c>
      <c r="I17" s="27"/>
      <c r="J17" s="28"/>
      <c r="K17" s="29">
        <v>92750.0</v>
      </c>
      <c r="L17" s="30">
        <v>122350.0</v>
      </c>
      <c r="M17" s="31"/>
      <c r="N17" s="39"/>
      <c r="O17" s="33"/>
      <c r="P17" s="40"/>
      <c r="Q17" s="35"/>
      <c r="R17" s="33"/>
      <c r="S17" s="33"/>
      <c r="T17" s="35"/>
      <c r="U17" s="35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 hidden="1">
      <c r="A18" s="350" t="s">
        <v>23</v>
      </c>
      <c r="B18" s="349">
        <v>45308.0</v>
      </c>
      <c r="C18" s="22">
        <v>714720.0</v>
      </c>
      <c r="D18" s="23">
        <v>568600.0</v>
      </c>
      <c r="E18" s="24">
        <v>4500.0</v>
      </c>
      <c r="F18" s="25">
        <v>7400.0</v>
      </c>
      <c r="G18" s="101">
        <f>174600+65400</f>
        <v>240000</v>
      </c>
      <c r="H18" s="27">
        <v>156310.0</v>
      </c>
      <c r="I18" s="27"/>
      <c r="J18" s="28"/>
      <c r="K18" s="29">
        <v>139000.0</v>
      </c>
      <c r="L18" s="30">
        <v>130220.0</v>
      </c>
      <c r="M18" s="31"/>
      <c r="N18" s="39"/>
      <c r="O18" s="33"/>
      <c r="P18" s="40"/>
      <c r="Q18" s="35"/>
      <c r="R18" s="33"/>
      <c r="S18" s="33"/>
      <c r="T18" s="35"/>
      <c r="U18" s="35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hidden="1">
      <c r="A19" s="350" t="s">
        <v>24</v>
      </c>
      <c r="B19" s="349">
        <v>45309.0</v>
      </c>
      <c r="C19" s="22">
        <v>750160.0</v>
      </c>
      <c r="D19" s="23">
        <v>592160.0</v>
      </c>
      <c r="E19" s="24">
        <f>1200+1200+900+500+820+250</f>
        <v>4870</v>
      </c>
      <c r="F19" s="25">
        <v>7400.0</v>
      </c>
      <c r="G19" s="101">
        <f>11000+248500</f>
        <v>259500</v>
      </c>
      <c r="H19" s="27">
        <v>195000.0</v>
      </c>
      <c r="I19" s="27"/>
      <c r="J19" s="28">
        <v>24700.0</v>
      </c>
      <c r="K19" s="29">
        <v>154160.0</v>
      </c>
      <c r="L19" s="30">
        <v>138900.0</v>
      </c>
      <c r="M19" s="31"/>
      <c r="N19" s="39"/>
      <c r="O19" s="33"/>
      <c r="P19" s="40"/>
      <c r="Q19" s="35"/>
      <c r="R19" s="33"/>
      <c r="S19" s="33"/>
      <c r="T19" s="35"/>
      <c r="U19" s="35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idden="1">
      <c r="A20" s="350" t="s">
        <v>25</v>
      </c>
      <c r="B20" s="349">
        <v>45310.0</v>
      </c>
      <c r="C20" s="22">
        <v>606205.0</v>
      </c>
      <c r="D20" s="23">
        <v>479460.0</v>
      </c>
      <c r="E20" s="24">
        <f>1000+1400+950+500+800+250</f>
        <v>4900</v>
      </c>
      <c r="F20" s="25">
        <v>10400.0</v>
      </c>
      <c r="G20" s="101">
        <f>5200+261400</f>
        <v>266600</v>
      </c>
      <c r="H20" s="27">
        <v>92811.0</v>
      </c>
      <c r="I20" s="27"/>
      <c r="J20" s="28"/>
      <c r="K20" s="29">
        <v>89960.0</v>
      </c>
      <c r="L20" s="30">
        <v>126745.0</v>
      </c>
      <c r="M20" s="31"/>
      <c r="N20" s="39"/>
      <c r="O20" s="33"/>
      <c r="P20" s="40"/>
      <c r="Q20" s="35"/>
      <c r="R20" s="33"/>
      <c r="S20" s="33"/>
      <c r="T20" s="35"/>
      <c r="U20" s="35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hidden="1">
      <c r="A21" s="350" t="s">
        <v>26</v>
      </c>
      <c r="B21" s="349">
        <v>45311.0</v>
      </c>
      <c r="C21" s="22">
        <v>432800.0</v>
      </c>
      <c r="D21" s="23">
        <v>270730.0</v>
      </c>
      <c r="E21" s="24">
        <f>1000+900+900+500+820+240</f>
        <v>4360</v>
      </c>
      <c r="F21" s="25">
        <v>6400.0</v>
      </c>
      <c r="G21" s="101">
        <f>159500+3000</f>
        <v>162500</v>
      </c>
      <c r="H21" s="27">
        <v>60951.0</v>
      </c>
      <c r="I21" s="27"/>
      <c r="J21" s="28"/>
      <c r="K21" s="29">
        <v>58130.0</v>
      </c>
      <c r="L21" s="30">
        <v>159970.0</v>
      </c>
      <c r="M21" s="31"/>
      <c r="N21" s="39"/>
      <c r="O21" s="33"/>
      <c r="P21" s="40"/>
      <c r="Q21" s="35"/>
      <c r="R21" s="33"/>
      <c r="S21" s="33"/>
      <c r="T21" s="35"/>
      <c r="U21" s="35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hidden="1">
      <c r="A22" s="351" t="s">
        <v>27</v>
      </c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3"/>
      <c r="P22" s="40"/>
      <c r="Q22" s="35"/>
      <c r="R22" s="33"/>
      <c r="S22" s="33"/>
      <c r="T22" s="35"/>
      <c r="U22" s="35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hidden="1">
      <c r="A23" s="348" t="s">
        <v>21</v>
      </c>
      <c r="B23" s="349">
        <v>45313.0</v>
      </c>
      <c r="C23" s="22">
        <v>447650.0</v>
      </c>
      <c r="D23" s="23">
        <v>287450.0</v>
      </c>
      <c r="E23" s="24">
        <v>8000.0</v>
      </c>
      <c r="F23" s="25">
        <v>14400.0</v>
      </c>
      <c r="G23" s="101">
        <v>166100.0</v>
      </c>
      <c r="H23" s="27">
        <v>38980.0</v>
      </c>
      <c r="I23" s="27"/>
      <c r="J23" s="28"/>
      <c r="K23" s="29">
        <v>105200.0</v>
      </c>
      <c r="L23" s="30">
        <v>145700.0</v>
      </c>
      <c r="M23" s="31"/>
      <c r="N23" s="32"/>
      <c r="O23" s="33"/>
      <c r="P23" s="40"/>
      <c r="Q23" s="35"/>
      <c r="R23" s="33"/>
      <c r="S23" s="33"/>
      <c r="T23" s="35"/>
      <c r="U23" s="35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hidden="1">
      <c r="A24" s="350" t="s">
        <v>22</v>
      </c>
      <c r="B24" s="349">
        <v>45314.0</v>
      </c>
      <c r="C24" s="22">
        <v>776700.0</v>
      </c>
      <c r="D24" s="23">
        <v>619600.0</v>
      </c>
      <c r="E24" s="24">
        <v>5000.0</v>
      </c>
      <c r="F24" s="25">
        <v>4400.0</v>
      </c>
      <c r="G24" s="101">
        <f>159000+71000</f>
        <v>230000</v>
      </c>
      <c r="H24" s="27">
        <v>202181.0</v>
      </c>
      <c r="I24" s="27"/>
      <c r="J24" s="28"/>
      <c r="K24" s="29">
        <v>167900.0</v>
      </c>
      <c r="L24" s="30">
        <v>166200.0</v>
      </c>
      <c r="M24" s="31"/>
      <c r="N24" s="39"/>
      <c r="O24" s="33"/>
      <c r="P24" s="40"/>
      <c r="Q24" s="35"/>
      <c r="R24" s="33"/>
      <c r="S24" s="33"/>
      <c r="T24" s="35"/>
      <c r="U24" s="35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hidden="1">
      <c r="A25" s="350" t="s">
        <v>23</v>
      </c>
      <c r="B25" s="349">
        <v>45315.0</v>
      </c>
      <c r="C25" s="22">
        <v>507630.0</v>
      </c>
      <c r="D25" s="23">
        <v>396210.0</v>
      </c>
      <c r="E25" s="24"/>
      <c r="F25" s="25"/>
      <c r="G25" s="101">
        <v>83350.0</v>
      </c>
      <c r="H25" s="27">
        <v>83510.0</v>
      </c>
      <c r="I25" s="27"/>
      <c r="J25" s="28"/>
      <c r="K25" s="29">
        <v>95800.0</v>
      </c>
      <c r="L25" s="30">
        <v>127480.0</v>
      </c>
      <c r="M25" s="31"/>
      <c r="N25" s="39"/>
      <c r="O25" s="33"/>
      <c r="P25" s="40"/>
      <c r="Q25" s="35"/>
      <c r="R25" s="33"/>
      <c r="S25" s="33"/>
      <c r="T25" s="35"/>
      <c r="U25" s="35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hidden="1">
      <c r="A26" s="350" t="s">
        <v>24</v>
      </c>
      <c r="B26" s="349">
        <v>45316.0</v>
      </c>
      <c r="C26" s="22">
        <f>831440-210100</f>
        <v>621340</v>
      </c>
      <c r="D26" s="23">
        <v>689410.0</v>
      </c>
      <c r="E26" s="24"/>
      <c r="F26" s="25"/>
      <c r="G26" s="101">
        <v>119200.0</v>
      </c>
      <c r="H26" s="27">
        <v>102901.0</v>
      </c>
      <c r="I26" s="27"/>
      <c r="J26" s="28"/>
      <c r="K26" s="29">
        <v>76600.0</v>
      </c>
      <c r="L26" s="30">
        <v>139630.0</v>
      </c>
      <c r="M26" s="31"/>
      <c r="N26" s="32"/>
      <c r="O26" s="33"/>
      <c r="P26" s="40"/>
      <c r="Q26" s="35"/>
      <c r="R26" s="33"/>
      <c r="S26" s="33"/>
      <c r="T26" s="35"/>
      <c r="U26" s="35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hidden="1">
      <c r="A27" s="350" t="s">
        <v>25</v>
      </c>
      <c r="B27" s="349">
        <v>45317.0</v>
      </c>
      <c r="C27" s="22">
        <v>552470.0</v>
      </c>
      <c r="D27" s="23">
        <v>431850.0</v>
      </c>
      <c r="E27" s="24">
        <v>6500.0</v>
      </c>
      <c r="F27" s="25">
        <v>6600.0</v>
      </c>
      <c r="G27" s="101">
        <f>190100+14000</f>
        <v>204100</v>
      </c>
      <c r="H27" s="27">
        <v>125551.0</v>
      </c>
      <c r="I27" s="27"/>
      <c r="J27" s="28"/>
      <c r="K27" s="29">
        <v>140200.0</v>
      </c>
      <c r="L27" s="30">
        <v>124920.0</v>
      </c>
      <c r="M27" s="31"/>
      <c r="N27" s="32"/>
      <c r="O27" s="33"/>
      <c r="P27" s="40"/>
      <c r="Q27" s="35"/>
      <c r="R27" s="33"/>
      <c r="S27" s="33"/>
      <c r="T27" s="35"/>
      <c r="U27" s="35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hidden="1">
      <c r="A28" s="350" t="s">
        <v>26</v>
      </c>
      <c r="B28" s="349">
        <v>45318.0</v>
      </c>
      <c r="C28" s="22">
        <v>446070.0</v>
      </c>
      <c r="D28" s="23">
        <v>322740.0</v>
      </c>
      <c r="E28" s="24">
        <v>4500.0</v>
      </c>
      <c r="F28" s="25">
        <v>6500.0</v>
      </c>
      <c r="G28" s="101">
        <v>144340.0</v>
      </c>
      <c r="H28" s="27">
        <v>97156.0</v>
      </c>
      <c r="I28" s="27"/>
      <c r="J28" s="28"/>
      <c r="K28" s="29">
        <v>76600.0</v>
      </c>
      <c r="L28" s="30">
        <v>128730.0</v>
      </c>
      <c r="M28" s="31"/>
      <c r="N28" s="32"/>
      <c r="O28" s="33"/>
      <c r="P28" s="40"/>
      <c r="Q28" s="35"/>
      <c r="R28" s="33"/>
      <c r="S28" s="33"/>
      <c r="T28" s="35"/>
      <c r="U28" s="35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hidden="1">
      <c r="A29" s="351" t="s">
        <v>27</v>
      </c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3"/>
      <c r="P29" s="40"/>
      <c r="Q29" s="35"/>
      <c r="R29" s="33"/>
      <c r="S29" s="33"/>
      <c r="T29" s="35"/>
      <c r="U29" s="35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hidden="1">
      <c r="A30" s="343" t="s">
        <v>21</v>
      </c>
      <c r="B30" s="349">
        <v>45320.0</v>
      </c>
      <c r="C30" s="22">
        <v>604740.0</v>
      </c>
      <c r="D30" s="23">
        <v>431040.0</v>
      </c>
      <c r="E30" s="24">
        <v>2600.0</v>
      </c>
      <c r="F30" s="25">
        <f>1600+3000+2000</f>
        <v>6600</v>
      </c>
      <c r="G30" s="101">
        <f>192800+1100</f>
        <v>193900</v>
      </c>
      <c r="H30" s="27">
        <v>127400.0</v>
      </c>
      <c r="I30" s="27"/>
      <c r="J30" s="28"/>
      <c r="K30" s="29">
        <v>118700.0</v>
      </c>
      <c r="L30" s="30">
        <v>160100.0</v>
      </c>
      <c r="M30" s="31"/>
      <c r="N30" s="39"/>
      <c r="O30" s="33"/>
      <c r="P30" s="40"/>
      <c r="Q30" s="35"/>
      <c r="R30" s="33"/>
      <c r="S30" s="33"/>
      <c r="T30" s="35"/>
      <c r="U30" s="35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</row>
    <row r="31" hidden="1">
      <c r="A31" s="353" t="s">
        <v>738</v>
      </c>
      <c r="B31" s="349">
        <v>45321.0</v>
      </c>
      <c r="C31" s="57">
        <v>495230.0</v>
      </c>
      <c r="D31" s="23">
        <v>386430.0</v>
      </c>
      <c r="E31" s="59">
        <f>500+1900+750+200+160+300</f>
        <v>3810</v>
      </c>
      <c r="F31" s="60">
        <v>4600.0</v>
      </c>
      <c r="G31" s="101">
        <f>6500+187030</f>
        <v>193530</v>
      </c>
      <c r="H31" s="62">
        <v>77500.0</v>
      </c>
      <c r="I31" s="62"/>
      <c r="J31" s="63"/>
      <c r="K31" s="64">
        <v>142100.0</v>
      </c>
      <c r="L31" s="30">
        <v>87000.0</v>
      </c>
      <c r="M31" s="65"/>
      <c r="N31" s="66"/>
      <c r="O31" s="61"/>
      <c r="P31" s="67"/>
      <c r="Q31" s="67"/>
      <c r="R31" s="67"/>
      <c r="S31" s="67"/>
      <c r="T31" s="61"/>
      <c r="U31" s="61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hidden="1">
      <c r="A32" s="353" t="s">
        <v>739</v>
      </c>
      <c r="B32" s="349">
        <v>45322.0</v>
      </c>
      <c r="C32" s="57">
        <v>518050.0</v>
      </c>
      <c r="D32" s="23">
        <v>423980.0</v>
      </c>
      <c r="E32" s="59">
        <v>3200.0</v>
      </c>
      <c r="F32" s="25">
        <v>4600.0</v>
      </c>
      <c r="G32" s="101">
        <v>155400.0</v>
      </c>
      <c r="H32" s="62">
        <v>115510.0</v>
      </c>
      <c r="I32" s="62"/>
      <c r="J32" s="63"/>
      <c r="K32" s="64">
        <v>184680.0</v>
      </c>
      <c r="L32" s="30">
        <v>70770.0</v>
      </c>
      <c r="M32" s="65"/>
      <c r="N32" s="66"/>
      <c r="O32" s="61"/>
      <c r="P32" s="67"/>
      <c r="Q32" s="67"/>
      <c r="R32" s="67"/>
      <c r="S32" s="67"/>
      <c r="T32" s="61"/>
      <c r="U32" s="61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  <row r="33" hidden="1">
      <c r="A33" s="354" t="s">
        <v>28</v>
      </c>
      <c r="B33" s="69"/>
      <c r="C33" s="70">
        <f>SUM(C2:C32)</f>
        <v>15033985</v>
      </c>
      <c r="D33" s="71"/>
      <c r="E33" s="71"/>
      <c r="F33" s="71"/>
      <c r="G33" s="70"/>
      <c r="H33" s="70"/>
      <c r="I33" s="70"/>
      <c r="J33" s="72"/>
      <c r="K33" s="70"/>
      <c r="L33" s="73"/>
      <c r="M33" s="74"/>
      <c r="N33" s="75"/>
      <c r="O33" s="61"/>
      <c r="P33" s="67"/>
      <c r="Q33" s="67"/>
      <c r="R33" s="67"/>
      <c r="S33" s="67"/>
      <c r="T33" s="61"/>
      <c r="U33" s="61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hidden="1">
      <c r="A34" s="344" t="s">
        <v>24</v>
      </c>
      <c r="B34" s="355">
        <v>45323.0</v>
      </c>
      <c r="C34" s="22">
        <v>552340.0</v>
      </c>
      <c r="D34" s="23">
        <v>441800.0</v>
      </c>
      <c r="E34" s="24"/>
      <c r="F34" s="25">
        <v>3600.0</v>
      </c>
      <c r="G34" s="101">
        <v>229500.0</v>
      </c>
      <c r="H34" s="27">
        <v>94400.0</v>
      </c>
      <c r="I34" s="27"/>
      <c r="J34" s="28"/>
      <c r="K34" s="29">
        <v>123900.0</v>
      </c>
      <c r="L34" s="30">
        <v>81540.0</v>
      </c>
      <c r="M34" s="31"/>
      <c r="N34" s="32"/>
      <c r="O34" s="33"/>
      <c r="P34" s="40"/>
      <c r="Q34" s="35"/>
      <c r="R34" s="33"/>
      <c r="S34" s="33"/>
      <c r="T34" s="35"/>
      <c r="U34" s="35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</row>
    <row r="35" hidden="1">
      <c r="A35" s="344" t="s">
        <v>25</v>
      </c>
      <c r="B35" s="349">
        <v>45324.0</v>
      </c>
      <c r="C35" s="22">
        <v>552810.0</v>
      </c>
      <c r="D35" s="23">
        <v>383410.0</v>
      </c>
      <c r="E35" s="24"/>
      <c r="F35" s="25">
        <v>11600.0</v>
      </c>
      <c r="G35" s="101">
        <v>123600.0</v>
      </c>
      <c r="H35" s="27">
        <v>92456.0</v>
      </c>
      <c r="I35" s="27"/>
      <c r="J35" s="28"/>
      <c r="K35" s="29">
        <v>134210.0</v>
      </c>
      <c r="L35" s="30">
        <v>165400.0</v>
      </c>
      <c r="M35" s="31"/>
      <c r="N35" s="39"/>
      <c r="O35" s="33"/>
      <c r="P35" s="40"/>
      <c r="Q35" s="35"/>
      <c r="R35" s="33"/>
      <c r="S35" s="33"/>
      <c r="T35" s="35"/>
      <c r="U35" s="35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hidden="1">
      <c r="A36" s="344" t="s">
        <v>26</v>
      </c>
      <c r="B36" s="349">
        <v>45325.0</v>
      </c>
      <c r="C36" s="22">
        <v>432660.0</v>
      </c>
      <c r="D36" s="23">
        <v>344900.0</v>
      </c>
      <c r="E36" s="24">
        <f>1500+1500+700+400+310</f>
        <v>4410</v>
      </c>
      <c r="F36" s="25">
        <f>2000+1000+6000</f>
        <v>9000</v>
      </c>
      <c r="G36" s="101">
        <f>14900+223100</f>
        <v>238000</v>
      </c>
      <c r="H36" s="27">
        <v>36600.0</v>
      </c>
      <c r="I36" s="27"/>
      <c r="J36" s="28"/>
      <c r="K36" s="29">
        <v>56600.0</v>
      </c>
      <c r="L36" s="30">
        <v>87760.0</v>
      </c>
      <c r="M36" s="31"/>
      <c r="N36" s="32"/>
      <c r="O36" s="33"/>
      <c r="P36" s="40"/>
      <c r="Q36" s="35"/>
      <c r="R36" s="33"/>
      <c r="S36" s="33"/>
      <c r="T36" s="35"/>
      <c r="U36" s="35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hidden="1">
      <c r="A37" s="351" t="s">
        <v>27</v>
      </c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3"/>
      <c r="P37" s="40"/>
      <c r="Q37" s="35"/>
      <c r="R37" s="33"/>
      <c r="S37" s="33"/>
      <c r="T37" s="35"/>
      <c r="U37" s="35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hidden="1">
      <c r="A38" s="344" t="s">
        <v>21</v>
      </c>
      <c r="B38" s="41">
        <v>45327.0</v>
      </c>
      <c r="C38" s="22">
        <v>649730.0</v>
      </c>
      <c r="D38" s="23">
        <v>501120.0</v>
      </c>
      <c r="E38" s="24">
        <v>3000.0</v>
      </c>
      <c r="F38" s="25">
        <v>7500.0</v>
      </c>
      <c r="G38" s="101">
        <v>233740.0</v>
      </c>
      <c r="H38" s="27">
        <v>137261.0</v>
      </c>
      <c r="I38" s="27"/>
      <c r="J38" s="28"/>
      <c r="K38" s="29">
        <v>118500.0</v>
      </c>
      <c r="L38" s="30">
        <v>168390.0</v>
      </c>
      <c r="M38" s="31"/>
      <c r="N38" s="32"/>
      <c r="O38" s="33"/>
      <c r="P38" s="40"/>
      <c r="Q38" s="35"/>
      <c r="R38" s="33"/>
      <c r="S38" s="33"/>
      <c r="T38" s="35"/>
      <c r="U38" s="35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hidden="1">
      <c r="A39" s="344" t="s">
        <v>22</v>
      </c>
      <c r="B39" s="41">
        <v>45328.0</v>
      </c>
      <c r="C39" s="22">
        <v>659570.0</v>
      </c>
      <c r="D39" s="23">
        <v>478990.0</v>
      </c>
      <c r="E39" s="24">
        <v>3000.0</v>
      </c>
      <c r="F39" s="25">
        <v>3500.0</v>
      </c>
      <c r="G39" s="101">
        <v>230810.0</v>
      </c>
      <c r="H39" s="27">
        <v>135871.0</v>
      </c>
      <c r="I39" s="27"/>
      <c r="J39" s="28"/>
      <c r="K39" s="29">
        <v>128880.0</v>
      </c>
      <c r="L39" s="30">
        <v>168080.0</v>
      </c>
      <c r="M39" s="31"/>
      <c r="N39" s="39"/>
      <c r="O39" s="33"/>
      <c r="P39" s="40"/>
      <c r="Q39" s="35"/>
      <c r="R39" s="33"/>
      <c r="S39" s="33"/>
      <c r="T39" s="35"/>
      <c r="U39" s="35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hidden="1">
      <c r="A40" s="343" t="s">
        <v>23</v>
      </c>
      <c r="B40" s="41">
        <v>45329.0</v>
      </c>
      <c r="C40" s="80">
        <v>710220.0</v>
      </c>
      <c r="D40" s="81">
        <v>526620.0</v>
      </c>
      <c r="E40" s="82">
        <v>3500.0</v>
      </c>
      <c r="F40" s="83">
        <v>3500.0</v>
      </c>
      <c r="G40" s="101">
        <f>250570+21600</f>
        <v>272170</v>
      </c>
      <c r="H40" s="84">
        <v>138610.0</v>
      </c>
      <c r="I40" s="84"/>
      <c r="J40" s="85"/>
      <c r="K40" s="86">
        <v>118700.0</v>
      </c>
      <c r="L40" s="30">
        <v>189200.0</v>
      </c>
      <c r="M40" s="31"/>
      <c r="N40" s="39"/>
      <c r="O40" s="33"/>
      <c r="P40" s="40"/>
      <c r="Q40" s="35"/>
      <c r="R40" s="33"/>
      <c r="S40" s="33"/>
      <c r="T40" s="35"/>
      <c r="U40" s="35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hidden="1">
      <c r="A41" s="344" t="s">
        <v>30</v>
      </c>
      <c r="B41" s="21">
        <v>45330.0</v>
      </c>
      <c r="C41" s="22">
        <v>693630.0</v>
      </c>
      <c r="D41" s="23">
        <v>458600.0</v>
      </c>
      <c r="E41" s="24">
        <v>3500.0</v>
      </c>
      <c r="F41" s="25">
        <v>3500.0</v>
      </c>
      <c r="G41" s="101">
        <v>296450.0</v>
      </c>
      <c r="H41" s="27">
        <v>40483.0</v>
      </c>
      <c r="I41" s="27"/>
      <c r="J41" s="28"/>
      <c r="K41" s="29">
        <v>165530.0</v>
      </c>
      <c r="L41" s="30">
        <v>170730.0</v>
      </c>
      <c r="M41" s="31"/>
      <c r="N41" s="32"/>
      <c r="O41" s="33"/>
      <c r="P41" s="40"/>
      <c r="Q41" s="35"/>
      <c r="R41" s="33"/>
      <c r="S41" s="33"/>
      <c r="T41" s="35"/>
      <c r="U41" s="35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hidden="1">
      <c r="A42" s="344" t="s">
        <v>25</v>
      </c>
      <c r="B42" s="41">
        <v>45331.0</v>
      </c>
      <c r="C42" s="22">
        <v>460060.0</v>
      </c>
      <c r="D42" s="23">
        <v>355300.0</v>
      </c>
      <c r="E42" s="24">
        <v>5730.0</v>
      </c>
      <c r="F42" s="25">
        <v>3500.0</v>
      </c>
      <c r="G42" s="101">
        <v>184200.0</v>
      </c>
      <c r="H42" s="27">
        <v>79800.0</v>
      </c>
      <c r="I42" s="27"/>
      <c r="J42" s="28"/>
      <c r="K42" s="29">
        <v>65490.0</v>
      </c>
      <c r="L42" s="30">
        <v>137720.0</v>
      </c>
      <c r="M42" s="31"/>
      <c r="N42" s="39"/>
      <c r="O42" s="33"/>
      <c r="P42" s="40"/>
      <c r="Q42" s="35"/>
      <c r="R42" s="33"/>
      <c r="S42" s="33"/>
      <c r="T42" s="35"/>
      <c r="U42" s="35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hidden="1">
      <c r="A43" s="344" t="s">
        <v>26</v>
      </c>
      <c r="B43" s="41">
        <v>45332.0</v>
      </c>
      <c r="C43" s="22">
        <v>622970.0</v>
      </c>
      <c r="D43" s="23">
        <v>451280.0</v>
      </c>
      <c r="E43" s="24"/>
      <c r="F43" s="25">
        <v>11500.0</v>
      </c>
      <c r="G43" s="101">
        <v>163900.0</v>
      </c>
      <c r="H43" s="27">
        <v>81611.0</v>
      </c>
      <c r="I43" s="27"/>
      <c r="J43" s="28"/>
      <c r="K43" s="29">
        <v>119680.0</v>
      </c>
      <c r="L43" s="30">
        <v>161690.0</v>
      </c>
      <c r="M43" s="31"/>
      <c r="N43" s="39"/>
      <c r="O43" s="33"/>
      <c r="P43" s="40"/>
      <c r="Q43" s="35"/>
      <c r="R43" s="33"/>
      <c r="S43" s="33"/>
      <c r="T43" s="35"/>
      <c r="U43" s="35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hidden="1">
      <c r="A44" s="351" t="s">
        <v>27</v>
      </c>
      <c r="B44" s="352"/>
      <c r="C44" s="352"/>
      <c r="D44" s="352"/>
      <c r="E44" s="352"/>
      <c r="F44" s="346"/>
      <c r="G44" s="352"/>
      <c r="H44" s="352"/>
      <c r="I44" s="352"/>
      <c r="J44" s="352"/>
      <c r="K44" s="352"/>
      <c r="L44" s="352"/>
      <c r="M44" s="352"/>
      <c r="N44" s="352"/>
      <c r="O44" s="33"/>
      <c r="P44" s="40"/>
      <c r="Q44" s="35"/>
      <c r="R44" s="33"/>
      <c r="S44" s="33"/>
      <c r="T44" s="35"/>
      <c r="U44" s="35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hidden="1">
      <c r="A45" s="344" t="s">
        <v>21</v>
      </c>
      <c r="B45" s="41">
        <v>45334.0</v>
      </c>
      <c r="C45" s="22">
        <v>534760.0</v>
      </c>
      <c r="D45" s="23">
        <v>418560.0</v>
      </c>
      <c r="E45" s="24">
        <v>5000.0</v>
      </c>
      <c r="F45" s="25">
        <v>9500.0</v>
      </c>
      <c r="G45" s="101">
        <v>145500.0</v>
      </c>
      <c r="H45" s="27">
        <v>34771.0</v>
      </c>
      <c r="I45" s="27"/>
      <c r="J45" s="28"/>
      <c r="K45" s="29">
        <v>110140.0</v>
      </c>
      <c r="L45" s="30">
        <v>122500.0</v>
      </c>
      <c r="M45" s="31"/>
      <c r="N45" s="39"/>
      <c r="O45" s="33"/>
      <c r="P45" s="40"/>
      <c r="Q45" s="35"/>
      <c r="R45" s="33"/>
      <c r="S45" s="33"/>
      <c r="T45" s="35"/>
      <c r="U45" s="35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hidden="1">
      <c r="A46" s="344" t="s">
        <v>22</v>
      </c>
      <c r="B46" s="41">
        <v>45335.0</v>
      </c>
      <c r="C46" s="22">
        <v>523205.0</v>
      </c>
      <c r="D46" s="23">
        <v>428605.0</v>
      </c>
      <c r="E46" s="24">
        <v>5400.0</v>
      </c>
      <c r="F46" s="25">
        <v>9500.0</v>
      </c>
      <c r="G46" s="101">
        <v>286900.0</v>
      </c>
      <c r="H46" s="27">
        <v>182000.0</v>
      </c>
      <c r="I46" s="27"/>
      <c r="J46" s="28"/>
      <c r="K46" s="29">
        <v>159005.0</v>
      </c>
      <c r="L46" s="30">
        <v>116000.0</v>
      </c>
      <c r="M46" s="31"/>
      <c r="N46" s="32"/>
      <c r="O46" s="33"/>
      <c r="P46" s="40"/>
      <c r="Q46" s="35"/>
      <c r="R46" s="33"/>
      <c r="S46" s="33"/>
      <c r="T46" s="35"/>
      <c r="U46" s="35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hidden="1">
      <c r="A47" s="343" t="s">
        <v>23</v>
      </c>
      <c r="B47" s="41">
        <v>45336.0</v>
      </c>
      <c r="C47" s="22">
        <v>838350.0</v>
      </c>
      <c r="D47" s="23">
        <v>608400.0</v>
      </c>
      <c r="E47" s="24">
        <v>500.0</v>
      </c>
      <c r="F47" s="25">
        <v>9500.0</v>
      </c>
      <c r="G47" s="101">
        <v>178320.0</v>
      </c>
      <c r="H47" s="27">
        <v>141900.0</v>
      </c>
      <c r="I47" s="27"/>
      <c r="J47" s="28"/>
      <c r="K47" s="29">
        <v>216000.0</v>
      </c>
      <c r="L47" s="30">
        <v>222000.0</v>
      </c>
      <c r="M47" s="31"/>
      <c r="N47" s="39"/>
      <c r="O47" s="33"/>
      <c r="P47" s="40"/>
      <c r="Q47" s="35"/>
      <c r="R47" s="33"/>
      <c r="S47" s="33"/>
      <c r="T47" s="35"/>
      <c r="U47" s="35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hidden="1">
      <c r="A48" s="344" t="s">
        <v>24</v>
      </c>
      <c r="B48" s="21">
        <v>45337.0</v>
      </c>
      <c r="C48" s="22">
        <v>799600.0</v>
      </c>
      <c r="D48" s="23">
        <v>660680.0</v>
      </c>
      <c r="E48" s="24"/>
      <c r="F48" s="25"/>
      <c r="G48" s="101">
        <v>352500.0</v>
      </c>
      <c r="H48" s="27">
        <v>189800.0</v>
      </c>
      <c r="I48" s="27"/>
      <c r="J48" s="28"/>
      <c r="K48" s="29">
        <v>324000.0</v>
      </c>
      <c r="L48" s="30">
        <v>387850.0</v>
      </c>
      <c r="M48" s="31"/>
      <c r="N48" s="32"/>
      <c r="O48" s="33"/>
      <c r="P48" s="40"/>
      <c r="Q48" s="35"/>
      <c r="R48" s="33"/>
      <c r="S48" s="33"/>
      <c r="T48" s="35"/>
      <c r="U48" s="35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hidden="1">
      <c r="A49" s="344" t="s">
        <v>25</v>
      </c>
      <c r="B49" s="41">
        <v>45338.0</v>
      </c>
      <c r="C49" s="22">
        <v>609960.0</v>
      </c>
      <c r="D49" s="23">
        <v>500700.0</v>
      </c>
      <c r="E49" s="24"/>
      <c r="F49" s="25"/>
      <c r="G49" s="101">
        <v>223900.0</v>
      </c>
      <c r="H49" s="27">
        <v>110446.0</v>
      </c>
      <c r="I49" s="27"/>
      <c r="J49" s="28"/>
      <c r="K49" s="29">
        <v>182000.0</v>
      </c>
      <c r="L49" s="30">
        <v>103660.0</v>
      </c>
      <c r="M49" s="31"/>
      <c r="N49" s="39"/>
      <c r="O49" s="33"/>
      <c r="P49" s="40"/>
      <c r="Q49" s="35"/>
      <c r="R49" s="33"/>
      <c r="S49" s="33"/>
      <c r="T49" s="35"/>
      <c r="U49" s="35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hidden="1">
      <c r="A50" s="344" t="s">
        <v>26</v>
      </c>
      <c r="B50" s="41">
        <v>45339.0</v>
      </c>
      <c r="C50" s="22">
        <v>599610.0</v>
      </c>
      <c r="D50" s="23">
        <v>435250.0</v>
      </c>
      <c r="E50" s="24">
        <v>3000.0</v>
      </c>
      <c r="F50" s="25">
        <f>3600+8000</f>
        <v>11600</v>
      </c>
      <c r="G50" s="101">
        <v>286850.0</v>
      </c>
      <c r="H50" s="27">
        <v>12700.0</v>
      </c>
      <c r="I50" s="27"/>
      <c r="J50" s="28"/>
      <c r="K50" s="29">
        <v>159500.0</v>
      </c>
      <c r="L50" s="30">
        <v>164360.0</v>
      </c>
      <c r="M50" s="31"/>
      <c r="N50" s="32"/>
      <c r="O50" s="33"/>
      <c r="P50" s="40"/>
      <c r="Q50" s="35"/>
      <c r="R50" s="33"/>
      <c r="S50" s="33"/>
      <c r="T50" s="35"/>
      <c r="U50" s="35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hidden="1">
      <c r="A51" s="351" t="s">
        <v>27</v>
      </c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3"/>
      <c r="P51" s="40"/>
      <c r="Q51" s="35"/>
      <c r="R51" s="33"/>
      <c r="S51" s="33"/>
      <c r="T51" s="35"/>
      <c r="U51" s="35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hidden="1">
      <c r="A52" s="344" t="s">
        <v>21</v>
      </c>
      <c r="B52" s="41">
        <v>45341.0</v>
      </c>
      <c r="C52" s="22">
        <v>595240.0</v>
      </c>
      <c r="D52" s="23">
        <v>446920.0</v>
      </c>
      <c r="E52" s="24"/>
      <c r="F52" s="25"/>
      <c r="G52" s="101">
        <v>277300.0</v>
      </c>
      <c r="H52" s="27">
        <v>79750.0</v>
      </c>
      <c r="I52" s="27"/>
      <c r="J52" s="28"/>
      <c r="K52" s="29">
        <v>121820.0</v>
      </c>
      <c r="L52" s="30">
        <v>147920.0</v>
      </c>
      <c r="M52" s="31"/>
      <c r="N52" s="32"/>
      <c r="O52" s="33"/>
      <c r="P52" s="40"/>
      <c r="Q52" s="35"/>
      <c r="R52" s="33"/>
      <c r="S52" s="33"/>
      <c r="T52" s="35"/>
      <c r="U52" s="35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hidden="1">
      <c r="A53" s="343" t="s">
        <v>22</v>
      </c>
      <c r="B53" s="41">
        <v>45342.0</v>
      </c>
      <c r="C53" s="22">
        <v>662170.0</v>
      </c>
      <c r="D53" s="23">
        <v>500410.0</v>
      </c>
      <c r="E53" s="24">
        <f>2000+3400+1400+200+600+200+250</f>
        <v>8050</v>
      </c>
      <c r="F53" s="25">
        <f>1000+1000+1000+500</f>
        <v>3500</v>
      </c>
      <c r="G53" s="101">
        <f>254200+28400</f>
        <v>282600</v>
      </c>
      <c r="H53" s="27">
        <v>108150.0</v>
      </c>
      <c r="I53" s="27"/>
      <c r="J53" s="28"/>
      <c r="K53" s="29">
        <v>95060.0</v>
      </c>
      <c r="L53" s="30">
        <v>159660.0</v>
      </c>
      <c r="M53" s="31"/>
      <c r="N53" s="39"/>
      <c r="O53" s="33"/>
      <c r="P53" s="40"/>
      <c r="Q53" s="35"/>
      <c r="R53" s="33"/>
      <c r="S53" s="33"/>
      <c r="T53" s="35"/>
      <c r="U53" s="35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hidden="1">
      <c r="A54" s="343" t="s">
        <v>23</v>
      </c>
      <c r="B54" s="21">
        <v>45343.0</v>
      </c>
      <c r="C54" s="22">
        <v>661440.0</v>
      </c>
      <c r="D54" s="23">
        <v>474300.0</v>
      </c>
      <c r="E54" s="24">
        <v>6000.0</v>
      </c>
      <c r="F54" s="25">
        <v>3500.0</v>
      </c>
      <c r="G54" s="101">
        <v>235200.0</v>
      </c>
      <c r="H54" s="27">
        <v>156600.0</v>
      </c>
      <c r="I54" s="27"/>
      <c r="J54" s="28"/>
      <c r="K54" s="29">
        <v>70600.0</v>
      </c>
      <c r="L54" s="30">
        <v>193340.0</v>
      </c>
      <c r="M54" s="31"/>
      <c r="N54" s="39"/>
      <c r="O54" s="33"/>
      <c r="P54" s="40"/>
      <c r="Q54" s="35"/>
      <c r="R54" s="33"/>
      <c r="S54" s="33"/>
      <c r="T54" s="35"/>
      <c r="U54" s="35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hidden="1">
      <c r="A55" s="343" t="s">
        <v>24</v>
      </c>
      <c r="B55" s="21">
        <v>45344.0</v>
      </c>
      <c r="C55" s="22">
        <v>696780.0</v>
      </c>
      <c r="D55" s="23">
        <v>587780.0</v>
      </c>
      <c r="E55" s="24">
        <v>6000.0</v>
      </c>
      <c r="F55" s="25">
        <v>3500.0</v>
      </c>
      <c r="G55" s="101">
        <f>231800+7600</f>
        <v>239400</v>
      </c>
      <c r="H55" s="87">
        <v>134055.0</v>
      </c>
      <c r="I55" s="87"/>
      <c r="J55" s="88"/>
      <c r="K55" s="89">
        <v>181200.0</v>
      </c>
      <c r="L55" s="30">
        <v>109000.0</v>
      </c>
      <c r="M55" s="31"/>
      <c r="N55" s="32"/>
      <c r="O55" s="33"/>
      <c r="P55" s="40"/>
      <c r="Q55" s="35"/>
      <c r="R55" s="33"/>
      <c r="S55" s="33"/>
      <c r="T55" s="35"/>
      <c r="U55" s="35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hidden="1">
      <c r="A56" s="343" t="s">
        <v>25</v>
      </c>
      <c r="B56" s="21">
        <v>45345.0</v>
      </c>
      <c r="C56" s="22">
        <v>562300.0</v>
      </c>
      <c r="D56" s="23">
        <v>451400.0</v>
      </c>
      <c r="E56" s="24">
        <v>6000.0</v>
      </c>
      <c r="F56" s="25">
        <v>3500.0</v>
      </c>
      <c r="G56" s="101">
        <v>233700.0</v>
      </c>
      <c r="H56" s="87">
        <v>72255.0</v>
      </c>
      <c r="I56" s="87"/>
      <c r="J56" s="88"/>
      <c r="K56" s="89">
        <v>181500.0</v>
      </c>
      <c r="L56" s="30">
        <v>106100.0</v>
      </c>
      <c r="M56" s="31"/>
      <c r="N56" s="39"/>
      <c r="O56" s="33"/>
      <c r="P56" s="40"/>
      <c r="Q56" s="35"/>
      <c r="R56" s="33"/>
      <c r="S56" s="33"/>
      <c r="T56" s="35"/>
      <c r="U56" s="35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hidden="1">
      <c r="A57" s="344" t="s">
        <v>26</v>
      </c>
      <c r="B57" s="21">
        <v>45346.0</v>
      </c>
      <c r="C57" s="22">
        <v>773900.0</v>
      </c>
      <c r="D57" s="23">
        <v>567100.0</v>
      </c>
      <c r="E57" s="24">
        <v>6000.0</v>
      </c>
      <c r="F57" s="25">
        <v>11500.0</v>
      </c>
      <c r="G57" s="101">
        <v>359470.0</v>
      </c>
      <c r="H57" s="90">
        <v>70200.0</v>
      </c>
      <c r="I57" s="90"/>
      <c r="J57" s="91"/>
      <c r="K57" s="92">
        <v>119330.0</v>
      </c>
      <c r="L57" s="30">
        <v>238400.0</v>
      </c>
      <c r="M57" s="31"/>
      <c r="N57" s="39"/>
      <c r="O57" s="33"/>
      <c r="P57" s="40"/>
      <c r="Q57" s="35"/>
      <c r="R57" s="33"/>
      <c r="S57" s="33"/>
      <c r="T57" s="35"/>
      <c r="U57" s="35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hidden="1">
      <c r="A58" s="351" t="s">
        <v>27</v>
      </c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3"/>
      <c r="P58" s="40"/>
      <c r="Q58" s="35"/>
      <c r="R58" s="33"/>
      <c r="S58" s="33"/>
      <c r="T58" s="35"/>
      <c r="U58" s="35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hidden="1">
      <c r="A59" s="344" t="s">
        <v>21</v>
      </c>
      <c r="B59" s="41">
        <v>45348.0</v>
      </c>
      <c r="C59" s="22">
        <v>653040.0</v>
      </c>
      <c r="D59" s="23">
        <v>537640.0</v>
      </c>
      <c r="E59" s="24">
        <f>600+1500+1900+1550+200+740+200+200</f>
        <v>6890</v>
      </c>
      <c r="F59" s="25">
        <v>11500.0</v>
      </c>
      <c r="G59" s="101">
        <f>90500+103900</f>
        <v>194400</v>
      </c>
      <c r="H59" s="90">
        <v>110231.0</v>
      </c>
      <c r="I59" s="90"/>
      <c r="J59" s="91"/>
      <c r="K59" s="92">
        <v>231740.0</v>
      </c>
      <c r="L59" s="30">
        <v>106300.0</v>
      </c>
      <c r="M59" s="31"/>
      <c r="N59" s="32"/>
      <c r="O59" s="33"/>
      <c r="P59" s="40"/>
      <c r="Q59" s="35"/>
      <c r="R59" s="33"/>
      <c r="S59" s="33"/>
      <c r="T59" s="35"/>
      <c r="U59" s="35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hidden="1">
      <c r="A60" s="344" t="s">
        <v>738</v>
      </c>
      <c r="B60" s="41">
        <v>45349.0</v>
      </c>
      <c r="C60" s="22">
        <v>588360.0</v>
      </c>
      <c r="D60" s="23">
        <v>449620.0</v>
      </c>
      <c r="E60" s="24"/>
      <c r="F60" s="25"/>
      <c r="G60" s="101">
        <v>255580.0</v>
      </c>
      <c r="H60" s="90">
        <v>90900.0</v>
      </c>
      <c r="I60" s="90"/>
      <c r="J60" s="91"/>
      <c r="K60" s="92">
        <v>104340.0</v>
      </c>
      <c r="L60" s="30">
        <v>138540.0</v>
      </c>
      <c r="M60" s="31"/>
      <c r="N60" s="39"/>
      <c r="O60" s="33"/>
      <c r="P60" s="40"/>
      <c r="Q60" s="35"/>
      <c r="R60" s="33"/>
      <c r="S60" s="33"/>
      <c r="T60" s="35"/>
      <c r="U60" s="35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hidden="1">
      <c r="A61" s="344" t="s">
        <v>23</v>
      </c>
      <c r="B61" s="41">
        <v>45350.0</v>
      </c>
      <c r="C61" s="22">
        <v>685580.0</v>
      </c>
      <c r="D61" s="23">
        <v>489000.0</v>
      </c>
      <c r="E61" s="24"/>
      <c r="F61" s="25">
        <v>3500.0</v>
      </c>
      <c r="G61" s="101">
        <v>250700.0</v>
      </c>
      <c r="H61" s="90">
        <v>109626.0</v>
      </c>
      <c r="I61" s="90"/>
      <c r="J61" s="91"/>
      <c r="K61" s="92">
        <v>146500.0</v>
      </c>
      <c r="L61" s="30">
        <v>202080.0</v>
      </c>
      <c r="M61" s="31"/>
      <c r="N61" s="39"/>
      <c r="O61" s="33"/>
      <c r="P61" s="40"/>
      <c r="Q61" s="35"/>
      <c r="R61" s="33"/>
      <c r="S61" s="33"/>
      <c r="T61" s="35"/>
      <c r="U61" s="35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hidden="1">
      <c r="A62" s="344" t="s">
        <v>740</v>
      </c>
      <c r="B62" s="41">
        <v>45351.0</v>
      </c>
      <c r="C62" s="22">
        <v>1338120.0</v>
      </c>
      <c r="D62" s="23">
        <v>1188960.0</v>
      </c>
      <c r="E62" s="24"/>
      <c r="F62" s="25">
        <v>3500.0</v>
      </c>
      <c r="G62" s="101">
        <v>731800.0</v>
      </c>
      <c r="H62" s="90">
        <v>201311.0</v>
      </c>
      <c r="I62" s="90"/>
      <c r="J62" s="91"/>
      <c r="K62" s="92">
        <v>226860.0</v>
      </c>
      <c r="L62" s="30">
        <v>181160.0</v>
      </c>
      <c r="M62" s="31"/>
      <c r="N62" s="39"/>
      <c r="O62" s="33"/>
      <c r="P62" s="40"/>
      <c r="Q62" s="35"/>
      <c r="R62" s="33"/>
      <c r="S62" s="33"/>
      <c r="T62" s="35"/>
      <c r="U62" s="35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hidden="1">
      <c r="A63" s="356" t="s">
        <v>28</v>
      </c>
      <c r="B63" s="94"/>
      <c r="C63" s="95">
        <f>SUM(C34:C62)</f>
        <v>16456405</v>
      </c>
      <c r="D63" s="95"/>
      <c r="E63" s="95"/>
      <c r="F63" s="95"/>
      <c r="G63" s="95"/>
      <c r="H63" s="95"/>
      <c r="I63" s="95"/>
      <c r="J63" s="95"/>
      <c r="K63" s="95"/>
      <c r="L63" s="73"/>
      <c r="M63" s="97"/>
      <c r="N63" s="39"/>
      <c r="O63" s="33"/>
      <c r="P63" s="40"/>
      <c r="Q63" s="35"/>
      <c r="R63" s="33"/>
      <c r="S63" s="33"/>
      <c r="T63" s="35"/>
      <c r="U63" s="35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hidden="1">
      <c r="A64" s="357" t="s">
        <v>25</v>
      </c>
      <c r="B64" s="100">
        <v>45352.0</v>
      </c>
      <c r="C64" s="22">
        <v>765740.0</v>
      </c>
      <c r="D64" s="101">
        <v>627400.0</v>
      </c>
      <c r="E64" s="24"/>
      <c r="F64" s="25">
        <v>2500.0</v>
      </c>
      <c r="G64" s="101">
        <v>312700.0</v>
      </c>
      <c r="H64" s="27">
        <v>144381.0</v>
      </c>
      <c r="I64" s="27"/>
      <c r="J64" s="28"/>
      <c r="K64" s="29">
        <v>178800.0</v>
      </c>
      <c r="L64" s="30">
        <v>141740.0</v>
      </c>
      <c r="M64" s="31"/>
      <c r="N64" s="39"/>
      <c r="O64" s="33"/>
      <c r="P64" s="40"/>
      <c r="Q64" s="35"/>
      <c r="R64" s="33"/>
      <c r="S64" s="33"/>
      <c r="T64" s="35"/>
      <c r="U64" s="35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hidden="1">
      <c r="A65" s="357" t="s">
        <v>33</v>
      </c>
      <c r="B65" s="100">
        <v>45353.0</v>
      </c>
      <c r="C65" s="22">
        <v>605600.0</v>
      </c>
      <c r="D65" s="23">
        <v>492000.0</v>
      </c>
      <c r="E65" s="24"/>
      <c r="F65" s="25"/>
      <c r="G65" s="101">
        <v>213900.0</v>
      </c>
      <c r="H65" s="27">
        <v>81505.0</v>
      </c>
      <c r="I65" s="27"/>
      <c r="J65" s="28"/>
      <c r="K65" s="29">
        <v>102700.0</v>
      </c>
      <c r="L65" s="30">
        <v>113600.0</v>
      </c>
      <c r="M65" s="31"/>
      <c r="N65" s="39"/>
      <c r="O65" s="33"/>
      <c r="P65" s="40"/>
      <c r="Q65" s="35"/>
      <c r="R65" s="33"/>
      <c r="S65" s="33"/>
      <c r="T65" s="35"/>
      <c r="U65" s="35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hidden="1">
      <c r="A66" s="351" t="s">
        <v>27</v>
      </c>
      <c r="B66" s="100">
        <v>45354.0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15"/>
      <c r="N66" s="352"/>
      <c r="O66" s="33"/>
      <c r="P66" s="40"/>
      <c r="Q66" s="35"/>
      <c r="R66" s="33"/>
      <c r="S66" s="33"/>
      <c r="T66" s="35"/>
      <c r="U66" s="35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hidden="1">
      <c r="A67" s="357" t="s">
        <v>21</v>
      </c>
      <c r="B67" s="100">
        <v>45355.0</v>
      </c>
      <c r="C67" s="22">
        <v>534500.0</v>
      </c>
      <c r="D67" s="23">
        <v>459100.0</v>
      </c>
      <c r="E67" s="24"/>
      <c r="F67" s="25">
        <v>2500.0</v>
      </c>
      <c r="G67" s="101">
        <v>126300.0</v>
      </c>
      <c r="H67" s="27">
        <v>138666.0</v>
      </c>
      <c r="I67" s="27"/>
      <c r="J67" s="28"/>
      <c r="K67" s="29">
        <v>127600.0</v>
      </c>
      <c r="L67" s="30">
        <v>75400.0</v>
      </c>
      <c r="M67" s="31"/>
      <c r="N67" s="39"/>
      <c r="O67" s="33"/>
      <c r="P67" s="40"/>
      <c r="Q67" s="35"/>
      <c r="R67" s="33"/>
      <c r="S67" s="33"/>
      <c r="T67" s="35"/>
      <c r="U67" s="35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hidden="1">
      <c r="A68" s="357" t="s">
        <v>22</v>
      </c>
      <c r="B68" s="100">
        <v>45356.0</v>
      </c>
      <c r="C68" s="22">
        <v>850260.0</v>
      </c>
      <c r="D68" s="23">
        <v>716700.0</v>
      </c>
      <c r="E68" s="24"/>
      <c r="F68" s="25"/>
      <c r="G68" s="101">
        <v>349400.0</v>
      </c>
      <c r="H68" s="27">
        <v>19115.0</v>
      </c>
      <c r="I68" s="27"/>
      <c r="J68" s="28"/>
      <c r="K68" s="29">
        <v>174900.0</v>
      </c>
      <c r="L68" s="30">
        <v>143460.0</v>
      </c>
      <c r="M68" s="31"/>
      <c r="N68" s="39"/>
      <c r="O68" s="33"/>
      <c r="P68" s="40"/>
      <c r="Q68" s="35"/>
      <c r="R68" s="33"/>
      <c r="S68" s="33"/>
      <c r="T68" s="35"/>
      <c r="U68" s="35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hidden="1">
      <c r="A69" s="357" t="s">
        <v>32</v>
      </c>
      <c r="B69" s="100">
        <v>45357.0</v>
      </c>
      <c r="C69" s="22">
        <v>686210.0</v>
      </c>
      <c r="D69" s="23">
        <v>559100.0</v>
      </c>
      <c r="E69" s="24"/>
      <c r="F69" s="25"/>
      <c r="G69" s="101">
        <v>361200.0</v>
      </c>
      <c r="H69" s="27">
        <v>66215.0</v>
      </c>
      <c r="I69" s="27"/>
      <c r="J69" s="28"/>
      <c r="K69" s="29">
        <v>110500.0</v>
      </c>
      <c r="L69" s="30">
        <v>140110.0</v>
      </c>
      <c r="M69" s="31"/>
      <c r="N69" s="39"/>
      <c r="O69" s="33"/>
      <c r="P69" s="40"/>
      <c r="Q69" s="35"/>
      <c r="R69" s="33"/>
      <c r="S69" s="33"/>
      <c r="T69" s="35"/>
      <c r="U69" s="35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hidden="1">
      <c r="A70" s="357" t="s">
        <v>24</v>
      </c>
      <c r="B70" s="100">
        <v>45358.0</v>
      </c>
      <c r="C70" s="22">
        <v>876350.0</v>
      </c>
      <c r="D70" s="23">
        <v>733560.0</v>
      </c>
      <c r="E70" s="24"/>
      <c r="F70" s="25"/>
      <c r="G70" s="101">
        <v>354300.0</v>
      </c>
      <c r="H70" s="27">
        <v>183315.0</v>
      </c>
      <c r="I70" s="27"/>
      <c r="J70" s="28"/>
      <c r="K70" s="29">
        <v>99380.0</v>
      </c>
      <c r="L70" s="30">
        <v>172890.0</v>
      </c>
      <c r="M70" s="31"/>
      <c r="N70" s="39"/>
      <c r="O70" s="33"/>
      <c r="P70" s="40"/>
      <c r="Q70" s="35"/>
      <c r="R70" s="33"/>
      <c r="S70" s="33"/>
      <c r="T70" s="35"/>
      <c r="U70" s="35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hidden="1">
      <c r="A71" s="357" t="s">
        <v>25</v>
      </c>
      <c r="B71" s="100">
        <v>45359.0</v>
      </c>
      <c r="C71" s="22">
        <v>630640.0</v>
      </c>
      <c r="D71" s="23">
        <v>492840.0</v>
      </c>
      <c r="E71" s="24"/>
      <c r="F71" s="25">
        <v>2500.0</v>
      </c>
      <c r="G71" s="101">
        <v>278900.0</v>
      </c>
      <c r="H71" s="27">
        <v>72105.0</v>
      </c>
      <c r="I71" s="27"/>
      <c r="J71" s="28"/>
      <c r="K71" s="29">
        <v>168540.0</v>
      </c>
      <c r="L71" s="30">
        <v>126500.0</v>
      </c>
      <c r="M71" s="31"/>
      <c r="N71" s="39"/>
      <c r="O71" s="33"/>
      <c r="P71" s="40"/>
      <c r="Q71" s="35"/>
      <c r="R71" s="33"/>
      <c r="S71" s="33"/>
      <c r="T71" s="35"/>
      <c r="U71" s="35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hidden="1">
      <c r="A72" s="357" t="s">
        <v>33</v>
      </c>
      <c r="B72" s="100">
        <v>45360.0</v>
      </c>
      <c r="C72" s="22">
        <v>697970.0</v>
      </c>
      <c r="D72" s="23">
        <v>556580.0</v>
      </c>
      <c r="E72" s="24"/>
      <c r="F72" s="25">
        <v>2500.0</v>
      </c>
      <c r="G72" s="101">
        <v>299700.0</v>
      </c>
      <c r="H72" s="27">
        <v>165100.0</v>
      </c>
      <c r="I72" s="27"/>
      <c r="J72" s="28"/>
      <c r="K72" s="29">
        <v>165100.0</v>
      </c>
      <c r="L72" s="30">
        <v>139190.0</v>
      </c>
      <c r="M72" s="49"/>
      <c r="N72" s="39"/>
      <c r="O72" s="33"/>
      <c r="P72" s="40"/>
      <c r="Q72" s="35"/>
      <c r="R72" s="33"/>
      <c r="S72" s="33"/>
      <c r="T72" s="35"/>
      <c r="U72" s="35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hidden="1">
      <c r="A73" s="358" t="s">
        <v>27</v>
      </c>
      <c r="B73" s="100">
        <v>45361.0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15"/>
      <c r="N73" s="32"/>
      <c r="O73" s="33"/>
      <c r="P73" s="40"/>
      <c r="Q73" s="35"/>
      <c r="R73" s="33"/>
      <c r="S73" s="33"/>
      <c r="T73" s="35"/>
      <c r="U73" s="35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hidden="1">
      <c r="A74" s="357" t="s">
        <v>21</v>
      </c>
      <c r="B74" s="100">
        <v>45362.0</v>
      </c>
      <c r="C74" s="22">
        <v>461400.0</v>
      </c>
      <c r="D74" s="23">
        <v>337560.0</v>
      </c>
      <c r="E74" s="24"/>
      <c r="F74" s="25">
        <v>2500.0</v>
      </c>
      <c r="G74" s="101">
        <v>146000.0</v>
      </c>
      <c r="H74" s="27">
        <v>68700.0</v>
      </c>
      <c r="I74" s="27"/>
      <c r="J74" s="111"/>
      <c r="K74" s="29">
        <v>112060.0</v>
      </c>
      <c r="L74" s="30">
        <v>111440.0</v>
      </c>
      <c r="M74" s="31"/>
      <c r="N74" s="39"/>
      <c r="O74" s="33"/>
      <c r="P74" s="40"/>
      <c r="Q74" s="35"/>
      <c r="R74" s="33"/>
      <c r="S74" s="33"/>
      <c r="T74" s="35"/>
      <c r="U74" s="35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hidden="1">
      <c r="A75" s="357" t="s">
        <v>22</v>
      </c>
      <c r="B75" s="100">
        <v>45363.0</v>
      </c>
      <c r="C75" s="22">
        <v>561770.0</v>
      </c>
      <c r="D75" s="23">
        <v>402790.0</v>
      </c>
      <c r="E75" s="24"/>
      <c r="F75" s="25">
        <v>2500.0</v>
      </c>
      <c r="G75" s="101">
        <v>200130.0</v>
      </c>
      <c r="H75" s="27">
        <v>51700.0</v>
      </c>
      <c r="I75" s="27"/>
      <c r="J75" s="28"/>
      <c r="K75" s="29">
        <v>144750.0</v>
      </c>
      <c r="L75" s="30">
        <v>188780.0</v>
      </c>
      <c r="M75" s="31"/>
      <c r="N75" s="32"/>
      <c r="O75" s="33"/>
      <c r="P75" s="40"/>
      <c r="Q75" s="35"/>
      <c r="R75" s="33"/>
      <c r="S75" s="33"/>
      <c r="T75" s="35"/>
      <c r="U75" s="35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 hidden="1">
      <c r="A76" s="357" t="s">
        <v>32</v>
      </c>
      <c r="B76" s="100">
        <v>45364.0</v>
      </c>
      <c r="C76" s="22">
        <v>549780.0</v>
      </c>
      <c r="D76" s="23">
        <v>430960.0</v>
      </c>
      <c r="E76" s="24"/>
      <c r="F76" s="25">
        <v>2500.0</v>
      </c>
      <c r="G76" s="101">
        <v>158800.0</v>
      </c>
      <c r="H76" s="27">
        <v>122900.0</v>
      </c>
      <c r="I76" s="27"/>
      <c r="J76" s="28"/>
      <c r="K76" s="29">
        <v>149660.0</v>
      </c>
      <c r="L76" s="30">
        <v>122320.0</v>
      </c>
      <c r="M76" s="31"/>
      <c r="N76" s="39"/>
      <c r="O76" s="33"/>
      <c r="P76" s="40"/>
      <c r="Q76" s="35"/>
      <c r="R76" s="33"/>
      <c r="S76" s="33"/>
      <c r="T76" s="35"/>
      <c r="U76" s="35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 hidden="1">
      <c r="A77" s="357" t="s">
        <v>24</v>
      </c>
      <c r="B77" s="100">
        <v>45365.0</v>
      </c>
      <c r="C77" s="22">
        <v>809220.0</v>
      </c>
      <c r="D77" s="23">
        <v>685500.0</v>
      </c>
      <c r="E77" s="24"/>
      <c r="F77" s="25">
        <v>2500.0</v>
      </c>
      <c r="G77" s="101">
        <v>391900.0</v>
      </c>
      <c r="H77" s="27">
        <v>102110.0</v>
      </c>
      <c r="I77" s="27"/>
      <c r="J77" s="28"/>
      <c r="K77" s="29">
        <v>174700.0</v>
      </c>
      <c r="L77" s="30">
        <v>137720.0</v>
      </c>
      <c r="M77" s="31"/>
      <c r="N77" s="32"/>
      <c r="O77" s="33"/>
      <c r="P77" s="40"/>
      <c r="Q77" s="35"/>
      <c r="R77" s="33"/>
      <c r="S77" s="33"/>
      <c r="T77" s="35"/>
      <c r="U77" s="35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hidden="1">
      <c r="A78" s="357" t="s">
        <v>25</v>
      </c>
      <c r="B78" s="100">
        <v>45366.0</v>
      </c>
      <c r="C78" s="22">
        <f>1528640-C77</f>
        <v>719420</v>
      </c>
      <c r="D78" s="23">
        <v>585770.0</v>
      </c>
      <c r="E78" s="24"/>
      <c r="F78" s="25"/>
      <c r="G78" s="101"/>
      <c r="H78" s="27">
        <v>143121.0</v>
      </c>
      <c r="I78" s="27"/>
      <c r="J78" s="28"/>
      <c r="K78" s="29">
        <f>300870-K77</f>
        <v>126170</v>
      </c>
      <c r="L78" s="30">
        <f>293970-L77</f>
        <v>156250</v>
      </c>
      <c r="M78" s="31"/>
      <c r="N78" s="39"/>
      <c r="O78" s="33"/>
      <c r="P78" s="40"/>
      <c r="Q78" s="35"/>
      <c r="R78" s="33"/>
      <c r="S78" s="33"/>
      <c r="T78" s="35"/>
      <c r="U78" s="35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 hidden="1">
      <c r="A79" s="357" t="s">
        <v>33</v>
      </c>
      <c r="B79" s="100">
        <v>45367.0</v>
      </c>
      <c r="C79" s="22">
        <v>545560.0</v>
      </c>
      <c r="D79" s="23">
        <v>429750.0</v>
      </c>
      <c r="E79" s="24"/>
      <c r="F79" s="25">
        <v>2500.0</v>
      </c>
      <c r="G79" s="101">
        <v>228000.0</v>
      </c>
      <c r="H79" s="27">
        <v>64155.0</v>
      </c>
      <c r="I79" s="27"/>
      <c r="J79" s="28"/>
      <c r="K79" s="29">
        <v>155600.0</v>
      </c>
      <c r="L79" s="30">
        <v>115810.0</v>
      </c>
      <c r="M79" s="31"/>
      <c r="N79" s="39"/>
      <c r="O79" s="33"/>
      <c r="P79" s="40"/>
      <c r="Q79" s="35"/>
      <c r="R79" s="33"/>
      <c r="S79" s="33"/>
      <c r="T79" s="35"/>
      <c r="U79" s="35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 hidden="1">
      <c r="A80" s="358" t="s">
        <v>27</v>
      </c>
      <c r="B80" s="100">
        <v>45368.0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15"/>
      <c r="N80" s="32"/>
      <c r="O80" s="33"/>
      <c r="P80" s="40"/>
      <c r="Q80" s="35"/>
      <c r="R80" s="33"/>
      <c r="S80" s="33"/>
      <c r="T80" s="35"/>
      <c r="U80" s="35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hidden="1">
      <c r="A81" s="357" t="s">
        <v>21</v>
      </c>
      <c r="B81" s="100">
        <v>45369.0</v>
      </c>
      <c r="C81" s="22">
        <v>615660.0</v>
      </c>
      <c r="D81" s="23">
        <v>461160.0</v>
      </c>
      <c r="E81" s="24"/>
      <c r="F81" s="25"/>
      <c r="G81" s="101">
        <f>44600+14600+198700</f>
        <v>257900</v>
      </c>
      <c r="H81" s="27">
        <v>65915.0</v>
      </c>
      <c r="I81" s="27"/>
      <c r="J81" s="111"/>
      <c r="K81" s="29">
        <v>124260.0</v>
      </c>
      <c r="L81" s="30">
        <v>177800.0</v>
      </c>
      <c r="M81" s="31"/>
      <c r="N81" s="39"/>
      <c r="O81" s="33"/>
      <c r="P81" s="40"/>
      <c r="Q81" s="35"/>
      <c r="R81" s="33"/>
      <c r="S81" s="33"/>
      <c r="T81" s="35"/>
      <c r="U81" s="35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hidden="1">
      <c r="A82" s="357" t="s">
        <v>22</v>
      </c>
      <c r="B82" s="100">
        <v>45370.0</v>
      </c>
      <c r="C82" s="22">
        <v>658390.0</v>
      </c>
      <c r="D82" s="23">
        <v>514780.0</v>
      </c>
      <c r="E82" s="24"/>
      <c r="F82" s="25">
        <v>2500.0</v>
      </c>
      <c r="G82" s="101">
        <v>194800.0</v>
      </c>
      <c r="H82" s="27">
        <v>202959.0</v>
      </c>
      <c r="I82" s="27"/>
      <c r="J82" s="28"/>
      <c r="K82" s="29">
        <v>97180.0</v>
      </c>
      <c r="L82" s="30">
        <v>154710.0</v>
      </c>
      <c r="M82" s="49"/>
      <c r="N82" s="32"/>
      <c r="O82" s="33"/>
      <c r="P82" s="40"/>
      <c r="Q82" s="35"/>
      <c r="R82" s="33"/>
      <c r="S82" s="33"/>
      <c r="T82" s="35"/>
      <c r="U82" s="35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hidden="1">
      <c r="A83" s="357" t="s">
        <v>32</v>
      </c>
      <c r="B83" s="100">
        <v>45371.0</v>
      </c>
      <c r="C83" s="22">
        <v>560030.0</v>
      </c>
      <c r="D83" s="23">
        <v>414960.0</v>
      </c>
      <c r="E83" s="24"/>
      <c r="F83" s="25">
        <v>2500.0</v>
      </c>
      <c r="G83" s="101">
        <v>163300.0</v>
      </c>
      <c r="H83" s="27">
        <v>160250.0</v>
      </c>
      <c r="I83" s="27"/>
      <c r="J83" s="28"/>
      <c r="K83" s="29">
        <v>103010.0</v>
      </c>
      <c r="L83" s="30">
        <v>143370.0</v>
      </c>
      <c r="M83" s="31"/>
      <c r="N83" s="39"/>
      <c r="O83" s="33"/>
      <c r="P83" s="40"/>
      <c r="Q83" s="35"/>
      <c r="R83" s="33"/>
      <c r="S83" s="33"/>
      <c r="T83" s="35"/>
      <c r="U83" s="35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 hidden="1">
      <c r="A84" s="357" t="s">
        <v>24</v>
      </c>
      <c r="B84" s="100">
        <v>45372.0</v>
      </c>
      <c r="C84" s="22">
        <f>1726560-C83-C82</f>
        <v>508140</v>
      </c>
      <c r="D84" s="23">
        <f>857550-D83</f>
        <v>442590</v>
      </c>
      <c r="E84" s="24"/>
      <c r="F84" s="25">
        <v>2500.0</v>
      </c>
      <c r="G84" s="101">
        <f>482900-G83 </f>
        <v>319600</v>
      </c>
      <c r="H84" s="101">
        <f>482900-H83-H83</f>
        <v>162400</v>
      </c>
      <c r="I84" s="101"/>
      <c r="J84" s="28"/>
      <c r="K84" s="101">
        <f>482900-K83-K82</f>
        <v>282710</v>
      </c>
      <c r="L84" s="30">
        <f>421550-L83-L82</f>
        <v>123470</v>
      </c>
      <c r="M84" s="31"/>
      <c r="N84" s="39"/>
      <c r="O84" s="33"/>
      <c r="P84" s="40"/>
      <c r="Q84" s="35"/>
      <c r="R84" s="33"/>
      <c r="S84" s="33"/>
      <c r="T84" s="35"/>
      <c r="U84" s="35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 hidden="1">
      <c r="A85" s="357" t="s">
        <v>25</v>
      </c>
      <c r="B85" s="100">
        <v>45373.0</v>
      </c>
      <c r="C85" s="22">
        <v>635530.0</v>
      </c>
      <c r="D85" s="23">
        <v>558060.0</v>
      </c>
      <c r="E85" s="24"/>
      <c r="F85" s="25">
        <v>2500.0</v>
      </c>
      <c r="G85" s="101">
        <v>263300.0</v>
      </c>
      <c r="H85" s="27">
        <v>110351.0</v>
      </c>
      <c r="I85" s="27"/>
      <c r="J85" s="28"/>
      <c r="K85" s="29">
        <v>195700.0</v>
      </c>
      <c r="L85" s="30">
        <v>69870.0</v>
      </c>
      <c r="M85" s="31"/>
      <c r="N85" s="39"/>
      <c r="O85" s="33"/>
      <c r="P85" s="40"/>
      <c r="Q85" s="35"/>
      <c r="R85" s="33"/>
      <c r="S85" s="33"/>
      <c r="T85" s="35"/>
      <c r="U85" s="35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hidden="1">
      <c r="A86" s="357" t="s">
        <v>33</v>
      </c>
      <c r="B86" s="100">
        <v>45374.0</v>
      </c>
      <c r="C86" s="22">
        <v>747520.0</v>
      </c>
      <c r="D86" s="23">
        <v>568280.0</v>
      </c>
      <c r="E86" s="24"/>
      <c r="F86" s="25">
        <v>2500.0</v>
      </c>
      <c r="G86" s="101">
        <v>347600.0</v>
      </c>
      <c r="H86" s="27">
        <v>124721.0</v>
      </c>
      <c r="I86" s="27"/>
      <c r="J86" s="28"/>
      <c r="K86" s="29"/>
      <c r="L86" s="30">
        <v>147040.0</v>
      </c>
      <c r="M86" s="31"/>
      <c r="N86" s="39"/>
      <c r="O86" s="33"/>
      <c r="P86" s="40"/>
      <c r="Q86" s="35"/>
      <c r="R86" s="33"/>
      <c r="S86" s="33"/>
      <c r="T86" s="35"/>
      <c r="U86" s="35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hidden="1">
      <c r="A87" s="358" t="s">
        <v>27</v>
      </c>
      <c r="B87" s="100">
        <v>45375.0</v>
      </c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15"/>
      <c r="N87" s="39"/>
      <c r="O87" s="33"/>
      <c r="P87" s="40"/>
      <c r="Q87" s="35"/>
      <c r="R87" s="33"/>
      <c r="S87" s="33"/>
      <c r="T87" s="35"/>
      <c r="U87" s="35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hidden="1">
      <c r="A88" s="357" t="s">
        <v>21</v>
      </c>
      <c r="B88" s="100">
        <v>45376.0</v>
      </c>
      <c r="C88" s="22">
        <v>784860.0</v>
      </c>
      <c r="D88" s="23">
        <v>646500.0</v>
      </c>
      <c r="E88" s="24"/>
      <c r="F88" s="25">
        <v>2500.0</v>
      </c>
      <c r="G88" s="101">
        <v>361100.0</v>
      </c>
      <c r="H88" s="27">
        <v>79200.0</v>
      </c>
      <c r="I88" s="27"/>
      <c r="J88" s="111"/>
      <c r="K88" s="29">
        <v>196400.0</v>
      </c>
      <c r="L88" s="30">
        <v>181160.0</v>
      </c>
      <c r="M88" s="31"/>
      <c r="N88" s="39"/>
      <c r="O88" s="33"/>
      <c r="P88" s="40"/>
      <c r="Q88" s="35"/>
      <c r="R88" s="33"/>
      <c r="S88" s="33"/>
      <c r="T88" s="35"/>
      <c r="U88" s="35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hidden="1">
      <c r="A89" s="357" t="s">
        <v>22</v>
      </c>
      <c r="B89" s="100">
        <v>45377.0</v>
      </c>
      <c r="C89" s="116">
        <v>926250.0</v>
      </c>
      <c r="D89" s="23">
        <v>776700.0</v>
      </c>
      <c r="E89" s="24"/>
      <c r="F89" s="25">
        <v>2500.0</v>
      </c>
      <c r="G89" s="101">
        <v>391800.0</v>
      </c>
      <c r="H89" s="27">
        <v>130500.0</v>
      </c>
      <c r="I89" s="27"/>
      <c r="J89" s="28"/>
      <c r="K89" s="29">
        <v>261800.0</v>
      </c>
      <c r="L89" s="30">
        <v>161850.0</v>
      </c>
      <c r="M89" s="31"/>
      <c r="N89" s="32"/>
      <c r="O89" s="33"/>
      <c r="P89" s="40"/>
      <c r="Q89" s="35"/>
      <c r="R89" s="33"/>
      <c r="S89" s="33"/>
      <c r="T89" s="35"/>
      <c r="U89" s="35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 hidden="1">
      <c r="A90" s="357" t="s">
        <v>32</v>
      </c>
      <c r="B90" s="100">
        <v>45378.0</v>
      </c>
      <c r="C90" s="116">
        <v>884120.0</v>
      </c>
      <c r="D90" s="23">
        <v>766180.0</v>
      </c>
      <c r="E90" s="24"/>
      <c r="F90" s="25">
        <v>2500.0</v>
      </c>
      <c r="G90" s="101">
        <v>327200.0</v>
      </c>
      <c r="H90" s="27">
        <v>102600.0</v>
      </c>
      <c r="I90" s="27"/>
      <c r="J90" s="28"/>
      <c r="K90" s="29">
        <v>293480.0</v>
      </c>
      <c r="L90" s="30">
        <v>140340.0</v>
      </c>
      <c r="M90" s="31"/>
      <c r="N90" s="39"/>
      <c r="O90" s="33"/>
      <c r="P90" s="40"/>
      <c r="Q90" s="35"/>
      <c r="R90" s="33"/>
      <c r="S90" s="33"/>
      <c r="T90" s="35"/>
      <c r="U90" s="35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 hidden="1">
      <c r="A91" s="357" t="s">
        <v>24</v>
      </c>
      <c r="B91" s="100">
        <v>45379.0</v>
      </c>
      <c r="C91" s="116">
        <v>712350.0</v>
      </c>
      <c r="D91" s="23">
        <v>620460.0</v>
      </c>
      <c r="E91" s="24"/>
      <c r="F91" s="25">
        <v>2500.0</v>
      </c>
      <c r="G91" s="101">
        <v>365240.0</v>
      </c>
      <c r="H91" s="27">
        <v>63300.0</v>
      </c>
      <c r="I91" s="27"/>
      <c r="J91" s="28"/>
      <c r="K91" s="29">
        <v>185120.0</v>
      </c>
      <c r="L91" s="30">
        <v>88190.0</v>
      </c>
      <c r="M91" s="49"/>
      <c r="N91" s="32"/>
      <c r="O91" s="33"/>
      <c r="P91" s="40"/>
      <c r="Q91" s="35"/>
      <c r="R91" s="33"/>
      <c r="S91" s="33"/>
      <c r="T91" s="35"/>
      <c r="U91" s="35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hidden="1">
      <c r="A92" s="357" t="s">
        <v>25</v>
      </c>
      <c r="B92" s="100">
        <v>45380.0</v>
      </c>
      <c r="C92" s="22">
        <v>662760.0</v>
      </c>
      <c r="D92" s="23">
        <v>485840.0</v>
      </c>
      <c r="E92" s="119"/>
      <c r="F92" s="25">
        <v>2500.0</v>
      </c>
      <c r="G92" s="101">
        <v>275900.0</v>
      </c>
      <c r="H92" s="27">
        <v>140011.0</v>
      </c>
      <c r="I92" s="27"/>
      <c r="J92" s="123"/>
      <c r="K92" s="359">
        <v>78540.0</v>
      </c>
      <c r="L92" s="30">
        <v>188220.0</v>
      </c>
      <c r="M92" s="31"/>
      <c r="N92" s="39"/>
      <c r="O92" s="33"/>
      <c r="P92" s="40"/>
      <c r="Q92" s="35"/>
      <c r="R92" s="33"/>
      <c r="S92" s="33"/>
      <c r="T92" s="35"/>
      <c r="U92" s="35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hidden="1">
      <c r="A93" s="357" t="s">
        <v>33</v>
      </c>
      <c r="B93" s="100">
        <v>45381.0</v>
      </c>
      <c r="C93" s="22">
        <v>450230.0</v>
      </c>
      <c r="D93" s="23">
        <v>353060.0</v>
      </c>
      <c r="E93" s="24"/>
      <c r="F93" s="25">
        <v>2500.0</v>
      </c>
      <c r="G93" s="101">
        <v>175300.0</v>
      </c>
      <c r="H93" s="27">
        <v>58600.0</v>
      </c>
      <c r="I93" s="27"/>
      <c r="J93" s="123"/>
      <c r="K93" s="359">
        <v>128610.0</v>
      </c>
      <c r="L93" s="30">
        <v>97170.0</v>
      </c>
      <c r="M93" s="31"/>
      <c r="N93" s="39"/>
      <c r="O93" s="33"/>
      <c r="P93" s="40"/>
      <c r="Q93" s="35"/>
      <c r="R93" s="33"/>
      <c r="S93" s="33"/>
      <c r="T93" s="35"/>
      <c r="U93" s="35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hidden="1">
      <c r="A94" s="345" t="s">
        <v>27</v>
      </c>
      <c r="B94" s="100">
        <v>45382.0</v>
      </c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49"/>
      <c r="N94" s="39"/>
      <c r="O94" s="33"/>
      <c r="P94" s="40"/>
      <c r="Q94" s="35"/>
      <c r="R94" s="33"/>
      <c r="S94" s="33"/>
      <c r="T94" s="35"/>
      <c r="U94" s="35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hidden="1">
      <c r="A95" s="356" t="s">
        <v>28</v>
      </c>
      <c r="B95" s="94"/>
      <c r="C95" s="95">
        <f>SUM(C66:C94)</f>
        <v>16068920</v>
      </c>
      <c r="D95" s="95"/>
      <c r="E95" s="95"/>
      <c r="F95" s="95"/>
      <c r="G95" s="95"/>
      <c r="H95" s="95"/>
      <c r="I95" s="95"/>
      <c r="J95" s="95"/>
      <c r="K95" s="95"/>
      <c r="L95" s="73"/>
      <c r="M95" s="97"/>
      <c r="N95" s="39"/>
      <c r="O95" s="33"/>
      <c r="P95" s="40"/>
      <c r="Q95" s="35"/>
      <c r="R95" s="33"/>
      <c r="S95" s="33"/>
      <c r="T95" s="35"/>
      <c r="U95" s="35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hidden="1">
      <c r="A96" s="357" t="s">
        <v>21</v>
      </c>
      <c r="B96" s="100">
        <v>45383.0</v>
      </c>
      <c r="C96" s="44"/>
      <c r="D96" s="44"/>
      <c r="E96" s="44"/>
      <c r="F96" s="44"/>
      <c r="G96" s="44"/>
      <c r="H96" s="46"/>
      <c r="I96" s="46"/>
      <c r="J96" s="111"/>
      <c r="K96" s="46"/>
      <c r="L96" s="44"/>
      <c r="M96" s="46"/>
      <c r="N96" s="32"/>
      <c r="O96" s="33"/>
      <c r="P96" s="40"/>
      <c r="Q96" s="35"/>
      <c r="R96" s="33"/>
      <c r="S96" s="33"/>
      <c r="T96" s="35"/>
      <c r="U96" s="35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hidden="1">
      <c r="A97" s="357" t="s">
        <v>22</v>
      </c>
      <c r="B97" s="100">
        <v>45384.0</v>
      </c>
      <c r="C97" s="22">
        <v>740780.0</v>
      </c>
      <c r="D97" s="23">
        <v>658980.0</v>
      </c>
      <c r="E97" s="24"/>
      <c r="F97" s="25">
        <v>2500.0</v>
      </c>
      <c r="G97" s="101">
        <v>297240.0</v>
      </c>
      <c r="H97" s="27">
        <v>128300.0</v>
      </c>
      <c r="I97" s="27"/>
      <c r="J97" s="28"/>
      <c r="K97" s="29">
        <v>249280.0</v>
      </c>
      <c r="L97" s="30">
        <v>73800.0</v>
      </c>
      <c r="M97" s="49"/>
      <c r="N97" s="39"/>
      <c r="O97" s="33"/>
      <c r="P97" s="40"/>
      <c r="Q97" s="35"/>
      <c r="R97" s="33"/>
      <c r="S97" s="33"/>
      <c r="T97" s="35"/>
      <c r="U97" s="35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hidden="1">
      <c r="A98" s="357" t="s">
        <v>32</v>
      </c>
      <c r="B98" s="100">
        <v>45385.0</v>
      </c>
      <c r="C98" s="22">
        <v>539350.0</v>
      </c>
      <c r="D98" s="23">
        <v>439220.0</v>
      </c>
      <c r="E98" s="24"/>
      <c r="F98" s="25">
        <v>2000.0</v>
      </c>
      <c r="G98" s="101"/>
      <c r="H98" s="27">
        <v>100526.0</v>
      </c>
      <c r="I98" s="27"/>
      <c r="J98" s="28"/>
      <c r="K98" s="29">
        <v>71140.0</v>
      </c>
      <c r="L98" s="30">
        <v>90530.0</v>
      </c>
      <c r="M98" s="49"/>
      <c r="N98" s="32"/>
      <c r="O98" s="33"/>
      <c r="P98" s="40"/>
      <c r="Q98" s="35"/>
      <c r="R98" s="33"/>
      <c r="S98" s="33"/>
      <c r="T98" s="35"/>
      <c r="U98" s="35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hidden="1">
      <c r="A99" s="357" t="s">
        <v>24</v>
      </c>
      <c r="B99" s="100">
        <v>45386.0</v>
      </c>
      <c r="C99" s="22">
        <v>1084390.0</v>
      </c>
      <c r="D99" s="23">
        <v>896260.0</v>
      </c>
      <c r="E99" s="24"/>
      <c r="F99" s="25">
        <v>2000.0</v>
      </c>
      <c r="G99" s="2">
        <v>443400.0</v>
      </c>
      <c r="H99" s="27">
        <v>287600.0</v>
      </c>
      <c r="I99" s="27"/>
      <c r="J99" s="28"/>
      <c r="K99" s="29"/>
      <c r="L99" s="30">
        <v>181930.0</v>
      </c>
      <c r="M99" s="49"/>
      <c r="N99" s="32"/>
      <c r="O99" s="33"/>
      <c r="P99" s="40"/>
      <c r="Q99" s="35"/>
      <c r="R99" s="33"/>
      <c r="S99" s="33"/>
      <c r="T99" s="35"/>
      <c r="U99" s="35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hidden="1">
      <c r="A100" s="357" t="s">
        <v>25</v>
      </c>
      <c r="B100" s="100">
        <v>45387.0</v>
      </c>
      <c r="C100" s="22">
        <v>716170.0</v>
      </c>
      <c r="D100" s="23">
        <v>561090.0</v>
      </c>
      <c r="E100" s="24"/>
      <c r="F100" s="25">
        <v>2000.0</v>
      </c>
      <c r="G100" s="101">
        <v>249750.0</v>
      </c>
      <c r="H100" s="27">
        <v>124800.0</v>
      </c>
      <c r="I100" s="27"/>
      <c r="J100" s="28"/>
      <c r="K100" s="29">
        <v>161200.0</v>
      </c>
      <c r="L100" s="30">
        <v>175180.0</v>
      </c>
      <c r="M100" s="49"/>
      <c r="N100" s="32"/>
      <c r="O100" s="33"/>
      <c r="P100" s="40"/>
      <c r="Q100" s="35"/>
      <c r="R100" s="33"/>
      <c r="S100" s="33"/>
      <c r="T100" s="35"/>
      <c r="U100" s="35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hidden="1">
      <c r="A101" s="357" t="s">
        <v>33</v>
      </c>
      <c r="B101" s="100">
        <v>45388.0</v>
      </c>
      <c r="C101" s="22">
        <v>808550.0</v>
      </c>
      <c r="D101" s="23">
        <v>684620.0</v>
      </c>
      <c r="E101" s="24"/>
      <c r="F101" s="25">
        <v>2000.0</v>
      </c>
      <c r="G101" s="101">
        <v>327950.0</v>
      </c>
      <c r="H101" s="27">
        <v>98621.0</v>
      </c>
      <c r="I101" s="27"/>
      <c r="J101" s="28"/>
      <c r="K101" s="29">
        <v>244660.0</v>
      </c>
      <c r="L101" s="30">
        <v>139030.0</v>
      </c>
      <c r="M101" s="49"/>
      <c r="N101" s="32"/>
      <c r="O101" s="33"/>
      <c r="P101" s="40"/>
      <c r="Q101" s="35"/>
      <c r="R101" s="33"/>
      <c r="S101" s="33"/>
      <c r="T101" s="35"/>
      <c r="U101" s="35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hidden="1">
      <c r="A102" s="358" t="s">
        <v>27</v>
      </c>
      <c r="B102" s="100">
        <v>45389.0</v>
      </c>
      <c r="C102" s="110"/>
      <c r="D102" s="110"/>
      <c r="E102" s="110"/>
      <c r="F102" s="110"/>
      <c r="G102" s="110"/>
      <c r="H102" s="108"/>
      <c r="I102" s="108"/>
      <c r="J102" s="108"/>
      <c r="K102" s="108"/>
      <c r="L102" s="110"/>
      <c r="M102" s="108"/>
      <c r="N102" s="39"/>
      <c r="O102" s="33"/>
      <c r="P102" s="40"/>
      <c r="Q102" s="35"/>
      <c r="R102" s="33"/>
      <c r="S102" s="33"/>
      <c r="T102" s="35"/>
      <c r="U102" s="35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hidden="1">
      <c r="A103" s="357" t="s">
        <v>21</v>
      </c>
      <c r="B103" s="100">
        <v>45390.0</v>
      </c>
      <c r="C103" s="22">
        <v>875160.0</v>
      </c>
      <c r="D103" s="23">
        <v>668660.0</v>
      </c>
      <c r="E103" s="24"/>
      <c r="F103" s="25">
        <v>2000.0</v>
      </c>
      <c r="G103" s="101">
        <v>341900.0</v>
      </c>
      <c r="H103" s="27">
        <v>174607.0</v>
      </c>
      <c r="I103" s="27"/>
      <c r="J103" s="28"/>
      <c r="K103" s="29">
        <v>123500.0</v>
      </c>
      <c r="L103" s="30">
        <v>212600.0</v>
      </c>
      <c r="M103" s="49"/>
      <c r="N103" s="32"/>
      <c r="O103" s="33"/>
      <c r="P103" s="40"/>
      <c r="Q103" s="35"/>
      <c r="R103" s="33"/>
      <c r="S103" s="33"/>
      <c r="T103" s="35"/>
      <c r="U103" s="35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hidden="1">
      <c r="A104" s="357" t="s">
        <v>22</v>
      </c>
      <c r="B104" s="100">
        <v>45391.0</v>
      </c>
      <c r="C104" s="22">
        <v>907445.0</v>
      </c>
      <c r="D104" s="23">
        <v>667380.0</v>
      </c>
      <c r="E104" s="24"/>
      <c r="F104" s="25">
        <v>2000.0</v>
      </c>
      <c r="G104" s="101">
        <v>281780.0</v>
      </c>
      <c r="H104" s="27">
        <v>148345.0</v>
      </c>
      <c r="I104" s="27"/>
      <c r="J104" s="28"/>
      <c r="K104" s="29">
        <v>212350.0</v>
      </c>
      <c r="L104" s="30">
        <v>265765.0</v>
      </c>
      <c r="M104" s="49"/>
      <c r="N104" s="39"/>
      <c r="O104" s="33"/>
      <c r="P104" s="40"/>
      <c r="Q104" s="35"/>
      <c r="R104" s="33"/>
      <c r="S104" s="33"/>
      <c r="T104" s="35"/>
      <c r="U104" s="35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hidden="1">
      <c r="A105" s="357" t="s">
        <v>32</v>
      </c>
      <c r="B105" s="100">
        <v>45392.0</v>
      </c>
      <c r="C105" s="22">
        <v>1115695.0</v>
      </c>
      <c r="D105" s="23">
        <v>879970.0</v>
      </c>
      <c r="E105" s="24"/>
      <c r="F105" s="25">
        <v>2000.0</v>
      </c>
      <c r="G105" s="101">
        <v>414400.0</v>
      </c>
      <c r="H105" s="27">
        <v>176516.0</v>
      </c>
      <c r="I105" s="27"/>
      <c r="J105" s="28"/>
      <c r="K105" s="29">
        <v>258335.0</v>
      </c>
      <c r="L105" s="30">
        <v>183890.0</v>
      </c>
      <c r="M105" s="49"/>
      <c r="N105" s="32"/>
      <c r="O105" s="33"/>
      <c r="P105" s="40"/>
      <c r="Q105" s="35"/>
      <c r="R105" s="33"/>
      <c r="S105" s="33"/>
      <c r="T105" s="35"/>
      <c r="U105" s="35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hidden="1">
      <c r="A106" s="357" t="s">
        <v>24</v>
      </c>
      <c r="B106" s="100">
        <v>45393.0</v>
      </c>
      <c r="C106" s="22">
        <v>803030.0</v>
      </c>
      <c r="D106" s="23">
        <v>629260.0</v>
      </c>
      <c r="E106" s="24"/>
      <c r="F106" s="25">
        <v>2000.0</v>
      </c>
      <c r="G106" s="101">
        <v>289100.0</v>
      </c>
      <c r="H106" s="27">
        <v>161811.0</v>
      </c>
      <c r="I106" s="27"/>
      <c r="J106" s="28"/>
      <c r="K106" s="29">
        <v>156760.0</v>
      </c>
      <c r="L106" s="30">
        <v>173770.0</v>
      </c>
      <c r="M106" s="49"/>
      <c r="N106" s="32"/>
      <c r="O106" s="33"/>
      <c r="P106" s="40"/>
      <c r="Q106" s="35"/>
      <c r="R106" s="33"/>
      <c r="S106" s="33"/>
      <c r="T106" s="35"/>
      <c r="U106" s="35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hidden="1">
      <c r="A107" s="357" t="s">
        <v>25</v>
      </c>
      <c r="B107" s="100">
        <v>45394.0</v>
      </c>
      <c r="C107" s="22">
        <v>887505.0</v>
      </c>
      <c r="D107" s="23">
        <v>805745.0</v>
      </c>
      <c r="E107" s="24"/>
      <c r="F107" s="25">
        <v>2000.0</v>
      </c>
      <c r="G107" s="101">
        <v>304250.0</v>
      </c>
      <c r="H107" s="27">
        <v>172550.0</v>
      </c>
      <c r="I107" s="27"/>
      <c r="J107" s="28"/>
      <c r="K107" s="29">
        <v>340295.0</v>
      </c>
      <c r="L107" s="30">
        <v>77460.0</v>
      </c>
      <c r="M107" s="49"/>
      <c r="N107" s="32"/>
      <c r="O107" s="33"/>
      <c r="P107" s="40"/>
      <c r="Q107" s="35"/>
      <c r="R107" s="33"/>
      <c r="S107" s="33"/>
      <c r="T107" s="35"/>
      <c r="U107" s="35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hidden="1">
      <c r="A108" s="357" t="s">
        <v>33</v>
      </c>
      <c r="B108" s="100">
        <v>45395.0</v>
      </c>
      <c r="C108" s="22">
        <v>659400.0</v>
      </c>
      <c r="D108" s="23">
        <v>572880.0</v>
      </c>
      <c r="E108" s="24"/>
      <c r="F108" s="25">
        <v>2000.0</v>
      </c>
      <c r="G108" s="101">
        <v>351570.0</v>
      </c>
      <c r="H108" s="27">
        <v>50620.0</v>
      </c>
      <c r="I108" s="27"/>
      <c r="J108" s="28"/>
      <c r="K108" s="29">
        <v>151730.0</v>
      </c>
      <c r="L108" s="30">
        <v>104320.0</v>
      </c>
      <c r="M108" s="49"/>
      <c r="N108" s="32"/>
      <c r="O108" s="33"/>
      <c r="P108" s="40"/>
      <c r="Q108" s="35"/>
      <c r="R108" s="33"/>
      <c r="S108" s="33"/>
      <c r="T108" s="35"/>
      <c r="U108" s="35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hidden="1">
      <c r="A109" s="358" t="s">
        <v>27</v>
      </c>
      <c r="B109" s="100">
        <v>45396.0</v>
      </c>
      <c r="C109" s="44"/>
      <c r="D109" s="44"/>
      <c r="E109" s="44"/>
      <c r="F109" s="44"/>
      <c r="G109" s="44"/>
      <c r="H109" s="44"/>
      <c r="I109" s="44"/>
      <c r="J109" s="110"/>
      <c r="K109" s="44"/>
      <c r="L109" s="44"/>
      <c r="M109" s="44"/>
      <c r="N109" s="32"/>
      <c r="O109" s="33"/>
      <c r="P109" s="40"/>
      <c r="Q109" s="35"/>
      <c r="R109" s="33"/>
      <c r="S109" s="33"/>
      <c r="T109" s="35"/>
      <c r="U109" s="35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hidden="1">
      <c r="A110" s="357" t="s">
        <v>21</v>
      </c>
      <c r="B110" s="100">
        <v>45397.0</v>
      </c>
      <c r="C110" s="44">
        <v>588340.0</v>
      </c>
      <c r="D110" s="44">
        <v>414740.0</v>
      </c>
      <c r="E110" s="44"/>
      <c r="F110" s="44">
        <v>2000.0</v>
      </c>
      <c r="G110" s="44">
        <v>106800.0</v>
      </c>
      <c r="H110" s="44">
        <v>175651.0</v>
      </c>
      <c r="I110" s="44"/>
      <c r="J110" s="110"/>
      <c r="K110" s="44">
        <v>161540.0</v>
      </c>
      <c r="L110" s="44">
        <v>170300.0</v>
      </c>
      <c r="M110" s="49"/>
      <c r="N110" s="32"/>
      <c r="O110" s="33"/>
      <c r="P110" s="40"/>
      <c r="Q110" s="35"/>
      <c r="R110" s="33"/>
      <c r="S110" s="33"/>
      <c r="T110" s="35"/>
      <c r="U110" s="35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hidden="1">
      <c r="A111" s="357" t="s">
        <v>22</v>
      </c>
      <c r="B111" s="100">
        <v>45398.0</v>
      </c>
      <c r="C111" s="22">
        <v>946390.0</v>
      </c>
      <c r="D111" s="23">
        <v>711050.0</v>
      </c>
      <c r="E111" s="24"/>
      <c r="F111" s="25">
        <v>2000.0</v>
      </c>
      <c r="G111" s="101">
        <v>355100.0</v>
      </c>
      <c r="H111" s="27"/>
      <c r="I111" s="27"/>
      <c r="J111" s="28"/>
      <c r="K111" s="29">
        <v>182900.0</v>
      </c>
      <c r="L111" s="30">
        <v>166740.0</v>
      </c>
      <c r="M111" s="49"/>
      <c r="N111" s="39"/>
      <c r="O111" s="33"/>
      <c r="P111" s="40"/>
      <c r="Q111" s="35"/>
      <c r="R111" s="33"/>
      <c r="S111" s="33"/>
      <c r="T111" s="35"/>
      <c r="U111" s="35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hidden="1">
      <c r="A112" s="357" t="s">
        <v>32</v>
      </c>
      <c r="B112" s="100">
        <v>45399.0</v>
      </c>
      <c r="C112" s="22">
        <v>927662.0</v>
      </c>
      <c r="D112" s="23">
        <v>720210.0</v>
      </c>
      <c r="E112" s="24"/>
      <c r="F112" s="25">
        <v>2000.0</v>
      </c>
      <c r="G112" s="101">
        <v>322830.0</v>
      </c>
      <c r="H112" s="27">
        <v>172455.0</v>
      </c>
      <c r="I112" s="27"/>
      <c r="J112" s="28"/>
      <c r="K112" s="29">
        <v>176430.0</v>
      </c>
      <c r="L112" s="30">
        <v>198252.0</v>
      </c>
      <c r="M112" s="49"/>
      <c r="N112" s="32"/>
      <c r="O112" s="35"/>
      <c r="P112" s="40"/>
      <c r="Q112" s="35"/>
      <c r="R112" s="33"/>
      <c r="S112" s="33"/>
      <c r="T112" s="35"/>
      <c r="U112" s="35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hidden="1">
      <c r="A113" s="357" t="s">
        <v>24</v>
      </c>
      <c r="B113" s="100">
        <v>45400.0</v>
      </c>
      <c r="C113" s="22">
        <v>982460.0</v>
      </c>
      <c r="D113" s="23">
        <v>870640.0</v>
      </c>
      <c r="E113" s="24"/>
      <c r="F113" s="25">
        <v>2000.0</v>
      </c>
      <c r="G113" s="101">
        <v>357400.0</v>
      </c>
      <c r="H113" s="27">
        <v>118450.0</v>
      </c>
      <c r="I113" s="27"/>
      <c r="J113" s="28"/>
      <c r="K113" s="29">
        <v>407990.0</v>
      </c>
      <c r="L113" s="30">
        <v>130220.0</v>
      </c>
      <c r="M113" s="49"/>
      <c r="N113" s="32"/>
      <c r="O113" s="33"/>
      <c r="P113" s="40"/>
      <c r="Q113" s="35"/>
      <c r="R113" s="33"/>
      <c r="S113" s="33"/>
      <c r="T113" s="35"/>
      <c r="U113" s="35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hidden="1">
      <c r="A114" s="357" t="s">
        <v>25</v>
      </c>
      <c r="B114" s="100">
        <v>45401.0</v>
      </c>
      <c r="C114" s="22">
        <v>827765.0</v>
      </c>
      <c r="D114" s="23">
        <v>693740.0</v>
      </c>
      <c r="E114" s="24"/>
      <c r="F114" s="25"/>
      <c r="G114" s="101">
        <v>306700.0</v>
      </c>
      <c r="H114" s="27">
        <v>133551.0</v>
      </c>
      <c r="I114" s="27"/>
      <c r="J114" s="28"/>
      <c r="K114" s="29">
        <v>257140.0</v>
      </c>
      <c r="L114" s="30">
        <v>139325.0</v>
      </c>
      <c r="M114" s="49"/>
      <c r="N114" s="32"/>
      <c r="O114" s="33"/>
      <c r="P114" s="40"/>
      <c r="Q114" s="35"/>
      <c r="R114" s="33"/>
      <c r="S114" s="33"/>
      <c r="T114" s="35"/>
      <c r="U114" s="35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hidden="1">
      <c r="A115" s="357" t="s">
        <v>33</v>
      </c>
      <c r="B115" s="100">
        <v>45402.0</v>
      </c>
      <c r="C115" s="22">
        <v>668550.0</v>
      </c>
      <c r="D115" s="23">
        <v>550550.0</v>
      </c>
      <c r="E115" s="24"/>
      <c r="F115" s="25"/>
      <c r="G115" s="101">
        <v>77000.0</v>
      </c>
      <c r="H115" s="27"/>
      <c r="I115" s="27"/>
      <c r="J115" s="28"/>
      <c r="K115" s="29">
        <v>174550.0</v>
      </c>
      <c r="L115" s="30">
        <v>118000.0</v>
      </c>
      <c r="M115" s="49"/>
      <c r="N115" s="32"/>
      <c r="O115" s="33"/>
      <c r="P115" s="40"/>
      <c r="Q115" s="35"/>
      <c r="R115" s="33"/>
      <c r="S115" s="33"/>
      <c r="T115" s="35"/>
      <c r="U115" s="35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hidden="1">
      <c r="A116" s="358" t="s">
        <v>27</v>
      </c>
      <c r="B116" s="100">
        <v>45403.0</v>
      </c>
      <c r="C116" s="44"/>
      <c r="D116" s="44"/>
      <c r="E116" s="44"/>
      <c r="F116" s="44"/>
      <c r="G116" s="44"/>
      <c r="H116" s="44"/>
      <c r="I116" s="44"/>
      <c r="J116" s="110"/>
      <c r="K116" s="44"/>
      <c r="L116" s="44"/>
      <c r="M116" s="44"/>
      <c r="N116" s="32"/>
      <c r="O116" s="33"/>
      <c r="P116" s="40"/>
      <c r="Q116" s="35"/>
      <c r="R116" s="33"/>
      <c r="S116" s="33"/>
      <c r="T116" s="35"/>
      <c r="U116" s="35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hidden="1">
      <c r="A117" s="357" t="s">
        <v>21</v>
      </c>
      <c r="B117" s="100">
        <v>45404.0</v>
      </c>
      <c r="C117" s="22">
        <v>741180.0</v>
      </c>
      <c r="D117" s="23">
        <v>605050.0</v>
      </c>
      <c r="E117" s="24"/>
      <c r="F117" s="25">
        <v>2000.0</v>
      </c>
      <c r="G117" s="101">
        <v>263780.0</v>
      </c>
      <c r="H117" s="27">
        <v>157986.0</v>
      </c>
      <c r="I117" s="27"/>
      <c r="J117" s="28"/>
      <c r="K117" s="29">
        <v>136220.0</v>
      </c>
      <c r="L117" s="30">
        <v>140930.0</v>
      </c>
      <c r="M117" s="49"/>
      <c r="N117" s="32"/>
      <c r="O117" s="33"/>
      <c r="P117" s="40"/>
      <c r="Q117" s="35"/>
      <c r="R117" s="33"/>
      <c r="S117" s="33"/>
      <c r="T117" s="35"/>
      <c r="U117" s="35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hidden="1">
      <c r="A118" s="357" t="s">
        <v>22</v>
      </c>
      <c r="B118" s="100">
        <v>45405.0</v>
      </c>
      <c r="C118" s="22">
        <v>1152925.0</v>
      </c>
      <c r="D118" s="23">
        <v>976580.0</v>
      </c>
      <c r="E118" s="24"/>
      <c r="F118" s="25">
        <v>2000.0</v>
      </c>
      <c r="G118" s="101">
        <v>395300.0</v>
      </c>
      <c r="H118" s="27">
        <v>354150.0</v>
      </c>
      <c r="I118" s="27"/>
      <c r="J118" s="28"/>
      <c r="K118" s="29">
        <v>236730.0</v>
      </c>
      <c r="L118" s="30">
        <v>175445.0</v>
      </c>
      <c r="M118" s="49"/>
      <c r="N118" s="39"/>
      <c r="O118" s="33"/>
      <c r="P118" s="40"/>
      <c r="Q118" s="35"/>
      <c r="R118" s="33"/>
      <c r="S118" s="33"/>
      <c r="T118" s="35"/>
      <c r="U118" s="35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hidden="1">
      <c r="A119" s="357" t="s">
        <v>32</v>
      </c>
      <c r="B119" s="100">
        <v>45406.0</v>
      </c>
      <c r="C119" s="22">
        <v>1133160.0</v>
      </c>
      <c r="D119" s="23">
        <v>908010.0</v>
      </c>
      <c r="E119" s="24"/>
      <c r="F119" s="25"/>
      <c r="G119" s="101">
        <v>345660.0</v>
      </c>
      <c r="H119" s="27">
        <v>219550.0</v>
      </c>
      <c r="I119" s="27"/>
      <c r="J119" s="28"/>
      <c r="K119" s="29">
        <v>300650.0</v>
      </c>
      <c r="L119" s="30">
        <v>237750.0</v>
      </c>
      <c r="M119" s="49"/>
      <c r="N119" s="32"/>
      <c r="O119" s="33"/>
      <c r="P119" s="40"/>
      <c r="Q119" s="35"/>
      <c r="R119" s="33"/>
      <c r="S119" s="33"/>
      <c r="T119" s="35"/>
      <c r="U119" s="35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hidden="1">
      <c r="A120" s="357" t="s">
        <v>24</v>
      </c>
      <c r="B120" s="100">
        <v>45407.0</v>
      </c>
      <c r="C120" s="22">
        <f>972795+124000</f>
        <v>1096795</v>
      </c>
      <c r="D120" s="23">
        <v>672190.0</v>
      </c>
      <c r="E120" s="24"/>
      <c r="F120" s="25"/>
      <c r="G120" s="101">
        <v>252000.0</v>
      </c>
      <c r="H120" s="27">
        <v>179950.0</v>
      </c>
      <c r="I120" s="27"/>
      <c r="J120" s="28"/>
      <c r="K120" s="29"/>
      <c r="L120" s="30">
        <v>304705.0</v>
      </c>
      <c r="M120" s="49"/>
      <c r="N120" s="32"/>
      <c r="O120" s="35" t="s">
        <v>741</v>
      </c>
      <c r="P120" s="40"/>
      <c r="Q120" s="35">
        <v>1240000.0</v>
      </c>
      <c r="R120" s="33"/>
      <c r="S120" s="33"/>
      <c r="T120" s="35"/>
      <c r="U120" s="35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hidden="1">
      <c r="A121" s="357" t="s">
        <v>25</v>
      </c>
      <c r="B121" s="100">
        <v>45408.0</v>
      </c>
      <c r="C121" s="22">
        <v>1270995.0</v>
      </c>
      <c r="D121" s="23">
        <v>954265.0</v>
      </c>
      <c r="E121" s="24"/>
      <c r="F121" s="25">
        <v>2000.0</v>
      </c>
      <c r="G121" s="101">
        <v>348400.0</v>
      </c>
      <c r="H121" s="27">
        <v>84890.0</v>
      </c>
      <c r="I121" s="27"/>
      <c r="J121" s="28"/>
      <c r="K121" s="29">
        <v>240700.0</v>
      </c>
      <c r="L121" s="30">
        <v>174230.0</v>
      </c>
      <c r="M121" s="49"/>
      <c r="N121" s="32"/>
      <c r="O121" s="35" t="s">
        <v>742</v>
      </c>
      <c r="P121" s="40"/>
      <c r="Q121" s="35"/>
      <c r="R121" s="33"/>
      <c r="S121" s="33"/>
      <c r="T121" s="35"/>
      <c r="U121" s="35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hidden="1">
      <c r="A122" s="357" t="s">
        <v>26</v>
      </c>
      <c r="B122" s="100">
        <v>45409.0</v>
      </c>
      <c r="C122" s="22">
        <v>839285.0</v>
      </c>
      <c r="D122" s="23">
        <v>641820.0</v>
      </c>
      <c r="E122" s="24"/>
      <c r="F122" s="25">
        <v>2000.0</v>
      </c>
      <c r="G122" s="101">
        <v>445500.0</v>
      </c>
      <c r="H122" s="27">
        <v>40350.0</v>
      </c>
      <c r="I122" s="27"/>
      <c r="J122" s="28"/>
      <c r="K122" s="29">
        <v>165700.0</v>
      </c>
      <c r="L122" s="30">
        <v>197465.0</v>
      </c>
      <c r="M122" s="49"/>
      <c r="N122" s="32"/>
      <c r="O122" s="33"/>
      <c r="P122" s="40"/>
      <c r="Q122" s="35"/>
      <c r="R122" s="33"/>
      <c r="S122" s="33"/>
      <c r="T122" s="35"/>
      <c r="U122" s="35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hidden="1">
      <c r="A123" s="358" t="s">
        <v>27</v>
      </c>
      <c r="B123" s="100">
        <v>45410.0</v>
      </c>
      <c r="C123" s="44"/>
      <c r="D123" s="44"/>
      <c r="E123" s="44"/>
      <c r="F123" s="44"/>
      <c r="G123" s="44"/>
      <c r="H123" s="44"/>
      <c r="I123" s="44"/>
      <c r="J123" s="110"/>
      <c r="K123" s="44"/>
      <c r="L123" s="44"/>
      <c r="M123" s="44"/>
      <c r="N123" s="32"/>
      <c r="O123" s="33"/>
      <c r="P123" s="40"/>
      <c r="Q123" s="35"/>
      <c r="R123" s="33"/>
      <c r="S123" s="33"/>
      <c r="T123" s="35"/>
      <c r="U123" s="35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hidden="1">
      <c r="A124" s="357" t="s">
        <v>21</v>
      </c>
      <c r="B124" s="100">
        <v>45411.0</v>
      </c>
      <c r="C124" s="22">
        <v>982940.0</v>
      </c>
      <c r="D124" s="23">
        <v>868585.0</v>
      </c>
      <c r="E124" s="24"/>
      <c r="F124" s="25"/>
      <c r="G124" s="101">
        <v>259980.0</v>
      </c>
      <c r="H124" s="27">
        <v>194191.0</v>
      </c>
      <c r="I124" s="27"/>
      <c r="J124" s="28"/>
      <c r="K124" s="29">
        <v>335015.0</v>
      </c>
      <c r="L124" s="30">
        <v>113655.0</v>
      </c>
      <c r="M124" s="49"/>
      <c r="N124" s="32"/>
      <c r="O124" s="33"/>
      <c r="P124" s="40"/>
      <c r="Q124" s="35"/>
      <c r="R124" s="33"/>
      <c r="S124" s="33"/>
      <c r="T124" s="35"/>
      <c r="U124" s="35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hidden="1">
      <c r="A125" s="357" t="s">
        <v>22</v>
      </c>
      <c r="B125" s="100">
        <v>45412.0</v>
      </c>
      <c r="C125" s="22">
        <v>899325.0</v>
      </c>
      <c r="D125" s="23">
        <v>799455.0</v>
      </c>
      <c r="E125" s="24"/>
      <c r="F125" s="25"/>
      <c r="G125" s="101">
        <v>506580.0</v>
      </c>
      <c r="H125" s="27">
        <v>239156.0</v>
      </c>
      <c r="I125" s="27"/>
      <c r="J125" s="28"/>
      <c r="K125" s="29">
        <v>154480.0</v>
      </c>
      <c r="L125" s="30">
        <v>148845.0</v>
      </c>
      <c r="M125" s="49"/>
      <c r="N125" s="32"/>
      <c r="O125" s="33"/>
      <c r="P125" s="40"/>
      <c r="Q125" s="35"/>
      <c r="R125" s="33"/>
      <c r="S125" s="33"/>
      <c r="T125" s="35"/>
      <c r="U125" s="35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hidden="1">
      <c r="A126" s="360" t="s">
        <v>28</v>
      </c>
      <c r="B126" s="135"/>
      <c r="C126" s="136">
        <f>SUM(C96:C125)+Q120</f>
        <v>23435247</v>
      </c>
      <c r="D126" s="136"/>
      <c r="E126" s="136"/>
      <c r="F126" s="136"/>
      <c r="G126" s="136"/>
      <c r="H126" s="136"/>
      <c r="I126" s="136"/>
      <c r="J126" s="136"/>
      <c r="K126" s="136"/>
      <c r="L126" s="136"/>
      <c r="M126" s="125"/>
      <c r="N126" s="39"/>
      <c r="O126" s="33"/>
      <c r="P126" s="40"/>
      <c r="Q126" s="35"/>
      <c r="R126" s="33"/>
      <c r="S126" s="33"/>
      <c r="T126" s="35"/>
      <c r="U126" s="35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hidden="1">
      <c r="A127" s="357" t="s">
        <v>23</v>
      </c>
      <c r="B127" s="100">
        <v>45413.0</v>
      </c>
      <c r="C127" s="22"/>
      <c r="D127" s="23"/>
      <c r="E127" s="24"/>
      <c r="F127" s="25"/>
      <c r="G127" s="101"/>
      <c r="H127" s="27"/>
      <c r="I127" s="27"/>
      <c r="J127" s="28"/>
      <c r="K127" s="29"/>
      <c r="L127" s="30"/>
      <c r="M127" s="49"/>
      <c r="N127" s="32"/>
      <c r="O127" s="33"/>
      <c r="P127" s="40"/>
      <c r="Q127" s="35"/>
      <c r="R127" s="33"/>
      <c r="S127" s="33"/>
      <c r="T127" s="35"/>
      <c r="U127" s="35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hidden="1">
      <c r="A128" s="357" t="s">
        <v>24</v>
      </c>
      <c r="B128" s="100">
        <v>45414.0</v>
      </c>
      <c r="C128" s="22">
        <v>941425.0</v>
      </c>
      <c r="D128" s="23">
        <v>729810.0</v>
      </c>
      <c r="E128" s="24"/>
      <c r="F128" s="25"/>
      <c r="G128" s="101">
        <v>303070.0</v>
      </c>
      <c r="H128" s="27">
        <v>206600.0</v>
      </c>
      <c r="I128" s="27"/>
      <c r="J128" s="28"/>
      <c r="K128" s="29">
        <v>200080.0</v>
      </c>
      <c r="L128" s="30">
        <v>219915.0</v>
      </c>
      <c r="M128" s="49"/>
      <c r="N128" s="32"/>
      <c r="O128" s="33"/>
      <c r="P128" s="40"/>
      <c r="Q128" s="35"/>
      <c r="R128" s="33"/>
      <c r="S128" s="33"/>
      <c r="T128" s="35"/>
      <c r="U128" s="35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hidden="1">
      <c r="A129" s="357" t="s">
        <v>25</v>
      </c>
      <c r="B129" s="100">
        <v>45415.0</v>
      </c>
      <c r="C129" s="22">
        <v>857755.0</v>
      </c>
      <c r="D129" s="23">
        <v>714675.0</v>
      </c>
      <c r="E129" s="24"/>
      <c r="F129" s="25"/>
      <c r="G129" s="101">
        <f>277350</f>
        <v>277350</v>
      </c>
      <c r="H129" s="27">
        <v>188201.0</v>
      </c>
      <c r="I129" s="27"/>
      <c r="J129" s="28"/>
      <c r="K129" s="29">
        <v>239360.0</v>
      </c>
      <c r="L129" s="30">
        <v>167780.0</v>
      </c>
      <c r="M129" s="49"/>
      <c r="N129" s="32"/>
      <c r="O129" s="33"/>
      <c r="P129" s="40"/>
      <c r="Q129" s="35"/>
      <c r="R129" s="33"/>
      <c r="S129" s="33"/>
      <c r="T129" s="35"/>
      <c r="U129" s="35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hidden="1">
      <c r="A130" s="357" t="s">
        <v>26</v>
      </c>
      <c r="B130" s="100">
        <v>45416.0</v>
      </c>
      <c r="C130" s="22">
        <v>690130.0</v>
      </c>
      <c r="D130" s="23">
        <v>598730.0</v>
      </c>
      <c r="E130" s="24"/>
      <c r="F130" s="25"/>
      <c r="G130" s="101">
        <v>418500.0</v>
      </c>
      <c r="H130" s="27">
        <v>63700.0</v>
      </c>
      <c r="I130" s="27"/>
      <c r="J130" s="28"/>
      <c r="K130" s="29">
        <v>96900.0</v>
      </c>
      <c r="L130" s="30">
        <v>91400.0</v>
      </c>
      <c r="M130" s="49"/>
      <c r="N130" s="32"/>
      <c r="O130" s="33"/>
      <c r="P130" s="40"/>
      <c r="Q130" s="35"/>
      <c r="R130" s="33"/>
      <c r="S130" s="33"/>
      <c r="T130" s="35"/>
      <c r="U130" s="35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hidden="1">
      <c r="A131" s="358" t="s">
        <v>27</v>
      </c>
      <c r="B131" s="100">
        <v>45417.0</v>
      </c>
      <c r="C131" s="110"/>
      <c r="D131" s="110"/>
      <c r="E131" s="110"/>
      <c r="F131" s="110"/>
      <c r="G131" s="110"/>
      <c r="H131" s="110"/>
      <c r="I131" s="110"/>
      <c r="J131" s="108"/>
      <c r="K131" s="108"/>
      <c r="L131" s="110"/>
      <c r="M131" s="108"/>
      <c r="N131" s="32"/>
      <c r="O131" s="33"/>
      <c r="P131" s="40"/>
      <c r="Q131" s="35"/>
      <c r="R131" s="33"/>
      <c r="S131" s="33"/>
      <c r="T131" s="35"/>
      <c r="U131" s="35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hidden="1">
      <c r="A132" s="357" t="s">
        <v>21</v>
      </c>
      <c r="B132" s="100">
        <v>45418.0</v>
      </c>
      <c r="C132" s="22">
        <v>669730.0</v>
      </c>
      <c r="D132" s="23">
        <v>514550.0</v>
      </c>
      <c r="E132" s="24"/>
      <c r="F132" s="25"/>
      <c r="G132" s="101">
        <v>252100.0</v>
      </c>
      <c r="H132" s="27">
        <v>116726.0</v>
      </c>
      <c r="I132" s="27"/>
      <c r="J132" s="28"/>
      <c r="K132" s="29">
        <v>141350.0</v>
      </c>
      <c r="L132" s="30">
        <v>152380.0</v>
      </c>
      <c r="M132" s="49"/>
      <c r="N132" s="39"/>
      <c r="O132" s="33"/>
      <c r="P132" s="40"/>
      <c r="Q132" s="35"/>
      <c r="R132" s="33"/>
      <c r="S132" s="33"/>
      <c r="T132" s="35"/>
      <c r="U132" s="35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hidden="1">
      <c r="A133" s="357" t="s">
        <v>22</v>
      </c>
      <c r="B133" s="100">
        <v>45419.0</v>
      </c>
      <c r="C133" s="22">
        <v>608585.0</v>
      </c>
      <c r="D133" s="23">
        <v>535095.0</v>
      </c>
      <c r="E133" s="24"/>
      <c r="F133" s="25"/>
      <c r="G133" s="101">
        <v>183400.0</v>
      </c>
      <c r="H133" s="27">
        <v>128302.0</v>
      </c>
      <c r="I133" s="27"/>
      <c r="J133" s="28"/>
      <c r="K133" s="29">
        <v>213295.0</v>
      </c>
      <c r="L133" s="30">
        <v>78090.0</v>
      </c>
      <c r="M133" s="49"/>
      <c r="N133" s="32"/>
      <c r="O133" s="33"/>
      <c r="P133" s="40"/>
      <c r="Q133" s="35"/>
      <c r="R133" s="33"/>
      <c r="S133" s="33"/>
      <c r="T133" s="35"/>
      <c r="U133" s="35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hidden="1">
      <c r="A134" s="357" t="s">
        <v>23</v>
      </c>
      <c r="B134" s="100">
        <v>45420.0</v>
      </c>
      <c r="C134" s="22">
        <f>1637571-C133</f>
        <v>1028986</v>
      </c>
      <c r="D134" s="23">
        <f>887666-D133</f>
        <v>352571</v>
      </c>
      <c r="E134" s="24"/>
      <c r="F134" s="25"/>
      <c r="G134" s="101">
        <f>409900-G133</f>
        <v>226500</v>
      </c>
      <c r="H134" s="28">
        <f>290807-H133</f>
        <v>162505</v>
      </c>
      <c r="I134" s="28"/>
      <c r="J134" s="28"/>
      <c r="K134" s="29">
        <f>464835-K133</f>
        <v>251540</v>
      </c>
      <c r="L134" s="30">
        <f>225710-L133</f>
        <v>147620</v>
      </c>
      <c r="M134" s="31"/>
      <c r="N134" s="32"/>
      <c r="O134" s="33"/>
      <c r="P134" s="40"/>
      <c r="Q134" s="35"/>
      <c r="R134" s="33"/>
      <c r="S134" s="33"/>
      <c r="T134" s="35"/>
      <c r="U134" s="35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hidden="1">
      <c r="A135" s="357" t="s">
        <v>24</v>
      </c>
      <c r="B135" s="100">
        <v>45421.0</v>
      </c>
      <c r="C135" s="22">
        <v>720321.0</v>
      </c>
      <c r="D135" s="23">
        <v>557690.0</v>
      </c>
      <c r="E135" s="24"/>
      <c r="F135" s="25"/>
      <c r="G135" s="101">
        <v>324000.0</v>
      </c>
      <c r="H135" s="27" t="s">
        <v>38</v>
      </c>
      <c r="I135" s="27"/>
      <c r="J135" s="28"/>
      <c r="K135" s="29">
        <v>192890.0</v>
      </c>
      <c r="L135" s="30">
        <v>152631.0</v>
      </c>
      <c r="M135" s="31"/>
      <c r="N135" s="32"/>
      <c r="O135" s="33"/>
      <c r="P135" s="40"/>
      <c r="Q135" s="35"/>
      <c r="R135" s="33"/>
      <c r="S135" s="33"/>
      <c r="T135" s="35"/>
      <c r="U135" s="35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hidden="1">
      <c r="A136" s="357" t="s">
        <v>25</v>
      </c>
      <c r="B136" s="100">
        <v>45422.0</v>
      </c>
      <c r="C136" s="22">
        <v>1002400.0</v>
      </c>
      <c r="D136" s="23">
        <v>879540.0</v>
      </c>
      <c r="E136" s="24"/>
      <c r="F136" s="25"/>
      <c r="G136" s="101">
        <v>418700.0</v>
      </c>
      <c r="H136" s="27">
        <v>236005.0</v>
      </c>
      <c r="I136" s="27"/>
      <c r="J136" s="28"/>
      <c r="K136" s="29">
        <v>274340.0</v>
      </c>
      <c r="L136" s="30">
        <v>127460.0</v>
      </c>
      <c r="M136" s="31"/>
      <c r="N136" s="32"/>
      <c r="O136" s="33"/>
      <c r="P136" s="40"/>
      <c r="Q136" s="35"/>
      <c r="R136" s="33"/>
      <c r="S136" s="33"/>
      <c r="T136" s="35"/>
      <c r="U136" s="35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hidden="1">
      <c r="A137" s="357" t="s">
        <v>26</v>
      </c>
      <c r="B137" s="100">
        <v>45423.0</v>
      </c>
      <c r="C137" s="22">
        <v>850790.0</v>
      </c>
      <c r="D137" s="23">
        <v>709880.0</v>
      </c>
      <c r="E137" s="24"/>
      <c r="F137" s="25">
        <v>12000.0</v>
      </c>
      <c r="G137" s="101">
        <v>496280.0</v>
      </c>
      <c r="H137" s="27">
        <v>81200.0</v>
      </c>
      <c r="I137" s="27"/>
      <c r="J137" s="28"/>
      <c r="K137" s="29">
        <v>131700.0</v>
      </c>
      <c r="L137" s="30">
        <v>171910.0</v>
      </c>
      <c r="M137" s="49"/>
      <c r="N137" s="39"/>
      <c r="O137" s="33"/>
      <c r="P137" s="40"/>
      <c r="Q137" s="35"/>
      <c r="R137" s="33"/>
      <c r="S137" s="33"/>
      <c r="T137" s="35"/>
      <c r="U137" s="35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hidden="1">
      <c r="A138" s="358" t="s">
        <v>27</v>
      </c>
      <c r="B138" s="100">
        <v>45424.0</v>
      </c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08"/>
      <c r="N138" s="32"/>
      <c r="O138" s="33"/>
      <c r="P138" s="40"/>
      <c r="Q138" s="35"/>
      <c r="R138" s="33"/>
      <c r="S138" s="33"/>
      <c r="T138" s="35"/>
      <c r="U138" s="35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hidden="1">
      <c r="A139" s="357" t="s">
        <v>21</v>
      </c>
      <c r="B139" s="100">
        <v>45425.0</v>
      </c>
      <c r="C139" s="22">
        <v>663740.0</v>
      </c>
      <c r="D139" s="23">
        <v>433010.0</v>
      </c>
      <c r="E139" s="24"/>
      <c r="F139" s="25">
        <v>12000.0</v>
      </c>
      <c r="G139" s="101">
        <v>127900.0</v>
      </c>
      <c r="H139" s="27">
        <v>105791.0</v>
      </c>
      <c r="I139" s="27"/>
      <c r="J139" s="28"/>
      <c r="K139" s="29">
        <v>211750.0</v>
      </c>
      <c r="L139" s="30">
        <v>234630.0</v>
      </c>
      <c r="M139" s="49"/>
      <c r="N139" s="39"/>
      <c r="O139" s="33"/>
      <c r="P139" s="40"/>
      <c r="Q139" s="35"/>
      <c r="R139" s="33"/>
      <c r="S139" s="33"/>
      <c r="T139" s="35"/>
      <c r="U139" s="35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hidden="1">
      <c r="A140" s="357" t="s">
        <v>22</v>
      </c>
      <c r="B140" s="100">
        <v>45426.0</v>
      </c>
      <c r="C140" s="22">
        <v>658080.0</v>
      </c>
      <c r="D140" s="23">
        <v>492420.0</v>
      </c>
      <c r="E140" s="24"/>
      <c r="F140" s="25"/>
      <c r="G140" s="101">
        <f>218400+13700</f>
        <v>232100</v>
      </c>
      <c r="H140" s="27">
        <v>69800.0</v>
      </c>
      <c r="I140" s="27"/>
      <c r="J140" s="28"/>
      <c r="K140" s="29">
        <v>146320.0</v>
      </c>
      <c r="L140" s="30">
        <v>165660.0</v>
      </c>
      <c r="M140" s="49"/>
      <c r="N140" s="32"/>
      <c r="O140" s="33"/>
      <c r="P140" s="40"/>
      <c r="Q140" s="35"/>
      <c r="R140" s="33"/>
      <c r="S140" s="33"/>
      <c r="T140" s="35"/>
      <c r="U140" s="35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hidden="1">
      <c r="A141" s="357" t="s">
        <v>23</v>
      </c>
      <c r="B141" s="100">
        <v>45427.0</v>
      </c>
      <c r="C141" s="22">
        <v>1177965.0</v>
      </c>
      <c r="D141" s="23">
        <v>1008510.0</v>
      </c>
      <c r="E141" s="24"/>
      <c r="F141" s="25"/>
      <c r="G141" s="101">
        <f>430170+28800</f>
        <v>458970</v>
      </c>
      <c r="H141" s="27">
        <v>309605.0</v>
      </c>
      <c r="I141" s="27"/>
      <c r="J141" s="28"/>
      <c r="K141" s="29">
        <v>224510.0</v>
      </c>
      <c r="L141" s="30">
        <v>149155.0</v>
      </c>
      <c r="M141" s="49"/>
      <c r="N141" s="32"/>
      <c r="O141" s="33"/>
      <c r="P141" s="40"/>
      <c r="Q141" s="35"/>
      <c r="R141" s="33"/>
      <c r="S141" s="33"/>
      <c r="T141" s="35"/>
      <c r="U141" s="35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hidden="1">
      <c r="A142" s="357" t="s">
        <v>24</v>
      </c>
      <c r="B142" s="100">
        <v>45428.0</v>
      </c>
      <c r="C142" s="22">
        <v>1141290.0</v>
      </c>
      <c r="D142" s="23">
        <v>1010150.0</v>
      </c>
      <c r="E142" s="24"/>
      <c r="F142" s="25"/>
      <c r="G142" s="101">
        <f>235100+213200</f>
        <v>448300</v>
      </c>
      <c r="H142" s="27">
        <v>267096.0</v>
      </c>
      <c r="I142" s="27"/>
      <c r="J142" s="28"/>
      <c r="K142" s="29">
        <v>198830.0</v>
      </c>
      <c r="L142" s="30">
        <v>135040.0</v>
      </c>
      <c r="M142" s="49"/>
      <c r="N142" s="32"/>
      <c r="O142" s="33"/>
      <c r="P142" s="40"/>
      <c r="Q142" s="35"/>
      <c r="R142" s="33"/>
      <c r="S142" s="33"/>
      <c r="T142" s="35"/>
      <c r="U142" s="35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hidden="1">
      <c r="A143" s="357" t="s">
        <v>25</v>
      </c>
      <c r="B143" s="100">
        <v>45429.0</v>
      </c>
      <c r="C143" s="22">
        <v>732470.0</v>
      </c>
      <c r="D143" s="23">
        <v>620190.0</v>
      </c>
      <c r="E143" s="24"/>
      <c r="F143" s="25"/>
      <c r="G143" s="101">
        <v>281200.0</v>
      </c>
      <c r="H143" s="27">
        <v>176292.0</v>
      </c>
      <c r="I143" s="27"/>
      <c r="J143" s="28"/>
      <c r="K143" s="29">
        <v>149790.0</v>
      </c>
      <c r="L143" s="30">
        <v>114280.0</v>
      </c>
      <c r="M143" s="49"/>
      <c r="N143" s="32"/>
      <c r="O143" s="33"/>
      <c r="P143" s="40"/>
      <c r="Q143" s="35"/>
      <c r="R143" s="33"/>
      <c r="S143" s="33"/>
      <c r="T143" s="35"/>
      <c r="U143" s="35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hidden="1">
      <c r="A144" s="357" t="s">
        <v>26</v>
      </c>
      <c r="B144" s="100">
        <v>45430.0</v>
      </c>
      <c r="C144" s="22">
        <v>836960.0</v>
      </c>
      <c r="D144" s="23">
        <v>660230.0</v>
      </c>
      <c r="E144" s="24"/>
      <c r="F144" s="25"/>
      <c r="G144" s="101">
        <v>408400.0</v>
      </c>
      <c r="H144" s="27">
        <v>109800.0</v>
      </c>
      <c r="I144" s="27"/>
      <c r="J144" s="28"/>
      <c r="K144" s="29">
        <v>140280.0</v>
      </c>
      <c r="L144" s="30">
        <v>176730.0</v>
      </c>
      <c r="M144" s="31"/>
      <c r="N144" s="32"/>
      <c r="O144" s="33"/>
      <c r="P144" s="40"/>
      <c r="Q144" s="35"/>
      <c r="R144" s="33"/>
      <c r="S144" s="33"/>
      <c r="T144" s="35"/>
      <c r="U144" s="35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hidden="1">
      <c r="A145" s="358" t="s">
        <v>27</v>
      </c>
      <c r="B145" s="100">
        <v>45431.0</v>
      </c>
      <c r="C145" s="110"/>
      <c r="D145" s="110"/>
      <c r="E145" s="110"/>
      <c r="F145" s="110"/>
      <c r="G145" s="110"/>
      <c r="H145" s="108"/>
      <c r="I145" s="108"/>
      <c r="J145" s="108"/>
      <c r="K145" s="108"/>
      <c r="L145" s="110"/>
      <c r="M145" s="108"/>
      <c r="N145" s="32"/>
      <c r="O145" s="33"/>
      <c r="P145" s="40"/>
      <c r="Q145" s="35"/>
      <c r="R145" s="33"/>
      <c r="S145" s="33"/>
      <c r="T145" s="35"/>
      <c r="U145" s="35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hidden="1">
      <c r="A146" s="357" t="s">
        <v>21</v>
      </c>
      <c r="B146" s="100">
        <v>45432.0</v>
      </c>
      <c r="C146" s="22">
        <v>822900.0</v>
      </c>
      <c r="D146" s="23">
        <v>665670.0</v>
      </c>
      <c r="E146" s="24"/>
      <c r="F146" s="25"/>
      <c r="G146" s="101">
        <v>326840.0</v>
      </c>
      <c r="H146" s="27">
        <v>112951.0</v>
      </c>
      <c r="I146" s="27"/>
      <c r="J146" s="28"/>
      <c r="K146" s="29">
        <v>231070.0</v>
      </c>
      <c r="L146" s="30">
        <v>157430.0</v>
      </c>
      <c r="M146" s="31"/>
      <c r="N146" s="39"/>
      <c r="O146" s="33"/>
      <c r="P146" s="40"/>
      <c r="Q146" s="35"/>
      <c r="R146" s="33"/>
      <c r="S146" s="33"/>
      <c r="T146" s="35"/>
      <c r="U146" s="35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hidden="1">
      <c r="A147" s="357" t="s">
        <v>22</v>
      </c>
      <c r="B147" s="100">
        <v>45433.0</v>
      </c>
      <c r="C147" s="22">
        <v>1068565.0</v>
      </c>
      <c r="D147" s="23">
        <v>881655.0</v>
      </c>
      <c r="E147" s="24"/>
      <c r="F147" s="25"/>
      <c r="G147" s="101">
        <f>64200+265050</f>
        <v>329250</v>
      </c>
      <c r="H147" s="27">
        <v>295276.0</v>
      </c>
      <c r="I147" s="27"/>
      <c r="J147" s="28"/>
      <c r="K147" s="29">
        <v>250800.0</v>
      </c>
      <c r="L147" s="30">
        <v>188755.0</v>
      </c>
      <c r="M147" s="31"/>
      <c r="N147" s="39"/>
      <c r="O147" s="33"/>
      <c r="P147" s="40"/>
      <c r="Q147" s="35"/>
      <c r="R147" s="33"/>
      <c r="S147" s="33"/>
      <c r="T147" s="35"/>
      <c r="U147" s="35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hidden="1">
      <c r="A148" s="357" t="s">
        <v>23</v>
      </c>
      <c r="B148" s="100">
        <v>45434.0</v>
      </c>
      <c r="C148" s="22">
        <v>837880.0</v>
      </c>
      <c r="D148" s="23">
        <v>640810.0</v>
      </c>
      <c r="E148" s="24"/>
      <c r="F148" s="25"/>
      <c r="G148" s="101">
        <f>262070+87240</f>
        <v>349310</v>
      </c>
      <c r="H148" s="27">
        <v>150430.0</v>
      </c>
      <c r="I148" s="27"/>
      <c r="J148" s="28"/>
      <c r="K148" s="29">
        <v>161520.0</v>
      </c>
      <c r="L148" s="30">
        <v>156770.0</v>
      </c>
      <c r="M148" s="31"/>
      <c r="N148" s="39"/>
      <c r="O148" s="33"/>
      <c r="P148" s="40"/>
      <c r="Q148" s="35"/>
      <c r="R148" s="33"/>
      <c r="S148" s="33"/>
      <c r="T148" s="35"/>
      <c r="U148" s="35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hidden="1">
      <c r="A149" s="357" t="s">
        <v>24</v>
      </c>
      <c r="B149" s="100">
        <v>45435.0</v>
      </c>
      <c r="C149" s="22">
        <v>1012870.0</v>
      </c>
      <c r="D149" s="23">
        <v>841160.0</v>
      </c>
      <c r="E149" s="24"/>
      <c r="F149" s="25"/>
      <c r="G149" s="101">
        <v>376270.0</v>
      </c>
      <c r="H149" s="27">
        <v>276021.0</v>
      </c>
      <c r="I149" s="27"/>
      <c r="J149" s="28"/>
      <c r="K149" s="29">
        <v>157160.0</v>
      </c>
      <c r="L149" s="30">
        <v>137410.0</v>
      </c>
      <c r="M149" s="49"/>
      <c r="N149" s="32"/>
      <c r="O149" s="33"/>
      <c r="P149" s="40"/>
      <c r="Q149" s="35"/>
      <c r="R149" s="33"/>
      <c r="S149" s="33"/>
      <c r="T149" s="35"/>
      <c r="U149" s="35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hidden="1">
      <c r="A150" s="357" t="s">
        <v>25</v>
      </c>
      <c r="B150" s="100">
        <v>45436.0</v>
      </c>
      <c r="C150" s="22">
        <v>946800.0</v>
      </c>
      <c r="D150" s="23">
        <v>736250.0</v>
      </c>
      <c r="E150" s="24"/>
      <c r="F150" s="25"/>
      <c r="G150" s="101">
        <v>348300.0</v>
      </c>
      <c r="H150" s="27">
        <v>174945.0</v>
      </c>
      <c r="I150" s="27"/>
      <c r="J150" s="28"/>
      <c r="K150" s="29">
        <v>240490.0</v>
      </c>
      <c r="L150" s="30">
        <v>153950.0</v>
      </c>
      <c r="M150" s="49"/>
      <c r="N150" s="32"/>
      <c r="O150" s="33"/>
      <c r="P150" s="40"/>
      <c r="Q150" s="35"/>
      <c r="R150" s="33"/>
      <c r="S150" s="33"/>
      <c r="T150" s="35"/>
      <c r="U150" s="35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hidden="1">
      <c r="A151" s="357" t="s">
        <v>26</v>
      </c>
      <c r="B151" s="100">
        <v>45437.0</v>
      </c>
      <c r="C151" s="22">
        <v>793010.0</v>
      </c>
      <c r="D151" s="23">
        <v>662690.0</v>
      </c>
      <c r="E151" s="24"/>
      <c r="F151" s="25"/>
      <c r="G151" s="101">
        <v>487300.0</v>
      </c>
      <c r="H151" s="27">
        <v>31295.0</v>
      </c>
      <c r="I151" s="27"/>
      <c r="J151" s="28"/>
      <c r="K151" s="29">
        <v>139950.0</v>
      </c>
      <c r="L151" s="30">
        <v>96630.0</v>
      </c>
      <c r="M151" s="31"/>
      <c r="N151" s="32"/>
      <c r="O151" s="33"/>
      <c r="P151" s="40"/>
      <c r="Q151" s="35"/>
      <c r="R151" s="33"/>
      <c r="S151" s="33"/>
      <c r="T151" s="35"/>
      <c r="U151" s="35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hidden="1">
      <c r="A152" s="358" t="s">
        <v>27</v>
      </c>
      <c r="B152" s="100">
        <v>45438.0</v>
      </c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6"/>
      <c r="N152" s="39"/>
      <c r="O152" s="33"/>
      <c r="P152" s="40"/>
      <c r="Q152" s="35"/>
      <c r="R152" s="33"/>
      <c r="S152" s="33"/>
      <c r="T152" s="35"/>
      <c r="U152" s="35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hidden="1">
      <c r="A153" s="357" t="s">
        <v>21</v>
      </c>
      <c r="B153" s="100">
        <v>45439.0</v>
      </c>
      <c r="C153" s="22">
        <v>712540.0</v>
      </c>
      <c r="D153" s="23">
        <v>573350.0</v>
      </c>
      <c r="E153" s="24"/>
      <c r="F153" s="25"/>
      <c r="G153" s="101">
        <v>224900.0</v>
      </c>
      <c r="H153" s="27">
        <v>179931.0</v>
      </c>
      <c r="I153" s="27"/>
      <c r="J153" s="28"/>
      <c r="K153" s="29">
        <v>149350.0</v>
      </c>
      <c r="L153" s="30">
        <v>153290.0</v>
      </c>
      <c r="M153" s="31"/>
      <c r="N153" s="39"/>
      <c r="O153" s="33"/>
      <c r="P153" s="40"/>
      <c r="Q153" s="35"/>
      <c r="R153" s="33"/>
      <c r="S153" s="33"/>
      <c r="T153" s="35"/>
      <c r="U153" s="35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hidden="1">
      <c r="A154" s="357" t="s">
        <v>22</v>
      </c>
      <c r="B154" s="100">
        <v>45440.0</v>
      </c>
      <c r="C154" s="22">
        <v>729445.0</v>
      </c>
      <c r="D154" s="23">
        <v>566990.0</v>
      </c>
      <c r="E154" s="24"/>
      <c r="F154" s="25"/>
      <c r="G154" s="101">
        <v>232100.0</v>
      </c>
      <c r="H154" s="27">
        <v>179800.0</v>
      </c>
      <c r="I154" s="27"/>
      <c r="J154" s="28"/>
      <c r="K154" s="29">
        <v>131870.0</v>
      </c>
      <c r="L154" s="30">
        <v>157855.0</v>
      </c>
      <c r="M154" s="31"/>
      <c r="N154" s="144"/>
      <c r="O154" s="33"/>
      <c r="P154" s="40"/>
      <c r="Q154" s="35"/>
      <c r="R154" s="33"/>
      <c r="S154" s="33"/>
      <c r="T154" s="35"/>
      <c r="U154" s="35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hidden="1">
      <c r="A155" s="357" t="s">
        <v>23</v>
      </c>
      <c r="B155" s="100">
        <v>45441.0</v>
      </c>
      <c r="C155" s="22">
        <v>979610.0</v>
      </c>
      <c r="D155" s="23">
        <v>741580.0</v>
      </c>
      <c r="E155" s="24"/>
      <c r="F155" s="25"/>
      <c r="G155" s="101">
        <v>367660.0</v>
      </c>
      <c r="H155" s="27">
        <v>266786.0</v>
      </c>
      <c r="I155" s="27"/>
      <c r="J155" s="28"/>
      <c r="K155" s="29">
        <v>208590.0</v>
      </c>
      <c r="L155" s="30">
        <v>185730.0</v>
      </c>
      <c r="M155" s="31"/>
      <c r="N155" s="39"/>
      <c r="O155" s="33"/>
      <c r="P155" s="40"/>
      <c r="Q155" s="35"/>
      <c r="R155" s="33"/>
      <c r="S155" s="33"/>
      <c r="T155" s="35"/>
      <c r="U155" s="35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hidden="1">
      <c r="A156" s="357" t="s">
        <v>24</v>
      </c>
      <c r="B156" s="100">
        <v>45442.0</v>
      </c>
      <c r="C156" s="22">
        <v>898150.0</v>
      </c>
      <c r="D156" s="23">
        <v>700000.0</v>
      </c>
      <c r="E156" s="24"/>
      <c r="F156" s="25"/>
      <c r="G156" s="101">
        <v>364600.0</v>
      </c>
      <c r="H156" s="27">
        <v>159501.0</v>
      </c>
      <c r="I156" s="27"/>
      <c r="J156" s="28"/>
      <c r="K156" s="29">
        <v>227080.0</v>
      </c>
      <c r="L156" s="30">
        <v>177340.0</v>
      </c>
      <c r="M156" s="31"/>
      <c r="N156" s="39"/>
      <c r="O156" s="33"/>
      <c r="P156" s="40"/>
      <c r="Q156" s="35"/>
      <c r="R156" s="33"/>
      <c r="S156" s="33"/>
      <c r="T156" s="35"/>
      <c r="U156" s="35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hidden="1">
      <c r="A157" s="357" t="s">
        <v>25</v>
      </c>
      <c r="B157" s="100">
        <v>45443.0</v>
      </c>
      <c r="C157" s="22">
        <v>923530.0</v>
      </c>
      <c r="D157" s="23">
        <v>762890.0</v>
      </c>
      <c r="E157" s="24"/>
      <c r="F157" s="25"/>
      <c r="G157" s="101">
        <v>383500.0</v>
      </c>
      <c r="H157" s="27">
        <v>197457.0</v>
      </c>
      <c r="I157" s="27"/>
      <c r="J157" s="28"/>
      <c r="K157" s="29">
        <v>184200.0</v>
      </c>
      <c r="L157" s="30">
        <v>166540.0</v>
      </c>
      <c r="M157" s="31"/>
      <c r="N157" s="39"/>
      <c r="O157" s="33"/>
      <c r="P157" s="40"/>
      <c r="Q157" s="35"/>
      <c r="R157" s="33"/>
      <c r="S157" s="33"/>
      <c r="T157" s="35"/>
      <c r="U157" s="35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hidden="1">
      <c r="A158" s="360" t="s">
        <v>28</v>
      </c>
      <c r="B158" s="135"/>
      <c r="C158" s="136">
        <f>SUM(C127:C157)</f>
        <v>22305927</v>
      </c>
      <c r="D158" s="136"/>
      <c r="E158" s="149"/>
      <c r="F158" s="149"/>
      <c r="G158" s="136"/>
      <c r="H158" s="136"/>
      <c r="I158" s="136"/>
      <c r="J158" s="136"/>
      <c r="K158" s="136"/>
      <c r="L158" s="136"/>
      <c r="M158" s="31"/>
      <c r="N158" s="39"/>
      <c r="O158" s="33"/>
      <c r="P158" s="40"/>
      <c r="Q158" s="35"/>
      <c r="R158" s="33"/>
      <c r="S158" s="33"/>
      <c r="T158" s="35"/>
      <c r="U158" s="35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hidden="1">
      <c r="A159" s="357" t="s">
        <v>26</v>
      </c>
      <c r="B159" s="100">
        <v>45444.0</v>
      </c>
      <c r="C159" s="22">
        <v>898150.0</v>
      </c>
      <c r="D159" s="23">
        <v>769400.0</v>
      </c>
      <c r="E159" s="24"/>
      <c r="F159" s="25"/>
      <c r="G159" s="35">
        <v>427320.0</v>
      </c>
      <c r="H159" s="27">
        <v>128075.0</v>
      </c>
      <c r="I159" s="27"/>
      <c r="J159" s="28"/>
      <c r="K159" s="29">
        <v>222970.0</v>
      </c>
      <c r="L159" s="30">
        <v>139850.0</v>
      </c>
      <c r="M159" s="31"/>
      <c r="N159" s="39"/>
      <c r="O159" s="33"/>
      <c r="P159" s="40"/>
      <c r="Q159" s="35"/>
      <c r="R159" s="33"/>
      <c r="S159" s="33"/>
      <c r="T159" s="35"/>
      <c r="U159" s="35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hidden="1">
      <c r="A160" s="361" t="s">
        <v>27</v>
      </c>
      <c r="B160" s="100">
        <v>45445.0</v>
      </c>
      <c r="C160" s="160"/>
      <c r="D160" s="160"/>
      <c r="E160" s="160"/>
      <c r="F160" s="160"/>
      <c r="G160" s="160"/>
      <c r="H160" s="160"/>
      <c r="I160" s="160"/>
      <c r="J160" s="28"/>
      <c r="K160" s="160"/>
      <c r="L160" s="160"/>
      <c r="M160" s="31"/>
      <c r="N160" s="32"/>
      <c r="O160" s="33"/>
      <c r="P160" s="40"/>
      <c r="Q160" s="35"/>
      <c r="R160" s="33"/>
      <c r="S160" s="33"/>
      <c r="T160" s="35"/>
      <c r="U160" s="35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hidden="1">
      <c r="A161" s="357" t="s">
        <v>21</v>
      </c>
      <c r="B161" s="100">
        <v>45446.0</v>
      </c>
      <c r="C161" s="22">
        <v>970585.0</v>
      </c>
      <c r="D161" s="23">
        <v>707925.0</v>
      </c>
      <c r="E161" s="24"/>
      <c r="F161" s="25"/>
      <c r="G161" s="35">
        <v>289800.0</v>
      </c>
      <c r="H161" s="27">
        <v>253181.0</v>
      </c>
      <c r="I161" s="27"/>
      <c r="J161" s="28"/>
      <c r="K161" s="29">
        <v>165750.0</v>
      </c>
      <c r="L161" s="30">
        <v>280485.0</v>
      </c>
      <c r="M161" s="49"/>
      <c r="N161" s="39"/>
      <c r="O161" s="33"/>
      <c r="P161" s="40"/>
      <c r="Q161" s="35"/>
      <c r="R161" s="33"/>
      <c r="S161" s="33"/>
      <c r="T161" s="35"/>
      <c r="U161" s="35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hidden="1">
      <c r="A162" s="357" t="s">
        <v>22</v>
      </c>
      <c r="B162" s="100">
        <v>45447.0</v>
      </c>
      <c r="C162" s="22">
        <v>890910.0</v>
      </c>
      <c r="D162" s="23">
        <v>689070.0</v>
      </c>
      <c r="E162" s="24"/>
      <c r="F162" s="25"/>
      <c r="G162" s="35">
        <f>341600+34900</f>
        <v>376500</v>
      </c>
      <c r="H162" s="27">
        <v>97900.0</v>
      </c>
      <c r="I162" s="27"/>
      <c r="J162" s="28"/>
      <c r="K162" s="29">
        <v>208420.0</v>
      </c>
      <c r="L162" s="30">
        <v>210040.0</v>
      </c>
      <c r="M162" s="31"/>
      <c r="N162" s="39"/>
      <c r="O162" s="33"/>
      <c r="P162" s="40"/>
      <c r="Q162" s="35"/>
      <c r="R162" s="33"/>
      <c r="S162" s="33"/>
      <c r="T162" s="35"/>
      <c r="U162" s="35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hidden="1">
      <c r="A163" s="357" t="s">
        <v>32</v>
      </c>
      <c r="B163" s="100">
        <v>45448.0</v>
      </c>
      <c r="C163" s="22">
        <v>1000410.0</v>
      </c>
      <c r="D163" s="101">
        <v>838740.0</v>
      </c>
      <c r="E163" s="24"/>
      <c r="F163" s="25"/>
      <c r="G163" s="35">
        <v>84400.0</v>
      </c>
      <c r="H163" s="27">
        <v>267700.0</v>
      </c>
      <c r="I163" s="27"/>
      <c r="J163" s="28"/>
      <c r="K163" s="29">
        <v>180340.0</v>
      </c>
      <c r="L163" s="30">
        <v>161670.0</v>
      </c>
      <c r="M163" s="31"/>
      <c r="N163" s="32"/>
      <c r="O163" s="33"/>
      <c r="P163" s="40"/>
      <c r="Q163" s="35"/>
      <c r="R163" s="33"/>
      <c r="S163" s="33"/>
      <c r="T163" s="35"/>
      <c r="U163" s="35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hidden="1">
      <c r="A164" s="357" t="s">
        <v>24</v>
      </c>
      <c r="B164" s="100">
        <v>45449.0</v>
      </c>
      <c r="C164" s="152">
        <v>1084535.0</v>
      </c>
      <c r="D164" s="153">
        <v>932820.0</v>
      </c>
      <c r="E164" s="154"/>
      <c r="F164" s="155"/>
      <c r="G164" s="156">
        <v>457600.0</v>
      </c>
      <c r="H164" s="157">
        <v>164635.0</v>
      </c>
      <c r="I164" s="157"/>
      <c r="J164" s="139"/>
      <c r="K164" s="158">
        <v>279020.0</v>
      </c>
      <c r="L164" s="30">
        <v>173015.0</v>
      </c>
      <c r="M164" s="31"/>
      <c r="N164" s="32"/>
      <c r="O164" s="33"/>
      <c r="P164" s="40"/>
      <c r="Q164" s="35"/>
      <c r="R164" s="33"/>
      <c r="S164" s="33"/>
      <c r="T164" s="35"/>
      <c r="U164" s="35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hidden="1">
      <c r="A165" s="357" t="s">
        <v>25</v>
      </c>
      <c r="B165" s="100">
        <v>45450.0</v>
      </c>
      <c r="C165" s="22">
        <v>867760.0</v>
      </c>
      <c r="D165" s="23">
        <v>772620.0</v>
      </c>
      <c r="E165" s="24"/>
      <c r="F165" s="25"/>
      <c r="G165" s="35">
        <v>273630.0</v>
      </c>
      <c r="H165" s="27">
        <v>200300.0</v>
      </c>
      <c r="I165" s="27"/>
      <c r="J165" s="28"/>
      <c r="K165" s="29">
        <v>295550.0</v>
      </c>
      <c r="L165" s="30">
        <v>104640.0</v>
      </c>
      <c r="M165" s="49"/>
      <c r="N165" s="141"/>
      <c r="O165" s="33"/>
      <c r="P165" s="40"/>
      <c r="Q165" s="35"/>
      <c r="R165" s="33"/>
      <c r="S165" s="33"/>
      <c r="T165" s="35"/>
      <c r="U165" s="35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hidden="1">
      <c r="A166" s="357" t="s">
        <v>33</v>
      </c>
      <c r="B166" s="100">
        <v>45451.0</v>
      </c>
      <c r="C166" s="22">
        <v>799370.0</v>
      </c>
      <c r="D166" s="23">
        <v>485400.0</v>
      </c>
      <c r="E166" s="24"/>
      <c r="F166" s="25"/>
      <c r="G166" s="35">
        <v>493230.0</v>
      </c>
      <c r="H166" s="27">
        <v>67950.0</v>
      </c>
      <c r="I166" s="27"/>
      <c r="J166" s="28"/>
      <c r="K166" s="29">
        <v>257235.0</v>
      </c>
      <c r="L166" s="30">
        <v>140000.0</v>
      </c>
      <c r="M166" s="49"/>
      <c r="N166" s="32"/>
      <c r="O166" s="33"/>
      <c r="P166" s="40"/>
      <c r="Q166" s="35"/>
      <c r="R166" s="33"/>
      <c r="S166" s="33"/>
      <c r="T166" s="35"/>
      <c r="U166" s="35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hidden="1">
      <c r="A167" s="361" t="s">
        <v>27</v>
      </c>
      <c r="B167" s="100">
        <v>45452.0</v>
      </c>
      <c r="C167" s="160"/>
      <c r="D167" s="160"/>
      <c r="E167" s="160"/>
      <c r="F167" s="160"/>
      <c r="G167" s="160"/>
      <c r="H167" s="160"/>
      <c r="I167" s="160"/>
      <c r="J167" s="28"/>
      <c r="K167" s="160"/>
      <c r="L167" s="160"/>
      <c r="M167" s="49"/>
      <c r="N167" s="32"/>
      <c r="O167" s="33"/>
      <c r="P167" s="40"/>
      <c r="Q167" s="35"/>
      <c r="R167" s="33"/>
      <c r="S167" s="33"/>
      <c r="T167" s="35"/>
      <c r="U167" s="35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hidden="1">
      <c r="A168" s="357" t="s">
        <v>21</v>
      </c>
      <c r="B168" s="100">
        <v>45453.0</v>
      </c>
      <c r="C168" s="22">
        <v>693354.0</v>
      </c>
      <c r="D168" s="23">
        <v>485400.0</v>
      </c>
      <c r="E168" s="24"/>
      <c r="F168" s="25"/>
      <c r="G168" s="35">
        <v>480230.0</v>
      </c>
      <c r="H168" s="27">
        <v>162300.0</v>
      </c>
      <c r="I168" s="27"/>
      <c r="J168" s="28"/>
      <c r="K168" s="29">
        <v>99800.0</v>
      </c>
      <c r="L168" s="30"/>
      <c r="M168" s="49"/>
      <c r="N168" s="39"/>
      <c r="O168" s="33"/>
      <c r="P168" s="40"/>
      <c r="Q168" s="35"/>
      <c r="R168" s="33"/>
      <c r="S168" s="33"/>
      <c r="T168" s="35"/>
      <c r="U168" s="35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hidden="1">
      <c r="A169" s="357" t="s">
        <v>22</v>
      </c>
      <c r="B169" s="100">
        <v>45454.0</v>
      </c>
      <c r="C169" s="22">
        <v>1050700.0</v>
      </c>
      <c r="D169" s="23">
        <v>871850.0</v>
      </c>
      <c r="E169" s="24"/>
      <c r="F169" s="25"/>
      <c r="G169" s="35">
        <v>380100.0</v>
      </c>
      <c r="H169" s="27">
        <v>213901.0</v>
      </c>
      <c r="I169" s="27"/>
      <c r="J169" s="28"/>
      <c r="K169" s="29">
        <v>298040.0</v>
      </c>
      <c r="L169" s="30">
        <v>181410.0</v>
      </c>
      <c r="M169" s="49"/>
      <c r="N169" s="32"/>
      <c r="O169" s="33"/>
      <c r="P169" s="40"/>
      <c r="Q169" s="35"/>
      <c r="R169" s="33"/>
      <c r="S169" s="33"/>
      <c r="T169" s="35"/>
      <c r="U169" s="35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hidden="1">
      <c r="A170" s="357" t="s">
        <v>32</v>
      </c>
      <c r="B170" s="100">
        <v>45455.0</v>
      </c>
      <c r="C170" s="22">
        <v>1082900.0</v>
      </c>
      <c r="D170" s="101">
        <v>903670.0</v>
      </c>
      <c r="E170" s="24"/>
      <c r="F170" s="25"/>
      <c r="G170" s="35">
        <v>344700.0</v>
      </c>
      <c r="H170" s="27">
        <v>247185.0</v>
      </c>
      <c r="I170" s="27"/>
      <c r="J170" s="28"/>
      <c r="K170" s="29">
        <v>284610.0</v>
      </c>
      <c r="L170" s="30">
        <v>185500.0</v>
      </c>
      <c r="M170" s="49"/>
      <c r="N170" s="32"/>
      <c r="O170" s="33"/>
      <c r="P170" s="40"/>
      <c r="Q170" s="35"/>
      <c r="R170" s="33"/>
      <c r="S170" s="33"/>
      <c r="T170" s="35"/>
      <c r="U170" s="35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hidden="1">
      <c r="A171" s="357" t="s">
        <v>24</v>
      </c>
      <c r="B171" s="100">
        <v>45456.0</v>
      </c>
      <c r="C171" s="22">
        <v>1278970.0</v>
      </c>
      <c r="D171" s="23">
        <v>1097650.0</v>
      </c>
      <c r="E171" s="24"/>
      <c r="F171" s="25"/>
      <c r="G171" s="26">
        <v>587300.0</v>
      </c>
      <c r="H171" s="27">
        <v>165500.0</v>
      </c>
      <c r="I171" s="27"/>
      <c r="J171" s="28"/>
      <c r="K171" s="29">
        <v>428600.0</v>
      </c>
      <c r="L171" s="30">
        <v>148120.0</v>
      </c>
      <c r="M171" s="49"/>
      <c r="N171" s="39"/>
      <c r="O171" s="33"/>
      <c r="P171" s="40"/>
      <c r="Q171" s="35"/>
      <c r="R171" s="33"/>
      <c r="S171" s="33"/>
      <c r="T171" s="35"/>
      <c r="U171" s="35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hidden="1">
      <c r="A172" s="357" t="s">
        <v>25</v>
      </c>
      <c r="B172" s="100">
        <v>45457.0</v>
      </c>
      <c r="C172" s="22">
        <v>894330.0</v>
      </c>
      <c r="D172" s="23">
        <v>746930.0</v>
      </c>
      <c r="E172" s="24"/>
      <c r="F172" s="25"/>
      <c r="G172" s="35">
        <v>377700.0</v>
      </c>
      <c r="H172" s="27">
        <v>144000.0</v>
      </c>
      <c r="I172" s="27"/>
      <c r="J172" s="28"/>
      <c r="K172" s="29">
        <v>261310.0</v>
      </c>
      <c r="L172" s="30">
        <v>125400.0</v>
      </c>
      <c r="M172" s="49"/>
      <c r="N172" s="39"/>
      <c r="O172" s="33"/>
      <c r="P172" s="40"/>
      <c r="Q172" s="35"/>
      <c r="R172" s="33"/>
      <c r="S172" s="33"/>
      <c r="T172" s="35"/>
      <c r="U172" s="35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hidden="1">
      <c r="A173" s="357" t="s">
        <v>33</v>
      </c>
      <c r="B173" s="100">
        <v>45458.0</v>
      </c>
      <c r="C173" s="22">
        <v>895070.0</v>
      </c>
      <c r="D173" s="23">
        <v>738340.0</v>
      </c>
      <c r="E173" s="24"/>
      <c r="F173" s="25"/>
      <c r="G173" s="35">
        <f>386000+17200</f>
        <v>403200</v>
      </c>
      <c r="H173" s="27">
        <v>48600.0</v>
      </c>
      <c r="I173" s="27"/>
      <c r="J173" s="28"/>
      <c r="K173" s="29">
        <v>304750.0</v>
      </c>
      <c r="L173" s="30">
        <v>156730.0</v>
      </c>
      <c r="M173" s="31"/>
      <c r="N173" s="32"/>
      <c r="O173" s="33"/>
      <c r="P173" s="40"/>
      <c r="Q173" s="35"/>
      <c r="R173" s="33"/>
      <c r="S173" s="33"/>
      <c r="T173" s="35"/>
      <c r="U173" s="35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hidden="1">
      <c r="A174" s="362" t="s">
        <v>27</v>
      </c>
      <c r="B174" s="100">
        <v>45459.0</v>
      </c>
      <c r="C174" s="160"/>
      <c r="D174" s="160"/>
      <c r="E174" s="160"/>
      <c r="F174" s="160"/>
      <c r="G174" s="160"/>
      <c r="H174" s="160"/>
      <c r="I174" s="160"/>
      <c r="J174" s="28"/>
      <c r="K174" s="160"/>
      <c r="L174" s="160"/>
      <c r="M174" s="31"/>
      <c r="N174" s="32"/>
      <c r="O174" s="33"/>
      <c r="P174" s="40"/>
      <c r="Q174" s="35"/>
      <c r="R174" s="33"/>
      <c r="S174" s="33"/>
      <c r="T174" s="35"/>
      <c r="U174" s="35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hidden="1">
      <c r="A175" s="363" t="s">
        <v>21</v>
      </c>
      <c r="B175" s="100">
        <v>45460.0</v>
      </c>
      <c r="C175" s="22"/>
      <c r="D175" s="23"/>
      <c r="E175" s="24"/>
      <c r="F175" s="25"/>
      <c r="G175" s="35"/>
      <c r="H175" s="27"/>
      <c r="I175" s="27"/>
      <c r="J175" s="28"/>
      <c r="K175" s="29"/>
      <c r="L175" s="30"/>
      <c r="M175" s="49"/>
      <c r="N175" s="39"/>
      <c r="O175" s="33"/>
      <c r="P175" s="40"/>
      <c r="Q175" s="35"/>
      <c r="R175" s="33"/>
      <c r="S175" s="33"/>
      <c r="T175" s="35"/>
      <c r="U175" s="35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hidden="1">
      <c r="A176" s="363" t="s">
        <v>22</v>
      </c>
      <c r="B176" s="100">
        <v>45461.0</v>
      </c>
      <c r="C176" s="22">
        <v>623830.0</v>
      </c>
      <c r="D176" s="23">
        <v>558400.0</v>
      </c>
      <c r="E176" s="24"/>
      <c r="F176" s="25"/>
      <c r="G176" s="35">
        <v>184600.0</v>
      </c>
      <c r="H176" s="27">
        <v>158686.0</v>
      </c>
      <c r="I176" s="27"/>
      <c r="J176" s="28"/>
      <c r="K176" s="29">
        <v>137910.0</v>
      </c>
      <c r="L176" s="30">
        <v>81590.0</v>
      </c>
      <c r="M176" s="31"/>
      <c r="N176" s="39"/>
      <c r="O176" s="33"/>
      <c r="P176" s="40"/>
      <c r="Q176" s="35"/>
      <c r="R176" s="33"/>
      <c r="S176" s="33"/>
      <c r="T176" s="35"/>
      <c r="U176" s="35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hidden="1">
      <c r="A177" s="363" t="s">
        <v>32</v>
      </c>
      <c r="B177" s="100">
        <v>45462.0</v>
      </c>
      <c r="C177" s="22">
        <v>792220.0</v>
      </c>
      <c r="D177" s="23">
        <v>597770.0</v>
      </c>
      <c r="E177" s="24"/>
      <c r="F177" s="25"/>
      <c r="G177" s="35">
        <v>353920.0</v>
      </c>
      <c r="H177" s="27">
        <v>42100.0</v>
      </c>
      <c r="I177" s="27"/>
      <c r="J177" s="28"/>
      <c r="K177" s="29">
        <v>214350.0</v>
      </c>
      <c r="L177" s="30">
        <v>194450.0</v>
      </c>
      <c r="M177" s="31"/>
      <c r="N177" s="32"/>
      <c r="O177" s="33"/>
      <c r="P177" s="40"/>
      <c r="Q177" s="35"/>
      <c r="R177" s="33"/>
      <c r="S177" s="33"/>
      <c r="T177" s="35"/>
      <c r="U177" s="35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hidden="1">
      <c r="A178" s="363" t="s">
        <v>24</v>
      </c>
      <c r="B178" s="100">
        <v>45463.0</v>
      </c>
      <c r="C178" s="22">
        <v>923610.0</v>
      </c>
      <c r="D178" s="23">
        <v>788530.0</v>
      </c>
      <c r="E178" s="24"/>
      <c r="F178" s="25"/>
      <c r="G178" s="35">
        <v>516400.0</v>
      </c>
      <c r="H178" s="27">
        <v>95100.0</v>
      </c>
      <c r="I178" s="27"/>
      <c r="J178" s="28"/>
      <c r="K178" s="29">
        <v>152550.0</v>
      </c>
      <c r="L178" s="30">
        <v>135080.0</v>
      </c>
      <c r="M178" s="31"/>
      <c r="N178" s="39"/>
      <c r="O178" s="33"/>
      <c r="P178" s="40"/>
      <c r="Q178" s="35"/>
      <c r="R178" s="33"/>
      <c r="S178" s="33"/>
      <c r="T178" s="35"/>
      <c r="U178" s="35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hidden="1">
      <c r="A179" s="363" t="s">
        <v>25</v>
      </c>
      <c r="B179" s="100">
        <v>45464.0</v>
      </c>
      <c r="C179" s="22">
        <v>1002200.0</v>
      </c>
      <c r="D179" s="23">
        <v>876030.0</v>
      </c>
      <c r="E179" s="24">
        <v>7930.0</v>
      </c>
      <c r="F179" s="25">
        <v>900.0</v>
      </c>
      <c r="G179" s="35">
        <v>523100.0</v>
      </c>
      <c r="H179" s="27">
        <v>95035.0</v>
      </c>
      <c r="I179" s="27"/>
      <c r="J179" s="28"/>
      <c r="K179" s="29">
        <v>196460.0</v>
      </c>
      <c r="L179" s="30">
        <v>177260.0</v>
      </c>
      <c r="M179" s="31"/>
      <c r="N179" s="39"/>
      <c r="O179" s="33"/>
      <c r="P179" s="40"/>
      <c r="Q179" s="35"/>
      <c r="R179" s="33"/>
      <c r="S179" s="33"/>
      <c r="T179" s="35"/>
      <c r="U179" s="35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hidden="1">
      <c r="A180" s="363" t="s">
        <v>33</v>
      </c>
      <c r="B180" s="100">
        <v>45465.0</v>
      </c>
      <c r="C180" s="22">
        <v>789060.0</v>
      </c>
      <c r="D180" s="23">
        <v>66990.0</v>
      </c>
      <c r="E180" s="24">
        <v>3910.0</v>
      </c>
      <c r="F180" s="25">
        <v>900.0</v>
      </c>
      <c r="G180" s="35">
        <v>421520.0</v>
      </c>
      <c r="H180" s="27">
        <v>24320.0</v>
      </c>
      <c r="I180" s="27"/>
      <c r="J180" s="28"/>
      <c r="K180" s="29">
        <v>207300.0</v>
      </c>
      <c r="L180" s="30">
        <v>146470.0</v>
      </c>
      <c r="M180" s="31"/>
      <c r="N180" s="39"/>
      <c r="O180" s="33"/>
      <c r="P180" s="40"/>
      <c r="Q180" s="35"/>
      <c r="R180" s="33"/>
      <c r="S180" s="33"/>
      <c r="T180" s="35"/>
      <c r="U180" s="35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hidden="1">
      <c r="A181" s="362" t="s">
        <v>27</v>
      </c>
      <c r="B181" s="100">
        <v>45466.0</v>
      </c>
      <c r="C181" s="160"/>
      <c r="D181" s="160"/>
      <c r="E181" s="160"/>
      <c r="F181" s="160"/>
      <c r="G181" s="160"/>
      <c r="H181" s="160"/>
      <c r="I181" s="160"/>
      <c r="J181" s="28"/>
      <c r="K181" s="160"/>
      <c r="L181" s="160"/>
      <c r="M181" s="31"/>
      <c r="N181" s="39"/>
      <c r="O181" s="33"/>
      <c r="P181" s="40"/>
      <c r="Q181" s="35"/>
      <c r="R181" s="33"/>
      <c r="S181" s="33"/>
      <c r="T181" s="35"/>
      <c r="U181" s="35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hidden="1">
      <c r="A182" s="363" t="s">
        <v>21</v>
      </c>
      <c r="B182" s="100">
        <v>45467.0</v>
      </c>
      <c r="C182" s="22">
        <v>763940.0</v>
      </c>
      <c r="D182" s="23">
        <v>552490.0</v>
      </c>
      <c r="E182" s="24"/>
      <c r="F182" s="25"/>
      <c r="G182" s="35">
        <v>284700.0</v>
      </c>
      <c r="H182" s="27">
        <v>92771.0</v>
      </c>
      <c r="I182" s="27"/>
      <c r="J182" s="28"/>
      <c r="K182" s="29">
        <v>185300.0</v>
      </c>
      <c r="L182" s="30">
        <v>222650.0</v>
      </c>
      <c r="M182" s="49"/>
      <c r="N182" s="39"/>
      <c r="O182" s="33"/>
      <c r="P182" s="40"/>
      <c r="Q182" s="35"/>
      <c r="R182" s="33"/>
      <c r="S182" s="33"/>
      <c r="T182" s="35"/>
      <c r="U182" s="35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hidden="1">
      <c r="A183" s="363" t="s">
        <v>22</v>
      </c>
      <c r="B183" s="100">
        <v>45468.0</v>
      </c>
      <c r="C183" s="22">
        <v>963550.0</v>
      </c>
      <c r="D183" s="23">
        <v>795560.0</v>
      </c>
      <c r="E183" s="24"/>
      <c r="F183" s="25"/>
      <c r="G183" s="35">
        <v>296700.0</v>
      </c>
      <c r="H183" s="27"/>
      <c r="I183" s="27"/>
      <c r="J183" s="28"/>
      <c r="K183" s="29">
        <v>245100.0</v>
      </c>
      <c r="L183" s="30">
        <v>167990.0</v>
      </c>
      <c r="M183" s="31"/>
      <c r="N183" s="39"/>
      <c r="O183" s="33"/>
      <c r="P183" s="40"/>
      <c r="Q183" s="35"/>
      <c r="R183" s="33"/>
      <c r="S183" s="33"/>
      <c r="T183" s="35"/>
      <c r="U183" s="35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hidden="1">
      <c r="A184" s="363" t="s">
        <v>32</v>
      </c>
      <c r="B184" s="100">
        <v>45469.0</v>
      </c>
      <c r="C184" s="22">
        <v>1247870.0</v>
      </c>
      <c r="D184" s="23">
        <v>1011680.0</v>
      </c>
      <c r="E184" s="24"/>
      <c r="F184" s="25"/>
      <c r="G184" s="35">
        <v>407900.0</v>
      </c>
      <c r="H184" s="27">
        <v>251585.0</v>
      </c>
      <c r="I184" s="27"/>
      <c r="J184" s="28"/>
      <c r="K184" s="29">
        <v>343450.0</v>
      </c>
      <c r="L184" s="30">
        <v>231920.0</v>
      </c>
      <c r="M184" s="31"/>
      <c r="N184" s="39"/>
      <c r="O184" s="33"/>
      <c r="P184" s="40"/>
      <c r="Q184" s="35"/>
      <c r="R184" s="33"/>
      <c r="S184" s="33"/>
      <c r="T184" s="35"/>
      <c r="U184" s="35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hidden="1">
      <c r="A185" s="363" t="s">
        <v>24</v>
      </c>
      <c r="B185" s="100">
        <v>45470.0</v>
      </c>
      <c r="C185" s="22">
        <v>1149210.0</v>
      </c>
      <c r="D185" s="23">
        <v>961460.0</v>
      </c>
      <c r="E185" s="24"/>
      <c r="F185" s="25"/>
      <c r="G185" s="35">
        <v>484260.0</v>
      </c>
      <c r="H185" s="27">
        <v>126800.0</v>
      </c>
      <c r="I185" s="27"/>
      <c r="J185" s="28"/>
      <c r="K185" s="29">
        <v>312900.0</v>
      </c>
      <c r="L185" s="30">
        <v>196250.0</v>
      </c>
      <c r="M185" s="31"/>
      <c r="N185" s="39"/>
      <c r="O185" s="33"/>
      <c r="P185" s="40"/>
      <c r="Q185" s="35"/>
      <c r="R185" s="33"/>
      <c r="S185" s="33"/>
      <c r="T185" s="35"/>
      <c r="U185" s="35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hidden="1">
      <c r="A186" s="363" t="s">
        <v>25</v>
      </c>
      <c r="B186" s="100">
        <v>45471.0</v>
      </c>
      <c r="C186" s="22">
        <v>1076190.0</v>
      </c>
      <c r="D186" s="23">
        <v>905900.0</v>
      </c>
      <c r="E186" s="24"/>
      <c r="F186" s="25"/>
      <c r="G186" s="35">
        <v>431100.0</v>
      </c>
      <c r="H186" s="27">
        <v>172486.0</v>
      </c>
      <c r="I186" s="27"/>
      <c r="J186" s="28"/>
      <c r="K186" s="29">
        <v>304780.0</v>
      </c>
      <c r="L186" s="30">
        <v>190010.0</v>
      </c>
      <c r="M186" s="49"/>
      <c r="N186" s="32"/>
      <c r="O186" s="33"/>
      <c r="P186" s="40"/>
      <c r="Q186" s="35"/>
      <c r="R186" s="33"/>
      <c r="S186" s="33"/>
      <c r="T186" s="35"/>
      <c r="U186" s="35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hidden="1">
      <c r="A187" s="363" t="s">
        <v>33</v>
      </c>
      <c r="B187" s="100">
        <v>45472.0</v>
      </c>
      <c r="C187" s="22">
        <v>1184130.0</v>
      </c>
      <c r="D187" s="118">
        <v>962970.0</v>
      </c>
      <c r="E187" s="119"/>
      <c r="F187" s="120"/>
      <c r="G187" s="163">
        <v>616750.0</v>
      </c>
      <c r="H187" s="122">
        <v>91600.0</v>
      </c>
      <c r="I187" s="122"/>
      <c r="J187" s="123"/>
      <c r="K187" s="164">
        <v>251920.0</v>
      </c>
      <c r="L187" s="30">
        <v>231260.0</v>
      </c>
      <c r="M187" s="31"/>
      <c r="N187" s="39"/>
      <c r="O187" s="33"/>
      <c r="P187" s="40"/>
      <c r="Q187" s="35"/>
      <c r="R187" s="33"/>
      <c r="S187" s="33"/>
      <c r="T187" s="35"/>
      <c r="U187" s="35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hidden="1">
      <c r="A188" s="362" t="s">
        <v>27</v>
      </c>
      <c r="B188" s="100">
        <v>45473.0</v>
      </c>
      <c r="C188" s="160"/>
      <c r="D188" s="160"/>
      <c r="E188" s="160"/>
      <c r="F188" s="160"/>
      <c r="G188" s="160"/>
      <c r="H188" s="160"/>
      <c r="I188" s="160"/>
      <c r="J188" s="28"/>
      <c r="K188" s="160"/>
      <c r="L188" s="160"/>
      <c r="M188" s="31"/>
      <c r="N188" s="39"/>
      <c r="O188" s="33"/>
      <c r="P188" s="40"/>
      <c r="Q188" s="35"/>
      <c r="R188" s="33"/>
      <c r="S188" s="33"/>
      <c r="T188" s="35"/>
      <c r="U188" s="35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hidden="1">
      <c r="A189" s="165" t="s">
        <v>28</v>
      </c>
      <c r="B189" s="129"/>
      <c r="C189" s="73">
        <f t="shared" ref="C189:D189" si="1">SUM(C159:C188)</f>
        <v>22922854</v>
      </c>
      <c r="D189" s="73">
        <f t="shared" si="1"/>
        <v>18117595</v>
      </c>
      <c r="E189" s="73"/>
      <c r="F189" s="73"/>
      <c r="G189" s="73">
        <f t="shared" ref="G189:H189" si="2">SUM(G159:G188)</f>
        <v>9496660</v>
      </c>
      <c r="H189" s="73">
        <f t="shared" si="2"/>
        <v>3311710</v>
      </c>
      <c r="I189" s="73"/>
      <c r="J189" s="73"/>
      <c r="K189" s="73">
        <f t="shared" ref="K189:L189" si="3">SUM(K159:K188)</f>
        <v>5838415</v>
      </c>
      <c r="L189" s="73">
        <f t="shared" si="3"/>
        <v>3981790</v>
      </c>
      <c r="M189" s="74"/>
      <c r="N189" s="39"/>
      <c r="O189" s="33"/>
      <c r="P189" s="40"/>
      <c r="Q189" s="35"/>
      <c r="R189" s="33"/>
      <c r="S189" s="33"/>
      <c r="T189" s="35"/>
      <c r="U189" s="35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hidden="1">
      <c r="A190" s="99" t="s">
        <v>21</v>
      </c>
      <c r="B190" s="100">
        <v>45474.0</v>
      </c>
      <c r="C190" s="22">
        <v>671330.0</v>
      </c>
      <c r="D190" s="23">
        <v>514930.0</v>
      </c>
      <c r="E190" s="24"/>
      <c r="F190" s="25"/>
      <c r="G190" s="35">
        <v>178200.0</v>
      </c>
      <c r="H190" s="27">
        <v>76100.0</v>
      </c>
      <c r="I190" s="27"/>
      <c r="J190" s="28"/>
      <c r="K190" s="29">
        <v>238300.0</v>
      </c>
      <c r="L190" s="30">
        <v>177400.0</v>
      </c>
      <c r="M190" s="31"/>
      <c r="N190" s="32"/>
      <c r="O190" s="33"/>
      <c r="P190" s="40"/>
      <c r="Q190" s="35"/>
      <c r="R190" s="33"/>
      <c r="S190" s="33"/>
      <c r="T190" s="35"/>
      <c r="U190" s="35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hidden="1">
      <c r="A191" s="99" t="s">
        <v>22</v>
      </c>
      <c r="B191" s="100">
        <v>45475.0</v>
      </c>
      <c r="C191" s="22">
        <v>996075.0</v>
      </c>
      <c r="D191" s="23">
        <v>794705.0</v>
      </c>
      <c r="E191" s="24"/>
      <c r="F191" s="25"/>
      <c r="G191" s="35">
        <v>391900.0</v>
      </c>
      <c r="H191" s="27">
        <v>128676.0</v>
      </c>
      <c r="I191" s="27"/>
      <c r="J191" s="28"/>
      <c r="K191" s="29">
        <v>255665.0</v>
      </c>
      <c r="L191" s="30">
        <v>201370.0</v>
      </c>
      <c r="M191" s="31"/>
      <c r="N191" s="39"/>
      <c r="O191" s="33"/>
      <c r="P191" s="40"/>
      <c r="Q191" s="35"/>
      <c r="R191" s="33"/>
      <c r="S191" s="33"/>
      <c r="T191" s="35"/>
      <c r="U191" s="35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hidden="1">
      <c r="A192" s="99" t="s">
        <v>32</v>
      </c>
      <c r="B192" s="100">
        <v>45476.0</v>
      </c>
      <c r="C192" s="22">
        <v>1014730.0</v>
      </c>
      <c r="D192" s="23">
        <v>885770.0</v>
      </c>
      <c r="E192" s="24"/>
      <c r="F192" s="25"/>
      <c r="G192" s="35">
        <v>448750.0</v>
      </c>
      <c r="H192" s="27">
        <v>126800.0</v>
      </c>
      <c r="I192" s="27"/>
      <c r="J192" s="28"/>
      <c r="K192" s="29">
        <v>285820.0</v>
      </c>
      <c r="L192" s="30">
        <v>133060.0</v>
      </c>
      <c r="M192" s="31"/>
      <c r="N192" s="39"/>
      <c r="O192" s="33"/>
      <c r="P192" s="40"/>
      <c r="Q192" s="35"/>
      <c r="R192" s="33"/>
      <c r="S192" s="33"/>
      <c r="T192" s="35"/>
      <c r="U192" s="35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hidden="1">
      <c r="A193" s="99" t="s">
        <v>24</v>
      </c>
      <c r="B193" s="100">
        <v>45477.0</v>
      </c>
      <c r="C193" s="22">
        <v>1144134.0</v>
      </c>
      <c r="D193" s="23">
        <v>1007140.0</v>
      </c>
      <c r="E193" s="24"/>
      <c r="F193" s="25"/>
      <c r="G193" s="35">
        <v>390800.0</v>
      </c>
      <c r="H193" s="27">
        <v>335391.0</v>
      </c>
      <c r="I193" s="27"/>
      <c r="J193" s="28"/>
      <c r="K193" s="29">
        <v>232680.0</v>
      </c>
      <c r="L193" s="30">
        <v>152294.0</v>
      </c>
      <c r="M193" s="31"/>
      <c r="N193" s="32"/>
      <c r="O193" s="33"/>
      <c r="P193" s="40"/>
      <c r="Q193" s="35"/>
      <c r="R193" s="33"/>
      <c r="S193" s="33"/>
      <c r="T193" s="35"/>
      <c r="U193" s="35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hidden="1">
      <c r="A194" s="99" t="s">
        <v>25</v>
      </c>
      <c r="B194" s="100">
        <v>45478.0</v>
      </c>
      <c r="C194" s="22">
        <v>1227300.0</v>
      </c>
      <c r="D194" s="23">
        <v>1016380.0</v>
      </c>
      <c r="E194" s="24"/>
      <c r="F194" s="25"/>
      <c r="G194" s="35">
        <v>524700.0</v>
      </c>
      <c r="H194" s="27">
        <v>218138.0</v>
      </c>
      <c r="I194" s="27"/>
      <c r="J194" s="28"/>
      <c r="K194" s="29">
        <v>241820.0</v>
      </c>
      <c r="L194" s="30">
        <v>229170.0</v>
      </c>
      <c r="M194" s="31"/>
      <c r="N194" s="32"/>
      <c r="O194" s="33"/>
      <c r="P194" s="40"/>
      <c r="Q194" s="35"/>
      <c r="R194" s="33"/>
      <c r="S194" s="33"/>
      <c r="T194" s="35"/>
      <c r="U194" s="35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hidden="1">
      <c r="A195" s="99" t="s">
        <v>33</v>
      </c>
      <c r="B195" s="100">
        <v>45479.0</v>
      </c>
      <c r="C195" s="22">
        <v>1112950.0</v>
      </c>
      <c r="D195" s="23">
        <v>867240.0</v>
      </c>
      <c r="E195" s="24"/>
      <c r="F195" s="25"/>
      <c r="G195" s="35">
        <v>458600.0</v>
      </c>
      <c r="H195" s="27">
        <v>100390.0</v>
      </c>
      <c r="I195" s="27"/>
      <c r="J195" s="28"/>
      <c r="K195" s="29">
        <v>284330.0</v>
      </c>
      <c r="L195" s="30">
        <v>275990.0</v>
      </c>
      <c r="M195" s="31"/>
      <c r="N195" s="39"/>
      <c r="O195" s="33"/>
      <c r="P195" s="40"/>
      <c r="Q195" s="35"/>
      <c r="R195" s="33"/>
      <c r="S195" s="33"/>
      <c r="T195" s="35"/>
      <c r="U195" s="35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hidden="1">
      <c r="A196" s="150" t="s">
        <v>27</v>
      </c>
      <c r="B196" s="100">
        <v>45480.0</v>
      </c>
      <c r="C196" s="160"/>
      <c r="D196" s="160"/>
      <c r="E196" s="160"/>
      <c r="F196" s="160"/>
      <c r="G196" s="160"/>
      <c r="H196" s="160"/>
      <c r="I196" s="160"/>
      <c r="J196" s="28"/>
      <c r="K196" s="160"/>
      <c r="L196" s="160"/>
      <c r="M196" s="31"/>
      <c r="N196" s="39"/>
      <c r="O196" s="33"/>
      <c r="P196" s="40"/>
      <c r="Q196" s="35"/>
      <c r="R196" s="33"/>
      <c r="S196" s="33"/>
      <c r="T196" s="35"/>
      <c r="U196" s="35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hidden="1">
      <c r="A197" s="99" t="s">
        <v>21</v>
      </c>
      <c r="B197" s="100">
        <v>45481.0</v>
      </c>
      <c r="C197" s="22">
        <v>1086740.0</v>
      </c>
      <c r="D197" s="23">
        <v>889479.0</v>
      </c>
      <c r="E197" s="24"/>
      <c r="F197" s="25"/>
      <c r="G197" s="35">
        <v>345800.0</v>
      </c>
      <c r="H197" s="27">
        <v>289361.0</v>
      </c>
      <c r="I197" s="27"/>
      <c r="J197" s="28"/>
      <c r="K197" s="29">
        <v>291500.0</v>
      </c>
      <c r="L197" s="30">
        <v>184360.0</v>
      </c>
      <c r="M197" s="31"/>
      <c r="N197" s="39"/>
      <c r="O197" s="33"/>
      <c r="P197" s="40"/>
      <c r="Q197" s="35"/>
      <c r="R197" s="33"/>
      <c r="S197" s="33"/>
      <c r="T197" s="35"/>
      <c r="U197" s="35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hidden="1">
      <c r="A198" s="99" t="s">
        <v>22</v>
      </c>
      <c r="B198" s="100">
        <v>45482.0</v>
      </c>
      <c r="C198" s="22">
        <v>684250.0</v>
      </c>
      <c r="D198" s="23">
        <v>505600.0</v>
      </c>
      <c r="E198" s="24"/>
      <c r="F198" s="25"/>
      <c r="G198" s="35">
        <f>160700+161400</f>
        <v>322100</v>
      </c>
      <c r="H198" s="27">
        <v>58300.0</v>
      </c>
      <c r="I198" s="27"/>
      <c r="J198" s="28"/>
      <c r="K198" s="29">
        <v>204300.0</v>
      </c>
      <c r="L198" s="30">
        <v>100350.0</v>
      </c>
      <c r="M198" s="31"/>
      <c r="N198" s="32"/>
      <c r="O198" s="33"/>
      <c r="P198" s="40"/>
      <c r="Q198" s="35"/>
      <c r="R198" s="33"/>
      <c r="S198" s="33"/>
      <c r="T198" s="35"/>
      <c r="U198" s="35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hidden="1">
      <c r="A199" s="99" t="s">
        <v>32</v>
      </c>
      <c r="B199" s="100">
        <v>45483.0</v>
      </c>
      <c r="C199" s="22">
        <v>984710.0</v>
      </c>
      <c r="D199" s="23">
        <v>734420.0</v>
      </c>
      <c r="E199" s="24"/>
      <c r="F199" s="25"/>
      <c r="G199" s="35">
        <v>299200.0</v>
      </c>
      <c r="H199" s="27">
        <v>156728.0</v>
      </c>
      <c r="I199" s="27"/>
      <c r="J199" s="28"/>
      <c r="K199" s="29">
        <v>268590.0</v>
      </c>
      <c r="L199" s="30">
        <v>249750.0</v>
      </c>
      <c r="M199" s="31"/>
      <c r="N199" s="39"/>
      <c r="O199" s="33"/>
      <c r="P199" s="40"/>
      <c r="Q199" s="35"/>
      <c r="R199" s="33"/>
      <c r="S199" s="33"/>
      <c r="T199" s="35"/>
      <c r="U199" s="35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hidden="1">
      <c r="A200" s="99" t="s">
        <v>24</v>
      </c>
      <c r="B200" s="100">
        <v>45484.0</v>
      </c>
      <c r="C200" s="22">
        <v>1163540.0</v>
      </c>
      <c r="D200" s="23">
        <v>974540.0</v>
      </c>
      <c r="E200" s="24"/>
      <c r="F200" s="25"/>
      <c r="G200" s="35">
        <v>486900.0</v>
      </c>
      <c r="H200" s="27">
        <v>140050.0</v>
      </c>
      <c r="I200" s="27"/>
      <c r="J200" s="28"/>
      <c r="K200" s="29">
        <v>294390.0</v>
      </c>
      <c r="L200" s="30"/>
      <c r="M200" s="31"/>
      <c r="N200" s="32"/>
      <c r="O200" s="33"/>
      <c r="P200" s="40"/>
      <c r="Q200" s="35"/>
      <c r="R200" s="33"/>
      <c r="S200" s="33"/>
      <c r="T200" s="35"/>
      <c r="U200" s="35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hidden="1">
      <c r="A201" s="99" t="s">
        <v>25</v>
      </c>
      <c r="B201" s="100">
        <v>45485.0</v>
      </c>
      <c r="C201" s="22">
        <v>1175220.0</v>
      </c>
      <c r="D201" s="23">
        <v>1072690.0</v>
      </c>
      <c r="E201" s="24"/>
      <c r="F201" s="25"/>
      <c r="G201" s="35">
        <v>540200.0</v>
      </c>
      <c r="H201" s="27">
        <v>205600.0</v>
      </c>
      <c r="I201" s="27"/>
      <c r="J201" s="28"/>
      <c r="K201" s="29">
        <v>256140.0</v>
      </c>
      <c r="L201" s="30">
        <v>105930.0</v>
      </c>
      <c r="M201" s="31"/>
      <c r="N201" s="39"/>
      <c r="O201" s="33"/>
      <c r="P201" s="40"/>
      <c r="Q201" s="35"/>
      <c r="R201" s="33"/>
      <c r="S201" s="33"/>
      <c r="T201" s="35"/>
      <c r="U201" s="35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hidden="1">
      <c r="A202" s="99" t="s">
        <v>33</v>
      </c>
      <c r="B202" s="100">
        <v>45486.0</v>
      </c>
      <c r="C202" s="22">
        <v>866780.0</v>
      </c>
      <c r="D202" s="23">
        <v>592100.0</v>
      </c>
      <c r="E202" s="24"/>
      <c r="F202" s="25"/>
      <c r="G202" s="35">
        <v>438200.0</v>
      </c>
      <c r="H202" s="27">
        <v>32100.0</v>
      </c>
      <c r="I202" s="27"/>
      <c r="J202" s="28"/>
      <c r="K202" s="29">
        <v>149030.0</v>
      </c>
      <c r="L202" s="30">
        <v>262250.0</v>
      </c>
      <c r="M202" s="31"/>
      <c r="N202" s="39"/>
      <c r="O202" s="33"/>
      <c r="P202" s="40"/>
      <c r="Q202" s="35"/>
      <c r="R202" s="33"/>
      <c r="S202" s="33"/>
      <c r="T202" s="35"/>
      <c r="U202" s="35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hidden="1">
      <c r="A203" s="150" t="s">
        <v>27</v>
      </c>
      <c r="B203" s="100">
        <v>45487.0</v>
      </c>
      <c r="C203" s="160"/>
      <c r="D203" s="160"/>
      <c r="E203" s="160"/>
      <c r="F203" s="160"/>
      <c r="G203" s="160"/>
      <c r="H203" s="160"/>
      <c r="I203" s="160"/>
      <c r="J203" s="28"/>
      <c r="K203" s="160"/>
      <c r="L203" s="160"/>
      <c r="M203" s="31"/>
      <c r="N203" s="39"/>
      <c r="O203" s="33"/>
      <c r="P203" s="40"/>
      <c r="Q203" s="35"/>
      <c r="R203" s="33"/>
      <c r="S203" s="33"/>
      <c r="T203" s="35"/>
      <c r="U203" s="35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hidden="1">
      <c r="A204" s="99" t="s">
        <v>21</v>
      </c>
      <c r="B204" s="100">
        <v>45488.0</v>
      </c>
      <c r="C204" s="22">
        <v>809260.0</v>
      </c>
      <c r="D204" s="23">
        <v>561250.0</v>
      </c>
      <c r="E204" s="24"/>
      <c r="F204" s="25"/>
      <c r="G204" s="35">
        <v>231100.0</v>
      </c>
      <c r="H204" s="27">
        <v>145361.0</v>
      </c>
      <c r="I204" s="27"/>
      <c r="J204" s="28"/>
      <c r="K204" s="29">
        <v>260450.0</v>
      </c>
      <c r="L204" s="30">
        <v>177270.0</v>
      </c>
      <c r="M204" s="31"/>
      <c r="N204" s="39"/>
      <c r="O204" s="33"/>
      <c r="P204" s="40"/>
      <c r="Q204" s="35"/>
      <c r="R204" s="33"/>
      <c r="S204" s="33"/>
      <c r="T204" s="35"/>
      <c r="U204" s="35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hidden="1">
      <c r="A205" s="99" t="s">
        <v>22</v>
      </c>
      <c r="B205" s="100">
        <v>45489.0</v>
      </c>
      <c r="C205" s="22">
        <v>853940.0</v>
      </c>
      <c r="D205" s="23">
        <v>611420.0</v>
      </c>
      <c r="E205" s="24"/>
      <c r="F205" s="25"/>
      <c r="G205" s="35">
        <v>197650.0</v>
      </c>
      <c r="H205" s="27">
        <v>137981.0</v>
      </c>
      <c r="I205" s="27"/>
      <c r="J205" s="28"/>
      <c r="K205" s="29">
        <v>341780.0</v>
      </c>
      <c r="L205" s="30">
        <v>162720.0</v>
      </c>
      <c r="M205" s="31"/>
      <c r="N205" s="32"/>
      <c r="O205" s="33"/>
      <c r="P205" s="40"/>
      <c r="Q205" s="35"/>
      <c r="R205" s="33"/>
      <c r="S205" s="33"/>
      <c r="T205" s="35"/>
      <c r="U205" s="35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hidden="1">
      <c r="A206" s="99" t="s">
        <v>32</v>
      </c>
      <c r="B206" s="100">
        <v>45490.0</v>
      </c>
      <c r="C206" s="22">
        <v>1254500.0</v>
      </c>
      <c r="D206" s="23">
        <v>926120.0</v>
      </c>
      <c r="E206" s="24"/>
      <c r="F206" s="25"/>
      <c r="G206" s="35">
        <v>398600.0</v>
      </c>
      <c r="H206" s="27">
        <v>288070.0</v>
      </c>
      <c r="I206" s="27"/>
      <c r="J206" s="28"/>
      <c r="K206" s="29">
        <v>298200.0</v>
      </c>
      <c r="L206" s="30">
        <v>255070.0</v>
      </c>
      <c r="M206" s="31"/>
      <c r="N206" s="39"/>
      <c r="O206" s="33"/>
      <c r="P206" s="40"/>
      <c r="Q206" s="35"/>
      <c r="R206" s="33"/>
      <c r="S206" s="33"/>
      <c r="T206" s="35"/>
      <c r="U206" s="35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hidden="1">
      <c r="A207" s="99" t="s">
        <v>24</v>
      </c>
      <c r="B207" s="100">
        <v>45491.0</v>
      </c>
      <c r="C207" s="22">
        <v>1479200.0</v>
      </c>
      <c r="D207" s="23">
        <v>875090.0</v>
      </c>
      <c r="E207" s="24"/>
      <c r="F207" s="25"/>
      <c r="G207" s="35">
        <v>482600.0</v>
      </c>
      <c r="H207" s="27">
        <v>202500.0</v>
      </c>
      <c r="I207" s="27"/>
      <c r="J207" s="28"/>
      <c r="K207" s="29">
        <v>502870.0</v>
      </c>
      <c r="L207" s="30">
        <v>316340.0</v>
      </c>
      <c r="M207" s="31"/>
      <c r="N207" s="39"/>
      <c r="O207" s="33"/>
      <c r="P207" s="40"/>
      <c r="Q207" s="35"/>
      <c r="R207" s="33"/>
      <c r="S207" s="33"/>
      <c r="T207" s="35"/>
      <c r="U207" s="35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hidden="1">
      <c r="A208" s="99" t="s">
        <v>25</v>
      </c>
      <c r="B208" s="100">
        <v>45492.0</v>
      </c>
      <c r="C208" s="22">
        <v>1152930.0</v>
      </c>
      <c r="D208" s="23">
        <v>794135.0</v>
      </c>
      <c r="E208" s="24"/>
      <c r="F208" s="25"/>
      <c r="G208" s="35">
        <v>486900.0</v>
      </c>
      <c r="H208" s="27">
        <v>93900.0</v>
      </c>
      <c r="I208" s="27"/>
      <c r="J208" s="28"/>
      <c r="K208" s="29">
        <v>369325.0</v>
      </c>
      <c r="L208" s="30">
        <v>191175.0</v>
      </c>
      <c r="M208" s="49"/>
      <c r="N208" s="39"/>
      <c r="O208" s="33"/>
      <c r="P208" s="40"/>
      <c r="Q208" s="35"/>
      <c r="R208" s="33"/>
      <c r="S208" s="33"/>
      <c r="T208" s="35"/>
      <c r="U208" s="35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hidden="1">
      <c r="A209" s="99" t="s">
        <v>33</v>
      </c>
      <c r="B209" s="100">
        <v>45493.0</v>
      </c>
      <c r="C209" s="22">
        <v>967480.0</v>
      </c>
      <c r="D209" s="23">
        <v>668150.0</v>
      </c>
      <c r="E209" s="24"/>
      <c r="F209" s="25"/>
      <c r="G209" s="35">
        <v>477400.0</v>
      </c>
      <c r="H209" s="27">
        <v>78100.0</v>
      </c>
      <c r="I209" s="27"/>
      <c r="J209" s="28"/>
      <c r="K209" s="29">
        <v>247710.0</v>
      </c>
      <c r="L209" s="30">
        <v>147280.0</v>
      </c>
      <c r="M209" s="31"/>
      <c r="N209" s="39"/>
      <c r="O209" s="33"/>
      <c r="P209" s="40"/>
      <c r="Q209" s="35"/>
      <c r="R209" s="33"/>
      <c r="S209" s="33"/>
      <c r="T209" s="35"/>
      <c r="U209" s="35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hidden="1">
      <c r="A210" s="150" t="s">
        <v>27</v>
      </c>
      <c r="B210" s="100">
        <v>45494.0</v>
      </c>
      <c r="C210" s="160"/>
      <c r="D210" s="160"/>
      <c r="E210" s="160"/>
      <c r="F210" s="160"/>
      <c r="G210" s="160"/>
      <c r="H210" s="160"/>
      <c r="I210" s="160"/>
      <c r="J210" s="28"/>
      <c r="K210" s="160"/>
      <c r="L210" s="160"/>
      <c r="M210" s="31"/>
      <c r="N210" s="39"/>
      <c r="O210" s="33"/>
      <c r="P210" s="40"/>
      <c r="Q210" s="35"/>
      <c r="R210" s="33"/>
      <c r="S210" s="33"/>
      <c r="T210" s="35"/>
      <c r="U210" s="35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hidden="1">
      <c r="A211" s="99" t="s">
        <v>21</v>
      </c>
      <c r="B211" s="100">
        <v>45495.0</v>
      </c>
      <c r="C211" s="22">
        <v>771450.0</v>
      </c>
      <c r="D211" s="23">
        <v>512960.0</v>
      </c>
      <c r="E211" s="24"/>
      <c r="F211" s="25"/>
      <c r="G211" s="35">
        <v>334200.0</v>
      </c>
      <c r="H211" s="27">
        <v>64300.0</v>
      </c>
      <c r="I211" s="27"/>
      <c r="J211" s="28"/>
      <c r="K211" s="29">
        <v>191060.0</v>
      </c>
      <c r="L211" s="30">
        <v>180390.0</v>
      </c>
      <c r="M211" s="31"/>
      <c r="N211" s="39"/>
      <c r="O211" s="33"/>
      <c r="P211" s="40"/>
      <c r="Q211" s="35"/>
      <c r="R211" s="33"/>
      <c r="S211" s="33"/>
      <c r="T211" s="35"/>
      <c r="U211" s="35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hidden="1">
      <c r="A212" s="99" t="s">
        <v>22</v>
      </c>
      <c r="B212" s="100">
        <v>45496.0</v>
      </c>
      <c r="C212" s="22">
        <v>1184870.0</v>
      </c>
      <c r="D212" s="23">
        <v>922430.0</v>
      </c>
      <c r="E212" s="24"/>
      <c r="F212" s="25"/>
      <c r="G212" s="35">
        <v>556400.0</v>
      </c>
      <c r="H212" s="27">
        <v>154250.0</v>
      </c>
      <c r="I212" s="27"/>
      <c r="J212" s="28"/>
      <c r="K212" s="29">
        <v>150680.0</v>
      </c>
      <c r="L212" s="30">
        <v>226790.0</v>
      </c>
      <c r="M212" s="31"/>
      <c r="N212" s="39"/>
      <c r="O212" s="33"/>
      <c r="P212" s="40"/>
      <c r="Q212" s="35"/>
      <c r="R212" s="33"/>
      <c r="S212" s="33"/>
      <c r="T212" s="35"/>
      <c r="U212" s="35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hidden="1">
      <c r="A213" s="99" t="s">
        <v>32</v>
      </c>
      <c r="B213" s="100">
        <v>45497.0</v>
      </c>
      <c r="C213" s="22">
        <v>965830.0</v>
      </c>
      <c r="D213" s="23">
        <v>689170.0</v>
      </c>
      <c r="E213" s="24"/>
      <c r="F213" s="25"/>
      <c r="G213" s="35">
        <f>188000+270200</f>
        <v>458200</v>
      </c>
      <c r="H213" s="27">
        <v>91900.0</v>
      </c>
      <c r="I213" s="27"/>
      <c r="J213" s="28"/>
      <c r="K213" s="29">
        <v>195430.0</v>
      </c>
      <c r="L213" s="30">
        <v>219560.0</v>
      </c>
      <c r="M213" s="31"/>
      <c r="N213" s="39"/>
      <c r="O213" s="33"/>
      <c r="P213" s="40"/>
      <c r="Q213" s="35"/>
      <c r="R213" s="33"/>
      <c r="S213" s="33"/>
      <c r="T213" s="35"/>
      <c r="U213" s="35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hidden="1">
      <c r="A214" s="99" t="s">
        <v>24</v>
      </c>
      <c r="B214" s="100">
        <v>45498.0</v>
      </c>
      <c r="C214" s="22">
        <v>783870.0</v>
      </c>
      <c r="D214" s="23">
        <v>552800.0</v>
      </c>
      <c r="E214" s="24"/>
      <c r="F214" s="25"/>
      <c r="G214" s="35">
        <v>307200.0</v>
      </c>
      <c r="H214" s="27">
        <v>171700.0</v>
      </c>
      <c r="I214" s="27"/>
      <c r="J214" s="28"/>
      <c r="K214" s="29">
        <v>115150.0</v>
      </c>
      <c r="L214" s="30">
        <v>174520.0</v>
      </c>
      <c r="M214" s="31"/>
      <c r="N214" s="39"/>
      <c r="O214" s="33"/>
      <c r="P214" s="40"/>
      <c r="Q214" s="35"/>
      <c r="R214" s="33"/>
      <c r="S214" s="33"/>
      <c r="T214" s="35"/>
      <c r="U214" s="35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hidden="1">
      <c r="A215" s="99" t="s">
        <v>25</v>
      </c>
      <c r="B215" s="100">
        <v>45499.0</v>
      </c>
      <c r="C215" s="22">
        <v>1028790.0</v>
      </c>
      <c r="D215" s="23">
        <v>820370.0</v>
      </c>
      <c r="E215" s="24"/>
      <c r="F215" s="25"/>
      <c r="G215" s="35">
        <v>320700.0</v>
      </c>
      <c r="H215" s="27">
        <v>201000.0</v>
      </c>
      <c r="I215" s="27"/>
      <c r="J215" s="28"/>
      <c r="K215" s="29">
        <v>296440.0</v>
      </c>
      <c r="L215" s="30">
        <v>161230.0</v>
      </c>
      <c r="M215" s="31"/>
      <c r="N215" s="39"/>
      <c r="O215" s="33"/>
      <c r="P215" s="40"/>
      <c r="Q215" s="35"/>
      <c r="R215" s="33"/>
      <c r="S215" s="33"/>
      <c r="T215" s="35"/>
      <c r="U215" s="35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hidden="1">
      <c r="A216" s="99" t="s">
        <v>26</v>
      </c>
      <c r="B216" s="100">
        <v>45500.0</v>
      </c>
      <c r="C216" s="22">
        <v>952860.0</v>
      </c>
      <c r="D216" s="23">
        <v>709700.0</v>
      </c>
      <c r="E216" s="24"/>
      <c r="F216" s="25"/>
      <c r="G216" s="26">
        <f>45200+410300+40800</f>
        <v>496300</v>
      </c>
      <c r="H216" s="27">
        <v>81600.0</v>
      </c>
      <c r="I216" s="27"/>
      <c r="J216" s="28"/>
      <c r="K216" s="29">
        <v>176150.0</v>
      </c>
      <c r="L216" s="30">
        <v>194410.0</v>
      </c>
      <c r="M216" s="31"/>
      <c r="N216" s="39"/>
      <c r="O216" s="33"/>
      <c r="P216" s="40"/>
      <c r="Q216" s="35"/>
      <c r="R216" s="33"/>
      <c r="S216" s="33"/>
      <c r="T216" s="35"/>
      <c r="U216" s="35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hidden="1">
      <c r="A217" s="150" t="s">
        <v>27</v>
      </c>
      <c r="B217" s="100">
        <v>45501.0</v>
      </c>
      <c r="C217" s="167"/>
      <c r="D217" s="167"/>
      <c r="E217" s="167"/>
      <c r="F217" s="167"/>
      <c r="G217" s="167"/>
      <c r="H217" s="167"/>
      <c r="I217" s="167"/>
      <c r="J217" s="123"/>
      <c r="K217" s="167"/>
      <c r="L217" s="160"/>
      <c r="M217" s="31"/>
      <c r="N217" s="32"/>
      <c r="O217" s="33"/>
      <c r="P217" s="40"/>
      <c r="Q217" s="35"/>
      <c r="R217" s="33"/>
      <c r="S217" s="33"/>
      <c r="T217" s="35"/>
      <c r="U217" s="35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hidden="1">
      <c r="A218" s="99" t="s">
        <v>21</v>
      </c>
      <c r="B218" s="100">
        <v>45502.0</v>
      </c>
      <c r="C218" s="22">
        <v>1230610.0</v>
      </c>
      <c r="D218" s="101">
        <v>927790.0</v>
      </c>
      <c r="E218" s="168"/>
      <c r="F218" s="25"/>
      <c r="G218" s="35">
        <f>414300+8400</f>
        <v>422700</v>
      </c>
      <c r="H218" s="27">
        <v>360300.0</v>
      </c>
      <c r="I218" s="27"/>
      <c r="J218" s="28"/>
      <c r="K218" s="29">
        <v>203030.0</v>
      </c>
      <c r="L218" s="30">
        <v>244510.0</v>
      </c>
      <c r="M218" s="31"/>
      <c r="N218" s="39"/>
      <c r="O218" s="33"/>
      <c r="P218" s="40"/>
      <c r="Q218" s="35"/>
      <c r="R218" s="33"/>
      <c r="S218" s="33"/>
      <c r="T218" s="35"/>
      <c r="U218" s="35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hidden="1">
      <c r="A219" s="99" t="s">
        <v>22</v>
      </c>
      <c r="B219" s="100">
        <v>45503.0</v>
      </c>
      <c r="C219" s="22">
        <v>965230.0</v>
      </c>
      <c r="D219" s="101">
        <v>687840.0</v>
      </c>
      <c r="E219" s="168"/>
      <c r="F219" s="25"/>
      <c r="G219" s="35">
        <f>259300+7200</f>
        <v>266500</v>
      </c>
      <c r="H219" s="27">
        <v>215900.0</v>
      </c>
      <c r="I219" s="27"/>
      <c r="J219" s="28"/>
      <c r="K219" s="29">
        <v>312800.0</v>
      </c>
      <c r="L219" s="30">
        <v>194880.0</v>
      </c>
      <c r="M219" s="31"/>
      <c r="N219" s="39"/>
      <c r="O219" s="33"/>
      <c r="P219" s="40"/>
      <c r="Q219" s="35"/>
      <c r="R219" s="33"/>
      <c r="S219" s="33"/>
      <c r="T219" s="35"/>
      <c r="U219" s="35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hidden="1">
      <c r="A220" s="99" t="s">
        <v>23</v>
      </c>
      <c r="B220" s="100">
        <v>45504.0</v>
      </c>
      <c r="C220" s="22">
        <v>1131190.0</v>
      </c>
      <c r="D220" s="101">
        <v>857100.0</v>
      </c>
      <c r="E220" s="168"/>
      <c r="F220" s="25"/>
      <c r="G220" s="35">
        <v>491700.0</v>
      </c>
      <c r="H220" s="27" t="s">
        <v>595</v>
      </c>
      <c r="I220" s="27"/>
      <c r="J220" s="28"/>
      <c r="K220" s="29">
        <v>229670.0</v>
      </c>
      <c r="L220" s="30">
        <v>211490.0</v>
      </c>
      <c r="M220" s="31"/>
      <c r="N220" s="39"/>
      <c r="O220" s="33"/>
      <c r="P220" s="40"/>
      <c r="Q220" s="35"/>
      <c r="R220" s="33"/>
      <c r="S220" s="33"/>
      <c r="T220" s="35"/>
      <c r="U220" s="35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 hidden="1">
      <c r="A221" s="93" t="s">
        <v>28</v>
      </c>
      <c r="B221" s="170"/>
      <c r="C221" s="170">
        <f t="shared" ref="C221:D221" si="4">SUM(C190:C220)</f>
        <v>27659769</v>
      </c>
      <c r="D221" s="170">
        <f t="shared" si="4"/>
        <v>20971319</v>
      </c>
      <c r="E221" s="170"/>
      <c r="F221" s="170"/>
      <c r="G221" s="170"/>
      <c r="H221" s="170"/>
      <c r="I221" s="170"/>
      <c r="J221" s="123"/>
      <c r="K221" s="170"/>
      <c r="L221" s="170"/>
      <c r="M221" s="74"/>
      <c r="N221" s="32"/>
      <c r="O221" s="33"/>
      <c r="P221" s="40"/>
      <c r="Q221" s="35"/>
      <c r="R221" s="33"/>
      <c r="S221" s="33"/>
      <c r="T221" s="35"/>
      <c r="U221" s="35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</row>
    <row r="222" hidden="1">
      <c r="A222" s="99" t="s">
        <v>24</v>
      </c>
      <c r="B222" s="364">
        <v>45505.0</v>
      </c>
      <c r="C222" s="22">
        <v>1279740.0</v>
      </c>
      <c r="D222" s="23">
        <v>972230.0</v>
      </c>
      <c r="E222" s="24"/>
      <c r="F222" s="25"/>
      <c r="G222" s="35">
        <v>505300.0</v>
      </c>
      <c r="H222" s="171" t="s">
        <v>595</v>
      </c>
      <c r="I222" s="171"/>
      <c r="J222" s="28"/>
      <c r="K222" s="29">
        <v>312430.0</v>
      </c>
      <c r="L222" s="30">
        <v>250860.0</v>
      </c>
      <c r="M222" s="31"/>
      <c r="N222" s="39"/>
      <c r="O222" s="33"/>
      <c r="P222" s="40"/>
      <c r="Q222" s="35"/>
      <c r="R222" s="33"/>
      <c r="S222" s="33"/>
      <c r="T222" s="35"/>
      <c r="U222" s="35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</row>
    <row r="223" hidden="1">
      <c r="A223" s="99" t="s">
        <v>25</v>
      </c>
      <c r="B223" s="364">
        <v>45506.0</v>
      </c>
      <c r="C223" s="22">
        <v>953340.0</v>
      </c>
      <c r="D223" s="23">
        <v>587120.0</v>
      </c>
      <c r="E223" s="24"/>
      <c r="F223" s="25"/>
      <c r="G223" s="35">
        <v>243700.0</v>
      </c>
      <c r="H223" s="171" t="s">
        <v>595</v>
      </c>
      <c r="I223" s="171"/>
      <c r="J223" s="28"/>
      <c r="K223" s="29">
        <v>316870.0</v>
      </c>
      <c r="L223" s="30">
        <v>202970.0</v>
      </c>
      <c r="M223" s="31"/>
      <c r="N223" s="39"/>
      <c r="O223" s="33"/>
      <c r="P223" s="40"/>
      <c r="Q223" s="35"/>
      <c r="R223" s="33"/>
      <c r="S223" s="33"/>
      <c r="T223" s="35"/>
      <c r="U223" s="35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</row>
    <row r="224" hidden="1">
      <c r="A224" s="99" t="s">
        <v>26</v>
      </c>
      <c r="B224" s="364">
        <v>45507.0</v>
      </c>
      <c r="C224" s="22">
        <v>889913.0</v>
      </c>
      <c r="D224" s="23">
        <v>509910.0</v>
      </c>
      <c r="E224" s="24"/>
      <c r="F224" s="25"/>
      <c r="G224" s="35">
        <v>371100.0</v>
      </c>
      <c r="H224" s="171" t="s">
        <v>595</v>
      </c>
      <c r="I224" s="171"/>
      <c r="J224" s="28"/>
      <c r="K224" s="29">
        <v>228400.0</v>
      </c>
      <c r="L224" s="30">
        <v>281503.0</v>
      </c>
      <c r="M224" s="31"/>
      <c r="N224" s="39"/>
      <c r="O224" s="33"/>
      <c r="P224" s="40"/>
      <c r="Q224" s="35"/>
      <c r="R224" s="33"/>
      <c r="S224" s="33"/>
      <c r="T224" s="35"/>
      <c r="U224" s="35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</row>
    <row r="225" hidden="1">
      <c r="A225" s="150" t="s">
        <v>27</v>
      </c>
      <c r="B225" s="364">
        <v>45508.0</v>
      </c>
      <c r="C225" s="160"/>
      <c r="D225" s="160"/>
      <c r="E225" s="160"/>
      <c r="F225" s="160"/>
      <c r="G225" s="160"/>
      <c r="H225" s="176"/>
      <c r="I225" s="176"/>
      <c r="J225" s="28"/>
      <c r="K225" s="160"/>
      <c r="L225" s="160"/>
      <c r="M225" s="31"/>
      <c r="N225" s="39"/>
      <c r="O225" s="33"/>
      <c r="P225" s="40"/>
      <c r="Q225" s="35"/>
      <c r="R225" s="33"/>
      <c r="S225" s="33"/>
      <c r="T225" s="35"/>
      <c r="U225" s="35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</row>
    <row r="226" hidden="1">
      <c r="A226" s="99" t="s">
        <v>21</v>
      </c>
      <c r="B226" s="364">
        <v>45509.0</v>
      </c>
      <c r="C226" s="22">
        <v>932210.0</v>
      </c>
      <c r="D226" s="23">
        <v>546050.0</v>
      </c>
      <c r="E226" s="24"/>
      <c r="F226" s="25"/>
      <c r="G226" s="35">
        <v>309300.0</v>
      </c>
      <c r="H226" s="27"/>
      <c r="I226" s="27"/>
      <c r="J226" s="177"/>
      <c r="K226" s="178">
        <v>242640.0</v>
      </c>
      <c r="L226" s="30">
        <v>206106.0</v>
      </c>
      <c r="M226" s="31"/>
      <c r="N226" s="39"/>
      <c r="O226" s="33"/>
      <c r="P226" s="40"/>
      <c r="Q226" s="35"/>
      <c r="R226" s="33"/>
      <c r="S226" s="33"/>
      <c r="T226" s="35"/>
      <c r="U226" s="35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</row>
    <row r="227" hidden="1">
      <c r="A227" s="99" t="s">
        <v>22</v>
      </c>
      <c r="B227" s="364">
        <v>45510.0</v>
      </c>
      <c r="C227" s="22">
        <v>950530.0</v>
      </c>
      <c r="D227" s="23">
        <v>667530.0</v>
      </c>
      <c r="E227" s="24"/>
      <c r="F227" s="25"/>
      <c r="G227" s="35">
        <f>372400+7000</f>
        <v>379400</v>
      </c>
      <c r="H227" s="27">
        <v>91700.0</v>
      </c>
      <c r="I227" s="27"/>
      <c r="J227" s="177"/>
      <c r="K227" s="178">
        <v>198780.0</v>
      </c>
      <c r="L227" s="30">
        <v>257220.0</v>
      </c>
      <c r="M227" s="31"/>
      <c r="N227" s="39"/>
      <c r="O227" s="33"/>
      <c r="P227" s="40"/>
      <c r="Q227" s="35"/>
      <c r="R227" s="33"/>
      <c r="S227" s="33"/>
      <c r="T227" s="35"/>
      <c r="U227" s="35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</row>
    <row r="228" hidden="1">
      <c r="A228" s="99" t="s">
        <v>32</v>
      </c>
      <c r="B228" s="364">
        <v>45511.0</v>
      </c>
      <c r="C228" s="22">
        <v>1348805.0</v>
      </c>
      <c r="D228" s="23">
        <v>964840.0</v>
      </c>
      <c r="E228" s="24"/>
      <c r="F228" s="25"/>
      <c r="G228" s="35">
        <v>398800.0</v>
      </c>
      <c r="H228" s="27">
        <v>305322.0</v>
      </c>
      <c r="I228" s="27"/>
      <c r="J228" s="28"/>
      <c r="K228" s="29">
        <v>305880.0</v>
      </c>
      <c r="L228" s="30">
        <v>312105.0</v>
      </c>
      <c r="M228" s="31"/>
      <c r="N228" s="39"/>
      <c r="O228" s="33"/>
      <c r="P228" s="40"/>
      <c r="Q228" s="35"/>
      <c r="R228" s="33"/>
      <c r="S228" s="33"/>
      <c r="T228" s="35"/>
      <c r="U228" s="35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</row>
    <row r="229" hidden="1">
      <c r="A229" s="99" t="s">
        <v>24</v>
      </c>
      <c r="B229" s="364">
        <v>45512.0</v>
      </c>
      <c r="C229" s="22">
        <v>1384320.0</v>
      </c>
      <c r="D229" s="23">
        <v>1063030.0</v>
      </c>
      <c r="E229" s="24"/>
      <c r="F229" s="25"/>
      <c r="G229" s="35">
        <f>423750</f>
        <v>423750</v>
      </c>
      <c r="H229" s="27">
        <v>245500.0</v>
      </c>
      <c r="I229" s="27"/>
      <c r="J229" s="28">
        <v>240000.0</v>
      </c>
      <c r="K229" s="29">
        <v>288210.0</v>
      </c>
      <c r="L229" s="30">
        <v>180040.0</v>
      </c>
      <c r="M229" s="31"/>
      <c r="N229" s="39"/>
      <c r="O229" s="33"/>
      <c r="P229" s="40"/>
      <c r="Q229" s="35"/>
      <c r="R229" s="33"/>
      <c r="S229" s="33"/>
      <c r="T229" s="35"/>
      <c r="U229" s="35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</row>
    <row r="230" hidden="1">
      <c r="A230" s="99" t="s">
        <v>25</v>
      </c>
      <c r="B230" s="364">
        <v>45513.0</v>
      </c>
      <c r="C230" s="22">
        <v>1148085.0</v>
      </c>
      <c r="D230" s="23">
        <v>876035.0</v>
      </c>
      <c r="E230" s="24"/>
      <c r="F230" s="25"/>
      <c r="G230" s="35">
        <f>445670+3700</f>
        <v>449370</v>
      </c>
      <c r="H230" s="27">
        <v>154900.0</v>
      </c>
      <c r="I230" s="27"/>
      <c r="J230" s="28"/>
      <c r="K230" s="29">
        <v>299800.0</v>
      </c>
      <c r="L230" s="30">
        <v>200075.0</v>
      </c>
      <c r="M230" s="31"/>
      <c r="N230" s="39"/>
      <c r="O230" s="33"/>
      <c r="P230" s="40"/>
      <c r="Q230" s="35"/>
      <c r="R230" s="33"/>
      <c r="S230" s="33"/>
      <c r="T230" s="35"/>
      <c r="U230" s="35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</row>
    <row r="231" hidden="1">
      <c r="A231" s="99" t="s">
        <v>26</v>
      </c>
      <c r="B231" s="364">
        <v>45514.0</v>
      </c>
      <c r="C231" s="22">
        <v>1113550.0</v>
      </c>
      <c r="D231" s="23">
        <v>682460.0</v>
      </c>
      <c r="E231" s="24"/>
      <c r="F231" s="25"/>
      <c r="G231" s="35">
        <f>517300+14000</f>
        <v>531300</v>
      </c>
      <c r="H231" s="27">
        <v>68300.0</v>
      </c>
      <c r="I231" s="27"/>
      <c r="J231" s="28"/>
      <c r="K231" s="29">
        <v>141360.0</v>
      </c>
      <c r="L231" s="30">
        <v>355090.0</v>
      </c>
      <c r="M231" s="31"/>
      <c r="N231" s="39"/>
      <c r="O231" s="33"/>
      <c r="P231" s="40"/>
      <c r="Q231" s="35"/>
      <c r="R231" s="33"/>
      <c r="S231" s="33"/>
      <c r="T231" s="35"/>
      <c r="U231" s="35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</row>
    <row r="232" hidden="1">
      <c r="A232" s="150" t="s">
        <v>27</v>
      </c>
      <c r="B232" s="364">
        <v>45515.0</v>
      </c>
      <c r="C232" s="160"/>
      <c r="D232" s="160"/>
      <c r="E232" s="160"/>
      <c r="F232" s="160"/>
      <c r="G232" s="160"/>
      <c r="H232" s="160"/>
      <c r="I232" s="160"/>
      <c r="J232" s="28"/>
      <c r="K232" s="160"/>
      <c r="L232" s="160"/>
      <c r="M232" s="31"/>
      <c r="N232" s="39"/>
      <c r="O232" s="33"/>
      <c r="P232" s="40"/>
      <c r="Q232" s="35"/>
      <c r="R232" s="33"/>
      <c r="S232" s="33"/>
      <c r="T232" s="35"/>
      <c r="U232" s="35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</row>
    <row r="233" hidden="1">
      <c r="A233" s="99" t="s">
        <v>21</v>
      </c>
      <c r="B233" s="364">
        <v>45516.0</v>
      </c>
      <c r="C233" s="22">
        <v>982480.0</v>
      </c>
      <c r="D233" s="23">
        <v>646590.0</v>
      </c>
      <c r="E233" s="24"/>
      <c r="F233" s="25"/>
      <c r="G233" s="35">
        <f>3600+438150</f>
        <v>441750</v>
      </c>
      <c r="H233" s="27">
        <v>151900.0</v>
      </c>
      <c r="I233" s="27"/>
      <c r="J233" s="28"/>
      <c r="K233" s="29">
        <v>179270.0</v>
      </c>
      <c r="L233" s="30">
        <v>204720.0</v>
      </c>
      <c r="M233" s="31"/>
      <c r="N233" s="39"/>
      <c r="O233" s="33"/>
      <c r="P233" s="40"/>
      <c r="Q233" s="35"/>
      <c r="R233" s="33"/>
      <c r="S233" s="33"/>
      <c r="T233" s="35"/>
      <c r="U233" s="35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</row>
    <row r="234" hidden="1">
      <c r="A234" s="99" t="s">
        <v>22</v>
      </c>
      <c r="B234" s="364">
        <v>45517.0</v>
      </c>
      <c r="C234" s="22">
        <v>975760.0</v>
      </c>
      <c r="D234" s="23">
        <v>693390.0</v>
      </c>
      <c r="E234" s="24"/>
      <c r="F234" s="25"/>
      <c r="G234" s="35">
        <v>396200.0</v>
      </c>
      <c r="H234" s="27">
        <v>170557.0</v>
      </c>
      <c r="I234" s="27"/>
      <c r="J234" s="28"/>
      <c r="K234" s="29">
        <v>224250.0</v>
      </c>
      <c r="L234" s="30">
        <v>180210.0</v>
      </c>
      <c r="M234" s="31"/>
      <c r="N234" s="39"/>
      <c r="O234" s="33"/>
      <c r="P234" s="40"/>
      <c r="Q234" s="35"/>
      <c r="R234" s="33"/>
      <c r="S234" s="33"/>
      <c r="T234" s="35"/>
      <c r="U234" s="35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</row>
    <row r="235" hidden="1">
      <c r="A235" s="99" t="s">
        <v>32</v>
      </c>
      <c r="B235" s="364">
        <v>45518.0</v>
      </c>
      <c r="C235" s="22">
        <v>1040490.0</v>
      </c>
      <c r="D235" s="23">
        <v>741870.0</v>
      </c>
      <c r="E235" s="24"/>
      <c r="F235" s="25"/>
      <c r="G235" s="35">
        <v>319180.0</v>
      </c>
      <c r="H235" s="27">
        <v>289500.0</v>
      </c>
      <c r="I235" s="27"/>
      <c r="J235" s="28"/>
      <c r="K235" s="29">
        <v>252630.0</v>
      </c>
      <c r="L235" s="30">
        <v>162590.0</v>
      </c>
      <c r="M235" s="31"/>
      <c r="N235" s="39"/>
      <c r="O235" s="33"/>
      <c r="P235" s="40"/>
      <c r="Q235" s="35"/>
      <c r="R235" s="33"/>
      <c r="S235" s="33"/>
      <c r="T235" s="35"/>
      <c r="U235" s="35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</row>
    <row r="236" hidden="1">
      <c r="A236" s="99" t="s">
        <v>24</v>
      </c>
      <c r="B236" s="364">
        <v>45519.0</v>
      </c>
      <c r="C236" s="22">
        <v>1207740.0</v>
      </c>
      <c r="D236" s="23">
        <v>824060.0</v>
      </c>
      <c r="E236" s="24"/>
      <c r="F236" s="25"/>
      <c r="G236" s="35">
        <v>483060.0</v>
      </c>
      <c r="H236" s="27">
        <v>245800.0</v>
      </c>
      <c r="I236" s="27"/>
      <c r="J236" s="28"/>
      <c r="K236" s="29">
        <v>238310.0</v>
      </c>
      <c r="L236" s="30">
        <v>254170.0</v>
      </c>
      <c r="M236" s="31"/>
      <c r="N236" s="39"/>
      <c r="O236" s="33"/>
      <c r="P236" s="40"/>
      <c r="Q236" s="35"/>
      <c r="R236" s="33"/>
      <c r="S236" s="33"/>
      <c r="T236" s="35"/>
      <c r="U236" s="35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</row>
    <row r="237" hidden="1">
      <c r="A237" s="99" t="s">
        <v>25</v>
      </c>
      <c r="B237" s="364">
        <v>45520.0</v>
      </c>
      <c r="C237" s="22">
        <f>2238525-C236</f>
        <v>1030785</v>
      </c>
      <c r="D237" s="23">
        <v>556120.0</v>
      </c>
      <c r="E237" s="24"/>
      <c r="F237" s="25"/>
      <c r="G237" s="35">
        <v>318800.0</v>
      </c>
      <c r="H237" s="27">
        <v>85606.0</v>
      </c>
      <c r="I237" s="27"/>
      <c r="J237" s="28"/>
      <c r="K237" s="29">
        <f>465660-K236</f>
        <v>227350</v>
      </c>
      <c r="L237" s="30">
        <f>476315-L236</f>
        <v>222145</v>
      </c>
      <c r="M237" s="31"/>
      <c r="N237" s="39"/>
      <c r="O237" s="33"/>
      <c r="P237" s="40"/>
      <c r="Q237" s="35"/>
      <c r="R237" s="33"/>
      <c r="S237" s="33"/>
      <c r="T237" s="35"/>
      <c r="U237" s="35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</row>
    <row r="238" hidden="1">
      <c r="A238" s="99" t="s">
        <v>26</v>
      </c>
      <c r="B238" s="364">
        <v>45521.0</v>
      </c>
      <c r="C238" s="22">
        <v>1221510.0</v>
      </c>
      <c r="D238" s="23">
        <v>866370.0</v>
      </c>
      <c r="E238" s="24"/>
      <c r="F238" s="25"/>
      <c r="G238" s="35">
        <v>714800.0</v>
      </c>
      <c r="H238" s="27">
        <v>106000.0</v>
      </c>
      <c r="I238" s="27"/>
      <c r="J238" s="28"/>
      <c r="K238" s="29">
        <v>188990.0</v>
      </c>
      <c r="L238" s="30">
        <v>216750.0</v>
      </c>
      <c r="M238" s="31"/>
      <c r="N238" s="39"/>
      <c r="O238" s="33"/>
      <c r="P238" s="40"/>
      <c r="Q238" s="35"/>
      <c r="R238" s="33"/>
      <c r="S238" s="33"/>
      <c r="T238" s="35"/>
      <c r="U238" s="35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</row>
    <row r="239" hidden="1">
      <c r="A239" s="150" t="s">
        <v>27</v>
      </c>
      <c r="B239" s="364">
        <v>45522.0</v>
      </c>
      <c r="C239" s="160">
        <v>661380.0</v>
      </c>
      <c r="D239" s="160">
        <v>307850.0</v>
      </c>
      <c r="E239" s="160"/>
      <c r="F239" s="160"/>
      <c r="G239" s="160">
        <f>218950+9000</f>
        <v>227950</v>
      </c>
      <c r="H239" s="160">
        <v>79900.0</v>
      </c>
      <c r="I239" s="160"/>
      <c r="J239" s="28"/>
      <c r="K239" s="160">
        <v>193160.0</v>
      </c>
      <c r="L239" s="160">
        <v>160370.0</v>
      </c>
      <c r="M239" s="49"/>
      <c r="N239" s="39"/>
      <c r="O239" s="33"/>
      <c r="P239" s="40"/>
      <c r="Q239" s="35"/>
      <c r="R239" s="33"/>
      <c r="S239" s="33"/>
      <c r="T239" s="35"/>
      <c r="U239" s="35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</row>
    <row r="240" hidden="1">
      <c r="A240" s="99" t="s">
        <v>21</v>
      </c>
      <c r="B240" s="364">
        <v>45523.0</v>
      </c>
      <c r="C240" s="22">
        <v>1176440.0</v>
      </c>
      <c r="D240" s="23">
        <v>819440.0</v>
      </c>
      <c r="E240" s="24"/>
      <c r="F240" s="25"/>
      <c r="G240" s="35">
        <v>464100.0</v>
      </c>
      <c r="H240" s="27">
        <v>169775.0</v>
      </c>
      <c r="I240" s="27"/>
      <c r="J240" s="28"/>
      <c r="K240" s="29">
        <v>300000.0</v>
      </c>
      <c r="L240" s="30">
        <v>238450.0</v>
      </c>
      <c r="M240" s="49"/>
      <c r="N240" s="32"/>
      <c r="O240" s="33"/>
      <c r="P240" s="40"/>
      <c r="Q240" s="35"/>
      <c r="R240" s="33"/>
      <c r="S240" s="33"/>
      <c r="T240" s="35"/>
      <c r="U240" s="35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</row>
    <row r="241" hidden="1">
      <c r="A241" s="99" t="s">
        <v>22</v>
      </c>
      <c r="B241" s="364">
        <v>45524.0</v>
      </c>
      <c r="C241" s="22">
        <v>934160.0</v>
      </c>
      <c r="D241" s="23">
        <v>542150.0</v>
      </c>
      <c r="E241" s="24"/>
      <c r="F241" s="25"/>
      <c r="G241" s="35">
        <v>287550.0</v>
      </c>
      <c r="H241" s="27">
        <v>151900.0</v>
      </c>
      <c r="I241" s="27"/>
      <c r="J241" s="28"/>
      <c r="K241" s="29">
        <v>191570.0</v>
      </c>
      <c r="L241" s="30">
        <v>289640.0</v>
      </c>
      <c r="M241" s="49"/>
      <c r="N241" s="39"/>
      <c r="O241" s="33"/>
      <c r="P241" s="40"/>
      <c r="Q241" s="35"/>
      <c r="R241" s="33"/>
      <c r="S241" s="33"/>
      <c r="T241" s="35"/>
      <c r="U241" s="35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</row>
    <row r="242" hidden="1">
      <c r="A242" s="99" t="s">
        <v>32</v>
      </c>
      <c r="B242" s="364">
        <v>45525.0</v>
      </c>
      <c r="C242" s="22">
        <v>983620.0</v>
      </c>
      <c r="D242" s="23">
        <v>600540.0</v>
      </c>
      <c r="E242" s="24"/>
      <c r="F242" s="25"/>
      <c r="G242" s="35">
        <v>603210.0</v>
      </c>
      <c r="H242" s="179">
        <v>260456.0</v>
      </c>
      <c r="I242" s="179"/>
      <c r="J242" s="28"/>
      <c r="K242" s="29">
        <v>178850.0</v>
      </c>
      <c r="L242" s="30">
        <v>256430.0</v>
      </c>
      <c r="M242" s="49"/>
      <c r="N242" s="32"/>
      <c r="O242" s="33"/>
      <c r="P242" s="40"/>
      <c r="Q242" s="35"/>
      <c r="R242" s="33"/>
      <c r="S242" s="33"/>
      <c r="T242" s="35"/>
      <c r="U242" s="35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</row>
    <row r="243" hidden="1">
      <c r="A243" s="99" t="s">
        <v>24</v>
      </c>
      <c r="B243" s="364">
        <v>45526.0</v>
      </c>
      <c r="C243" s="22">
        <f>2610360-C242</f>
        <v>1626740</v>
      </c>
      <c r="D243" s="23">
        <f>1321270-D242</f>
        <v>720730</v>
      </c>
      <c r="E243" s="24"/>
      <c r="F243" s="25"/>
      <c r="G243" s="35">
        <f>151960+603470</f>
        <v>755430</v>
      </c>
      <c r="H243" s="27">
        <f>478800-260456</f>
        <v>218344</v>
      </c>
      <c r="I243" s="27"/>
      <c r="J243" s="28">
        <v>460000.0</v>
      </c>
      <c r="K243" s="29">
        <f>431070-K242</f>
        <v>252220</v>
      </c>
      <c r="L243" s="30">
        <f>403430-L242</f>
        <v>147000</v>
      </c>
      <c r="M243" s="49"/>
      <c r="N243" s="39"/>
      <c r="O243" s="33"/>
      <c r="P243" s="40"/>
      <c r="Q243" s="35"/>
      <c r="R243" s="33"/>
      <c r="S243" s="33"/>
      <c r="T243" s="35"/>
      <c r="U243" s="35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</row>
    <row r="244" hidden="1">
      <c r="A244" s="99" t="s">
        <v>25</v>
      </c>
      <c r="B244" s="364">
        <v>45527.0</v>
      </c>
      <c r="C244" s="22">
        <v>880565.0</v>
      </c>
      <c r="D244" s="23"/>
      <c r="E244" s="24"/>
      <c r="F244" s="25"/>
      <c r="G244" s="35">
        <f>735500+203860</f>
        <v>939360</v>
      </c>
      <c r="H244" s="27">
        <v>156100.0</v>
      </c>
      <c r="I244" s="27"/>
      <c r="J244" s="180"/>
      <c r="K244" s="181">
        <v>111930.0</v>
      </c>
      <c r="L244" s="30">
        <v>113990.0</v>
      </c>
      <c r="M244" s="49"/>
      <c r="N244" s="39"/>
      <c r="O244" s="33"/>
      <c r="P244" s="40"/>
      <c r="Q244" s="35"/>
      <c r="R244" s="33"/>
      <c r="S244" s="33"/>
      <c r="T244" s="35"/>
      <c r="U244" s="35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</row>
    <row r="245" hidden="1">
      <c r="A245" s="99" t="s">
        <v>26</v>
      </c>
      <c r="B245" s="364">
        <v>45528.0</v>
      </c>
      <c r="C245" s="22">
        <v>985400.0</v>
      </c>
      <c r="D245" s="23">
        <v>689630.0</v>
      </c>
      <c r="E245" s="24"/>
      <c r="F245" s="25"/>
      <c r="G245" s="35">
        <v>580600.0</v>
      </c>
      <c r="H245" s="27">
        <v>94100.0</v>
      </c>
      <c r="I245" s="27"/>
      <c r="J245" s="177"/>
      <c r="K245" s="178">
        <v>187340.0</v>
      </c>
      <c r="L245" s="30">
        <v>122680.0</v>
      </c>
      <c r="M245" s="31"/>
      <c r="N245" s="32"/>
      <c r="O245" s="33"/>
      <c r="P245" s="40"/>
      <c r="Q245" s="35"/>
      <c r="R245" s="33"/>
      <c r="S245" s="33"/>
      <c r="T245" s="35"/>
      <c r="U245" s="35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</row>
    <row r="246" hidden="1">
      <c r="A246" s="150" t="s">
        <v>27</v>
      </c>
      <c r="B246" s="364">
        <v>45529.0</v>
      </c>
      <c r="C246" s="160">
        <v>601870.0</v>
      </c>
      <c r="D246" s="160">
        <v>431340.0</v>
      </c>
      <c r="E246" s="160"/>
      <c r="F246" s="160"/>
      <c r="G246" s="160">
        <f>213380+9200</f>
        <v>222580</v>
      </c>
      <c r="H246" s="160">
        <v>113800.0</v>
      </c>
      <c r="I246" s="160"/>
      <c r="J246" s="28"/>
      <c r="K246" s="160">
        <v>145710.0</v>
      </c>
      <c r="L246" s="160">
        <v>111580.0</v>
      </c>
      <c r="M246" s="31"/>
      <c r="N246" s="32"/>
      <c r="O246" s="33"/>
      <c r="P246" s="40"/>
      <c r="Q246" s="35"/>
      <c r="R246" s="33"/>
      <c r="S246" s="33"/>
      <c r="T246" s="35"/>
      <c r="U246" s="35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</row>
    <row r="247" hidden="1">
      <c r="A247" s="99" t="s">
        <v>21</v>
      </c>
      <c r="B247" s="364">
        <v>45530.0</v>
      </c>
      <c r="C247" s="182">
        <v>691520.0</v>
      </c>
      <c r="D247" s="183">
        <v>428950.0</v>
      </c>
      <c r="E247" s="184"/>
      <c r="F247" s="185"/>
      <c r="G247" s="186">
        <f>217300+71300</f>
        <v>288600</v>
      </c>
      <c r="H247" s="171">
        <v>53300.0</v>
      </c>
      <c r="I247" s="171"/>
      <c r="J247" s="177"/>
      <c r="K247" s="178">
        <v>187370.0</v>
      </c>
      <c r="L247" s="30">
        <v>166650.0</v>
      </c>
      <c r="M247" s="31"/>
      <c r="N247" s="32"/>
      <c r="O247" s="33"/>
      <c r="P247" s="40"/>
      <c r="Q247" s="35"/>
      <c r="R247" s="33"/>
      <c r="S247" s="33"/>
      <c r="T247" s="35"/>
      <c r="U247" s="35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</row>
    <row r="248" hidden="1">
      <c r="A248" s="99" t="s">
        <v>22</v>
      </c>
      <c r="B248" s="364">
        <v>45531.0</v>
      </c>
      <c r="C248" s="182">
        <v>1172190.0</v>
      </c>
      <c r="D248" s="183">
        <v>827089.0</v>
      </c>
      <c r="E248" s="184"/>
      <c r="F248" s="185"/>
      <c r="G248" s="186">
        <v>330280.0</v>
      </c>
      <c r="H248" s="171">
        <v>303400.0</v>
      </c>
      <c r="I248" s="171"/>
      <c r="J248" s="177"/>
      <c r="K248" s="178">
        <v>328300.0</v>
      </c>
      <c r="L248" s="30">
        <v>199710.0</v>
      </c>
      <c r="M248" s="31"/>
      <c r="N248" s="39"/>
      <c r="O248" s="33"/>
      <c r="P248" s="40"/>
      <c r="Q248" s="35"/>
      <c r="R248" s="33"/>
      <c r="S248" s="33"/>
      <c r="T248" s="35"/>
      <c r="U248" s="35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</row>
    <row r="249" hidden="1">
      <c r="A249" s="99" t="s">
        <v>23</v>
      </c>
      <c r="B249" s="364">
        <v>45532.0</v>
      </c>
      <c r="C249" s="22">
        <v>1140275.0</v>
      </c>
      <c r="D249" s="23">
        <v>767070.0</v>
      </c>
      <c r="E249" s="24"/>
      <c r="F249" s="25"/>
      <c r="G249" s="35">
        <f>22300+407300</f>
        <v>429600</v>
      </c>
      <c r="H249" s="179">
        <v>239600.0</v>
      </c>
      <c r="I249" s="179"/>
      <c r="J249" s="28"/>
      <c r="K249" s="29">
        <v>143930.0</v>
      </c>
      <c r="L249" s="30">
        <v>278375.0</v>
      </c>
      <c r="M249" s="31"/>
      <c r="N249" s="32"/>
      <c r="O249" s="33"/>
      <c r="P249" s="40"/>
      <c r="Q249" s="35"/>
      <c r="R249" s="33"/>
      <c r="S249" s="33"/>
      <c r="T249" s="35"/>
      <c r="U249" s="35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</row>
    <row r="250" hidden="1">
      <c r="A250" s="99" t="s">
        <v>24</v>
      </c>
      <c r="B250" s="364">
        <v>45533.0</v>
      </c>
      <c r="C250" s="22">
        <v>1284530.0</v>
      </c>
      <c r="D250" s="23">
        <v>953280.0</v>
      </c>
      <c r="E250" s="24"/>
      <c r="F250" s="25"/>
      <c r="G250" s="35">
        <f>268100+234800</f>
        <v>502900</v>
      </c>
      <c r="H250" s="27">
        <v>226950.0</v>
      </c>
      <c r="I250" s="27"/>
      <c r="J250" s="28"/>
      <c r="K250" s="29">
        <v>316070.0</v>
      </c>
      <c r="L250" s="30">
        <v>162580.0</v>
      </c>
      <c r="M250" s="31"/>
      <c r="N250" s="39"/>
      <c r="O250" s="33"/>
      <c r="P250" s="40"/>
      <c r="Q250" s="35"/>
      <c r="R250" s="33"/>
      <c r="S250" s="33"/>
      <c r="T250" s="35"/>
      <c r="U250" s="35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</row>
    <row r="251" hidden="1">
      <c r="A251" s="99" t="s">
        <v>25</v>
      </c>
      <c r="B251" s="364">
        <v>45534.0</v>
      </c>
      <c r="C251" s="22">
        <v>656960.0</v>
      </c>
      <c r="D251" s="23">
        <v>456630.0</v>
      </c>
      <c r="E251" s="24"/>
      <c r="F251" s="25"/>
      <c r="G251" s="35">
        <v>233910.0</v>
      </c>
      <c r="H251" s="187">
        <v>180200.0</v>
      </c>
      <c r="I251" s="187"/>
      <c r="J251" s="28"/>
      <c r="K251" s="29">
        <v>107300.0</v>
      </c>
      <c r="L251" s="30">
        <v>132500.0</v>
      </c>
      <c r="M251" s="31"/>
      <c r="N251" s="39"/>
      <c r="O251" s="33"/>
      <c r="P251" s="40"/>
      <c r="Q251" s="35"/>
      <c r="R251" s="33"/>
      <c r="S251" s="33"/>
      <c r="T251" s="35"/>
      <c r="U251" s="35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</row>
    <row r="252" hidden="1">
      <c r="A252" s="99" t="s">
        <v>26</v>
      </c>
      <c r="B252" s="364">
        <v>45535.0</v>
      </c>
      <c r="C252" s="22">
        <v>807480.0</v>
      </c>
      <c r="D252" s="23">
        <v>579600.0</v>
      </c>
      <c r="E252" s="24"/>
      <c r="F252" s="25"/>
      <c r="G252" s="35">
        <v>408700.0</v>
      </c>
      <c r="H252" s="187">
        <v>65200.0</v>
      </c>
      <c r="I252" s="187"/>
      <c r="J252" s="28"/>
      <c r="K252" s="29">
        <v>224500.0</v>
      </c>
      <c r="L252" s="30">
        <v>108980.0</v>
      </c>
      <c r="M252" s="31"/>
      <c r="N252" s="39"/>
      <c r="O252" s="33"/>
      <c r="P252" s="40"/>
      <c r="Q252" s="35"/>
      <c r="R252" s="33"/>
      <c r="S252" s="33"/>
      <c r="T252" s="35"/>
      <c r="U252" s="35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</row>
    <row r="253" hidden="1">
      <c r="A253" s="93" t="s">
        <v>28</v>
      </c>
      <c r="B253" s="188"/>
      <c r="C253" s="189">
        <f>SUM(C222:C252)</f>
        <v>30062388</v>
      </c>
      <c r="D253" s="189"/>
      <c r="E253" s="189"/>
      <c r="F253" s="189"/>
      <c r="G253" s="189"/>
      <c r="H253" s="190"/>
      <c r="I253" s="190"/>
      <c r="J253" s="191"/>
      <c r="K253" s="189"/>
      <c r="L253" s="73"/>
      <c r="M253" s="74"/>
      <c r="N253" s="39"/>
      <c r="O253" s="33"/>
      <c r="P253" s="40"/>
      <c r="Q253" s="35"/>
      <c r="R253" s="33"/>
      <c r="S253" s="33"/>
      <c r="T253" s="35"/>
      <c r="U253" s="35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</row>
    <row r="254" hidden="1">
      <c r="A254" s="150" t="s">
        <v>27</v>
      </c>
      <c r="B254" s="100">
        <v>45536.0</v>
      </c>
      <c r="C254" s="160">
        <v>736790.0</v>
      </c>
      <c r="D254" s="160">
        <v>624000.0</v>
      </c>
      <c r="E254" s="160"/>
      <c r="F254" s="160"/>
      <c r="G254" s="160">
        <f>328400+54800</f>
        <v>383200</v>
      </c>
      <c r="H254" s="193">
        <v>105300.0</v>
      </c>
      <c r="I254" s="193"/>
      <c r="J254" s="28"/>
      <c r="K254" s="160">
        <v>146180.0</v>
      </c>
      <c r="L254" s="160">
        <v>102810.0</v>
      </c>
      <c r="M254" s="31"/>
      <c r="N254" s="39"/>
      <c r="O254" s="33"/>
      <c r="P254" s="40"/>
      <c r="Q254" s="35"/>
      <c r="R254" s="33"/>
      <c r="S254" s="33"/>
      <c r="T254" s="35"/>
      <c r="U254" s="35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</row>
    <row r="255" hidden="1">
      <c r="A255" s="99" t="s">
        <v>21</v>
      </c>
      <c r="B255" s="100">
        <v>45537.0</v>
      </c>
      <c r="C255" s="22">
        <v>677890.0</v>
      </c>
      <c r="D255" s="23">
        <v>458180.0</v>
      </c>
      <c r="E255" s="24"/>
      <c r="F255" s="25"/>
      <c r="G255" s="35">
        <v>300800.0</v>
      </c>
      <c r="H255" s="187">
        <v>79756.0</v>
      </c>
      <c r="I255" s="187"/>
      <c r="J255" s="177"/>
      <c r="K255" s="178">
        <v>125740.0</v>
      </c>
      <c r="L255" s="30">
        <v>183410.0</v>
      </c>
      <c r="M255" s="31"/>
      <c r="N255" s="32"/>
      <c r="O255" s="33"/>
      <c r="P255" s="40"/>
      <c r="Q255" s="35"/>
      <c r="R255" s="33"/>
      <c r="S255" s="33"/>
      <c r="T255" s="35"/>
      <c r="U255" s="35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</row>
    <row r="256" hidden="1">
      <c r="A256" s="99" t="s">
        <v>22</v>
      </c>
      <c r="B256" s="100">
        <v>45538.0</v>
      </c>
      <c r="C256" s="22">
        <v>992970.0</v>
      </c>
      <c r="D256" s="23">
        <v>721230.0</v>
      </c>
      <c r="E256" s="24"/>
      <c r="F256" s="25"/>
      <c r="G256" s="35">
        <f>381400</f>
        <v>381400</v>
      </c>
      <c r="H256" s="187">
        <v>215150.0</v>
      </c>
      <c r="I256" s="187"/>
      <c r="J256" s="177"/>
      <c r="K256" s="178">
        <v>202960.0</v>
      </c>
      <c r="L256" s="30">
        <v>185400.0</v>
      </c>
      <c r="M256" s="31"/>
      <c r="N256" s="32"/>
      <c r="O256" s="33"/>
      <c r="P256" s="40"/>
      <c r="Q256" s="35"/>
      <c r="R256" s="33"/>
      <c r="S256" s="33"/>
      <c r="T256" s="35"/>
      <c r="U256" s="35"/>
      <c r="V256" s="33"/>
      <c r="W256" s="33"/>
      <c r="X256" s="365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</row>
    <row r="257" hidden="1">
      <c r="A257" s="99" t="s">
        <v>32</v>
      </c>
      <c r="B257" s="100">
        <v>45539.0</v>
      </c>
      <c r="C257" s="22">
        <v>1478360.0</v>
      </c>
      <c r="D257" s="23">
        <v>1097700.0</v>
      </c>
      <c r="E257" s="24"/>
      <c r="F257" s="25"/>
      <c r="G257" s="26">
        <v>538800.0</v>
      </c>
      <c r="H257" s="187">
        <v>337107.0</v>
      </c>
      <c r="I257" s="187"/>
      <c r="J257" s="28"/>
      <c r="K257" s="29">
        <v>408700.0</v>
      </c>
      <c r="L257" s="30">
        <v>241910.0</v>
      </c>
      <c r="M257" s="31"/>
      <c r="N257" s="32"/>
      <c r="O257" s="33"/>
      <c r="P257" s="40"/>
      <c r="Q257" s="35"/>
      <c r="R257" s="33"/>
      <c r="S257" s="33"/>
      <c r="T257" s="35"/>
      <c r="U257" s="35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</row>
    <row r="258" hidden="1">
      <c r="A258" s="99" t="s">
        <v>24</v>
      </c>
      <c r="B258" s="100">
        <v>45540.0</v>
      </c>
      <c r="C258" s="22">
        <v>1325140.0</v>
      </c>
      <c r="D258" s="23">
        <v>1090850.0</v>
      </c>
      <c r="E258" s="24"/>
      <c r="F258" s="25"/>
      <c r="G258" s="186">
        <f>630200+16000</f>
        <v>646200</v>
      </c>
      <c r="H258" s="171">
        <v>226300.0</v>
      </c>
      <c r="I258" s="171"/>
      <c r="J258" s="28"/>
      <c r="K258" s="29">
        <v>253500.0</v>
      </c>
      <c r="L258" s="30">
        <v>186290.0</v>
      </c>
      <c r="M258" s="31"/>
      <c r="N258" s="39"/>
      <c r="O258" s="33"/>
      <c r="P258" s="40"/>
      <c r="Q258" s="35"/>
      <c r="R258" s="33"/>
      <c r="S258" s="33"/>
      <c r="T258" s="35"/>
      <c r="U258" s="35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</row>
    <row r="259" hidden="1">
      <c r="A259" s="99" t="s">
        <v>25</v>
      </c>
      <c r="B259" s="100">
        <v>45541.0</v>
      </c>
      <c r="C259" s="22">
        <v>958050.0</v>
      </c>
      <c r="D259" s="23">
        <v>597570.0</v>
      </c>
      <c r="E259" s="24"/>
      <c r="F259" s="25"/>
      <c r="G259" s="186">
        <f>97900+208000</f>
        <v>305900</v>
      </c>
      <c r="H259" s="171">
        <v>172200.0</v>
      </c>
      <c r="I259" s="171"/>
      <c r="J259" s="28">
        <v>19500.0</v>
      </c>
      <c r="K259" s="29">
        <v>207120.0</v>
      </c>
      <c r="L259" s="30">
        <v>254110.0</v>
      </c>
      <c r="M259" s="49" t="s">
        <v>743</v>
      </c>
      <c r="N259" s="32"/>
      <c r="O259" s="33"/>
      <c r="P259" s="40"/>
      <c r="Q259" s="35"/>
      <c r="R259" s="33"/>
      <c r="S259" s="33"/>
      <c r="T259" s="35"/>
      <c r="U259" s="35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</row>
    <row r="260" hidden="1">
      <c r="A260" s="99" t="s">
        <v>26</v>
      </c>
      <c r="B260" s="100">
        <v>45542.0</v>
      </c>
      <c r="C260" s="22">
        <v>952330.0</v>
      </c>
      <c r="D260" s="23">
        <v>740630.0</v>
      </c>
      <c r="E260" s="24"/>
      <c r="F260" s="25"/>
      <c r="G260" s="186">
        <f>453210+76200</f>
        <v>529410</v>
      </c>
      <c r="H260" s="171">
        <v>88800.0</v>
      </c>
      <c r="I260" s="171"/>
      <c r="J260" s="28"/>
      <c r="K260" s="29">
        <v>145090.0</v>
      </c>
      <c r="L260" s="30">
        <v>186010.0</v>
      </c>
      <c r="M260" s="31"/>
      <c r="N260" s="39"/>
      <c r="O260" s="33"/>
      <c r="P260" s="40"/>
      <c r="Q260" s="35"/>
      <c r="R260" s="33"/>
      <c r="S260" s="33"/>
      <c r="T260" s="35"/>
      <c r="U260" s="35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</row>
    <row r="261" hidden="1">
      <c r="A261" s="150" t="s">
        <v>27</v>
      </c>
      <c r="B261" s="100">
        <v>45543.0</v>
      </c>
      <c r="C261" s="160">
        <v>652190.0</v>
      </c>
      <c r="D261" s="160">
        <v>440820.0</v>
      </c>
      <c r="E261" s="160"/>
      <c r="F261" s="160"/>
      <c r="G261" s="160">
        <v>303800.0</v>
      </c>
      <c r="H261" s="193">
        <v>27400.0</v>
      </c>
      <c r="I261" s="193"/>
      <c r="J261" s="28"/>
      <c r="K261" s="160">
        <v>183420.0</v>
      </c>
      <c r="L261" s="160">
        <v>141270.0</v>
      </c>
      <c r="M261" s="31"/>
      <c r="N261" s="39"/>
      <c r="O261" s="33"/>
      <c r="P261" s="40"/>
      <c r="Q261" s="35"/>
      <c r="R261" s="33"/>
      <c r="S261" s="33"/>
      <c r="T261" s="35"/>
      <c r="U261" s="35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</row>
    <row r="262" hidden="1">
      <c r="A262" s="99" t="s">
        <v>21</v>
      </c>
      <c r="B262" s="100">
        <v>45544.0</v>
      </c>
      <c r="C262" s="22">
        <v>689030.0</v>
      </c>
      <c r="D262" s="23">
        <v>503110.0</v>
      </c>
      <c r="E262" s="24"/>
      <c r="F262" s="25"/>
      <c r="G262" s="35">
        <v>206280.0</v>
      </c>
      <c r="H262" s="187">
        <v>96751.0</v>
      </c>
      <c r="I262" s="187"/>
      <c r="J262" s="177"/>
      <c r="K262" s="178">
        <v>248330.0</v>
      </c>
      <c r="L262" s="30">
        <v>121520.0</v>
      </c>
      <c r="M262" s="31"/>
      <c r="N262" s="32"/>
      <c r="O262" s="33"/>
      <c r="P262" s="40"/>
      <c r="Q262" s="35"/>
      <c r="R262" s="33"/>
      <c r="S262" s="33"/>
      <c r="T262" s="35"/>
      <c r="U262" s="35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</row>
    <row r="263" hidden="1">
      <c r="A263" s="99" t="s">
        <v>22</v>
      </c>
      <c r="B263" s="100">
        <v>45545.0</v>
      </c>
      <c r="C263" s="22">
        <v>896730.0</v>
      </c>
      <c r="D263" s="23">
        <v>678370.0</v>
      </c>
      <c r="E263" s="24"/>
      <c r="F263" s="25"/>
      <c r="G263" s="186">
        <f>111600+231200</f>
        <v>342800</v>
      </c>
      <c r="H263" s="171">
        <v>132400.0</v>
      </c>
      <c r="I263" s="171"/>
      <c r="J263" s="177"/>
      <c r="K263" s="178">
        <v>228200.0</v>
      </c>
      <c r="L263" s="30">
        <v>160760.0</v>
      </c>
      <c r="M263" s="31"/>
      <c r="N263" s="39"/>
      <c r="O263" s="33"/>
      <c r="P263" s="40"/>
      <c r="Q263" s="35"/>
      <c r="R263" s="33"/>
      <c r="S263" s="33"/>
      <c r="T263" s="35"/>
      <c r="U263" s="35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</row>
    <row r="264" hidden="1">
      <c r="A264" s="99" t="s">
        <v>32</v>
      </c>
      <c r="B264" s="100">
        <v>45546.0</v>
      </c>
      <c r="C264" s="22">
        <v>1270945.0</v>
      </c>
      <c r="D264" s="23">
        <v>1007880.0</v>
      </c>
      <c r="E264" s="24"/>
      <c r="F264" s="25"/>
      <c r="G264" s="195">
        <f>385600+77100</f>
        <v>462700</v>
      </c>
      <c r="H264" s="171">
        <v>258500.0</v>
      </c>
      <c r="I264" s="171"/>
      <c r="J264" s="28"/>
      <c r="K264" s="29">
        <v>277300.0</v>
      </c>
      <c r="L264" s="30">
        <v>171745.0</v>
      </c>
      <c r="M264" s="31"/>
      <c r="N264" s="32"/>
      <c r="O264" s="33"/>
      <c r="P264" s="40"/>
      <c r="Q264" s="35"/>
      <c r="R264" s="33"/>
      <c r="S264" s="33"/>
      <c r="T264" s="35"/>
      <c r="U264" s="35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</row>
    <row r="265" hidden="1">
      <c r="A265" s="99" t="s">
        <v>24</v>
      </c>
      <c r="B265" s="100">
        <v>45547.0</v>
      </c>
      <c r="C265" s="22">
        <v>1479825.0</v>
      </c>
      <c r="D265" s="23">
        <v>980719.0</v>
      </c>
      <c r="E265" s="24"/>
      <c r="F265" s="25"/>
      <c r="G265" s="186">
        <f>258800+235600</f>
        <v>494400</v>
      </c>
      <c r="H265" s="171">
        <v>241540.0</v>
      </c>
      <c r="I265" s="171"/>
      <c r="J265" s="28">
        <v>165000.0</v>
      </c>
      <c r="K265" s="29">
        <v>441700.0</v>
      </c>
      <c r="L265" s="30">
        <v>186765.0</v>
      </c>
      <c r="M265" s="31"/>
      <c r="N265" s="39"/>
      <c r="O265" s="33"/>
      <c r="P265" s="40"/>
      <c r="Q265" s="35"/>
      <c r="R265" s="33"/>
      <c r="S265" s="33"/>
      <c r="T265" s="35"/>
      <c r="U265" s="35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</row>
    <row r="266" hidden="1">
      <c r="A266" s="99" t="s">
        <v>25</v>
      </c>
      <c r="B266" s="100">
        <v>45548.0</v>
      </c>
      <c r="C266" s="366">
        <v>1334306.0</v>
      </c>
      <c r="D266" s="23">
        <v>889060.0</v>
      </c>
      <c r="E266" s="24"/>
      <c r="F266" s="25"/>
      <c r="G266" s="186">
        <f>402860+19000</f>
        <v>421860</v>
      </c>
      <c r="H266" s="171">
        <v>266100.0</v>
      </c>
      <c r="I266" s="171"/>
      <c r="J266" s="28"/>
      <c r="K266" s="29">
        <v>369970.0</v>
      </c>
      <c r="L266" s="30">
        <v>292830.0</v>
      </c>
      <c r="M266" s="31"/>
      <c r="N266" s="196"/>
      <c r="O266" s="33"/>
      <c r="P266" s="40"/>
      <c r="Q266" s="35"/>
      <c r="R266" s="33"/>
      <c r="S266" s="33"/>
      <c r="T266" s="35"/>
      <c r="U266" s="35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</row>
    <row r="267" hidden="1">
      <c r="A267" s="99" t="s">
        <v>26</v>
      </c>
      <c r="B267" s="100">
        <v>45549.0</v>
      </c>
      <c r="C267" s="22">
        <v>1157400.0</v>
      </c>
      <c r="D267" s="23">
        <v>698000.0</v>
      </c>
      <c r="E267" s="24"/>
      <c r="F267" s="25"/>
      <c r="G267" s="35">
        <v>612500.0</v>
      </c>
      <c r="H267" s="27">
        <v>55200.0</v>
      </c>
      <c r="I267" s="27"/>
      <c r="J267" s="28"/>
      <c r="K267" s="29">
        <v>149300.0</v>
      </c>
      <c r="L267" s="30">
        <v>340300.0</v>
      </c>
      <c r="M267" s="31"/>
      <c r="N267" s="39"/>
      <c r="O267" s="33"/>
      <c r="P267" s="40"/>
      <c r="Q267" s="35"/>
      <c r="R267" s="33"/>
      <c r="S267" s="33"/>
      <c r="T267" s="35"/>
      <c r="U267" s="35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</row>
    <row r="268" hidden="1">
      <c r="A268" s="150" t="s">
        <v>27</v>
      </c>
      <c r="B268" s="100">
        <v>45550.0</v>
      </c>
      <c r="C268" s="160">
        <v>648620.0</v>
      </c>
      <c r="D268" s="160">
        <v>381100.0</v>
      </c>
      <c r="E268" s="160">
        <v>4970.0</v>
      </c>
      <c r="F268" s="160">
        <f>3000+600</f>
        <v>3600</v>
      </c>
      <c r="G268" s="160">
        <f>22400+228100</f>
        <v>250500</v>
      </c>
      <c r="H268" s="193">
        <v>50000.0</v>
      </c>
      <c r="I268" s="193"/>
      <c r="J268" s="28"/>
      <c r="K268" s="160">
        <v>116600.0</v>
      </c>
      <c r="L268" s="160">
        <v>241420.0</v>
      </c>
      <c r="M268" s="31"/>
      <c r="N268" s="39"/>
      <c r="O268" s="33"/>
      <c r="P268" s="40"/>
      <c r="Q268" s="35"/>
      <c r="R268" s="33"/>
      <c r="S268" s="33"/>
      <c r="T268" s="35"/>
      <c r="U268" s="35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</row>
    <row r="269" hidden="1">
      <c r="A269" s="99" t="s">
        <v>21</v>
      </c>
      <c r="B269" s="100">
        <v>45551.0</v>
      </c>
      <c r="C269" s="22">
        <v>1030090.0</v>
      </c>
      <c r="D269" s="23">
        <v>816500.0</v>
      </c>
      <c r="E269" s="24"/>
      <c r="F269" s="25"/>
      <c r="G269" s="35">
        <v>533800.0</v>
      </c>
      <c r="H269" s="187">
        <v>131947.0</v>
      </c>
      <c r="I269" s="187"/>
      <c r="J269" s="177"/>
      <c r="K269" s="178">
        <v>234470.0</v>
      </c>
      <c r="L269" s="30">
        <v>160320.0</v>
      </c>
      <c r="M269" s="31"/>
      <c r="N269" s="32"/>
      <c r="O269" s="33"/>
      <c r="P269" s="40"/>
      <c r="Q269" s="35"/>
      <c r="R269" s="33"/>
      <c r="S269" s="33"/>
      <c r="T269" s="35"/>
      <c r="U269" s="35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</row>
    <row r="270" hidden="1">
      <c r="A270" s="99" t="s">
        <v>22</v>
      </c>
      <c r="B270" s="100">
        <v>45552.0</v>
      </c>
      <c r="C270" s="22">
        <v>1123400.0</v>
      </c>
      <c r="D270" s="23">
        <v>845950.0</v>
      </c>
      <c r="E270" s="24"/>
      <c r="F270" s="25"/>
      <c r="G270" s="35">
        <v>464400.0</v>
      </c>
      <c r="H270" s="27">
        <v>205600.0</v>
      </c>
      <c r="I270" s="27"/>
      <c r="J270" s="28"/>
      <c r="K270" s="29">
        <v>203980.0</v>
      </c>
      <c r="L270" s="30">
        <v>220670.0</v>
      </c>
      <c r="M270" s="31"/>
      <c r="N270" s="32"/>
      <c r="O270" s="33"/>
      <c r="P270" s="40"/>
      <c r="Q270" s="35"/>
      <c r="R270" s="33"/>
      <c r="S270" s="33"/>
      <c r="T270" s="35"/>
      <c r="U270" s="35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5">
        <v>8.0</v>
      </c>
    </row>
    <row r="271" hidden="1">
      <c r="A271" s="99" t="s">
        <v>32</v>
      </c>
      <c r="B271" s="100">
        <v>45553.0</v>
      </c>
      <c r="C271" s="22">
        <v>861235.0</v>
      </c>
      <c r="D271" s="23">
        <v>569400.0</v>
      </c>
      <c r="E271" s="24"/>
      <c r="F271" s="25"/>
      <c r="G271" s="197">
        <f>86000+230300</f>
        <v>316300</v>
      </c>
      <c r="H271" s="27">
        <v>83500.0</v>
      </c>
      <c r="I271" s="27"/>
      <c r="J271" s="28"/>
      <c r="K271" s="29">
        <v>202835.0</v>
      </c>
      <c r="L271" s="30">
        <v>234800.0</v>
      </c>
      <c r="M271" s="31"/>
      <c r="N271" s="32"/>
      <c r="O271" s="33"/>
      <c r="P271" s="40"/>
      <c r="Q271" s="35"/>
      <c r="R271" s="33"/>
      <c r="S271" s="33"/>
      <c r="T271" s="35"/>
      <c r="U271" s="35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</row>
    <row r="272" hidden="1">
      <c r="A272" s="99" t="s">
        <v>24</v>
      </c>
      <c r="B272" s="100">
        <v>45554.0</v>
      </c>
      <c r="C272" s="22">
        <v>1059630.0</v>
      </c>
      <c r="D272" s="23">
        <v>764750.0</v>
      </c>
      <c r="E272" s="24"/>
      <c r="F272" s="25"/>
      <c r="G272" s="35">
        <v>498450.0</v>
      </c>
      <c r="H272" s="171">
        <v>155700.0</v>
      </c>
      <c r="I272" s="171"/>
      <c r="J272" s="177"/>
      <c r="K272" s="178">
        <v>168160.0</v>
      </c>
      <c r="L272" s="30">
        <v>215590.0</v>
      </c>
      <c r="M272" s="31"/>
      <c r="N272" s="39"/>
      <c r="O272" s="33"/>
      <c r="P272" s="40"/>
      <c r="Q272" s="35"/>
      <c r="R272" s="33"/>
      <c r="S272" s="33"/>
      <c r="T272" s="35"/>
      <c r="U272" s="35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</row>
    <row r="273" hidden="1">
      <c r="A273" s="99" t="s">
        <v>25</v>
      </c>
      <c r="B273" s="100">
        <v>45555.0</v>
      </c>
      <c r="C273" s="22">
        <v>954250.0</v>
      </c>
      <c r="D273" s="23">
        <v>676090.0</v>
      </c>
      <c r="E273" s="24"/>
      <c r="F273" s="25"/>
      <c r="G273" s="35">
        <v>342840.0</v>
      </c>
      <c r="H273" s="187">
        <v>163750.0</v>
      </c>
      <c r="I273" s="187"/>
      <c r="J273" s="177"/>
      <c r="K273" s="178">
        <v>247790.0</v>
      </c>
      <c r="L273" s="30">
        <v>210570.0</v>
      </c>
      <c r="M273" s="31"/>
      <c r="N273" s="32"/>
      <c r="O273" s="33"/>
      <c r="P273" s="40"/>
      <c r="Q273" s="35"/>
      <c r="R273" s="33"/>
      <c r="S273" s="33"/>
      <c r="T273" s="35"/>
      <c r="U273" s="35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</row>
    <row r="274" hidden="1">
      <c r="A274" s="99" t="s">
        <v>26</v>
      </c>
      <c r="B274" s="100">
        <v>45556.0</v>
      </c>
      <c r="C274" s="22">
        <v>1060510.0</v>
      </c>
      <c r="D274" s="23">
        <v>835340.0</v>
      </c>
      <c r="E274" s="24"/>
      <c r="F274" s="25"/>
      <c r="G274" s="186">
        <v>558670.0</v>
      </c>
      <c r="H274" s="187" t="s">
        <v>744</v>
      </c>
      <c r="I274" s="187"/>
      <c r="J274" s="177"/>
      <c r="K274" s="178">
        <v>287920.0</v>
      </c>
      <c r="L274" s="30">
        <v>221320.0</v>
      </c>
      <c r="M274" s="31"/>
      <c r="N274" s="32"/>
      <c r="O274" s="33"/>
      <c r="P274" s="40"/>
      <c r="Q274" s="35"/>
      <c r="R274" s="33"/>
      <c r="S274" s="33"/>
      <c r="T274" s="35"/>
      <c r="U274" s="35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</row>
    <row r="275" hidden="1">
      <c r="A275" s="150" t="s">
        <v>27</v>
      </c>
      <c r="B275" s="100">
        <v>45557.0</v>
      </c>
      <c r="C275" s="160">
        <v>628600.0</v>
      </c>
      <c r="D275" s="160">
        <v>459500.0</v>
      </c>
      <c r="E275" s="160"/>
      <c r="F275" s="160"/>
      <c r="G275" s="160">
        <f>100300+207700</f>
        <v>308000</v>
      </c>
      <c r="H275" s="193">
        <v>99300.0</v>
      </c>
      <c r="I275" s="193"/>
      <c r="J275" s="28"/>
      <c r="K275" s="160">
        <v>47000.0</v>
      </c>
      <c r="L275" s="160">
        <v>174300.0</v>
      </c>
      <c r="M275" s="31"/>
      <c r="N275" s="39"/>
      <c r="O275" s="33"/>
      <c r="P275" s="40"/>
      <c r="Q275" s="35"/>
      <c r="R275" s="33"/>
      <c r="S275" s="33"/>
      <c r="T275" s="35"/>
      <c r="U275" s="35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</row>
    <row r="276" hidden="1">
      <c r="A276" s="99" t="s">
        <v>21</v>
      </c>
      <c r="B276" s="100">
        <v>45558.0</v>
      </c>
      <c r="C276" s="22">
        <v>828230.0</v>
      </c>
      <c r="D276" s="23">
        <v>484300.0</v>
      </c>
      <c r="E276" s="24"/>
      <c r="F276" s="25"/>
      <c r="G276" s="35">
        <v>323600.0</v>
      </c>
      <c r="H276" s="187">
        <v>124200.0</v>
      </c>
      <c r="I276" s="187"/>
      <c r="J276" s="177"/>
      <c r="K276" s="178">
        <v>105000.0</v>
      </c>
      <c r="L276" s="30">
        <v>275430.0</v>
      </c>
      <c r="M276" s="31"/>
      <c r="N276" s="32"/>
      <c r="O276" s="33"/>
      <c r="P276" s="40"/>
      <c r="Q276" s="35"/>
      <c r="R276" s="33"/>
      <c r="S276" s="33"/>
      <c r="T276" s="35"/>
      <c r="U276" s="35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</row>
    <row r="277" hidden="1">
      <c r="A277" s="99" t="s">
        <v>22</v>
      </c>
      <c r="B277" s="100">
        <v>45559.0</v>
      </c>
      <c r="C277" s="22">
        <v>1194300.0</v>
      </c>
      <c r="D277" s="23">
        <v>755700.0</v>
      </c>
      <c r="E277" s="24"/>
      <c r="F277" s="25"/>
      <c r="G277" s="35">
        <f>253100+173800</f>
        <v>426900</v>
      </c>
      <c r="H277" s="187">
        <v>188100.0</v>
      </c>
      <c r="I277" s="187"/>
      <c r="J277" s="28"/>
      <c r="K277" s="29">
        <v>304710.0</v>
      </c>
      <c r="L277" s="30">
        <v>275890.0</v>
      </c>
      <c r="M277" s="31"/>
      <c r="N277" s="39"/>
      <c r="O277" s="33"/>
      <c r="P277" s="40"/>
      <c r="Q277" s="35"/>
      <c r="R277" s="33"/>
      <c r="S277" s="33"/>
      <c r="T277" s="35"/>
      <c r="U277" s="35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</row>
    <row r="278" hidden="1">
      <c r="A278" s="99" t="s">
        <v>32</v>
      </c>
      <c r="B278" s="100">
        <v>45560.0</v>
      </c>
      <c r="C278" s="22">
        <v>1520065.0</v>
      </c>
      <c r="D278" s="23">
        <v>1055450.0</v>
      </c>
      <c r="E278" s="24"/>
      <c r="F278" s="25"/>
      <c r="G278" s="26">
        <v>574900.0</v>
      </c>
      <c r="H278" s="27">
        <v>283875.0</v>
      </c>
      <c r="I278" s="27"/>
      <c r="J278" s="198"/>
      <c r="K278" s="199">
        <v>346380.0</v>
      </c>
      <c r="L278" s="30">
        <v>281885.0</v>
      </c>
      <c r="M278" s="31"/>
      <c r="N278" s="32"/>
      <c r="O278" s="33"/>
      <c r="P278" s="40"/>
      <c r="Q278" s="35"/>
      <c r="R278" s="33"/>
      <c r="S278" s="33"/>
      <c r="T278" s="35"/>
      <c r="U278" s="35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</row>
    <row r="279" hidden="1">
      <c r="A279" s="99" t="s">
        <v>24</v>
      </c>
      <c r="B279" s="100">
        <v>45561.0</v>
      </c>
      <c r="C279" s="22">
        <v>1324600.0</v>
      </c>
      <c r="D279" s="23">
        <v>967560.0</v>
      </c>
      <c r="E279" s="24"/>
      <c r="F279" s="25"/>
      <c r="G279" s="35">
        <v>502640.0</v>
      </c>
      <c r="H279" s="27">
        <v>167306.0</v>
      </c>
      <c r="I279" s="27"/>
      <c r="J279" s="177"/>
      <c r="K279" s="178">
        <v>292210.0</v>
      </c>
      <c r="L279" s="30">
        <v>230640.0</v>
      </c>
      <c r="M279" s="31"/>
      <c r="N279" s="39"/>
      <c r="O279" s="33"/>
      <c r="P279" s="40"/>
      <c r="Q279" s="35"/>
      <c r="R279" s="33"/>
      <c r="S279" s="33"/>
      <c r="T279" s="35"/>
      <c r="U279" s="35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</row>
    <row r="280" hidden="1">
      <c r="A280" s="99" t="s">
        <v>25</v>
      </c>
      <c r="B280" s="100">
        <v>45562.0</v>
      </c>
      <c r="C280" s="22">
        <v>1242250.0</v>
      </c>
      <c r="D280" s="23">
        <v>816610.0</v>
      </c>
      <c r="E280" s="24"/>
      <c r="F280" s="25"/>
      <c r="G280" s="200">
        <v>54700.0</v>
      </c>
      <c r="H280" s="27">
        <v>1024444.0</v>
      </c>
      <c r="I280" s="27"/>
      <c r="J280" s="177"/>
      <c r="K280" s="178">
        <v>388800.0</v>
      </c>
      <c r="L280" s="30">
        <v>274740.0</v>
      </c>
      <c r="M280" s="31"/>
      <c r="N280" s="32"/>
      <c r="O280" s="33"/>
      <c r="P280" s="40"/>
      <c r="Q280" s="35"/>
      <c r="R280" s="33"/>
      <c r="S280" s="33"/>
      <c r="T280" s="35"/>
      <c r="U280" s="35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</row>
    <row r="281" hidden="1">
      <c r="A281" s="99" t="s">
        <v>26</v>
      </c>
      <c r="B281" s="100">
        <v>45563.0</v>
      </c>
      <c r="C281" s="22">
        <v>1279220.0</v>
      </c>
      <c r="D281" s="23">
        <v>855600.0</v>
      </c>
      <c r="E281" s="24">
        <v>10850.0</v>
      </c>
      <c r="F281" s="25">
        <v>600.0</v>
      </c>
      <c r="G281" s="35">
        <v>668900.0</v>
      </c>
      <c r="H281" s="27">
        <v>83076.0</v>
      </c>
      <c r="I281" s="27"/>
      <c r="J281" s="198"/>
      <c r="K281" s="199">
        <v>348900.0</v>
      </c>
      <c r="L281" s="30">
        <v>176320.0</v>
      </c>
      <c r="M281" s="31"/>
      <c r="N281" s="39"/>
      <c r="O281" s="33"/>
      <c r="P281" s="40"/>
      <c r="Q281" s="35"/>
      <c r="R281" s="33"/>
      <c r="S281" s="33"/>
      <c r="T281" s="35"/>
      <c r="U281" s="35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</row>
    <row r="282" hidden="1">
      <c r="A282" s="150" t="s">
        <v>27</v>
      </c>
      <c r="B282" s="100">
        <v>45564.0</v>
      </c>
      <c r="C282" s="160">
        <v>798829.0</v>
      </c>
      <c r="D282" s="160">
        <v>521900.0</v>
      </c>
      <c r="E282" s="160"/>
      <c r="F282" s="160"/>
      <c r="G282" s="160">
        <f>209100+125900+7500+31100</f>
        <v>373600</v>
      </c>
      <c r="H282" s="193">
        <v>143500.0</v>
      </c>
      <c r="I282" s="193"/>
      <c r="J282" s="198"/>
      <c r="K282" s="160">
        <v>56500.0</v>
      </c>
      <c r="L282" s="160">
        <v>225220.0</v>
      </c>
      <c r="M282" s="31"/>
      <c r="N282" s="39"/>
      <c r="O282" s="33"/>
      <c r="P282" s="40"/>
      <c r="Q282" s="35"/>
      <c r="R282" s="33"/>
      <c r="S282" s="33"/>
      <c r="T282" s="35"/>
      <c r="U282" s="35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</row>
    <row r="283" hidden="1">
      <c r="A283" s="99" t="s">
        <v>21</v>
      </c>
      <c r="B283" s="100">
        <v>45565.0</v>
      </c>
      <c r="C283" s="22">
        <v>992536.0</v>
      </c>
      <c r="D283" s="23">
        <v>574500.0</v>
      </c>
      <c r="E283" s="24"/>
      <c r="F283" s="25"/>
      <c r="G283" s="35">
        <v>303100.0</v>
      </c>
      <c r="H283" s="27">
        <v>246300.0</v>
      </c>
      <c r="I283" s="27"/>
      <c r="J283" s="198"/>
      <c r="K283" s="199">
        <v>147750.0</v>
      </c>
      <c r="L283" s="30">
        <v>290536.0</v>
      </c>
      <c r="M283" s="31"/>
      <c r="N283" s="39"/>
      <c r="O283" s="33"/>
      <c r="P283" s="40"/>
      <c r="Q283" s="35"/>
      <c r="R283" s="33"/>
      <c r="S283" s="33"/>
      <c r="T283" s="35"/>
      <c r="U283" s="35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</row>
    <row r="284">
      <c r="A284" s="621">
        <v>46023.0</v>
      </c>
      <c r="B284" s="21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 t="s">
        <v>48</v>
      </c>
      <c r="N284" s="39"/>
      <c r="O284" s="33"/>
      <c r="P284" s="40"/>
      <c r="Q284" s="35"/>
      <c r="R284" s="33"/>
      <c r="S284" s="33"/>
      <c r="T284" s="35"/>
      <c r="U284" s="35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</row>
    <row r="285">
      <c r="A285" s="621">
        <v>46024.0</v>
      </c>
      <c r="B285" s="622" t="s">
        <v>25</v>
      </c>
      <c r="C285" s="22">
        <v>923800.0</v>
      </c>
      <c r="D285" s="23">
        <v>216780.0</v>
      </c>
      <c r="E285" s="24"/>
      <c r="F285" s="25"/>
      <c r="G285" s="35">
        <v>193780.0</v>
      </c>
      <c r="H285" s="27">
        <v>23000.0</v>
      </c>
      <c r="I285" s="27"/>
      <c r="J285" s="28"/>
      <c r="K285" s="29">
        <v>408900.0</v>
      </c>
      <c r="L285" s="30">
        <v>298120.0</v>
      </c>
      <c r="M285" s="49"/>
      <c r="N285" s="32"/>
      <c r="O285" s="33"/>
      <c r="P285" s="40"/>
      <c r="Q285" s="35"/>
      <c r="R285" s="33"/>
      <c r="S285" s="33"/>
      <c r="T285" s="35"/>
      <c r="U285" s="35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</row>
    <row r="286">
      <c r="A286" s="621">
        <v>46025.0</v>
      </c>
      <c r="B286" s="622" t="s">
        <v>33</v>
      </c>
      <c r="C286" s="22">
        <v>870610.0</v>
      </c>
      <c r="D286" s="23">
        <v>175400.0</v>
      </c>
      <c r="E286" s="227"/>
      <c r="F286" s="228"/>
      <c r="G286" s="35">
        <v>184000.0</v>
      </c>
      <c r="H286" s="27">
        <v>23900.0</v>
      </c>
      <c r="I286" s="143"/>
      <c r="J286" s="111"/>
      <c r="K286" s="29">
        <v>215200.0</v>
      </c>
      <c r="L286" s="30">
        <v>412680.0</v>
      </c>
      <c r="M286" s="49">
        <v>390000.0</v>
      </c>
      <c r="N286" s="32"/>
      <c r="O286" s="33"/>
      <c r="P286" s="40"/>
      <c r="Q286" s="35"/>
      <c r="R286" s="33"/>
      <c r="S286" s="33"/>
      <c r="T286" s="35"/>
      <c r="U286" s="35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</row>
    <row r="287">
      <c r="A287" s="623">
        <v>46026.0</v>
      </c>
      <c r="B287" s="624" t="s">
        <v>27</v>
      </c>
      <c r="C287" s="49">
        <v>1053350.0</v>
      </c>
      <c r="D287" s="49">
        <v>378600.0</v>
      </c>
      <c r="E287" s="31"/>
      <c r="F287" s="31"/>
      <c r="G287" s="49">
        <v>310700.0</v>
      </c>
      <c r="H287" s="49">
        <v>56000.0</v>
      </c>
      <c r="I287" s="31"/>
      <c r="J287" s="31"/>
      <c r="K287" s="49">
        <v>291470.0</v>
      </c>
      <c r="L287" s="49">
        <v>383280.0</v>
      </c>
      <c r="M287" s="49">
        <v>360000.0</v>
      </c>
      <c r="N287" s="32"/>
      <c r="O287" s="33"/>
      <c r="P287" s="40"/>
      <c r="Q287" s="35"/>
      <c r="R287" s="33"/>
      <c r="S287" s="33"/>
      <c r="T287" s="35"/>
      <c r="U287" s="35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</row>
    <row r="288">
      <c r="A288" s="621">
        <v>46027.0</v>
      </c>
      <c r="B288" s="622" t="s">
        <v>21</v>
      </c>
      <c r="C288" s="22">
        <v>1483366.0</v>
      </c>
      <c r="D288" s="23">
        <v>472280.0</v>
      </c>
      <c r="E288" s="227"/>
      <c r="F288" s="228"/>
      <c r="G288" s="35">
        <v>282560.0</v>
      </c>
      <c r="H288" s="27">
        <v>202320.0</v>
      </c>
      <c r="I288" s="143"/>
      <c r="J288" s="111"/>
      <c r="K288" s="29">
        <v>289531.0</v>
      </c>
      <c r="L288" s="30">
        <v>668955.0</v>
      </c>
      <c r="M288" s="49">
        <v>610000.0</v>
      </c>
      <c r="N288" s="39"/>
      <c r="O288" s="33"/>
      <c r="P288" s="40"/>
      <c r="Q288" s="35"/>
      <c r="R288" s="33"/>
      <c r="S288" s="33"/>
      <c r="T288" s="35"/>
      <c r="U288" s="35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</row>
    <row r="289">
      <c r="A289" s="621">
        <v>46028.0</v>
      </c>
      <c r="B289" s="622" t="s">
        <v>22</v>
      </c>
      <c r="C289" s="22">
        <v>1150073.0</v>
      </c>
      <c r="D289" s="23">
        <v>267290.0</v>
      </c>
      <c r="E289" s="227"/>
      <c r="F289" s="228"/>
      <c r="G289" s="35">
        <v>201290.0</v>
      </c>
      <c r="H289" s="27">
        <v>66000.0</v>
      </c>
      <c r="I289" s="143"/>
      <c r="J289" s="111"/>
      <c r="K289" s="29">
        <v>531161.0</v>
      </c>
      <c r="L289" s="30">
        <v>293202.0</v>
      </c>
      <c r="M289" s="49">
        <v>320000.0</v>
      </c>
      <c r="N289" s="39"/>
      <c r="O289" s="33"/>
      <c r="P289" s="40"/>
      <c r="Q289" s="35"/>
      <c r="R289" s="33"/>
      <c r="S289" s="33"/>
      <c r="T289" s="35"/>
      <c r="U289" s="35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</row>
    <row r="290">
      <c r="A290" s="621">
        <v>46029.0</v>
      </c>
      <c r="B290" s="622" t="s">
        <v>32</v>
      </c>
      <c r="C290" s="22">
        <f>726070+475390</f>
        <v>1201460</v>
      </c>
      <c r="D290" s="23">
        <f>217250+83100</f>
        <v>300350</v>
      </c>
      <c r="E290" s="227"/>
      <c r="F290" s="228"/>
      <c r="G290" s="35">
        <f>154200+83100</f>
        <v>237300</v>
      </c>
      <c r="H290" s="143">
        <f>57950</f>
        <v>57950</v>
      </c>
      <c r="I290" s="143"/>
      <c r="J290" s="111"/>
      <c r="K290" s="29">
        <f>150500+208600</f>
        <v>359100</v>
      </c>
      <c r="L290" s="30">
        <f>363420+183690</f>
        <v>547110</v>
      </c>
      <c r="M290" s="49">
        <v>520000.0</v>
      </c>
      <c r="N290" s="39"/>
      <c r="O290" s="33"/>
      <c r="P290" s="40"/>
      <c r="Q290" s="35"/>
      <c r="R290" s="33"/>
      <c r="S290" s="33"/>
      <c r="T290" s="35"/>
      <c r="U290" s="35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</row>
    <row r="291">
      <c r="A291" s="621">
        <v>46030.0</v>
      </c>
      <c r="B291" s="622" t="s">
        <v>24</v>
      </c>
      <c r="C291" s="22">
        <v>1044640.0</v>
      </c>
      <c r="D291" s="23">
        <v>35930.0</v>
      </c>
      <c r="E291" s="24"/>
      <c r="F291" s="204"/>
      <c r="G291" s="26">
        <v>14500.0</v>
      </c>
      <c r="H291" s="27"/>
      <c r="I291" s="27"/>
      <c r="J291" s="28"/>
      <c r="K291" s="29">
        <v>631260.0</v>
      </c>
      <c r="L291" s="30">
        <v>366660.0</v>
      </c>
      <c r="M291" s="49">
        <v>290000.0</v>
      </c>
      <c r="N291" s="206"/>
      <c r="O291" s="33"/>
      <c r="P291" s="40"/>
      <c r="Q291" s="35"/>
      <c r="R291" s="33"/>
      <c r="S291" s="33"/>
      <c r="T291" s="35"/>
      <c r="U291" s="35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</row>
    <row r="292">
      <c r="A292" s="621">
        <v>46031.0</v>
      </c>
      <c r="B292" s="622" t="s">
        <v>25</v>
      </c>
      <c r="C292" s="22">
        <v>1249770.0</v>
      </c>
      <c r="D292" s="23">
        <v>467900.0</v>
      </c>
      <c r="E292" s="24"/>
      <c r="F292" s="204"/>
      <c r="G292" s="26">
        <v>326700.0</v>
      </c>
      <c r="H292" s="27">
        <v>141200.0</v>
      </c>
      <c r="I292" s="27"/>
      <c r="J292" s="28"/>
      <c r="K292" s="29">
        <v>445680.0</v>
      </c>
      <c r="L292" s="30">
        <v>324690.0</v>
      </c>
      <c r="M292" s="49">
        <v>330000.0</v>
      </c>
      <c r="N292" s="32"/>
      <c r="O292" s="33"/>
      <c r="P292" s="40"/>
      <c r="Q292" s="35"/>
      <c r="R292" s="33"/>
      <c r="S292" s="33"/>
      <c r="T292" s="35"/>
      <c r="U292" s="35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</row>
    <row r="293">
      <c r="A293" s="621">
        <v>46032.0</v>
      </c>
      <c r="B293" s="622" t="s">
        <v>33</v>
      </c>
      <c r="C293" s="22">
        <v>1214540.0</v>
      </c>
      <c r="D293" s="23">
        <v>381800.0</v>
      </c>
      <c r="E293" s="24"/>
      <c r="F293" s="204"/>
      <c r="G293" s="26">
        <v>323800.0</v>
      </c>
      <c r="H293" s="27">
        <v>58000.0</v>
      </c>
      <c r="I293" s="27"/>
      <c r="J293" s="28"/>
      <c r="K293" s="29">
        <v>300600.0</v>
      </c>
      <c r="L293" s="30">
        <v>532140.0</v>
      </c>
      <c r="M293" s="49">
        <v>480000.0</v>
      </c>
      <c r="N293" s="32"/>
      <c r="O293" s="40"/>
      <c r="P293" s="40"/>
      <c r="Q293" s="34"/>
      <c r="R293" s="40"/>
      <c r="S293" s="40"/>
      <c r="T293" s="34"/>
      <c r="U293" s="34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</row>
    <row r="294">
      <c r="A294" s="623">
        <v>46033.0</v>
      </c>
      <c r="B294" s="624" t="s">
        <v>27</v>
      </c>
      <c r="C294" s="49">
        <v>512880.0</v>
      </c>
      <c r="D294" s="49">
        <v>113890.0</v>
      </c>
      <c r="E294" s="49"/>
      <c r="F294" s="49"/>
      <c r="G294" s="49">
        <v>51600.0</v>
      </c>
      <c r="H294" s="49">
        <v>46090.0</v>
      </c>
      <c r="I294" s="49"/>
      <c r="J294" s="49"/>
      <c r="K294" s="49">
        <v>183660.0</v>
      </c>
      <c r="L294" s="49">
        <v>231530.0</v>
      </c>
      <c r="M294" s="49">
        <v>240000.0</v>
      </c>
      <c r="N294" s="39"/>
      <c r="O294" s="33"/>
      <c r="P294" s="40"/>
      <c r="Q294" s="35"/>
      <c r="R294" s="33"/>
      <c r="S294" s="33"/>
      <c r="T294" s="35"/>
      <c r="U294" s="35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</row>
    <row r="295">
      <c r="A295" s="621">
        <v>46034.0</v>
      </c>
      <c r="B295" s="622" t="s">
        <v>21</v>
      </c>
      <c r="C295" s="22">
        <f>582410+609820</f>
        <v>1192230</v>
      </c>
      <c r="D295" s="23">
        <f>161000+455500</f>
        <v>616500</v>
      </c>
      <c r="E295" s="24"/>
      <c r="F295" s="204"/>
      <c r="G295" s="26">
        <f>175900+179700</f>
        <v>355600</v>
      </c>
      <c r="H295" s="27">
        <v>263800.0</v>
      </c>
      <c r="I295" s="27"/>
      <c r="J295" s="28"/>
      <c r="K295" s="29">
        <f>205900+42000</f>
        <v>247900</v>
      </c>
      <c r="L295" s="30">
        <f>200610+112320</f>
        <v>312930</v>
      </c>
      <c r="M295" s="49">
        <v>280000.0</v>
      </c>
      <c r="N295" s="32"/>
      <c r="O295" s="33"/>
      <c r="P295" s="40"/>
      <c r="Q295" s="35"/>
      <c r="R295" s="33"/>
      <c r="S295" s="33"/>
      <c r="T295" s="35"/>
      <c r="U295" s="35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</row>
    <row r="296">
      <c r="A296" s="621">
        <v>46035.0</v>
      </c>
      <c r="B296" s="622" t="s">
        <v>22</v>
      </c>
      <c r="C296" s="22">
        <v>1455255.0</v>
      </c>
      <c r="D296" s="23">
        <v>553850.0</v>
      </c>
      <c r="E296" s="24"/>
      <c r="F296" s="204"/>
      <c r="G296" s="26">
        <v>517350.0</v>
      </c>
      <c r="H296" s="27">
        <v>19700.0</v>
      </c>
      <c r="I296" s="27"/>
      <c r="J296" s="28"/>
      <c r="K296" s="29">
        <v>446280.0</v>
      </c>
      <c r="L296" s="30">
        <v>435200.0</v>
      </c>
      <c r="M296" s="49">
        <v>460000.0</v>
      </c>
      <c r="N296" s="39"/>
      <c r="O296" s="33"/>
      <c r="P296" s="40"/>
      <c r="Q296" s="35"/>
      <c r="R296" s="33"/>
      <c r="S296" s="33"/>
      <c r="T296" s="35"/>
      <c r="U296" s="35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</row>
    <row r="297">
      <c r="A297" s="621">
        <v>46036.0</v>
      </c>
      <c r="B297" s="622" t="s">
        <v>32</v>
      </c>
      <c r="C297" s="22">
        <v>1441540.0</v>
      </c>
      <c r="D297" s="23">
        <v>321900.0</v>
      </c>
      <c r="E297" s="24"/>
      <c r="F297" s="204"/>
      <c r="G297" s="26">
        <v>197400.0</v>
      </c>
      <c r="H297" s="27">
        <v>73400.0</v>
      </c>
      <c r="I297" s="27"/>
      <c r="J297" s="28"/>
      <c r="K297" s="29">
        <v>602650.0</v>
      </c>
      <c r="L297" s="30">
        <v>554290.0</v>
      </c>
      <c r="M297" s="49">
        <v>470000.0</v>
      </c>
      <c r="N297" s="39"/>
      <c r="O297" s="33"/>
      <c r="P297" s="40"/>
      <c r="Q297" s="35"/>
      <c r="R297" s="33"/>
      <c r="S297" s="33"/>
      <c r="T297" s="35"/>
      <c r="U297" s="35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</row>
    <row r="298">
      <c r="A298" s="621">
        <v>46037.0</v>
      </c>
      <c r="B298" s="622" t="s">
        <v>24</v>
      </c>
      <c r="C298" s="22">
        <v>912453.0</v>
      </c>
      <c r="D298" s="23">
        <v>259250.0</v>
      </c>
      <c r="E298" s="24"/>
      <c r="F298" s="204"/>
      <c r="G298" s="26">
        <v>191750.0</v>
      </c>
      <c r="H298" s="27">
        <v>27000.0</v>
      </c>
      <c r="I298" s="27"/>
      <c r="J298" s="28"/>
      <c r="K298" s="29">
        <v>382450.0</v>
      </c>
      <c r="L298" s="30">
        <v>308453.0</v>
      </c>
      <c r="M298" s="49">
        <v>350000.0</v>
      </c>
      <c r="N298" s="39"/>
      <c r="O298" s="33"/>
      <c r="P298" s="40"/>
      <c r="Q298" s="35"/>
      <c r="R298" s="33"/>
      <c r="S298" s="33"/>
      <c r="T298" s="35"/>
      <c r="U298" s="35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</row>
    <row r="299">
      <c r="A299" s="621">
        <v>46038.0</v>
      </c>
      <c r="B299" s="622" t="s">
        <v>25</v>
      </c>
      <c r="C299" s="22">
        <v>1620295.0</v>
      </c>
      <c r="D299" s="23">
        <v>593960.0</v>
      </c>
      <c r="E299" s="24"/>
      <c r="F299" s="204"/>
      <c r="G299" s="26">
        <v>276500.0</v>
      </c>
      <c r="H299" s="27">
        <v>296560.0</v>
      </c>
      <c r="I299" s="27"/>
      <c r="J299" s="28"/>
      <c r="K299" s="29">
        <v>592235.0</v>
      </c>
      <c r="L299" s="30">
        <v>434100.0</v>
      </c>
      <c r="M299" s="49">
        <v>400000.0</v>
      </c>
      <c r="N299" s="32"/>
      <c r="O299" s="33"/>
      <c r="P299" s="40"/>
      <c r="Q299" s="35"/>
      <c r="R299" s="33"/>
      <c r="S299" s="33"/>
      <c r="T299" s="35"/>
      <c r="U299" s="35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</row>
    <row r="300">
      <c r="A300" s="621">
        <v>46039.0</v>
      </c>
      <c r="B300" s="622" t="s">
        <v>33</v>
      </c>
      <c r="C300" s="22">
        <f>418740+338919</f>
        <v>757659</v>
      </c>
      <c r="D300" s="23">
        <f>135620+113099</f>
        <v>248719</v>
      </c>
      <c r="E300" s="24"/>
      <c r="F300" s="204"/>
      <c r="G300" s="26">
        <f>97320+60099</f>
        <v>157419</v>
      </c>
      <c r="H300" s="27">
        <f>38300+53000</f>
        <v>91300</v>
      </c>
      <c r="I300" s="27"/>
      <c r="J300" s="28"/>
      <c r="K300" s="29">
        <f>101720+78800</f>
        <v>180520</v>
      </c>
      <c r="L300" s="30">
        <f>181400+147020</f>
        <v>328420</v>
      </c>
      <c r="M300" s="49">
        <v>240000.0</v>
      </c>
      <c r="N300" s="32"/>
      <c r="O300" s="33"/>
      <c r="P300" s="40"/>
      <c r="Q300" s="35"/>
      <c r="R300" s="33"/>
      <c r="S300" s="33"/>
      <c r="T300" s="35"/>
      <c r="U300" s="35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</row>
    <row r="301">
      <c r="A301" s="623">
        <v>46040.0</v>
      </c>
      <c r="B301" s="624" t="s">
        <v>27</v>
      </c>
      <c r="C301" s="49">
        <v>419480.0</v>
      </c>
      <c r="D301" s="49">
        <v>127900.0</v>
      </c>
      <c r="E301" s="49"/>
      <c r="F301" s="49"/>
      <c r="G301" s="49">
        <v>110500.0</v>
      </c>
      <c r="H301" s="49">
        <v>46400.0</v>
      </c>
      <c r="I301" s="49"/>
      <c r="J301" s="49"/>
      <c r="K301" s="49">
        <v>90300.0</v>
      </c>
      <c r="L301" s="49">
        <v>172280.0</v>
      </c>
      <c r="M301" s="49">
        <v>160000.0</v>
      </c>
      <c r="N301" s="32"/>
      <c r="O301" s="33"/>
      <c r="P301" s="40"/>
      <c r="Q301" s="35"/>
      <c r="R301" s="33"/>
      <c r="S301" s="33"/>
      <c r="T301" s="35"/>
      <c r="U301" s="35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</row>
    <row r="302">
      <c r="A302" s="621">
        <v>46041.0</v>
      </c>
      <c r="B302" s="622" t="s">
        <v>21</v>
      </c>
      <c r="C302" s="22">
        <f>1031840+497990</f>
        <v>1529830</v>
      </c>
      <c r="D302" s="23">
        <f>521400+200800</f>
        <v>722200</v>
      </c>
      <c r="E302" s="24"/>
      <c r="F302" s="204"/>
      <c r="G302" s="26">
        <f>296200+173600</f>
        <v>469800</v>
      </c>
      <c r="H302" s="27">
        <f>225200+27200</f>
        <v>252400</v>
      </c>
      <c r="I302" s="27"/>
      <c r="J302" s="28"/>
      <c r="K302" s="29">
        <f>247800+60100</f>
        <v>307900</v>
      </c>
      <c r="L302" s="30">
        <f>262640+237090</f>
        <v>499730</v>
      </c>
      <c r="M302" s="31">
        <f>250000+300000</f>
        <v>550000</v>
      </c>
      <c r="N302" s="32"/>
      <c r="O302" s="33"/>
      <c r="P302" s="40"/>
      <c r="Q302" s="35"/>
      <c r="R302" s="33"/>
      <c r="S302" s="33"/>
      <c r="T302" s="35"/>
      <c r="U302" s="35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</row>
    <row r="303">
      <c r="A303" s="621">
        <v>46042.0</v>
      </c>
      <c r="B303" s="622" t="s">
        <v>22</v>
      </c>
      <c r="C303" s="22">
        <f>1133150+496540</f>
        <v>1629690</v>
      </c>
      <c r="D303" s="23">
        <f>474860+75400</f>
        <v>550260</v>
      </c>
      <c r="E303" s="24"/>
      <c r="F303" s="204"/>
      <c r="G303" s="26">
        <f>272200+75400</f>
        <v>347600</v>
      </c>
      <c r="H303" s="27">
        <f>177300</f>
        <v>177300</v>
      </c>
      <c r="I303" s="27"/>
      <c r="J303" s="28"/>
      <c r="K303" s="29">
        <f>322500+194600</f>
        <v>517100</v>
      </c>
      <c r="L303" s="30">
        <f>361150+226540</f>
        <v>587690</v>
      </c>
      <c r="M303" s="31">
        <f>300000+250000</f>
        <v>550000</v>
      </c>
      <c r="N303" s="39"/>
      <c r="O303" s="33"/>
      <c r="P303" s="40"/>
      <c r="Q303" s="35"/>
      <c r="R303" s="33"/>
      <c r="S303" s="33"/>
      <c r="T303" s="35"/>
      <c r="U303" s="35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</row>
    <row r="304">
      <c r="A304" s="621">
        <v>46043.0</v>
      </c>
      <c r="B304" s="622" t="s">
        <v>32</v>
      </c>
      <c r="C304" s="22">
        <f>702860+350602</f>
        <v>1053462</v>
      </c>
      <c r="D304" s="23">
        <f>238810+121700</f>
        <v>360510</v>
      </c>
      <c r="E304" s="24"/>
      <c r="F304" s="204"/>
      <c r="G304" s="26">
        <f>136700+108400</f>
        <v>245100</v>
      </c>
      <c r="H304" s="27">
        <f>91310+13300</f>
        <v>104610</v>
      </c>
      <c r="I304" s="27"/>
      <c r="J304" s="28"/>
      <c r="K304" s="29">
        <f>312400+111500</f>
        <v>423900</v>
      </c>
      <c r="L304" s="30">
        <f>162450+117402</f>
        <v>279852</v>
      </c>
      <c r="M304" s="31">
        <f>140000+140000</f>
        <v>280000</v>
      </c>
      <c r="N304" s="32"/>
      <c r="O304" s="33"/>
      <c r="P304" s="40"/>
      <c r="Q304" s="35"/>
      <c r="R304" s="33"/>
      <c r="S304" s="33"/>
      <c r="T304" s="35"/>
      <c r="U304" s="35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</row>
    <row r="305">
      <c r="A305" s="621">
        <v>46044.0</v>
      </c>
      <c r="B305" s="622" t="s">
        <v>24</v>
      </c>
      <c r="C305" s="22">
        <f>801840+431510</f>
        <v>1233350</v>
      </c>
      <c r="D305" s="23">
        <f>400400+172280</f>
        <v>572680</v>
      </c>
      <c r="E305" s="24"/>
      <c r="F305" s="204"/>
      <c r="G305" s="26">
        <f>199800+106160</f>
        <v>305960</v>
      </c>
      <c r="H305" s="27">
        <f>143100+37500</f>
        <v>180600</v>
      </c>
      <c r="I305" s="27"/>
      <c r="J305" s="28"/>
      <c r="K305" s="29">
        <f>227100+95300</f>
        <v>322400</v>
      </c>
      <c r="L305" s="30">
        <f>2318406+192550</f>
        <v>2510956</v>
      </c>
      <c r="M305" s="31">
        <f>200000+200000</f>
        <v>400000</v>
      </c>
      <c r="N305" s="39"/>
      <c r="O305" s="33"/>
      <c r="P305" s="40"/>
      <c r="Q305" s="35"/>
      <c r="R305" s="33"/>
      <c r="S305" s="33"/>
      <c r="T305" s="35"/>
      <c r="U305" s="35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</row>
    <row r="306">
      <c r="A306" s="621">
        <v>46045.0</v>
      </c>
      <c r="B306" s="622" t="s">
        <v>25</v>
      </c>
      <c r="C306" s="22">
        <f>619000+508660</f>
        <v>1127660</v>
      </c>
      <c r="D306" s="23">
        <f>173000+201300</f>
        <v>374300</v>
      </c>
      <c r="E306" s="24"/>
      <c r="F306" s="204"/>
      <c r="G306" s="26">
        <f>31700+172900</f>
        <v>204600</v>
      </c>
      <c r="H306" s="27">
        <f>57800+28400</f>
        <v>86200</v>
      </c>
      <c r="I306" s="27"/>
      <c r="J306" s="28"/>
      <c r="K306" s="29">
        <f>349400+159900</f>
        <v>509300</v>
      </c>
      <c r="L306" s="30">
        <f>181000+147460</f>
        <v>328460</v>
      </c>
      <c r="M306" s="49">
        <f>170000+100000</f>
        <v>270000</v>
      </c>
      <c r="N306" s="32"/>
      <c r="O306" s="33"/>
      <c r="P306" s="40"/>
      <c r="Q306" s="35"/>
      <c r="R306" s="33"/>
      <c r="S306" s="33"/>
      <c r="T306" s="35"/>
      <c r="U306" s="35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</row>
    <row r="307">
      <c r="A307" s="621">
        <v>46046.0</v>
      </c>
      <c r="B307" s="622" t="s">
        <v>33</v>
      </c>
      <c r="C307" s="22">
        <f>362110+291740</f>
        <v>653850</v>
      </c>
      <c r="D307" s="23">
        <f>157600+48000</f>
        <v>205600</v>
      </c>
      <c r="E307" s="24"/>
      <c r="F307" s="204"/>
      <c r="G307" s="26">
        <f>126400+48000</f>
        <v>174400</v>
      </c>
      <c r="H307" s="27">
        <f>24300+17600</f>
        <v>41900</v>
      </c>
      <c r="I307" s="27"/>
      <c r="J307" s="28"/>
      <c r="K307" s="29">
        <f>49600+81200</f>
        <v>130800</v>
      </c>
      <c r="L307" s="30">
        <f>161810+144940</f>
        <v>306750</v>
      </c>
      <c r="M307" s="31">
        <f>160000+190000</f>
        <v>350000</v>
      </c>
      <c r="N307" s="32"/>
      <c r="O307" s="33"/>
      <c r="P307" s="40"/>
      <c r="Q307" s="35"/>
      <c r="R307" s="33"/>
      <c r="S307" s="33"/>
      <c r="T307" s="35"/>
      <c r="U307" s="35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</row>
    <row r="308">
      <c r="A308" s="623">
        <v>46047.0</v>
      </c>
      <c r="B308" s="624" t="s">
        <v>27</v>
      </c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31"/>
      <c r="N308" s="39"/>
      <c r="O308" s="33"/>
      <c r="P308" s="40"/>
      <c r="Q308" s="35"/>
      <c r="R308" s="33"/>
      <c r="S308" s="33"/>
      <c r="T308" s="35"/>
      <c r="U308" s="35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</row>
    <row r="309">
      <c r="A309" s="621">
        <v>46048.0</v>
      </c>
      <c r="B309" s="622" t="s">
        <v>21</v>
      </c>
      <c r="C309" s="22">
        <f>754900+408390</f>
        <v>1163290</v>
      </c>
      <c r="D309" s="23">
        <f>397700+173300</f>
        <v>571000</v>
      </c>
      <c r="E309" s="24"/>
      <c r="F309" s="204"/>
      <c r="G309" s="26">
        <f>208100+150800</f>
        <v>358900</v>
      </c>
      <c r="H309" s="27">
        <f>189800+22500</f>
        <v>212300</v>
      </c>
      <c r="I309" s="27"/>
      <c r="J309" s="28"/>
      <c r="K309" s="29">
        <f>162600+52300</f>
        <v>214900</v>
      </c>
      <c r="L309" s="30">
        <f>194400+182790</f>
        <v>377190</v>
      </c>
      <c r="M309" s="31">
        <f>                                                                                                                                                                 180000+130000</f>
        <v>310000</v>
      </c>
      <c r="N309" s="32"/>
      <c r="O309" s="33"/>
      <c r="P309" s="40"/>
      <c r="Q309" s="35"/>
      <c r="R309" s="33"/>
      <c r="S309" s="33"/>
      <c r="T309" s="35"/>
      <c r="U309" s="35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</row>
    <row r="310">
      <c r="A310" s="621">
        <v>46049.0</v>
      </c>
      <c r="B310" s="622" t="s">
        <v>22</v>
      </c>
      <c r="C310" s="22">
        <f>957990+353820</f>
        <v>1311810</v>
      </c>
      <c r="D310" s="23">
        <f>305800+38500</f>
        <v>344300</v>
      </c>
      <c r="E310" s="24"/>
      <c r="F310" s="25"/>
      <c r="G310" s="35">
        <f>132200+38500</f>
        <v>170700</v>
      </c>
      <c r="H310" s="27">
        <f>173600</f>
        <v>173600</v>
      </c>
      <c r="I310" s="27"/>
      <c r="J310" s="28"/>
      <c r="K310" s="29">
        <f>353000+161100</f>
        <v>514100</v>
      </c>
      <c r="L310" s="30">
        <f>299190+154220</f>
        <v>453410</v>
      </c>
      <c r="M310" s="31">
        <f>280000+90000</f>
        <v>370000</v>
      </c>
      <c r="N310" s="39"/>
      <c r="O310" s="33"/>
      <c r="P310" s="40"/>
      <c r="Q310" s="35"/>
      <c r="R310" s="33"/>
      <c r="S310" s="33"/>
      <c r="T310" s="35"/>
      <c r="U310" s="35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</row>
    <row r="311">
      <c r="A311" s="621">
        <v>46050.0</v>
      </c>
      <c r="B311" s="622" t="s">
        <v>32</v>
      </c>
      <c r="C311" s="22">
        <f>783090+511500</f>
        <v>1294590</v>
      </c>
      <c r="D311" s="101">
        <f>274400+255200</f>
        <v>529600</v>
      </c>
      <c r="E311" s="119"/>
      <c r="F311" s="120"/>
      <c r="G311" s="26">
        <f>250400+218100</f>
        <v>468500</v>
      </c>
      <c r="H311" s="122">
        <f>24000</f>
        <v>24000</v>
      </c>
      <c r="I311" s="122"/>
      <c r="J311" s="123"/>
      <c r="K311" s="29">
        <f>232300+37100</f>
        <v>269400</v>
      </c>
      <c r="L311" s="30">
        <f>276390+256300</f>
        <v>532690</v>
      </c>
      <c r="M311" s="625">
        <f>230000+250000</f>
        <v>480000</v>
      </c>
      <c r="N311" s="32"/>
      <c r="O311" s="33"/>
      <c r="P311" s="40"/>
      <c r="Q311" s="35"/>
      <c r="R311" s="33"/>
      <c r="S311" s="33"/>
      <c r="T311" s="35"/>
      <c r="U311" s="35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</row>
    <row r="312">
      <c r="A312" s="621">
        <v>46051.0</v>
      </c>
      <c r="B312" s="622" t="s">
        <v>24</v>
      </c>
      <c r="C312" s="22">
        <f>868830+584090</f>
        <v>1452920</v>
      </c>
      <c r="D312" s="23">
        <f>280880+186200</f>
        <v>467080</v>
      </c>
      <c r="E312" s="24"/>
      <c r="F312" s="25"/>
      <c r="G312" s="26">
        <f>219880+139300</f>
        <v>359180</v>
      </c>
      <c r="H312" s="27">
        <f>24000+33400</f>
        <v>57400</v>
      </c>
      <c r="I312" s="27"/>
      <c r="J312" s="28"/>
      <c r="K312" s="29">
        <f>374460+205990</f>
        <v>580450</v>
      </c>
      <c r="L312" s="30">
        <f>250490+205400</f>
        <v>455890</v>
      </c>
      <c r="M312" s="31">
        <f>250000+200000</f>
        <v>450000</v>
      </c>
      <c r="N312" s="166"/>
      <c r="O312" s="33"/>
      <c r="P312" s="40"/>
      <c r="Q312" s="35"/>
      <c r="R312" s="33"/>
      <c r="S312" s="33"/>
      <c r="T312" s="35"/>
      <c r="U312" s="35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</row>
    <row r="313">
      <c r="A313" s="621">
        <v>46052.0</v>
      </c>
      <c r="B313" s="622" t="s">
        <v>25</v>
      </c>
      <c r="C313" s="22">
        <f>776485+424400</f>
        <v>1200885</v>
      </c>
      <c r="D313" s="23">
        <f>244800+258400</f>
        <v>503200</v>
      </c>
      <c r="E313" s="24"/>
      <c r="F313" s="25"/>
      <c r="G313" s="26">
        <f>57300+205400</f>
        <v>262700</v>
      </c>
      <c r="H313" s="27">
        <f>187500+28000</f>
        <v>215500</v>
      </c>
      <c r="I313" s="27"/>
      <c r="J313" s="28"/>
      <c r="K313" s="29">
        <f>283780+41600</f>
        <v>325380</v>
      </c>
      <c r="L313" s="30">
        <f>247905+149400</f>
        <v>397305</v>
      </c>
      <c r="M313" s="31">
        <f>110000+200000</f>
        <v>310000</v>
      </c>
      <c r="N313" s="32"/>
      <c r="O313" s="34"/>
      <c r="P313" s="40"/>
      <c r="Q313" s="35"/>
      <c r="R313" s="33"/>
      <c r="S313" s="33"/>
      <c r="T313" s="34"/>
      <c r="U313" s="34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</row>
    <row r="314">
      <c r="A314" s="621">
        <v>46053.0</v>
      </c>
      <c r="B314" s="622" t="s">
        <v>33</v>
      </c>
      <c r="C314" s="22">
        <f>318310+481500</f>
        <v>799810</v>
      </c>
      <c r="D314" s="23">
        <f>82600+226800</f>
        <v>309400</v>
      </c>
      <c r="E314" s="24"/>
      <c r="F314" s="25"/>
      <c r="G314" s="26">
        <f>82600+183700</f>
        <v>266300</v>
      </c>
      <c r="H314" s="27"/>
      <c r="I314" s="27"/>
      <c r="J314" s="28"/>
      <c r="K314" s="29">
        <f>97200+73800</f>
        <v>171000</v>
      </c>
      <c r="L314" s="30">
        <f>138510+180900</f>
        <v>319410</v>
      </c>
      <c r="M314" s="31">
        <f>150000+130000</f>
        <v>280000</v>
      </c>
      <c r="N314" s="39"/>
      <c r="O314" s="33"/>
      <c r="P314" s="40"/>
      <c r="Q314" s="35"/>
      <c r="R314" s="33"/>
      <c r="S314" s="33"/>
      <c r="T314" s="35"/>
      <c r="U314" s="35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</row>
    <row r="315">
      <c r="A315" s="626" t="s">
        <v>28</v>
      </c>
      <c r="B315" s="627"/>
      <c r="C315" s="73">
        <f t="shared" ref="C315:D315" si="5">SUM(C285:C314)</f>
        <v>32954548</v>
      </c>
      <c r="D315" s="73">
        <f t="shared" si="5"/>
        <v>11042429</v>
      </c>
      <c r="E315" s="73"/>
      <c r="F315" s="73"/>
      <c r="G315" s="73">
        <f t="shared" ref="G315:H315" si="6">SUM(G285:G314)</f>
        <v>7566489</v>
      </c>
      <c r="H315" s="73">
        <f t="shared" si="6"/>
        <v>3018430</v>
      </c>
      <c r="I315" s="73"/>
      <c r="J315" s="73"/>
      <c r="K315" s="73">
        <f t="shared" ref="K315:M315" si="7">SUM(K285:K314)</f>
        <v>10485527</v>
      </c>
      <c r="L315" s="73">
        <f t="shared" si="7"/>
        <v>13653373</v>
      </c>
      <c r="M315" s="73">
        <f t="shared" si="7"/>
        <v>10500000</v>
      </c>
      <c r="N315" s="73"/>
      <c r="O315" s="33"/>
      <c r="P315" s="40"/>
      <c r="Q315" s="35"/>
      <c r="R315" s="33"/>
      <c r="S315" s="33"/>
      <c r="T315" s="35"/>
      <c r="U315" s="35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</row>
    <row r="316">
      <c r="A316" s="628">
        <v>46055.0</v>
      </c>
      <c r="B316" s="622" t="s">
        <v>21</v>
      </c>
      <c r="C316" s="22">
        <f>1126430+326190</f>
        <v>1452620</v>
      </c>
      <c r="D316" s="23">
        <f>350330+60700</f>
        <v>411030</v>
      </c>
      <c r="E316" s="24"/>
      <c r="F316" s="25"/>
      <c r="G316" s="26">
        <f>203500+60700</f>
        <v>264200</v>
      </c>
      <c r="H316" s="27">
        <f>300210</f>
        <v>300210</v>
      </c>
      <c r="I316" s="27"/>
      <c r="J316" s="28"/>
      <c r="K316" s="29">
        <f>439300+73800</f>
        <v>513100</v>
      </c>
      <c r="L316" s="30">
        <f>183420+191690</f>
        <v>375110</v>
      </c>
      <c r="M316" s="31">
        <f>220000+200000</f>
        <v>420000</v>
      </c>
      <c r="N316" s="32"/>
      <c r="O316" s="33"/>
      <c r="P316" s="40"/>
      <c r="Q316" s="35"/>
      <c r="R316" s="33"/>
      <c r="S316" s="33"/>
      <c r="T316" s="35"/>
      <c r="U316" s="35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</row>
    <row r="317">
      <c r="A317" s="628">
        <v>46056.0</v>
      </c>
      <c r="B317" s="622" t="s">
        <v>22</v>
      </c>
      <c r="C317" s="22">
        <f>1347980+133970</f>
        <v>1481950</v>
      </c>
      <c r="D317" s="23">
        <f>259530+5300</f>
        <v>264830</v>
      </c>
      <c r="E317" s="24"/>
      <c r="F317" s="25"/>
      <c r="G317" s="26">
        <f>239200+5300</f>
        <v>244500</v>
      </c>
      <c r="H317" s="27">
        <f>324010+15800</f>
        <v>339810</v>
      </c>
      <c r="I317" s="27"/>
      <c r="J317" s="28"/>
      <c r="K317" s="29">
        <f>550320+62500</f>
        <v>612820</v>
      </c>
      <c r="L317" s="30">
        <f>234450+50370</f>
        <v>284820</v>
      </c>
      <c r="M317" s="31">
        <f>200000+70000</f>
        <v>270000</v>
      </c>
      <c r="N317" s="32"/>
      <c r="O317" s="33"/>
      <c r="P317" s="40"/>
      <c r="Q317" s="35"/>
      <c r="R317" s="33"/>
      <c r="S317" s="33"/>
      <c r="T317" s="35"/>
      <c r="U317" s="35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</row>
    <row r="318">
      <c r="A318" s="628">
        <v>46057.0</v>
      </c>
      <c r="B318" s="622" t="s">
        <v>32</v>
      </c>
      <c r="C318" s="22">
        <v>1910620.0</v>
      </c>
      <c r="D318" s="23">
        <v>665650.0</v>
      </c>
      <c r="E318" s="24"/>
      <c r="F318" s="25"/>
      <c r="G318" s="26">
        <v>429010.0</v>
      </c>
      <c r="H318" s="27">
        <v>63200.0</v>
      </c>
      <c r="I318" s="27"/>
      <c r="J318" s="28"/>
      <c r="K318" s="29">
        <v>711460.0</v>
      </c>
      <c r="L318" s="30">
        <v>539440.0</v>
      </c>
      <c r="M318" s="49">
        <v>480000.0</v>
      </c>
      <c r="N318" s="39"/>
      <c r="O318" s="33"/>
      <c r="P318" s="40"/>
      <c r="Q318" s="35"/>
      <c r="R318" s="33"/>
      <c r="S318" s="33"/>
      <c r="T318" s="35"/>
      <c r="U318" s="35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</row>
    <row r="319">
      <c r="A319" s="628">
        <v>46058.0</v>
      </c>
      <c r="B319" s="622" t="s">
        <v>24</v>
      </c>
      <c r="C319" s="22">
        <f>1354420</f>
        <v>1354420</v>
      </c>
      <c r="D319" s="23">
        <v>366400.0</v>
      </c>
      <c r="E319" s="24"/>
      <c r="F319" s="25"/>
      <c r="G319" s="26">
        <v>221700.0</v>
      </c>
      <c r="H319" s="27">
        <v>304000.0</v>
      </c>
      <c r="I319" s="27"/>
      <c r="J319" s="28"/>
      <c r="K319" s="29">
        <v>403820.0</v>
      </c>
      <c r="L319" s="30">
        <v>461800.0</v>
      </c>
      <c r="M319" s="49">
        <f>400000+60000</f>
        <v>460000</v>
      </c>
      <c r="N319" s="32"/>
      <c r="O319" s="33"/>
      <c r="P319" s="40"/>
      <c r="Q319" s="35"/>
      <c r="R319" s="33"/>
      <c r="S319" s="33"/>
      <c r="T319" s="35"/>
      <c r="U319" s="35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</row>
    <row r="320">
      <c r="A320" s="628">
        <v>46059.0</v>
      </c>
      <c r="B320" s="622" t="s">
        <v>25</v>
      </c>
      <c r="C320" s="22">
        <v>1150500.0</v>
      </c>
      <c r="D320" s="23">
        <v>116100.0</v>
      </c>
      <c r="E320" s="24"/>
      <c r="F320" s="25"/>
      <c r="G320" s="26">
        <v>88600.0</v>
      </c>
      <c r="H320" s="27">
        <v>79800.0</v>
      </c>
      <c r="I320" s="27"/>
      <c r="J320" s="28"/>
      <c r="K320" s="29">
        <v>387830.0</v>
      </c>
      <c r="L320" s="30">
        <v>594270.0</v>
      </c>
      <c r="M320" s="31">
        <f>500000</f>
        <v>500000</v>
      </c>
      <c r="N320" s="32"/>
      <c r="O320" s="33"/>
      <c r="P320" s="40"/>
      <c r="Q320" s="35"/>
      <c r="R320" s="33"/>
      <c r="S320" s="33"/>
      <c r="T320" s="35"/>
      <c r="U320" s="35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</row>
    <row r="321">
      <c r="A321" s="628">
        <v>46060.0</v>
      </c>
      <c r="B321" s="622" t="s">
        <v>33</v>
      </c>
      <c r="C321" s="22">
        <v>1334190.0</v>
      </c>
      <c r="D321" s="23">
        <v>227310.0</v>
      </c>
      <c r="E321" s="24"/>
      <c r="F321" s="25"/>
      <c r="G321" s="26">
        <v>227310.0</v>
      </c>
      <c r="H321" s="27">
        <v>340000.0</v>
      </c>
      <c r="I321" s="27"/>
      <c r="J321" s="28"/>
      <c r="K321" s="29">
        <v>279060.0</v>
      </c>
      <c r="L321" s="30">
        <v>413520.0</v>
      </c>
      <c r="M321" s="31">
        <f>150000+300000</f>
        <v>450000</v>
      </c>
      <c r="N321" s="32"/>
      <c r="O321" s="33"/>
      <c r="P321" s="40"/>
      <c r="Q321" s="35"/>
      <c r="R321" s="33"/>
      <c r="S321" s="33"/>
      <c r="T321" s="35"/>
      <c r="U321" s="35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</row>
    <row r="322">
      <c r="A322" s="628">
        <v>46061.0</v>
      </c>
      <c r="B322" s="622" t="s">
        <v>27</v>
      </c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31"/>
      <c r="N322" s="39"/>
      <c r="O322" s="33"/>
      <c r="P322" s="40"/>
      <c r="Q322" s="35"/>
      <c r="R322" s="33"/>
      <c r="S322" s="33"/>
      <c r="T322" s="35"/>
      <c r="U322" s="35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</row>
    <row r="323">
      <c r="A323" s="628">
        <v>46062.0</v>
      </c>
      <c r="B323" s="622" t="s">
        <v>21</v>
      </c>
      <c r="C323" s="22">
        <v>1138540.0</v>
      </c>
      <c r="D323" s="23">
        <v>462690.0</v>
      </c>
      <c r="E323" s="24"/>
      <c r="F323" s="25"/>
      <c r="G323" s="26">
        <v>266380.0</v>
      </c>
      <c r="H323" s="27">
        <v>152000.0</v>
      </c>
      <c r="I323" s="27"/>
      <c r="J323" s="28"/>
      <c r="K323" s="29">
        <v>220910.0</v>
      </c>
      <c r="L323" s="30">
        <v>453250.0</v>
      </c>
      <c r="M323" s="31">
        <f>260000+200000</f>
        <v>460000</v>
      </c>
      <c r="N323" s="32"/>
      <c r="O323" s="33"/>
      <c r="P323" s="40"/>
      <c r="Q323" s="35"/>
      <c r="R323" s="33"/>
      <c r="S323" s="33"/>
      <c r="T323" s="35"/>
      <c r="U323" s="35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</row>
    <row r="324">
      <c r="A324" s="628">
        <v>46063.0</v>
      </c>
      <c r="B324" s="622" t="s">
        <v>22</v>
      </c>
      <c r="C324" s="22">
        <v>1230090.0</v>
      </c>
      <c r="D324" s="23">
        <v>177170.0</v>
      </c>
      <c r="E324" s="24"/>
      <c r="F324" s="25"/>
      <c r="G324" s="26">
        <v>106400.0</v>
      </c>
      <c r="H324" s="27">
        <v>165950.0</v>
      </c>
      <c r="I324" s="27"/>
      <c r="J324" s="28"/>
      <c r="K324" s="29">
        <v>456660.0</v>
      </c>
      <c r="L324" s="30">
        <v>463830.0</v>
      </c>
      <c r="M324" s="31">
        <f>200000+250000</f>
        <v>450000</v>
      </c>
      <c r="N324" s="39"/>
      <c r="O324" s="33"/>
      <c r="P324" s="40"/>
      <c r="Q324" s="35"/>
      <c r="R324" s="33"/>
      <c r="S324" s="33"/>
      <c r="T324" s="35"/>
      <c r="U324" s="35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</row>
    <row r="325">
      <c r="A325" s="628">
        <v>46064.0</v>
      </c>
      <c r="B325" s="622" t="s">
        <v>32</v>
      </c>
      <c r="C325" s="22">
        <v>1447620.0</v>
      </c>
      <c r="D325" s="23">
        <v>533000.0</v>
      </c>
      <c r="E325" s="24"/>
      <c r="F325" s="25"/>
      <c r="G325" s="26">
        <v>204300.0</v>
      </c>
      <c r="H325" s="27">
        <v>212500.0</v>
      </c>
      <c r="I325" s="27"/>
      <c r="J325" s="28"/>
      <c r="K325" s="29">
        <v>557300.0</v>
      </c>
      <c r="L325" s="30">
        <v>437720.0</v>
      </c>
      <c r="M325" s="31">
        <f>250000+170000</f>
        <v>420000</v>
      </c>
      <c r="N325" s="32"/>
      <c r="O325" s="33"/>
      <c r="P325" s="40"/>
      <c r="Q325" s="35"/>
      <c r="R325" s="33"/>
      <c r="S325" s="33"/>
      <c r="T325" s="35"/>
      <c r="U325" s="35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</row>
    <row r="326">
      <c r="A326" s="628">
        <v>46065.0</v>
      </c>
      <c r="B326" s="622" t="s">
        <v>24</v>
      </c>
      <c r="C326" s="22">
        <v>1019730.0</v>
      </c>
      <c r="D326" s="23">
        <v>226520.0</v>
      </c>
      <c r="E326" s="24"/>
      <c r="F326" s="25"/>
      <c r="G326" s="26">
        <v>123100.0</v>
      </c>
      <c r="H326" s="27">
        <v>213320.0</v>
      </c>
      <c r="I326" s="27"/>
      <c r="J326" s="28"/>
      <c r="K326" s="29">
        <v>349380.0</v>
      </c>
      <c r="L326" s="30">
        <v>346630.0</v>
      </c>
      <c r="M326" s="31">
        <f>100000+220000</f>
        <v>320000</v>
      </c>
      <c r="N326" s="32"/>
      <c r="O326" s="33"/>
      <c r="P326" s="40"/>
      <c r="Q326" s="35"/>
      <c r="R326" s="33"/>
      <c r="S326" s="33"/>
      <c r="T326" s="35"/>
      <c r="U326" s="35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</row>
    <row r="327">
      <c r="A327" s="628">
        <v>46066.0</v>
      </c>
      <c r="B327" s="622" t="s">
        <v>25</v>
      </c>
      <c r="C327" s="22">
        <v>1307895.0</v>
      </c>
      <c r="D327" s="23">
        <v>422800.0</v>
      </c>
      <c r="E327" s="24"/>
      <c r="F327" s="25"/>
      <c r="G327" s="26">
        <v>172800.0</v>
      </c>
      <c r="H327" s="27">
        <v>244900.0</v>
      </c>
      <c r="I327" s="27"/>
      <c r="J327" s="28"/>
      <c r="K327" s="29">
        <v>358415.0</v>
      </c>
      <c r="L327" s="30">
        <v>5317820.0</v>
      </c>
      <c r="M327" s="31">
        <f>150000+220000+100000</f>
        <v>470000</v>
      </c>
      <c r="N327" s="32"/>
      <c r="O327" s="35" t="s">
        <v>2148</v>
      </c>
      <c r="P327" s="40"/>
      <c r="Q327" s="35"/>
      <c r="R327" s="33"/>
      <c r="S327" s="33"/>
      <c r="T327" s="35"/>
      <c r="U327" s="35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</row>
    <row r="328">
      <c r="A328" s="628">
        <v>46067.0</v>
      </c>
      <c r="B328" s="622" t="s">
        <v>33</v>
      </c>
      <c r="C328" s="22">
        <v>595270.0</v>
      </c>
      <c r="D328" s="23">
        <v>221890.0</v>
      </c>
      <c r="E328" s="24"/>
      <c r="F328" s="25"/>
      <c r="G328" s="26">
        <v>182000.0</v>
      </c>
      <c r="H328" s="27">
        <v>51790.0</v>
      </c>
      <c r="I328" s="27"/>
      <c r="J328" s="28"/>
      <c r="K328" s="29">
        <v>158900.0</v>
      </c>
      <c r="L328" s="30">
        <v>202580.0</v>
      </c>
      <c r="M328" s="31">
        <f>120000+150000</f>
        <v>270000</v>
      </c>
      <c r="N328" s="32"/>
      <c r="O328" s="33"/>
      <c r="P328" s="40"/>
      <c r="Q328" s="35"/>
      <c r="R328" s="33"/>
      <c r="S328" s="33"/>
      <c r="T328" s="35"/>
      <c r="U328" s="35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</row>
    <row r="329">
      <c r="A329" s="628">
        <v>46068.0</v>
      </c>
      <c r="B329" s="622" t="s">
        <v>27</v>
      </c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31"/>
      <c r="N329" s="32"/>
      <c r="O329" s="33"/>
      <c r="P329" s="40"/>
      <c r="Q329" s="35"/>
      <c r="R329" s="33"/>
      <c r="S329" s="33"/>
      <c r="T329" s="35"/>
      <c r="U329" s="35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</row>
    <row r="330">
      <c r="A330" s="628">
        <v>46069.0</v>
      </c>
      <c r="B330" s="622" t="s">
        <v>21</v>
      </c>
      <c r="C330" s="22"/>
      <c r="D330" s="23"/>
      <c r="E330" s="24"/>
      <c r="F330" s="25"/>
      <c r="G330" s="26"/>
      <c r="H330" s="27"/>
      <c r="I330" s="27"/>
      <c r="J330" s="28"/>
      <c r="K330" s="29"/>
      <c r="L330" s="30"/>
      <c r="M330" s="31"/>
      <c r="N330" s="32"/>
      <c r="O330" s="35" t="s">
        <v>2137</v>
      </c>
      <c r="P330" s="40"/>
      <c r="Q330" s="35"/>
      <c r="R330" s="33"/>
      <c r="S330" s="33"/>
      <c r="T330" s="35"/>
      <c r="U330" s="35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</row>
    <row r="331">
      <c r="A331" s="628">
        <v>46070.0</v>
      </c>
      <c r="B331" s="622" t="s">
        <v>22</v>
      </c>
      <c r="C331" s="22">
        <v>646500.0</v>
      </c>
      <c r="D331" s="23">
        <v>167680.0</v>
      </c>
      <c r="E331" s="24"/>
      <c r="F331" s="25"/>
      <c r="G331" s="26">
        <v>210100.0</v>
      </c>
      <c r="H331" s="27">
        <v>51400.0</v>
      </c>
      <c r="I331" s="27"/>
      <c r="J331" s="28"/>
      <c r="K331" s="29">
        <v>111300.0</v>
      </c>
      <c r="L331" s="30">
        <v>273700.0</v>
      </c>
      <c r="M331" s="49">
        <v>290000.0</v>
      </c>
      <c r="N331" s="32"/>
      <c r="O331" s="35" t="s">
        <v>2137</v>
      </c>
      <c r="P331" s="40"/>
      <c r="Q331" s="35"/>
      <c r="R331" s="33"/>
      <c r="S331" s="33"/>
      <c r="T331" s="35"/>
      <c r="U331" s="35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</row>
    <row r="332">
      <c r="A332" s="628">
        <v>46071.0</v>
      </c>
      <c r="B332" s="622" t="s">
        <v>32</v>
      </c>
      <c r="C332" s="22">
        <v>1261900.0</v>
      </c>
      <c r="D332" s="23">
        <v>345150.0</v>
      </c>
      <c r="E332" s="24"/>
      <c r="F332" s="25"/>
      <c r="G332" s="26">
        <v>197400.0</v>
      </c>
      <c r="H332" s="27">
        <v>184750.0</v>
      </c>
      <c r="I332" s="27"/>
      <c r="J332" s="28"/>
      <c r="K332" s="29">
        <v>403490.0</v>
      </c>
      <c r="L332" s="30">
        <v>453400.0</v>
      </c>
      <c r="M332" s="31">
        <f>230000+130000</f>
        <v>360000</v>
      </c>
      <c r="N332" s="39"/>
      <c r="O332" s="33"/>
      <c r="P332" s="40"/>
      <c r="Q332" s="35"/>
      <c r="R332" s="33"/>
      <c r="S332" s="33"/>
      <c r="T332" s="35"/>
      <c r="U332" s="35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</row>
    <row r="333">
      <c r="A333" s="628">
        <v>46072.0</v>
      </c>
      <c r="B333" s="622" t="s">
        <v>24</v>
      </c>
      <c r="C333" s="22">
        <v>482670.0</v>
      </c>
      <c r="D333" s="23">
        <v>67300.0</v>
      </c>
      <c r="E333" s="24"/>
      <c r="F333" s="25"/>
      <c r="G333" s="26">
        <v>67300.0</v>
      </c>
      <c r="H333" s="27">
        <v>116900.0</v>
      </c>
      <c r="I333" s="27"/>
      <c r="J333" s="28"/>
      <c r="K333" s="29">
        <v>106700.0</v>
      </c>
      <c r="L333" s="30">
        <v>191770.0</v>
      </c>
      <c r="M333" s="49">
        <v>150000.0</v>
      </c>
      <c r="N333" s="32"/>
      <c r="O333" s="35" t="s">
        <v>2149</v>
      </c>
      <c r="P333" s="40"/>
      <c r="Q333" s="35"/>
      <c r="R333" s="33"/>
      <c r="S333" s="33"/>
      <c r="T333" s="35"/>
      <c r="U333" s="35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</row>
    <row r="334">
      <c r="A334" s="628">
        <v>46073.0</v>
      </c>
      <c r="B334" s="622" t="s">
        <v>25</v>
      </c>
      <c r="C334" s="22">
        <v>1293635.0</v>
      </c>
      <c r="D334" s="23">
        <v>414500.0</v>
      </c>
      <c r="E334" s="24"/>
      <c r="F334" s="25"/>
      <c r="G334" s="26">
        <v>320100.0</v>
      </c>
      <c r="H334" s="27">
        <v>13800.0</v>
      </c>
      <c r="I334" s="27"/>
      <c r="J334" s="28"/>
      <c r="K334" s="29">
        <v>532595.0</v>
      </c>
      <c r="L334" s="30">
        <v>427140.0</v>
      </c>
      <c r="M334" s="31">
        <f>150000+250000</f>
        <v>400000</v>
      </c>
      <c r="N334" s="32"/>
      <c r="O334" s="33"/>
      <c r="P334" s="40"/>
      <c r="Q334" s="35"/>
      <c r="R334" s="33"/>
      <c r="S334" s="33"/>
      <c r="T334" s="35"/>
      <c r="U334" s="35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</row>
    <row r="335">
      <c r="A335" s="628">
        <v>46074.0</v>
      </c>
      <c r="B335" s="622" t="s">
        <v>33</v>
      </c>
      <c r="C335" s="22">
        <v>1206300.0</v>
      </c>
      <c r="D335" s="23">
        <v>406520.0</v>
      </c>
      <c r="E335" s="24"/>
      <c r="F335" s="25"/>
      <c r="G335" s="26">
        <v>190960.0</v>
      </c>
      <c r="H335" s="27">
        <v>367390.0</v>
      </c>
      <c r="I335" s="27"/>
      <c r="J335" s="28"/>
      <c r="K335" s="29">
        <v>337180.0</v>
      </c>
      <c r="L335" s="30">
        <v>310770.0</v>
      </c>
      <c r="M335" s="49">
        <v>220000.0</v>
      </c>
      <c r="N335" s="32"/>
      <c r="O335" s="33"/>
      <c r="P335" s="40"/>
      <c r="Q335" s="35"/>
      <c r="R335" s="33"/>
      <c r="S335" s="33"/>
      <c r="T335" s="35"/>
      <c r="U335" s="35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</row>
    <row r="336">
      <c r="A336" s="628">
        <v>46075.0</v>
      </c>
      <c r="B336" s="622" t="s">
        <v>27</v>
      </c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31"/>
      <c r="N336" s="39"/>
      <c r="O336" s="33"/>
      <c r="P336" s="40"/>
      <c r="Q336" s="35"/>
      <c r="R336" s="33"/>
      <c r="S336" s="33"/>
      <c r="T336" s="35"/>
      <c r="U336" s="35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</row>
    <row r="337">
      <c r="A337" s="628">
        <v>46076.0</v>
      </c>
      <c r="B337" s="622" t="s">
        <v>21</v>
      </c>
      <c r="C337" s="22">
        <v>1412460.0</v>
      </c>
      <c r="D337" s="23">
        <v>231240.0</v>
      </c>
      <c r="E337" s="24"/>
      <c r="F337" s="25"/>
      <c r="G337" s="26">
        <v>174640.0</v>
      </c>
      <c r="H337" s="27">
        <v>98700.0</v>
      </c>
      <c r="I337" s="27"/>
      <c r="J337" s="28"/>
      <c r="K337" s="29">
        <v>616580.0</v>
      </c>
      <c r="L337" s="30">
        <v>535440.0</v>
      </c>
      <c r="M337" s="31">
        <f>340000+200000</f>
        <v>540000</v>
      </c>
      <c r="N337" s="32"/>
      <c r="O337" s="33"/>
      <c r="P337" s="40"/>
      <c r="Q337" s="35"/>
      <c r="R337" s="33"/>
      <c r="S337" s="33"/>
      <c r="T337" s="35"/>
      <c r="U337" s="35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</row>
    <row r="338">
      <c r="A338" s="628">
        <v>46077.0</v>
      </c>
      <c r="B338" s="622" t="s">
        <v>22</v>
      </c>
      <c r="C338" s="22">
        <v>1403875.0</v>
      </c>
      <c r="D338" s="23">
        <v>395665.0</v>
      </c>
      <c r="E338" s="24"/>
      <c r="F338" s="25"/>
      <c r="G338" s="26">
        <v>316460.0</v>
      </c>
      <c r="H338" s="27">
        <v>98985.0</v>
      </c>
      <c r="I338" s="27"/>
      <c r="J338" s="28"/>
      <c r="K338" s="29">
        <v>619570.0</v>
      </c>
      <c r="L338" s="30">
        <v>357860.0</v>
      </c>
      <c r="M338" s="31">
        <f>220000+150000</f>
        <v>370000</v>
      </c>
      <c r="N338" s="32"/>
      <c r="O338" s="33"/>
      <c r="P338" s="40"/>
      <c r="Q338" s="35"/>
      <c r="R338" s="33"/>
      <c r="S338" s="33"/>
      <c r="T338" s="35"/>
      <c r="U338" s="35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</row>
    <row r="339">
      <c r="A339" s="628">
        <v>46078.0</v>
      </c>
      <c r="B339" s="622" t="s">
        <v>32</v>
      </c>
      <c r="C339" s="22">
        <v>1672295.0</v>
      </c>
      <c r="D339" s="23">
        <v>411200.0</v>
      </c>
      <c r="E339" s="24"/>
      <c r="F339" s="25"/>
      <c r="G339" s="35">
        <v>265200.0</v>
      </c>
      <c r="H339" s="27">
        <v>217340.0</v>
      </c>
      <c r="I339" s="27"/>
      <c r="J339" s="28"/>
      <c r="K339" s="29">
        <v>654120.0</v>
      </c>
      <c r="L339" s="30">
        <v>525735.0</v>
      </c>
      <c r="M339" s="31">
        <f>300000+200000</f>
        <v>500000</v>
      </c>
      <c r="N339" s="32"/>
      <c r="O339" s="33"/>
      <c r="P339" s="40"/>
      <c r="Q339" s="35"/>
      <c r="R339" s="33"/>
      <c r="S339" s="33"/>
      <c r="T339" s="35"/>
      <c r="U339" s="35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</row>
    <row r="340" ht="15.75" customHeight="1">
      <c r="A340" s="628">
        <v>46079.0</v>
      </c>
      <c r="B340" s="622" t="s">
        <v>24</v>
      </c>
      <c r="C340" s="22">
        <v>1559820.0</v>
      </c>
      <c r="D340" s="23">
        <v>512920.0</v>
      </c>
      <c r="E340" s="24"/>
      <c r="F340" s="25"/>
      <c r="G340" s="35">
        <v>317500.0</v>
      </c>
      <c r="H340" s="27">
        <v>179500.0</v>
      </c>
      <c r="I340" s="27"/>
      <c r="J340" s="28"/>
      <c r="K340" s="29">
        <v>586510.0</v>
      </c>
      <c r="L340" s="30">
        <v>497610.0</v>
      </c>
      <c r="M340" s="74">
        <f>250000+200000</f>
        <v>450000</v>
      </c>
      <c r="N340" s="32"/>
      <c r="O340" s="33"/>
      <c r="P340" s="40"/>
      <c r="Q340" s="35"/>
      <c r="R340" s="33"/>
      <c r="S340" s="33"/>
      <c r="T340" s="35"/>
      <c r="U340" s="35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</row>
    <row r="341">
      <c r="A341" s="628">
        <v>46080.0</v>
      </c>
      <c r="B341" s="622" t="s">
        <v>25</v>
      </c>
      <c r="C341" s="22">
        <v>1014180.0</v>
      </c>
      <c r="D341" s="23">
        <v>359500.0</v>
      </c>
      <c r="E341" s="24"/>
      <c r="F341" s="25"/>
      <c r="G341" s="26">
        <v>246000.0</v>
      </c>
      <c r="H341" s="27">
        <v>164000.0</v>
      </c>
      <c r="I341" s="27"/>
      <c r="J341" s="28"/>
      <c r="K341" s="29">
        <v>184560.0</v>
      </c>
      <c r="L341" s="30">
        <v>419620.0</v>
      </c>
      <c r="M341" s="31">
        <f>170000+200000</f>
        <v>370000</v>
      </c>
      <c r="N341" s="32"/>
      <c r="O341" s="33"/>
      <c r="P341" s="34"/>
      <c r="Q341" s="35"/>
      <c r="R341" s="33"/>
      <c r="S341" s="33"/>
      <c r="T341" s="35"/>
      <c r="U341" s="35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</row>
    <row r="342">
      <c r="A342" s="628">
        <v>46081.0</v>
      </c>
      <c r="B342" s="622" t="s">
        <v>33</v>
      </c>
      <c r="C342" s="22">
        <v>1010720.0</v>
      </c>
      <c r="D342" s="23">
        <v>350300.0</v>
      </c>
      <c r="E342" s="24"/>
      <c r="F342" s="25"/>
      <c r="G342" s="26">
        <v>279350.0</v>
      </c>
      <c r="H342" s="218">
        <v>152300.0</v>
      </c>
      <c r="I342" s="218"/>
      <c r="J342" s="28"/>
      <c r="K342" s="29">
        <v>132310.0</v>
      </c>
      <c r="L342" s="30">
        <v>470560.0</v>
      </c>
      <c r="M342" s="49"/>
      <c r="N342" s="166"/>
      <c r="O342" s="33"/>
      <c r="P342" s="34"/>
      <c r="Q342" s="35"/>
      <c r="R342" s="33"/>
      <c r="S342" s="33"/>
      <c r="T342" s="35"/>
      <c r="U342" s="35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</row>
    <row r="343">
      <c r="A343" s="165" t="s">
        <v>28</v>
      </c>
      <c r="B343" s="627"/>
      <c r="C343" s="73">
        <f t="shared" ref="C343:D343" si="8">SUM(C316:C342)</f>
        <v>28387800</v>
      </c>
      <c r="D343" s="73">
        <f t="shared" si="8"/>
        <v>7757365</v>
      </c>
      <c r="E343" s="73"/>
      <c r="F343" s="73"/>
      <c r="G343" s="73">
        <f t="shared" ref="G343:H343" si="9">SUM(G316:G342)</f>
        <v>5115310</v>
      </c>
      <c r="H343" s="73">
        <f t="shared" si="9"/>
        <v>4112545</v>
      </c>
      <c r="I343" s="73"/>
      <c r="J343" s="73"/>
      <c r="K343" s="73">
        <f t="shared" ref="K343:L343" si="10">SUM(K316:K342)</f>
        <v>9294570</v>
      </c>
      <c r="L343" s="73">
        <f t="shared" si="10"/>
        <v>14354395</v>
      </c>
      <c r="M343" s="31"/>
      <c r="N343" s="32"/>
      <c r="O343" s="33"/>
      <c r="P343" s="34"/>
      <c r="Q343" s="35"/>
      <c r="R343" s="33"/>
      <c r="S343" s="33"/>
      <c r="T343" s="35"/>
      <c r="U343" s="35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</row>
    <row r="344">
      <c r="A344" s="628">
        <v>46083.0</v>
      </c>
      <c r="B344" s="629" t="s">
        <v>21</v>
      </c>
      <c r="C344" s="22">
        <v>1133830.0</v>
      </c>
      <c r="D344" s="23">
        <v>296480.0</v>
      </c>
      <c r="E344" s="24"/>
      <c r="F344" s="25"/>
      <c r="G344" s="26">
        <v>233600.0</v>
      </c>
      <c r="H344" s="27">
        <v>182200.0</v>
      </c>
      <c r="I344" s="27"/>
      <c r="J344" s="28"/>
      <c r="K344" s="29">
        <v>358070.0</v>
      </c>
      <c r="L344" s="30">
        <v>390960.0</v>
      </c>
      <c r="M344" s="31">
        <f>180000+220000</f>
        <v>400000</v>
      </c>
      <c r="N344" s="32"/>
      <c r="O344" s="61"/>
      <c r="P344" s="67"/>
      <c r="Q344" s="67"/>
      <c r="R344" s="67"/>
      <c r="S344" s="67"/>
      <c r="T344" s="61"/>
      <c r="U344" s="61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</row>
    <row r="345">
      <c r="A345" s="628">
        <v>46084.0</v>
      </c>
      <c r="B345" s="629" t="s">
        <v>22</v>
      </c>
      <c r="C345" s="22">
        <v>1553355.0</v>
      </c>
      <c r="D345" s="23">
        <v>418290.0</v>
      </c>
      <c r="E345" s="24"/>
      <c r="F345" s="25"/>
      <c r="G345" s="26">
        <v>297400.0</v>
      </c>
      <c r="H345" s="27">
        <v>159100.0</v>
      </c>
      <c r="I345" s="27"/>
      <c r="J345" s="28"/>
      <c r="K345" s="29">
        <v>422240.0</v>
      </c>
      <c r="L345" s="30">
        <v>674615.0</v>
      </c>
      <c r="M345" s="31">
        <f>350000+200000</f>
        <v>550000</v>
      </c>
      <c r="N345" s="39"/>
      <c r="O345" s="33"/>
      <c r="P345" s="40"/>
      <c r="Q345" s="35"/>
      <c r="R345" s="33"/>
      <c r="S345" s="33"/>
      <c r="T345" s="35"/>
      <c r="U345" s="35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</row>
    <row r="346">
      <c r="A346" s="628">
        <v>46085.0</v>
      </c>
      <c r="B346" s="629" t="s">
        <v>32</v>
      </c>
      <c r="C346" s="22">
        <v>1325920.0</v>
      </c>
      <c r="D346" s="23">
        <v>290700.0</v>
      </c>
      <c r="E346" s="24"/>
      <c r="F346" s="25"/>
      <c r="G346" s="26">
        <v>276300.0</v>
      </c>
      <c r="H346" s="27">
        <v>126100.0</v>
      </c>
      <c r="I346" s="27"/>
      <c r="J346" s="28"/>
      <c r="K346" s="29">
        <v>487860.0</v>
      </c>
      <c r="L346" s="30">
        <v>435660.0</v>
      </c>
      <c r="M346" s="49">
        <f>200000+110000</f>
        <v>310000</v>
      </c>
      <c r="N346" s="32"/>
      <c r="O346" s="33"/>
      <c r="P346" s="40"/>
      <c r="Q346" s="35"/>
      <c r="R346" s="33"/>
      <c r="S346" s="33"/>
      <c r="T346" s="35"/>
      <c r="U346" s="35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</row>
    <row r="347">
      <c r="A347" s="628">
        <v>46086.0</v>
      </c>
      <c r="B347" s="629" t="s">
        <v>24</v>
      </c>
      <c r="C347" s="22">
        <v>1483570.0</v>
      </c>
      <c r="D347" s="23">
        <v>461100.0</v>
      </c>
      <c r="E347" s="24"/>
      <c r="F347" s="25"/>
      <c r="G347" s="26">
        <v>398400.0</v>
      </c>
      <c r="H347" s="27">
        <v>166200.0</v>
      </c>
      <c r="I347" s="27"/>
      <c r="J347" s="28"/>
      <c r="K347" s="29">
        <v>500300.0</v>
      </c>
      <c r="L347" s="30">
        <v>418670.0</v>
      </c>
      <c r="M347" s="31">
        <f>180000+200000</f>
        <v>380000</v>
      </c>
      <c r="N347" s="39"/>
      <c r="O347" s="33"/>
      <c r="P347" s="40"/>
      <c r="Q347" s="35"/>
      <c r="R347" s="33"/>
      <c r="S347" s="33"/>
      <c r="T347" s="35"/>
      <c r="U347" s="35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</row>
    <row r="348">
      <c r="A348" s="628">
        <v>46087.0</v>
      </c>
      <c r="B348" s="629" t="s">
        <v>25</v>
      </c>
      <c r="C348" s="22">
        <v>1260975.0</v>
      </c>
      <c r="D348" s="23">
        <v>271100.0</v>
      </c>
      <c r="E348" s="24"/>
      <c r="F348" s="25"/>
      <c r="G348" s="26">
        <v>219500.0</v>
      </c>
      <c r="H348" s="27">
        <v>165060.0</v>
      </c>
      <c r="I348" s="27"/>
      <c r="J348" s="28"/>
      <c r="K348" s="29">
        <v>490350.0</v>
      </c>
      <c r="L348" s="30">
        <v>386065.0</v>
      </c>
      <c r="M348" s="49">
        <v>350000.0</v>
      </c>
      <c r="N348" s="32"/>
      <c r="O348" s="33"/>
      <c r="P348" s="40"/>
      <c r="Q348" s="35"/>
      <c r="R348" s="33"/>
      <c r="S348" s="33"/>
      <c r="T348" s="35"/>
      <c r="U348" s="35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</row>
    <row r="349">
      <c r="A349" s="628">
        <v>46088.0</v>
      </c>
      <c r="B349" s="629" t="s">
        <v>33</v>
      </c>
      <c r="C349" s="22">
        <v>1143620.0</v>
      </c>
      <c r="D349" s="23">
        <v>151200.0</v>
      </c>
      <c r="E349" s="24"/>
      <c r="F349" s="25"/>
      <c r="G349" s="26">
        <v>151200.0</v>
      </c>
      <c r="H349" s="27">
        <v>51000.0</v>
      </c>
      <c r="I349" s="27"/>
      <c r="J349" s="28"/>
      <c r="K349" s="29">
        <v>420500.0</v>
      </c>
      <c r="L349" s="30">
        <v>520920.0</v>
      </c>
      <c r="M349" s="49">
        <f>290000+230000</f>
        <v>520000</v>
      </c>
      <c r="N349" s="32"/>
      <c r="O349" s="33"/>
      <c r="P349" s="40"/>
      <c r="Q349" s="35"/>
      <c r="R349" s="33"/>
      <c r="S349" s="33"/>
      <c r="T349" s="35"/>
      <c r="U349" s="35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</row>
    <row r="350">
      <c r="A350" s="628">
        <v>46089.0</v>
      </c>
      <c r="B350" s="630" t="s">
        <v>27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31"/>
      <c r="N350" s="39"/>
      <c r="O350" s="33"/>
      <c r="P350" s="40"/>
      <c r="Q350" s="35"/>
      <c r="R350" s="33"/>
      <c r="S350" s="33"/>
      <c r="T350" s="35"/>
      <c r="U350" s="35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</row>
    <row r="351">
      <c r="A351" s="628">
        <v>46090.0</v>
      </c>
      <c r="B351" s="629" t="s">
        <v>21</v>
      </c>
      <c r="C351" s="22">
        <v>1440120.0</v>
      </c>
      <c r="D351" s="23">
        <v>328210.0</v>
      </c>
      <c r="E351" s="24"/>
      <c r="F351" s="25"/>
      <c r="G351" s="26">
        <v>207540.0</v>
      </c>
      <c r="H351" s="27">
        <v>184120.0</v>
      </c>
      <c r="I351" s="27"/>
      <c r="J351" s="28"/>
      <c r="K351" s="29">
        <v>699570.0</v>
      </c>
      <c r="L351" s="30">
        <v>348890.0</v>
      </c>
      <c r="M351" s="49">
        <f>150000+190000</f>
        <v>340000</v>
      </c>
      <c r="N351" s="32"/>
      <c r="O351" s="33"/>
      <c r="P351" s="40"/>
      <c r="Q351" s="35"/>
      <c r="R351" s="33"/>
      <c r="S351" s="33"/>
      <c r="T351" s="35"/>
      <c r="U351" s="35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</row>
    <row r="352">
      <c r="A352" s="628">
        <v>46091.0</v>
      </c>
      <c r="B352" s="629" t="s">
        <v>22</v>
      </c>
      <c r="C352" s="22">
        <v>1246460.0</v>
      </c>
      <c r="D352" s="23">
        <v>208000.0</v>
      </c>
      <c r="E352" s="24"/>
      <c r="F352" s="25"/>
      <c r="G352" s="26">
        <v>208000.0</v>
      </c>
      <c r="H352" s="27">
        <v>110750.0</v>
      </c>
      <c r="I352" s="27"/>
      <c r="J352" s="28"/>
      <c r="K352" s="29">
        <v>448720.0</v>
      </c>
      <c r="L352" s="30">
        <v>485990.0</v>
      </c>
      <c r="M352" s="49">
        <v>300000.0</v>
      </c>
      <c r="N352" s="39"/>
      <c r="O352" s="33"/>
      <c r="P352" s="40"/>
      <c r="Q352" s="35"/>
      <c r="R352" s="33"/>
      <c r="S352" s="33"/>
      <c r="T352" s="35"/>
      <c r="U352" s="35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</row>
    <row r="353">
      <c r="A353" s="628">
        <v>46092.0</v>
      </c>
      <c r="B353" s="629" t="s">
        <v>32</v>
      </c>
      <c r="C353" s="22">
        <v>1392060.0</v>
      </c>
      <c r="D353" s="23">
        <v>175600.0</v>
      </c>
      <c r="E353" s="24"/>
      <c r="F353" s="25"/>
      <c r="G353" s="26">
        <v>134300.0</v>
      </c>
      <c r="H353" s="27">
        <v>155300.0</v>
      </c>
      <c r="I353" s="27"/>
      <c r="J353" s="28"/>
      <c r="K353" s="29">
        <v>459310.0</v>
      </c>
      <c r="L353" s="30">
        <v>643150.0</v>
      </c>
      <c r="M353" s="39">
        <f>240000+350000</f>
        <v>590000</v>
      </c>
      <c r="N353" s="39"/>
      <c r="O353" s="33"/>
      <c r="P353" s="40"/>
      <c r="Q353" s="35"/>
      <c r="R353" s="33"/>
      <c r="S353" s="33"/>
      <c r="T353" s="35"/>
      <c r="U353" s="35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</row>
    <row r="354">
      <c r="A354" s="628">
        <v>46093.0</v>
      </c>
      <c r="B354" s="629" t="s">
        <v>24</v>
      </c>
      <c r="C354" s="22">
        <v>1597890.0</v>
      </c>
      <c r="D354" s="23">
        <v>301700.0</v>
      </c>
      <c r="E354" s="24"/>
      <c r="F354" s="25"/>
      <c r="G354" s="26">
        <v>216400.0</v>
      </c>
      <c r="H354" s="27">
        <v>255100.0</v>
      </c>
      <c r="I354" s="27"/>
      <c r="J354" s="28"/>
      <c r="K354" s="29">
        <v>527450.0</v>
      </c>
      <c r="L354" s="30">
        <v>599740.0</v>
      </c>
      <c r="M354" s="31">
        <f>250000+300000</f>
        <v>550000</v>
      </c>
      <c r="N354" s="39"/>
      <c r="O354" s="33"/>
      <c r="P354" s="40"/>
      <c r="Q354" s="35"/>
      <c r="R354" s="33"/>
      <c r="S354" s="33"/>
      <c r="T354" s="35"/>
      <c r="U354" s="35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</row>
    <row r="355">
      <c r="A355" s="628">
        <v>46094.0</v>
      </c>
      <c r="B355" s="629" t="s">
        <v>25</v>
      </c>
      <c r="C355" s="22">
        <v>1140630.0</v>
      </c>
      <c r="D355" s="23">
        <v>232400.0</v>
      </c>
      <c r="E355" s="24"/>
      <c r="F355" s="25"/>
      <c r="G355" s="26">
        <v>196900.0</v>
      </c>
      <c r="H355" s="27">
        <v>255500.0</v>
      </c>
      <c r="I355" s="27"/>
      <c r="J355" s="28"/>
      <c r="K355" s="29">
        <v>236760.0</v>
      </c>
      <c r="L355" s="30">
        <v>437670.0</v>
      </c>
      <c r="M355" s="31">
        <f>200000+250000</f>
        <v>450000</v>
      </c>
      <c r="N355" s="32"/>
      <c r="O355" s="33"/>
      <c r="P355" s="40"/>
      <c r="Q355" s="35"/>
      <c r="R355" s="33"/>
      <c r="S355" s="33"/>
      <c r="T355" s="35"/>
      <c r="U355" s="35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</row>
    <row r="356">
      <c r="A356" s="628">
        <v>46095.0</v>
      </c>
      <c r="B356" s="629" t="s">
        <v>33</v>
      </c>
      <c r="C356" s="22">
        <v>969919.0</v>
      </c>
      <c r="D356" s="23">
        <v>296700.0</v>
      </c>
      <c r="E356" s="24"/>
      <c r="F356" s="25"/>
      <c r="G356" s="26">
        <v>245800.0</v>
      </c>
      <c r="H356" s="27">
        <v>100400.0</v>
      </c>
      <c r="I356" s="27"/>
      <c r="J356" s="28"/>
      <c r="K356" s="29">
        <v>215070.0</v>
      </c>
      <c r="L356" s="30">
        <v>408649.0</v>
      </c>
      <c r="M356" s="31">
        <f>250000+130000</f>
        <v>380000</v>
      </c>
      <c r="N356" s="39"/>
      <c r="O356" s="33"/>
      <c r="P356" s="40"/>
      <c r="Q356" s="35"/>
      <c r="R356" s="33"/>
      <c r="S356" s="33"/>
      <c r="T356" s="35"/>
      <c r="U356" s="35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</row>
    <row r="357">
      <c r="A357" s="628">
        <v>46096.0</v>
      </c>
      <c r="B357" s="630" t="s">
        <v>27</v>
      </c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31"/>
      <c r="N357" s="39"/>
      <c r="O357" s="33"/>
      <c r="P357" s="40"/>
      <c r="Q357" s="35"/>
      <c r="R357" s="33"/>
      <c r="S357" s="33"/>
      <c r="T357" s="35"/>
      <c r="U357" s="35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</row>
    <row r="358">
      <c r="A358" s="628">
        <v>46097.0</v>
      </c>
      <c r="B358" s="629" t="s">
        <v>21</v>
      </c>
      <c r="C358" s="22">
        <v>1030010.0</v>
      </c>
      <c r="D358" s="23">
        <v>307200.0</v>
      </c>
      <c r="E358" s="24"/>
      <c r="F358" s="25"/>
      <c r="G358" s="26">
        <v>285300.0</v>
      </c>
      <c r="H358" s="27">
        <v>227200.0</v>
      </c>
      <c r="I358" s="27"/>
      <c r="J358" s="28"/>
      <c r="K358" s="29">
        <v>216600.0</v>
      </c>
      <c r="L358" s="30">
        <v>312810.0</v>
      </c>
      <c r="M358" s="49">
        <v>270000.0</v>
      </c>
      <c r="N358" s="32"/>
      <c r="O358" s="33"/>
      <c r="P358" s="40"/>
      <c r="Q358" s="35"/>
      <c r="R358" s="33"/>
      <c r="S358" s="33"/>
      <c r="T358" s="35"/>
      <c r="U358" s="35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</row>
    <row r="359">
      <c r="A359" s="628">
        <v>46098.0</v>
      </c>
      <c r="B359" s="629" t="s">
        <v>22</v>
      </c>
      <c r="C359" s="22">
        <v>1164055.0</v>
      </c>
      <c r="D359" s="23">
        <v>617300.0</v>
      </c>
      <c r="E359" s="24"/>
      <c r="F359" s="25"/>
      <c r="G359" s="26">
        <v>315100.0</v>
      </c>
      <c r="H359" s="27">
        <v>273600.0</v>
      </c>
      <c r="I359" s="27"/>
      <c r="J359" s="28"/>
      <c r="K359" s="29">
        <v>266100.0</v>
      </c>
      <c r="L359" s="30">
        <v>320455.0</v>
      </c>
      <c r="M359" s="31"/>
      <c r="N359" s="39"/>
      <c r="O359" s="33"/>
      <c r="P359" s="40"/>
      <c r="Q359" s="35"/>
      <c r="R359" s="33"/>
      <c r="S359" s="33"/>
      <c r="T359" s="35"/>
      <c r="U359" s="35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</row>
    <row r="360">
      <c r="A360" s="628">
        <v>46099.0</v>
      </c>
      <c r="B360" s="629" t="s">
        <v>32</v>
      </c>
      <c r="C360" s="22">
        <v>1481690.0</v>
      </c>
      <c r="D360" s="23">
        <v>340600.0</v>
      </c>
      <c r="E360" s="24"/>
      <c r="F360" s="25"/>
      <c r="G360" s="26">
        <v>340600.0</v>
      </c>
      <c r="H360" s="27">
        <v>164800.0</v>
      </c>
      <c r="I360" s="27"/>
      <c r="J360" s="28"/>
      <c r="K360" s="29">
        <v>508800.0</v>
      </c>
      <c r="L360" s="30">
        <v>467490.0</v>
      </c>
      <c r="M360" s="39"/>
      <c r="N360" s="39"/>
      <c r="O360" s="33"/>
      <c r="P360" s="40"/>
      <c r="Q360" s="35"/>
      <c r="R360" s="33"/>
      <c r="S360" s="33"/>
      <c r="T360" s="35"/>
      <c r="U360" s="35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</row>
    <row r="361">
      <c r="A361" s="628">
        <v>46100.0</v>
      </c>
      <c r="B361" s="629" t="s">
        <v>24</v>
      </c>
      <c r="C361" s="22">
        <v>1549780.0</v>
      </c>
      <c r="D361" s="23">
        <v>407940.0</v>
      </c>
      <c r="E361" s="24"/>
      <c r="F361" s="25"/>
      <c r="G361" s="26">
        <v>249730.0</v>
      </c>
      <c r="H361" s="27">
        <v>239600.0</v>
      </c>
      <c r="I361" s="27"/>
      <c r="J361" s="28"/>
      <c r="K361" s="29">
        <v>596900.0</v>
      </c>
      <c r="L361" s="30">
        <v>433550.0</v>
      </c>
      <c r="M361" s="31"/>
      <c r="N361" s="32"/>
      <c r="O361" s="33"/>
      <c r="P361" s="40"/>
      <c r="Q361" s="35"/>
      <c r="R361" s="33"/>
      <c r="S361" s="33"/>
      <c r="T361" s="35"/>
      <c r="U361" s="35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</row>
    <row r="362">
      <c r="A362" s="628">
        <v>46101.0</v>
      </c>
      <c r="B362" s="629" t="s">
        <v>25</v>
      </c>
      <c r="C362" s="22">
        <v>1452380.0</v>
      </c>
      <c r="D362" s="23">
        <v>377990.0</v>
      </c>
      <c r="E362" s="24"/>
      <c r="F362" s="25"/>
      <c r="G362" s="26">
        <v>349100.0</v>
      </c>
      <c r="H362" s="27">
        <v>202400.0</v>
      </c>
      <c r="I362" s="27"/>
      <c r="J362" s="28"/>
      <c r="K362" s="29">
        <v>366690.0</v>
      </c>
      <c r="L362" s="30">
        <v>534190.0</v>
      </c>
      <c r="M362" s="31">
        <f>200000+280000</f>
        <v>480000</v>
      </c>
      <c r="N362" s="32"/>
      <c r="O362" s="33"/>
      <c r="P362" s="40"/>
      <c r="Q362" s="35"/>
      <c r="R362" s="33"/>
      <c r="S362" s="33"/>
      <c r="T362" s="35"/>
      <c r="U362" s="35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</row>
    <row r="363">
      <c r="A363" s="628">
        <v>46102.0</v>
      </c>
      <c r="B363" s="629" t="s">
        <v>33</v>
      </c>
      <c r="C363" s="22">
        <v>1070150.0</v>
      </c>
      <c r="D363" s="23">
        <v>413500.0</v>
      </c>
      <c r="E363" s="24"/>
      <c r="F363" s="25"/>
      <c r="G363" s="26">
        <v>350800.0</v>
      </c>
      <c r="H363" s="27">
        <v>123670.0</v>
      </c>
      <c r="I363" s="27"/>
      <c r="J363" s="28"/>
      <c r="K363" s="29">
        <v>172070.0</v>
      </c>
      <c r="L363" s="30">
        <v>423610.0</v>
      </c>
      <c r="M363" s="31">
        <f>250000+120000</f>
        <v>370000</v>
      </c>
      <c r="N363" s="39"/>
      <c r="O363" s="33"/>
      <c r="P363" s="40"/>
      <c r="Q363" s="35"/>
      <c r="R363" s="33"/>
      <c r="S363" s="33"/>
      <c r="T363" s="35"/>
      <c r="U363" s="35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</row>
    <row r="364">
      <c r="A364" s="628">
        <v>46103.0</v>
      </c>
      <c r="B364" s="630" t="s">
        <v>27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31"/>
      <c r="N364" s="39"/>
      <c r="O364" s="33"/>
      <c r="P364" s="40"/>
      <c r="Q364" s="35"/>
      <c r="R364" s="33"/>
      <c r="S364" s="33"/>
      <c r="T364" s="35"/>
      <c r="U364" s="35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</row>
    <row r="365">
      <c r="A365" s="628">
        <v>46104.0</v>
      </c>
      <c r="B365" s="629" t="s">
        <v>21</v>
      </c>
      <c r="C365" s="22">
        <v>726640.0</v>
      </c>
      <c r="D365" s="23">
        <v>240300.0</v>
      </c>
      <c r="E365" s="24"/>
      <c r="F365" s="25"/>
      <c r="G365" s="26">
        <v>240300.0</v>
      </c>
      <c r="H365" s="27">
        <v>48300.0</v>
      </c>
      <c r="I365" s="27"/>
      <c r="J365" s="28"/>
      <c r="K365" s="29">
        <v>180260.0</v>
      </c>
      <c r="L365" s="30">
        <v>257780.0</v>
      </c>
      <c r="M365" s="49">
        <v>300000.0</v>
      </c>
      <c r="N365" s="39"/>
      <c r="O365" s="33"/>
      <c r="P365" s="40"/>
      <c r="Q365" s="35"/>
      <c r="R365" s="33"/>
      <c r="S365" s="33"/>
      <c r="T365" s="35"/>
      <c r="U365" s="35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</row>
    <row r="366">
      <c r="A366" s="628">
        <v>46105.0</v>
      </c>
      <c r="B366" s="629" t="s">
        <v>22</v>
      </c>
      <c r="C366" s="22">
        <v>776220.0</v>
      </c>
      <c r="D366" s="23">
        <v>83900.0</v>
      </c>
      <c r="E366" s="24"/>
      <c r="F366" s="25"/>
      <c r="G366" s="26">
        <v>83900.0</v>
      </c>
      <c r="H366" s="27">
        <v>29800.0</v>
      </c>
      <c r="I366" s="27"/>
      <c r="J366" s="28"/>
      <c r="K366" s="29">
        <v>354900.0</v>
      </c>
      <c r="L366" s="30">
        <v>307620.0</v>
      </c>
      <c r="M366" s="49">
        <v>310000.0</v>
      </c>
      <c r="N366" s="32"/>
      <c r="O366" s="33"/>
      <c r="P366" s="40"/>
      <c r="Q366" s="35"/>
      <c r="R366" s="33"/>
      <c r="S366" s="33"/>
      <c r="T366" s="35"/>
      <c r="U366" s="35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</row>
    <row r="367">
      <c r="A367" s="628">
        <v>46106.0</v>
      </c>
      <c r="B367" s="629" t="s">
        <v>32</v>
      </c>
      <c r="C367" s="22">
        <v>1302550.0</v>
      </c>
      <c r="D367" s="23">
        <v>531910.0</v>
      </c>
      <c r="E367" s="24"/>
      <c r="F367" s="25"/>
      <c r="G367" s="26">
        <v>324700.0</v>
      </c>
      <c r="H367" s="27">
        <v>81300.0</v>
      </c>
      <c r="I367" s="27"/>
      <c r="J367" s="28"/>
      <c r="K367" s="29">
        <v>410500.0</v>
      </c>
      <c r="L367" s="30">
        <v>486050.0</v>
      </c>
      <c r="M367" s="31">
        <f>330000</f>
        <v>330000</v>
      </c>
      <c r="N367" s="374"/>
      <c r="O367" s="33"/>
      <c r="P367" s="40"/>
      <c r="Q367" s="35"/>
      <c r="R367" s="33"/>
      <c r="S367" s="33"/>
      <c r="T367" s="35"/>
      <c r="U367" s="35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</row>
    <row r="368">
      <c r="A368" s="628">
        <v>46107.0</v>
      </c>
      <c r="B368" s="629" t="s">
        <v>24</v>
      </c>
      <c r="C368" s="22">
        <v>1467800.0</v>
      </c>
      <c r="D368" s="23">
        <v>354500.0</v>
      </c>
      <c r="E368" s="24"/>
      <c r="F368" s="25"/>
      <c r="G368" s="26">
        <v>354500.0</v>
      </c>
      <c r="H368" s="27">
        <v>158800.0</v>
      </c>
      <c r="I368" s="27"/>
      <c r="J368" s="28"/>
      <c r="K368" s="29">
        <v>290500.0</v>
      </c>
      <c r="L368" s="30">
        <v>664000.0</v>
      </c>
      <c r="M368" s="49">
        <v>600000.0</v>
      </c>
      <c r="N368" s="213"/>
      <c r="O368" s="33"/>
      <c r="P368" s="40"/>
      <c r="Q368" s="35"/>
      <c r="R368" s="33"/>
      <c r="S368" s="33"/>
      <c r="T368" s="35"/>
      <c r="U368" s="35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</row>
    <row r="369">
      <c r="A369" s="628">
        <v>46108.0</v>
      </c>
      <c r="B369" s="629" t="s">
        <v>25</v>
      </c>
      <c r="C369" s="22">
        <v>1073640.0</v>
      </c>
      <c r="D369" s="23">
        <v>401490.0</v>
      </c>
      <c r="E369" s="24"/>
      <c r="F369" s="25"/>
      <c r="G369" s="26">
        <v>300490.0</v>
      </c>
      <c r="H369" s="27">
        <v>267800.0</v>
      </c>
      <c r="I369" s="27"/>
      <c r="J369" s="28"/>
      <c r="K369" s="29">
        <v>275220.0</v>
      </c>
      <c r="L369" s="30">
        <v>254130.0</v>
      </c>
      <c r="M369" s="31">
        <f>120000+70000</f>
        <v>190000</v>
      </c>
      <c r="N369" s="32"/>
      <c r="O369" s="33"/>
      <c r="P369" s="40"/>
      <c r="Q369" s="35"/>
      <c r="R369" s="33"/>
      <c r="S369" s="33"/>
      <c r="T369" s="35"/>
      <c r="U369" s="35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</row>
    <row r="370">
      <c r="A370" s="628">
        <v>46109.0</v>
      </c>
      <c r="B370" s="629" t="s">
        <v>33</v>
      </c>
      <c r="C370" s="22">
        <v>795040.0</v>
      </c>
      <c r="D370" s="23">
        <v>213320.0</v>
      </c>
      <c r="E370" s="24"/>
      <c r="F370" s="25"/>
      <c r="G370" s="26">
        <v>159600.0</v>
      </c>
      <c r="H370" s="27">
        <v>40400.0</v>
      </c>
      <c r="I370" s="27"/>
      <c r="J370" s="28"/>
      <c r="K370" s="29">
        <v>112100.0</v>
      </c>
      <c r="L370" s="30">
        <v>482940.0</v>
      </c>
      <c r="M370" s="31">
        <f>230000+220000</f>
        <v>450000</v>
      </c>
      <c r="N370" s="39"/>
      <c r="O370" s="33"/>
      <c r="P370" s="40"/>
      <c r="Q370" s="35"/>
      <c r="R370" s="33"/>
      <c r="S370" s="33"/>
      <c r="T370" s="35"/>
      <c r="U370" s="35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</row>
    <row r="371">
      <c r="A371" s="628">
        <v>46110.0</v>
      </c>
      <c r="B371" s="630" t="s">
        <v>27</v>
      </c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31"/>
      <c r="N371" s="39"/>
      <c r="O371" s="33"/>
      <c r="P371" s="40"/>
      <c r="Q371" s="35"/>
      <c r="R371" s="33"/>
      <c r="S371" s="33"/>
      <c r="T371" s="35"/>
      <c r="U371" s="35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</row>
    <row r="372">
      <c r="A372" s="628">
        <v>46111.0</v>
      </c>
      <c r="B372" s="629" t="s">
        <v>21</v>
      </c>
      <c r="C372" s="22">
        <v>996100.0</v>
      </c>
      <c r="D372" s="23">
        <v>158600.0</v>
      </c>
      <c r="E372" s="24"/>
      <c r="F372" s="25"/>
      <c r="G372" s="26">
        <v>137500.0</v>
      </c>
      <c r="H372" s="27">
        <v>364300.0</v>
      </c>
      <c r="I372" s="27"/>
      <c r="J372" s="28"/>
      <c r="K372" s="29">
        <v>198830.0</v>
      </c>
      <c r="L372" s="30">
        <v>295470.0</v>
      </c>
      <c r="M372" s="31">
        <f>180000+90000</f>
        <v>270000</v>
      </c>
      <c r="N372" s="39"/>
      <c r="O372" s="33"/>
      <c r="P372" s="40"/>
      <c r="Q372" s="35"/>
      <c r="R372" s="33"/>
      <c r="S372" s="33"/>
      <c r="T372" s="35"/>
      <c r="U372" s="35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</row>
    <row r="373">
      <c r="A373" s="628">
        <v>46112.0</v>
      </c>
      <c r="B373" s="629" t="s">
        <v>22</v>
      </c>
      <c r="C373" s="22">
        <v>1363540.0</v>
      </c>
      <c r="D373" s="23">
        <v>408400.0</v>
      </c>
      <c r="E373" s="24"/>
      <c r="F373" s="25"/>
      <c r="G373" s="26">
        <v>408400.0</v>
      </c>
      <c r="H373" s="27">
        <v>140400.0</v>
      </c>
      <c r="I373" s="27"/>
      <c r="J373" s="28"/>
      <c r="K373" s="29">
        <v>347710.0</v>
      </c>
      <c r="L373" s="30">
        <v>467030.0</v>
      </c>
      <c r="M373" s="31">
        <f>400000</f>
        <v>400000</v>
      </c>
      <c r="N373" s="39"/>
      <c r="O373" s="33"/>
      <c r="P373" s="40"/>
      <c r="Q373" s="35"/>
      <c r="R373" s="33"/>
      <c r="S373" s="33"/>
      <c r="T373" s="35"/>
      <c r="U373" s="35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</row>
    <row r="374">
      <c r="A374" s="38"/>
      <c r="B374" s="129"/>
      <c r="C374" s="70">
        <f t="shared" ref="C374:D374" si="11">SUM(C344:C373)</f>
        <v>31937944</v>
      </c>
      <c r="D374" s="70">
        <f t="shared" si="11"/>
        <v>8288430</v>
      </c>
      <c r="E374" s="70"/>
      <c r="F374" s="70"/>
      <c r="G374" s="70">
        <f t="shared" ref="G374:H374" si="12">SUM(G344:G373)</f>
        <v>6685360</v>
      </c>
      <c r="H374" s="70">
        <f t="shared" si="12"/>
        <v>4273200</v>
      </c>
      <c r="I374" s="70"/>
      <c r="J374" s="70"/>
      <c r="K374" s="70">
        <f t="shared" ref="K374:M374" si="13">SUM(K344:K373)</f>
        <v>9563380</v>
      </c>
      <c r="L374" s="70">
        <f t="shared" si="13"/>
        <v>11458104</v>
      </c>
      <c r="M374" s="70">
        <f t="shared" si="13"/>
        <v>9090000</v>
      </c>
      <c r="N374" s="39"/>
      <c r="O374" s="33"/>
      <c r="P374" s="40"/>
      <c r="Q374" s="35"/>
      <c r="R374" s="33"/>
      <c r="S374" s="33"/>
      <c r="T374" s="35"/>
      <c r="U374" s="35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</row>
    <row r="375">
      <c r="A375" s="628">
        <v>46113.0</v>
      </c>
      <c r="B375" s="629" t="s">
        <v>32</v>
      </c>
      <c r="C375" s="22"/>
      <c r="D375" s="23"/>
      <c r="E375" s="227"/>
      <c r="F375" s="228"/>
      <c r="G375" s="33"/>
      <c r="H375" s="143"/>
      <c r="I375" s="143"/>
      <c r="J375" s="111"/>
      <c r="K375" s="29"/>
      <c r="L375" s="30"/>
      <c r="M375" s="31"/>
      <c r="N375" s="39"/>
      <c r="O375" s="33"/>
      <c r="P375" s="40"/>
      <c r="Q375" s="35"/>
      <c r="R375" s="33"/>
      <c r="S375" s="33"/>
      <c r="T375" s="35"/>
      <c r="U375" s="35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</row>
    <row r="376">
      <c r="A376" s="628">
        <v>46114.0</v>
      </c>
      <c r="B376" s="629" t="s">
        <v>24</v>
      </c>
      <c r="C376" s="22">
        <v>551090.0</v>
      </c>
      <c r="D376" s="23">
        <v>137100.0</v>
      </c>
      <c r="E376" s="227"/>
      <c r="F376" s="228"/>
      <c r="G376" s="35">
        <v>137100.0</v>
      </c>
      <c r="H376" s="143"/>
      <c r="I376" s="143"/>
      <c r="J376" s="111"/>
      <c r="K376" s="29">
        <v>242330.0</v>
      </c>
      <c r="L376" s="30">
        <v>171600.0</v>
      </c>
      <c r="M376" s="49">
        <v>120000.0</v>
      </c>
      <c r="N376" s="75"/>
      <c r="O376" s="33"/>
      <c r="P376" s="40"/>
      <c r="Q376" s="35"/>
      <c r="R376" s="33"/>
      <c r="S376" s="33"/>
      <c r="T376" s="35"/>
      <c r="U376" s="35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</row>
    <row r="377">
      <c r="A377" s="628">
        <v>46115.0</v>
      </c>
      <c r="B377" s="629" t="s">
        <v>25</v>
      </c>
      <c r="C377" s="22">
        <v>575590.0</v>
      </c>
      <c r="D377" s="23">
        <v>137900.0</v>
      </c>
      <c r="E377" s="227"/>
      <c r="F377" s="228"/>
      <c r="G377" s="35">
        <v>55200.0</v>
      </c>
      <c r="H377" s="27">
        <v>109700.0</v>
      </c>
      <c r="I377" s="143"/>
      <c r="J377" s="111"/>
      <c r="K377" s="29">
        <v>151900.0</v>
      </c>
      <c r="L377" s="30">
        <v>167290.0</v>
      </c>
      <c r="M377" s="49">
        <v>170000.0</v>
      </c>
      <c r="N377" s="39"/>
      <c r="O377" s="33"/>
      <c r="P377" s="40"/>
      <c r="Q377" s="35"/>
      <c r="R377" s="33"/>
      <c r="S377" s="33"/>
      <c r="T377" s="35"/>
      <c r="U377" s="35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</row>
    <row r="378">
      <c r="A378" s="628">
        <v>46116.0</v>
      </c>
      <c r="B378" s="629" t="s">
        <v>33</v>
      </c>
      <c r="C378" s="225"/>
      <c r="D378" s="226"/>
      <c r="E378" s="227"/>
      <c r="F378" s="228"/>
      <c r="G378" s="35"/>
      <c r="H378" s="143"/>
      <c r="I378" s="143"/>
      <c r="J378" s="111"/>
      <c r="K378" s="112"/>
      <c r="L378" s="30"/>
      <c r="M378" s="31"/>
      <c r="N378" s="39"/>
      <c r="O378" s="61"/>
      <c r="P378" s="67"/>
      <c r="Q378" s="67"/>
      <c r="R378" s="67"/>
      <c r="S378" s="67"/>
      <c r="T378" s="61"/>
      <c r="U378" s="61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</row>
    <row r="379">
      <c r="A379" s="628">
        <v>46117.0</v>
      </c>
      <c r="B379" s="630" t="s">
        <v>27</v>
      </c>
      <c r="C379" s="49"/>
      <c r="D379" s="49"/>
      <c r="E379" s="31"/>
      <c r="F379" s="31"/>
      <c r="G379" s="49"/>
      <c r="H379" s="31"/>
      <c r="I379" s="31"/>
      <c r="J379" s="31"/>
      <c r="K379" s="49"/>
      <c r="L379" s="49"/>
      <c r="M379" s="31"/>
      <c r="N379" s="39"/>
      <c r="O379" s="33"/>
      <c r="P379" s="33"/>
      <c r="Q379" s="35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</row>
    <row r="380">
      <c r="A380" s="628">
        <v>46118.0</v>
      </c>
      <c r="B380" s="629" t="s">
        <v>21</v>
      </c>
      <c r="C380" s="22">
        <v>867035.0</v>
      </c>
      <c r="D380" s="23">
        <v>96700.0</v>
      </c>
      <c r="E380" s="227"/>
      <c r="F380" s="228"/>
      <c r="G380" s="35">
        <v>96700.0</v>
      </c>
      <c r="H380" s="27">
        <v>186500.0</v>
      </c>
      <c r="I380" s="143"/>
      <c r="J380" s="111"/>
      <c r="K380" s="29">
        <v>272550.0</v>
      </c>
      <c r="L380" s="30">
        <v>311285.0</v>
      </c>
      <c r="M380" s="49">
        <v>230000.0</v>
      </c>
      <c r="N380" s="39"/>
      <c r="O380" s="33"/>
      <c r="P380" s="33"/>
      <c r="Q380" s="35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</row>
    <row r="381">
      <c r="A381" s="628">
        <v>46119.0</v>
      </c>
      <c r="B381" s="629" t="s">
        <v>22</v>
      </c>
      <c r="C381" s="22">
        <v>1301770.0</v>
      </c>
      <c r="D381" s="23">
        <v>480610.0</v>
      </c>
      <c r="E381" s="227"/>
      <c r="F381" s="228"/>
      <c r="G381" s="35">
        <v>318500.0</v>
      </c>
      <c r="H381" s="27">
        <v>130800.0</v>
      </c>
      <c r="I381" s="143"/>
      <c r="J381" s="111"/>
      <c r="K381" s="29">
        <v>370770.0</v>
      </c>
      <c r="L381" s="30">
        <v>415100.0</v>
      </c>
      <c r="M381" s="31">
        <f>150000+260000</f>
        <v>410000</v>
      </c>
      <c r="N381" s="39"/>
      <c r="O381" s="33"/>
      <c r="P381" s="33"/>
      <c r="Q381" s="35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</row>
    <row r="382">
      <c r="A382" s="628">
        <v>46120.0</v>
      </c>
      <c r="B382" s="629" t="s">
        <v>32</v>
      </c>
      <c r="C382" s="22">
        <v>1549550.0</v>
      </c>
      <c r="D382" s="23">
        <v>371700.0</v>
      </c>
      <c r="E382" s="227"/>
      <c r="F382" s="228"/>
      <c r="G382" s="35">
        <v>323400.0</v>
      </c>
      <c r="H382" s="27">
        <v>21200.0</v>
      </c>
      <c r="I382" s="143"/>
      <c r="J382" s="111"/>
      <c r="K382" s="29">
        <v>706450.0</v>
      </c>
      <c r="L382" s="30">
        <v>498500.0</v>
      </c>
      <c r="M382" s="31">
        <f>300000+160000</f>
        <v>460000</v>
      </c>
      <c r="N382" s="39"/>
      <c r="O382" s="33"/>
      <c r="P382" s="33"/>
      <c r="Q382" s="35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</row>
    <row r="383">
      <c r="A383" s="628">
        <v>46121.0</v>
      </c>
      <c r="B383" s="629" t="s">
        <v>24</v>
      </c>
      <c r="C383" s="22">
        <v>1419138.0</v>
      </c>
      <c r="D383" s="23">
        <v>328200.0</v>
      </c>
      <c r="E383" s="227"/>
      <c r="F383" s="228"/>
      <c r="G383" s="35">
        <v>245300.0</v>
      </c>
      <c r="H383" s="27">
        <v>81600.0</v>
      </c>
      <c r="I383" s="27">
        <v>42400.0</v>
      </c>
      <c r="J383" s="111"/>
      <c r="K383" s="29">
        <v>421300.0</v>
      </c>
      <c r="L383" s="30">
        <v>628538.0</v>
      </c>
      <c r="M383" s="31">
        <f>330000+310000</f>
        <v>640000</v>
      </c>
      <c r="N383" s="39"/>
      <c r="O383" s="33"/>
      <c r="P383" s="33"/>
      <c r="Q383" s="35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</row>
    <row r="384">
      <c r="A384" s="628">
        <v>46122.0</v>
      </c>
      <c r="B384" s="629" t="s">
        <v>25</v>
      </c>
      <c r="C384" s="22">
        <v>1517240.0</v>
      </c>
      <c r="D384" s="23">
        <v>486900.0</v>
      </c>
      <c r="E384" s="227"/>
      <c r="F384" s="228"/>
      <c r="G384" s="35">
        <v>310100.0</v>
      </c>
      <c r="H384" s="27">
        <v>162500.0</v>
      </c>
      <c r="I384" s="27">
        <v>45900.0</v>
      </c>
      <c r="J384" s="111"/>
      <c r="K384" s="29">
        <v>641830.0</v>
      </c>
      <c r="L384" s="30">
        <v>353310.0</v>
      </c>
      <c r="M384" s="31">
        <f>220000+140000</f>
        <v>360000</v>
      </c>
      <c r="N384" s="39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</row>
    <row r="385">
      <c r="A385" s="628">
        <v>46123.0</v>
      </c>
      <c r="B385" s="629" t="s">
        <v>33</v>
      </c>
      <c r="C385" s="22">
        <v>1103650.0</v>
      </c>
      <c r="D385" s="23">
        <v>311600.0</v>
      </c>
      <c r="E385" s="227"/>
      <c r="F385" s="228"/>
      <c r="G385" s="35">
        <v>273500.0</v>
      </c>
      <c r="H385" s="27">
        <v>167300.0</v>
      </c>
      <c r="I385" s="143"/>
      <c r="J385" s="111"/>
      <c r="K385" s="29">
        <v>286790.0</v>
      </c>
      <c r="L385" s="30">
        <v>400560.0</v>
      </c>
      <c r="M385" s="31">
        <f>250000+120000</f>
        <v>370000</v>
      </c>
      <c r="N385" s="39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</row>
    <row r="386">
      <c r="A386" s="628">
        <v>46124.0</v>
      </c>
      <c r="B386" s="630" t="s">
        <v>27</v>
      </c>
      <c r="C386" s="49"/>
      <c r="D386" s="49"/>
      <c r="E386" s="31"/>
      <c r="F386" s="31"/>
      <c r="G386" s="49"/>
      <c r="H386" s="31"/>
      <c r="I386" s="31"/>
      <c r="J386" s="31"/>
      <c r="K386" s="49"/>
      <c r="L386" s="49"/>
      <c r="M386" s="31"/>
      <c r="N386" s="39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</row>
    <row r="387">
      <c r="A387" s="628">
        <v>46125.0</v>
      </c>
      <c r="B387" s="629" t="s">
        <v>21</v>
      </c>
      <c r="C387" s="22">
        <v>1658717.0</v>
      </c>
      <c r="D387" s="23">
        <v>312000.0</v>
      </c>
      <c r="E387" s="227"/>
      <c r="F387" s="228"/>
      <c r="G387" s="35">
        <v>215100.0</v>
      </c>
      <c r="H387" s="27">
        <v>218400.0</v>
      </c>
      <c r="I387" s="143"/>
      <c r="J387" s="111"/>
      <c r="K387" s="29">
        <v>725900.0</v>
      </c>
      <c r="L387" s="30">
        <v>499317.0</v>
      </c>
      <c r="M387" s="31">
        <f>300000+200000</f>
        <v>500000</v>
      </c>
      <c r="N387" s="39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</row>
    <row r="388">
      <c r="A388" s="628">
        <v>46126.0</v>
      </c>
      <c r="B388" s="629" t="s">
        <v>22</v>
      </c>
      <c r="C388" s="22">
        <v>1376140.0</v>
      </c>
      <c r="D388" s="23">
        <v>410800.0</v>
      </c>
      <c r="E388" s="227"/>
      <c r="F388" s="228"/>
      <c r="G388" s="35">
        <v>386800.0</v>
      </c>
      <c r="H388" s="27">
        <v>222900.0</v>
      </c>
      <c r="I388" s="143"/>
      <c r="J388" s="111"/>
      <c r="K388" s="29">
        <v>245540.0</v>
      </c>
      <c r="L388" s="30">
        <v>518300.0</v>
      </c>
      <c r="M388" s="31">
        <f>200000+200000</f>
        <v>400000</v>
      </c>
      <c r="N388" s="39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</row>
    <row r="389">
      <c r="A389" s="628">
        <v>46127.0</v>
      </c>
      <c r="B389" s="629" t="s">
        <v>32</v>
      </c>
      <c r="C389" s="22">
        <v>1503035.0</v>
      </c>
      <c r="D389" s="23">
        <v>429530.0</v>
      </c>
      <c r="E389" s="227"/>
      <c r="F389" s="228"/>
      <c r="G389" s="35">
        <v>372900.0</v>
      </c>
      <c r="H389" s="27">
        <v>219000.0</v>
      </c>
      <c r="I389" s="143"/>
      <c r="J389" s="111"/>
      <c r="K389" s="29">
        <v>503175.0</v>
      </c>
      <c r="L389" s="30">
        <v>420960.0</v>
      </c>
      <c r="M389" s="31">
        <f>130000+300000</f>
        <v>430000</v>
      </c>
      <c r="N389" s="39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</row>
    <row r="390">
      <c r="A390" s="628">
        <v>46128.0</v>
      </c>
      <c r="B390" s="629" t="s">
        <v>24</v>
      </c>
      <c r="C390" s="22">
        <v>1680150.0</v>
      </c>
      <c r="D390" s="23">
        <v>400400.0</v>
      </c>
      <c r="E390" s="227"/>
      <c r="F390" s="228"/>
      <c r="G390" s="35">
        <v>357000.0</v>
      </c>
      <c r="H390" s="27">
        <v>354000.0</v>
      </c>
      <c r="I390" s="143"/>
      <c r="J390" s="111"/>
      <c r="K390" s="29">
        <v>507040.0</v>
      </c>
      <c r="L390" s="30">
        <v>462110.0</v>
      </c>
      <c r="M390" s="31">
        <f>320000+120000</f>
        <v>440000</v>
      </c>
      <c r="N390" s="39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</row>
    <row r="391">
      <c r="A391" s="628">
        <v>46129.0</v>
      </c>
      <c r="B391" s="629" t="s">
        <v>25</v>
      </c>
      <c r="C391" s="22">
        <v>1221290.0</v>
      </c>
      <c r="D391" s="23">
        <v>276100.0</v>
      </c>
      <c r="E391" s="227"/>
      <c r="F391" s="228"/>
      <c r="G391" s="35">
        <v>216100.0</v>
      </c>
      <c r="H391" s="27">
        <v>75700.0</v>
      </c>
      <c r="I391" s="143"/>
      <c r="J391" s="111"/>
      <c r="K391" s="29">
        <v>432220.0</v>
      </c>
      <c r="L391" s="30">
        <v>329670.0</v>
      </c>
      <c r="M391" s="49">
        <v>240000.0</v>
      </c>
      <c r="N391" s="39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</row>
    <row r="392">
      <c r="A392" s="628">
        <v>46130.0</v>
      </c>
      <c r="B392" s="629" t="s">
        <v>33</v>
      </c>
      <c r="C392" s="22"/>
      <c r="D392" s="23"/>
      <c r="E392" s="227"/>
      <c r="F392" s="228"/>
      <c r="G392" s="35"/>
      <c r="H392" s="143"/>
      <c r="I392" s="143"/>
      <c r="J392" s="111"/>
      <c r="K392" s="29"/>
      <c r="L392" s="30"/>
      <c r="M392" s="31"/>
      <c r="N392" s="39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</row>
    <row r="393">
      <c r="A393" s="628">
        <v>46131.0</v>
      </c>
      <c r="B393" s="630" t="s">
        <v>27</v>
      </c>
      <c r="C393" s="49"/>
      <c r="D393" s="49"/>
      <c r="E393" s="31"/>
      <c r="F393" s="31"/>
      <c r="G393" s="49"/>
      <c r="H393" s="31"/>
      <c r="I393" s="31"/>
      <c r="J393" s="31"/>
      <c r="K393" s="49"/>
      <c r="L393" s="49"/>
      <c r="M393" s="31"/>
      <c r="N393" s="39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</row>
    <row r="394">
      <c r="A394" s="628">
        <v>46132.0</v>
      </c>
      <c r="B394" s="629" t="s">
        <v>21</v>
      </c>
      <c r="C394" s="22"/>
      <c r="D394" s="23"/>
      <c r="E394" s="227"/>
      <c r="F394" s="228"/>
      <c r="G394" s="33"/>
      <c r="H394" s="143"/>
      <c r="I394" s="143"/>
      <c r="J394" s="111"/>
      <c r="K394" s="29"/>
      <c r="L394" s="30"/>
      <c r="M394" s="31"/>
      <c r="N394" s="39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</row>
    <row r="395">
      <c r="A395" s="628">
        <v>46133.0</v>
      </c>
      <c r="B395" s="629" t="s">
        <v>22</v>
      </c>
      <c r="C395" s="22"/>
      <c r="D395" s="23"/>
      <c r="E395" s="227"/>
      <c r="F395" s="228"/>
      <c r="G395" s="33"/>
      <c r="H395" s="143"/>
      <c r="I395" s="143"/>
      <c r="J395" s="111"/>
      <c r="K395" s="29"/>
      <c r="L395" s="30"/>
      <c r="M395" s="31"/>
      <c r="N395" s="39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</row>
    <row r="396">
      <c r="A396" s="628">
        <v>46134.0</v>
      </c>
      <c r="B396" s="629" t="s">
        <v>32</v>
      </c>
      <c r="C396" s="22"/>
      <c r="D396" s="23"/>
      <c r="E396" s="227"/>
      <c r="F396" s="228"/>
      <c r="G396" s="35"/>
      <c r="H396" s="143"/>
      <c r="I396" s="143"/>
      <c r="J396" s="111"/>
      <c r="K396" s="29"/>
      <c r="L396" s="30"/>
      <c r="M396" s="31"/>
      <c r="N396" s="39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</row>
    <row r="397">
      <c r="A397" s="628">
        <v>46135.0</v>
      </c>
      <c r="B397" s="629" t="s">
        <v>24</v>
      </c>
      <c r="C397" s="22"/>
      <c r="D397" s="23"/>
      <c r="E397" s="227"/>
      <c r="F397" s="228"/>
      <c r="G397" s="35"/>
      <c r="H397" s="143"/>
      <c r="I397" s="143"/>
      <c r="J397" s="111"/>
      <c r="K397" s="29"/>
      <c r="L397" s="30"/>
      <c r="M397" s="31"/>
      <c r="N397" s="39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</row>
    <row r="398">
      <c r="A398" s="628">
        <v>46136.0</v>
      </c>
      <c r="B398" s="629" t="s">
        <v>25</v>
      </c>
      <c r="C398" s="22"/>
      <c r="D398" s="23"/>
      <c r="E398" s="227"/>
      <c r="F398" s="228"/>
      <c r="G398" s="35"/>
      <c r="H398" s="143"/>
      <c r="I398" s="143"/>
      <c r="J398" s="111"/>
      <c r="K398" s="29"/>
      <c r="L398" s="30"/>
      <c r="M398" s="31"/>
      <c r="N398" s="39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</row>
    <row r="399">
      <c r="A399" s="628">
        <v>46137.0</v>
      </c>
      <c r="B399" s="629" t="s">
        <v>33</v>
      </c>
      <c r="C399" s="22"/>
      <c r="D399" s="226"/>
      <c r="E399" s="227"/>
      <c r="F399" s="228"/>
      <c r="G399" s="35"/>
      <c r="H399" s="143"/>
      <c r="I399" s="143"/>
      <c r="J399" s="111"/>
      <c r="K399" s="29"/>
      <c r="L399" s="30"/>
      <c r="M399" s="49"/>
      <c r="N399" s="39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</row>
    <row r="400">
      <c r="A400" s="628">
        <v>46138.0</v>
      </c>
      <c r="B400" s="630" t="s">
        <v>27</v>
      </c>
      <c r="C400" s="49"/>
      <c r="D400" s="49"/>
      <c r="E400" s="31"/>
      <c r="F400" s="31"/>
      <c r="G400" s="49"/>
      <c r="H400" s="31"/>
      <c r="I400" s="31"/>
      <c r="J400" s="31"/>
      <c r="K400" s="49"/>
      <c r="L400" s="49"/>
      <c r="M400" s="31"/>
      <c r="N400" s="39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</row>
    <row r="401">
      <c r="A401" s="628">
        <v>46139.0</v>
      </c>
      <c r="B401" s="629" t="s">
        <v>21</v>
      </c>
      <c r="C401" s="22"/>
      <c r="D401" s="23"/>
      <c r="E401" s="227"/>
      <c r="F401" s="228"/>
      <c r="G401" s="35"/>
      <c r="H401" s="143"/>
      <c r="I401" s="143"/>
      <c r="J401" s="111"/>
      <c r="K401" s="29"/>
      <c r="L401" s="30"/>
      <c r="M401" s="31"/>
      <c r="N401" s="39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</row>
    <row r="402">
      <c r="A402" s="628">
        <v>46140.0</v>
      </c>
      <c r="B402" s="629" t="s">
        <v>22</v>
      </c>
      <c r="C402" s="22"/>
      <c r="D402" s="23"/>
      <c r="E402" s="227"/>
      <c r="F402" s="228"/>
      <c r="G402" s="35"/>
      <c r="H402" s="143"/>
      <c r="I402" s="143"/>
      <c r="J402" s="111"/>
      <c r="K402" s="29"/>
      <c r="L402" s="30"/>
      <c r="M402" s="31"/>
      <c r="N402" s="39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</row>
    <row r="403">
      <c r="A403" s="628">
        <v>46141.0</v>
      </c>
      <c r="B403" s="129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31"/>
      <c r="N403" s="39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</row>
    <row r="404">
      <c r="A404" s="628">
        <v>46142.0</v>
      </c>
      <c r="B404" s="384"/>
      <c r="C404" s="22"/>
      <c r="D404" s="23"/>
      <c r="E404" s="227"/>
      <c r="F404" s="228"/>
      <c r="G404" s="33"/>
      <c r="H404" s="143"/>
      <c r="I404" s="143"/>
      <c r="J404" s="111"/>
      <c r="K404" s="29"/>
      <c r="L404" s="30"/>
      <c r="M404" s="31"/>
      <c r="N404" s="39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</row>
    <row r="405">
      <c r="A405" s="68"/>
      <c r="B405" s="384"/>
      <c r="C405" s="22"/>
      <c r="D405" s="23"/>
      <c r="E405" s="227"/>
      <c r="F405" s="228"/>
      <c r="G405" s="33"/>
      <c r="H405" s="143"/>
      <c r="I405" s="143"/>
      <c r="J405" s="111"/>
      <c r="K405" s="29"/>
      <c r="L405" s="30"/>
      <c r="M405" s="31"/>
      <c r="N405" s="39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</row>
    <row r="406">
      <c r="A406" s="221"/>
      <c r="B406" s="386"/>
      <c r="C406" s="49"/>
      <c r="D406" s="49"/>
      <c r="E406" s="31"/>
      <c r="F406" s="31"/>
      <c r="G406" s="49"/>
      <c r="H406" s="31"/>
      <c r="I406" s="31"/>
      <c r="J406" s="31"/>
      <c r="K406" s="49"/>
      <c r="L406" s="30"/>
      <c r="M406" s="31"/>
      <c r="N406" s="39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</row>
    <row r="407">
      <c r="A407" s="221"/>
      <c r="B407" s="384"/>
      <c r="C407" s="22"/>
      <c r="D407" s="23"/>
      <c r="E407" s="227"/>
      <c r="F407" s="228"/>
      <c r="G407" s="35"/>
      <c r="H407" s="143"/>
      <c r="I407" s="143"/>
      <c r="J407" s="111"/>
      <c r="K407" s="29"/>
      <c r="L407" s="30"/>
      <c r="M407" s="31"/>
      <c r="N407" s="39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</row>
    <row r="408">
      <c r="A408" s="385"/>
      <c r="B408" s="384"/>
      <c r="C408" s="22"/>
      <c r="D408" s="226"/>
      <c r="E408" s="227"/>
      <c r="F408" s="228"/>
      <c r="G408" s="33"/>
      <c r="H408" s="143"/>
      <c r="I408" s="143"/>
      <c r="J408" s="111"/>
      <c r="K408" s="29"/>
      <c r="L408" s="30"/>
      <c r="M408" s="31"/>
      <c r="N408" s="39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</row>
    <row r="409">
      <c r="A409" s="221"/>
      <c r="B409" s="384"/>
      <c r="C409" s="22"/>
      <c r="D409" s="23"/>
      <c r="E409" s="227"/>
      <c r="F409" s="228"/>
      <c r="G409" s="33"/>
      <c r="H409" s="143"/>
      <c r="I409" s="143"/>
      <c r="J409" s="111"/>
      <c r="K409" s="29"/>
      <c r="L409" s="30"/>
      <c r="M409" s="31"/>
      <c r="N409" s="39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</row>
    <row r="410">
      <c r="A410" s="221"/>
      <c r="B410" s="384"/>
      <c r="C410" s="22"/>
      <c r="D410" s="23"/>
      <c r="E410" s="227"/>
      <c r="F410" s="228"/>
      <c r="G410" s="35"/>
      <c r="H410" s="143"/>
      <c r="I410" s="143"/>
      <c r="J410" s="111"/>
      <c r="K410" s="29"/>
      <c r="L410" s="30"/>
      <c r="M410" s="31"/>
      <c r="N410" s="39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</row>
    <row r="411">
      <c r="A411" s="221"/>
      <c r="B411" s="384"/>
      <c r="C411" s="22"/>
      <c r="D411" s="23"/>
      <c r="E411" s="227"/>
      <c r="F411" s="228"/>
      <c r="G411" s="33"/>
      <c r="H411" s="143"/>
      <c r="I411" s="143"/>
      <c r="J411" s="111"/>
      <c r="K411" s="29"/>
      <c r="L411" s="30"/>
      <c r="M411" s="31"/>
      <c r="N411" s="39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</row>
    <row r="412">
      <c r="A412" s="221"/>
      <c r="B412" s="384"/>
      <c r="C412" s="225"/>
      <c r="D412" s="23"/>
      <c r="E412" s="227"/>
      <c r="F412" s="228"/>
      <c r="G412" s="33"/>
      <c r="H412" s="143"/>
      <c r="I412" s="143"/>
      <c r="J412" s="111"/>
      <c r="K412" s="29"/>
      <c r="L412" s="30"/>
      <c r="M412" s="49"/>
      <c r="N412" s="39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</row>
    <row r="413">
      <c r="A413" s="221"/>
      <c r="B413" s="386"/>
      <c r="C413" s="49"/>
      <c r="D413" s="49"/>
      <c r="E413" s="31"/>
      <c r="F413" s="31"/>
      <c r="G413" s="49"/>
      <c r="H413" s="31"/>
      <c r="I413" s="31"/>
      <c r="J413" s="31"/>
      <c r="K413" s="49"/>
      <c r="L413" s="49"/>
      <c r="M413" s="31"/>
      <c r="N413" s="39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</row>
    <row r="414">
      <c r="A414" s="221"/>
      <c r="B414" s="384"/>
      <c r="C414" s="22"/>
      <c r="D414" s="23"/>
      <c r="E414" s="227"/>
      <c r="F414" s="228"/>
      <c r="G414" s="33"/>
      <c r="H414" s="143"/>
      <c r="I414" s="143"/>
      <c r="J414" s="111"/>
      <c r="K414" s="29"/>
      <c r="L414" s="30"/>
      <c r="M414" s="31"/>
      <c r="N414" s="39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</row>
    <row r="415">
      <c r="A415" s="385"/>
      <c r="B415" s="384"/>
      <c r="C415" s="22"/>
      <c r="D415" s="23"/>
      <c r="E415" s="227"/>
      <c r="F415" s="228"/>
      <c r="G415" s="33"/>
      <c r="H415" s="143"/>
      <c r="I415" s="143"/>
      <c r="J415" s="111"/>
      <c r="K415" s="29"/>
      <c r="L415" s="30"/>
      <c r="M415" s="31"/>
      <c r="N415" s="39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</row>
    <row r="416">
      <c r="A416" s="221"/>
      <c r="B416" s="384"/>
      <c r="C416" s="22"/>
      <c r="D416" s="23"/>
      <c r="E416" s="227"/>
      <c r="F416" s="228"/>
      <c r="G416" s="35"/>
      <c r="H416" s="143"/>
      <c r="I416" s="143"/>
      <c r="J416" s="111"/>
      <c r="K416" s="29"/>
      <c r="L416" s="30"/>
      <c r="M416" s="31"/>
      <c r="N416" s="39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</row>
    <row r="417">
      <c r="A417" s="221"/>
      <c r="B417" s="384"/>
      <c r="C417" s="22"/>
      <c r="D417" s="23"/>
      <c r="E417" s="227"/>
      <c r="F417" s="228"/>
      <c r="G417" s="33"/>
      <c r="H417" s="143"/>
      <c r="I417" s="143"/>
      <c r="J417" s="111"/>
      <c r="K417" s="29"/>
      <c r="L417" s="30"/>
      <c r="M417" s="31"/>
      <c r="N417" s="39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</row>
    <row r="418">
      <c r="A418" s="221"/>
      <c r="B418" s="384"/>
      <c r="C418" s="22"/>
      <c r="D418" s="23"/>
      <c r="E418" s="227"/>
      <c r="F418" s="228"/>
      <c r="G418" s="35"/>
      <c r="H418" s="143"/>
      <c r="I418" s="143"/>
      <c r="J418" s="111"/>
      <c r="K418" s="29"/>
      <c r="L418" s="30"/>
      <c r="M418" s="31"/>
      <c r="N418" s="39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</row>
    <row r="419">
      <c r="A419" s="221"/>
      <c r="B419" s="384"/>
      <c r="C419" s="22"/>
      <c r="D419" s="23"/>
      <c r="E419" s="227"/>
      <c r="F419" s="228"/>
      <c r="G419" s="35"/>
      <c r="H419" s="143"/>
      <c r="I419" s="143"/>
      <c r="J419" s="111"/>
      <c r="K419" s="29"/>
      <c r="L419" s="30"/>
      <c r="M419" s="31"/>
      <c r="N419" s="39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</row>
    <row r="420">
      <c r="A420" s="221"/>
      <c r="B420" s="384"/>
      <c r="C420" s="377"/>
      <c r="D420" s="377"/>
      <c r="E420" s="378"/>
      <c r="F420" s="378"/>
      <c r="G420" s="377"/>
      <c r="H420" s="378"/>
      <c r="I420" s="378"/>
      <c r="J420" s="378"/>
      <c r="K420" s="377"/>
      <c r="L420" s="377"/>
      <c r="M420" s="49"/>
      <c r="N420" s="39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</row>
    <row r="421">
      <c r="A421" s="221"/>
      <c r="B421" s="384"/>
      <c r="C421" s="22"/>
      <c r="D421" s="23"/>
      <c r="E421" s="227"/>
      <c r="F421" s="228"/>
      <c r="G421" s="35"/>
      <c r="H421" s="143"/>
      <c r="I421" s="143"/>
      <c r="J421" s="111"/>
      <c r="K421" s="29"/>
      <c r="L421" s="30"/>
      <c r="M421" s="31"/>
      <c r="N421" s="39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</row>
    <row r="422">
      <c r="A422" s="221"/>
      <c r="B422" s="384"/>
      <c r="C422" s="22"/>
      <c r="D422" s="23"/>
      <c r="E422" s="227"/>
      <c r="F422" s="228"/>
      <c r="G422" s="33"/>
      <c r="H422" s="143"/>
      <c r="I422" s="143"/>
      <c r="J422" s="111"/>
      <c r="K422" s="29"/>
      <c r="L422" s="30"/>
      <c r="M422" s="31"/>
      <c r="N422" s="39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</row>
    <row r="423">
      <c r="A423" s="221"/>
      <c r="B423" s="384"/>
      <c r="C423" s="22"/>
      <c r="D423" s="23"/>
      <c r="E423" s="227"/>
      <c r="F423" s="228"/>
      <c r="H423" s="143"/>
      <c r="I423" s="143"/>
      <c r="J423" s="111"/>
      <c r="K423" s="29"/>
      <c r="L423" s="30"/>
      <c r="M423" s="31"/>
      <c r="N423" s="39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</row>
    <row r="424">
      <c r="A424" s="221"/>
      <c r="B424" s="384"/>
      <c r="C424" s="22"/>
      <c r="D424" s="23"/>
      <c r="E424" s="227"/>
      <c r="F424" s="228"/>
      <c r="G424" s="35"/>
      <c r="H424" s="143"/>
      <c r="I424" s="143"/>
      <c r="J424" s="111"/>
      <c r="K424" s="29"/>
      <c r="L424" s="30"/>
      <c r="M424" s="31"/>
      <c r="N424" s="39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</row>
    <row r="425">
      <c r="A425" s="221"/>
      <c r="B425" s="384"/>
      <c r="C425" s="22"/>
      <c r="D425" s="23"/>
      <c r="E425" s="227"/>
      <c r="F425" s="228"/>
      <c r="G425" s="35"/>
      <c r="H425" s="143"/>
      <c r="I425" s="143"/>
      <c r="J425" s="111"/>
      <c r="K425" s="29"/>
      <c r="L425" s="30"/>
      <c r="M425" s="31"/>
      <c r="N425" s="39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</row>
    <row r="426">
      <c r="A426" s="221"/>
      <c r="B426" s="384"/>
      <c r="C426" s="22"/>
      <c r="D426" s="23"/>
      <c r="E426" s="227"/>
      <c r="F426" s="228"/>
      <c r="G426" s="33"/>
      <c r="H426" s="143"/>
      <c r="I426" s="143"/>
      <c r="J426" s="111"/>
      <c r="K426" s="29"/>
      <c r="L426" s="30"/>
      <c r="M426" s="31"/>
      <c r="N426" s="39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</row>
    <row r="427">
      <c r="A427" s="221"/>
      <c r="B427" s="386"/>
      <c r="C427" s="49"/>
      <c r="D427" s="49"/>
      <c r="E427" s="31"/>
      <c r="F427" s="31"/>
      <c r="G427" s="49"/>
      <c r="H427" s="31"/>
      <c r="I427" s="31"/>
      <c r="J427" s="31"/>
      <c r="K427" s="49"/>
      <c r="L427" s="49"/>
      <c r="M427" s="31"/>
      <c r="N427" s="39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</row>
    <row r="428">
      <c r="A428" s="221"/>
      <c r="B428" s="384"/>
      <c r="C428" s="22"/>
      <c r="D428" s="23"/>
      <c r="E428" s="227"/>
      <c r="F428" s="228"/>
      <c r="G428" s="33"/>
      <c r="H428" s="143"/>
      <c r="I428" s="143"/>
      <c r="J428" s="111"/>
      <c r="K428" s="29"/>
      <c r="L428" s="30"/>
      <c r="M428" s="31"/>
      <c r="N428" s="39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</row>
    <row r="429">
      <c r="A429" s="385"/>
      <c r="B429" s="384"/>
      <c r="C429" s="22"/>
      <c r="D429" s="23"/>
      <c r="E429" s="24"/>
      <c r="F429" s="25"/>
      <c r="G429" s="35"/>
      <c r="H429" s="27"/>
      <c r="I429" s="27"/>
      <c r="J429" s="28"/>
      <c r="K429" s="29"/>
      <c r="L429" s="30"/>
      <c r="M429" s="31"/>
      <c r="N429" s="39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</row>
    <row r="430">
      <c r="A430" s="221"/>
      <c r="B430" s="384"/>
      <c r="C430" s="225"/>
      <c r="D430" s="226"/>
      <c r="E430" s="227"/>
      <c r="F430" s="228"/>
      <c r="G430" s="33"/>
      <c r="H430" s="143"/>
      <c r="I430" s="143"/>
      <c r="J430" s="111"/>
      <c r="K430" s="29"/>
      <c r="L430" s="230"/>
      <c r="M430" s="31"/>
      <c r="N430" s="39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</row>
    <row r="431">
      <c r="A431" s="221"/>
      <c r="B431" s="384"/>
      <c r="C431" s="225"/>
      <c r="D431" s="23"/>
      <c r="E431" s="227"/>
      <c r="F431" s="228"/>
      <c r="G431" s="35"/>
      <c r="H431" s="143"/>
      <c r="I431" s="143"/>
      <c r="J431" s="111"/>
      <c r="K431" s="29"/>
      <c r="L431" s="30"/>
      <c r="M431" s="31"/>
      <c r="N431" s="39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</row>
    <row r="432">
      <c r="A432" s="221"/>
      <c r="B432" s="384"/>
      <c r="C432" s="22"/>
      <c r="D432" s="226"/>
      <c r="E432" s="227"/>
      <c r="F432" s="228"/>
      <c r="G432" s="33"/>
      <c r="H432" s="143"/>
      <c r="I432" s="143"/>
      <c r="J432" s="111"/>
      <c r="K432" s="112"/>
      <c r="L432" s="230"/>
      <c r="M432" s="31"/>
      <c r="N432" s="39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</row>
    <row r="433">
      <c r="A433" s="221"/>
      <c r="B433" s="384"/>
      <c r="C433" s="22"/>
      <c r="D433" s="23"/>
      <c r="E433" s="227"/>
      <c r="F433" s="228"/>
      <c r="G433" s="35"/>
      <c r="H433" s="143"/>
      <c r="I433" s="143"/>
      <c r="J433" s="111"/>
      <c r="K433" s="29"/>
      <c r="L433" s="30"/>
      <c r="M433" s="49"/>
      <c r="N433" s="39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</row>
    <row r="434">
      <c r="A434" s="221"/>
      <c r="B434" s="129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31"/>
      <c r="N434" s="39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</row>
    <row r="435">
      <c r="A435" s="221"/>
      <c r="B435" s="386"/>
      <c r="C435" s="49"/>
      <c r="D435" s="49"/>
      <c r="E435" s="31"/>
      <c r="F435" s="31"/>
      <c r="G435" s="49"/>
      <c r="H435" s="31"/>
      <c r="I435" s="31"/>
      <c r="J435" s="31"/>
      <c r="K435" s="49"/>
      <c r="L435" s="49"/>
      <c r="M435" s="31"/>
      <c r="N435" s="39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</row>
    <row r="436">
      <c r="A436" s="68"/>
      <c r="B436" s="384"/>
      <c r="C436" s="22"/>
      <c r="D436" s="23"/>
      <c r="E436" s="227"/>
      <c r="F436" s="228"/>
      <c r="G436" s="33"/>
      <c r="H436" s="143"/>
      <c r="I436" s="143"/>
      <c r="J436" s="111"/>
      <c r="K436" s="29"/>
      <c r="L436" s="30"/>
      <c r="M436" s="31"/>
      <c r="N436" s="39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</row>
    <row r="437">
      <c r="A437" s="385"/>
      <c r="B437" s="384"/>
      <c r="C437" s="22"/>
      <c r="D437" s="226"/>
      <c r="E437" s="227"/>
      <c r="F437" s="228"/>
      <c r="G437" s="33"/>
      <c r="H437" s="143"/>
      <c r="I437" s="143"/>
      <c r="J437" s="111"/>
      <c r="K437" s="29"/>
      <c r="L437" s="30"/>
      <c r="M437" s="31"/>
      <c r="N437" s="39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</row>
    <row r="438">
      <c r="A438" s="221"/>
      <c r="B438" s="384"/>
      <c r="C438" s="225"/>
      <c r="D438" s="226"/>
      <c r="E438" s="227"/>
      <c r="F438" s="228"/>
      <c r="G438" s="35"/>
      <c r="H438" s="143"/>
      <c r="I438" s="143"/>
      <c r="J438" s="111"/>
      <c r="K438" s="112"/>
      <c r="L438" s="230"/>
      <c r="M438" s="31"/>
      <c r="N438" s="39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</row>
    <row r="439">
      <c r="A439" s="221"/>
      <c r="B439" s="384"/>
      <c r="C439" s="22"/>
      <c r="D439" s="23"/>
      <c r="E439" s="227"/>
      <c r="F439" s="228"/>
      <c r="G439" s="33"/>
      <c r="H439" s="143"/>
      <c r="I439" s="143"/>
      <c r="J439" s="111"/>
      <c r="K439" s="29"/>
      <c r="L439" s="230"/>
      <c r="M439" s="31"/>
      <c r="N439" s="39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</row>
    <row r="440">
      <c r="A440" s="221"/>
      <c r="B440" s="384"/>
      <c r="C440" s="225"/>
      <c r="D440" s="226"/>
      <c r="E440" s="227"/>
      <c r="F440" s="228"/>
      <c r="G440" s="33"/>
      <c r="H440" s="143"/>
      <c r="I440" s="143"/>
      <c r="J440" s="111"/>
      <c r="K440" s="112"/>
      <c r="L440" s="30"/>
      <c r="M440" s="31"/>
      <c r="N440" s="39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</row>
    <row r="441">
      <c r="A441" s="221"/>
      <c r="B441" s="384"/>
      <c r="C441" s="22"/>
      <c r="D441" s="23"/>
      <c r="E441" s="227"/>
      <c r="F441" s="228"/>
      <c r="G441" s="35"/>
      <c r="H441" s="143"/>
      <c r="I441" s="143"/>
      <c r="J441" s="111"/>
      <c r="K441" s="29"/>
      <c r="L441" s="30"/>
      <c r="M441" s="31"/>
      <c r="N441" s="39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</row>
    <row r="442">
      <c r="A442" s="221"/>
      <c r="B442" s="386"/>
      <c r="C442" s="49"/>
      <c r="D442" s="49"/>
      <c r="E442" s="31"/>
      <c r="F442" s="31"/>
      <c r="G442" s="49"/>
      <c r="H442" s="31"/>
      <c r="I442" s="31"/>
      <c r="J442" s="31"/>
      <c r="K442" s="49"/>
      <c r="L442" s="49"/>
      <c r="M442" s="31"/>
      <c r="N442" s="39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</row>
    <row r="443">
      <c r="A443" s="221"/>
      <c r="B443" s="384"/>
      <c r="C443" s="225"/>
      <c r="D443" s="23"/>
      <c r="E443" s="227"/>
      <c r="F443" s="228"/>
      <c r="G443" s="33"/>
      <c r="H443" s="143"/>
      <c r="I443" s="143"/>
      <c r="J443" s="111"/>
      <c r="K443" s="112"/>
      <c r="L443" s="30"/>
      <c r="M443" s="31"/>
      <c r="N443" s="39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</row>
    <row r="444">
      <c r="A444" s="385"/>
      <c r="B444" s="384"/>
      <c r="C444" s="22"/>
      <c r="D444" s="23"/>
      <c r="E444" s="227"/>
      <c r="F444" s="228"/>
      <c r="G444" s="33"/>
      <c r="H444" s="143"/>
      <c r="I444" s="143"/>
      <c r="J444" s="111"/>
      <c r="K444" s="29"/>
      <c r="L444" s="30"/>
      <c r="M444" s="49"/>
      <c r="N444" s="39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</row>
    <row r="445">
      <c r="A445" s="221"/>
      <c r="B445" s="384"/>
      <c r="C445" s="225"/>
      <c r="D445" s="226"/>
      <c r="E445" s="227"/>
      <c r="F445" s="228"/>
      <c r="G445" s="33"/>
      <c r="H445" s="143"/>
      <c r="I445" s="143"/>
      <c r="J445" s="111"/>
      <c r="K445" s="112"/>
      <c r="L445" s="230"/>
      <c r="M445" s="31"/>
      <c r="N445" s="39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</row>
    <row r="446">
      <c r="A446" s="221"/>
      <c r="B446" s="384"/>
      <c r="C446" s="22"/>
      <c r="D446" s="23"/>
      <c r="E446" s="227"/>
      <c r="F446" s="228"/>
      <c r="G446" s="33"/>
      <c r="H446" s="143"/>
      <c r="I446" s="143"/>
      <c r="J446" s="111"/>
      <c r="K446" s="112"/>
      <c r="L446" s="230"/>
      <c r="M446" s="31"/>
      <c r="N446" s="32"/>
      <c r="O446" s="35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</row>
    <row r="447">
      <c r="A447" s="221"/>
      <c r="B447" s="384"/>
      <c r="C447" s="22"/>
      <c r="D447" s="23"/>
      <c r="E447" s="227"/>
      <c r="F447" s="228"/>
      <c r="G447" s="33"/>
      <c r="H447" s="143"/>
      <c r="I447" s="143"/>
      <c r="J447" s="111"/>
      <c r="K447" s="29"/>
      <c r="L447" s="30"/>
      <c r="M447" s="31"/>
      <c r="N447" s="39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</row>
    <row r="448">
      <c r="A448" s="221"/>
      <c r="B448" s="384"/>
      <c r="C448" s="22"/>
      <c r="D448" s="23"/>
      <c r="E448" s="227"/>
      <c r="F448" s="228"/>
      <c r="G448" s="35"/>
      <c r="H448" s="143"/>
      <c r="I448" s="143"/>
      <c r="J448" s="111"/>
      <c r="K448" s="29"/>
      <c r="L448" s="30"/>
      <c r="M448" s="31"/>
      <c r="N448" s="39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</row>
    <row r="449">
      <c r="A449" s="221"/>
      <c r="B449" s="386"/>
      <c r="C449" s="49"/>
      <c r="D449" s="49"/>
      <c r="E449" s="31"/>
      <c r="F449" s="31"/>
      <c r="G449" s="49"/>
      <c r="H449" s="31"/>
      <c r="I449" s="31"/>
      <c r="J449" s="31"/>
      <c r="K449" s="49"/>
      <c r="L449" s="49"/>
      <c r="M449" s="31"/>
      <c r="N449" s="39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</row>
    <row r="450">
      <c r="A450" s="221"/>
      <c r="B450" s="388"/>
      <c r="C450" s="44"/>
      <c r="D450" s="44"/>
      <c r="E450" s="46"/>
      <c r="F450" s="46"/>
      <c r="G450" s="44"/>
      <c r="H450" s="46"/>
      <c r="I450" s="46"/>
      <c r="J450" s="46"/>
      <c r="K450" s="44"/>
      <c r="L450" s="44"/>
      <c r="M450" s="46"/>
      <c r="N450" s="39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</row>
    <row r="451">
      <c r="A451" s="385"/>
      <c r="B451" s="384"/>
      <c r="C451" s="225"/>
      <c r="D451" s="226"/>
      <c r="E451" s="227"/>
      <c r="F451" s="228"/>
      <c r="G451" s="33"/>
      <c r="H451" s="143"/>
      <c r="I451" s="143"/>
      <c r="J451" s="111"/>
      <c r="K451" s="112"/>
      <c r="L451" s="230"/>
      <c r="M451" s="31"/>
      <c r="N451" s="31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</row>
    <row r="452">
      <c r="A452" s="387"/>
      <c r="B452" s="384"/>
      <c r="C452" s="225"/>
      <c r="D452" s="226"/>
      <c r="E452" s="227"/>
      <c r="F452" s="228"/>
      <c r="G452" s="35"/>
      <c r="H452" s="143"/>
      <c r="I452" s="143"/>
      <c r="J452" s="111"/>
      <c r="K452" s="112"/>
      <c r="L452" s="230"/>
      <c r="M452" s="31"/>
      <c r="N452" s="46"/>
      <c r="O452" s="389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</row>
    <row r="453">
      <c r="A453" s="221"/>
      <c r="B453" s="384"/>
      <c r="C453" s="225"/>
      <c r="D453" s="226"/>
      <c r="E453" s="227"/>
      <c r="F453" s="228"/>
      <c r="G453" s="33"/>
      <c r="H453" s="143"/>
      <c r="I453" s="143"/>
      <c r="J453" s="111"/>
      <c r="K453" s="112"/>
      <c r="L453" s="230"/>
      <c r="M453" s="31"/>
      <c r="N453" s="39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</row>
    <row r="454">
      <c r="A454" s="221"/>
      <c r="B454" s="388"/>
      <c r="C454" s="44"/>
      <c r="D454" s="44"/>
      <c r="E454" s="46"/>
      <c r="F454" s="46"/>
      <c r="G454" s="44"/>
      <c r="H454" s="46"/>
      <c r="I454" s="46"/>
      <c r="J454" s="46"/>
      <c r="K454" s="44"/>
      <c r="L454" s="44"/>
      <c r="M454" s="46"/>
      <c r="N454" s="39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</row>
    <row r="455">
      <c r="A455" s="221"/>
      <c r="B455" s="384"/>
      <c r="C455" s="225"/>
      <c r="D455" s="23"/>
      <c r="E455" s="227"/>
      <c r="F455" s="228"/>
      <c r="G455" s="35"/>
      <c r="H455" s="143"/>
      <c r="I455" s="143"/>
      <c r="J455" s="111"/>
      <c r="K455" s="29"/>
      <c r="L455" s="30"/>
      <c r="M455" s="31"/>
      <c r="N455" s="39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</row>
    <row r="456">
      <c r="A456" s="387"/>
      <c r="B456" s="386"/>
      <c r="C456" s="49"/>
      <c r="D456" s="49"/>
      <c r="E456" s="31"/>
      <c r="F456" s="31"/>
      <c r="G456" s="49"/>
      <c r="H456" s="31"/>
      <c r="I456" s="31"/>
      <c r="J456" s="31"/>
      <c r="K456" s="49"/>
      <c r="L456" s="49"/>
      <c r="M456" s="31"/>
      <c r="N456" s="46"/>
      <c r="O456" s="389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</row>
    <row r="457">
      <c r="A457" s="221"/>
      <c r="B457" s="384"/>
      <c r="C457" s="225"/>
      <c r="D457" s="226"/>
      <c r="E457" s="227"/>
      <c r="F457" s="228"/>
      <c r="G457" s="33"/>
      <c r="H457" s="143"/>
      <c r="I457" s="143"/>
      <c r="J457" s="111"/>
      <c r="K457" s="112"/>
      <c r="L457" s="230"/>
      <c r="M457" s="31"/>
      <c r="N457" s="39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</row>
    <row r="458">
      <c r="A458" s="385"/>
      <c r="B458" s="384"/>
      <c r="C458" s="225"/>
      <c r="D458" s="226"/>
      <c r="E458" s="227"/>
      <c r="F458" s="228"/>
      <c r="G458" s="33"/>
      <c r="H458" s="143"/>
      <c r="I458" s="143"/>
      <c r="J458" s="111"/>
      <c r="K458" s="112"/>
      <c r="L458" s="230"/>
      <c r="M458" s="31"/>
      <c r="N458" s="39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</row>
    <row r="459">
      <c r="A459" s="221"/>
      <c r="B459" s="384"/>
      <c r="C459" s="22"/>
      <c r="D459" s="23"/>
      <c r="E459" s="227"/>
      <c r="F459" s="228"/>
      <c r="G459" s="33"/>
      <c r="H459" s="143"/>
      <c r="I459" s="143"/>
      <c r="J459" s="111"/>
      <c r="K459" s="29"/>
      <c r="L459" s="30"/>
      <c r="M459" s="31"/>
      <c r="N459" s="39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</row>
    <row r="460">
      <c r="A460" s="221"/>
      <c r="B460" s="384"/>
      <c r="C460" s="22"/>
      <c r="D460" s="23"/>
      <c r="E460" s="227"/>
      <c r="F460" s="228"/>
      <c r="G460" s="33"/>
      <c r="H460" s="143"/>
      <c r="I460" s="143"/>
      <c r="J460" s="111"/>
      <c r="K460" s="29"/>
      <c r="L460" s="30"/>
      <c r="M460" s="31"/>
      <c r="N460" s="39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</row>
    <row r="461">
      <c r="A461" s="221"/>
      <c r="B461" s="384"/>
      <c r="C461" s="22"/>
      <c r="D461" s="23"/>
      <c r="E461" s="227"/>
      <c r="F461" s="228"/>
      <c r="G461" s="35"/>
      <c r="H461" s="143"/>
      <c r="I461" s="143"/>
      <c r="J461" s="111"/>
      <c r="K461" s="112"/>
      <c r="L461" s="30"/>
      <c r="M461" s="31"/>
      <c r="N461" s="39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</row>
    <row r="462">
      <c r="A462" s="221"/>
      <c r="B462" s="384"/>
      <c r="C462" s="22"/>
      <c r="D462" s="23"/>
      <c r="E462" s="227"/>
      <c r="F462" s="228"/>
      <c r="G462" s="35"/>
      <c r="H462" s="143"/>
      <c r="I462" s="143"/>
      <c r="J462" s="111"/>
      <c r="K462" s="29"/>
      <c r="L462" s="30"/>
      <c r="M462" s="31"/>
      <c r="N462" s="39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</row>
    <row r="463">
      <c r="A463" s="221"/>
      <c r="B463" s="386"/>
      <c r="C463" s="49"/>
      <c r="D463" s="49"/>
      <c r="E463" s="31"/>
      <c r="F463" s="31"/>
      <c r="G463" s="49"/>
      <c r="H463" s="31"/>
      <c r="I463" s="31"/>
      <c r="J463" s="31"/>
      <c r="K463" s="49"/>
      <c r="L463" s="49"/>
      <c r="M463" s="31"/>
      <c r="N463" s="39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</row>
    <row r="464">
      <c r="A464" s="221"/>
      <c r="B464" s="384"/>
      <c r="C464" s="22"/>
      <c r="D464" s="226"/>
      <c r="E464" s="227"/>
      <c r="F464" s="228"/>
      <c r="G464" s="35"/>
      <c r="H464" s="143"/>
      <c r="I464" s="143"/>
      <c r="J464" s="111"/>
      <c r="K464" s="112"/>
      <c r="L464" s="230"/>
      <c r="M464" s="31"/>
      <c r="N464" s="39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</row>
    <row r="465">
      <c r="A465" s="385"/>
      <c r="B465" s="129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31"/>
      <c r="N465" s="39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</row>
    <row r="466">
      <c r="A466" s="221"/>
      <c r="B466" s="384"/>
      <c r="C466" s="22"/>
      <c r="D466" s="23"/>
      <c r="E466" s="227"/>
      <c r="F466" s="228"/>
      <c r="G466" s="35"/>
      <c r="H466" s="143"/>
      <c r="I466" s="143"/>
      <c r="J466" s="111"/>
      <c r="K466" s="29"/>
      <c r="L466" s="30"/>
      <c r="M466" s="49"/>
      <c r="N466" s="39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</row>
    <row r="467">
      <c r="A467" s="68"/>
      <c r="B467" s="384"/>
      <c r="C467" s="22"/>
      <c r="D467" s="23"/>
      <c r="E467" s="227"/>
      <c r="F467" s="228"/>
      <c r="G467" s="35"/>
      <c r="H467" s="143"/>
      <c r="I467" s="143"/>
      <c r="J467" s="111"/>
      <c r="K467" s="112"/>
      <c r="L467" s="30"/>
      <c r="M467" s="31"/>
      <c r="N467" s="39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</row>
    <row r="468">
      <c r="A468" s="221"/>
      <c r="B468" s="384"/>
      <c r="C468" s="22"/>
      <c r="D468" s="23"/>
      <c r="E468" s="227"/>
      <c r="F468" s="228"/>
      <c r="G468" s="33"/>
      <c r="H468" s="143"/>
      <c r="I468" s="143"/>
      <c r="J468" s="111"/>
      <c r="K468" s="112"/>
      <c r="L468" s="230"/>
      <c r="M468" s="31"/>
      <c r="N468" s="39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</row>
    <row r="469">
      <c r="A469" s="221"/>
      <c r="B469" s="384"/>
      <c r="C469" s="22"/>
      <c r="D469" s="23"/>
      <c r="E469" s="227"/>
      <c r="F469" s="228"/>
      <c r="G469" s="33"/>
      <c r="H469" s="143"/>
      <c r="I469" s="143"/>
      <c r="J469" s="111"/>
      <c r="K469" s="112"/>
      <c r="L469" s="230"/>
      <c r="M469" s="31"/>
      <c r="N469" s="39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</row>
    <row r="470">
      <c r="A470" s="221"/>
      <c r="B470" s="384"/>
      <c r="C470" s="22"/>
      <c r="D470" s="23"/>
      <c r="E470" s="227"/>
      <c r="F470" s="228"/>
      <c r="G470" s="33"/>
      <c r="H470" s="143"/>
      <c r="I470" s="143"/>
      <c r="J470" s="111"/>
      <c r="K470" s="29"/>
      <c r="L470" s="30"/>
      <c r="M470" s="31"/>
      <c r="N470" s="39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</row>
    <row r="471">
      <c r="A471" s="221"/>
      <c r="B471" s="386"/>
      <c r="C471" s="49"/>
      <c r="D471" s="49"/>
      <c r="E471" s="31"/>
      <c r="F471" s="31"/>
      <c r="G471" s="49"/>
      <c r="H471" s="31"/>
      <c r="I471" s="31"/>
      <c r="J471" s="31"/>
      <c r="K471" s="31"/>
      <c r="L471" s="49"/>
      <c r="M471" s="49"/>
      <c r="N471" s="39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</row>
    <row r="472">
      <c r="A472" s="221"/>
      <c r="B472" s="384"/>
      <c r="C472" s="225"/>
      <c r="D472" s="226"/>
      <c r="E472" s="227"/>
      <c r="F472" s="228"/>
      <c r="G472" s="33"/>
      <c r="H472" s="143"/>
      <c r="I472" s="143"/>
      <c r="J472" s="111"/>
      <c r="K472" s="112"/>
      <c r="L472" s="230"/>
      <c r="M472" s="49"/>
      <c r="N472" s="39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</row>
    <row r="473">
      <c r="A473" s="385"/>
      <c r="B473" s="384"/>
      <c r="C473" s="22"/>
      <c r="D473" s="23"/>
      <c r="E473" s="227"/>
      <c r="F473" s="228"/>
      <c r="G473" s="33"/>
      <c r="H473" s="143"/>
      <c r="I473" s="143"/>
      <c r="J473" s="111"/>
      <c r="K473" s="29"/>
      <c r="L473" s="30"/>
      <c r="M473" s="31"/>
      <c r="N473" s="39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</row>
    <row r="474">
      <c r="A474" s="221"/>
      <c r="B474" s="388"/>
      <c r="C474" s="44"/>
      <c r="D474" s="44"/>
      <c r="E474" s="46"/>
      <c r="F474" s="46"/>
      <c r="G474" s="46"/>
      <c r="H474" s="46"/>
      <c r="I474" s="46"/>
      <c r="J474" s="46"/>
      <c r="K474" s="46"/>
      <c r="L474" s="44"/>
      <c r="M474" s="44"/>
      <c r="N474" s="39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</row>
    <row r="475">
      <c r="A475" s="221"/>
      <c r="B475" s="384"/>
      <c r="C475" s="22"/>
      <c r="D475" s="23"/>
      <c r="E475" s="227"/>
      <c r="F475" s="228"/>
      <c r="G475" s="33"/>
      <c r="H475" s="143"/>
      <c r="I475" s="143"/>
      <c r="J475" s="111"/>
      <c r="K475" s="112"/>
      <c r="L475" s="30"/>
      <c r="M475" s="31"/>
      <c r="N475" s="39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</row>
    <row r="476">
      <c r="A476" s="387"/>
      <c r="B476" s="384"/>
      <c r="C476" s="22"/>
      <c r="D476" s="23"/>
      <c r="E476" s="227"/>
      <c r="F476" s="228"/>
      <c r="G476" s="35"/>
      <c r="H476" s="143"/>
      <c r="I476" s="143"/>
      <c r="J476" s="111"/>
      <c r="K476" s="29"/>
      <c r="L476" s="30"/>
      <c r="M476" s="31"/>
      <c r="N476" s="46"/>
      <c r="O476" s="389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</row>
    <row r="477">
      <c r="A477" s="221"/>
      <c r="B477" s="384"/>
      <c r="C477" s="22"/>
      <c r="D477" s="23"/>
      <c r="E477" s="227"/>
      <c r="F477" s="228"/>
      <c r="G477" s="35"/>
      <c r="H477" s="143"/>
      <c r="I477" s="143"/>
      <c r="J477" s="111"/>
      <c r="K477" s="29"/>
      <c r="L477" s="30"/>
      <c r="M477" s="31"/>
      <c r="N477" s="39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</row>
    <row r="478">
      <c r="A478" s="221"/>
      <c r="B478" s="386"/>
      <c r="C478" s="49"/>
      <c r="D478" s="49"/>
      <c r="E478" s="31"/>
      <c r="F478" s="31"/>
      <c r="G478" s="49"/>
      <c r="H478" s="31"/>
      <c r="I478" s="31"/>
      <c r="J478" s="31"/>
      <c r="K478" s="31"/>
      <c r="L478" s="31"/>
      <c r="M478" s="31"/>
      <c r="N478" s="39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</row>
    <row r="479">
      <c r="A479" s="221"/>
      <c r="B479" s="384"/>
      <c r="C479" s="22"/>
      <c r="D479" s="226"/>
      <c r="E479" s="227"/>
      <c r="F479" s="228"/>
      <c r="G479" s="33"/>
      <c r="H479" s="143"/>
      <c r="I479" s="143"/>
      <c r="J479" s="111"/>
      <c r="K479" s="29"/>
      <c r="L479" s="30"/>
      <c r="M479" s="49"/>
      <c r="N479" s="39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</row>
    <row r="480">
      <c r="A480" s="385"/>
      <c r="B480" s="384"/>
      <c r="C480" s="22"/>
      <c r="D480" s="23"/>
      <c r="E480" s="227"/>
      <c r="F480" s="228"/>
      <c r="G480" s="35"/>
      <c r="H480" s="143"/>
      <c r="I480" s="143"/>
      <c r="J480" s="111"/>
      <c r="K480" s="112"/>
      <c r="L480" s="230"/>
      <c r="M480" s="31"/>
      <c r="N480" s="39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</row>
    <row r="481">
      <c r="A481" s="221"/>
      <c r="B481" s="384"/>
      <c r="C481" s="22"/>
      <c r="D481" s="226"/>
      <c r="E481" s="227"/>
      <c r="F481" s="228"/>
      <c r="G481" s="35"/>
      <c r="H481" s="143"/>
      <c r="I481" s="143"/>
      <c r="J481" s="111"/>
      <c r="K481" s="112"/>
      <c r="L481" s="230"/>
      <c r="M481" s="31"/>
      <c r="N481" s="39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</row>
    <row r="482">
      <c r="A482" s="221"/>
      <c r="B482" s="384"/>
      <c r="C482" s="225"/>
      <c r="D482" s="226"/>
      <c r="E482" s="227"/>
      <c r="F482" s="228"/>
      <c r="G482" s="35"/>
      <c r="H482" s="143"/>
      <c r="I482" s="143"/>
      <c r="J482" s="111"/>
      <c r="K482" s="112"/>
      <c r="L482" s="230"/>
      <c r="M482" s="31"/>
      <c r="N482" s="39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</row>
    <row r="483">
      <c r="A483" s="221"/>
      <c r="B483" s="384"/>
      <c r="C483" s="225"/>
      <c r="D483" s="226"/>
      <c r="E483" s="227"/>
      <c r="F483" s="228"/>
      <c r="G483" s="33"/>
      <c r="H483" s="143"/>
      <c r="I483" s="143"/>
      <c r="J483" s="111"/>
      <c r="K483" s="112"/>
      <c r="L483" s="230"/>
      <c r="M483" s="31"/>
      <c r="N483" s="39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</row>
    <row r="484">
      <c r="A484" s="221"/>
      <c r="B484" s="384"/>
      <c r="C484" s="22"/>
      <c r="D484" s="23"/>
      <c r="E484" s="227"/>
      <c r="F484" s="228"/>
      <c r="G484" s="35"/>
      <c r="H484" s="143"/>
      <c r="I484" s="143"/>
      <c r="J484" s="111"/>
      <c r="K484" s="112"/>
      <c r="L484" s="30"/>
      <c r="M484" s="49"/>
      <c r="N484" s="39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</row>
    <row r="485">
      <c r="A485" s="221"/>
      <c r="B485" s="386"/>
      <c r="C485" s="49"/>
      <c r="D485" s="49"/>
      <c r="E485" s="31"/>
      <c r="F485" s="31"/>
      <c r="G485" s="49"/>
      <c r="H485" s="31"/>
      <c r="I485" s="31"/>
      <c r="J485" s="31"/>
      <c r="K485" s="49"/>
      <c r="L485" s="49"/>
      <c r="M485" s="49"/>
      <c r="N485" s="39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</row>
    <row r="486">
      <c r="A486" s="221"/>
      <c r="B486" s="384"/>
      <c r="C486" s="225"/>
      <c r="D486" s="226"/>
      <c r="E486" s="227"/>
      <c r="F486" s="228"/>
      <c r="G486" s="33"/>
      <c r="H486" s="143"/>
      <c r="I486" s="143"/>
      <c r="J486" s="111"/>
      <c r="K486" s="112"/>
      <c r="L486" s="230"/>
      <c r="M486" s="31"/>
      <c r="N486" s="39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</row>
    <row r="487">
      <c r="A487" s="385"/>
      <c r="B487" s="384"/>
      <c r="C487" s="225"/>
      <c r="D487" s="226"/>
      <c r="E487" s="227"/>
      <c r="F487" s="228"/>
      <c r="G487" s="33"/>
      <c r="H487" s="143"/>
      <c r="I487" s="143"/>
      <c r="J487" s="111"/>
      <c r="K487" s="112"/>
      <c r="L487" s="230"/>
      <c r="M487" s="31"/>
      <c r="N487" s="39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</row>
    <row r="488">
      <c r="A488" s="221"/>
      <c r="B488" s="384"/>
      <c r="C488" s="225"/>
      <c r="D488" s="226"/>
      <c r="E488" s="227"/>
      <c r="F488" s="228"/>
      <c r="G488" s="33"/>
      <c r="H488" s="143"/>
      <c r="I488" s="143"/>
      <c r="J488" s="111"/>
      <c r="K488" s="112"/>
      <c r="L488" s="230"/>
      <c r="M488" s="31"/>
      <c r="N488" s="39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</row>
    <row r="489">
      <c r="A489" s="221"/>
      <c r="B489" s="384"/>
      <c r="C489" s="225"/>
      <c r="D489" s="226"/>
      <c r="E489" s="227"/>
      <c r="F489" s="228"/>
      <c r="G489" s="33"/>
      <c r="H489" s="143"/>
      <c r="I489" s="143"/>
      <c r="J489" s="111"/>
      <c r="K489" s="112"/>
      <c r="L489" s="230"/>
      <c r="M489" s="31"/>
      <c r="N489" s="39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</row>
    <row r="490">
      <c r="A490" s="221"/>
      <c r="B490" s="384"/>
      <c r="C490" s="225"/>
      <c r="D490" s="226"/>
      <c r="E490" s="227"/>
      <c r="F490" s="228"/>
      <c r="G490" s="33"/>
      <c r="H490" s="143"/>
      <c r="I490" s="143"/>
      <c r="J490" s="111"/>
      <c r="K490" s="112"/>
      <c r="L490" s="230"/>
      <c r="M490" s="31"/>
      <c r="N490" s="39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</row>
    <row r="491">
      <c r="A491" s="221"/>
      <c r="B491" s="384"/>
      <c r="C491" s="22"/>
      <c r="D491" s="23"/>
      <c r="E491" s="227"/>
      <c r="F491" s="228"/>
      <c r="G491" s="35"/>
      <c r="H491" s="143"/>
      <c r="I491" s="143"/>
      <c r="J491" s="111"/>
      <c r="K491" s="29"/>
      <c r="L491" s="30"/>
      <c r="M491" s="31"/>
      <c r="N491" s="39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</row>
    <row r="492">
      <c r="A492" s="221"/>
      <c r="B492" s="386"/>
      <c r="C492" s="49"/>
      <c r="D492" s="49"/>
      <c r="E492" s="31"/>
      <c r="F492" s="31"/>
      <c r="G492" s="49"/>
      <c r="H492" s="31"/>
      <c r="I492" s="31"/>
      <c r="J492" s="31"/>
      <c r="K492" s="49"/>
      <c r="L492" s="49"/>
      <c r="M492" s="49"/>
      <c r="N492" s="39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</row>
    <row r="493">
      <c r="A493" s="221"/>
      <c r="B493" s="384"/>
      <c r="C493" s="22"/>
      <c r="D493" s="23"/>
      <c r="E493" s="227"/>
      <c r="F493" s="228"/>
      <c r="G493" s="35"/>
      <c r="H493" s="143"/>
      <c r="I493" s="143"/>
      <c r="J493" s="111"/>
      <c r="K493" s="29"/>
      <c r="L493" s="30"/>
      <c r="M493" s="49"/>
      <c r="N493" s="39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</row>
    <row r="494">
      <c r="A494" s="385"/>
      <c r="B494" s="384"/>
      <c r="C494" s="22"/>
      <c r="D494" s="23"/>
      <c r="E494" s="227"/>
      <c r="F494" s="228"/>
      <c r="G494" s="35"/>
      <c r="H494" s="143"/>
      <c r="I494" s="143"/>
      <c r="J494" s="28"/>
      <c r="K494" s="29"/>
      <c r="L494" s="30"/>
      <c r="M494" s="31"/>
      <c r="N494" s="39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</row>
    <row r="495">
      <c r="A495" s="221"/>
      <c r="B495" s="384"/>
      <c r="C495" s="225"/>
      <c r="D495" s="226"/>
      <c r="E495" s="227"/>
      <c r="F495" s="228"/>
      <c r="G495" s="35"/>
      <c r="H495" s="143"/>
      <c r="I495" s="143"/>
      <c r="J495" s="111"/>
      <c r="K495" s="29"/>
      <c r="L495" s="30"/>
      <c r="M495" s="31"/>
      <c r="N495" s="39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</row>
    <row r="496">
      <c r="A496" s="221"/>
      <c r="B496" s="384"/>
      <c r="C496" s="22"/>
      <c r="D496" s="23"/>
      <c r="E496" s="227"/>
      <c r="F496" s="228"/>
      <c r="G496" s="35"/>
      <c r="H496" s="143"/>
      <c r="I496" s="143"/>
      <c r="J496" s="111"/>
      <c r="K496" s="29"/>
      <c r="L496" s="30"/>
      <c r="M496" s="31"/>
      <c r="N496" s="39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</row>
    <row r="497">
      <c r="A497" s="221"/>
      <c r="B497" s="129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31"/>
      <c r="N497" s="39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</row>
    <row r="498">
      <c r="A498" s="221"/>
      <c r="B498" s="384"/>
      <c r="C498" s="225"/>
      <c r="D498" s="226"/>
      <c r="E498" s="227"/>
      <c r="F498" s="228"/>
      <c r="G498" s="35"/>
      <c r="H498" s="143"/>
      <c r="I498" s="143"/>
      <c r="J498" s="111"/>
      <c r="K498" s="112"/>
      <c r="L498" s="230"/>
      <c r="M498" s="49"/>
      <c r="N498" s="39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</row>
    <row r="499">
      <c r="A499" s="68"/>
      <c r="B499" s="384"/>
      <c r="C499" s="22"/>
      <c r="D499" s="23"/>
      <c r="E499" s="227"/>
      <c r="F499" s="228"/>
      <c r="G499" s="35"/>
      <c r="H499" s="143"/>
      <c r="I499" s="143"/>
      <c r="J499" s="111"/>
      <c r="K499" s="29"/>
      <c r="L499" s="30"/>
      <c r="M499" s="49"/>
      <c r="N499" s="39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</row>
    <row r="500">
      <c r="A500" s="221"/>
      <c r="B500" s="386"/>
      <c r="C500" s="49"/>
      <c r="D500" s="49"/>
      <c r="E500" s="31"/>
      <c r="F500" s="31"/>
      <c r="G500" s="49"/>
      <c r="H500" s="31"/>
      <c r="I500" s="31"/>
      <c r="J500" s="31"/>
      <c r="K500" s="49"/>
      <c r="L500" s="49"/>
      <c r="M500" s="49"/>
      <c r="N500" s="39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</row>
    <row r="501">
      <c r="A501" s="221"/>
      <c r="B501" s="384"/>
      <c r="C501" s="225"/>
      <c r="D501" s="226"/>
      <c r="E501" s="227"/>
      <c r="F501" s="228"/>
      <c r="G501" s="35"/>
      <c r="H501" s="143"/>
      <c r="I501" s="143"/>
      <c r="J501" s="111"/>
      <c r="K501" s="112"/>
      <c r="L501" s="230"/>
      <c r="M501" s="31"/>
      <c r="N501" s="39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</row>
    <row r="502">
      <c r="A502" s="385"/>
      <c r="B502" s="384"/>
      <c r="C502" s="225"/>
      <c r="D502" s="226"/>
      <c r="E502" s="227"/>
      <c r="F502" s="228"/>
      <c r="G502" s="33"/>
      <c r="H502" s="143"/>
      <c r="I502" s="143"/>
      <c r="J502" s="111"/>
      <c r="K502" s="112"/>
      <c r="L502" s="230"/>
      <c r="M502" s="31"/>
      <c r="N502" s="39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</row>
    <row r="503">
      <c r="A503" s="221"/>
      <c r="B503" s="384"/>
      <c r="C503" s="22"/>
      <c r="D503" s="23"/>
      <c r="E503" s="227"/>
      <c r="F503" s="228"/>
      <c r="G503" s="35"/>
      <c r="H503" s="143"/>
      <c r="I503" s="143"/>
      <c r="J503" s="111"/>
      <c r="K503" s="29"/>
      <c r="L503" s="30"/>
      <c r="M503" s="31"/>
      <c r="N503" s="39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</row>
    <row r="504">
      <c r="A504" s="221"/>
      <c r="B504" s="384"/>
      <c r="C504" s="22"/>
      <c r="D504" s="23"/>
      <c r="E504" s="227"/>
      <c r="F504" s="228"/>
      <c r="G504" s="35"/>
      <c r="H504" s="143"/>
      <c r="I504" s="143"/>
      <c r="J504" s="111"/>
      <c r="K504" s="29"/>
      <c r="L504" s="30"/>
      <c r="M504" s="31"/>
      <c r="N504" s="39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</row>
    <row r="505">
      <c r="A505" s="221"/>
      <c r="B505" s="384"/>
      <c r="C505" s="225"/>
      <c r="D505" s="226"/>
      <c r="E505" s="227"/>
      <c r="F505" s="228"/>
      <c r="G505" s="33"/>
      <c r="H505" s="27"/>
      <c r="I505" s="27"/>
      <c r="J505" s="111"/>
      <c r="K505" s="112"/>
      <c r="L505" s="230"/>
      <c r="M505" s="49"/>
      <c r="N505" s="39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</row>
    <row r="506">
      <c r="A506" s="221"/>
      <c r="B506" s="384"/>
      <c r="C506" s="22"/>
      <c r="D506" s="23"/>
      <c r="E506" s="227"/>
      <c r="F506" s="228"/>
      <c r="G506" s="35"/>
      <c r="H506" s="27"/>
      <c r="I506" s="27"/>
      <c r="J506" s="111"/>
      <c r="K506" s="29"/>
      <c r="L506" s="30"/>
      <c r="M506" s="31"/>
      <c r="N506" s="39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</row>
    <row r="507">
      <c r="A507" s="221"/>
      <c r="B507" s="386"/>
      <c r="C507" s="49"/>
      <c r="D507" s="49"/>
      <c r="E507" s="31"/>
      <c r="F507" s="31"/>
      <c r="G507" s="49"/>
      <c r="H507" s="49"/>
      <c r="I507" s="49"/>
      <c r="J507" s="31"/>
      <c r="K507" s="49"/>
      <c r="L507" s="49"/>
      <c r="M507" s="49"/>
      <c r="N507" s="39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</row>
    <row r="508">
      <c r="A508" s="221"/>
      <c r="B508" s="384"/>
      <c r="C508" s="225"/>
      <c r="D508" s="226"/>
      <c r="E508" s="227"/>
      <c r="F508" s="228"/>
      <c r="G508" s="35"/>
      <c r="H508" s="143"/>
      <c r="I508" s="143"/>
      <c r="J508" s="111"/>
      <c r="K508" s="112"/>
      <c r="L508" s="230"/>
      <c r="M508" s="31"/>
      <c r="N508" s="39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</row>
    <row r="509">
      <c r="A509" s="385"/>
      <c r="B509" s="384"/>
      <c r="C509" s="22"/>
      <c r="D509" s="23"/>
      <c r="E509" s="227"/>
      <c r="F509" s="228"/>
      <c r="G509" s="35"/>
      <c r="H509" s="27"/>
      <c r="I509" s="27"/>
      <c r="J509" s="111"/>
      <c r="K509" s="29"/>
      <c r="L509" s="30"/>
      <c r="M509" s="49"/>
      <c r="N509" s="39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</row>
    <row r="510">
      <c r="A510" s="221"/>
      <c r="B510" s="384"/>
      <c r="C510" s="22"/>
      <c r="D510" s="23"/>
      <c r="E510" s="227"/>
      <c r="F510" s="228"/>
      <c r="G510" s="35"/>
      <c r="H510" s="27"/>
      <c r="I510" s="27"/>
      <c r="J510" s="111"/>
      <c r="K510" s="29"/>
      <c r="L510" s="30"/>
      <c r="M510" s="31"/>
      <c r="N510" s="39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</row>
    <row r="511">
      <c r="A511" s="221"/>
      <c r="B511" s="384"/>
      <c r="C511" s="22"/>
      <c r="D511" s="23"/>
      <c r="E511" s="227"/>
      <c r="F511" s="228"/>
      <c r="G511" s="35"/>
      <c r="H511" s="27"/>
      <c r="I511" s="27"/>
      <c r="J511" s="111"/>
      <c r="K511" s="29"/>
      <c r="L511" s="30"/>
      <c r="M511" s="31"/>
      <c r="N511" s="39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</row>
    <row r="512">
      <c r="A512" s="221"/>
      <c r="B512" s="384"/>
      <c r="C512" s="22"/>
      <c r="D512" s="23"/>
      <c r="E512" s="227"/>
      <c r="F512" s="228"/>
      <c r="G512" s="35"/>
      <c r="H512" s="143"/>
      <c r="I512" s="143"/>
      <c r="J512" s="111"/>
      <c r="K512" s="29"/>
      <c r="L512" s="30"/>
      <c r="M512" s="49"/>
      <c r="N512" s="39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</row>
    <row r="513">
      <c r="A513" s="221"/>
      <c r="B513" s="384"/>
      <c r="C513" s="22"/>
      <c r="D513" s="23"/>
      <c r="E513" s="227"/>
      <c r="F513" s="228"/>
      <c r="G513" s="35"/>
      <c r="H513" s="143"/>
      <c r="I513" s="143"/>
      <c r="J513" s="111"/>
      <c r="K513" s="29"/>
      <c r="L513" s="30"/>
      <c r="M513" s="49"/>
      <c r="N513" s="39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</row>
    <row r="514">
      <c r="A514" s="221"/>
      <c r="B514" s="386"/>
      <c r="C514" s="49"/>
      <c r="D514" s="49"/>
      <c r="E514" s="31"/>
      <c r="F514" s="31"/>
      <c r="G514" s="49"/>
      <c r="H514" s="49"/>
      <c r="I514" s="49"/>
      <c r="J514" s="31"/>
      <c r="K514" s="49"/>
      <c r="L514" s="49"/>
      <c r="M514" s="49"/>
      <c r="N514" s="39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</row>
    <row r="515">
      <c r="A515" s="221"/>
      <c r="B515" s="384"/>
      <c r="C515" s="22"/>
      <c r="D515" s="23"/>
      <c r="E515" s="227"/>
      <c r="F515" s="228"/>
      <c r="G515" s="35"/>
      <c r="H515" s="27"/>
      <c r="I515" s="27"/>
      <c r="J515" s="111"/>
      <c r="K515" s="29"/>
      <c r="L515" s="30"/>
      <c r="M515" s="49"/>
      <c r="N515" s="39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</row>
    <row r="516">
      <c r="A516" s="385"/>
      <c r="B516" s="384"/>
      <c r="C516" s="22"/>
      <c r="D516" s="23"/>
      <c r="E516" s="227"/>
      <c r="F516" s="228"/>
      <c r="G516" s="35"/>
      <c r="H516" s="27"/>
      <c r="I516" s="27"/>
      <c r="J516" s="111"/>
      <c r="K516" s="29"/>
      <c r="L516" s="30"/>
      <c r="M516" s="31"/>
      <c r="N516" s="39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</row>
    <row r="517">
      <c r="A517" s="221"/>
      <c r="B517" s="384"/>
      <c r="C517" s="22"/>
      <c r="D517" s="23"/>
      <c r="E517" s="227"/>
      <c r="F517" s="228"/>
      <c r="G517" s="35"/>
      <c r="H517" s="27"/>
      <c r="I517" s="27"/>
      <c r="J517" s="111"/>
      <c r="K517" s="29"/>
      <c r="L517" s="30"/>
      <c r="M517" s="31"/>
      <c r="N517" s="39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</row>
    <row r="518">
      <c r="A518" s="221"/>
      <c r="B518" s="384"/>
      <c r="C518" s="22"/>
      <c r="D518" s="23"/>
      <c r="E518" s="227"/>
      <c r="F518" s="228"/>
      <c r="G518" s="35"/>
      <c r="H518" s="27"/>
      <c r="I518" s="27"/>
      <c r="J518" s="111"/>
      <c r="K518" s="29"/>
      <c r="L518" s="30"/>
      <c r="M518" s="49"/>
      <c r="N518" s="39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</row>
    <row r="519">
      <c r="A519" s="221"/>
      <c r="B519" s="384"/>
      <c r="C519" s="22"/>
      <c r="D519" s="23"/>
      <c r="E519" s="227"/>
      <c r="F519" s="228"/>
      <c r="G519" s="35"/>
      <c r="H519" s="143"/>
      <c r="I519" s="143"/>
      <c r="J519" s="111"/>
      <c r="K519" s="29"/>
      <c r="L519" s="30"/>
      <c r="M519" s="49"/>
      <c r="N519" s="39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</row>
    <row r="520">
      <c r="A520" s="221"/>
      <c r="B520" s="384"/>
      <c r="C520" s="22"/>
      <c r="D520" s="23"/>
      <c r="E520" s="227"/>
      <c r="F520" s="228"/>
      <c r="G520" s="35"/>
      <c r="H520" s="27"/>
      <c r="I520" s="27"/>
      <c r="J520" s="111"/>
      <c r="K520" s="29"/>
      <c r="L520" s="30"/>
      <c r="M520" s="49"/>
      <c r="N520" s="39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</row>
    <row r="521">
      <c r="A521" s="221"/>
      <c r="B521" s="386"/>
      <c r="C521" s="49"/>
      <c r="D521" s="49"/>
      <c r="E521" s="31"/>
      <c r="F521" s="31"/>
      <c r="G521" s="49"/>
      <c r="H521" s="49"/>
      <c r="I521" s="49"/>
      <c r="J521" s="31"/>
      <c r="K521" s="49"/>
      <c r="L521" s="49"/>
      <c r="M521" s="49"/>
      <c r="N521" s="39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</row>
    <row r="522">
      <c r="A522" s="221"/>
      <c r="B522" s="384"/>
      <c r="C522" s="22"/>
      <c r="D522" s="23"/>
      <c r="E522" s="227"/>
      <c r="F522" s="228"/>
      <c r="G522" s="35"/>
      <c r="H522" s="27"/>
      <c r="I522" s="27"/>
      <c r="J522" s="111"/>
      <c r="K522" s="29"/>
      <c r="L522" s="30"/>
      <c r="M522" s="49"/>
      <c r="N522" s="39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</row>
    <row r="523">
      <c r="A523" s="385"/>
      <c r="B523" s="384"/>
      <c r="C523" s="22"/>
      <c r="D523" s="226"/>
      <c r="E523" s="227"/>
      <c r="F523" s="228"/>
      <c r="G523" s="35"/>
      <c r="H523" s="27"/>
      <c r="I523" s="27"/>
      <c r="J523" s="111"/>
      <c r="K523" s="29"/>
      <c r="L523" s="30"/>
      <c r="M523" s="49"/>
      <c r="N523" s="39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</row>
    <row r="524">
      <c r="A524" s="221"/>
      <c r="B524" s="384"/>
      <c r="C524" s="22"/>
      <c r="D524" s="23"/>
      <c r="E524" s="227"/>
      <c r="F524" s="228"/>
      <c r="G524" s="35"/>
      <c r="H524" s="27"/>
      <c r="I524" s="27"/>
      <c r="J524" s="111"/>
      <c r="K524" s="29"/>
      <c r="L524" s="30"/>
      <c r="M524" s="31"/>
      <c r="N524" s="39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</row>
    <row r="525">
      <c r="A525" s="221"/>
      <c r="B525" s="384"/>
      <c r="C525" s="22"/>
      <c r="D525" s="23"/>
      <c r="E525" s="227"/>
      <c r="F525" s="228"/>
      <c r="G525" s="35"/>
      <c r="H525" s="27"/>
      <c r="I525" s="27"/>
      <c r="J525" s="111"/>
      <c r="K525" s="29"/>
      <c r="L525" s="30"/>
      <c r="M525" s="49"/>
      <c r="N525" s="39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</row>
    <row r="526">
      <c r="A526" s="221"/>
      <c r="B526" s="384"/>
      <c r="C526" s="22"/>
      <c r="D526" s="23"/>
      <c r="E526" s="227"/>
      <c r="F526" s="228"/>
      <c r="G526" s="33"/>
      <c r="H526" s="27"/>
      <c r="I526" s="27"/>
      <c r="J526" s="111"/>
      <c r="K526" s="29"/>
      <c r="L526" s="30"/>
      <c r="M526" s="49"/>
      <c r="N526" s="39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</row>
    <row r="527">
      <c r="A527" s="221"/>
      <c r="B527" s="384"/>
      <c r="C527" s="22"/>
      <c r="D527" s="23"/>
      <c r="E527" s="227"/>
      <c r="F527" s="228"/>
      <c r="G527" s="35"/>
      <c r="H527" s="143"/>
      <c r="I527" s="143"/>
      <c r="J527" s="111"/>
      <c r="K527" s="29"/>
      <c r="L527" s="30"/>
      <c r="M527" s="49"/>
      <c r="N527" s="39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</row>
    <row r="528">
      <c r="A528" s="221"/>
      <c r="B528" s="386"/>
      <c r="C528" s="49"/>
      <c r="D528" s="49"/>
      <c r="E528" s="31"/>
      <c r="F528" s="31"/>
      <c r="G528" s="49"/>
      <c r="H528" s="49"/>
      <c r="I528" s="49"/>
      <c r="J528" s="31"/>
      <c r="K528" s="49"/>
      <c r="L528" s="49"/>
      <c r="M528" s="49"/>
      <c r="N528" s="39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</row>
    <row r="529">
      <c r="A529" s="221"/>
      <c r="B529" s="129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31"/>
      <c r="N529" s="39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</row>
    <row r="530">
      <c r="A530" s="385"/>
      <c r="B530" s="384"/>
      <c r="C530" s="22"/>
      <c r="D530" s="23"/>
      <c r="E530" s="227"/>
      <c r="F530" s="228"/>
      <c r="G530" s="35"/>
      <c r="H530" s="27"/>
      <c r="I530" s="27"/>
      <c r="J530" s="111"/>
      <c r="K530" s="29"/>
      <c r="L530" s="30"/>
      <c r="M530" s="49"/>
      <c r="N530" s="39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</row>
    <row r="531">
      <c r="A531" s="68"/>
      <c r="B531" s="384"/>
      <c r="C531" s="22"/>
      <c r="D531" s="23"/>
      <c r="E531" s="227"/>
      <c r="F531" s="228"/>
      <c r="G531" s="35"/>
      <c r="H531" s="27"/>
      <c r="I531" s="27"/>
      <c r="J531" s="111"/>
      <c r="K531" s="29"/>
      <c r="L531" s="30"/>
      <c r="M531" s="49"/>
      <c r="N531" s="39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</row>
    <row r="532">
      <c r="A532" s="221"/>
      <c r="B532" s="384"/>
      <c r="C532" s="22"/>
      <c r="D532" s="23"/>
      <c r="E532" s="227"/>
      <c r="F532" s="228"/>
      <c r="G532" s="35"/>
      <c r="H532" s="143"/>
      <c r="I532" s="143"/>
      <c r="J532" s="111"/>
      <c r="K532" s="29"/>
      <c r="L532" s="30"/>
      <c r="M532" s="49"/>
      <c r="N532" s="39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</row>
    <row r="533">
      <c r="A533" s="221"/>
      <c r="B533" s="384"/>
      <c r="C533" s="22"/>
      <c r="D533" s="23"/>
      <c r="E533" s="227"/>
      <c r="F533" s="228"/>
      <c r="G533" s="33"/>
      <c r="H533" s="143"/>
      <c r="I533" s="143"/>
      <c r="J533" s="111"/>
      <c r="K533" s="29"/>
      <c r="L533" s="30"/>
      <c r="M533" s="49"/>
      <c r="N533" s="39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</row>
    <row r="534">
      <c r="A534" s="221"/>
      <c r="B534" s="384"/>
      <c r="C534" s="22"/>
      <c r="D534" s="23"/>
      <c r="E534" s="227"/>
      <c r="F534" s="228"/>
      <c r="G534" s="35"/>
      <c r="H534" s="143"/>
      <c r="I534" s="143"/>
      <c r="J534" s="111"/>
      <c r="K534" s="29"/>
      <c r="L534" s="30"/>
      <c r="M534" s="49"/>
      <c r="N534" s="39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</row>
    <row r="535">
      <c r="A535" s="221"/>
      <c r="B535" s="384"/>
      <c r="C535" s="22"/>
      <c r="D535" s="23"/>
      <c r="E535" s="227"/>
      <c r="F535" s="228"/>
      <c r="G535" s="35"/>
      <c r="H535" s="143"/>
      <c r="I535" s="143"/>
      <c r="J535" s="111"/>
      <c r="K535" s="29"/>
      <c r="L535" s="30"/>
      <c r="M535" s="49"/>
      <c r="N535" s="39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</row>
    <row r="536">
      <c r="A536" s="221"/>
      <c r="B536" s="386"/>
      <c r="C536" s="49"/>
      <c r="D536" s="49"/>
      <c r="E536" s="31"/>
      <c r="F536" s="31"/>
      <c r="G536" s="49"/>
      <c r="H536" s="49"/>
      <c r="I536" s="49"/>
      <c r="J536" s="31"/>
      <c r="K536" s="49"/>
      <c r="L536" s="49"/>
      <c r="M536" s="49"/>
      <c r="N536" s="39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</row>
    <row r="537">
      <c r="A537" s="221"/>
      <c r="B537" s="384"/>
      <c r="C537" s="22"/>
      <c r="D537" s="23"/>
      <c r="E537" s="227"/>
      <c r="F537" s="228"/>
      <c r="G537" s="33"/>
      <c r="H537" s="27"/>
      <c r="I537" s="27"/>
      <c r="J537" s="111"/>
      <c r="K537" s="29"/>
      <c r="L537" s="30"/>
      <c r="M537" s="49"/>
      <c r="N537" s="39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</row>
    <row r="538">
      <c r="A538" s="385"/>
      <c r="B538" s="384"/>
      <c r="C538" s="22"/>
      <c r="D538" s="23"/>
      <c r="E538" s="227"/>
      <c r="F538" s="228"/>
      <c r="G538" s="35"/>
      <c r="H538" s="27"/>
      <c r="I538" s="27"/>
      <c r="J538" s="111"/>
      <c r="K538" s="29"/>
      <c r="L538" s="30"/>
      <c r="M538" s="49"/>
      <c r="N538" s="39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</row>
    <row r="539">
      <c r="A539" s="221"/>
      <c r="B539" s="384"/>
      <c r="C539" s="22"/>
      <c r="D539" s="23"/>
      <c r="E539" s="227"/>
      <c r="F539" s="228"/>
      <c r="G539" s="35"/>
      <c r="H539" s="27"/>
      <c r="I539" s="27"/>
      <c r="J539" s="111"/>
      <c r="K539" s="29"/>
      <c r="L539" s="30"/>
      <c r="M539" s="49"/>
      <c r="N539" s="39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</row>
    <row r="540">
      <c r="A540" s="221"/>
      <c r="B540" s="384"/>
      <c r="C540" s="22"/>
      <c r="D540" s="23"/>
      <c r="E540" s="227"/>
      <c r="F540" s="228"/>
      <c r="G540" s="35"/>
      <c r="H540" s="143"/>
      <c r="I540" s="143"/>
      <c r="J540" s="111"/>
      <c r="K540" s="29"/>
      <c r="L540" s="30"/>
      <c r="M540" s="31"/>
      <c r="N540" s="39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</row>
    <row r="541">
      <c r="A541" s="221"/>
      <c r="B541" s="384"/>
      <c r="C541" s="22"/>
      <c r="D541" s="23"/>
      <c r="E541" s="227"/>
      <c r="F541" s="228"/>
      <c r="G541" s="35"/>
      <c r="H541" s="27"/>
      <c r="I541" s="27"/>
      <c r="J541" s="111"/>
      <c r="K541" s="29"/>
      <c r="L541" s="30"/>
      <c r="M541" s="49"/>
      <c r="N541" s="39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</row>
    <row r="542">
      <c r="A542" s="221"/>
      <c r="B542" s="384"/>
      <c r="C542" s="22"/>
      <c r="D542" s="23"/>
      <c r="E542" s="227"/>
      <c r="F542" s="228"/>
      <c r="G542" s="33"/>
      <c r="H542" s="27"/>
      <c r="I542" s="27"/>
      <c r="J542" s="111"/>
      <c r="K542" s="29"/>
      <c r="L542" s="30"/>
      <c r="M542" s="49"/>
      <c r="N542" s="39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</row>
    <row r="543">
      <c r="A543" s="221"/>
      <c r="B543" s="386"/>
      <c r="C543" s="49"/>
      <c r="D543" s="49"/>
      <c r="E543" s="31"/>
      <c r="F543" s="31"/>
      <c r="G543" s="49"/>
      <c r="H543" s="49"/>
      <c r="I543" s="49"/>
      <c r="J543" s="31"/>
      <c r="K543" s="49"/>
      <c r="L543" s="49"/>
      <c r="M543" s="49"/>
      <c r="N543" s="32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</row>
    <row r="544">
      <c r="A544" s="221"/>
      <c r="B544" s="384"/>
      <c r="C544" s="22"/>
      <c r="D544" s="23"/>
      <c r="E544" s="227"/>
      <c r="F544" s="228"/>
      <c r="G544" s="33"/>
      <c r="H544" s="27"/>
      <c r="I544" s="27"/>
      <c r="J544" s="111"/>
      <c r="K544" s="29"/>
      <c r="L544" s="30"/>
      <c r="M544" s="49"/>
      <c r="N544" s="32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</row>
    <row r="545">
      <c r="A545" s="385"/>
      <c r="B545" s="384"/>
      <c r="C545" s="22"/>
      <c r="D545" s="23"/>
      <c r="E545" s="227"/>
      <c r="F545" s="228"/>
      <c r="G545" s="35"/>
      <c r="H545" s="27"/>
      <c r="I545" s="27"/>
      <c r="J545" s="111"/>
      <c r="K545" s="29"/>
      <c r="L545" s="30"/>
      <c r="M545" s="49"/>
      <c r="N545" s="39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</row>
    <row r="546">
      <c r="A546" s="221"/>
      <c r="B546" s="384"/>
      <c r="C546" s="22"/>
      <c r="D546" s="23"/>
      <c r="E546" s="227"/>
      <c r="F546" s="228"/>
      <c r="G546" s="35"/>
      <c r="H546" s="143"/>
      <c r="I546" s="143"/>
      <c r="J546" s="111"/>
      <c r="K546" s="29"/>
      <c r="L546" s="30"/>
      <c r="M546" s="49"/>
      <c r="N546" s="32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</row>
    <row r="547">
      <c r="A547" s="221"/>
      <c r="B547" s="384"/>
      <c r="C547" s="22"/>
      <c r="D547" s="23"/>
      <c r="E547" s="227"/>
      <c r="F547" s="228"/>
      <c r="G547" s="35"/>
      <c r="H547" s="27"/>
      <c r="I547" s="27"/>
      <c r="J547" s="111"/>
      <c r="K547" s="29"/>
      <c r="L547" s="30"/>
      <c r="M547" s="49"/>
      <c r="N547" s="32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</row>
    <row r="548">
      <c r="A548" s="221"/>
      <c r="B548" s="384"/>
      <c r="C548" s="225"/>
      <c r="D548" s="226"/>
      <c r="E548" s="227"/>
      <c r="F548" s="228"/>
      <c r="G548" s="33"/>
      <c r="H548" s="27"/>
      <c r="I548" s="27"/>
      <c r="J548" s="111"/>
      <c r="K548" s="112"/>
      <c r="L548" s="230"/>
      <c r="M548" s="31"/>
      <c r="N548" s="32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</row>
    <row r="549">
      <c r="A549" s="221"/>
      <c r="B549" s="384"/>
      <c r="C549" s="22"/>
      <c r="D549" s="23"/>
      <c r="E549" s="227"/>
      <c r="F549" s="228"/>
      <c r="G549" s="35"/>
      <c r="H549" s="27"/>
      <c r="I549" s="27"/>
      <c r="J549" s="111"/>
      <c r="K549" s="29"/>
      <c r="L549" s="30"/>
      <c r="M549" s="49"/>
      <c r="N549" s="32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</row>
    <row r="550">
      <c r="A550" s="221"/>
      <c r="B550" s="386"/>
      <c r="C550" s="49"/>
      <c r="D550" s="49"/>
      <c r="E550" s="31"/>
      <c r="F550" s="31"/>
      <c r="G550" s="49"/>
      <c r="H550" s="49"/>
      <c r="I550" s="49"/>
      <c r="J550" s="31"/>
      <c r="K550" s="49"/>
      <c r="L550" s="49"/>
      <c r="M550" s="49"/>
      <c r="N550" s="39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</row>
    <row r="551">
      <c r="A551" s="221"/>
      <c r="B551" s="384"/>
      <c r="C551" s="22"/>
      <c r="D551" s="23"/>
      <c r="E551" s="227"/>
      <c r="F551" s="228"/>
      <c r="G551" s="35"/>
      <c r="H551" s="27"/>
      <c r="I551" s="27"/>
      <c r="J551" s="111"/>
      <c r="K551" s="29"/>
      <c r="L551" s="30"/>
      <c r="M551" s="49"/>
      <c r="N551" s="39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</row>
    <row r="552">
      <c r="A552" s="385"/>
      <c r="B552" s="384"/>
      <c r="C552" s="22"/>
      <c r="D552" s="23"/>
      <c r="E552" s="227"/>
      <c r="F552" s="228"/>
      <c r="G552" s="35"/>
      <c r="H552" s="27"/>
      <c r="I552" s="27"/>
      <c r="J552" s="111"/>
      <c r="K552" s="29"/>
      <c r="L552" s="30"/>
      <c r="M552" s="49"/>
      <c r="N552" s="39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</row>
    <row r="553">
      <c r="A553" s="221"/>
      <c r="B553" s="384"/>
      <c r="C553" s="22"/>
      <c r="D553" s="23"/>
      <c r="E553" s="227"/>
      <c r="F553" s="228"/>
      <c r="G553" s="35"/>
      <c r="H553" s="27"/>
      <c r="I553" s="27"/>
      <c r="J553" s="111"/>
      <c r="K553" s="29"/>
      <c r="L553" s="30"/>
      <c r="M553" s="49"/>
      <c r="N553" s="32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</row>
    <row r="554">
      <c r="A554" s="221"/>
      <c r="B554" s="384"/>
      <c r="C554" s="22"/>
      <c r="D554" s="23"/>
      <c r="E554" s="227"/>
      <c r="F554" s="228"/>
      <c r="G554" s="35"/>
      <c r="H554" s="27"/>
      <c r="I554" s="27"/>
      <c r="J554" s="111"/>
      <c r="K554" s="29"/>
      <c r="L554" s="30"/>
      <c r="M554" s="49"/>
      <c r="N554" s="32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</row>
    <row r="555">
      <c r="A555" s="221"/>
      <c r="B555" s="384"/>
      <c r="C555" s="22"/>
      <c r="D555" s="23"/>
      <c r="E555" s="227"/>
      <c r="F555" s="228"/>
      <c r="G555" s="35"/>
      <c r="H555" s="27"/>
      <c r="I555" s="27"/>
      <c r="J555" s="111"/>
      <c r="K555" s="29"/>
      <c r="L555" s="30"/>
      <c r="M555" s="49"/>
      <c r="N555" s="39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</row>
    <row r="556">
      <c r="A556" s="221"/>
      <c r="B556" s="384"/>
      <c r="C556" s="22"/>
      <c r="D556" s="23"/>
      <c r="E556" s="227"/>
      <c r="F556" s="228"/>
      <c r="G556" s="35"/>
      <c r="H556" s="27"/>
      <c r="I556" s="27"/>
      <c r="J556" s="111"/>
      <c r="K556" s="29"/>
      <c r="L556" s="30"/>
      <c r="M556" s="49"/>
      <c r="N556" s="39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</row>
    <row r="557">
      <c r="A557" s="221"/>
      <c r="B557" s="386"/>
      <c r="C557" s="49"/>
      <c r="D557" s="49"/>
      <c r="E557" s="31"/>
      <c r="F557" s="31"/>
      <c r="G557" s="49"/>
      <c r="H557" s="49"/>
      <c r="I557" s="49"/>
      <c r="J557" s="31"/>
      <c r="K557" s="49"/>
      <c r="L557" s="49"/>
      <c r="M557" s="49"/>
      <c r="N557" s="39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</row>
    <row r="558">
      <c r="A558" s="221"/>
      <c r="B558" s="384"/>
      <c r="C558" s="22"/>
      <c r="D558" s="23"/>
      <c r="E558" s="227"/>
      <c r="F558" s="228"/>
      <c r="G558" s="35"/>
      <c r="H558" s="27"/>
      <c r="I558" s="27"/>
      <c r="J558" s="111"/>
      <c r="K558" s="29"/>
      <c r="L558" s="30"/>
      <c r="M558" s="49"/>
      <c r="N558" s="39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</row>
    <row r="559">
      <c r="A559" s="385"/>
      <c r="B559" s="384"/>
      <c r="C559" s="22"/>
      <c r="D559" s="23"/>
      <c r="E559" s="227"/>
      <c r="F559" s="228"/>
      <c r="G559" s="35"/>
      <c r="H559" s="27"/>
      <c r="I559" s="27"/>
      <c r="J559" s="111"/>
      <c r="K559" s="29"/>
      <c r="L559" s="30"/>
      <c r="M559" s="49"/>
      <c r="N559" s="39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</row>
    <row r="560">
      <c r="A560" s="221"/>
      <c r="B560" s="129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31"/>
      <c r="N560" s="39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</row>
    <row r="561">
      <c r="A561" s="221"/>
      <c r="B561" s="384"/>
      <c r="C561" s="22"/>
      <c r="D561" s="23"/>
      <c r="E561" s="227"/>
      <c r="F561" s="228"/>
      <c r="G561" s="35"/>
      <c r="H561" s="27"/>
      <c r="I561" s="27"/>
      <c r="J561" s="111"/>
      <c r="K561" s="29"/>
      <c r="L561" s="30"/>
      <c r="M561" s="49"/>
      <c r="N561" s="39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</row>
    <row r="562">
      <c r="A562" s="68"/>
      <c r="B562" s="384"/>
      <c r="C562" s="22"/>
      <c r="D562" s="23"/>
      <c r="E562" s="227"/>
      <c r="F562" s="228"/>
      <c r="G562" s="35"/>
      <c r="H562" s="27"/>
      <c r="I562" s="27"/>
      <c r="J562" s="111"/>
      <c r="K562" s="29"/>
      <c r="L562" s="30"/>
      <c r="M562" s="49"/>
      <c r="N562" s="39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</row>
    <row r="563">
      <c r="A563" s="221"/>
      <c r="B563" s="384"/>
      <c r="C563" s="22"/>
      <c r="D563" s="23"/>
      <c r="E563" s="227"/>
      <c r="F563" s="228"/>
      <c r="G563" s="35"/>
      <c r="H563" s="27"/>
      <c r="I563" s="27"/>
      <c r="J563" s="111"/>
      <c r="K563" s="29"/>
      <c r="L563" s="30"/>
      <c r="M563" s="31"/>
      <c r="N563" s="39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</row>
    <row r="564">
      <c r="A564" s="221"/>
      <c r="B564" s="384"/>
      <c r="C564" s="22"/>
      <c r="D564" s="23"/>
      <c r="E564" s="227"/>
      <c r="F564" s="228"/>
      <c r="G564" s="35"/>
      <c r="H564" s="27"/>
      <c r="I564" s="27"/>
      <c r="J564" s="111"/>
      <c r="K564" s="29"/>
      <c r="L564" s="30"/>
      <c r="M564" s="31"/>
      <c r="N564" s="39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</row>
    <row r="565">
      <c r="A565" s="221"/>
      <c r="B565" s="386"/>
      <c r="C565" s="49"/>
      <c r="D565" s="49"/>
      <c r="E565" s="31"/>
      <c r="F565" s="31"/>
      <c r="G565" s="49"/>
      <c r="H565" s="31"/>
      <c r="I565" s="31"/>
      <c r="J565" s="31"/>
      <c r="K565" s="49"/>
      <c r="L565" s="49"/>
      <c r="M565" s="49"/>
      <c r="N565" s="39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</row>
    <row r="566">
      <c r="A566" s="221"/>
      <c r="B566" s="384"/>
      <c r="C566" s="22"/>
      <c r="D566" s="23"/>
      <c r="E566" s="227"/>
      <c r="F566" s="228"/>
      <c r="G566" s="35"/>
      <c r="H566" s="27"/>
      <c r="I566" s="27"/>
      <c r="J566" s="111"/>
      <c r="K566" s="29"/>
      <c r="L566" s="30"/>
      <c r="M566" s="49"/>
      <c r="N566" s="39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</row>
    <row r="567">
      <c r="A567" s="385"/>
      <c r="B567" s="384"/>
      <c r="C567" s="22"/>
      <c r="D567" s="23"/>
      <c r="E567" s="227"/>
      <c r="F567" s="228"/>
      <c r="G567" s="35"/>
      <c r="H567" s="27"/>
      <c r="I567" s="27"/>
      <c r="J567" s="111"/>
      <c r="K567" s="29"/>
      <c r="L567" s="30"/>
      <c r="M567" s="49"/>
      <c r="N567" s="39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</row>
    <row r="568">
      <c r="A568" s="221"/>
      <c r="B568" s="384"/>
      <c r="C568" s="22"/>
      <c r="D568" s="23"/>
      <c r="E568" s="227"/>
      <c r="F568" s="228"/>
      <c r="G568" s="35"/>
      <c r="H568" s="27"/>
      <c r="I568" s="27"/>
      <c r="J568" s="111"/>
      <c r="K568" s="29"/>
      <c r="L568" s="30"/>
      <c r="M568" s="49"/>
      <c r="N568" s="39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</row>
    <row r="569">
      <c r="A569" s="221"/>
      <c r="B569" s="384"/>
      <c r="C569" s="22"/>
      <c r="D569" s="23"/>
      <c r="E569" s="227"/>
      <c r="F569" s="228"/>
      <c r="G569" s="35"/>
      <c r="H569" s="27"/>
      <c r="I569" s="143"/>
      <c r="J569" s="111"/>
      <c r="K569" s="29"/>
      <c r="L569" s="30"/>
      <c r="M569" s="49"/>
      <c r="N569" s="39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</row>
    <row r="570">
      <c r="A570" s="221"/>
      <c r="B570" s="384"/>
      <c r="C570" s="22"/>
      <c r="D570" s="23"/>
      <c r="E570" s="227"/>
      <c r="F570" s="228"/>
      <c r="G570" s="35"/>
      <c r="H570" s="27"/>
      <c r="I570" s="143"/>
      <c r="J570" s="111"/>
      <c r="K570" s="29"/>
      <c r="L570" s="30"/>
      <c r="M570" s="49"/>
      <c r="N570" s="39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</row>
    <row r="571">
      <c r="A571" s="221"/>
      <c r="B571" s="384"/>
      <c r="C571" s="22"/>
      <c r="D571" s="23"/>
      <c r="E571" s="227"/>
      <c r="F571" s="228"/>
      <c r="G571" s="35"/>
      <c r="H571" s="27"/>
      <c r="I571" s="143"/>
      <c r="J571" s="111"/>
      <c r="K571" s="29"/>
      <c r="L571" s="30"/>
      <c r="M571" s="49"/>
      <c r="N571" s="39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</row>
    <row r="572">
      <c r="A572" s="221"/>
      <c r="B572" s="386"/>
      <c r="C572" s="49"/>
      <c r="D572" s="49"/>
      <c r="E572" s="31"/>
      <c r="F572" s="31"/>
      <c r="G572" s="49"/>
      <c r="H572" s="31"/>
      <c r="I572" s="31"/>
      <c r="J572" s="31"/>
      <c r="K572" s="49"/>
      <c r="L572" s="49"/>
      <c r="M572" s="49"/>
      <c r="N572" s="39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</row>
    <row r="573">
      <c r="A573" s="221"/>
      <c r="B573" s="384"/>
      <c r="C573" s="22"/>
      <c r="D573" s="23"/>
      <c r="E573" s="227"/>
      <c r="F573" s="228"/>
      <c r="G573" s="35"/>
      <c r="H573" s="27"/>
      <c r="I573" s="143"/>
      <c r="J573" s="111"/>
      <c r="K573" s="29"/>
      <c r="L573" s="30"/>
      <c r="M573" s="49"/>
      <c r="N573" s="39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</row>
    <row r="574">
      <c r="A574" s="385"/>
      <c r="B574" s="384"/>
      <c r="C574" s="22"/>
      <c r="D574" s="23"/>
      <c r="E574" s="227"/>
      <c r="F574" s="228"/>
      <c r="G574" s="35"/>
      <c r="H574" s="27"/>
      <c r="I574" s="143"/>
      <c r="J574" s="111"/>
      <c r="K574" s="29"/>
      <c r="L574" s="30"/>
      <c r="M574" s="49"/>
      <c r="N574" s="39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</row>
    <row r="575">
      <c r="A575" s="221"/>
      <c r="B575" s="384"/>
      <c r="C575" s="22"/>
      <c r="D575" s="23"/>
      <c r="E575" s="227"/>
      <c r="F575" s="228"/>
      <c r="G575" s="35"/>
      <c r="H575" s="27"/>
      <c r="I575" s="143"/>
      <c r="J575" s="111"/>
      <c r="K575" s="29"/>
      <c r="L575" s="30"/>
      <c r="M575" s="49"/>
      <c r="N575" s="39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</row>
    <row r="576">
      <c r="A576" s="221"/>
      <c r="B576" s="384"/>
      <c r="C576" s="22"/>
      <c r="D576" s="23"/>
      <c r="E576" s="227"/>
      <c r="F576" s="228"/>
      <c r="G576" s="35"/>
      <c r="H576" s="27"/>
      <c r="I576" s="143"/>
      <c r="J576" s="111"/>
      <c r="K576" s="29"/>
      <c r="L576" s="30"/>
      <c r="M576" s="49"/>
      <c r="N576" s="39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</row>
    <row r="577">
      <c r="A577" s="221"/>
      <c r="B577" s="384"/>
      <c r="C577" s="22"/>
      <c r="D577" s="23"/>
      <c r="E577" s="227"/>
      <c r="F577" s="228"/>
      <c r="G577" s="35"/>
      <c r="H577" s="143"/>
      <c r="I577" s="143"/>
      <c r="J577" s="111"/>
      <c r="K577" s="29"/>
      <c r="L577" s="30"/>
      <c r="M577" s="31"/>
      <c r="N577" s="39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</row>
    <row r="578">
      <c r="A578" s="221"/>
      <c r="B578" s="384"/>
      <c r="C578" s="22"/>
      <c r="D578" s="23"/>
      <c r="E578" s="227"/>
      <c r="F578" s="228"/>
      <c r="G578" s="35"/>
      <c r="H578" s="27"/>
      <c r="I578" s="143"/>
      <c r="J578" s="111"/>
      <c r="K578" s="29"/>
      <c r="L578" s="30"/>
      <c r="M578" s="49"/>
      <c r="N578" s="39"/>
      <c r="O578" s="35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</row>
    <row r="579">
      <c r="A579" s="221"/>
      <c r="B579" s="386"/>
      <c r="C579" s="49"/>
      <c r="D579" s="49"/>
      <c r="E579" s="31"/>
      <c r="F579" s="31"/>
      <c r="G579" s="49"/>
      <c r="H579" s="49"/>
      <c r="I579" s="31"/>
      <c r="J579" s="31"/>
      <c r="K579" s="49"/>
      <c r="L579" s="49"/>
      <c r="M579" s="49"/>
      <c r="N579" s="39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</row>
    <row r="580">
      <c r="A580" s="221"/>
      <c r="B580" s="384"/>
      <c r="C580" s="22"/>
      <c r="D580" s="23"/>
      <c r="E580" s="227"/>
      <c r="F580" s="228"/>
      <c r="G580" s="35"/>
      <c r="H580" s="27"/>
      <c r="I580" s="143"/>
      <c r="J580" s="111"/>
      <c r="K580" s="29"/>
      <c r="L580" s="30"/>
      <c r="M580" s="49"/>
      <c r="N580" s="39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</row>
    <row r="581">
      <c r="A581" s="385"/>
      <c r="B581" s="384"/>
      <c r="C581" s="22"/>
      <c r="D581" s="23"/>
      <c r="E581" s="227"/>
      <c r="F581" s="228"/>
      <c r="G581" s="35"/>
      <c r="H581" s="27"/>
      <c r="I581" s="143"/>
      <c r="J581" s="111"/>
      <c r="K581" s="29"/>
      <c r="L581" s="30"/>
      <c r="M581" s="49"/>
      <c r="N581" s="39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</row>
    <row r="582">
      <c r="A582" s="221"/>
      <c r="B582" s="384"/>
      <c r="C582" s="22"/>
      <c r="D582" s="23"/>
      <c r="E582" s="227"/>
      <c r="F582" s="228"/>
      <c r="G582" s="35"/>
      <c r="H582" s="27"/>
      <c r="I582" s="143"/>
      <c r="J582" s="111"/>
      <c r="K582" s="29"/>
      <c r="L582" s="30"/>
      <c r="M582" s="49"/>
      <c r="N582" s="39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</row>
    <row r="583">
      <c r="A583" s="221"/>
      <c r="B583" s="384"/>
      <c r="C583" s="22"/>
      <c r="D583" s="23"/>
      <c r="E583" s="227"/>
      <c r="F583" s="228"/>
      <c r="G583" s="35"/>
      <c r="H583" s="27"/>
      <c r="I583" s="143"/>
      <c r="J583" s="111"/>
      <c r="K583" s="29"/>
      <c r="L583" s="30"/>
      <c r="M583" s="49"/>
      <c r="N583" s="39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</row>
    <row r="584">
      <c r="A584" s="221"/>
      <c r="B584" s="384"/>
      <c r="C584" s="22"/>
      <c r="D584" s="23"/>
      <c r="E584" s="227"/>
      <c r="F584" s="228"/>
      <c r="G584" s="35"/>
      <c r="H584" s="27"/>
      <c r="I584" s="143"/>
      <c r="J584" s="111"/>
      <c r="K584" s="29"/>
      <c r="L584" s="30"/>
      <c r="M584" s="49"/>
      <c r="N584" s="39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</row>
    <row r="585">
      <c r="A585" s="221"/>
      <c r="B585" s="384"/>
      <c r="C585" s="22"/>
      <c r="D585" s="23"/>
      <c r="E585" s="227"/>
      <c r="F585" s="228"/>
      <c r="G585" s="35"/>
      <c r="H585" s="27"/>
      <c r="I585" s="143"/>
      <c r="J585" s="111"/>
      <c r="K585" s="29"/>
      <c r="L585" s="30"/>
      <c r="M585" s="49"/>
      <c r="N585" s="39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</row>
    <row r="586">
      <c r="A586" s="221"/>
      <c r="B586" s="386"/>
      <c r="C586" s="49"/>
      <c r="D586" s="49"/>
      <c r="E586" s="31"/>
      <c r="F586" s="31"/>
      <c r="G586" s="49"/>
      <c r="H586" s="31"/>
      <c r="I586" s="31"/>
      <c r="J586" s="31"/>
      <c r="K586" s="49"/>
      <c r="L586" s="49"/>
      <c r="M586" s="49"/>
      <c r="N586" s="39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</row>
    <row r="587">
      <c r="A587" s="221"/>
      <c r="B587" s="384"/>
      <c r="C587" s="22"/>
      <c r="D587" s="23"/>
      <c r="E587" s="227"/>
      <c r="F587" s="228"/>
      <c r="G587" s="35"/>
      <c r="H587" s="27"/>
      <c r="I587" s="143"/>
      <c r="J587" s="111"/>
      <c r="K587" s="29"/>
      <c r="L587" s="30"/>
      <c r="M587" s="49"/>
      <c r="N587" s="39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</row>
    <row r="588">
      <c r="A588" s="385"/>
      <c r="B588" s="384"/>
      <c r="C588" s="22"/>
      <c r="D588" s="23"/>
      <c r="E588" s="227"/>
      <c r="F588" s="228"/>
      <c r="G588" s="35"/>
      <c r="H588" s="27"/>
      <c r="I588" s="143"/>
      <c r="J588" s="111"/>
      <c r="K588" s="29"/>
      <c r="L588" s="30"/>
      <c r="M588" s="49"/>
      <c r="N588" s="39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</row>
    <row r="589">
      <c r="A589" s="221"/>
      <c r="B589" s="384"/>
      <c r="C589" s="22"/>
      <c r="D589" s="23"/>
      <c r="E589" s="227"/>
      <c r="F589" s="228"/>
      <c r="G589" s="35"/>
      <c r="H589" s="27"/>
      <c r="I589" s="143"/>
      <c r="J589" s="111"/>
      <c r="K589" s="29"/>
      <c r="L589" s="30"/>
      <c r="M589" s="49"/>
      <c r="N589" s="39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</row>
    <row r="590">
      <c r="A590" s="221"/>
      <c r="B590" s="384"/>
      <c r="C590" s="22"/>
      <c r="D590" s="23"/>
      <c r="E590" s="227"/>
      <c r="F590" s="228"/>
      <c r="G590" s="35"/>
      <c r="H590" s="27"/>
      <c r="I590" s="143"/>
      <c r="J590" s="111"/>
      <c r="K590" s="29"/>
      <c r="L590" s="30"/>
      <c r="M590" s="49"/>
      <c r="N590" s="39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</row>
    <row r="591">
      <c r="A591" s="221"/>
      <c r="B591" s="384"/>
      <c r="C591" s="22"/>
      <c r="D591" s="23"/>
      <c r="E591" s="227"/>
      <c r="F591" s="228"/>
      <c r="G591" s="35"/>
      <c r="H591" s="27"/>
      <c r="I591" s="143"/>
      <c r="J591" s="111"/>
      <c r="K591" s="29"/>
      <c r="L591" s="30"/>
      <c r="M591" s="49"/>
      <c r="N591" s="39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</row>
    <row r="592">
      <c r="A592" s="221"/>
      <c r="B592" s="129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31"/>
      <c r="N592" s="39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</row>
    <row r="593">
      <c r="A593" s="221"/>
      <c r="B593" s="384"/>
      <c r="C593" s="22"/>
      <c r="D593" s="23"/>
      <c r="E593" s="227"/>
      <c r="F593" s="228"/>
      <c r="G593" s="35"/>
      <c r="H593" s="27"/>
      <c r="I593" s="143"/>
      <c r="J593" s="111"/>
      <c r="K593" s="29"/>
      <c r="L593" s="30"/>
      <c r="M593" s="49"/>
      <c r="N593" s="39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</row>
    <row r="594">
      <c r="A594" s="68"/>
      <c r="B594" s="386"/>
      <c r="C594" s="49"/>
      <c r="D594" s="49"/>
      <c r="E594" s="31"/>
      <c r="F594" s="31"/>
      <c r="G594" s="49"/>
      <c r="H594" s="49"/>
      <c r="I594" s="31"/>
      <c r="J594" s="31"/>
      <c r="K594" s="49"/>
      <c r="L594" s="49"/>
      <c r="M594" s="49"/>
      <c r="N594" s="39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</row>
    <row r="595">
      <c r="A595" s="221"/>
      <c r="B595" s="384"/>
      <c r="C595" s="22"/>
      <c r="D595" s="23"/>
      <c r="E595" s="227"/>
      <c r="F595" s="228"/>
      <c r="G595" s="35"/>
      <c r="H595" s="27"/>
      <c r="I595" s="143"/>
      <c r="J595" s="111"/>
      <c r="K595" s="29"/>
      <c r="L595" s="30"/>
      <c r="M595" s="49"/>
      <c r="N595" s="39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</row>
    <row r="596">
      <c r="A596" s="385"/>
      <c r="B596" s="384"/>
      <c r="C596" s="22"/>
      <c r="D596" s="23"/>
      <c r="E596" s="227"/>
      <c r="F596" s="228"/>
      <c r="G596" s="35"/>
      <c r="H596" s="27"/>
      <c r="I596" s="143"/>
      <c r="J596" s="111"/>
      <c r="K596" s="29"/>
      <c r="L596" s="30"/>
      <c r="M596" s="49"/>
      <c r="N596" s="39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</row>
    <row r="597">
      <c r="A597" s="221"/>
      <c r="B597" s="384"/>
      <c r="C597" s="22"/>
      <c r="D597" s="23"/>
      <c r="E597" s="227"/>
      <c r="F597" s="228"/>
      <c r="G597" s="35"/>
      <c r="H597" s="27"/>
      <c r="I597" s="143"/>
      <c r="J597" s="111"/>
      <c r="K597" s="29"/>
      <c r="L597" s="30"/>
      <c r="M597" s="49"/>
      <c r="N597" s="39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</row>
    <row r="598">
      <c r="A598" s="221"/>
      <c r="B598" s="384"/>
      <c r="C598" s="22"/>
      <c r="D598" s="23"/>
      <c r="E598" s="227"/>
      <c r="F598" s="228"/>
      <c r="G598" s="35"/>
      <c r="H598" s="27"/>
      <c r="I598" s="143"/>
      <c r="J598" s="111"/>
      <c r="K598" s="29"/>
      <c r="L598" s="30"/>
      <c r="M598" s="49"/>
      <c r="N598" s="39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</row>
    <row r="599">
      <c r="A599" s="221"/>
      <c r="B599" s="384"/>
      <c r="C599" s="22"/>
      <c r="D599" s="23"/>
      <c r="E599" s="227"/>
      <c r="F599" s="228"/>
      <c r="G599" s="35"/>
      <c r="H599" s="27"/>
      <c r="I599" s="143"/>
      <c r="J599" s="111"/>
      <c r="K599" s="29"/>
      <c r="L599" s="30"/>
      <c r="M599" s="49"/>
      <c r="N599" s="39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</row>
    <row r="600">
      <c r="A600" s="221"/>
      <c r="B600" s="384"/>
      <c r="C600" s="22"/>
      <c r="D600" s="23"/>
      <c r="E600" s="227"/>
      <c r="F600" s="228"/>
      <c r="G600" s="35"/>
      <c r="H600" s="27"/>
      <c r="I600" s="143"/>
      <c r="J600" s="111"/>
      <c r="K600" s="29"/>
      <c r="L600" s="30"/>
      <c r="M600" s="49"/>
      <c r="N600" s="39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</row>
    <row r="601">
      <c r="A601" s="221"/>
      <c r="B601" s="386"/>
      <c r="C601" s="49"/>
      <c r="D601" s="49"/>
      <c r="E601" s="31"/>
      <c r="F601" s="31"/>
      <c r="G601" s="49"/>
      <c r="H601" s="49"/>
      <c r="I601" s="31"/>
      <c r="J601" s="31"/>
      <c r="K601" s="49"/>
      <c r="L601" s="49"/>
      <c r="M601" s="49"/>
      <c r="N601" s="39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</row>
    <row r="602">
      <c r="A602" s="221"/>
      <c r="B602" s="384"/>
      <c r="C602" s="22"/>
      <c r="D602" s="23"/>
      <c r="E602" s="227"/>
      <c r="F602" s="228"/>
      <c r="G602" s="35"/>
      <c r="H602" s="27"/>
      <c r="I602" s="143"/>
      <c r="J602" s="111"/>
      <c r="K602" s="29"/>
      <c r="L602" s="30"/>
      <c r="M602" s="49"/>
      <c r="N602" s="39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</row>
    <row r="603">
      <c r="A603" s="385"/>
      <c r="B603" s="384"/>
      <c r="C603" s="22"/>
      <c r="D603" s="23"/>
      <c r="E603" s="227"/>
      <c r="F603" s="228"/>
      <c r="G603" s="35"/>
      <c r="H603" s="27"/>
      <c r="I603" s="143"/>
      <c r="J603" s="111"/>
      <c r="K603" s="29"/>
      <c r="L603" s="30"/>
      <c r="M603" s="49"/>
      <c r="N603" s="39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</row>
    <row r="604">
      <c r="A604" s="221"/>
      <c r="B604" s="384"/>
      <c r="C604" s="22"/>
      <c r="D604" s="23"/>
      <c r="E604" s="227"/>
      <c r="F604" s="228"/>
      <c r="G604" s="35"/>
      <c r="H604" s="27"/>
      <c r="I604" s="143"/>
      <c r="J604" s="111"/>
      <c r="K604" s="29"/>
      <c r="L604" s="30"/>
      <c r="M604" s="49"/>
      <c r="N604" s="39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</row>
    <row r="605">
      <c r="A605" s="221"/>
      <c r="B605" s="384"/>
      <c r="C605" s="22"/>
      <c r="D605" s="23"/>
      <c r="E605" s="227"/>
      <c r="F605" s="228"/>
      <c r="G605" s="35"/>
      <c r="H605" s="27"/>
      <c r="I605" s="143"/>
      <c r="J605" s="111"/>
      <c r="K605" s="29"/>
      <c r="L605" s="30"/>
      <c r="M605" s="49"/>
      <c r="N605" s="39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</row>
    <row r="606">
      <c r="A606" s="221"/>
      <c r="B606" s="384"/>
      <c r="C606" s="22"/>
      <c r="D606" s="23"/>
      <c r="E606" s="227"/>
      <c r="F606" s="228"/>
      <c r="G606" s="35"/>
      <c r="H606" s="27"/>
      <c r="I606" s="143"/>
      <c r="J606" s="111"/>
      <c r="K606" s="29"/>
      <c r="L606" s="30"/>
      <c r="M606" s="31"/>
      <c r="N606" s="39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</row>
    <row r="607">
      <c r="A607" s="221"/>
      <c r="B607" s="384"/>
      <c r="C607" s="22"/>
      <c r="D607" s="23"/>
      <c r="E607" s="227"/>
      <c r="F607" s="228"/>
      <c r="G607" s="35"/>
      <c r="H607" s="27"/>
      <c r="I607" s="143"/>
      <c r="J607" s="111"/>
      <c r="K607" s="29"/>
      <c r="L607" s="30"/>
      <c r="M607" s="49"/>
      <c r="N607" s="39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</row>
    <row r="608">
      <c r="A608" s="221"/>
      <c r="B608" s="386"/>
      <c r="C608" s="49"/>
      <c r="D608" s="49"/>
      <c r="E608" s="31"/>
      <c r="F608" s="31"/>
      <c r="G608" s="49"/>
      <c r="H608" s="49"/>
      <c r="I608" s="31"/>
      <c r="J608" s="31"/>
      <c r="K608" s="49"/>
      <c r="L608" s="49"/>
      <c r="M608" s="49"/>
      <c r="N608" s="39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</row>
    <row r="609">
      <c r="A609" s="221"/>
      <c r="B609" s="384"/>
      <c r="C609" s="22"/>
      <c r="D609" s="23"/>
      <c r="E609" s="227"/>
      <c r="F609" s="228"/>
      <c r="G609" s="35"/>
      <c r="H609" s="27"/>
      <c r="I609" s="143"/>
      <c r="J609" s="111"/>
      <c r="K609" s="29"/>
      <c r="L609" s="30"/>
      <c r="M609" s="49"/>
      <c r="N609" s="39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</row>
    <row r="610">
      <c r="A610" s="385"/>
      <c r="B610" s="384"/>
      <c r="C610" s="22"/>
      <c r="D610" s="23"/>
      <c r="E610" s="227"/>
      <c r="F610" s="228"/>
      <c r="G610" s="35"/>
      <c r="H610" s="27"/>
      <c r="I610" s="143"/>
      <c r="J610" s="111"/>
      <c r="K610" s="29"/>
      <c r="L610" s="30"/>
      <c r="M610" s="49"/>
      <c r="N610" s="39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</row>
    <row r="611">
      <c r="A611" s="221"/>
      <c r="B611" s="384"/>
      <c r="C611" s="22"/>
      <c r="D611" s="23"/>
      <c r="E611" s="227"/>
      <c r="F611" s="228"/>
      <c r="G611" s="35"/>
      <c r="H611" s="27"/>
      <c r="I611" s="143"/>
      <c r="J611" s="111"/>
      <c r="K611" s="29"/>
      <c r="L611" s="30"/>
      <c r="M611" s="49"/>
      <c r="N611" s="39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</row>
    <row r="612">
      <c r="A612" s="221"/>
      <c r="B612" s="384"/>
      <c r="C612" s="22"/>
      <c r="D612" s="23"/>
      <c r="E612" s="227"/>
      <c r="F612" s="228"/>
      <c r="G612" s="35"/>
      <c r="H612" s="27"/>
      <c r="I612" s="143"/>
      <c r="J612" s="111"/>
      <c r="K612" s="29"/>
      <c r="L612" s="30"/>
      <c r="M612" s="49"/>
      <c r="N612" s="39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</row>
    <row r="613">
      <c r="A613" s="221"/>
      <c r="B613" s="384"/>
      <c r="C613" s="225"/>
      <c r="D613" s="226"/>
      <c r="E613" s="227"/>
      <c r="F613" s="228"/>
      <c r="G613" s="33"/>
      <c r="H613" s="143"/>
      <c r="I613" s="143"/>
      <c r="J613" s="111"/>
      <c r="K613" s="112"/>
      <c r="L613" s="230"/>
      <c r="M613" s="49"/>
      <c r="N613" s="39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</row>
    <row r="614">
      <c r="A614" s="221"/>
      <c r="B614" s="384"/>
      <c r="C614" s="22"/>
      <c r="D614" s="23"/>
      <c r="E614" s="227"/>
      <c r="F614" s="228"/>
      <c r="G614" s="35"/>
      <c r="H614" s="27"/>
      <c r="I614" s="143"/>
      <c r="J614" s="111"/>
      <c r="K614" s="29"/>
      <c r="L614" s="30"/>
      <c r="M614" s="49"/>
      <c r="N614" s="32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</row>
    <row r="615">
      <c r="A615" s="221"/>
      <c r="B615" s="386"/>
      <c r="C615" s="49"/>
      <c r="D615" s="49"/>
      <c r="E615" s="31"/>
      <c r="F615" s="31"/>
      <c r="G615" s="49"/>
      <c r="H615" s="49"/>
      <c r="I615" s="31"/>
      <c r="J615" s="31"/>
      <c r="K615" s="49"/>
      <c r="L615" s="49"/>
      <c r="M615" s="49"/>
      <c r="N615" s="39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</row>
    <row r="616">
      <c r="A616" s="221"/>
      <c r="B616" s="384"/>
      <c r="C616" s="22"/>
      <c r="D616" s="23"/>
      <c r="E616" s="227"/>
      <c r="F616" s="228"/>
      <c r="G616" s="35"/>
      <c r="H616" s="27"/>
      <c r="I616" s="143"/>
      <c r="J616" s="111"/>
      <c r="K616" s="29"/>
      <c r="L616" s="30"/>
      <c r="M616" s="49"/>
      <c r="N616" s="39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</row>
    <row r="617">
      <c r="A617" s="385"/>
      <c r="B617" s="384"/>
      <c r="C617" s="22"/>
      <c r="D617" s="23"/>
      <c r="E617" s="227"/>
      <c r="F617" s="228"/>
      <c r="G617" s="35"/>
      <c r="H617" s="27"/>
      <c r="I617" s="143"/>
      <c r="J617" s="111"/>
      <c r="K617" s="29"/>
      <c r="L617" s="30"/>
      <c r="M617" s="49"/>
      <c r="N617" s="39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</row>
    <row r="618">
      <c r="A618" s="221"/>
      <c r="B618" s="384"/>
      <c r="C618" s="22"/>
      <c r="D618" s="23"/>
      <c r="E618" s="227"/>
      <c r="F618" s="228"/>
      <c r="G618" s="35"/>
      <c r="H618" s="27"/>
      <c r="I618" s="143"/>
      <c r="J618" s="111"/>
      <c r="K618" s="29"/>
      <c r="L618" s="30"/>
      <c r="M618" s="49"/>
      <c r="N618" s="39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</row>
    <row r="619">
      <c r="A619" s="221"/>
      <c r="B619" s="384"/>
      <c r="C619" s="22"/>
      <c r="D619" s="23"/>
      <c r="E619" s="227"/>
      <c r="F619" s="228"/>
      <c r="G619" s="35"/>
      <c r="H619" s="27"/>
      <c r="I619" s="143"/>
      <c r="J619" s="111"/>
      <c r="K619" s="29"/>
      <c r="L619" s="30"/>
      <c r="M619" s="49"/>
      <c r="N619" s="39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</row>
    <row r="620">
      <c r="A620" s="221"/>
      <c r="B620" s="384"/>
      <c r="C620" s="22"/>
      <c r="D620" s="23"/>
      <c r="E620" s="227"/>
      <c r="F620" s="228"/>
      <c r="G620" s="35"/>
      <c r="H620" s="27"/>
      <c r="I620" s="143"/>
      <c r="J620" s="111"/>
      <c r="K620" s="29"/>
      <c r="L620" s="30"/>
      <c r="M620" s="49"/>
      <c r="N620" s="39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</row>
    <row r="621">
      <c r="A621" s="221"/>
      <c r="B621" s="384"/>
      <c r="C621" s="22"/>
      <c r="D621" s="23"/>
      <c r="E621" s="227"/>
      <c r="F621" s="228"/>
      <c r="G621" s="35"/>
      <c r="H621" s="27"/>
      <c r="I621" s="143"/>
      <c r="J621" s="111"/>
      <c r="K621" s="29"/>
      <c r="L621" s="30"/>
      <c r="M621" s="31"/>
      <c r="N621" s="39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</row>
    <row r="622">
      <c r="A622" s="221"/>
      <c r="B622" s="386"/>
      <c r="C622" s="49"/>
      <c r="D622" s="49"/>
      <c r="E622" s="31"/>
      <c r="F622" s="31"/>
      <c r="G622" s="49"/>
      <c r="H622" s="49"/>
      <c r="I622" s="31"/>
      <c r="J622" s="31"/>
      <c r="K622" s="49"/>
      <c r="L622" s="49"/>
      <c r="M622" s="49"/>
      <c r="N622" s="39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</row>
    <row r="623">
      <c r="A623" s="221"/>
      <c r="B623" s="129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49"/>
      <c r="N623" s="39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</row>
    <row r="624">
      <c r="A624" s="385"/>
      <c r="B624" s="384"/>
      <c r="C624" s="22"/>
      <c r="D624" s="23"/>
      <c r="E624" s="227"/>
      <c r="F624" s="228"/>
      <c r="G624" s="35"/>
      <c r="H624" s="27"/>
      <c r="I624" s="143"/>
      <c r="J624" s="111"/>
      <c r="K624" s="29"/>
      <c r="L624" s="30"/>
      <c r="M624" s="49"/>
      <c r="N624" s="39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</row>
    <row r="625">
      <c r="A625" s="68"/>
      <c r="B625" s="384"/>
      <c r="C625" s="22"/>
      <c r="D625" s="23"/>
      <c r="E625" s="227"/>
      <c r="F625" s="228"/>
      <c r="G625" s="35"/>
      <c r="H625" s="27"/>
      <c r="I625" s="143"/>
      <c r="J625" s="111"/>
      <c r="K625" s="29"/>
      <c r="L625" s="30"/>
      <c r="M625" s="31"/>
      <c r="N625" s="39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</row>
    <row r="626">
      <c r="A626" s="221"/>
      <c r="B626" s="384"/>
      <c r="C626" s="22"/>
      <c r="D626" s="23"/>
      <c r="E626" s="227"/>
      <c r="F626" s="228"/>
      <c r="G626" s="35"/>
      <c r="H626" s="27"/>
      <c r="I626" s="143"/>
      <c r="J626" s="111"/>
      <c r="K626" s="29"/>
      <c r="L626" s="30"/>
      <c r="M626" s="49"/>
      <c r="N626" s="39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</row>
    <row r="627">
      <c r="A627" s="221"/>
      <c r="B627" s="384"/>
      <c r="C627" s="22"/>
      <c r="D627" s="23"/>
      <c r="E627" s="227"/>
      <c r="F627" s="228"/>
      <c r="G627" s="35"/>
      <c r="H627" s="27"/>
      <c r="I627" s="143"/>
      <c r="J627" s="111"/>
      <c r="K627" s="29"/>
      <c r="L627" s="30"/>
      <c r="M627" s="49"/>
      <c r="N627" s="39"/>
      <c r="O627" s="35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</row>
    <row r="628">
      <c r="A628" s="221"/>
      <c r="B628" s="384"/>
      <c r="C628" s="22"/>
      <c r="D628" s="23"/>
      <c r="E628" s="227"/>
      <c r="F628" s="228"/>
      <c r="G628" s="35"/>
      <c r="H628" s="27"/>
      <c r="I628" s="143"/>
      <c r="J628" s="111"/>
      <c r="K628" s="29"/>
      <c r="L628" s="30"/>
      <c r="M628" s="49"/>
      <c r="N628" s="39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</row>
    <row r="629">
      <c r="A629" s="221"/>
      <c r="B629" s="384"/>
      <c r="C629" s="22"/>
      <c r="D629" s="23"/>
      <c r="E629" s="227"/>
      <c r="F629" s="228"/>
      <c r="G629" s="35"/>
      <c r="H629" s="27"/>
      <c r="I629" s="143"/>
      <c r="J629" s="111"/>
      <c r="K629" s="29"/>
      <c r="L629" s="30"/>
      <c r="M629" s="49"/>
      <c r="N629" s="39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</row>
    <row r="630">
      <c r="A630" s="221"/>
      <c r="B630" s="386"/>
      <c r="C630" s="49"/>
      <c r="D630" s="49"/>
      <c r="E630" s="31"/>
      <c r="F630" s="31"/>
      <c r="G630" s="49"/>
      <c r="H630" s="49"/>
      <c r="I630" s="31"/>
      <c r="J630" s="31"/>
      <c r="K630" s="49"/>
      <c r="L630" s="49"/>
      <c r="M630" s="49"/>
      <c r="N630" s="39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</row>
    <row r="631">
      <c r="A631" s="221"/>
      <c r="B631" s="384"/>
      <c r="C631" s="225"/>
      <c r="D631" s="226"/>
      <c r="E631" s="227"/>
      <c r="F631" s="228"/>
      <c r="G631" s="33"/>
      <c r="H631" s="143"/>
      <c r="I631" s="143"/>
      <c r="J631" s="111"/>
      <c r="K631" s="112"/>
      <c r="L631" s="230"/>
      <c r="M631" s="31"/>
      <c r="N631" s="39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</row>
    <row r="632">
      <c r="A632" s="385"/>
      <c r="B632" s="384"/>
      <c r="C632" s="22"/>
      <c r="D632" s="23"/>
      <c r="E632" s="227"/>
      <c r="F632" s="228"/>
      <c r="G632" s="35"/>
      <c r="H632" s="27"/>
      <c r="I632" s="143"/>
      <c r="J632" s="111"/>
      <c r="K632" s="29"/>
      <c r="L632" s="30"/>
      <c r="M632" s="49"/>
      <c r="N632" s="39"/>
      <c r="O632" s="35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</row>
    <row r="633">
      <c r="A633" s="221"/>
      <c r="B633" s="384"/>
      <c r="C633" s="22"/>
      <c r="D633" s="23"/>
      <c r="E633" s="227"/>
      <c r="F633" s="228"/>
      <c r="G633" s="35"/>
      <c r="H633" s="27"/>
      <c r="I633" s="143"/>
      <c r="J633" s="111"/>
      <c r="K633" s="29"/>
      <c r="L633" s="30"/>
      <c r="M633" s="49"/>
      <c r="N633" s="39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</row>
    <row r="634">
      <c r="A634" s="221"/>
      <c r="B634" s="384"/>
      <c r="C634" s="22"/>
      <c r="D634" s="23"/>
      <c r="E634" s="227"/>
      <c r="F634" s="228"/>
      <c r="G634" s="35"/>
      <c r="H634" s="27"/>
      <c r="I634" s="143"/>
      <c r="J634" s="111"/>
      <c r="K634" s="29"/>
      <c r="L634" s="30"/>
      <c r="M634" s="49"/>
      <c r="N634" s="39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</row>
    <row r="635">
      <c r="A635" s="221"/>
      <c r="B635" s="384"/>
      <c r="C635" s="22"/>
      <c r="D635" s="23"/>
      <c r="E635" s="227"/>
      <c r="F635" s="228"/>
      <c r="G635" s="35"/>
      <c r="H635" s="27"/>
      <c r="I635" s="143"/>
      <c r="J635" s="111"/>
      <c r="K635" s="29"/>
      <c r="L635" s="30"/>
      <c r="M635" s="31"/>
      <c r="N635" s="39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</row>
    <row r="636">
      <c r="A636" s="221"/>
      <c r="B636" s="384"/>
      <c r="C636" s="22"/>
      <c r="D636" s="23"/>
      <c r="E636" s="227"/>
      <c r="F636" s="228"/>
      <c r="G636" s="35"/>
      <c r="H636" s="27"/>
      <c r="I636" s="143"/>
      <c r="J636" s="111"/>
      <c r="K636" s="29"/>
      <c r="L636" s="30"/>
      <c r="M636" s="49"/>
      <c r="N636" s="39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</row>
    <row r="637">
      <c r="A637" s="221"/>
      <c r="B637" s="386"/>
      <c r="C637" s="49"/>
      <c r="D637" s="31"/>
      <c r="E637" s="31"/>
      <c r="F637" s="31"/>
      <c r="G637" s="31"/>
      <c r="H637" s="31"/>
      <c r="I637" s="31"/>
      <c r="J637" s="31"/>
      <c r="K637" s="49"/>
      <c r="L637" s="49"/>
      <c r="M637" s="49"/>
      <c r="N637" s="39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</row>
    <row r="638">
      <c r="A638" s="221"/>
      <c r="B638" s="384"/>
      <c r="C638" s="22"/>
      <c r="D638" s="23"/>
      <c r="E638" s="227"/>
      <c r="F638" s="228"/>
      <c r="G638" s="35"/>
      <c r="H638" s="27"/>
      <c r="I638" s="143"/>
      <c r="J638" s="111"/>
      <c r="K638" s="29"/>
      <c r="L638" s="30"/>
      <c r="M638" s="49"/>
      <c r="N638" s="39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</row>
    <row r="639">
      <c r="A639" s="385"/>
      <c r="B639" s="384"/>
      <c r="C639" s="22"/>
      <c r="D639" s="23"/>
      <c r="E639" s="227"/>
      <c r="F639" s="228"/>
      <c r="G639" s="35"/>
      <c r="H639" s="27"/>
      <c r="I639" s="143"/>
      <c r="J639" s="111"/>
      <c r="K639" s="29"/>
      <c r="L639" s="30"/>
      <c r="M639" s="49"/>
      <c r="N639" s="39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</row>
    <row r="640">
      <c r="A640" s="221"/>
      <c r="B640" s="384"/>
      <c r="C640" s="22"/>
      <c r="D640" s="23"/>
      <c r="E640" s="227"/>
      <c r="F640" s="228"/>
      <c r="G640" s="35"/>
      <c r="H640" s="27"/>
      <c r="I640" s="143"/>
      <c r="J640" s="111"/>
      <c r="K640" s="29"/>
      <c r="L640" s="30"/>
      <c r="M640" s="49"/>
      <c r="N640" s="39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</row>
    <row r="641">
      <c r="A641" s="221"/>
      <c r="B641" s="384"/>
      <c r="C641" s="22"/>
      <c r="D641" s="23"/>
      <c r="E641" s="227"/>
      <c r="F641" s="228"/>
      <c r="G641" s="35"/>
      <c r="H641" s="27"/>
      <c r="I641" s="143"/>
      <c r="J641" s="111"/>
      <c r="K641" s="29"/>
      <c r="L641" s="30"/>
      <c r="M641" s="49"/>
      <c r="N641" s="39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</row>
    <row r="642">
      <c r="A642" s="221"/>
      <c r="B642" s="384"/>
      <c r="C642" s="22"/>
      <c r="D642" s="23"/>
      <c r="E642" s="227"/>
      <c r="F642" s="228"/>
      <c r="G642" s="35"/>
      <c r="H642" s="27"/>
      <c r="I642" s="143"/>
      <c r="J642" s="111"/>
      <c r="K642" s="29"/>
      <c r="L642" s="30"/>
      <c r="M642" s="49"/>
      <c r="N642" s="39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</row>
    <row r="643">
      <c r="A643" s="221"/>
      <c r="B643" s="384"/>
      <c r="C643" s="22"/>
      <c r="D643" s="23"/>
      <c r="E643" s="227"/>
      <c r="F643" s="228"/>
      <c r="G643" s="35"/>
      <c r="H643" s="143"/>
      <c r="I643" s="143"/>
      <c r="J643" s="111"/>
      <c r="K643" s="29"/>
      <c r="L643" s="30"/>
      <c r="M643" s="49"/>
      <c r="N643" s="39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</row>
    <row r="644">
      <c r="A644" s="221"/>
      <c r="B644" s="386"/>
      <c r="C644" s="49"/>
      <c r="D644" s="49"/>
      <c r="E644" s="31"/>
      <c r="F644" s="31"/>
      <c r="G644" s="49"/>
      <c r="H644" s="49"/>
      <c r="I644" s="31"/>
      <c r="J644" s="31"/>
      <c r="K644" s="49"/>
      <c r="L644" s="49"/>
      <c r="M644" s="49"/>
      <c r="N644" s="39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</row>
    <row r="645">
      <c r="A645" s="221"/>
      <c r="B645" s="384"/>
      <c r="C645" s="22"/>
      <c r="D645" s="23"/>
      <c r="E645" s="227"/>
      <c r="F645" s="228"/>
      <c r="G645" s="35"/>
      <c r="H645" s="27"/>
      <c r="I645" s="143"/>
      <c r="J645" s="111"/>
      <c r="K645" s="29"/>
      <c r="L645" s="30"/>
      <c r="M645" s="49"/>
      <c r="N645" s="39"/>
      <c r="O645" s="35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</row>
    <row r="646">
      <c r="A646" s="385"/>
      <c r="B646" s="384"/>
      <c r="C646" s="22"/>
      <c r="D646" s="23"/>
      <c r="E646" s="227"/>
      <c r="F646" s="228"/>
      <c r="G646" s="35"/>
      <c r="H646" s="27"/>
      <c r="I646" s="143"/>
      <c r="J646" s="111"/>
      <c r="K646" s="29"/>
      <c r="L646" s="30"/>
      <c r="M646" s="49"/>
      <c r="N646" s="39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</row>
    <row r="647">
      <c r="A647" s="221"/>
      <c r="B647" s="384"/>
      <c r="C647" s="22"/>
      <c r="D647" s="23"/>
      <c r="E647" s="227"/>
      <c r="F647" s="228"/>
      <c r="G647" s="35"/>
      <c r="H647" s="143"/>
      <c r="I647" s="143"/>
      <c r="J647" s="111"/>
      <c r="K647" s="29"/>
      <c r="L647" s="30"/>
      <c r="M647" s="49"/>
      <c r="N647" s="39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</row>
    <row r="648">
      <c r="A648" s="221"/>
      <c r="B648" s="384"/>
      <c r="C648" s="378"/>
      <c r="D648" s="378"/>
      <c r="E648" s="378"/>
      <c r="F648" s="378"/>
      <c r="G648" s="378"/>
      <c r="H648" s="378"/>
      <c r="I648" s="378"/>
      <c r="J648" s="378"/>
      <c r="K648" s="378"/>
      <c r="L648" s="378"/>
      <c r="M648" s="31"/>
      <c r="N648" s="39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</row>
    <row r="649">
      <c r="A649" s="221"/>
      <c r="B649" s="384"/>
      <c r="C649" s="22"/>
      <c r="D649" s="23"/>
      <c r="E649" s="227"/>
      <c r="F649" s="228"/>
      <c r="G649" s="35"/>
      <c r="H649" s="27"/>
      <c r="I649" s="143"/>
      <c r="J649" s="111"/>
      <c r="K649" s="29"/>
      <c r="L649" s="30"/>
      <c r="M649" s="49"/>
      <c r="N649" s="39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</row>
    <row r="650">
      <c r="A650" s="221"/>
      <c r="B650" s="384"/>
      <c r="C650" s="22"/>
      <c r="D650" s="23"/>
      <c r="E650" s="227"/>
      <c r="F650" s="228"/>
      <c r="G650" s="35"/>
      <c r="H650" s="27"/>
      <c r="I650" s="143"/>
      <c r="J650" s="111"/>
      <c r="K650" s="29"/>
      <c r="L650" s="30"/>
      <c r="M650" s="49"/>
      <c r="N650" s="39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</row>
    <row r="651">
      <c r="A651" s="221"/>
      <c r="B651" s="386"/>
      <c r="C651" s="49"/>
      <c r="D651" s="49"/>
      <c r="E651" s="31"/>
      <c r="F651" s="31"/>
      <c r="G651" s="49"/>
      <c r="H651" s="49"/>
      <c r="I651" s="31"/>
      <c r="J651" s="31"/>
      <c r="K651" s="49"/>
      <c r="L651" s="49"/>
      <c r="M651" s="49"/>
      <c r="N651" s="39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</row>
    <row r="652">
      <c r="A652" s="221"/>
      <c r="B652" s="384"/>
      <c r="C652" s="22"/>
      <c r="D652" s="23"/>
      <c r="E652" s="227"/>
      <c r="F652" s="228"/>
      <c r="G652" s="35"/>
      <c r="H652" s="27"/>
      <c r="I652" s="143"/>
      <c r="J652" s="111"/>
      <c r="K652" s="29"/>
      <c r="L652" s="30"/>
      <c r="M652" s="49"/>
      <c r="N652" s="39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</row>
    <row r="653">
      <c r="A653" s="385"/>
      <c r="B653" s="384"/>
      <c r="C653" s="22"/>
      <c r="D653" s="23"/>
      <c r="E653" s="227"/>
      <c r="F653" s="228"/>
      <c r="G653" s="35"/>
      <c r="H653" s="27"/>
      <c r="I653" s="143"/>
      <c r="J653" s="111"/>
      <c r="K653" s="29"/>
      <c r="L653" s="30"/>
      <c r="M653" s="49"/>
      <c r="N653" s="39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</row>
    <row r="654">
      <c r="A654" s="221"/>
      <c r="B654" s="384"/>
      <c r="C654" s="22"/>
      <c r="D654" s="23"/>
      <c r="E654" s="227"/>
      <c r="F654" s="228"/>
      <c r="G654" s="35"/>
      <c r="H654" s="143"/>
      <c r="I654" s="143"/>
      <c r="J654" s="111"/>
      <c r="K654" s="29"/>
      <c r="L654" s="30"/>
      <c r="M654" s="49"/>
      <c r="N654" s="39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</row>
    <row r="655">
      <c r="A655" s="221"/>
      <c r="B655" s="129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31"/>
      <c r="N655" s="39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</row>
    <row r="656">
      <c r="A656" s="221"/>
      <c r="B656" s="229"/>
      <c r="C656" s="225"/>
      <c r="D656" s="226"/>
      <c r="E656" s="227"/>
      <c r="F656" s="228"/>
      <c r="G656" s="33"/>
      <c r="H656" s="143"/>
      <c r="I656" s="143"/>
      <c r="J656" s="111"/>
      <c r="K656" s="112"/>
      <c r="L656" s="230"/>
      <c r="M656" s="31"/>
      <c r="N656" s="39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</row>
    <row r="657">
      <c r="A657" s="68"/>
      <c r="B657" s="229"/>
      <c r="C657" s="225"/>
      <c r="D657" s="226"/>
      <c r="E657" s="227"/>
      <c r="F657" s="228"/>
      <c r="G657" s="33"/>
      <c r="H657" s="143"/>
      <c r="I657" s="143"/>
      <c r="J657" s="111"/>
      <c r="K657" s="112"/>
      <c r="L657" s="230"/>
      <c r="M657" s="31"/>
      <c r="N657" s="39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</row>
    <row r="658">
      <c r="A658" s="224"/>
      <c r="B658" s="229"/>
      <c r="C658" s="225"/>
      <c r="D658" s="226"/>
      <c r="E658" s="227"/>
      <c r="F658" s="228"/>
      <c r="G658" s="33"/>
      <c r="H658" s="143"/>
      <c r="I658" s="143"/>
      <c r="J658" s="111"/>
      <c r="K658" s="112"/>
      <c r="L658" s="230"/>
      <c r="M658" s="31"/>
      <c r="N658" s="39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</row>
    <row r="659">
      <c r="A659" s="224"/>
      <c r="B659" s="229"/>
      <c r="C659" s="225"/>
      <c r="D659" s="226"/>
      <c r="E659" s="227"/>
      <c r="F659" s="228"/>
      <c r="G659" s="33"/>
      <c r="H659" s="143"/>
      <c r="I659" s="143"/>
      <c r="J659" s="111"/>
      <c r="K659" s="112"/>
      <c r="L659" s="230"/>
      <c r="M659" s="31"/>
      <c r="N659" s="39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</row>
    <row r="660">
      <c r="A660" s="224"/>
      <c r="B660" s="229"/>
      <c r="C660" s="225"/>
      <c r="D660" s="226"/>
      <c r="E660" s="227"/>
      <c r="F660" s="228"/>
      <c r="G660" s="33"/>
      <c r="H660" s="143"/>
      <c r="I660" s="143"/>
      <c r="J660" s="111"/>
      <c r="K660" s="112"/>
      <c r="L660" s="230"/>
      <c r="M660" s="31"/>
      <c r="N660" s="39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</row>
    <row r="661">
      <c r="A661" s="224"/>
      <c r="B661" s="229"/>
      <c r="C661" s="225"/>
      <c r="D661" s="226"/>
      <c r="E661" s="227"/>
      <c r="F661" s="228"/>
      <c r="G661" s="33"/>
      <c r="H661" s="143"/>
      <c r="I661" s="143"/>
      <c r="J661" s="111"/>
      <c r="K661" s="112"/>
      <c r="L661" s="230"/>
      <c r="M661" s="31"/>
      <c r="N661" s="39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</row>
    <row r="662">
      <c r="A662" s="224"/>
      <c r="B662" s="229"/>
      <c r="C662" s="225"/>
      <c r="D662" s="226"/>
      <c r="E662" s="227"/>
      <c r="F662" s="228"/>
      <c r="G662" s="33"/>
      <c r="H662" s="143"/>
      <c r="I662" s="143"/>
      <c r="J662" s="111"/>
      <c r="K662" s="112"/>
      <c r="L662" s="230"/>
      <c r="M662" s="31"/>
      <c r="N662" s="39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</row>
    <row r="663">
      <c r="A663" s="224"/>
      <c r="B663" s="229"/>
      <c r="C663" s="225"/>
      <c r="D663" s="226"/>
      <c r="E663" s="227"/>
      <c r="F663" s="228"/>
      <c r="G663" s="33"/>
      <c r="H663" s="143"/>
      <c r="I663" s="143"/>
      <c r="J663" s="111"/>
      <c r="K663" s="112"/>
      <c r="L663" s="230"/>
      <c r="M663" s="31"/>
      <c r="N663" s="39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</row>
    <row r="664">
      <c r="A664" s="224"/>
      <c r="B664" s="229"/>
      <c r="C664" s="225"/>
      <c r="D664" s="226"/>
      <c r="E664" s="227"/>
      <c r="F664" s="228"/>
      <c r="G664" s="33"/>
      <c r="H664" s="143"/>
      <c r="I664" s="143"/>
      <c r="J664" s="111"/>
      <c r="K664" s="112"/>
      <c r="L664" s="230"/>
      <c r="M664" s="31"/>
      <c r="N664" s="39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</row>
    <row r="665">
      <c r="A665" s="224"/>
      <c r="B665" s="229"/>
      <c r="C665" s="225"/>
      <c r="D665" s="226"/>
      <c r="E665" s="227"/>
      <c r="F665" s="228"/>
      <c r="G665" s="33"/>
      <c r="H665" s="143"/>
      <c r="I665" s="143"/>
      <c r="J665" s="111"/>
      <c r="K665" s="112"/>
      <c r="L665" s="230"/>
      <c r="M665" s="31"/>
      <c r="N665" s="39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</row>
    <row r="666">
      <c r="A666" s="224"/>
      <c r="B666" s="229"/>
      <c r="C666" s="225"/>
      <c r="D666" s="226"/>
      <c r="E666" s="227"/>
      <c r="F666" s="228"/>
      <c r="G666" s="33"/>
      <c r="H666" s="143"/>
      <c r="I666" s="143"/>
      <c r="J666" s="111"/>
      <c r="K666" s="112"/>
      <c r="L666" s="230"/>
      <c r="M666" s="31"/>
      <c r="N666" s="39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</row>
    <row r="667">
      <c r="A667" s="224"/>
      <c r="B667" s="229"/>
      <c r="C667" s="225"/>
      <c r="D667" s="226"/>
      <c r="E667" s="227"/>
      <c r="F667" s="228"/>
      <c r="G667" s="33"/>
      <c r="H667" s="143"/>
      <c r="I667" s="143"/>
      <c r="J667" s="111"/>
      <c r="K667" s="112"/>
      <c r="L667" s="230"/>
      <c r="M667" s="31"/>
      <c r="N667" s="39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</row>
    <row r="668">
      <c r="A668" s="224"/>
      <c r="B668" s="229"/>
      <c r="C668" s="225"/>
      <c r="D668" s="226"/>
      <c r="E668" s="227"/>
      <c r="F668" s="228"/>
      <c r="G668" s="33"/>
      <c r="H668" s="143"/>
      <c r="I668" s="143"/>
      <c r="J668" s="111"/>
      <c r="K668" s="112"/>
      <c r="L668" s="230"/>
      <c r="M668" s="31"/>
      <c r="N668" s="39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</row>
    <row r="669">
      <c r="A669" s="224"/>
      <c r="B669" s="229"/>
      <c r="C669" s="225"/>
      <c r="D669" s="226"/>
      <c r="E669" s="227"/>
      <c r="F669" s="228"/>
      <c r="G669" s="33"/>
      <c r="H669" s="143"/>
      <c r="I669" s="143"/>
      <c r="J669" s="111"/>
      <c r="K669" s="112"/>
      <c r="L669" s="230"/>
      <c r="M669" s="31"/>
      <c r="N669" s="39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</row>
    <row r="670">
      <c r="A670" s="224"/>
      <c r="B670" s="229"/>
      <c r="C670" s="225"/>
      <c r="D670" s="226"/>
      <c r="E670" s="227"/>
      <c r="F670" s="228"/>
      <c r="G670" s="33"/>
      <c r="H670" s="143"/>
      <c r="I670" s="143"/>
      <c r="J670" s="111"/>
      <c r="K670" s="112"/>
      <c r="L670" s="230"/>
      <c r="M670" s="31"/>
      <c r="N670" s="39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</row>
    <row r="671">
      <c r="A671" s="224"/>
      <c r="B671" s="229"/>
      <c r="C671" s="225"/>
      <c r="D671" s="226"/>
      <c r="E671" s="227"/>
      <c r="F671" s="228"/>
      <c r="G671" s="33"/>
      <c r="H671" s="143"/>
      <c r="I671" s="143"/>
      <c r="J671" s="111"/>
      <c r="K671" s="112"/>
      <c r="L671" s="230"/>
      <c r="M671" s="31"/>
      <c r="N671" s="39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</row>
    <row r="672">
      <c r="A672" s="224"/>
      <c r="B672" s="229"/>
      <c r="C672" s="225"/>
      <c r="D672" s="226"/>
      <c r="E672" s="227"/>
      <c r="F672" s="228"/>
      <c r="G672" s="33"/>
      <c r="H672" s="143"/>
      <c r="I672" s="143"/>
      <c r="J672" s="111"/>
      <c r="K672" s="112"/>
      <c r="L672" s="230"/>
      <c r="M672" s="31"/>
      <c r="N672" s="39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</row>
    <row r="673">
      <c r="A673" s="224"/>
      <c r="B673" s="229"/>
      <c r="C673" s="225"/>
      <c r="D673" s="226"/>
      <c r="E673" s="227"/>
      <c r="F673" s="228"/>
      <c r="G673" s="33"/>
      <c r="H673" s="143"/>
      <c r="I673" s="143"/>
      <c r="J673" s="111"/>
      <c r="K673" s="112"/>
      <c r="L673" s="230"/>
      <c r="M673" s="31"/>
      <c r="N673" s="39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</row>
    <row r="674">
      <c r="A674" s="224"/>
      <c r="B674" s="229"/>
      <c r="C674" s="225"/>
      <c r="D674" s="226"/>
      <c r="E674" s="227"/>
      <c r="F674" s="228"/>
      <c r="G674" s="33"/>
      <c r="H674" s="143"/>
      <c r="I674" s="143"/>
      <c r="J674" s="111"/>
      <c r="K674" s="112"/>
      <c r="L674" s="230"/>
      <c r="M674" s="31"/>
      <c r="N674" s="39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</row>
    <row r="675">
      <c r="A675" s="224"/>
      <c r="B675" s="229"/>
      <c r="C675" s="225"/>
      <c r="D675" s="226"/>
      <c r="E675" s="227"/>
      <c r="F675" s="228"/>
      <c r="G675" s="33"/>
      <c r="H675" s="143"/>
      <c r="I675" s="143"/>
      <c r="J675" s="111"/>
      <c r="K675" s="112"/>
      <c r="L675" s="230"/>
      <c r="M675" s="31"/>
      <c r="N675" s="39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</row>
    <row r="676">
      <c r="A676" s="224"/>
      <c r="B676" s="229"/>
      <c r="C676" s="225"/>
      <c r="D676" s="226"/>
      <c r="E676" s="227"/>
      <c r="F676" s="228"/>
      <c r="G676" s="33"/>
      <c r="H676" s="143"/>
      <c r="I676" s="143"/>
      <c r="J676" s="111"/>
      <c r="K676" s="112"/>
      <c r="L676" s="230"/>
      <c r="M676" s="31"/>
      <c r="N676" s="39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</row>
    <row r="677">
      <c r="A677" s="224"/>
      <c r="B677" s="229"/>
      <c r="C677" s="225"/>
      <c r="D677" s="226"/>
      <c r="E677" s="227"/>
      <c r="F677" s="228"/>
      <c r="G677" s="33"/>
      <c r="H677" s="143"/>
      <c r="I677" s="143"/>
      <c r="J677" s="111"/>
      <c r="K677" s="112"/>
      <c r="L677" s="230"/>
      <c r="M677" s="31"/>
      <c r="N677" s="39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</row>
    <row r="678">
      <c r="A678" s="224"/>
      <c r="B678" s="229"/>
      <c r="C678" s="225"/>
      <c r="D678" s="226"/>
      <c r="E678" s="227"/>
      <c r="F678" s="228"/>
      <c r="G678" s="33"/>
      <c r="H678" s="143"/>
      <c r="I678" s="143"/>
      <c r="J678" s="111"/>
      <c r="K678" s="112"/>
      <c r="L678" s="230"/>
      <c r="M678" s="31"/>
      <c r="N678" s="39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</row>
    <row r="679">
      <c r="A679" s="224"/>
      <c r="B679" s="229"/>
      <c r="C679" s="225"/>
      <c r="D679" s="226"/>
      <c r="E679" s="227"/>
      <c r="F679" s="228"/>
      <c r="G679" s="33"/>
      <c r="H679" s="143"/>
      <c r="I679" s="143"/>
      <c r="J679" s="111"/>
      <c r="K679" s="112"/>
      <c r="L679" s="230"/>
      <c r="M679" s="31"/>
      <c r="N679" s="39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</row>
    <row r="680">
      <c r="A680" s="224"/>
      <c r="B680" s="229"/>
      <c r="C680" s="225"/>
      <c r="D680" s="226"/>
      <c r="E680" s="227"/>
      <c r="F680" s="228"/>
      <c r="G680" s="33"/>
      <c r="H680" s="143"/>
      <c r="I680" s="143"/>
      <c r="J680" s="111"/>
      <c r="K680" s="112"/>
      <c r="L680" s="230"/>
      <c r="M680" s="31"/>
      <c r="N680" s="39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</row>
    <row r="681">
      <c r="A681" s="224"/>
      <c r="B681" s="229"/>
      <c r="C681" s="225"/>
      <c r="D681" s="226"/>
      <c r="E681" s="227"/>
      <c r="F681" s="228"/>
      <c r="G681" s="33"/>
      <c r="H681" s="143"/>
      <c r="I681" s="143"/>
      <c r="J681" s="111"/>
      <c r="K681" s="112"/>
      <c r="L681" s="230"/>
      <c r="M681" s="31"/>
      <c r="N681" s="39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</row>
    <row r="682">
      <c r="A682" s="224"/>
      <c r="B682" s="229"/>
      <c r="C682" s="225"/>
      <c r="D682" s="226"/>
      <c r="E682" s="227"/>
      <c r="F682" s="228"/>
      <c r="G682" s="33"/>
      <c r="H682" s="143"/>
      <c r="I682" s="143"/>
      <c r="J682" s="111"/>
      <c r="K682" s="112"/>
      <c r="L682" s="230"/>
      <c r="M682" s="31"/>
      <c r="N682" s="39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</row>
    <row r="683">
      <c r="A683" s="224"/>
      <c r="B683" s="229"/>
      <c r="C683" s="225"/>
      <c r="D683" s="226"/>
      <c r="E683" s="227"/>
      <c r="F683" s="228"/>
      <c r="G683" s="33"/>
      <c r="H683" s="143"/>
      <c r="I683" s="143"/>
      <c r="J683" s="111"/>
      <c r="K683" s="112"/>
      <c r="L683" s="230"/>
      <c r="M683" s="31"/>
      <c r="N683" s="39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</row>
    <row r="684">
      <c r="A684" s="224"/>
      <c r="B684" s="229"/>
      <c r="C684" s="225"/>
      <c r="D684" s="226"/>
      <c r="E684" s="227"/>
      <c r="F684" s="228"/>
      <c r="G684" s="33"/>
      <c r="H684" s="143"/>
      <c r="I684" s="143"/>
      <c r="J684" s="111"/>
      <c r="K684" s="112"/>
      <c r="L684" s="230"/>
      <c r="M684" s="31"/>
      <c r="N684" s="39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</row>
    <row r="685">
      <c r="A685" s="224"/>
      <c r="B685" s="229"/>
      <c r="C685" s="225"/>
      <c r="D685" s="226"/>
      <c r="E685" s="227"/>
      <c r="F685" s="228"/>
      <c r="G685" s="33"/>
      <c r="H685" s="143"/>
      <c r="I685" s="143"/>
      <c r="J685" s="111"/>
      <c r="K685" s="112"/>
      <c r="L685" s="230"/>
      <c r="M685" s="31"/>
      <c r="N685" s="39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</row>
    <row r="686">
      <c r="A686" s="224"/>
      <c r="B686" s="229"/>
      <c r="C686" s="225"/>
      <c r="D686" s="226"/>
      <c r="E686" s="227"/>
      <c r="F686" s="228"/>
      <c r="G686" s="33"/>
      <c r="H686" s="143"/>
      <c r="I686" s="143"/>
      <c r="J686" s="111"/>
      <c r="K686" s="112"/>
      <c r="L686" s="230"/>
      <c r="M686" s="31"/>
      <c r="N686" s="39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</row>
    <row r="687">
      <c r="A687" s="224"/>
      <c r="B687" s="229"/>
      <c r="C687" s="225"/>
      <c r="D687" s="226"/>
      <c r="E687" s="227"/>
      <c r="F687" s="228"/>
      <c r="G687" s="33"/>
      <c r="H687" s="143"/>
      <c r="I687" s="143"/>
      <c r="J687" s="111"/>
      <c r="K687" s="112"/>
      <c r="L687" s="230"/>
      <c r="M687" s="31"/>
      <c r="N687" s="39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</row>
    <row r="688">
      <c r="A688" s="224"/>
      <c r="B688" s="229"/>
      <c r="C688" s="225"/>
      <c r="D688" s="226"/>
      <c r="E688" s="227"/>
      <c r="F688" s="228"/>
      <c r="G688" s="33"/>
      <c r="H688" s="143"/>
      <c r="I688" s="143"/>
      <c r="J688" s="111"/>
      <c r="K688" s="112"/>
      <c r="L688" s="230"/>
      <c r="M688" s="31"/>
      <c r="N688" s="39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</row>
    <row r="689">
      <c r="A689" s="224"/>
      <c r="B689" s="229"/>
      <c r="C689" s="225"/>
      <c r="D689" s="226"/>
      <c r="E689" s="227"/>
      <c r="F689" s="228"/>
      <c r="G689" s="33"/>
      <c r="H689" s="143"/>
      <c r="I689" s="143"/>
      <c r="J689" s="111"/>
      <c r="K689" s="112"/>
      <c r="L689" s="230"/>
      <c r="M689" s="31"/>
      <c r="N689" s="39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</row>
    <row r="690">
      <c r="A690" s="224"/>
      <c r="B690" s="229"/>
      <c r="C690" s="225"/>
      <c r="D690" s="226"/>
      <c r="E690" s="227"/>
      <c r="F690" s="228"/>
      <c r="G690" s="33"/>
      <c r="H690" s="143"/>
      <c r="I690" s="143"/>
      <c r="J690" s="111"/>
      <c r="K690" s="112"/>
      <c r="L690" s="230"/>
      <c r="M690" s="31"/>
      <c r="N690" s="39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</row>
    <row r="691">
      <c r="A691" s="224"/>
      <c r="B691" s="229"/>
      <c r="C691" s="225"/>
      <c r="D691" s="226"/>
      <c r="E691" s="227"/>
      <c r="F691" s="228"/>
      <c r="G691" s="33"/>
      <c r="H691" s="143"/>
      <c r="I691" s="143"/>
      <c r="J691" s="111"/>
      <c r="K691" s="112"/>
      <c r="L691" s="230"/>
      <c r="M691" s="31"/>
      <c r="N691" s="39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</row>
    <row r="692">
      <c r="A692" s="224"/>
      <c r="B692" s="229"/>
      <c r="C692" s="225"/>
      <c r="D692" s="226"/>
      <c r="E692" s="227"/>
      <c r="F692" s="228"/>
      <c r="G692" s="33"/>
      <c r="H692" s="143"/>
      <c r="I692" s="143"/>
      <c r="J692" s="111"/>
      <c r="K692" s="112"/>
      <c r="L692" s="230"/>
      <c r="M692" s="31"/>
      <c r="N692" s="39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</row>
    <row r="693">
      <c r="A693" s="224"/>
      <c r="B693" s="229"/>
      <c r="C693" s="225"/>
      <c r="D693" s="226"/>
      <c r="E693" s="227"/>
      <c r="F693" s="228"/>
      <c r="G693" s="33"/>
      <c r="H693" s="143"/>
      <c r="I693" s="143"/>
      <c r="J693" s="111"/>
      <c r="K693" s="112"/>
      <c r="L693" s="230"/>
      <c r="M693" s="31"/>
      <c r="N693" s="39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</row>
    <row r="694">
      <c r="A694" s="224"/>
      <c r="B694" s="229"/>
      <c r="C694" s="225"/>
      <c r="D694" s="226"/>
      <c r="E694" s="227"/>
      <c r="F694" s="228"/>
      <c r="G694" s="33"/>
      <c r="H694" s="143"/>
      <c r="I694" s="143"/>
      <c r="J694" s="111"/>
      <c r="K694" s="112"/>
      <c r="L694" s="230"/>
      <c r="M694" s="31"/>
      <c r="N694" s="39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</row>
    <row r="695">
      <c r="A695" s="224"/>
      <c r="B695" s="229"/>
      <c r="C695" s="225"/>
      <c r="D695" s="226"/>
      <c r="E695" s="227"/>
      <c r="F695" s="228"/>
      <c r="G695" s="33"/>
      <c r="H695" s="143"/>
      <c r="I695" s="143"/>
      <c r="J695" s="111"/>
      <c r="K695" s="112"/>
      <c r="L695" s="230"/>
      <c r="M695" s="31"/>
      <c r="N695" s="39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</row>
    <row r="696">
      <c r="A696" s="224"/>
      <c r="B696" s="229"/>
      <c r="C696" s="225"/>
      <c r="D696" s="226"/>
      <c r="E696" s="227"/>
      <c r="F696" s="228"/>
      <c r="G696" s="33"/>
      <c r="H696" s="143"/>
      <c r="I696" s="143"/>
      <c r="J696" s="111"/>
      <c r="K696" s="112"/>
      <c r="L696" s="230"/>
      <c r="M696" s="31"/>
      <c r="N696" s="39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</row>
    <row r="697">
      <c r="A697" s="224"/>
      <c r="B697" s="229"/>
      <c r="C697" s="225"/>
      <c r="D697" s="226"/>
      <c r="E697" s="227"/>
      <c r="F697" s="228"/>
      <c r="G697" s="33"/>
      <c r="H697" s="143"/>
      <c r="I697" s="143"/>
      <c r="J697" s="111"/>
      <c r="K697" s="112"/>
      <c r="L697" s="230"/>
      <c r="M697" s="31"/>
      <c r="N697" s="39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</row>
    <row r="698">
      <c r="A698" s="224"/>
      <c r="B698" s="229"/>
      <c r="C698" s="225"/>
      <c r="D698" s="226"/>
      <c r="E698" s="227"/>
      <c r="F698" s="228"/>
      <c r="G698" s="33"/>
      <c r="H698" s="143"/>
      <c r="I698" s="143"/>
      <c r="J698" s="111"/>
      <c r="K698" s="112"/>
      <c r="L698" s="230"/>
      <c r="M698" s="31"/>
      <c r="N698" s="39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</row>
    <row r="699">
      <c r="A699" s="224"/>
      <c r="B699" s="229"/>
      <c r="C699" s="225"/>
      <c r="D699" s="226"/>
      <c r="E699" s="227"/>
      <c r="F699" s="228"/>
      <c r="G699" s="33"/>
      <c r="H699" s="143"/>
      <c r="I699" s="143"/>
      <c r="J699" s="111"/>
      <c r="K699" s="112"/>
      <c r="L699" s="230"/>
      <c r="M699" s="31"/>
      <c r="N699" s="39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</row>
    <row r="700">
      <c r="A700" s="224"/>
      <c r="B700" s="229"/>
      <c r="C700" s="225"/>
      <c r="D700" s="226"/>
      <c r="E700" s="227"/>
      <c r="F700" s="228"/>
      <c r="G700" s="33"/>
      <c r="H700" s="143"/>
      <c r="I700" s="143"/>
      <c r="J700" s="111"/>
      <c r="K700" s="112"/>
      <c r="L700" s="230"/>
      <c r="M700" s="31"/>
      <c r="N700" s="39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</row>
    <row r="701">
      <c r="A701" s="224"/>
      <c r="B701" s="229"/>
      <c r="C701" s="225"/>
      <c r="D701" s="226"/>
      <c r="E701" s="227"/>
      <c r="F701" s="228"/>
      <c r="G701" s="33"/>
      <c r="H701" s="143"/>
      <c r="I701" s="143"/>
      <c r="J701" s="111"/>
      <c r="K701" s="112"/>
      <c r="L701" s="230"/>
      <c r="M701" s="31"/>
      <c r="N701" s="39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</row>
    <row r="702">
      <c r="A702" s="224"/>
      <c r="B702" s="229"/>
      <c r="C702" s="225"/>
      <c r="D702" s="226"/>
      <c r="E702" s="227"/>
      <c r="F702" s="228"/>
      <c r="G702" s="33"/>
      <c r="H702" s="143"/>
      <c r="I702" s="143"/>
      <c r="J702" s="111"/>
      <c r="K702" s="112"/>
      <c r="L702" s="230"/>
      <c r="M702" s="31"/>
      <c r="N702" s="39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</row>
    <row r="703">
      <c r="A703" s="224"/>
      <c r="B703" s="229"/>
      <c r="C703" s="225"/>
      <c r="D703" s="226"/>
      <c r="E703" s="227"/>
      <c r="F703" s="228"/>
      <c r="G703" s="33"/>
      <c r="H703" s="143"/>
      <c r="I703" s="143"/>
      <c r="J703" s="111"/>
      <c r="K703" s="112"/>
      <c r="L703" s="230"/>
      <c r="M703" s="31"/>
      <c r="N703" s="39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</row>
    <row r="704">
      <c r="A704" s="224"/>
      <c r="B704" s="229"/>
      <c r="C704" s="225"/>
      <c r="D704" s="226"/>
      <c r="E704" s="227"/>
      <c r="F704" s="228"/>
      <c r="G704" s="33"/>
      <c r="H704" s="143"/>
      <c r="I704" s="143"/>
      <c r="J704" s="111"/>
      <c r="K704" s="112"/>
      <c r="L704" s="230"/>
      <c r="M704" s="31"/>
      <c r="N704" s="39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</row>
    <row r="705">
      <c r="A705" s="224"/>
      <c r="B705" s="229"/>
      <c r="C705" s="225"/>
      <c r="D705" s="226"/>
      <c r="E705" s="227"/>
      <c r="F705" s="228"/>
      <c r="G705" s="33"/>
      <c r="H705" s="143"/>
      <c r="I705" s="143"/>
      <c r="J705" s="111"/>
      <c r="K705" s="112"/>
      <c r="L705" s="230"/>
      <c r="M705" s="31"/>
      <c r="N705" s="39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</row>
    <row r="706">
      <c r="A706" s="224"/>
      <c r="B706" s="229"/>
      <c r="C706" s="225"/>
      <c r="D706" s="226"/>
      <c r="E706" s="227"/>
      <c r="F706" s="228"/>
      <c r="G706" s="33"/>
      <c r="H706" s="143"/>
      <c r="I706" s="143"/>
      <c r="J706" s="111"/>
      <c r="K706" s="112"/>
      <c r="L706" s="230"/>
      <c r="M706" s="31"/>
      <c r="N706" s="39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</row>
    <row r="707">
      <c r="A707" s="224"/>
      <c r="B707" s="229"/>
      <c r="C707" s="225"/>
      <c r="D707" s="226"/>
      <c r="E707" s="227"/>
      <c r="F707" s="228"/>
      <c r="G707" s="33"/>
      <c r="H707" s="143"/>
      <c r="I707" s="143"/>
      <c r="J707" s="111"/>
      <c r="K707" s="112"/>
      <c r="L707" s="230"/>
      <c r="M707" s="31"/>
      <c r="N707" s="39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</row>
    <row r="708">
      <c r="A708" s="224"/>
      <c r="B708" s="229"/>
      <c r="C708" s="225"/>
      <c r="D708" s="226"/>
      <c r="E708" s="227"/>
      <c r="F708" s="228"/>
      <c r="G708" s="33"/>
      <c r="H708" s="143"/>
      <c r="I708" s="143"/>
      <c r="J708" s="111"/>
      <c r="K708" s="112"/>
      <c r="L708" s="230"/>
      <c r="M708" s="31"/>
      <c r="N708" s="39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</row>
    <row r="709">
      <c r="A709" s="224"/>
      <c r="B709" s="229"/>
      <c r="C709" s="225"/>
      <c r="D709" s="226"/>
      <c r="E709" s="227"/>
      <c r="F709" s="228"/>
      <c r="G709" s="33"/>
      <c r="H709" s="143"/>
      <c r="I709" s="143"/>
      <c r="J709" s="111"/>
      <c r="K709" s="112"/>
      <c r="L709" s="230"/>
      <c r="M709" s="31"/>
      <c r="N709" s="39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</row>
    <row r="710">
      <c r="A710" s="224"/>
      <c r="B710" s="229"/>
      <c r="C710" s="225"/>
      <c r="D710" s="226"/>
      <c r="E710" s="227"/>
      <c r="F710" s="228"/>
      <c r="G710" s="33"/>
      <c r="H710" s="143"/>
      <c r="I710" s="143"/>
      <c r="J710" s="111"/>
      <c r="K710" s="112"/>
      <c r="L710" s="230"/>
      <c r="M710" s="31"/>
      <c r="N710" s="39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</row>
    <row r="711">
      <c r="A711" s="224"/>
      <c r="B711" s="229"/>
      <c r="C711" s="225"/>
      <c r="D711" s="226"/>
      <c r="E711" s="227"/>
      <c r="F711" s="228"/>
      <c r="G711" s="33"/>
      <c r="H711" s="143"/>
      <c r="I711" s="143"/>
      <c r="J711" s="111"/>
      <c r="K711" s="112"/>
      <c r="L711" s="230"/>
      <c r="M711" s="31"/>
      <c r="N711" s="39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</row>
    <row r="712">
      <c r="A712" s="224"/>
      <c r="B712" s="229"/>
      <c r="C712" s="225"/>
      <c r="D712" s="226"/>
      <c r="E712" s="227"/>
      <c r="F712" s="228"/>
      <c r="G712" s="33"/>
      <c r="H712" s="143"/>
      <c r="I712" s="143"/>
      <c r="J712" s="111"/>
      <c r="K712" s="112"/>
      <c r="L712" s="230"/>
      <c r="M712" s="31"/>
      <c r="N712" s="39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</row>
    <row r="713">
      <c r="A713" s="224"/>
      <c r="B713" s="229"/>
      <c r="C713" s="225"/>
      <c r="D713" s="226"/>
      <c r="E713" s="227"/>
      <c r="F713" s="228"/>
      <c r="G713" s="33"/>
      <c r="H713" s="143"/>
      <c r="I713" s="143"/>
      <c r="J713" s="111"/>
      <c r="K713" s="112"/>
      <c r="L713" s="230"/>
      <c r="M713" s="31"/>
      <c r="N713" s="39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</row>
    <row r="714">
      <c r="A714" s="224"/>
      <c r="B714" s="229"/>
      <c r="C714" s="225"/>
      <c r="D714" s="226"/>
      <c r="E714" s="227"/>
      <c r="F714" s="228"/>
      <c r="G714" s="33"/>
      <c r="H714" s="143"/>
      <c r="I714" s="143"/>
      <c r="J714" s="111"/>
      <c r="K714" s="112"/>
      <c r="L714" s="230"/>
      <c r="M714" s="31"/>
      <c r="N714" s="39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</row>
    <row r="715">
      <c r="A715" s="224"/>
      <c r="B715" s="229"/>
      <c r="C715" s="225"/>
      <c r="D715" s="226"/>
      <c r="E715" s="227"/>
      <c r="F715" s="228"/>
      <c r="G715" s="33"/>
      <c r="H715" s="143"/>
      <c r="I715" s="143"/>
      <c r="J715" s="111"/>
      <c r="K715" s="112"/>
      <c r="L715" s="230"/>
      <c r="M715" s="31"/>
      <c r="N715" s="39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</row>
    <row r="716">
      <c r="A716" s="224"/>
      <c r="B716" s="229"/>
      <c r="C716" s="225"/>
      <c r="D716" s="226"/>
      <c r="E716" s="227"/>
      <c r="F716" s="228"/>
      <c r="G716" s="33"/>
      <c r="H716" s="143"/>
      <c r="I716" s="143"/>
      <c r="J716" s="111"/>
      <c r="K716" s="112"/>
      <c r="L716" s="230"/>
      <c r="M716" s="31"/>
      <c r="N716" s="39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</row>
    <row r="717">
      <c r="A717" s="224"/>
      <c r="B717" s="229"/>
      <c r="C717" s="225"/>
      <c r="D717" s="226"/>
      <c r="E717" s="227"/>
      <c r="F717" s="228"/>
      <c r="G717" s="33"/>
      <c r="H717" s="143"/>
      <c r="I717" s="143"/>
      <c r="J717" s="111"/>
      <c r="K717" s="112"/>
      <c r="L717" s="230"/>
      <c r="M717" s="31"/>
      <c r="N717" s="39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</row>
    <row r="718">
      <c r="A718" s="224"/>
      <c r="B718" s="229"/>
      <c r="C718" s="225"/>
      <c r="D718" s="226"/>
      <c r="E718" s="227"/>
      <c r="F718" s="228"/>
      <c r="G718" s="33"/>
      <c r="H718" s="143"/>
      <c r="I718" s="143"/>
      <c r="J718" s="111"/>
      <c r="K718" s="112"/>
      <c r="L718" s="230"/>
      <c r="M718" s="31"/>
      <c r="N718" s="39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</row>
    <row r="719">
      <c r="A719" s="224"/>
      <c r="B719" s="229"/>
      <c r="C719" s="225"/>
      <c r="D719" s="226"/>
      <c r="E719" s="227"/>
      <c r="F719" s="228"/>
      <c r="G719" s="33"/>
      <c r="H719" s="143"/>
      <c r="I719" s="143"/>
      <c r="J719" s="111"/>
      <c r="K719" s="112"/>
      <c r="L719" s="230"/>
      <c r="M719" s="31"/>
      <c r="N719" s="39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</row>
    <row r="720">
      <c r="A720" s="224"/>
      <c r="B720" s="229"/>
      <c r="C720" s="225"/>
      <c r="D720" s="226"/>
      <c r="E720" s="227"/>
      <c r="F720" s="228"/>
      <c r="G720" s="33"/>
      <c r="H720" s="143"/>
      <c r="I720" s="143"/>
      <c r="J720" s="111"/>
      <c r="K720" s="112"/>
      <c r="L720" s="230"/>
      <c r="M720" s="31"/>
      <c r="N720" s="39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</row>
    <row r="721">
      <c r="A721" s="224"/>
      <c r="B721" s="229"/>
      <c r="C721" s="225"/>
      <c r="D721" s="226"/>
      <c r="E721" s="227"/>
      <c r="F721" s="228"/>
      <c r="G721" s="33"/>
      <c r="H721" s="143"/>
      <c r="I721" s="143"/>
      <c r="J721" s="111"/>
      <c r="K721" s="112"/>
      <c r="L721" s="230"/>
      <c r="M721" s="31"/>
      <c r="N721" s="39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</row>
    <row r="722">
      <c r="A722" s="224"/>
      <c r="B722" s="229"/>
      <c r="C722" s="225"/>
      <c r="D722" s="226"/>
      <c r="E722" s="227"/>
      <c r="F722" s="228"/>
      <c r="G722" s="33"/>
      <c r="H722" s="143"/>
      <c r="I722" s="143"/>
      <c r="J722" s="111"/>
      <c r="K722" s="112"/>
      <c r="L722" s="230"/>
      <c r="M722" s="31"/>
      <c r="N722" s="39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</row>
    <row r="723">
      <c r="A723" s="224"/>
      <c r="B723" s="229"/>
      <c r="C723" s="225"/>
      <c r="D723" s="226"/>
      <c r="E723" s="227"/>
      <c r="F723" s="228"/>
      <c r="G723" s="33"/>
      <c r="H723" s="143"/>
      <c r="I723" s="143"/>
      <c r="J723" s="111"/>
      <c r="K723" s="112"/>
      <c r="L723" s="230"/>
      <c r="M723" s="31"/>
      <c r="N723" s="39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</row>
    <row r="724">
      <c r="A724" s="224"/>
      <c r="B724" s="229"/>
      <c r="C724" s="225"/>
      <c r="D724" s="226"/>
      <c r="E724" s="227"/>
      <c r="F724" s="228"/>
      <c r="G724" s="33"/>
      <c r="H724" s="143"/>
      <c r="I724" s="143"/>
      <c r="J724" s="111"/>
      <c r="K724" s="112"/>
      <c r="L724" s="230"/>
      <c r="M724" s="31"/>
      <c r="N724" s="39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</row>
    <row r="725">
      <c r="A725" s="224"/>
      <c r="B725" s="229"/>
      <c r="C725" s="225"/>
      <c r="D725" s="226"/>
      <c r="E725" s="227"/>
      <c r="F725" s="228"/>
      <c r="G725" s="33"/>
      <c r="H725" s="143"/>
      <c r="I725" s="143"/>
      <c r="J725" s="111"/>
      <c r="K725" s="112"/>
      <c r="L725" s="230"/>
      <c r="M725" s="31"/>
      <c r="N725" s="39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</row>
    <row r="726">
      <c r="A726" s="224"/>
      <c r="B726" s="229"/>
      <c r="C726" s="225"/>
      <c r="D726" s="226"/>
      <c r="E726" s="227"/>
      <c r="F726" s="228"/>
      <c r="G726" s="33"/>
      <c r="H726" s="143"/>
      <c r="I726" s="143"/>
      <c r="J726" s="111"/>
      <c r="K726" s="112"/>
      <c r="L726" s="230"/>
      <c r="M726" s="31"/>
      <c r="N726" s="39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</row>
    <row r="727">
      <c r="A727" s="224"/>
      <c r="B727" s="229"/>
      <c r="C727" s="225"/>
      <c r="D727" s="226"/>
      <c r="E727" s="227"/>
      <c r="F727" s="228"/>
      <c r="G727" s="33"/>
      <c r="H727" s="143"/>
      <c r="I727" s="143"/>
      <c r="J727" s="111"/>
      <c r="K727" s="112"/>
      <c r="L727" s="230"/>
      <c r="M727" s="31"/>
      <c r="N727" s="39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</row>
    <row r="728">
      <c r="A728" s="224"/>
      <c r="B728" s="229"/>
      <c r="C728" s="225"/>
      <c r="D728" s="226"/>
      <c r="E728" s="227"/>
      <c r="F728" s="228"/>
      <c r="G728" s="33"/>
      <c r="H728" s="143"/>
      <c r="I728" s="143"/>
      <c r="J728" s="111"/>
      <c r="K728" s="112"/>
      <c r="L728" s="230"/>
      <c r="M728" s="31"/>
      <c r="N728" s="39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</row>
    <row r="729">
      <c r="A729" s="224"/>
      <c r="B729" s="229"/>
      <c r="C729" s="225"/>
      <c r="D729" s="226"/>
      <c r="E729" s="227"/>
      <c r="F729" s="228"/>
      <c r="G729" s="33"/>
      <c r="H729" s="143"/>
      <c r="I729" s="143"/>
      <c r="J729" s="111"/>
      <c r="K729" s="112"/>
      <c r="L729" s="230"/>
      <c r="M729" s="31"/>
      <c r="N729" s="39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</row>
    <row r="730">
      <c r="A730" s="224"/>
      <c r="B730" s="229"/>
      <c r="C730" s="225"/>
      <c r="D730" s="226"/>
      <c r="E730" s="227"/>
      <c r="F730" s="228"/>
      <c r="G730" s="33"/>
      <c r="H730" s="143"/>
      <c r="I730" s="143"/>
      <c r="J730" s="111"/>
      <c r="K730" s="112"/>
      <c r="L730" s="230"/>
      <c r="M730" s="31"/>
      <c r="N730" s="39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</row>
    <row r="731">
      <c r="A731" s="224"/>
      <c r="B731" s="229"/>
      <c r="C731" s="225"/>
      <c r="D731" s="226"/>
      <c r="E731" s="227"/>
      <c r="F731" s="228"/>
      <c r="G731" s="33"/>
      <c r="H731" s="143"/>
      <c r="I731" s="143"/>
      <c r="J731" s="111"/>
      <c r="K731" s="112"/>
      <c r="L731" s="230"/>
      <c r="M731" s="31"/>
      <c r="N731" s="39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</row>
    <row r="732">
      <c r="A732" s="224"/>
      <c r="B732" s="229"/>
      <c r="C732" s="225"/>
      <c r="D732" s="226"/>
      <c r="E732" s="227"/>
      <c r="F732" s="228"/>
      <c r="G732" s="33"/>
      <c r="H732" s="143"/>
      <c r="I732" s="143"/>
      <c r="J732" s="111"/>
      <c r="K732" s="112"/>
      <c r="L732" s="230"/>
      <c r="M732" s="31"/>
      <c r="N732" s="39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</row>
    <row r="733">
      <c r="A733" s="224"/>
      <c r="B733" s="229"/>
      <c r="C733" s="225"/>
      <c r="D733" s="226"/>
      <c r="E733" s="227"/>
      <c r="F733" s="228"/>
      <c r="G733" s="33"/>
      <c r="H733" s="143"/>
      <c r="I733" s="143"/>
      <c r="J733" s="111"/>
      <c r="K733" s="112"/>
      <c r="L733" s="230"/>
      <c r="M733" s="31"/>
      <c r="N733" s="39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</row>
    <row r="734">
      <c r="A734" s="224"/>
      <c r="B734" s="229"/>
      <c r="C734" s="225"/>
      <c r="D734" s="226"/>
      <c r="E734" s="227"/>
      <c r="F734" s="228"/>
      <c r="G734" s="33"/>
      <c r="H734" s="143"/>
      <c r="I734" s="143"/>
      <c r="J734" s="111"/>
      <c r="K734" s="112"/>
      <c r="L734" s="230"/>
      <c r="M734" s="31"/>
      <c r="N734" s="39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</row>
    <row r="735">
      <c r="A735" s="224"/>
      <c r="B735" s="229"/>
      <c r="C735" s="225"/>
      <c r="D735" s="226"/>
      <c r="E735" s="227"/>
      <c r="F735" s="228"/>
      <c r="G735" s="33"/>
      <c r="H735" s="143"/>
      <c r="I735" s="143"/>
      <c r="J735" s="111"/>
      <c r="K735" s="112"/>
      <c r="L735" s="230"/>
      <c r="M735" s="31"/>
      <c r="N735" s="39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</row>
    <row r="736">
      <c r="A736" s="224"/>
      <c r="B736" s="229"/>
      <c r="C736" s="225"/>
      <c r="D736" s="226"/>
      <c r="E736" s="227"/>
      <c r="F736" s="228"/>
      <c r="G736" s="33"/>
      <c r="H736" s="143"/>
      <c r="I736" s="143"/>
      <c r="J736" s="111"/>
      <c r="K736" s="112"/>
      <c r="L736" s="230"/>
      <c r="M736" s="31"/>
      <c r="N736" s="39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</row>
    <row r="737">
      <c r="A737" s="224"/>
      <c r="B737" s="229"/>
      <c r="C737" s="225"/>
      <c r="D737" s="226"/>
      <c r="E737" s="227"/>
      <c r="F737" s="228"/>
      <c r="G737" s="33"/>
      <c r="H737" s="143"/>
      <c r="I737" s="143"/>
      <c r="J737" s="111"/>
      <c r="K737" s="112"/>
      <c r="L737" s="230"/>
      <c r="M737" s="31"/>
      <c r="N737" s="39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</row>
    <row r="738">
      <c r="A738" s="224"/>
      <c r="B738" s="229"/>
      <c r="C738" s="225"/>
      <c r="D738" s="226"/>
      <c r="E738" s="227"/>
      <c r="F738" s="228"/>
      <c r="G738" s="33"/>
      <c r="H738" s="143"/>
      <c r="I738" s="143"/>
      <c r="J738" s="111"/>
      <c r="K738" s="112"/>
      <c r="L738" s="230"/>
      <c r="M738" s="31"/>
      <c r="N738" s="39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</row>
    <row r="739">
      <c r="A739" s="224"/>
      <c r="B739" s="229"/>
      <c r="C739" s="225"/>
      <c r="D739" s="226"/>
      <c r="E739" s="227"/>
      <c r="F739" s="228"/>
      <c r="G739" s="33"/>
      <c r="H739" s="143"/>
      <c r="I739" s="143"/>
      <c r="J739" s="111"/>
      <c r="K739" s="112"/>
      <c r="L739" s="230"/>
      <c r="M739" s="31"/>
      <c r="N739" s="39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</row>
    <row r="740">
      <c r="A740" s="224"/>
      <c r="B740" s="229"/>
      <c r="C740" s="225"/>
      <c r="D740" s="226"/>
      <c r="E740" s="227"/>
      <c r="F740" s="228"/>
      <c r="G740" s="33"/>
      <c r="H740" s="143"/>
      <c r="I740" s="143"/>
      <c r="J740" s="111"/>
      <c r="K740" s="112"/>
      <c r="L740" s="230"/>
      <c r="M740" s="31"/>
      <c r="N740" s="39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</row>
    <row r="741">
      <c r="A741" s="224"/>
      <c r="B741" s="229"/>
      <c r="C741" s="225"/>
      <c r="D741" s="226"/>
      <c r="E741" s="227"/>
      <c r="F741" s="228"/>
      <c r="G741" s="33"/>
      <c r="H741" s="143"/>
      <c r="I741" s="143"/>
      <c r="J741" s="111"/>
      <c r="K741" s="112"/>
      <c r="L741" s="230"/>
      <c r="M741" s="31"/>
      <c r="N741" s="39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</row>
    <row r="742">
      <c r="A742" s="224"/>
      <c r="B742" s="229"/>
      <c r="C742" s="225"/>
      <c r="D742" s="226"/>
      <c r="E742" s="227"/>
      <c r="F742" s="228"/>
      <c r="G742" s="33"/>
      <c r="H742" s="143"/>
      <c r="I742" s="143"/>
      <c r="J742" s="111"/>
      <c r="K742" s="112"/>
      <c r="L742" s="230"/>
      <c r="M742" s="31"/>
      <c r="N742" s="39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</row>
    <row r="743">
      <c r="A743" s="224"/>
      <c r="B743" s="229"/>
      <c r="C743" s="225"/>
      <c r="D743" s="226"/>
      <c r="E743" s="227"/>
      <c r="F743" s="228"/>
      <c r="G743" s="33"/>
      <c r="H743" s="143"/>
      <c r="I743" s="143"/>
      <c r="J743" s="111"/>
      <c r="K743" s="112"/>
      <c r="L743" s="230"/>
      <c r="M743" s="31"/>
      <c r="N743" s="39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</row>
    <row r="744">
      <c r="A744" s="224"/>
      <c r="B744" s="229"/>
      <c r="C744" s="225"/>
      <c r="D744" s="226"/>
      <c r="E744" s="227"/>
      <c r="F744" s="228"/>
      <c r="G744" s="33"/>
      <c r="H744" s="143"/>
      <c r="I744" s="143"/>
      <c r="J744" s="111"/>
      <c r="K744" s="112"/>
      <c r="L744" s="230"/>
      <c r="M744" s="31"/>
      <c r="N744" s="39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</row>
    <row r="745">
      <c r="A745" s="224"/>
      <c r="B745" s="229"/>
      <c r="C745" s="225"/>
      <c r="D745" s="226"/>
      <c r="E745" s="227"/>
      <c r="F745" s="228"/>
      <c r="G745" s="33"/>
      <c r="H745" s="143"/>
      <c r="I745" s="143"/>
      <c r="J745" s="111"/>
      <c r="K745" s="112"/>
      <c r="L745" s="230"/>
      <c r="M745" s="31"/>
      <c r="N745" s="39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</row>
    <row r="746">
      <c r="A746" s="224"/>
      <c r="B746" s="229"/>
      <c r="C746" s="225"/>
      <c r="D746" s="226"/>
      <c r="E746" s="227"/>
      <c r="F746" s="228"/>
      <c r="G746" s="33"/>
      <c r="H746" s="143"/>
      <c r="I746" s="143"/>
      <c r="J746" s="111"/>
      <c r="K746" s="112"/>
      <c r="L746" s="230"/>
      <c r="M746" s="31"/>
      <c r="N746" s="39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</row>
    <row r="747">
      <c r="A747" s="224"/>
      <c r="B747" s="229"/>
      <c r="C747" s="225"/>
      <c r="D747" s="226"/>
      <c r="E747" s="227"/>
      <c r="F747" s="228"/>
      <c r="G747" s="33"/>
      <c r="H747" s="143"/>
      <c r="I747" s="143"/>
      <c r="J747" s="111"/>
      <c r="K747" s="112"/>
      <c r="L747" s="230"/>
      <c r="M747" s="31"/>
      <c r="N747" s="39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</row>
    <row r="748">
      <c r="A748" s="224"/>
      <c r="B748" s="229"/>
      <c r="C748" s="225"/>
      <c r="D748" s="226"/>
      <c r="E748" s="227"/>
      <c r="F748" s="228"/>
      <c r="G748" s="33"/>
      <c r="H748" s="143"/>
      <c r="I748" s="143"/>
      <c r="J748" s="111"/>
      <c r="K748" s="112"/>
      <c r="L748" s="230"/>
      <c r="M748" s="31"/>
      <c r="N748" s="39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</row>
    <row r="749">
      <c r="A749" s="224"/>
      <c r="B749" s="229"/>
      <c r="C749" s="225"/>
      <c r="D749" s="226"/>
      <c r="E749" s="227"/>
      <c r="F749" s="228"/>
      <c r="G749" s="33"/>
      <c r="H749" s="143"/>
      <c r="I749" s="143"/>
      <c r="J749" s="111"/>
      <c r="K749" s="112"/>
      <c r="L749" s="230"/>
      <c r="M749" s="31"/>
      <c r="N749" s="39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</row>
    <row r="750">
      <c r="A750" s="224"/>
      <c r="B750" s="229"/>
      <c r="C750" s="225"/>
      <c r="D750" s="226"/>
      <c r="E750" s="227"/>
      <c r="F750" s="228"/>
      <c r="G750" s="33"/>
      <c r="H750" s="143"/>
      <c r="I750" s="143"/>
      <c r="J750" s="111"/>
      <c r="K750" s="112"/>
      <c r="L750" s="230"/>
      <c r="M750" s="31"/>
      <c r="N750" s="39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</row>
    <row r="751">
      <c r="A751" s="224"/>
      <c r="B751" s="229"/>
      <c r="C751" s="225"/>
      <c r="D751" s="226"/>
      <c r="E751" s="227"/>
      <c r="F751" s="228"/>
      <c r="G751" s="33"/>
      <c r="H751" s="143"/>
      <c r="I751" s="143"/>
      <c r="J751" s="111"/>
      <c r="K751" s="112"/>
      <c r="L751" s="230"/>
      <c r="M751" s="31"/>
      <c r="N751" s="39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</row>
    <row r="752">
      <c r="A752" s="224"/>
      <c r="B752" s="229"/>
      <c r="C752" s="225"/>
      <c r="D752" s="226"/>
      <c r="E752" s="227"/>
      <c r="F752" s="228"/>
      <c r="G752" s="33"/>
      <c r="H752" s="143"/>
      <c r="I752" s="143"/>
      <c r="J752" s="111"/>
      <c r="K752" s="112"/>
      <c r="L752" s="230"/>
      <c r="M752" s="31"/>
      <c r="N752" s="39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</row>
    <row r="753">
      <c r="A753" s="224"/>
      <c r="B753" s="229"/>
      <c r="C753" s="225"/>
      <c r="D753" s="226"/>
      <c r="E753" s="227"/>
      <c r="F753" s="228"/>
      <c r="G753" s="33"/>
      <c r="H753" s="143"/>
      <c r="I753" s="143"/>
      <c r="J753" s="111"/>
      <c r="K753" s="112"/>
      <c r="L753" s="230"/>
      <c r="M753" s="31"/>
      <c r="N753" s="39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</row>
    <row r="754">
      <c r="A754" s="224"/>
      <c r="B754" s="229"/>
      <c r="C754" s="225"/>
      <c r="D754" s="226"/>
      <c r="E754" s="227"/>
      <c r="F754" s="228"/>
      <c r="G754" s="33"/>
      <c r="H754" s="143"/>
      <c r="I754" s="143"/>
      <c r="J754" s="111"/>
      <c r="K754" s="112"/>
      <c r="L754" s="230"/>
      <c r="M754" s="31"/>
      <c r="N754" s="39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</row>
    <row r="755">
      <c r="A755" s="224"/>
      <c r="B755" s="229"/>
      <c r="C755" s="225"/>
      <c r="D755" s="226"/>
      <c r="E755" s="227"/>
      <c r="F755" s="228"/>
      <c r="G755" s="33"/>
      <c r="H755" s="143"/>
      <c r="I755" s="143"/>
      <c r="J755" s="111"/>
      <c r="K755" s="112"/>
      <c r="L755" s="230"/>
      <c r="M755" s="31"/>
      <c r="N755" s="39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</row>
    <row r="756">
      <c r="A756" s="224"/>
      <c r="B756" s="229"/>
      <c r="C756" s="225"/>
      <c r="D756" s="226"/>
      <c r="E756" s="227"/>
      <c r="F756" s="228"/>
      <c r="G756" s="33"/>
      <c r="H756" s="143"/>
      <c r="I756" s="143"/>
      <c r="J756" s="111"/>
      <c r="K756" s="112"/>
      <c r="L756" s="230"/>
      <c r="M756" s="31"/>
      <c r="N756" s="39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</row>
    <row r="757">
      <c r="A757" s="224"/>
      <c r="B757" s="229"/>
      <c r="C757" s="225"/>
      <c r="D757" s="226"/>
      <c r="E757" s="227"/>
      <c r="F757" s="228"/>
      <c r="G757" s="33"/>
      <c r="H757" s="143"/>
      <c r="I757" s="143"/>
      <c r="J757" s="111"/>
      <c r="K757" s="112"/>
      <c r="L757" s="230"/>
      <c r="M757" s="31"/>
      <c r="N757" s="39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</row>
    <row r="758">
      <c r="A758" s="224"/>
      <c r="B758" s="229"/>
      <c r="C758" s="225"/>
      <c r="D758" s="226"/>
      <c r="E758" s="227"/>
      <c r="F758" s="228"/>
      <c r="G758" s="33"/>
      <c r="H758" s="143"/>
      <c r="I758" s="143"/>
      <c r="J758" s="111"/>
      <c r="K758" s="112"/>
      <c r="L758" s="230"/>
      <c r="M758" s="31"/>
      <c r="N758" s="39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</row>
    <row r="759">
      <c r="A759" s="224"/>
      <c r="B759" s="229"/>
      <c r="C759" s="225"/>
      <c r="D759" s="226"/>
      <c r="E759" s="227"/>
      <c r="F759" s="228"/>
      <c r="G759" s="33"/>
      <c r="H759" s="143"/>
      <c r="I759" s="143"/>
      <c r="J759" s="111"/>
      <c r="K759" s="112"/>
      <c r="L759" s="230"/>
      <c r="M759" s="31"/>
      <c r="N759" s="39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</row>
    <row r="760">
      <c r="A760" s="224"/>
      <c r="B760" s="229"/>
      <c r="C760" s="225"/>
      <c r="D760" s="226"/>
      <c r="E760" s="227"/>
      <c r="F760" s="228"/>
      <c r="G760" s="33"/>
      <c r="H760" s="143"/>
      <c r="I760" s="143"/>
      <c r="J760" s="111"/>
      <c r="K760" s="112"/>
      <c r="L760" s="230"/>
      <c r="M760" s="31"/>
      <c r="N760" s="39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</row>
    <row r="761">
      <c r="A761" s="224"/>
      <c r="B761" s="229"/>
      <c r="C761" s="225"/>
      <c r="D761" s="226"/>
      <c r="E761" s="227"/>
      <c r="F761" s="228"/>
      <c r="G761" s="33"/>
      <c r="H761" s="143"/>
      <c r="I761" s="143"/>
      <c r="J761" s="111"/>
      <c r="K761" s="112"/>
      <c r="L761" s="230"/>
      <c r="M761" s="31"/>
      <c r="N761" s="39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</row>
    <row r="762">
      <c r="A762" s="224"/>
      <c r="B762" s="229"/>
      <c r="C762" s="225"/>
      <c r="D762" s="226"/>
      <c r="E762" s="227"/>
      <c r="F762" s="228"/>
      <c r="G762" s="33"/>
      <c r="H762" s="143"/>
      <c r="I762" s="143"/>
      <c r="J762" s="111"/>
      <c r="K762" s="112"/>
      <c r="L762" s="230"/>
      <c r="M762" s="31"/>
      <c r="N762" s="39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</row>
    <row r="763">
      <c r="A763" s="224"/>
      <c r="B763" s="229"/>
      <c r="C763" s="225"/>
      <c r="D763" s="226"/>
      <c r="E763" s="227"/>
      <c r="F763" s="228"/>
      <c r="G763" s="33"/>
      <c r="H763" s="143"/>
      <c r="I763" s="143"/>
      <c r="J763" s="111"/>
      <c r="K763" s="112"/>
      <c r="L763" s="230"/>
      <c r="M763" s="31"/>
      <c r="N763" s="39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</row>
    <row r="764">
      <c r="A764" s="224"/>
      <c r="B764" s="229"/>
      <c r="C764" s="225"/>
      <c r="D764" s="226"/>
      <c r="E764" s="227"/>
      <c r="F764" s="228"/>
      <c r="G764" s="33"/>
      <c r="H764" s="143"/>
      <c r="I764" s="143"/>
      <c r="J764" s="111"/>
      <c r="K764" s="112"/>
      <c r="L764" s="230"/>
      <c r="M764" s="31"/>
      <c r="N764" s="39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</row>
    <row r="765">
      <c r="A765" s="224"/>
      <c r="B765" s="229"/>
      <c r="C765" s="225"/>
      <c r="D765" s="226"/>
      <c r="E765" s="227"/>
      <c r="F765" s="228"/>
      <c r="G765" s="33"/>
      <c r="H765" s="143"/>
      <c r="I765" s="143"/>
      <c r="J765" s="111"/>
      <c r="K765" s="112"/>
      <c r="L765" s="230"/>
      <c r="M765" s="31"/>
      <c r="N765" s="39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</row>
    <row r="766">
      <c r="A766" s="224"/>
      <c r="B766" s="229"/>
      <c r="C766" s="225"/>
      <c r="D766" s="226"/>
      <c r="E766" s="227"/>
      <c r="F766" s="228"/>
      <c r="G766" s="33"/>
      <c r="H766" s="143"/>
      <c r="I766" s="143"/>
      <c r="J766" s="111"/>
      <c r="K766" s="112"/>
      <c r="L766" s="230"/>
      <c r="M766" s="31"/>
      <c r="N766" s="39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</row>
    <row r="767">
      <c r="A767" s="224"/>
      <c r="B767" s="229"/>
      <c r="C767" s="225"/>
      <c r="D767" s="226"/>
      <c r="E767" s="227"/>
      <c r="F767" s="228"/>
      <c r="G767" s="33"/>
      <c r="H767" s="143"/>
      <c r="I767" s="143"/>
      <c r="J767" s="111"/>
      <c r="K767" s="112"/>
      <c r="L767" s="230"/>
      <c r="M767" s="31"/>
      <c r="N767" s="39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</row>
    <row r="768">
      <c r="A768" s="224"/>
      <c r="B768" s="229"/>
      <c r="C768" s="225"/>
      <c r="D768" s="226"/>
      <c r="E768" s="227"/>
      <c r="F768" s="228"/>
      <c r="G768" s="33"/>
      <c r="H768" s="143"/>
      <c r="I768" s="143"/>
      <c r="J768" s="111"/>
      <c r="K768" s="112"/>
      <c r="L768" s="230"/>
      <c r="M768" s="31"/>
      <c r="N768" s="39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</row>
    <row r="769">
      <c r="A769" s="224"/>
      <c r="B769" s="229"/>
      <c r="C769" s="225"/>
      <c r="D769" s="226"/>
      <c r="E769" s="227"/>
      <c r="F769" s="228"/>
      <c r="G769" s="33"/>
      <c r="H769" s="143"/>
      <c r="I769" s="143"/>
      <c r="J769" s="111"/>
      <c r="K769" s="112"/>
      <c r="L769" s="230"/>
      <c r="M769" s="31"/>
      <c r="N769" s="39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</row>
    <row r="770">
      <c r="A770" s="224"/>
      <c r="B770" s="229"/>
      <c r="C770" s="225"/>
      <c r="D770" s="226"/>
      <c r="E770" s="227"/>
      <c r="F770" s="228"/>
      <c r="G770" s="33"/>
      <c r="H770" s="143"/>
      <c r="I770" s="143"/>
      <c r="J770" s="111"/>
      <c r="K770" s="112"/>
      <c r="L770" s="230"/>
      <c r="M770" s="31"/>
      <c r="N770" s="39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</row>
    <row r="771">
      <c r="A771" s="224"/>
      <c r="B771" s="229"/>
      <c r="C771" s="225"/>
      <c r="D771" s="226"/>
      <c r="E771" s="227"/>
      <c r="F771" s="228"/>
      <c r="G771" s="33"/>
      <c r="H771" s="143"/>
      <c r="I771" s="143"/>
      <c r="J771" s="111"/>
      <c r="K771" s="112"/>
      <c r="L771" s="230"/>
      <c r="M771" s="31"/>
      <c r="N771" s="39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</row>
    <row r="772">
      <c r="A772" s="224"/>
      <c r="B772" s="229"/>
      <c r="C772" s="225"/>
      <c r="D772" s="226"/>
      <c r="E772" s="227"/>
      <c r="F772" s="228"/>
      <c r="G772" s="33"/>
      <c r="H772" s="143"/>
      <c r="I772" s="143"/>
      <c r="J772" s="111"/>
      <c r="K772" s="112"/>
      <c r="L772" s="230"/>
      <c r="M772" s="31"/>
      <c r="N772" s="39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</row>
    <row r="773">
      <c r="A773" s="224"/>
      <c r="B773" s="229"/>
      <c r="C773" s="225"/>
      <c r="D773" s="226"/>
      <c r="E773" s="227"/>
      <c r="F773" s="228"/>
      <c r="G773" s="33"/>
      <c r="H773" s="143"/>
      <c r="I773" s="143"/>
      <c r="J773" s="111"/>
      <c r="K773" s="112"/>
      <c r="L773" s="230"/>
      <c r="M773" s="31"/>
      <c r="N773" s="39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</row>
    <row r="774">
      <c r="A774" s="224"/>
      <c r="B774" s="229"/>
      <c r="C774" s="225"/>
      <c r="D774" s="226"/>
      <c r="E774" s="227"/>
      <c r="F774" s="228"/>
      <c r="G774" s="33"/>
      <c r="H774" s="143"/>
      <c r="I774" s="143"/>
      <c r="J774" s="111"/>
      <c r="K774" s="112"/>
      <c r="L774" s="230"/>
      <c r="M774" s="31"/>
      <c r="N774" s="39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</row>
    <row r="775">
      <c r="A775" s="224"/>
      <c r="B775" s="229"/>
      <c r="C775" s="225"/>
      <c r="D775" s="226"/>
      <c r="E775" s="227"/>
      <c r="F775" s="228"/>
      <c r="G775" s="33"/>
      <c r="H775" s="143"/>
      <c r="I775" s="143"/>
      <c r="J775" s="111"/>
      <c r="K775" s="112"/>
      <c r="L775" s="230"/>
      <c r="M775" s="31"/>
      <c r="N775" s="39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</row>
    <row r="776">
      <c r="A776" s="224"/>
      <c r="B776" s="229"/>
      <c r="C776" s="225"/>
      <c r="D776" s="226"/>
      <c r="E776" s="227"/>
      <c r="F776" s="228"/>
      <c r="G776" s="33"/>
      <c r="H776" s="143"/>
      <c r="I776" s="143"/>
      <c r="J776" s="111"/>
      <c r="K776" s="112"/>
      <c r="L776" s="230"/>
      <c r="M776" s="31"/>
      <c r="N776" s="39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</row>
    <row r="777">
      <c r="A777" s="224"/>
      <c r="B777" s="229"/>
      <c r="C777" s="225"/>
      <c r="D777" s="226"/>
      <c r="E777" s="227"/>
      <c r="F777" s="228"/>
      <c r="G777" s="33"/>
      <c r="H777" s="143"/>
      <c r="I777" s="143"/>
      <c r="J777" s="111"/>
      <c r="K777" s="112"/>
      <c r="L777" s="230"/>
      <c r="M777" s="31"/>
      <c r="N777" s="39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</row>
    <row r="778">
      <c r="A778" s="224"/>
      <c r="B778" s="229"/>
      <c r="C778" s="225"/>
      <c r="D778" s="226"/>
      <c r="E778" s="227"/>
      <c r="F778" s="228"/>
      <c r="G778" s="33"/>
      <c r="H778" s="143"/>
      <c r="I778" s="143"/>
      <c r="J778" s="111"/>
      <c r="K778" s="112"/>
      <c r="L778" s="230"/>
      <c r="M778" s="31"/>
      <c r="N778" s="39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</row>
    <row r="779">
      <c r="A779" s="224"/>
      <c r="B779" s="229"/>
      <c r="C779" s="225"/>
      <c r="D779" s="226"/>
      <c r="E779" s="227"/>
      <c r="F779" s="228"/>
      <c r="G779" s="33"/>
      <c r="H779" s="143"/>
      <c r="I779" s="143"/>
      <c r="J779" s="111"/>
      <c r="K779" s="112"/>
      <c r="L779" s="230"/>
      <c r="M779" s="31"/>
      <c r="N779" s="39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</row>
    <row r="780">
      <c r="A780" s="224"/>
      <c r="B780" s="229"/>
      <c r="C780" s="225"/>
      <c r="D780" s="226"/>
      <c r="E780" s="227"/>
      <c r="F780" s="228"/>
      <c r="G780" s="33"/>
      <c r="H780" s="143"/>
      <c r="I780" s="143"/>
      <c r="J780" s="111"/>
      <c r="K780" s="112"/>
      <c r="L780" s="230"/>
      <c r="M780" s="31"/>
      <c r="N780" s="39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</row>
    <row r="781">
      <c r="A781" s="224"/>
      <c r="B781" s="229"/>
      <c r="C781" s="225"/>
      <c r="D781" s="226"/>
      <c r="E781" s="227"/>
      <c r="F781" s="228"/>
      <c r="G781" s="33"/>
      <c r="H781" s="143"/>
      <c r="I781" s="143"/>
      <c r="J781" s="111"/>
      <c r="K781" s="112"/>
      <c r="L781" s="230"/>
      <c r="M781" s="31"/>
      <c r="N781" s="39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</row>
    <row r="782">
      <c r="A782" s="224"/>
      <c r="B782" s="229"/>
      <c r="C782" s="225"/>
      <c r="D782" s="226"/>
      <c r="E782" s="227"/>
      <c r="F782" s="228"/>
      <c r="G782" s="33"/>
      <c r="H782" s="143"/>
      <c r="I782" s="143"/>
      <c r="J782" s="111"/>
      <c r="K782" s="112"/>
      <c r="L782" s="230"/>
      <c r="M782" s="31"/>
      <c r="N782" s="39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</row>
    <row r="783">
      <c r="A783" s="224"/>
      <c r="B783" s="229"/>
      <c r="C783" s="225"/>
      <c r="D783" s="226"/>
      <c r="E783" s="227"/>
      <c r="F783" s="228"/>
      <c r="G783" s="33"/>
      <c r="H783" s="143"/>
      <c r="I783" s="143"/>
      <c r="J783" s="111"/>
      <c r="K783" s="112"/>
      <c r="L783" s="230"/>
      <c r="M783" s="31"/>
      <c r="N783" s="39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</row>
    <row r="784">
      <c r="A784" s="224"/>
      <c r="B784" s="229"/>
      <c r="C784" s="225"/>
      <c r="D784" s="226"/>
      <c r="E784" s="227"/>
      <c r="F784" s="228"/>
      <c r="G784" s="33"/>
      <c r="H784" s="143"/>
      <c r="I784" s="143"/>
      <c r="J784" s="111"/>
      <c r="K784" s="112"/>
      <c r="L784" s="230"/>
      <c r="M784" s="31"/>
      <c r="N784" s="39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</row>
    <row r="785">
      <c r="A785" s="224"/>
      <c r="B785" s="229"/>
      <c r="C785" s="225"/>
      <c r="D785" s="226"/>
      <c r="E785" s="227"/>
      <c r="F785" s="228"/>
      <c r="G785" s="33"/>
      <c r="H785" s="143"/>
      <c r="I785" s="143"/>
      <c r="J785" s="111"/>
      <c r="K785" s="112"/>
      <c r="L785" s="230"/>
      <c r="M785" s="31"/>
      <c r="N785" s="39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</row>
    <row r="786">
      <c r="A786" s="224"/>
      <c r="B786" s="229"/>
      <c r="C786" s="225"/>
      <c r="D786" s="226"/>
      <c r="E786" s="227"/>
      <c r="F786" s="228"/>
      <c r="G786" s="33"/>
      <c r="H786" s="143"/>
      <c r="I786" s="143"/>
      <c r="J786" s="111"/>
      <c r="K786" s="112"/>
      <c r="L786" s="230"/>
      <c r="M786" s="31"/>
      <c r="N786" s="39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</row>
    <row r="787">
      <c r="A787" s="224"/>
      <c r="B787" s="229"/>
      <c r="C787" s="225"/>
      <c r="D787" s="226"/>
      <c r="E787" s="227"/>
      <c r="F787" s="228"/>
      <c r="G787" s="33"/>
      <c r="H787" s="143"/>
      <c r="I787" s="143"/>
      <c r="J787" s="111"/>
      <c r="K787" s="112"/>
      <c r="L787" s="230"/>
      <c r="M787" s="31"/>
      <c r="N787" s="39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</row>
    <row r="788">
      <c r="A788" s="224"/>
      <c r="B788" s="229"/>
      <c r="C788" s="225"/>
      <c r="D788" s="226"/>
      <c r="E788" s="227"/>
      <c r="F788" s="228"/>
      <c r="G788" s="33"/>
      <c r="H788" s="143"/>
      <c r="I788" s="143"/>
      <c r="J788" s="111"/>
      <c r="K788" s="112"/>
      <c r="L788" s="230"/>
      <c r="M788" s="31"/>
      <c r="N788" s="39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</row>
    <row r="789">
      <c r="A789" s="224"/>
      <c r="B789" s="229"/>
      <c r="C789" s="225"/>
      <c r="D789" s="226"/>
      <c r="E789" s="227"/>
      <c r="F789" s="228"/>
      <c r="G789" s="33"/>
      <c r="H789" s="143"/>
      <c r="I789" s="143"/>
      <c r="J789" s="111"/>
      <c r="K789" s="112"/>
      <c r="L789" s="230"/>
      <c r="M789" s="31"/>
      <c r="N789" s="39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</row>
    <row r="790">
      <c r="A790" s="224"/>
      <c r="B790" s="229"/>
      <c r="C790" s="225"/>
      <c r="D790" s="226"/>
      <c r="E790" s="227"/>
      <c r="F790" s="228"/>
      <c r="G790" s="33"/>
      <c r="H790" s="143"/>
      <c r="I790" s="143"/>
      <c r="J790" s="111"/>
      <c r="K790" s="112"/>
      <c r="L790" s="230"/>
      <c r="M790" s="31"/>
      <c r="N790" s="39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</row>
    <row r="791">
      <c r="A791" s="224"/>
      <c r="B791" s="229"/>
      <c r="C791" s="225"/>
      <c r="D791" s="226"/>
      <c r="E791" s="227"/>
      <c r="F791" s="228"/>
      <c r="G791" s="33"/>
      <c r="H791" s="143"/>
      <c r="I791" s="143"/>
      <c r="J791" s="111"/>
      <c r="K791" s="112"/>
      <c r="L791" s="230"/>
      <c r="M791" s="31"/>
      <c r="N791" s="39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</row>
    <row r="792">
      <c r="A792" s="224"/>
      <c r="B792" s="229"/>
      <c r="C792" s="225"/>
      <c r="D792" s="226"/>
      <c r="E792" s="227"/>
      <c r="F792" s="228"/>
      <c r="G792" s="33"/>
      <c r="H792" s="143"/>
      <c r="I792" s="143"/>
      <c r="J792" s="111"/>
      <c r="K792" s="112"/>
      <c r="L792" s="230"/>
      <c r="M792" s="31"/>
      <c r="N792" s="39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</row>
    <row r="793">
      <c r="A793" s="224"/>
      <c r="B793" s="229"/>
      <c r="C793" s="225"/>
      <c r="D793" s="226"/>
      <c r="E793" s="227"/>
      <c r="F793" s="228"/>
      <c r="G793" s="33"/>
      <c r="H793" s="143"/>
      <c r="I793" s="143"/>
      <c r="J793" s="111"/>
      <c r="K793" s="112"/>
      <c r="L793" s="230"/>
      <c r="M793" s="31"/>
      <c r="N793" s="39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</row>
    <row r="794">
      <c r="A794" s="224"/>
      <c r="B794" s="229"/>
      <c r="C794" s="225"/>
      <c r="D794" s="226"/>
      <c r="E794" s="227"/>
      <c r="F794" s="228"/>
      <c r="G794" s="33"/>
      <c r="H794" s="143"/>
      <c r="I794" s="143"/>
      <c r="J794" s="111"/>
      <c r="K794" s="112"/>
      <c r="L794" s="230"/>
      <c r="M794" s="31"/>
      <c r="N794" s="39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</row>
    <row r="795">
      <c r="A795" s="224"/>
      <c r="B795" s="229"/>
      <c r="C795" s="225"/>
      <c r="D795" s="226"/>
      <c r="E795" s="227"/>
      <c r="F795" s="228"/>
      <c r="G795" s="33"/>
      <c r="H795" s="143"/>
      <c r="I795" s="143"/>
      <c r="J795" s="111"/>
      <c r="K795" s="112"/>
      <c r="L795" s="230"/>
      <c r="M795" s="31"/>
      <c r="N795" s="39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</row>
    <row r="796">
      <c r="A796" s="224"/>
      <c r="B796" s="229"/>
      <c r="C796" s="225"/>
      <c r="D796" s="226"/>
      <c r="E796" s="227"/>
      <c r="F796" s="228"/>
      <c r="G796" s="33"/>
      <c r="H796" s="143"/>
      <c r="I796" s="143"/>
      <c r="J796" s="111"/>
      <c r="K796" s="112"/>
      <c r="L796" s="230"/>
      <c r="M796" s="31"/>
      <c r="N796" s="39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</row>
    <row r="797">
      <c r="A797" s="224"/>
      <c r="B797" s="229"/>
      <c r="C797" s="225"/>
      <c r="D797" s="226"/>
      <c r="E797" s="227"/>
      <c r="F797" s="228"/>
      <c r="G797" s="33"/>
      <c r="H797" s="143"/>
      <c r="I797" s="143"/>
      <c r="J797" s="111"/>
      <c r="K797" s="112"/>
      <c r="L797" s="230"/>
      <c r="M797" s="31"/>
      <c r="N797" s="39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</row>
    <row r="798">
      <c r="A798" s="224"/>
      <c r="B798" s="229"/>
      <c r="C798" s="225"/>
      <c r="D798" s="226"/>
      <c r="E798" s="227"/>
      <c r="F798" s="228"/>
      <c r="G798" s="33"/>
      <c r="H798" s="143"/>
      <c r="I798" s="143"/>
      <c r="J798" s="111"/>
      <c r="K798" s="112"/>
      <c r="L798" s="230"/>
      <c r="M798" s="31"/>
      <c r="N798" s="39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</row>
    <row r="799">
      <c r="A799" s="224"/>
      <c r="B799" s="229"/>
      <c r="C799" s="225"/>
      <c r="D799" s="226"/>
      <c r="E799" s="227"/>
      <c r="F799" s="228"/>
      <c r="G799" s="33"/>
      <c r="H799" s="143"/>
      <c r="I799" s="143"/>
      <c r="J799" s="111"/>
      <c r="K799" s="112"/>
      <c r="L799" s="230"/>
      <c r="M799" s="31"/>
      <c r="N799" s="39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</row>
    <row r="800">
      <c r="A800" s="224"/>
      <c r="B800" s="229"/>
      <c r="C800" s="225"/>
      <c r="D800" s="226"/>
      <c r="E800" s="227"/>
      <c r="F800" s="228"/>
      <c r="G800" s="33"/>
      <c r="H800" s="143"/>
      <c r="I800" s="143"/>
      <c r="J800" s="111"/>
      <c r="K800" s="112"/>
      <c r="L800" s="230"/>
      <c r="M800" s="31"/>
      <c r="N800" s="39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</row>
    <row r="801">
      <c r="A801" s="224"/>
      <c r="B801" s="229"/>
      <c r="C801" s="225"/>
      <c r="D801" s="226"/>
      <c r="E801" s="227"/>
      <c r="F801" s="228"/>
      <c r="G801" s="33"/>
      <c r="H801" s="143"/>
      <c r="I801" s="143"/>
      <c r="J801" s="111"/>
      <c r="K801" s="112"/>
      <c r="L801" s="230"/>
      <c r="M801" s="31"/>
      <c r="N801" s="39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</row>
    <row r="802">
      <c r="A802" s="224"/>
      <c r="B802" s="229"/>
      <c r="C802" s="225"/>
      <c r="D802" s="226"/>
      <c r="E802" s="227"/>
      <c r="F802" s="228"/>
      <c r="G802" s="33"/>
      <c r="H802" s="143"/>
      <c r="I802" s="143"/>
      <c r="J802" s="111"/>
      <c r="K802" s="112"/>
      <c r="L802" s="230"/>
      <c r="M802" s="31"/>
      <c r="N802" s="39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</row>
    <row r="803">
      <c r="A803" s="224"/>
      <c r="B803" s="229"/>
      <c r="C803" s="225"/>
      <c r="D803" s="226"/>
      <c r="E803" s="227"/>
      <c r="F803" s="228"/>
      <c r="G803" s="33"/>
      <c r="H803" s="143"/>
      <c r="I803" s="143"/>
      <c r="J803" s="111"/>
      <c r="K803" s="112"/>
      <c r="L803" s="230"/>
      <c r="M803" s="31"/>
      <c r="N803" s="39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</row>
    <row r="804">
      <c r="A804" s="224"/>
      <c r="B804" s="229"/>
      <c r="C804" s="225"/>
      <c r="D804" s="226"/>
      <c r="E804" s="227"/>
      <c r="F804" s="228"/>
      <c r="G804" s="33"/>
      <c r="H804" s="143"/>
      <c r="I804" s="143"/>
      <c r="J804" s="111"/>
      <c r="K804" s="112"/>
      <c r="L804" s="230"/>
      <c r="M804" s="31"/>
      <c r="N804" s="39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</row>
    <row r="805">
      <c r="A805" s="224"/>
      <c r="B805" s="229"/>
      <c r="C805" s="225"/>
      <c r="D805" s="226"/>
      <c r="E805" s="227"/>
      <c r="F805" s="228"/>
      <c r="G805" s="33"/>
      <c r="H805" s="143"/>
      <c r="I805" s="143"/>
      <c r="J805" s="111"/>
      <c r="K805" s="112"/>
      <c r="L805" s="230"/>
      <c r="M805" s="31"/>
      <c r="N805" s="39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</row>
    <row r="806">
      <c r="A806" s="224"/>
      <c r="B806" s="229"/>
      <c r="C806" s="225"/>
      <c r="D806" s="226"/>
      <c r="E806" s="227"/>
      <c r="F806" s="228"/>
      <c r="G806" s="33"/>
      <c r="H806" s="143"/>
      <c r="I806" s="143"/>
      <c r="J806" s="111"/>
      <c r="K806" s="112"/>
      <c r="L806" s="230"/>
      <c r="M806" s="31"/>
      <c r="N806" s="39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</row>
    <row r="807">
      <c r="A807" s="224"/>
      <c r="B807" s="229"/>
      <c r="C807" s="225"/>
      <c r="D807" s="226"/>
      <c r="E807" s="227"/>
      <c r="F807" s="228"/>
      <c r="G807" s="33"/>
      <c r="H807" s="143"/>
      <c r="I807" s="143"/>
      <c r="J807" s="111"/>
      <c r="K807" s="112"/>
      <c r="L807" s="230"/>
      <c r="M807" s="31"/>
      <c r="N807" s="39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</row>
    <row r="808">
      <c r="A808" s="224"/>
      <c r="B808" s="229"/>
      <c r="C808" s="225"/>
      <c r="D808" s="226"/>
      <c r="E808" s="227"/>
      <c r="F808" s="228"/>
      <c r="G808" s="33"/>
      <c r="H808" s="143"/>
      <c r="I808" s="143"/>
      <c r="J808" s="111"/>
      <c r="K808" s="112"/>
      <c r="L808" s="230"/>
      <c r="M808" s="31"/>
      <c r="N808" s="39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</row>
    <row r="809">
      <c r="A809" s="224"/>
      <c r="B809" s="229"/>
      <c r="C809" s="225"/>
      <c r="D809" s="226"/>
      <c r="E809" s="227"/>
      <c r="F809" s="228"/>
      <c r="G809" s="33"/>
      <c r="H809" s="143"/>
      <c r="I809" s="143"/>
      <c r="J809" s="111"/>
      <c r="K809" s="112"/>
      <c r="L809" s="230"/>
      <c r="M809" s="31"/>
      <c r="N809" s="39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</row>
    <row r="810">
      <c r="A810" s="224"/>
      <c r="B810" s="229"/>
      <c r="C810" s="225"/>
      <c r="D810" s="226"/>
      <c r="E810" s="227"/>
      <c r="F810" s="228"/>
      <c r="G810" s="33"/>
      <c r="H810" s="143"/>
      <c r="I810" s="143"/>
      <c r="J810" s="111"/>
      <c r="K810" s="112"/>
      <c r="L810" s="230"/>
      <c r="M810" s="31"/>
      <c r="N810" s="39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</row>
    <row r="811">
      <c r="A811" s="224"/>
      <c r="B811" s="229"/>
      <c r="C811" s="225"/>
      <c r="D811" s="226"/>
      <c r="E811" s="227"/>
      <c r="F811" s="228"/>
      <c r="G811" s="33"/>
      <c r="H811" s="143"/>
      <c r="I811" s="143"/>
      <c r="J811" s="111"/>
      <c r="K811" s="112"/>
      <c r="L811" s="230"/>
      <c r="M811" s="31"/>
      <c r="N811" s="39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</row>
    <row r="812">
      <c r="A812" s="224"/>
      <c r="B812" s="229"/>
      <c r="C812" s="225"/>
      <c r="D812" s="226"/>
      <c r="E812" s="227"/>
      <c r="F812" s="228"/>
      <c r="G812" s="33"/>
      <c r="H812" s="143"/>
      <c r="I812" s="143"/>
      <c r="J812" s="111"/>
      <c r="K812" s="112"/>
      <c r="L812" s="230"/>
      <c r="M812" s="31"/>
      <c r="N812" s="39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</row>
    <row r="813">
      <c r="A813" s="224"/>
      <c r="B813" s="229"/>
      <c r="C813" s="225"/>
      <c r="D813" s="226"/>
      <c r="E813" s="227"/>
      <c r="F813" s="228"/>
      <c r="G813" s="33"/>
      <c r="H813" s="143"/>
      <c r="I813" s="143"/>
      <c r="J813" s="111"/>
      <c r="K813" s="112"/>
      <c r="L813" s="230"/>
      <c r="M813" s="31"/>
      <c r="N813" s="39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</row>
    <row r="814">
      <c r="A814" s="224"/>
      <c r="B814" s="229"/>
      <c r="C814" s="225"/>
      <c r="D814" s="226"/>
      <c r="E814" s="227"/>
      <c r="F814" s="228"/>
      <c r="G814" s="33"/>
      <c r="H814" s="143"/>
      <c r="I814" s="143"/>
      <c r="J814" s="111"/>
      <c r="K814" s="112"/>
      <c r="L814" s="230"/>
      <c r="M814" s="31"/>
      <c r="N814" s="39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</row>
    <row r="815">
      <c r="A815" s="224"/>
      <c r="B815" s="229"/>
      <c r="C815" s="225"/>
      <c r="D815" s="226"/>
      <c r="E815" s="227"/>
      <c r="F815" s="228"/>
      <c r="G815" s="33"/>
      <c r="H815" s="143"/>
      <c r="I815" s="143"/>
      <c r="J815" s="111"/>
      <c r="K815" s="112"/>
      <c r="L815" s="230"/>
      <c r="M815" s="31"/>
      <c r="N815" s="39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</row>
    <row r="816">
      <c r="A816" s="224"/>
      <c r="B816" s="229"/>
      <c r="C816" s="225"/>
      <c r="D816" s="226"/>
      <c r="E816" s="227"/>
      <c r="F816" s="228"/>
      <c r="G816" s="33"/>
      <c r="H816" s="143"/>
      <c r="I816" s="143"/>
      <c r="J816" s="111"/>
      <c r="K816" s="112"/>
      <c r="L816" s="230"/>
      <c r="M816" s="31"/>
      <c r="N816" s="39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</row>
    <row r="817">
      <c r="A817" s="224"/>
      <c r="B817" s="229"/>
      <c r="C817" s="225"/>
      <c r="D817" s="226"/>
      <c r="E817" s="227"/>
      <c r="F817" s="228"/>
      <c r="G817" s="33"/>
      <c r="H817" s="143"/>
      <c r="I817" s="143"/>
      <c r="J817" s="111"/>
      <c r="K817" s="112"/>
      <c r="L817" s="230"/>
      <c r="M817" s="31"/>
      <c r="N817" s="39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</row>
    <row r="818">
      <c r="A818" s="224"/>
      <c r="B818" s="229"/>
      <c r="C818" s="225"/>
      <c r="D818" s="226"/>
      <c r="E818" s="227"/>
      <c r="F818" s="228"/>
      <c r="G818" s="33"/>
      <c r="H818" s="143"/>
      <c r="I818" s="143"/>
      <c r="J818" s="111"/>
      <c r="K818" s="112"/>
      <c r="L818" s="230"/>
      <c r="M818" s="31"/>
      <c r="N818" s="39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</row>
    <row r="819">
      <c r="A819" s="224"/>
      <c r="B819" s="229"/>
      <c r="C819" s="225"/>
      <c r="D819" s="226"/>
      <c r="E819" s="227"/>
      <c r="F819" s="228"/>
      <c r="G819" s="33"/>
      <c r="H819" s="143"/>
      <c r="I819" s="143"/>
      <c r="J819" s="111"/>
      <c r="K819" s="112"/>
      <c r="L819" s="230"/>
      <c r="M819" s="31"/>
      <c r="N819" s="39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</row>
    <row r="820">
      <c r="A820" s="224"/>
      <c r="B820" s="229"/>
      <c r="C820" s="225"/>
      <c r="D820" s="226"/>
      <c r="E820" s="227"/>
      <c r="F820" s="228"/>
      <c r="G820" s="33"/>
      <c r="H820" s="143"/>
      <c r="I820" s="143"/>
      <c r="J820" s="111"/>
      <c r="K820" s="112"/>
      <c r="L820" s="230"/>
      <c r="M820" s="31"/>
      <c r="N820" s="39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</row>
    <row r="821">
      <c r="A821" s="224"/>
      <c r="B821" s="229"/>
      <c r="C821" s="225"/>
      <c r="D821" s="226"/>
      <c r="E821" s="227"/>
      <c r="F821" s="228"/>
      <c r="G821" s="33"/>
      <c r="H821" s="143"/>
      <c r="I821" s="143"/>
      <c r="J821" s="111"/>
      <c r="K821" s="112"/>
      <c r="L821" s="230"/>
      <c r="M821" s="31"/>
      <c r="N821" s="39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</row>
    <row r="822">
      <c r="A822" s="224"/>
      <c r="B822" s="229"/>
      <c r="C822" s="225"/>
      <c r="D822" s="226"/>
      <c r="E822" s="227"/>
      <c r="F822" s="228"/>
      <c r="G822" s="33"/>
      <c r="H822" s="143"/>
      <c r="I822" s="143"/>
      <c r="J822" s="111"/>
      <c r="K822" s="112"/>
      <c r="L822" s="230"/>
      <c r="M822" s="31"/>
      <c r="N822" s="39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</row>
    <row r="823">
      <c r="A823" s="224"/>
      <c r="B823" s="229"/>
      <c r="C823" s="225"/>
      <c r="D823" s="226"/>
      <c r="E823" s="227"/>
      <c r="F823" s="228"/>
      <c r="G823" s="33"/>
      <c r="H823" s="143"/>
      <c r="I823" s="143"/>
      <c r="J823" s="111"/>
      <c r="K823" s="112"/>
      <c r="L823" s="230"/>
      <c r="M823" s="31"/>
      <c r="N823" s="39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</row>
    <row r="824">
      <c r="A824" s="224"/>
      <c r="B824" s="229"/>
      <c r="C824" s="225"/>
      <c r="D824" s="226"/>
      <c r="E824" s="227"/>
      <c r="F824" s="228"/>
      <c r="G824" s="33"/>
      <c r="H824" s="143"/>
      <c r="I824" s="143"/>
      <c r="J824" s="111"/>
      <c r="K824" s="112"/>
      <c r="L824" s="230"/>
      <c r="M824" s="31"/>
      <c r="N824" s="39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</row>
    <row r="825">
      <c r="A825" s="224"/>
      <c r="B825" s="229"/>
      <c r="C825" s="225"/>
      <c r="D825" s="226"/>
      <c r="E825" s="227"/>
      <c r="F825" s="228"/>
      <c r="G825" s="33"/>
      <c r="H825" s="143"/>
      <c r="I825" s="143"/>
      <c r="J825" s="111"/>
      <c r="K825" s="112"/>
      <c r="L825" s="230"/>
      <c r="M825" s="31"/>
      <c r="N825" s="39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</row>
    <row r="826">
      <c r="A826" s="224"/>
      <c r="B826" s="229"/>
      <c r="C826" s="225"/>
      <c r="D826" s="226"/>
      <c r="E826" s="227"/>
      <c r="F826" s="228"/>
      <c r="G826" s="33"/>
      <c r="H826" s="143"/>
      <c r="I826" s="143"/>
      <c r="J826" s="111"/>
      <c r="K826" s="112"/>
      <c r="L826" s="230"/>
      <c r="M826" s="31"/>
      <c r="N826" s="39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</row>
    <row r="827">
      <c r="A827" s="224"/>
      <c r="B827" s="229"/>
      <c r="C827" s="225"/>
      <c r="D827" s="226"/>
      <c r="E827" s="227"/>
      <c r="F827" s="228"/>
      <c r="G827" s="33"/>
      <c r="H827" s="143"/>
      <c r="I827" s="143"/>
      <c r="J827" s="111"/>
      <c r="K827" s="112"/>
      <c r="L827" s="230"/>
      <c r="M827" s="31"/>
      <c r="N827" s="39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</row>
    <row r="828">
      <c r="A828" s="224"/>
      <c r="B828" s="229"/>
      <c r="C828" s="225"/>
      <c r="D828" s="226"/>
      <c r="E828" s="227"/>
      <c r="F828" s="228"/>
      <c r="G828" s="33"/>
      <c r="H828" s="143"/>
      <c r="I828" s="143"/>
      <c r="J828" s="111"/>
      <c r="K828" s="112"/>
      <c r="L828" s="230"/>
      <c r="M828" s="31"/>
      <c r="N828" s="39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</row>
    <row r="829">
      <c r="A829" s="224"/>
      <c r="B829" s="229"/>
      <c r="C829" s="225"/>
      <c r="D829" s="226"/>
      <c r="E829" s="227"/>
      <c r="F829" s="228"/>
      <c r="G829" s="33"/>
      <c r="H829" s="143"/>
      <c r="I829" s="143"/>
      <c r="J829" s="111"/>
      <c r="K829" s="112"/>
      <c r="L829" s="230"/>
      <c r="M829" s="31"/>
      <c r="N829" s="39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</row>
    <row r="830">
      <c r="A830" s="224"/>
      <c r="B830" s="229"/>
      <c r="C830" s="225"/>
      <c r="D830" s="226"/>
      <c r="E830" s="227"/>
      <c r="F830" s="228"/>
      <c r="G830" s="33"/>
      <c r="H830" s="143"/>
      <c r="I830" s="143"/>
      <c r="J830" s="111"/>
      <c r="K830" s="112"/>
      <c r="L830" s="230"/>
      <c r="M830" s="31"/>
      <c r="N830" s="39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</row>
    <row r="831">
      <c r="A831" s="224"/>
      <c r="B831" s="229"/>
      <c r="C831" s="225"/>
      <c r="D831" s="226"/>
      <c r="E831" s="227"/>
      <c r="F831" s="228"/>
      <c r="G831" s="33"/>
      <c r="H831" s="143"/>
      <c r="I831" s="143"/>
      <c r="J831" s="111"/>
      <c r="K831" s="112"/>
      <c r="L831" s="230"/>
      <c r="M831" s="31"/>
      <c r="N831" s="39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</row>
    <row r="832">
      <c r="A832" s="224"/>
      <c r="B832" s="229"/>
      <c r="C832" s="225"/>
      <c r="D832" s="226"/>
      <c r="E832" s="227"/>
      <c r="F832" s="228"/>
      <c r="G832" s="33"/>
      <c r="H832" s="143"/>
      <c r="I832" s="143"/>
      <c r="J832" s="111"/>
      <c r="K832" s="112"/>
      <c r="L832" s="230"/>
      <c r="M832" s="31"/>
      <c r="N832" s="39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</row>
    <row r="833">
      <c r="A833" s="224"/>
      <c r="B833" s="229"/>
      <c r="C833" s="225"/>
      <c r="D833" s="226"/>
      <c r="E833" s="227"/>
      <c r="F833" s="228"/>
      <c r="G833" s="33"/>
      <c r="H833" s="143"/>
      <c r="I833" s="143"/>
      <c r="J833" s="111"/>
      <c r="K833" s="112"/>
      <c r="L833" s="230"/>
      <c r="M833" s="31"/>
      <c r="N833" s="39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</row>
    <row r="834">
      <c r="A834" s="224"/>
      <c r="B834" s="229"/>
      <c r="C834" s="225"/>
      <c r="D834" s="226"/>
      <c r="E834" s="227"/>
      <c r="F834" s="228"/>
      <c r="G834" s="33"/>
      <c r="H834" s="143"/>
      <c r="I834" s="143"/>
      <c r="J834" s="111"/>
      <c r="K834" s="112"/>
      <c r="L834" s="230"/>
      <c r="M834" s="31"/>
      <c r="N834" s="39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</row>
    <row r="835">
      <c r="A835" s="224"/>
      <c r="B835" s="229"/>
      <c r="C835" s="225"/>
      <c r="D835" s="226"/>
      <c r="E835" s="227"/>
      <c r="F835" s="228"/>
      <c r="G835" s="33"/>
      <c r="H835" s="143"/>
      <c r="I835" s="143"/>
      <c r="J835" s="111"/>
      <c r="K835" s="112"/>
      <c r="L835" s="230"/>
      <c r="M835" s="31"/>
      <c r="N835" s="39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</row>
    <row r="836">
      <c r="A836" s="224"/>
      <c r="B836" s="229"/>
      <c r="C836" s="225"/>
      <c r="D836" s="226"/>
      <c r="E836" s="227"/>
      <c r="F836" s="228"/>
      <c r="G836" s="33"/>
      <c r="H836" s="143"/>
      <c r="I836" s="143"/>
      <c r="J836" s="111"/>
      <c r="K836" s="112"/>
      <c r="L836" s="230"/>
      <c r="M836" s="31"/>
      <c r="N836" s="39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</row>
    <row r="837">
      <c r="A837" s="224"/>
      <c r="B837" s="229"/>
      <c r="C837" s="225"/>
      <c r="D837" s="226"/>
      <c r="E837" s="227"/>
      <c r="F837" s="228"/>
      <c r="G837" s="33"/>
      <c r="H837" s="143"/>
      <c r="I837" s="143"/>
      <c r="J837" s="111"/>
      <c r="K837" s="112"/>
      <c r="L837" s="230"/>
      <c r="M837" s="31"/>
      <c r="N837" s="39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</row>
    <row r="838">
      <c r="A838" s="224"/>
      <c r="B838" s="229"/>
      <c r="C838" s="225"/>
      <c r="D838" s="226"/>
      <c r="E838" s="227"/>
      <c r="F838" s="228"/>
      <c r="G838" s="33"/>
      <c r="H838" s="143"/>
      <c r="I838" s="143"/>
      <c r="J838" s="111"/>
      <c r="K838" s="112"/>
      <c r="L838" s="230"/>
      <c r="M838" s="31"/>
      <c r="N838" s="39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</row>
    <row r="839">
      <c r="A839" s="224"/>
      <c r="B839" s="229"/>
      <c r="C839" s="225"/>
      <c r="D839" s="226"/>
      <c r="E839" s="227"/>
      <c r="F839" s="228"/>
      <c r="G839" s="33"/>
      <c r="H839" s="143"/>
      <c r="I839" s="143"/>
      <c r="J839" s="111"/>
      <c r="K839" s="112"/>
      <c r="L839" s="230"/>
      <c r="M839" s="31"/>
      <c r="N839" s="39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</row>
    <row r="840">
      <c r="A840" s="224"/>
      <c r="B840" s="229"/>
      <c r="C840" s="225"/>
      <c r="D840" s="226"/>
      <c r="E840" s="227"/>
      <c r="F840" s="228"/>
      <c r="G840" s="33"/>
      <c r="H840" s="143"/>
      <c r="I840" s="143"/>
      <c r="J840" s="111"/>
      <c r="K840" s="112"/>
      <c r="L840" s="230"/>
      <c r="M840" s="31"/>
      <c r="N840" s="39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</row>
    <row r="841">
      <c r="A841" s="224"/>
      <c r="B841" s="229"/>
      <c r="C841" s="225"/>
      <c r="D841" s="226"/>
      <c r="E841" s="227"/>
      <c r="F841" s="228"/>
      <c r="G841" s="33"/>
      <c r="H841" s="143"/>
      <c r="I841" s="143"/>
      <c r="J841" s="111"/>
      <c r="K841" s="112"/>
      <c r="L841" s="230"/>
      <c r="M841" s="31"/>
      <c r="N841" s="39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</row>
    <row r="842">
      <c r="A842" s="224"/>
      <c r="B842" s="229"/>
      <c r="C842" s="225"/>
      <c r="D842" s="226"/>
      <c r="E842" s="227"/>
      <c r="F842" s="228"/>
      <c r="G842" s="33"/>
      <c r="H842" s="143"/>
      <c r="I842" s="143"/>
      <c r="J842" s="111"/>
      <c r="K842" s="112"/>
      <c r="L842" s="230"/>
      <c r="M842" s="31"/>
      <c r="N842" s="39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</row>
    <row r="843">
      <c r="A843" s="224"/>
      <c r="B843" s="229"/>
      <c r="C843" s="225"/>
      <c r="D843" s="226"/>
      <c r="E843" s="227"/>
      <c r="F843" s="228"/>
      <c r="G843" s="33"/>
      <c r="H843" s="143"/>
      <c r="I843" s="143"/>
      <c r="J843" s="111"/>
      <c r="K843" s="112"/>
      <c r="L843" s="230"/>
      <c r="M843" s="31"/>
      <c r="N843" s="39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</row>
    <row r="844">
      <c r="A844" s="224"/>
      <c r="B844" s="229"/>
      <c r="C844" s="225"/>
      <c r="D844" s="226"/>
      <c r="E844" s="227"/>
      <c r="F844" s="228"/>
      <c r="G844" s="33"/>
      <c r="H844" s="143"/>
      <c r="I844" s="143"/>
      <c r="J844" s="111"/>
      <c r="K844" s="112"/>
      <c r="L844" s="230"/>
      <c r="M844" s="31"/>
      <c r="N844" s="39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</row>
    <row r="845">
      <c r="A845" s="224"/>
      <c r="B845" s="229"/>
      <c r="C845" s="225"/>
      <c r="D845" s="226"/>
      <c r="E845" s="227"/>
      <c r="F845" s="228"/>
      <c r="G845" s="33"/>
      <c r="H845" s="143"/>
      <c r="I845" s="143"/>
      <c r="J845" s="111"/>
      <c r="K845" s="112"/>
      <c r="L845" s="230"/>
      <c r="M845" s="31"/>
      <c r="N845" s="39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</row>
    <row r="846">
      <c r="A846" s="224"/>
      <c r="B846" s="229"/>
      <c r="C846" s="225"/>
      <c r="D846" s="226"/>
      <c r="E846" s="227"/>
      <c r="F846" s="228"/>
      <c r="G846" s="33"/>
      <c r="H846" s="143"/>
      <c r="I846" s="143"/>
      <c r="J846" s="111"/>
      <c r="K846" s="112"/>
      <c r="L846" s="230"/>
      <c r="M846" s="31"/>
      <c r="N846" s="39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</row>
    <row r="847">
      <c r="A847" s="224"/>
      <c r="C847" s="225"/>
      <c r="D847" s="226"/>
      <c r="E847" s="227"/>
      <c r="F847" s="228"/>
      <c r="G847" s="33"/>
      <c r="H847" s="143"/>
      <c r="I847" s="143"/>
      <c r="J847" s="111"/>
      <c r="K847" s="112"/>
      <c r="L847" s="230"/>
      <c r="M847" s="31"/>
      <c r="N847" s="39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</row>
    <row r="848">
      <c r="C848" s="225"/>
      <c r="D848" s="226"/>
      <c r="E848" s="227"/>
      <c r="F848" s="228"/>
      <c r="G848" s="33"/>
      <c r="H848" s="143"/>
      <c r="I848" s="143"/>
      <c r="J848" s="111"/>
      <c r="K848" s="112"/>
      <c r="L848" s="230"/>
      <c r="M848" s="31"/>
      <c r="N848" s="39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</row>
    <row r="849">
      <c r="J849" s="78"/>
      <c r="N849" s="39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</row>
    <row r="850">
      <c r="J850" s="78"/>
      <c r="N850" s="39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</row>
    <row r="851">
      <c r="N851" s="39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</row>
    <row r="852"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</row>
    <row r="853"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</row>
  </sheetData>
  <mergeCells count="1">
    <mergeCell ref="P1:Q1"/>
  </mergeCells>
  <conditionalFormatting sqref="O2:O312 O314:O843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conditionalFormatting sqref="L414:L438">
    <cfRule type="notContainsBlanks" dxfId="0" priority="2">
      <formula>LEN(TRIM(L414))&gt;0</formula>
    </cfRule>
  </conditionalFormatting>
  <printOptions gridLines="1" horizontalCentered="1"/>
  <pageMargins bottom="0.18897637795275593" footer="0.0" header="0.0" left="0.16190187764990918" right="0.18897637795275593" top="0.7735311932162329"/>
  <pageSetup paperSize="9" cellComments="atEnd" orientation="landscape" pageOrder="overThenDown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16.13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1054</v>
      </c>
      <c r="B2" s="425"/>
      <c r="C2" s="532"/>
      <c r="D2" s="547"/>
      <c r="E2" s="548"/>
      <c r="F2" s="549"/>
      <c r="G2" s="550"/>
      <c r="H2" s="556"/>
      <c r="I2" s="569"/>
    </row>
    <row r="3">
      <c r="A3" s="265"/>
      <c r="B3" s="510"/>
      <c r="C3" s="399"/>
      <c r="D3" s="366"/>
      <c r="E3" s="553"/>
      <c r="F3" s="554"/>
      <c r="G3" s="550"/>
      <c r="H3" s="556"/>
      <c r="I3" s="552"/>
    </row>
    <row r="4">
      <c r="A4" s="265"/>
      <c r="B4" s="404"/>
      <c r="C4" s="414"/>
      <c r="D4" s="182"/>
      <c r="E4" s="557"/>
      <c r="F4" s="558"/>
      <c r="G4" s="550"/>
      <c r="H4" s="556"/>
      <c r="I4" s="569"/>
    </row>
    <row r="5">
      <c r="A5" s="265"/>
      <c r="B5" s="404"/>
      <c r="C5" s="399"/>
      <c r="D5" s="182"/>
      <c r="E5" s="557"/>
      <c r="F5" s="554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2150</v>
      </c>
      <c r="B8" s="425"/>
      <c r="C8" s="401"/>
      <c r="D8" s="182"/>
      <c r="E8" s="557"/>
      <c r="F8" s="549"/>
      <c r="G8" s="550" t="s">
        <v>2151</v>
      </c>
      <c r="H8" s="556"/>
      <c r="I8" s="552"/>
    </row>
    <row r="9">
      <c r="A9" s="265"/>
      <c r="B9" s="419"/>
      <c r="C9" s="414"/>
      <c r="D9" s="182"/>
      <c r="E9" s="557"/>
      <c r="F9" s="554">
        <v>180.0</v>
      </c>
      <c r="G9" s="550" t="s">
        <v>1975</v>
      </c>
      <c r="H9" s="556"/>
      <c r="I9" s="552"/>
    </row>
    <row r="10">
      <c r="A10" s="265"/>
      <c r="B10" s="339"/>
      <c r="C10" s="414"/>
      <c r="D10" s="182"/>
      <c r="E10" s="557"/>
      <c r="F10" s="554"/>
      <c r="G10" s="550"/>
      <c r="H10" s="556"/>
      <c r="I10" s="552"/>
    </row>
    <row r="11">
      <c r="A11" s="265"/>
      <c r="B11" s="404"/>
      <c r="C11" s="399"/>
      <c r="D11" s="182"/>
      <c r="E11" s="557"/>
      <c r="F11" s="554">
        <v>200.0</v>
      </c>
      <c r="G11" s="550" t="s">
        <v>1976</v>
      </c>
      <c r="H11" s="556"/>
      <c r="I11" s="569"/>
    </row>
    <row r="12">
      <c r="A12" s="265"/>
      <c r="B12" s="419"/>
      <c r="C12" s="414"/>
      <c r="D12" s="182"/>
      <c r="E12" s="557"/>
      <c r="F12" s="554"/>
      <c r="G12" s="550" t="s">
        <v>2152</v>
      </c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69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1058</v>
      </c>
      <c r="B15" s="600"/>
      <c r="C15" s="421"/>
      <c r="D15" s="566"/>
      <c r="E15" s="567"/>
      <c r="F15" s="549">
        <v>400.0</v>
      </c>
      <c r="G15" s="550" t="s">
        <v>2153</v>
      </c>
      <c r="H15" s="581"/>
      <c r="I15" s="619"/>
      <c r="J15" s="603"/>
    </row>
    <row r="16">
      <c r="A16" s="265"/>
      <c r="B16" s="440"/>
      <c r="C16" s="414"/>
      <c r="D16" s="182"/>
      <c r="E16" s="557"/>
      <c r="F16" s="554">
        <v>210.0</v>
      </c>
      <c r="G16" s="557" t="s">
        <v>1975</v>
      </c>
      <c r="H16" s="556"/>
      <c r="I16" s="569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70"/>
      <c r="B19" s="404"/>
      <c r="C19" s="399"/>
      <c r="D19" s="182"/>
      <c r="E19" s="557"/>
      <c r="F19" s="558"/>
      <c r="G19" s="562"/>
      <c r="H19" s="599"/>
      <c r="I19" s="601"/>
    </row>
    <row r="20">
      <c r="A20" s="262" t="s">
        <v>1060</v>
      </c>
      <c r="B20" s="425">
        <v>99888.0</v>
      </c>
      <c r="C20" s="401"/>
      <c r="D20" s="566"/>
      <c r="E20" s="567" t="s">
        <v>1531</v>
      </c>
      <c r="F20" s="549">
        <v>170.0</v>
      </c>
      <c r="G20" s="550" t="s">
        <v>2153</v>
      </c>
      <c r="H20" s="556"/>
      <c r="I20" s="569"/>
    </row>
    <row r="21">
      <c r="A21" s="265"/>
      <c r="B21" s="404"/>
      <c r="C21" s="399"/>
      <c r="D21" s="182"/>
      <c r="E21" s="557"/>
      <c r="F21" s="554">
        <v>150.0</v>
      </c>
      <c r="G21" s="550" t="s">
        <v>1975</v>
      </c>
      <c r="H21" s="551"/>
      <c r="I21" s="569"/>
    </row>
    <row r="22">
      <c r="A22" s="265"/>
      <c r="B22" s="457"/>
      <c r="C22" s="399"/>
      <c r="D22" s="182"/>
      <c r="E22" s="557"/>
      <c r="F22" s="558"/>
      <c r="G22" s="555"/>
      <c r="H22" s="551"/>
      <c r="I22" s="569"/>
    </row>
    <row r="23">
      <c r="A23" s="265"/>
      <c r="B23" s="468"/>
      <c r="C23" s="399"/>
      <c r="D23" s="570"/>
      <c r="E23" s="557"/>
      <c r="F23" s="554"/>
      <c r="G23" s="550"/>
      <c r="H23" s="551"/>
      <c r="I23" s="569"/>
    </row>
    <row r="24">
      <c r="A24" s="265"/>
      <c r="B24" s="468"/>
      <c r="C24" s="399"/>
      <c r="D24" s="182"/>
      <c r="E24" s="557"/>
      <c r="F24" s="554"/>
      <c r="G24" s="555"/>
      <c r="H24" s="551"/>
      <c r="I24" s="569"/>
    </row>
    <row r="25">
      <c r="A25" s="270"/>
      <c r="B25" s="404"/>
      <c r="C25" s="399"/>
      <c r="D25" s="182"/>
      <c r="E25" s="557"/>
      <c r="F25" s="558"/>
      <c r="G25" s="562"/>
      <c r="H25" s="563"/>
      <c r="I25" s="601"/>
    </row>
    <row r="26">
      <c r="A26" s="262" t="s">
        <v>1062</v>
      </c>
      <c r="B26" s="425"/>
      <c r="C26" s="421"/>
      <c r="D26" s="182"/>
      <c r="E26" s="567"/>
      <c r="F26" s="571"/>
      <c r="G26" s="550" t="s">
        <v>2154</v>
      </c>
      <c r="H26" s="556"/>
      <c r="I26" s="569"/>
    </row>
    <row r="27">
      <c r="A27" s="265"/>
      <c r="B27" s="404"/>
      <c r="C27" s="399"/>
      <c r="D27" s="182"/>
      <c r="E27" s="557"/>
      <c r="F27" s="83">
        <v>170.0</v>
      </c>
      <c r="G27" s="550" t="s">
        <v>2155</v>
      </c>
      <c r="H27" s="556"/>
      <c r="I27" s="569"/>
    </row>
    <row r="28">
      <c r="A28" s="265"/>
      <c r="B28" s="404"/>
      <c r="C28" s="400"/>
      <c r="D28" s="182"/>
      <c r="E28" s="557"/>
      <c r="F28" s="572"/>
      <c r="G28" s="573"/>
      <c r="H28" s="556"/>
      <c r="I28" s="552"/>
    </row>
    <row r="29">
      <c r="A29" s="265"/>
      <c r="B29" s="404"/>
      <c r="C29" s="400"/>
      <c r="D29" s="182"/>
      <c r="E29" s="557"/>
      <c r="F29" s="83"/>
      <c r="G29" s="550"/>
      <c r="H29" s="556"/>
      <c r="I29" s="552"/>
    </row>
    <row r="30">
      <c r="A30" s="265"/>
      <c r="B30" s="404"/>
      <c r="C30" s="400"/>
      <c r="D30" s="182"/>
      <c r="E30" s="557"/>
      <c r="F30" s="558"/>
      <c r="G30" s="550"/>
      <c r="H30" s="556"/>
      <c r="I30" s="552"/>
    </row>
    <row r="31">
      <c r="A31" s="270"/>
      <c r="B31" s="440"/>
      <c r="C31" s="400"/>
      <c r="D31" s="574"/>
      <c r="E31" s="557"/>
      <c r="F31" s="558"/>
      <c r="G31" s="575"/>
      <c r="H31" s="556"/>
      <c r="I31" s="552"/>
    </row>
    <row r="32">
      <c r="A32" s="437"/>
      <c r="B32" s="440"/>
      <c r="C32" s="400"/>
      <c r="D32" s="574"/>
      <c r="E32" s="557"/>
      <c r="F32" s="558"/>
      <c r="G32" s="573"/>
      <c r="H32" s="556"/>
      <c r="I32" s="569"/>
    </row>
    <row r="33">
      <c r="A33" s="437"/>
      <c r="B33" s="440"/>
      <c r="C33" s="400"/>
      <c r="D33" s="574"/>
      <c r="E33" s="557"/>
      <c r="F33" s="558"/>
      <c r="G33" s="573"/>
      <c r="H33" s="556"/>
      <c r="I33" s="569"/>
    </row>
    <row r="34">
      <c r="A34" s="437"/>
      <c r="B34" s="440"/>
      <c r="C34" s="400"/>
      <c r="D34" s="574"/>
      <c r="E34" s="557"/>
      <c r="F34" s="558"/>
      <c r="G34" s="573"/>
      <c r="H34" s="556"/>
      <c r="I34" s="552"/>
    </row>
    <row r="35">
      <c r="A35" s="262" t="s">
        <v>1064</v>
      </c>
      <c r="B35" s="425">
        <v>242000.0</v>
      </c>
      <c r="C35" s="401"/>
      <c r="D35" s="566"/>
      <c r="E35" s="567" t="s">
        <v>2156</v>
      </c>
      <c r="F35" s="549">
        <v>180.0</v>
      </c>
      <c r="G35" s="550" t="s">
        <v>2153</v>
      </c>
      <c r="H35" s="556"/>
      <c r="I35" s="552"/>
    </row>
    <row r="36">
      <c r="A36" s="265"/>
      <c r="B36" s="477"/>
      <c r="C36" s="400"/>
      <c r="D36" s="182"/>
      <c r="E36" s="576"/>
      <c r="F36" s="554">
        <v>110.0</v>
      </c>
      <c r="G36" s="550" t="s">
        <v>1975</v>
      </c>
      <c r="H36" s="551"/>
      <c r="I36" s="552"/>
    </row>
    <row r="37">
      <c r="A37" s="265"/>
      <c r="B37" s="477"/>
      <c r="C37" s="400"/>
      <c r="D37" s="182"/>
      <c r="E37" s="576"/>
      <c r="F37" s="554"/>
      <c r="G37" s="550"/>
      <c r="H37" s="556"/>
      <c r="I37" s="552"/>
    </row>
    <row r="38">
      <c r="A38" s="265"/>
      <c r="B38" s="477"/>
      <c r="C38" s="400"/>
      <c r="D38" s="182"/>
      <c r="E38" s="576"/>
      <c r="F38" s="554"/>
      <c r="G38" s="550"/>
      <c r="H38" s="556"/>
      <c r="I38" s="552"/>
    </row>
    <row r="39">
      <c r="A39" s="265"/>
      <c r="B39" s="477"/>
      <c r="C39" s="400"/>
      <c r="D39" s="182"/>
      <c r="E39" s="576"/>
      <c r="F39" s="558"/>
      <c r="G39" s="555"/>
      <c r="H39" s="551"/>
      <c r="I39" s="569"/>
    </row>
    <row r="40">
      <c r="A40" s="270"/>
      <c r="B40" s="478"/>
      <c r="C40" s="472"/>
      <c r="D40" s="577"/>
      <c r="E40" s="578"/>
      <c r="F40" s="561"/>
      <c r="G40" s="562"/>
      <c r="H40" s="563"/>
      <c r="I40" s="601"/>
    </row>
    <row r="41">
      <c r="A41" s="262" t="s">
        <v>1065</v>
      </c>
      <c r="B41" s="425"/>
      <c r="C41" s="401"/>
      <c r="D41" s="566"/>
      <c r="E41" s="550"/>
      <c r="F41" s="549">
        <v>180.0</v>
      </c>
      <c r="G41" s="550" t="s">
        <v>2153</v>
      </c>
      <c r="H41" s="620"/>
      <c r="I41" s="564"/>
      <c r="J41" s="603"/>
    </row>
    <row r="42">
      <c r="A42" s="265"/>
      <c r="B42" s="404"/>
      <c r="C42" s="399"/>
      <c r="D42" s="182"/>
      <c r="E42" s="550"/>
      <c r="F42" s="554">
        <v>150.0</v>
      </c>
      <c r="G42" s="550" t="s">
        <v>1975</v>
      </c>
      <c r="H42" s="556"/>
      <c r="I42" s="552"/>
    </row>
    <row r="43">
      <c r="A43" s="265"/>
      <c r="B43" s="440"/>
      <c r="C43" s="400"/>
      <c r="D43" s="182"/>
      <c r="E43" s="557"/>
      <c r="F43" s="558"/>
      <c r="G43" s="555"/>
      <c r="H43" s="556"/>
      <c r="I43" s="552"/>
    </row>
    <row r="44">
      <c r="A44" s="265"/>
      <c r="B44" s="440"/>
      <c r="C44" s="400"/>
      <c r="D44" s="182"/>
      <c r="E44" s="576"/>
      <c r="F44" s="554"/>
      <c r="G44" s="550"/>
      <c r="H44" s="556"/>
      <c r="I44" s="552"/>
    </row>
    <row r="45">
      <c r="A45" s="265"/>
      <c r="B45" s="480"/>
      <c r="C45" s="400"/>
      <c r="D45" s="182"/>
      <c r="E45" s="576"/>
      <c r="F45" s="558"/>
      <c r="G45" s="555"/>
      <c r="H45" s="556"/>
      <c r="I45" s="552"/>
    </row>
    <row r="46">
      <c r="A46" s="270"/>
      <c r="B46" s="478"/>
      <c r="C46" s="472"/>
      <c r="D46" s="577"/>
      <c r="E46" s="578"/>
      <c r="F46" s="561"/>
      <c r="G46" s="562"/>
      <c r="H46" s="599"/>
      <c r="I46" s="564"/>
    </row>
    <row r="47">
      <c r="A47" s="262" t="s">
        <v>2157</v>
      </c>
      <c r="B47" s="425"/>
      <c r="C47" s="421"/>
      <c r="D47" s="566"/>
      <c r="E47" s="567"/>
      <c r="F47" s="549">
        <v>220.0</v>
      </c>
      <c r="G47" s="550" t="s">
        <v>2158</v>
      </c>
      <c r="H47" s="556"/>
      <c r="I47" s="552"/>
    </row>
    <row r="48">
      <c r="A48" s="265"/>
      <c r="B48" s="404"/>
      <c r="C48" s="399"/>
      <c r="D48" s="182"/>
      <c r="E48" s="557"/>
      <c r="F48" s="554">
        <f>260-140</f>
        <v>120</v>
      </c>
      <c r="G48" s="550" t="s">
        <v>2159</v>
      </c>
      <c r="H48" s="556"/>
      <c r="I48" s="552"/>
    </row>
    <row r="49">
      <c r="A49" s="265"/>
      <c r="B49" s="440"/>
      <c r="C49" s="400"/>
      <c r="D49" s="182"/>
      <c r="E49" s="557"/>
      <c r="F49" s="558"/>
      <c r="G49" s="555"/>
      <c r="H49" s="556"/>
      <c r="I49" s="552"/>
    </row>
    <row r="50">
      <c r="A50" s="265"/>
      <c r="B50" s="440"/>
      <c r="C50" s="400"/>
      <c r="D50" s="574"/>
      <c r="E50" s="576"/>
      <c r="F50" s="554">
        <v>240.0</v>
      </c>
      <c r="G50" s="550" t="s">
        <v>2160</v>
      </c>
      <c r="H50" s="556"/>
      <c r="I50" s="552"/>
    </row>
    <row r="51">
      <c r="A51" s="265"/>
      <c r="B51" s="480"/>
      <c r="C51" s="400"/>
      <c r="D51" s="182"/>
      <c r="E51" s="576"/>
      <c r="F51" s="558"/>
      <c r="G51" s="555"/>
      <c r="H51" s="551"/>
      <c r="I51" s="569"/>
    </row>
    <row r="52">
      <c r="A52" s="270"/>
      <c r="B52" s="478"/>
      <c r="C52" s="472"/>
      <c r="D52" s="559"/>
      <c r="E52" s="560"/>
      <c r="F52" s="561"/>
      <c r="G52" s="562"/>
      <c r="H52" s="599"/>
      <c r="I52" s="564"/>
    </row>
    <row r="53">
      <c r="A53" s="262" t="s">
        <v>2161</v>
      </c>
      <c r="B53" s="425">
        <v>20560.0</v>
      </c>
      <c r="C53" s="421"/>
      <c r="D53" s="566"/>
      <c r="E53" s="567" t="s">
        <v>1061</v>
      </c>
      <c r="F53" s="549">
        <v>180.0</v>
      </c>
      <c r="G53" s="550" t="s">
        <v>2108</v>
      </c>
      <c r="H53" s="556"/>
      <c r="I53" s="569"/>
    </row>
    <row r="54">
      <c r="A54" s="265"/>
      <c r="B54" s="404"/>
      <c r="C54" s="399"/>
      <c r="D54" s="182"/>
      <c r="E54" s="557"/>
      <c r="F54" s="554">
        <v>100.0</v>
      </c>
      <c r="G54" s="550" t="s">
        <v>2105</v>
      </c>
      <c r="H54" s="551"/>
      <c r="I54" s="569"/>
    </row>
    <row r="55">
      <c r="A55" s="265"/>
      <c r="B55" s="404"/>
      <c r="C55" s="399"/>
      <c r="D55" s="182"/>
      <c r="E55" s="557"/>
      <c r="F55" s="554"/>
      <c r="G55" s="550"/>
      <c r="H55" s="556"/>
      <c r="I55" s="552"/>
    </row>
    <row r="56">
      <c r="A56" s="265"/>
      <c r="B56" s="404"/>
      <c r="C56" s="399"/>
      <c r="D56" s="182"/>
      <c r="E56" s="557"/>
      <c r="F56" s="554"/>
      <c r="G56" s="550"/>
      <c r="H56" s="556"/>
      <c r="I56" s="552"/>
    </row>
    <row r="57">
      <c r="A57" s="265"/>
      <c r="B57" s="440"/>
      <c r="C57" s="399"/>
      <c r="D57" s="182"/>
      <c r="E57" s="557"/>
      <c r="F57" s="558"/>
      <c r="G57" s="555"/>
      <c r="H57" s="551"/>
      <c r="I57" s="552"/>
    </row>
    <row r="58">
      <c r="A58" s="270"/>
      <c r="B58" s="470"/>
      <c r="C58" s="486"/>
      <c r="D58" s="559"/>
      <c r="E58" s="560"/>
      <c r="F58" s="561"/>
      <c r="G58" s="562"/>
      <c r="H58" s="563"/>
      <c r="I58" s="564"/>
    </row>
    <row r="59">
      <c r="A59" s="262" t="s">
        <v>1074</v>
      </c>
      <c r="B59" s="425"/>
      <c r="C59" s="421"/>
      <c r="D59" s="566"/>
      <c r="E59" s="567"/>
      <c r="F59" s="549">
        <v>230.0</v>
      </c>
      <c r="G59" s="550" t="s">
        <v>2108</v>
      </c>
      <c r="H59" s="551"/>
      <c r="I59" s="552"/>
    </row>
    <row r="60">
      <c r="A60" s="265"/>
      <c r="B60" s="404"/>
      <c r="C60" s="400"/>
      <c r="D60" s="182"/>
      <c r="E60" s="557"/>
      <c r="F60" s="554">
        <v>230.0</v>
      </c>
      <c r="G60" s="550" t="s">
        <v>2105</v>
      </c>
      <c r="H60" s="551"/>
      <c r="I60" s="552"/>
    </row>
    <row r="61">
      <c r="A61" s="265"/>
      <c r="B61" s="404"/>
      <c r="C61" s="400"/>
      <c r="D61" s="182"/>
      <c r="E61" s="557"/>
      <c r="F61" s="558"/>
      <c r="G61" s="555"/>
      <c r="H61" s="551"/>
      <c r="I61" s="552"/>
    </row>
    <row r="62">
      <c r="A62" s="265"/>
      <c r="B62" s="477"/>
      <c r="C62" s="400"/>
      <c r="D62" s="182"/>
      <c r="E62" s="576"/>
      <c r="F62" s="554"/>
      <c r="G62" s="550"/>
      <c r="H62" s="551"/>
      <c r="I62" s="552"/>
    </row>
    <row r="63">
      <c r="A63" s="265"/>
      <c r="B63" s="477"/>
      <c r="C63" s="400"/>
      <c r="D63" s="182"/>
      <c r="E63" s="576"/>
      <c r="F63" s="558"/>
      <c r="G63" s="555"/>
      <c r="H63" s="551"/>
      <c r="I63" s="552"/>
    </row>
    <row r="64">
      <c r="A64" s="270"/>
      <c r="B64" s="478"/>
      <c r="C64" s="472"/>
      <c r="D64" s="559"/>
      <c r="E64" s="560"/>
      <c r="F64" s="561"/>
      <c r="G64" s="562"/>
      <c r="H64" s="563"/>
      <c r="I64" s="564"/>
    </row>
    <row r="65">
      <c r="A65" s="262" t="s">
        <v>1075</v>
      </c>
      <c r="B65" s="419"/>
      <c r="C65" s="414"/>
      <c r="D65" s="22"/>
      <c r="E65" s="550"/>
      <c r="F65" s="554"/>
      <c r="G65" s="550" t="s">
        <v>2162</v>
      </c>
      <c r="H65" s="556"/>
      <c r="I65" s="552"/>
    </row>
    <row r="66">
      <c r="A66" s="265"/>
      <c r="B66" s="404"/>
      <c r="C66" s="399"/>
      <c r="D66" s="182"/>
      <c r="E66" s="557"/>
      <c r="F66" s="554">
        <v>120.0</v>
      </c>
      <c r="G66" s="550" t="s">
        <v>2163</v>
      </c>
      <c r="H66" s="556"/>
      <c r="I66" s="552"/>
    </row>
    <row r="67">
      <c r="A67" s="265"/>
      <c r="B67" s="404"/>
      <c r="C67" s="399"/>
      <c r="D67" s="182"/>
      <c r="E67" s="557"/>
      <c r="F67" s="558"/>
      <c r="G67" s="555"/>
      <c r="H67" s="551"/>
      <c r="I67" s="552"/>
    </row>
    <row r="68">
      <c r="A68" s="265"/>
      <c r="B68" s="404"/>
      <c r="C68" s="399"/>
      <c r="D68" s="182"/>
      <c r="E68" s="557"/>
      <c r="F68" s="554"/>
      <c r="G68" s="550"/>
      <c r="H68" s="556"/>
      <c r="I68" s="552"/>
    </row>
    <row r="69">
      <c r="A69" s="265"/>
      <c r="B69" s="404"/>
      <c r="C69" s="400"/>
      <c r="D69" s="182"/>
      <c r="E69" s="557"/>
      <c r="F69" s="558"/>
      <c r="G69" s="555"/>
      <c r="H69" s="551"/>
      <c r="I69" s="552"/>
    </row>
    <row r="70">
      <c r="A70" s="270"/>
      <c r="B70" s="404"/>
      <c r="C70" s="399"/>
      <c r="D70" s="182"/>
      <c r="E70" s="557"/>
      <c r="F70" s="561"/>
      <c r="G70" s="562"/>
      <c r="H70" s="563"/>
      <c r="I70" s="564"/>
    </row>
    <row r="71">
      <c r="A71" s="262" t="s">
        <v>568</v>
      </c>
      <c r="B71" s="425"/>
      <c r="C71" s="401"/>
      <c r="D71" s="566"/>
      <c r="E71" s="567"/>
      <c r="F71" s="554">
        <v>150.0</v>
      </c>
      <c r="G71" s="550" t="s">
        <v>2108</v>
      </c>
      <c r="H71" s="604"/>
      <c r="I71" s="605"/>
      <c r="J71" s="340"/>
    </row>
    <row r="72">
      <c r="A72" s="265"/>
      <c r="B72" s="404"/>
      <c r="C72" s="400"/>
      <c r="D72" s="182"/>
      <c r="E72" s="557"/>
      <c r="F72" s="554">
        <v>200.0</v>
      </c>
      <c r="G72" s="550" t="s">
        <v>2105</v>
      </c>
      <c r="H72" s="556"/>
      <c r="I72" s="552"/>
    </row>
    <row r="73">
      <c r="A73" s="265"/>
      <c r="B73" s="404"/>
      <c r="C73" s="400"/>
      <c r="D73" s="182"/>
      <c r="E73" s="557"/>
      <c r="F73" s="554"/>
      <c r="G73" s="550"/>
      <c r="H73" s="551"/>
      <c r="I73" s="552"/>
    </row>
    <row r="74">
      <c r="A74" s="265"/>
      <c r="B74" s="480"/>
      <c r="C74" s="400"/>
      <c r="D74" s="182"/>
      <c r="E74" s="576"/>
      <c r="F74" s="554"/>
      <c r="G74" s="550"/>
      <c r="H74" s="551"/>
      <c r="I74" s="552"/>
    </row>
    <row r="75">
      <c r="A75" s="265"/>
      <c r="B75" s="480"/>
      <c r="C75" s="400"/>
      <c r="D75" s="574"/>
      <c r="E75" s="576"/>
      <c r="F75" s="558"/>
      <c r="G75" s="555"/>
      <c r="H75" s="551"/>
      <c r="I75" s="552"/>
    </row>
    <row r="76">
      <c r="A76" s="270"/>
      <c r="B76" s="478"/>
      <c r="C76" s="472"/>
      <c r="D76" s="577"/>
      <c r="E76" s="578"/>
      <c r="F76" s="561"/>
      <c r="G76" s="562"/>
      <c r="H76" s="563"/>
      <c r="I76" s="564"/>
    </row>
    <row r="77">
      <c r="A77" s="262" t="s">
        <v>571</v>
      </c>
      <c r="B77" s="425"/>
      <c r="C77" s="401"/>
      <c r="D77" s="566"/>
      <c r="E77" s="567"/>
      <c r="F77" s="549">
        <v>200.0</v>
      </c>
      <c r="G77" s="550" t="s">
        <v>2108</v>
      </c>
      <c r="H77" s="551"/>
      <c r="I77" s="552"/>
    </row>
    <row r="78">
      <c r="A78" s="265"/>
      <c r="B78" s="404"/>
      <c r="C78" s="400"/>
      <c r="D78" s="182"/>
      <c r="E78" s="567"/>
      <c r="F78" s="554">
        <v>200.0</v>
      </c>
      <c r="G78" s="550" t="s">
        <v>2105</v>
      </c>
      <c r="H78" s="551"/>
      <c r="I78" s="552"/>
    </row>
    <row r="79">
      <c r="A79" s="265"/>
      <c r="B79" s="404"/>
      <c r="C79" s="399"/>
      <c r="D79" s="182"/>
      <c r="E79" s="557"/>
      <c r="F79" s="558"/>
      <c r="G79" s="555"/>
      <c r="H79" s="551"/>
      <c r="I79" s="552"/>
    </row>
    <row r="80">
      <c r="A80" s="265"/>
      <c r="B80" s="440"/>
      <c r="C80" s="399"/>
      <c r="D80" s="182"/>
      <c r="E80" s="557"/>
      <c r="F80" s="554"/>
      <c r="G80" s="550"/>
      <c r="H80" s="551"/>
      <c r="I80" s="552"/>
    </row>
    <row r="81">
      <c r="A81" s="265"/>
      <c r="B81" s="440"/>
      <c r="C81" s="400"/>
      <c r="D81" s="574"/>
      <c r="E81" s="557"/>
      <c r="F81" s="558"/>
      <c r="G81" s="555"/>
      <c r="H81" s="551"/>
      <c r="I81" s="552"/>
    </row>
    <row r="82">
      <c r="A82" s="270"/>
      <c r="B82" s="478"/>
      <c r="C82" s="472"/>
      <c r="D82" s="577"/>
      <c r="E82" s="578"/>
      <c r="F82" s="561"/>
      <c r="G82" s="562"/>
      <c r="H82" s="563"/>
      <c r="I82" s="564"/>
    </row>
    <row r="83">
      <c r="A83" s="262" t="s">
        <v>2164</v>
      </c>
      <c r="B83" s="461"/>
      <c r="C83" s="421"/>
      <c r="D83" s="566"/>
      <c r="E83" s="567"/>
      <c r="F83" s="549">
        <v>100.0</v>
      </c>
      <c r="G83" s="550" t="s">
        <v>2165</v>
      </c>
      <c r="H83" s="556"/>
      <c r="I83" s="569"/>
    </row>
    <row r="84">
      <c r="A84" s="265"/>
      <c r="B84" s="404"/>
      <c r="C84" s="400"/>
      <c r="D84" s="182"/>
      <c r="E84" s="557"/>
      <c r="F84" s="554">
        <v>100.0</v>
      </c>
      <c r="G84" s="550" t="s">
        <v>2166</v>
      </c>
      <c r="H84" s="551"/>
      <c r="I84" s="552"/>
    </row>
    <row r="85">
      <c r="A85" s="265"/>
      <c r="B85" s="440"/>
      <c r="C85" s="400"/>
      <c r="D85" s="182"/>
      <c r="E85" s="557"/>
      <c r="F85" s="558"/>
      <c r="G85" s="555"/>
      <c r="H85" s="551"/>
      <c r="I85" s="552"/>
    </row>
    <row r="86">
      <c r="A86" s="265"/>
      <c r="B86" s="480"/>
      <c r="C86" s="400"/>
      <c r="D86" s="574"/>
      <c r="E86" s="576"/>
      <c r="F86" s="554">
        <v>160.0</v>
      </c>
      <c r="G86" s="550" t="s">
        <v>1976</v>
      </c>
      <c r="H86" s="551"/>
      <c r="I86" s="552"/>
    </row>
    <row r="87">
      <c r="A87" s="265"/>
      <c r="B87" s="480"/>
      <c r="C87" s="400"/>
      <c r="D87" s="574"/>
      <c r="E87" s="576"/>
      <c r="F87" s="558"/>
      <c r="G87" s="555"/>
      <c r="H87" s="551"/>
      <c r="I87" s="552"/>
    </row>
    <row r="88">
      <c r="A88" s="270"/>
      <c r="B88" s="478"/>
      <c r="C88" s="472"/>
      <c r="D88" s="577"/>
      <c r="E88" s="578"/>
      <c r="F88" s="561"/>
      <c r="G88" s="562"/>
      <c r="H88" s="563"/>
      <c r="I88" s="564"/>
    </row>
    <row r="89">
      <c r="A89" s="262" t="s">
        <v>575</v>
      </c>
      <c r="B89" s="425"/>
      <c r="C89" s="421"/>
      <c r="D89" s="566"/>
      <c r="E89" s="557"/>
      <c r="F89" s="549">
        <v>250.0</v>
      </c>
      <c r="G89" s="550" t="s">
        <v>2153</v>
      </c>
      <c r="H89" s="556"/>
      <c r="I89" s="552"/>
    </row>
    <row r="90">
      <c r="A90" s="265"/>
      <c r="B90" s="404"/>
      <c r="C90" s="400"/>
      <c r="D90" s="182"/>
      <c r="E90" s="557"/>
      <c r="F90" s="554">
        <v>300.0</v>
      </c>
      <c r="G90" s="550" t="s">
        <v>1975</v>
      </c>
      <c r="H90" s="551"/>
      <c r="I90" s="552"/>
    </row>
    <row r="91">
      <c r="A91" s="265"/>
      <c r="B91" s="480"/>
      <c r="C91" s="400"/>
      <c r="D91" s="182"/>
      <c r="E91" s="557"/>
      <c r="F91" s="558"/>
      <c r="G91" s="555"/>
      <c r="H91" s="551"/>
      <c r="I91" s="552"/>
    </row>
    <row r="92">
      <c r="A92" s="265"/>
      <c r="B92" s="480"/>
      <c r="C92" s="400"/>
      <c r="D92" s="182"/>
      <c r="E92" s="576"/>
      <c r="F92" s="558"/>
      <c r="G92" s="555"/>
      <c r="H92" s="551"/>
      <c r="I92" s="552"/>
    </row>
    <row r="93">
      <c r="A93" s="265"/>
      <c r="B93" s="480"/>
      <c r="C93" s="400"/>
      <c r="D93" s="182"/>
      <c r="E93" s="576"/>
      <c r="F93" s="558"/>
      <c r="G93" s="555"/>
      <c r="H93" s="551"/>
      <c r="I93" s="552"/>
    </row>
    <row r="94">
      <c r="A94" s="270"/>
      <c r="B94" s="478"/>
      <c r="C94" s="472"/>
      <c r="D94" s="577"/>
      <c r="E94" s="578"/>
      <c r="F94" s="561"/>
      <c r="G94" s="562"/>
      <c r="H94" s="563"/>
      <c r="I94" s="564"/>
    </row>
    <row r="95">
      <c r="A95" s="262" t="s">
        <v>576</v>
      </c>
      <c r="B95" s="425"/>
      <c r="C95" s="421"/>
      <c r="D95" s="566"/>
      <c r="E95" s="567"/>
      <c r="F95" s="549">
        <v>300.0</v>
      </c>
      <c r="G95" s="550" t="s">
        <v>2153</v>
      </c>
      <c r="H95" s="551"/>
      <c r="I95" s="552"/>
    </row>
    <row r="96">
      <c r="A96" s="265"/>
      <c r="B96" s="404"/>
      <c r="C96" s="399"/>
      <c r="D96" s="182"/>
      <c r="E96" s="557"/>
      <c r="F96" s="554">
        <v>250.0</v>
      </c>
      <c r="G96" s="550" t="s">
        <v>1975</v>
      </c>
      <c r="H96" s="551"/>
      <c r="I96" s="552"/>
    </row>
    <row r="97">
      <c r="A97" s="265"/>
      <c r="B97" s="404"/>
      <c r="C97" s="399"/>
      <c r="D97" s="182"/>
      <c r="E97" s="557"/>
      <c r="F97" s="558"/>
      <c r="G97" s="555"/>
      <c r="H97" s="551"/>
      <c r="I97" s="552"/>
    </row>
    <row r="98">
      <c r="A98" s="265"/>
      <c r="B98" s="477"/>
      <c r="C98" s="400"/>
      <c r="D98" s="182"/>
      <c r="E98" s="557"/>
      <c r="F98" s="554"/>
      <c r="G98" s="550"/>
      <c r="H98" s="551"/>
      <c r="I98" s="552"/>
    </row>
    <row r="99">
      <c r="A99" s="265"/>
      <c r="B99" s="477"/>
      <c r="C99" s="400"/>
      <c r="D99" s="182"/>
      <c r="E99" s="557"/>
      <c r="F99" s="554"/>
      <c r="G99" s="550"/>
      <c r="H99" s="551"/>
      <c r="I99" s="552"/>
    </row>
    <row r="100">
      <c r="A100" s="270"/>
      <c r="B100" s="478"/>
      <c r="C100" s="472"/>
      <c r="D100" s="559"/>
      <c r="E100" s="560"/>
      <c r="F100" s="561"/>
      <c r="G100" s="562"/>
      <c r="H100" s="563"/>
      <c r="I100" s="564"/>
    </row>
    <row r="101">
      <c r="A101" s="262" t="s">
        <v>577</v>
      </c>
      <c r="B101" s="425">
        <v>157598.0</v>
      </c>
      <c r="C101" s="399"/>
      <c r="D101" s="182"/>
      <c r="E101" s="557" t="s">
        <v>2167</v>
      </c>
      <c r="F101" s="549">
        <v>60.0</v>
      </c>
      <c r="G101" s="550" t="s">
        <v>2168</v>
      </c>
      <c r="H101" s="551"/>
      <c r="I101" s="552"/>
    </row>
    <row r="102">
      <c r="A102" s="265"/>
      <c r="B102" s="404"/>
      <c r="C102" s="399"/>
      <c r="D102" s="182"/>
      <c r="E102" s="557"/>
      <c r="F102" s="554">
        <v>140.0</v>
      </c>
      <c r="G102" s="550" t="s">
        <v>1975</v>
      </c>
      <c r="H102" s="551"/>
      <c r="I102" s="552"/>
    </row>
    <row r="103">
      <c r="A103" s="265"/>
      <c r="B103" s="404"/>
      <c r="C103" s="489"/>
      <c r="D103" s="579"/>
      <c r="E103" s="580"/>
      <c r="F103" s="554"/>
      <c r="G103" s="550"/>
      <c r="H103" s="551"/>
      <c r="I103" s="552"/>
    </row>
    <row r="104">
      <c r="A104" s="265"/>
      <c r="B104" s="404"/>
      <c r="C104" s="400"/>
      <c r="D104" s="182"/>
      <c r="E104" s="557"/>
      <c r="F104" s="554"/>
      <c r="G104" s="550"/>
      <c r="H104" s="551"/>
      <c r="I104" s="552"/>
    </row>
    <row r="105">
      <c r="A105" s="265"/>
      <c r="B105" s="477"/>
      <c r="C105" s="400"/>
      <c r="D105" s="182"/>
      <c r="E105" s="576"/>
      <c r="F105" s="558"/>
      <c r="G105" s="555"/>
      <c r="H105" s="551"/>
      <c r="I105" s="552"/>
    </row>
    <row r="106">
      <c r="A106" s="270"/>
      <c r="B106" s="478"/>
      <c r="C106" s="472"/>
      <c r="D106" s="559"/>
      <c r="E106" s="560"/>
      <c r="F106" s="561"/>
      <c r="G106" s="562"/>
      <c r="H106" s="563"/>
      <c r="I106" s="564"/>
    </row>
    <row r="107">
      <c r="A107" s="262" t="s">
        <v>579</v>
      </c>
      <c r="B107" s="425"/>
      <c r="C107" s="414"/>
      <c r="D107" s="182"/>
      <c r="E107" s="557"/>
      <c r="F107" s="549"/>
      <c r="G107" s="550" t="s">
        <v>2169</v>
      </c>
      <c r="H107" s="551"/>
      <c r="I107" s="552"/>
    </row>
    <row r="108">
      <c r="A108" s="265"/>
      <c r="B108" s="404"/>
      <c r="C108" s="400"/>
      <c r="D108" s="182"/>
      <c r="E108" s="557"/>
      <c r="F108" s="554">
        <v>200.0</v>
      </c>
      <c r="G108" s="550" t="s">
        <v>1975</v>
      </c>
      <c r="H108" s="551"/>
      <c r="I108" s="552"/>
    </row>
    <row r="109">
      <c r="A109" s="265"/>
      <c r="B109" s="477"/>
      <c r="C109" s="400"/>
      <c r="D109" s="182"/>
      <c r="E109" s="557"/>
      <c r="F109" s="558"/>
      <c r="G109" s="555"/>
      <c r="H109" s="551"/>
      <c r="I109" s="552"/>
    </row>
    <row r="110">
      <c r="A110" s="265"/>
      <c r="B110" s="480"/>
      <c r="C110" s="400"/>
      <c r="D110" s="182"/>
      <c r="E110" s="557"/>
      <c r="F110" s="554"/>
      <c r="G110" s="550"/>
      <c r="H110" s="551"/>
      <c r="I110" s="552"/>
    </row>
    <row r="111">
      <c r="A111" s="265"/>
      <c r="B111" s="480"/>
      <c r="C111" s="400"/>
      <c r="D111" s="574"/>
      <c r="E111" s="576"/>
      <c r="F111" s="558"/>
      <c r="G111" s="550"/>
      <c r="H111" s="551"/>
      <c r="I111" s="552"/>
    </row>
    <row r="112">
      <c r="A112" s="270"/>
      <c r="B112" s="478"/>
      <c r="C112" s="472"/>
      <c r="D112" s="577"/>
      <c r="E112" s="578"/>
      <c r="F112" s="561"/>
      <c r="G112" s="562"/>
      <c r="H112" s="563"/>
      <c r="I112" s="564"/>
    </row>
    <row r="113">
      <c r="A113" s="262" t="s">
        <v>581</v>
      </c>
      <c r="B113" s="425"/>
      <c r="C113" s="401"/>
      <c r="D113" s="566"/>
      <c r="E113" s="567"/>
      <c r="F113" s="549">
        <v>170.0</v>
      </c>
      <c r="G113" s="550" t="s">
        <v>2170</v>
      </c>
      <c r="H113" s="556"/>
      <c r="I113" s="552"/>
    </row>
    <row r="114">
      <c r="A114" s="265"/>
      <c r="B114" s="477"/>
      <c r="C114" s="400"/>
      <c r="D114" s="182"/>
      <c r="E114" s="557"/>
      <c r="F114" s="554">
        <v>100.0</v>
      </c>
      <c r="G114" s="550" t="s">
        <v>1975</v>
      </c>
      <c r="H114" s="551"/>
      <c r="I114" s="552"/>
    </row>
    <row r="115">
      <c r="A115" s="265"/>
      <c r="B115" s="477"/>
      <c r="C115" s="400"/>
      <c r="D115" s="182"/>
      <c r="E115" s="557"/>
      <c r="F115" s="554"/>
      <c r="G115" s="550"/>
      <c r="H115" s="551"/>
      <c r="I115" s="552"/>
    </row>
    <row r="116">
      <c r="A116" s="265"/>
      <c r="B116" s="477"/>
      <c r="C116" s="400"/>
      <c r="D116" s="182"/>
      <c r="E116" s="557"/>
      <c r="F116" s="554"/>
      <c r="G116" s="550"/>
      <c r="H116" s="551"/>
      <c r="I116" s="552"/>
    </row>
    <row r="117">
      <c r="A117" s="265"/>
      <c r="B117" s="477"/>
      <c r="C117" s="400"/>
      <c r="D117" s="182"/>
      <c r="E117" s="576"/>
      <c r="F117" s="558"/>
      <c r="G117" s="555"/>
      <c r="H117" s="551"/>
      <c r="I117" s="552"/>
    </row>
    <row r="118">
      <c r="A118" s="270"/>
      <c r="B118" s="478"/>
      <c r="C118" s="472"/>
      <c r="D118" s="577"/>
      <c r="E118" s="578"/>
      <c r="F118" s="561"/>
      <c r="G118" s="562"/>
      <c r="H118" s="563"/>
      <c r="I118" s="564"/>
    </row>
    <row r="119">
      <c r="A119" s="262" t="s">
        <v>583</v>
      </c>
      <c r="B119" s="425"/>
      <c r="C119" s="401"/>
      <c r="D119" s="182"/>
      <c r="E119" s="557"/>
      <c r="F119" s="549"/>
      <c r="G119" s="550" t="s">
        <v>2171</v>
      </c>
      <c r="H119" s="556"/>
      <c r="I119" s="552"/>
    </row>
    <row r="120">
      <c r="A120" s="265"/>
      <c r="B120" s="404"/>
      <c r="C120" s="400"/>
      <c r="D120" s="182"/>
      <c r="E120" s="557"/>
      <c r="F120" s="554"/>
      <c r="G120" s="550" t="s">
        <v>2172</v>
      </c>
      <c r="H120" s="551"/>
      <c r="I120" s="552"/>
    </row>
    <row r="121">
      <c r="A121" s="265"/>
      <c r="B121" s="404"/>
      <c r="C121" s="400"/>
      <c r="D121" s="182"/>
      <c r="E121" s="557"/>
      <c r="F121" s="554"/>
      <c r="G121" s="550"/>
      <c r="H121" s="551"/>
      <c r="I121" s="552"/>
    </row>
    <row r="122">
      <c r="A122" s="265"/>
      <c r="B122" s="477"/>
      <c r="C122" s="400"/>
      <c r="D122" s="182"/>
      <c r="E122" s="557"/>
      <c r="F122" s="554"/>
      <c r="G122" s="550"/>
      <c r="H122" s="581"/>
      <c r="I122" s="582"/>
    </row>
    <row r="123">
      <c r="A123" s="265"/>
      <c r="B123" s="477"/>
      <c r="C123" s="400"/>
      <c r="D123" s="182"/>
      <c r="E123" s="576"/>
      <c r="F123" s="558"/>
      <c r="G123" s="555"/>
      <c r="H123" s="551"/>
      <c r="I123" s="552"/>
    </row>
    <row r="124">
      <c r="A124" s="270"/>
      <c r="B124" s="478"/>
      <c r="C124" s="472"/>
      <c r="D124" s="577"/>
      <c r="E124" s="578"/>
      <c r="F124" s="561"/>
      <c r="G124" s="562"/>
      <c r="H124" s="563"/>
      <c r="I124" s="564"/>
    </row>
    <row r="125">
      <c r="A125" s="262" t="s">
        <v>585</v>
      </c>
      <c r="B125" s="425"/>
      <c r="C125" s="421"/>
      <c r="D125" s="566">
        <v>6900.0</v>
      </c>
      <c r="E125" s="567" t="s">
        <v>291</v>
      </c>
      <c r="F125" s="549">
        <v>180.0</v>
      </c>
      <c r="G125" s="550" t="s">
        <v>2097</v>
      </c>
      <c r="H125" s="556"/>
      <c r="I125" s="569"/>
    </row>
    <row r="126">
      <c r="A126" s="265"/>
      <c r="B126" s="404"/>
      <c r="C126" s="399"/>
      <c r="D126" s="182"/>
      <c r="E126" s="576"/>
      <c r="F126" s="554">
        <v>130.0</v>
      </c>
      <c r="G126" s="550" t="s">
        <v>1965</v>
      </c>
      <c r="H126" s="551"/>
      <c r="I126" s="569"/>
    </row>
    <row r="127">
      <c r="A127" s="265"/>
      <c r="B127" s="404"/>
      <c r="C127" s="400"/>
      <c r="D127" s="182"/>
      <c r="E127" s="576"/>
      <c r="F127" s="554"/>
      <c r="G127" s="550"/>
      <c r="H127" s="551"/>
      <c r="I127" s="552"/>
    </row>
    <row r="128">
      <c r="A128" s="265"/>
      <c r="B128" s="404"/>
      <c r="C128" s="400"/>
      <c r="D128" s="182"/>
      <c r="E128" s="576"/>
      <c r="F128" s="558"/>
      <c r="G128" s="555"/>
      <c r="H128" s="551"/>
      <c r="I128" s="552"/>
    </row>
    <row r="129">
      <c r="A129" s="265"/>
      <c r="B129" s="404"/>
      <c r="C129" s="399"/>
      <c r="D129" s="182"/>
      <c r="E129" s="576"/>
      <c r="F129" s="558"/>
      <c r="G129" s="555"/>
      <c r="H129" s="551"/>
      <c r="I129" s="552"/>
    </row>
    <row r="130">
      <c r="A130" s="270"/>
      <c r="B130" s="478"/>
      <c r="C130" s="472"/>
      <c r="D130" s="559"/>
      <c r="E130" s="560"/>
      <c r="F130" s="561"/>
      <c r="G130" s="562"/>
      <c r="H130" s="563"/>
      <c r="I130" s="564"/>
    </row>
    <row r="131">
      <c r="A131" s="262" t="s">
        <v>591</v>
      </c>
      <c r="B131" s="425"/>
      <c r="C131" s="401"/>
      <c r="D131" s="566">
        <v>9400.0</v>
      </c>
      <c r="E131" s="567" t="s">
        <v>291</v>
      </c>
      <c r="F131" s="549">
        <v>280.0</v>
      </c>
      <c r="G131" s="550" t="s">
        <v>2097</v>
      </c>
      <c r="H131" s="556"/>
      <c r="I131" s="569"/>
    </row>
    <row r="132">
      <c r="A132" s="265"/>
      <c r="B132" s="477"/>
      <c r="C132" s="399"/>
      <c r="D132" s="182">
        <v>7200.0</v>
      </c>
      <c r="E132" s="557" t="s">
        <v>324</v>
      </c>
      <c r="F132" s="554">
        <v>20.0</v>
      </c>
      <c r="G132" s="550" t="s">
        <v>2173</v>
      </c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65"/>
      <c r="B134" s="477"/>
      <c r="C134" s="400"/>
      <c r="D134" s="182"/>
      <c r="E134" s="576"/>
      <c r="F134" s="554"/>
      <c r="G134" s="550"/>
      <c r="H134" s="551"/>
      <c r="I134" s="552"/>
    </row>
    <row r="135">
      <c r="A135" s="265"/>
      <c r="B135" s="477"/>
      <c r="C135" s="400"/>
      <c r="D135" s="182"/>
      <c r="E135" s="576"/>
      <c r="F135" s="558"/>
      <c r="G135" s="555"/>
      <c r="H135" s="551"/>
      <c r="I135" s="552"/>
    </row>
    <row r="136">
      <c r="A136" s="270"/>
      <c r="B136" s="478"/>
      <c r="C136" s="472"/>
      <c r="D136" s="577"/>
      <c r="E136" s="578"/>
      <c r="F136" s="561"/>
      <c r="G136" s="562"/>
      <c r="H136" s="563"/>
      <c r="I136" s="564"/>
    </row>
    <row r="137">
      <c r="A137" s="262" t="s">
        <v>593</v>
      </c>
      <c r="B137" s="425"/>
      <c r="C137" s="401"/>
      <c r="D137" s="566"/>
      <c r="E137" s="550"/>
      <c r="F137" s="549">
        <v>230.0</v>
      </c>
      <c r="G137" s="550" t="s">
        <v>2097</v>
      </c>
      <c r="H137" s="551"/>
      <c r="I137" s="552"/>
    </row>
    <row r="138">
      <c r="A138" s="265"/>
      <c r="B138" s="477"/>
      <c r="C138" s="399"/>
      <c r="D138" s="182"/>
      <c r="E138" s="576"/>
      <c r="F138" s="554">
        <v>250.0</v>
      </c>
      <c r="G138" s="550" t="s">
        <v>1965</v>
      </c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65"/>
      <c r="B140" s="404"/>
      <c r="C140" s="400"/>
      <c r="D140" s="182"/>
      <c r="E140" s="576"/>
      <c r="F140" s="554"/>
      <c r="G140" s="550"/>
      <c r="H140" s="551"/>
      <c r="I140" s="552"/>
    </row>
    <row r="141">
      <c r="A141" s="265"/>
      <c r="B141" s="477"/>
      <c r="C141" s="400"/>
      <c r="D141" s="182"/>
      <c r="E141" s="576"/>
      <c r="F141" s="558"/>
      <c r="G141" s="555"/>
      <c r="H141" s="551"/>
      <c r="I141" s="552"/>
    </row>
    <row r="142">
      <c r="A142" s="270"/>
      <c r="B142" s="478"/>
      <c r="C142" s="472"/>
      <c r="D142" s="577"/>
      <c r="E142" s="578"/>
      <c r="F142" s="561"/>
      <c r="G142" s="562"/>
      <c r="H142" s="563"/>
      <c r="I142" s="564"/>
    </row>
    <row r="143">
      <c r="A143" s="280" t="s">
        <v>596</v>
      </c>
      <c r="B143" s="425"/>
      <c r="C143" s="401"/>
      <c r="D143" s="566"/>
      <c r="E143" s="557"/>
      <c r="F143" s="549">
        <v>250.0</v>
      </c>
      <c r="G143" s="550" t="s">
        <v>2097</v>
      </c>
      <c r="H143" s="556"/>
      <c r="I143" s="569"/>
    </row>
    <row r="144">
      <c r="A144" s="265"/>
      <c r="B144" s="404"/>
      <c r="C144" s="399"/>
      <c r="D144" s="182"/>
      <c r="E144" s="557"/>
      <c r="F144" s="554">
        <v>200.0</v>
      </c>
      <c r="G144" s="550" t="s">
        <v>1965</v>
      </c>
      <c r="H144" s="556">
        <v>-80.0</v>
      </c>
      <c r="I144" s="569">
        <v>-80.0</v>
      </c>
      <c r="J144" s="2" t="s">
        <v>2174</v>
      </c>
    </row>
    <row r="145">
      <c r="A145" s="265"/>
      <c r="B145" s="404"/>
      <c r="C145" s="399"/>
      <c r="D145" s="182"/>
      <c r="E145" s="557"/>
      <c r="F145" s="554"/>
      <c r="G145" s="555"/>
      <c r="H145" s="556">
        <v>-50.0</v>
      </c>
      <c r="I145" s="552"/>
      <c r="J145" s="2" t="s">
        <v>2175</v>
      </c>
    </row>
    <row r="146">
      <c r="A146" s="265"/>
      <c r="B146" s="404"/>
      <c r="C146" s="399"/>
      <c r="D146" s="182"/>
      <c r="E146" s="557"/>
      <c r="F146" s="554"/>
      <c r="G146" s="550"/>
      <c r="H146" s="556">
        <v>-90.0</v>
      </c>
      <c r="I146" s="552"/>
      <c r="J146" s="2" t="s">
        <v>2176</v>
      </c>
    </row>
    <row r="147">
      <c r="A147" s="270"/>
      <c r="B147" s="404"/>
      <c r="C147" s="399"/>
      <c r="D147" s="182"/>
      <c r="E147" s="557"/>
      <c r="F147" s="554"/>
      <c r="G147" s="555"/>
      <c r="H147" s="551"/>
      <c r="I147" s="569">
        <v>1420000.0</v>
      </c>
      <c r="J147" s="2" t="s">
        <v>2177</v>
      </c>
    </row>
    <row r="148">
      <c r="A148" s="452"/>
      <c r="B148" s="404"/>
      <c r="C148" s="399"/>
      <c r="D148" s="182"/>
      <c r="E148" s="557"/>
      <c r="F148" s="554"/>
      <c r="G148" s="562"/>
      <c r="H148" s="563">
        <f>2000000</f>
        <v>2000000</v>
      </c>
      <c r="I148" s="564"/>
      <c r="J148" s="2" t="s">
        <v>2178</v>
      </c>
    </row>
    <row r="149">
      <c r="A149" s="280" t="s">
        <v>598</v>
      </c>
      <c r="B149" s="461"/>
      <c r="C149" s="421"/>
      <c r="D149" s="583"/>
      <c r="E149" s="584"/>
      <c r="F149" s="549">
        <v>200.0</v>
      </c>
      <c r="G149" s="550" t="s">
        <v>2097</v>
      </c>
      <c r="H149" s="556"/>
      <c r="I149" s="552"/>
    </row>
    <row r="150">
      <c r="A150" s="265"/>
      <c r="B150" s="404"/>
      <c r="C150" s="399"/>
      <c r="D150" s="182"/>
      <c r="E150" s="557"/>
      <c r="F150" s="554">
        <v>110.0</v>
      </c>
      <c r="G150" s="550" t="s">
        <v>1965</v>
      </c>
      <c r="H150" s="551"/>
      <c r="I150" s="552"/>
    </row>
    <row r="151">
      <c r="A151" s="265"/>
      <c r="B151" s="477"/>
      <c r="C151" s="399"/>
      <c r="D151" s="182"/>
      <c r="E151" s="557"/>
      <c r="F151" s="554"/>
      <c r="G151" s="555"/>
      <c r="H151" s="551"/>
      <c r="I151" s="552"/>
    </row>
    <row r="152">
      <c r="A152" s="265"/>
      <c r="B152" s="477"/>
      <c r="C152" s="399"/>
      <c r="D152" s="182"/>
      <c r="E152" s="576"/>
      <c r="F152" s="554"/>
      <c r="G152" s="550"/>
      <c r="H152" s="551"/>
      <c r="I152" s="552"/>
    </row>
    <row r="153">
      <c r="A153" s="265"/>
      <c r="B153" s="404"/>
      <c r="C153" s="399"/>
      <c r="D153" s="182"/>
      <c r="E153" s="576"/>
      <c r="F153" s="554"/>
      <c r="G153" s="555"/>
      <c r="H153" s="551"/>
      <c r="I153" s="552"/>
    </row>
    <row r="154">
      <c r="A154" s="270"/>
      <c r="B154" s="478"/>
      <c r="C154" s="462"/>
      <c r="D154" s="577"/>
      <c r="E154" s="560"/>
      <c r="F154" s="561"/>
      <c r="G154" s="562"/>
      <c r="H154" s="563"/>
      <c r="I154" s="564"/>
    </row>
    <row r="155">
      <c r="A155" s="299" t="s">
        <v>1841</v>
      </c>
      <c r="B155" s="440"/>
      <c r="C155" s="462"/>
      <c r="D155" s="182"/>
      <c r="E155" s="557"/>
      <c r="F155" s="554">
        <v>150.0</v>
      </c>
      <c r="G155" s="550" t="s">
        <v>2097</v>
      </c>
      <c r="H155" s="551"/>
      <c r="I155" s="552"/>
    </row>
    <row r="156">
      <c r="B156" s="440"/>
      <c r="C156" s="462"/>
      <c r="D156" s="574"/>
      <c r="E156" s="557"/>
      <c r="F156" s="554">
        <v>130.0</v>
      </c>
      <c r="G156" s="550" t="s">
        <v>1965</v>
      </c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B158" s="480"/>
      <c r="C158" s="462"/>
      <c r="D158" s="574"/>
      <c r="E158" s="576"/>
      <c r="F158" s="554"/>
      <c r="G158" s="550"/>
      <c r="H158" s="551"/>
      <c r="I158" s="552"/>
    </row>
    <row r="159">
      <c r="B159" s="480"/>
      <c r="C159" s="462"/>
      <c r="D159" s="574"/>
      <c r="E159" s="576"/>
      <c r="F159" s="558"/>
      <c r="G159" s="555"/>
      <c r="H159" s="551"/>
      <c r="I159" s="552"/>
    </row>
    <row r="160">
      <c r="A160" s="585"/>
      <c r="B160" s="271"/>
      <c r="C160" s="586"/>
      <c r="D160" s="587"/>
      <c r="E160" s="588"/>
      <c r="F160" s="561"/>
      <c r="G160" s="562"/>
      <c r="H160" s="563"/>
      <c r="I160" s="564"/>
    </row>
    <row r="161">
      <c r="A161" s="299" t="s">
        <v>1043</v>
      </c>
      <c r="B161" s="440"/>
      <c r="C161" s="462"/>
      <c r="D161" s="182"/>
      <c r="E161" s="557"/>
      <c r="F161" s="554"/>
      <c r="G161" s="550"/>
      <c r="H161" s="551"/>
      <c r="I161" s="552"/>
    </row>
    <row r="162">
      <c r="B162" s="480"/>
      <c r="C162" s="462"/>
      <c r="D162" s="574"/>
      <c r="E162" s="576"/>
      <c r="F162" s="554"/>
      <c r="G162" s="550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B164" s="480"/>
      <c r="C164" s="462"/>
      <c r="D164" s="574"/>
      <c r="E164" s="576"/>
      <c r="F164" s="558"/>
      <c r="G164" s="555"/>
      <c r="H164" s="551"/>
      <c r="I164" s="552"/>
    </row>
    <row r="165">
      <c r="B165" s="480"/>
      <c r="C165" s="462"/>
      <c r="D165" s="574"/>
      <c r="E165" s="576"/>
      <c r="F165" s="558"/>
      <c r="G165" s="555"/>
      <c r="H165" s="551"/>
      <c r="I165" s="552"/>
    </row>
    <row r="166">
      <c r="A166" s="585"/>
      <c r="B166" s="271"/>
      <c r="C166" s="586"/>
      <c r="D166" s="587"/>
      <c r="E166" s="588"/>
      <c r="F166" s="561"/>
      <c r="G166" s="562"/>
      <c r="H166" s="563"/>
      <c r="I166" s="564"/>
    </row>
    <row r="167">
      <c r="A167" s="299" t="s">
        <v>1045</v>
      </c>
      <c r="B167" s="440"/>
      <c r="C167" s="462"/>
      <c r="D167" s="182"/>
      <c r="E167" s="557"/>
      <c r="F167" s="554"/>
      <c r="G167" s="550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B170" s="480"/>
      <c r="C170" s="462"/>
      <c r="D170" s="574"/>
      <c r="E170" s="576"/>
      <c r="F170" s="558"/>
      <c r="G170" s="555"/>
      <c r="H170" s="551"/>
      <c r="I170" s="552"/>
    </row>
    <row r="171">
      <c r="B171" s="480"/>
      <c r="C171" s="462"/>
      <c r="D171" s="574"/>
      <c r="E171" s="576"/>
      <c r="F171" s="558"/>
      <c r="G171" s="555"/>
      <c r="H171" s="551"/>
      <c r="I171" s="552"/>
    </row>
    <row r="172">
      <c r="A172" s="585"/>
      <c r="B172" s="271"/>
      <c r="C172" s="586"/>
      <c r="D172" s="587"/>
      <c r="E172" s="588"/>
      <c r="F172" s="561"/>
      <c r="G172" s="562"/>
      <c r="H172" s="563"/>
      <c r="I172" s="564"/>
    </row>
    <row r="173">
      <c r="A173" s="299" t="s">
        <v>2142</v>
      </c>
      <c r="B173" s="440"/>
      <c r="C173" s="462"/>
      <c r="D173" s="182"/>
      <c r="E173" s="557"/>
      <c r="F173" s="554"/>
      <c r="G173" s="550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B176" s="480"/>
      <c r="C176" s="462"/>
      <c r="D176" s="574"/>
      <c r="E176" s="576"/>
      <c r="F176" s="558"/>
      <c r="G176" s="555"/>
      <c r="H176" s="551"/>
      <c r="I176" s="552"/>
    </row>
    <row r="177">
      <c r="B177" s="480"/>
      <c r="C177" s="462"/>
      <c r="D177" s="574"/>
      <c r="E177" s="576"/>
      <c r="F177" s="558"/>
      <c r="G177" s="555"/>
      <c r="H177" s="551"/>
      <c r="I177" s="552"/>
    </row>
    <row r="178">
      <c r="A178" s="585"/>
      <c r="B178" s="271"/>
      <c r="C178" s="586"/>
      <c r="D178" s="587"/>
      <c r="E178" s="588"/>
      <c r="F178" s="561"/>
      <c r="G178" s="562"/>
      <c r="H178" s="563"/>
      <c r="I178" s="564"/>
    </row>
    <row r="179">
      <c r="A179" s="606" t="s">
        <v>2144</v>
      </c>
      <c r="B179" s="600"/>
      <c r="C179" s="607"/>
      <c r="D179" s="566"/>
      <c r="E179" s="567"/>
      <c r="F179" s="549"/>
      <c r="G179" s="548"/>
      <c r="H179" s="609"/>
      <c r="I179" s="610"/>
    </row>
    <row r="180">
      <c r="A180" s="611"/>
      <c r="B180" s="480"/>
      <c r="C180" s="462"/>
      <c r="D180" s="574"/>
      <c r="E180" s="576"/>
      <c r="F180" s="558"/>
      <c r="G180" s="550"/>
      <c r="H180" s="551"/>
      <c r="I180" s="612"/>
    </row>
    <row r="181">
      <c r="A181" s="611"/>
      <c r="B181" s="480"/>
      <c r="C181" s="462"/>
      <c r="D181" s="574"/>
      <c r="E181" s="576"/>
      <c r="F181" s="558"/>
      <c r="G181" s="550"/>
      <c r="H181" s="551"/>
      <c r="I181" s="612"/>
    </row>
    <row r="182">
      <c r="A182" s="611"/>
      <c r="B182" s="480"/>
      <c r="C182" s="462"/>
      <c r="D182" s="574"/>
      <c r="E182" s="576"/>
      <c r="F182" s="558"/>
      <c r="G182" s="550"/>
      <c r="H182" s="551"/>
      <c r="I182" s="612"/>
    </row>
    <row r="183">
      <c r="A183" s="613"/>
      <c r="B183" s="478"/>
      <c r="C183" s="614"/>
      <c r="D183" s="577"/>
      <c r="E183" s="578"/>
      <c r="F183" s="561"/>
      <c r="G183" s="562"/>
      <c r="H183" s="563"/>
      <c r="I183" s="615"/>
    </row>
    <row r="184">
      <c r="A184" s="606"/>
      <c r="B184" s="600"/>
      <c r="C184" s="607"/>
      <c r="D184" s="566"/>
      <c r="E184" s="567"/>
      <c r="F184" s="597"/>
      <c r="G184" s="608"/>
      <c r="H184" s="609"/>
      <c r="I184" s="610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1"/>
      <c r="B186" s="480"/>
      <c r="C186" s="462"/>
      <c r="D186" s="574"/>
      <c r="E186" s="576"/>
      <c r="F186" s="558"/>
      <c r="G186" s="555"/>
      <c r="H186" s="551"/>
      <c r="I186" s="612"/>
    </row>
    <row r="187">
      <c r="A187" s="611"/>
      <c r="B187" s="480"/>
      <c r="C187" s="462"/>
      <c r="D187" s="574"/>
      <c r="E187" s="576"/>
      <c r="F187" s="558"/>
      <c r="G187" s="555"/>
      <c r="H187" s="551"/>
      <c r="I187" s="612"/>
    </row>
    <row r="188">
      <c r="A188" s="613"/>
      <c r="B188" s="478"/>
      <c r="C188" s="614"/>
      <c r="D188" s="577"/>
      <c r="E188" s="578"/>
      <c r="F188" s="561"/>
      <c r="G188" s="562"/>
      <c r="H188" s="563"/>
      <c r="I188" s="615"/>
    </row>
    <row r="189">
      <c r="A189" s="299"/>
      <c r="B189" s="440"/>
      <c r="C189" s="462"/>
      <c r="D189" s="182"/>
      <c r="E189" s="557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B192" s="480"/>
      <c r="C192" s="462"/>
      <c r="D192" s="574"/>
      <c r="E192" s="576"/>
      <c r="F192" s="558"/>
      <c r="G192" s="555"/>
      <c r="H192" s="551"/>
      <c r="I192" s="552"/>
    </row>
    <row r="193">
      <c r="B193" s="480"/>
      <c r="C193" s="462"/>
      <c r="D193" s="574"/>
      <c r="E193" s="576"/>
      <c r="F193" s="558"/>
      <c r="G193" s="555"/>
      <c r="H193" s="551"/>
      <c r="I193" s="552"/>
    </row>
    <row r="194">
      <c r="A194" s="585"/>
      <c r="B194" s="271"/>
      <c r="C194" s="586"/>
      <c r="D194" s="587"/>
      <c r="E194" s="588"/>
      <c r="F194" s="561"/>
      <c r="G194" s="562"/>
      <c r="H194" s="563"/>
      <c r="I194" s="564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3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3"/>
      <c r="B198" s="268"/>
      <c r="C198" s="253"/>
      <c r="D198" s="366"/>
      <c r="E198" s="555"/>
      <c r="F198" s="558"/>
      <c r="G198" s="555"/>
      <c r="H198" s="551"/>
      <c r="I198" s="552"/>
    </row>
    <row r="199">
      <c r="A199" s="304"/>
      <c r="B199" s="268"/>
      <c r="C199" s="253"/>
      <c r="D199" s="366"/>
      <c r="E199" s="555"/>
      <c r="F199" s="558"/>
      <c r="G199" s="555"/>
      <c r="H199" s="551"/>
      <c r="I199" s="552"/>
    </row>
    <row r="200">
      <c r="A200" s="305"/>
      <c r="B200" s="271"/>
      <c r="C200" s="273"/>
      <c r="D200" s="587"/>
      <c r="E200" s="562"/>
      <c r="F200" s="561"/>
      <c r="G200" s="555"/>
      <c r="H200" s="551"/>
      <c r="I200" s="552"/>
    </row>
    <row r="201">
      <c r="A201" s="265"/>
      <c r="B201" s="306"/>
      <c r="C201" s="241"/>
      <c r="D201" s="583"/>
      <c r="E201" s="548"/>
      <c r="F201" s="597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65"/>
      <c r="B207" s="268"/>
      <c r="C207" s="253"/>
      <c r="D207" s="366"/>
      <c r="E207" s="555"/>
      <c r="F207" s="558"/>
      <c r="G207" s="555"/>
      <c r="H207" s="551"/>
      <c r="I207" s="552"/>
    </row>
    <row r="208">
      <c r="A208" s="265"/>
      <c r="B208" s="268"/>
      <c r="C208" s="253"/>
      <c r="D208" s="366"/>
      <c r="E208" s="555"/>
      <c r="F208" s="558"/>
      <c r="G208" s="555"/>
      <c r="H208" s="551"/>
      <c r="I208" s="552"/>
    </row>
    <row r="209">
      <c r="A209" s="270"/>
      <c r="B209" s="268"/>
      <c r="C209" s="253"/>
      <c r="D209" s="366"/>
      <c r="E209" s="555"/>
      <c r="F209" s="558"/>
      <c r="G209" s="555"/>
      <c r="H209" s="551"/>
      <c r="I209" s="552"/>
    </row>
    <row r="210">
      <c r="B210" s="271"/>
      <c r="C210" s="273"/>
      <c r="D210" s="587"/>
      <c r="E210" s="562"/>
      <c r="F210" s="561"/>
      <c r="G210" s="555"/>
      <c r="H210" s="551"/>
      <c r="I210" s="552"/>
    </row>
    <row r="211">
      <c r="B211" s="306"/>
      <c r="C211" s="241"/>
      <c r="D211" s="583"/>
      <c r="E211" s="548"/>
      <c r="F211" s="597"/>
      <c r="G211" s="555"/>
      <c r="H211" s="551"/>
      <c r="I211" s="552"/>
    </row>
    <row r="212">
      <c r="B212" s="268"/>
      <c r="C212" s="253"/>
      <c r="D212" s="366"/>
      <c r="E212" s="555"/>
      <c r="F212" s="558"/>
      <c r="G212" s="555"/>
      <c r="H212" s="551"/>
      <c r="I212" s="552"/>
    </row>
    <row r="213">
      <c r="B213" s="268"/>
      <c r="C213" s="253"/>
      <c r="D213" s="366"/>
      <c r="E213" s="555"/>
      <c r="F213" s="558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  <row r="518">
      <c r="B518" s="308"/>
      <c r="C518" s="253"/>
      <c r="D518" s="598"/>
      <c r="E518" s="555"/>
      <c r="F518" s="572"/>
      <c r="G518" s="555"/>
      <c r="H518" s="551"/>
      <c r="I518" s="552"/>
    </row>
    <row r="519">
      <c r="B519" s="308"/>
      <c r="C519" s="253"/>
      <c r="D519" s="598"/>
      <c r="E519" s="555"/>
      <c r="F519" s="572"/>
      <c r="G519" s="555"/>
      <c r="H519" s="551"/>
      <c r="I519" s="552"/>
    </row>
  </sheetData>
  <mergeCells count="33">
    <mergeCell ref="A2:A7"/>
    <mergeCell ref="A8:A14"/>
    <mergeCell ref="A15:A19"/>
    <mergeCell ref="A20:A25"/>
    <mergeCell ref="A26:A31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2"/>
    <mergeCell ref="A113:A118"/>
    <mergeCell ref="A119:A124"/>
    <mergeCell ref="A125:A130"/>
    <mergeCell ref="A173:A177"/>
    <mergeCell ref="A179:A183"/>
    <mergeCell ref="A184:A188"/>
    <mergeCell ref="A189:A193"/>
    <mergeCell ref="A200:A209"/>
    <mergeCell ref="A131:A136"/>
    <mergeCell ref="A137:A142"/>
    <mergeCell ref="A143:A147"/>
    <mergeCell ref="A149:A154"/>
    <mergeCell ref="A155:A159"/>
    <mergeCell ref="A161:A165"/>
    <mergeCell ref="A167:A1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16.13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1386</v>
      </c>
      <c r="B2" s="425"/>
      <c r="C2" s="532"/>
      <c r="D2" s="547"/>
      <c r="E2" s="548"/>
      <c r="F2" s="549">
        <v>220.0</v>
      </c>
      <c r="G2" s="550" t="s">
        <v>2179</v>
      </c>
      <c r="H2" s="556"/>
      <c r="I2" s="569"/>
    </row>
    <row r="3">
      <c r="A3" s="265"/>
      <c r="B3" s="510"/>
      <c r="C3" s="399"/>
      <c r="D3" s="366"/>
      <c r="E3" s="553"/>
      <c r="F3" s="554">
        <v>90.0</v>
      </c>
      <c r="G3" s="550" t="s">
        <v>2180</v>
      </c>
      <c r="H3" s="556"/>
      <c r="I3" s="552"/>
    </row>
    <row r="4">
      <c r="A4" s="265"/>
      <c r="B4" s="404"/>
      <c r="C4" s="414"/>
      <c r="D4" s="182"/>
      <c r="E4" s="557"/>
      <c r="F4" s="558"/>
      <c r="G4" s="550"/>
      <c r="H4" s="556"/>
      <c r="I4" s="569"/>
    </row>
    <row r="5">
      <c r="A5" s="265"/>
      <c r="B5" s="404"/>
      <c r="C5" s="399"/>
      <c r="D5" s="182"/>
      <c r="E5" s="557"/>
      <c r="F5" s="554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1391</v>
      </c>
      <c r="B8" s="425">
        <v>35900.0</v>
      </c>
      <c r="C8" s="401"/>
      <c r="D8" s="182"/>
      <c r="E8" s="557" t="s">
        <v>2181</v>
      </c>
      <c r="F8" s="549">
        <v>100.0</v>
      </c>
      <c r="G8" s="550" t="s">
        <v>2182</v>
      </c>
      <c r="H8" s="556"/>
      <c r="I8" s="552"/>
    </row>
    <row r="9">
      <c r="A9" s="265"/>
      <c r="B9" s="404">
        <v>15100.0</v>
      </c>
      <c r="C9" s="414"/>
      <c r="D9" s="182"/>
      <c r="E9" s="557" t="s">
        <v>2183</v>
      </c>
      <c r="F9" s="554"/>
      <c r="G9" s="550" t="s">
        <v>2184</v>
      </c>
      <c r="H9" s="556"/>
      <c r="I9" s="552"/>
    </row>
    <row r="10">
      <c r="A10" s="265"/>
      <c r="B10" s="339"/>
      <c r="C10" s="414"/>
      <c r="D10" s="182"/>
      <c r="E10" s="557"/>
      <c r="F10" s="554"/>
      <c r="G10" s="550"/>
      <c r="H10" s="556"/>
      <c r="I10" s="552"/>
    </row>
    <row r="11">
      <c r="A11" s="265"/>
      <c r="B11" s="404"/>
      <c r="C11" s="399"/>
      <c r="D11" s="182"/>
      <c r="E11" s="557"/>
      <c r="F11" s="554"/>
      <c r="G11" s="550"/>
      <c r="H11" s="556"/>
      <c r="I11" s="569"/>
    </row>
    <row r="12">
      <c r="A12" s="265"/>
      <c r="B12" s="419"/>
      <c r="C12" s="414"/>
      <c r="D12" s="182"/>
      <c r="E12" s="557"/>
      <c r="F12" s="554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69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1393</v>
      </c>
      <c r="B15" s="600"/>
      <c r="C15" s="421"/>
      <c r="D15" s="566"/>
      <c r="E15" s="567"/>
      <c r="F15" s="549">
        <v>380.0</v>
      </c>
      <c r="G15" s="550" t="s">
        <v>2108</v>
      </c>
      <c r="H15" s="581"/>
      <c r="I15" s="619"/>
      <c r="J15" s="603"/>
    </row>
    <row r="16">
      <c r="A16" s="265"/>
      <c r="B16" s="440"/>
      <c r="C16" s="414"/>
      <c r="D16" s="182"/>
      <c r="E16" s="557"/>
      <c r="F16" s="554">
        <v>100.0</v>
      </c>
      <c r="G16" s="557" t="s">
        <v>2105</v>
      </c>
      <c r="H16" s="556"/>
      <c r="I16" s="569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70"/>
      <c r="B19" s="404"/>
      <c r="C19" s="399"/>
      <c r="D19" s="182"/>
      <c r="E19" s="557"/>
      <c r="F19" s="558"/>
      <c r="G19" s="562"/>
      <c r="H19" s="599"/>
      <c r="I19" s="601"/>
    </row>
    <row r="20">
      <c r="A20" s="262" t="s">
        <v>1395</v>
      </c>
      <c r="B20" s="425"/>
      <c r="C20" s="401"/>
      <c r="D20" s="566"/>
      <c r="E20" s="567"/>
      <c r="F20" s="549"/>
      <c r="G20" s="550" t="s">
        <v>2185</v>
      </c>
      <c r="H20" s="556"/>
      <c r="I20" s="569"/>
    </row>
    <row r="21">
      <c r="A21" s="265"/>
      <c r="B21" s="404"/>
      <c r="C21" s="399"/>
      <c r="D21" s="182"/>
      <c r="E21" s="557"/>
      <c r="F21" s="554">
        <v>60.0</v>
      </c>
      <c r="G21" s="550" t="s">
        <v>2105</v>
      </c>
      <c r="H21" s="551"/>
      <c r="I21" s="569"/>
    </row>
    <row r="22">
      <c r="A22" s="265"/>
      <c r="B22" s="457"/>
      <c r="C22" s="399"/>
      <c r="D22" s="182"/>
      <c r="E22" s="557"/>
      <c r="F22" s="558"/>
      <c r="G22" s="555"/>
      <c r="H22" s="551"/>
      <c r="I22" s="569"/>
    </row>
    <row r="23">
      <c r="A23" s="265"/>
      <c r="B23" s="468"/>
      <c r="C23" s="399"/>
      <c r="D23" s="570"/>
      <c r="E23" s="557"/>
      <c r="F23" s="554"/>
      <c r="G23" s="550"/>
      <c r="H23" s="551"/>
      <c r="I23" s="569"/>
    </row>
    <row r="24">
      <c r="A24" s="265"/>
      <c r="B24" s="468"/>
      <c r="C24" s="399"/>
      <c r="D24" s="182"/>
      <c r="E24" s="557"/>
      <c r="F24" s="554"/>
      <c r="G24" s="555"/>
      <c r="H24" s="551"/>
      <c r="I24" s="569"/>
    </row>
    <row r="25">
      <c r="A25" s="270"/>
      <c r="B25" s="404"/>
      <c r="C25" s="399"/>
      <c r="D25" s="182"/>
      <c r="E25" s="557"/>
      <c r="F25" s="558"/>
      <c r="G25" s="562"/>
      <c r="H25" s="563"/>
      <c r="I25" s="601"/>
    </row>
    <row r="26">
      <c r="A26" s="262" t="s">
        <v>1399</v>
      </c>
      <c r="B26" s="425"/>
      <c r="C26" s="421"/>
      <c r="D26" s="182"/>
      <c r="E26" s="567"/>
      <c r="F26" s="571">
        <v>500.0</v>
      </c>
      <c r="G26" s="550" t="s">
        <v>2186</v>
      </c>
      <c r="H26" s="556"/>
      <c r="I26" s="569"/>
    </row>
    <row r="27">
      <c r="A27" s="265"/>
      <c r="B27" s="404"/>
      <c r="C27" s="399"/>
      <c r="D27" s="182"/>
      <c r="E27" s="557"/>
      <c r="F27" s="83"/>
      <c r="G27" s="550"/>
      <c r="H27" s="556"/>
      <c r="I27" s="569"/>
    </row>
    <row r="28">
      <c r="A28" s="265"/>
      <c r="B28" s="404"/>
      <c r="C28" s="400"/>
      <c r="D28" s="182"/>
      <c r="E28" s="557"/>
      <c r="F28" s="572"/>
      <c r="G28" s="573"/>
      <c r="H28" s="556"/>
      <c r="I28" s="552"/>
    </row>
    <row r="29">
      <c r="A29" s="265"/>
      <c r="B29" s="404"/>
      <c r="C29" s="400"/>
      <c r="D29" s="182"/>
      <c r="E29" s="557"/>
      <c r="F29" s="83"/>
      <c r="G29" s="550"/>
      <c r="H29" s="556"/>
      <c r="I29" s="552"/>
    </row>
    <row r="30">
      <c r="A30" s="265"/>
      <c r="B30" s="404"/>
      <c r="C30" s="400"/>
      <c r="D30" s="182"/>
      <c r="E30" s="557"/>
      <c r="F30" s="558"/>
      <c r="G30" s="550"/>
      <c r="H30" s="556"/>
      <c r="I30" s="552"/>
    </row>
    <row r="31">
      <c r="A31" s="270"/>
      <c r="B31" s="440"/>
      <c r="C31" s="400"/>
      <c r="D31" s="574"/>
      <c r="E31" s="557"/>
      <c r="F31" s="558"/>
      <c r="G31" s="575"/>
      <c r="H31" s="556"/>
      <c r="I31" s="552"/>
    </row>
    <row r="32">
      <c r="A32" s="437"/>
      <c r="B32" s="440"/>
      <c r="C32" s="400"/>
      <c r="D32" s="574"/>
      <c r="E32" s="557"/>
      <c r="F32" s="558"/>
      <c r="G32" s="573"/>
      <c r="H32" s="556"/>
      <c r="I32" s="569"/>
    </row>
    <row r="33">
      <c r="A33" s="437"/>
      <c r="B33" s="440"/>
      <c r="C33" s="400"/>
      <c r="D33" s="574"/>
      <c r="E33" s="557"/>
      <c r="F33" s="558"/>
      <c r="G33" s="573"/>
      <c r="H33" s="556"/>
      <c r="I33" s="569"/>
    </row>
    <row r="34">
      <c r="A34" s="437"/>
      <c r="B34" s="440"/>
      <c r="C34" s="400"/>
      <c r="D34" s="574"/>
      <c r="E34" s="557"/>
      <c r="F34" s="558"/>
      <c r="G34" s="573"/>
      <c r="H34" s="556"/>
      <c r="I34" s="552"/>
    </row>
    <row r="35">
      <c r="A35" s="262" t="s">
        <v>2187</v>
      </c>
      <c r="B35" s="425"/>
      <c r="C35" s="401"/>
      <c r="D35" s="566"/>
      <c r="E35" s="567"/>
      <c r="F35" s="549"/>
      <c r="G35" s="550" t="s">
        <v>2188</v>
      </c>
      <c r="H35" s="556"/>
      <c r="I35" s="552"/>
    </row>
    <row r="36">
      <c r="A36" s="265"/>
      <c r="B36" s="477"/>
      <c r="C36" s="400"/>
      <c r="D36" s="182"/>
      <c r="E36" s="576"/>
      <c r="F36" s="554"/>
      <c r="G36" s="550" t="s">
        <v>2189</v>
      </c>
      <c r="H36" s="551"/>
      <c r="I36" s="552"/>
    </row>
    <row r="37">
      <c r="A37" s="265"/>
      <c r="B37" s="477"/>
      <c r="C37" s="400"/>
      <c r="D37" s="182"/>
      <c r="E37" s="576"/>
      <c r="F37" s="554"/>
      <c r="G37" s="550"/>
      <c r="H37" s="556"/>
      <c r="I37" s="552"/>
    </row>
    <row r="38">
      <c r="A38" s="265"/>
      <c r="B38" s="477"/>
      <c r="C38" s="400"/>
      <c r="D38" s="182"/>
      <c r="E38" s="576"/>
      <c r="F38" s="554"/>
      <c r="G38" s="550"/>
      <c r="H38" s="556"/>
      <c r="I38" s="552"/>
    </row>
    <row r="39">
      <c r="A39" s="265"/>
      <c r="B39" s="477"/>
      <c r="C39" s="400"/>
      <c r="D39" s="182"/>
      <c r="E39" s="576"/>
      <c r="F39" s="558"/>
      <c r="G39" s="555"/>
      <c r="H39" s="551"/>
      <c r="I39" s="569"/>
    </row>
    <row r="40">
      <c r="A40" s="270"/>
      <c r="B40" s="478"/>
      <c r="C40" s="472"/>
      <c r="D40" s="577"/>
      <c r="E40" s="578"/>
      <c r="F40" s="561"/>
      <c r="G40" s="562"/>
      <c r="H40" s="563"/>
      <c r="I40" s="601"/>
    </row>
    <row r="41">
      <c r="A41" s="262" t="s">
        <v>1414</v>
      </c>
      <c r="B41" s="425"/>
      <c r="C41" s="401"/>
      <c r="D41" s="566"/>
      <c r="E41" s="550"/>
      <c r="F41" s="549"/>
      <c r="G41" s="550" t="s">
        <v>2190</v>
      </c>
      <c r="H41" s="620"/>
      <c r="I41" s="564"/>
      <c r="J41" s="603"/>
    </row>
    <row r="42">
      <c r="A42" s="265"/>
      <c r="B42" s="404"/>
      <c r="C42" s="399"/>
      <c r="D42" s="182"/>
      <c r="E42" s="550"/>
      <c r="F42" s="554">
        <v>200.0</v>
      </c>
      <c r="G42" s="550" t="s">
        <v>1975</v>
      </c>
      <c r="H42" s="556"/>
      <c r="I42" s="552"/>
    </row>
    <row r="43">
      <c r="A43" s="265"/>
      <c r="B43" s="440"/>
      <c r="C43" s="400"/>
      <c r="D43" s="182"/>
      <c r="E43" s="557"/>
      <c r="F43" s="558"/>
      <c r="G43" s="550" t="s">
        <v>2191</v>
      </c>
      <c r="H43" s="556"/>
      <c r="I43" s="552"/>
    </row>
    <row r="44">
      <c r="A44" s="265"/>
      <c r="B44" s="440"/>
      <c r="C44" s="400"/>
      <c r="D44" s="182"/>
      <c r="E44" s="576"/>
      <c r="F44" s="554"/>
      <c r="G44" s="550"/>
      <c r="H44" s="556"/>
      <c r="I44" s="552"/>
    </row>
    <row r="45">
      <c r="A45" s="265"/>
      <c r="B45" s="480"/>
      <c r="C45" s="400"/>
      <c r="D45" s="182"/>
      <c r="E45" s="576"/>
      <c r="F45" s="558"/>
      <c r="G45" s="555"/>
      <c r="H45" s="556"/>
      <c r="I45" s="552"/>
    </row>
    <row r="46">
      <c r="A46" s="270"/>
      <c r="B46" s="478"/>
      <c r="C46" s="472"/>
      <c r="D46" s="577"/>
      <c r="E46" s="578"/>
      <c r="F46" s="561"/>
      <c r="G46" s="562"/>
      <c r="H46" s="599"/>
      <c r="I46" s="564"/>
    </row>
    <row r="47">
      <c r="A47" s="262" t="s">
        <v>1417</v>
      </c>
      <c r="B47" s="425"/>
      <c r="C47" s="421"/>
      <c r="D47" s="566"/>
      <c r="E47" s="567"/>
      <c r="F47" s="549">
        <v>200.0</v>
      </c>
      <c r="G47" s="550" t="s">
        <v>2153</v>
      </c>
      <c r="H47" s="556"/>
      <c r="I47" s="552"/>
    </row>
    <row r="48">
      <c r="A48" s="265"/>
      <c r="B48" s="404"/>
      <c r="C48" s="399"/>
      <c r="D48" s="182"/>
      <c r="E48" s="557"/>
      <c r="F48" s="554">
        <v>250.0</v>
      </c>
      <c r="G48" s="550" t="s">
        <v>1975</v>
      </c>
      <c r="H48" s="556"/>
      <c r="I48" s="552"/>
    </row>
    <row r="49">
      <c r="A49" s="265"/>
      <c r="B49" s="440"/>
      <c r="C49" s="400"/>
      <c r="D49" s="182"/>
      <c r="E49" s="557"/>
      <c r="F49" s="554">
        <v>30.0</v>
      </c>
      <c r="G49" s="550" t="s">
        <v>1975</v>
      </c>
      <c r="H49" s="556"/>
      <c r="I49" s="552"/>
    </row>
    <row r="50">
      <c r="A50" s="265"/>
      <c r="B50" s="440"/>
      <c r="C50" s="400"/>
      <c r="D50" s="574"/>
      <c r="E50" s="576"/>
      <c r="F50" s="554"/>
      <c r="G50" s="550"/>
      <c r="H50" s="556"/>
      <c r="I50" s="552"/>
    </row>
    <row r="51">
      <c r="A51" s="265"/>
      <c r="B51" s="480"/>
      <c r="C51" s="400"/>
      <c r="D51" s="182"/>
      <c r="E51" s="576"/>
      <c r="F51" s="558"/>
      <c r="G51" s="555"/>
      <c r="H51" s="551"/>
      <c r="I51" s="569"/>
    </row>
    <row r="52">
      <c r="A52" s="270"/>
      <c r="B52" s="478"/>
      <c r="C52" s="472"/>
      <c r="D52" s="559"/>
      <c r="E52" s="560"/>
      <c r="F52" s="561"/>
      <c r="G52" s="562"/>
      <c r="H52" s="599"/>
      <c r="I52" s="564"/>
    </row>
    <row r="53">
      <c r="A53" s="262" t="s">
        <v>1418</v>
      </c>
      <c r="B53" s="425">
        <v>19800.0</v>
      </c>
      <c r="C53" s="421"/>
      <c r="D53" s="566"/>
      <c r="E53" s="567" t="s">
        <v>2192</v>
      </c>
      <c r="F53" s="549"/>
      <c r="G53" s="550" t="s">
        <v>2193</v>
      </c>
      <c r="H53" s="556"/>
      <c r="I53" s="569"/>
    </row>
    <row r="54">
      <c r="A54" s="265"/>
      <c r="B54" s="404"/>
      <c r="C54" s="399"/>
      <c r="D54" s="182"/>
      <c r="E54" s="557"/>
      <c r="F54" s="554">
        <v>30.0</v>
      </c>
      <c r="G54" s="550" t="s">
        <v>2194</v>
      </c>
      <c r="H54" s="551"/>
      <c r="I54" s="569"/>
    </row>
    <row r="55">
      <c r="A55" s="265"/>
      <c r="B55" s="404"/>
      <c r="C55" s="399"/>
      <c r="D55" s="182"/>
      <c r="E55" s="557"/>
      <c r="F55" s="554"/>
      <c r="G55" s="550"/>
      <c r="H55" s="556"/>
      <c r="I55" s="552"/>
    </row>
    <row r="56">
      <c r="A56" s="265"/>
      <c r="B56" s="404"/>
      <c r="C56" s="399"/>
      <c r="D56" s="182"/>
      <c r="E56" s="557"/>
      <c r="F56" s="554"/>
      <c r="G56" s="550"/>
      <c r="H56" s="556"/>
      <c r="I56" s="552"/>
    </row>
    <row r="57">
      <c r="A57" s="265"/>
      <c r="B57" s="440"/>
      <c r="C57" s="399"/>
      <c r="D57" s="182"/>
      <c r="E57" s="557"/>
      <c r="F57" s="558"/>
      <c r="G57" s="555"/>
      <c r="H57" s="551"/>
      <c r="I57" s="552"/>
    </row>
    <row r="58">
      <c r="A58" s="270"/>
      <c r="B58" s="470"/>
      <c r="C58" s="486"/>
      <c r="D58" s="559"/>
      <c r="E58" s="560"/>
      <c r="F58" s="561"/>
      <c r="G58" s="562"/>
      <c r="H58" s="563"/>
      <c r="I58" s="564"/>
    </row>
    <row r="59">
      <c r="A59" s="262" t="s">
        <v>1420</v>
      </c>
      <c r="B59" s="425"/>
      <c r="C59" s="421"/>
      <c r="D59" s="566"/>
      <c r="E59" s="567"/>
      <c r="F59" s="549">
        <v>100.0</v>
      </c>
      <c r="G59" s="550" t="s">
        <v>2153</v>
      </c>
      <c r="H59" s="551"/>
      <c r="I59" s="552"/>
    </row>
    <row r="60">
      <c r="A60" s="265"/>
      <c r="B60" s="404"/>
      <c r="C60" s="400"/>
      <c r="D60" s="182"/>
      <c r="E60" s="557"/>
      <c r="F60" s="554"/>
      <c r="G60" s="550" t="s">
        <v>2195</v>
      </c>
      <c r="H60" s="551"/>
      <c r="I60" s="552"/>
    </row>
    <row r="61">
      <c r="A61" s="265"/>
      <c r="B61" s="404"/>
      <c r="C61" s="400"/>
      <c r="D61" s="182"/>
      <c r="E61" s="557"/>
      <c r="F61" s="558"/>
      <c r="G61" s="555"/>
      <c r="H61" s="551"/>
      <c r="I61" s="552"/>
    </row>
    <row r="62">
      <c r="A62" s="265"/>
      <c r="B62" s="477"/>
      <c r="C62" s="400"/>
      <c r="D62" s="182"/>
      <c r="E62" s="576"/>
      <c r="F62" s="554"/>
      <c r="G62" s="550"/>
      <c r="H62" s="551"/>
      <c r="I62" s="552"/>
    </row>
    <row r="63">
      <c r="A63" s="265"/>
      <c r="B63" s="477"/>
      <c r="C63" s="400"/>
      <c r="D63" s="182"/>
      <c r="E63" s="576"/>
      <c r="F63" s="558"/>
      <c r="G63" s="555"/>
      <c r="H63" s="551"/>
      <c r="I63" s="552"/>
    </row>
    <row r="64">
      <c r="A64" s="270"/>
      <c r="B64" s="478"/>
      <c r="C64" s="472"/>
      <c r="D64" s="559"/>
      <c r="E64" s="560"/>
      <c r="F64" s="561"/>
      <c r="G64" s="562"/>
      <c r="H64" s="563"/>
      <c r="I64" s="564"/>
    </row>
    <row r="65">
      <c r="A65" s="262" t="s">
        <v>1421</v>
      </c>
      <c r="B65" s="404">
        <v>27720.0</v>
      </c>
      <c r="C65" s="414"/>
      <c r="D65" s="22"/>
      <c r="E65" s="567" t="s">
        <v>2192</v>
      </c>
      <c r="F65" s="554">
        <v>150.0</v>
      </c>
      <c r="G65" s="550" t="s">
        <v>2153</v>
      </c>
      <c r="H65" s="556"/>
      <c r="I65" s="552"/>
    </row>
    <row r="66">
      <c r="A66" s="265"/>
      <c r="B66" s="404"/>
      <c r="C66" s="399"/>
      <c r="D66" s="182"/>
      <c r="E66" s="557"/>
      <c r="F66" s="554">
        <v>220.0</v>
      </c>
      <c r="G66" s="550" t="s">
        <v>1975</v>
      </c>
      <c r="H66" s="556"/>
      <c r="I66" s="552"/>
    </row>
    <row r="67">
      <c r="A67" s="265"/>
      <c r="B67" s="404"/>
      <c r="C67" s="399"/>
      <c r="D67" s="182"/>
      <c r="E67" s="557"/>
      <c r="F67" s="558"/>
      <c r="G67" s="555"/>
      <c r="H67" s="551"/>
      <c r="I67" s="552"/>
    </row>
    <row r="68">
      <c r="A68" s="265"/>
      <c r="B68" s="404"/>
      <c r="C68" s="399"/>
      <c r="D68" s="182"/>
      <c r="E68" s="557"/>
      <c r="F68" s="554"/>
      <c r="G68" s="550"/>
      <c r="H68" s="556"/>
      <c r="I68" s="552"/>
    </row>
    <row r="69">
      <c r="A69" s="265"/>
      <c r="B69" s="404"/>
      <c r="C69" s="400"/>
      <c r="D69" s="182"/>
      <c r="E69" s="557"/>
      <c r="F69" s="558"/>
      <c r="G69" s="555"/>
      <c r="H69" s="551"/>
      <c r="I69" s="552"/>
    </row>
    <row r="70">
      <c r="A70" s="270"/>
      <c r="B70" s="404"/>
      <c r="C70" s="399"/>
      <c r="D70" s="182"/>
      <c r="E70" s="557"/>
      <c r="F70" s="561"/>
      <c r="G70" s="562"/>
      <c r="H70" s="563"/>
      <c r="I70" s="564"/>
    </row>
    <row r="71">
      <c r="A71" s="262" t="s">
        <v>2196</v>
      </c>
      <c r="B71" s="425"/>
      <c r="C71" s="401"/>
      <c r="D71" s="566"/>
      <c r="E71" s="567"/>
      <c r="F71" s="554">
        <v>100.0</v>
      </c>
      <c r="G71" s="550" t="s">
        <v>2153</v>
      </c>
      <c r="H71" s="604"/>
      <c r="I71" s="605"/>
      <c r="J71" s="340"/>
    </row>
    <row r="72">
      <c r="A72" s="265"/>
      <c r="B72" s="404"/>
      <c r="C72" s="400"/>
      <c r="D72" s="182"/>
      <c r="E72" s="557"/>
      <c r="F72" s="554"/>
      <c r="G72" s="550"/>
      <c r="H72" s="556"/>
      <c r="I72" s="552"/>
    </row>
    <row r="73">
      <c r="A73" s="265"/>
      <c r="B73" s="404"/>
      <c r="C73" s="400"/>
      <c r="D73" s="182"/>
      <c r="E73" s="557"/>
      <c r="F73" s="554"/>
      <c r="G73" s="550" t="s">
        <v>2197</v>
      </c>
      <c r="H73" s="551"/>
      <c r="I73" s="552"/>
    </row>
    <row r="74">
      <c r="A74" s="265"/>
      <c r="B74" s="480"/>
      <c r="C74" s="400"/>
      <c r="D74" s="182"/>
      <c r="E74" s="576"/>
      <c r="F74" s="554"/>
      <c r="G74" s="550" t="s">
        <v>2198</v>
      </c>
      <c r="H74" s="551"/>
      <c r="I74" s="552"/>
    </row>
    <row r="75">
      <c r="A75" s="265"/>
      <c r="B75" s="480"/>
      <c r="C75" s="400"/>
      <c r="D75" s="574"/>
      <c r="E75" s="576"/>
      <c r="F75" s="554">
        <v>150.0</v>
      </c>
      <c r="G75" s="550" t="s">
        <v>1965</v>
      </c>
      <c r="H75" s="551"/>
      <c r="I75" s="552"/>
    </row>
    <row r="76">
      <c r="A76" s="270"/>
      <c r="B76" s="478"/>
      <c r="C76" s="472"/>
      <c r="D76" s="577"/>
      <c r="E76" s="578"/>
      <c r="F76" s="561"/>
      <c r="G76" s="562"/>
      <c r="H76" s="563"/>
      <c r="I76" s="564"/>
    </row>
    <row r="77">
      <c r="A77" s="262" t="s">
        <v>1429</v>
      </c>
      <c r="B77" s="425"/>
      <c r="C77" s="401"/>
      <c r="D77" s="566"/>
      <c r="E77" s="567"/>
      <c r="F77" s="549"/>
      <c r="G77" s="550"/>
      <c r="H77" s="551"/>
      <c r="I77" s="552"/>
    </row>
    <row r="78">
      <c r="A78" s="265"/>
      <c r="B78" s="404"/>
      <c r="C78" s="400"/>
      <c r="D78" s="182"/>
      <c r="E78" s="567"/>
      <c r="F78" s="554"/>
      <c r="G78" s="550"/>
      <c r="H78" s="551"/>
      <c r="I78" s="552"/>
    </row>
    <row r="79">
      <c r="A79" s="265"/>
      <c r="B79" s="404"/>
      <c r="C79" s="399"/>
      <c r="D79" s="182"/>
      <c r="E79" s="557"/>
      <c r="F79" s="558"/>
      <c r="G79" s="555"/>
      <c r="H79" s="551"/>
      <c r="I79" s="552"/>
    </row>
    <row r="80">
      <c r="A80" s="265"/>
      <c r="B80" s="440"/>
      <c r="C80" s="399"/>
      <c r="D80" s="182"/>
      <c r="E80" s="557"/>
      <c r="F80" s="554"/>
      <c r="G80" s="550"/>
      <c r="H80" s="551"/>
      <c r="I80" s="552"/>
    </row>
    <row r="81">
      <c r="A81" s="265"/>
      <c r="B81" s="440"/>
      <c r="C81" s="400"/>
      <c r="D81" s="574"/>
      <c r="E81" s="557"/>
      <c r="F81" s="558"/>
      <c r="G81" s="555"/>
      <c r="H81" s="551"/>
      <c r="I81" s="552"/>
    </row>
    <row r="82">
      <c r="A82" s="270"/>
      <c r="B82" s="478"/>
      <c r="C82" s="472"/>
      <c r="D82" s="577"/>
      <c r="E82" s="578"/>
      <c r="F82" s="561"/>
      <c r="G82" s="562"/>
      <c r="H82" s="563"/>
      <c r="I82" s="564"/>
    </row>
    <row r="83">
      <c r="A83" s="262" t="s">
        <v>1442</v>
      </c>
      <c r="B83" s="461"/>
      <c r="C83" s="421"/>
      <c r="D83" s="566"/>
      <c r="E83" s="567"/>
      <c r="F83" s="549">
        <v>290.0</v>
      </c>
      <c r="G83" s="550" t="s">
        <v>2199</v>
      </c>
      <c r="H83" s="556"/>
      <c r="I83" s="569"/>
    </row>
    <row r="84">
      <c r="A84" s="265"/>
      <c r="B84" s="404"/>
      <c r="C84" s="400"/>
      <c r="D84" s="182"/>
      <c r="E84" s="557"/>
      <c r="F84" s="554"/>
      <c r="G84" s="550"/>
      <c r="H84" s="551"/>
      <c r="I84" s="552"/>
    </row>
    <row r="85">
      <c r="A85" s="265"/>
      <c r="B85" s="440"/>
      <c r="C85" s="400"/>
      <c r="D85" s="182"/>
      <c r="E85" s="557"/>
      <c r="F85" s="558"/>
      <c r="G85" s="555"/>
      <c r="H85" s="551"/>
      <c r="I85" s="552"/>
    </row>
    <row r="86">
      <c r="A86" s="265"/>
      <c r="B86" s="480"/>
      <c r="C86" s="400"/>
      <c r="D86" s="574"/>
      <c r="E86" s="576"/>
      <c r="F86" s="554"/>
      <c r="G86" s="550"/>
      <c r="H86" s="551"/>
      <c r="I86" s="552"/>
    </row>
    <row r="87">
      <c r="A87" s="265"/>
      <c r="B87" s="480"/>
      <c r="C87" s="400"/>
      <c r="D87" s="574"/>
      <c r="E87" s="576"/>
      <c r="F87" s="558"/>
      <c r="G87" s="555"/>
      <c r="H87" s="551"/>
      <c r="I87" s="552"/>
    </row>
    <row r="88">
      <c r="A88" s="270"/>
      <c r="B88" s="478"/>
      <c r="C88" s="472"/>
      <c r="D88" s="577"/>
      <c r="E88" s="578"/>
      <c r="F88" s="561"/>
      <c r="G88" s="562"/>
      <c r="H88" s="563"/>
      <c r="I88" s="564"/>
    </row>
    <row r="89">
      <c r="A89" s="262" t="s">
        <v>1446</v>
      </c>
      <c r="B89" s="425"/>
      <c r="C89" s="421"/>
      <c r="D89" s="566"/>
      <c r="E89" s="557"/>
      <c r="F89" s="549">
        <v>230.0</v>
      </c>
      <c r="G89" s="550" t="s">
        <v>2097</v>
      </c>
      <c r="H89" s="556"/>
      <c r="I89" s="552"/>
    </row>
    <row r="90">
      <c r="A90" s="265"/>
      <c r="B90" s="404"/>
      <c r="C90" s="400"/>
      <c r="D90" s="182"/>
      <c r="E90" s="557"/>
      <c r="F90" s="554">
        <v>130.0</v>
      </c>
      <c r="G90" s="550" t="s">
        <v>1965</v>
      </c>
      <c r="H90" s="551"/>
      <c r="I90" s="552"/>
    </row>
    <row r="91">
      <c r="A91" s="265"/>
      <c r="B91" s="480"/>
      <c r="C91" s="400"/>
      <c r="D91" s="182"/>
      <c r="E91" s="557"/>
      <c r="F91" s="558"/>
      <c r="G91" s="555"/>
      <c r="H91" s="551"/>
      <c r="I91" s="552"/>
    </row>
    <row r="92">
      <c r="A92" s="265"/>
      <c r="B92" s="480"/>
      <c r="C92" s="400"/>
      <c r="D92" s="182"/>
      <c r="E92" s="576"/>
      <c r="F92" s="558"/>
      <c r="G92" s="555"/>
      <c r="H92" s="551"/>
      <c r="I92" s="552"/>
    </row>
    <row r="93">
      <c r="A93" s="265"/>
      <c r="B93" s="480"/>
      <c r="C93" s="400"/>
      <c r="D93" s="182"/>
      <c r="E93" s="576"/>
      <c r="F93" s="558"/>
      <c r="G93" s="555"/>
      <c r="H93" s="551"/>
      <c r="I93" s="552"/>
    </row>
    <row r="94">
      <c r="A94" s="270"/>
      <c r="B94" s="478"/>
      <c r="C94" s="472"/>
      <c r="D94" s="577"/>
      <c r="E94" s="578"/>
      <c r="F94" s="561"/>
      <c r="G94" s="562"/>
      <c r="H94" s="563"/>
      <c r="I94" s="564"/>
    </row>
    <row r="95">
      <c r="A95" s="262" t="s">
        <v>1451</v>
      </c>
      <c r="B95" s="425"/>
      <c r="C95" s="421"/>
      <c r="D95" s="566"/>
      <c r="E95" s="567"/>
      <c r="F95" s="549">
        <v>210.0</v>
      </c>
      <c r="G95" s="550" t="s">
        <v>2199</v>
      </c>
      <c r="H95" s="551"/>
      <c r="I95" s="552"/>
    </row>
    <row r="96">
      <c r="A96" s="265"/>
      <c r="B96" s="404"/>
      <c r="C96" s="399"/>
      <c r="D96" s="182"/>
      <c r="E96" s="557"/>
      <c r="F96" s="554"/>
      <c r="G96" s="550"/>
      <c r="H96" s="551"/>
      <c r="I96" s="552"/>
    </row>
    <row r="97">
      <c r="A97" s="265"/>
      <c r="B97" s="404"/>
      <c r="C97" s="399"/>
      <c r="D97" s="182"/>
      <c r="E97" s="557"/>
      <c r="F97" s="558"/>
      <c r="G97" s="555"/>
      <c r="H97" s="551"/>
      <c r="I97" s="552"/>
    </row>
    <row r="98">
      <c r="A98" s="265"/>
      <c r="B98" s="477"/>
      <c r="C98" s="400"/>
      <c r="D98" s="182"/>
      <c r="E98" s="557"/>
      <c r="F98" s="554"/>
      <c r="G98" s="550"/>
      <c r="H98" s="551"/>
      <c r="I98" s="552"/>
    </row>
    <row r="99">
      <c r="A99" s="265"/>
      <c r="B99" s="477"/>
      <c r="C99" s="400"/>
      <c r="D99" s="182"/>
      <c r="E99" s="557"/>
      <c r="F99" s="554"/>
      <c r="G99" s="550"/>
      <c r="H99" s="551"/>
      <c r="I99" s="552"/>
    </row>
    <row r="100">
      <c r="A100" s="270"/>
      <c r="B100" s="478"/>
      <c r="C100" s="472"/>
      <c r="D100" s="559"/>
      <c r="E100" s="560"/>
      <c r="F100" s="561"/>
      <c r="G100" s="562"/>
      <c r="H100" s="563"/>
      <c r="I100" s="564"/>
    </row>
    <row r="101">
      <c r="A101" s="262" t="s">
        <v>1453</v>
      </c>
      <c r="B101" s="425"/>
      <c r="C101" s="399"/>
      <c r="D101" s="182"/>
      <c r="E101" s="557"/>
      <c r="F101" s="549">
        <v>150.0</v>
      </c>
      <c r="G101" s="550" t="s">
        <v>2097</v>
      </c>
      <c r="H101" s="551"/>
      <c r="I101" s="552"/>
    </row>
    <row r="102">
      <c r="A102" s="265"/>
      <c r="B102" s="404"/>
      <c r="C102" s="399"/>
      <c r="D102" s="182"/>
      <c r="E102" s="557"/>
      <c r="F102" s="554">
        <v>250.0</v>
      </c>
      <c r="G102" s="550" t="s">
        <v>1965</v>
      </c>
      <c r="H102" s="551"/>
      <c r="I102" s="552"/>
    </row>
    <row r="103">
      <c r="A103" s="265"/>
      <c r="B103" s="404"/>
      <c r="C103" s="489"/>
      <c r="D103" s="579"/>
      <c r="E103" s="580"/>
      <c r="F103" s="554"/>
      <c r="G103" s="550"/>
      <c r="H103" s="551"/>
      <c r="I103" s="552"/>
    </row>
    <row r="104">
      <c r="A104" s="265"/>
      <c r="B104" s="404"/>
      <c r="C104" s="400"/>
      <c r="D104" s="182"/>
      <c r="E104" s="557"/>
      <c r="F104" s="554"/>
      <c r="G104" s="550"/>
      <c r="H104" s="551"/>
      <c r="I104" s="552"/>
    </row>
    <row r="105">
      <c r="A105" s="265"/>
      <c r="B105" s="477"/>
      <c r="C105" s="400"/>
      <c r="D105" s="182"/>
      <c r="E105" s="576"/>
      <c r="F105" s="558"/>
      <c r="G105" s="555"/>
      <c r="H105" s="551"/>
      <c r="I105" s="552"/>
    </row>
    <row r="106">
      <c r="A106" s="270"/>
      <c r="B106" s="478"/>
      <c r="C106" s="472"/>
      <c r="D106" s="559"/>
      <c r="E106" s="560"/>
      <c r="F106" s="561"/>
      <c r="G106" s="562"/>
      <c r="H106" s="563"/>
      <c r="I106" s="564"/>
    </row>
    <row r="107">
      <c r="A107" s="262" t="s">
        <v>2200</v>
      </c>
      <c r="B107" s="425"/>
      <c r="C107" s="414"/>
      <c r="D107" s="182"/>
      <c r="E107" s="557"/>
      <c r="F107" s="549">
        <v>240.0</v>
      </c>
      <c r="G107" s="550" t="s">
        <v>2000</v>
      </c>
      <c r="H107" s="551"/>
      <c r="I107" s="552"/>
    </row>
    <row r="108">
      <c r="A108" s="265"/>
      <c r="B108" s="404"/>
      <c r="C108" s="400"/>
      <c r="D108" s="182"/>
      <c r="E108" s="557"/>
      <c r="F108" s="554"/>
      <c r="G108" s="550"/>
      <c r="H108" s="551"/>
      <c r="I108" s="552"/>
    </row>
    <row r="109">
      <c r="A109" s="265"/>
      <c r="B109" s="477"/>
      <c r="C109" s="400"/>
      <c r="D109" s="182"/>
      <c r="E109" s="557"/>
      <c r="F109" s="558"/>
      <c r="G109" s="555"/>
      <c r="H109" s="551"/>
      <c r="I109" s="552"/>
    </row>
    <row r="110">
      <c r="A110" s="265"/>
      <c r="B110" s="480"/>
      <c r="C110" s="400"/>
      <c r="D110" s="182"/>
      <c r="E110" s="557"/>
      <c r="F110" s="554"/>
      <c r="G110" s="550"/>
      <c r="H110" s="551"/>
      <c r="I110" s="552"/>
    </row>
    <row r="111">
      <c r="A111" s="265"/>
      <c r="B111" s="480"/>
      <c r="C111" s="400"/>
      <c r="D111" s="574"/>
      <c r="E111" s="576"/>
      <c r="F111" s="558"/>
      <c r="G111" s="550"/>
      <c r="H111" s="551"/>
      <c r="I111" s="552"/>
    </row>
    <row r="112">
      <c r="A112" s="270"/>
      <c r="B112" s="478"/>
      <c r="C112" s="472"/>
      <c r="D112" s="577"/>
      <c r="E112" s="578"/>
      <c r="F112" s="561"/>
      <c r="G112" s="562"/>
      <c r="H112" s="563"/>
      <c r="I112" s="564"/>
    </row>
    <row r="113">
      <c r="A113" s="262" t="s">
        <v>1458</v>
      </c>
      <c r="B113" s="425"/>
      <c r="C113" s="401"/>
      <c r="D113" s="566"/>
      <c r="E113" s="567"/>
      <c r="F113" s="549"/>
      <c r="G113" s="550" t="s">
        <v>2201</v>
      </c>
      <c r="H113" s="556"/>
      <c r="I113" s="552"/>
    </row>
    <row r="114">
      <c r="A114" s="265"/>
      <c r="B114" s="477"/>
      <c r="C114" s="400"/>
      <c r="D114" s="182"/>
      <c r="E114" s="557"/>
      <c r="F114" s="554">
        <v>200.0</v>
      </c>
      <c r="G114" s="550" t="s">
        <v>1965</v>
      </c>
      <c r="H114" s="551"/>
      <c r="I114" s="552"/>
    </row>
    <row r="115">
      <c r="A115" s="265"/>
      <c r="B115" s="477"/>
      <c r="C115" s="400"/>
      <c r="D115" s="182"/>
      <c r="E115" s="557"/>
      <c r="F115" s="554"/>
      <c r="G115" s="550"/>
      <c r="H115" s="551"/>
      <c r="I115" s="552"/>
    </row>
    <row r="116">
      <c r="A116" s="265"/>
      <c r="B116" s="477"/>
      <c r="C116" s="400"/>
      <c r="D116" s="182"/>
      <c r="E116" s="557"/>
      <c r="F116" s="554"/>
      <c r="G116" s="550"/>
      <c r="H116" s="551"/>
      <c r="I116" s="552"/>
    </row>
    <row r="117">
      <c r="A117" s="265"/>
      <c r="B117" s="477"/>
      <c r="C117" s="400"/>
      <c r="D117" s="182"/>
      <c r="E117" s="576"/>
      <c r="F117" s="558"/>
      <c r="G117" s="555"/>
      <c r="H117" s="551"/>
      <c r="I117" s="552"/>
    </row>
    <row r="118">
      <c r="A118" s="270"/>
      <c r="B118" s="478"/>
      <c r="C118" s="472"/>
      <c r="D118" s="577"/>
      <c r="E118" s="578"/>
      <c r="F118" s="561"/>
      <c r="G118" s="562"/>
      <c r="H118" s="563"/>
      <c r="I118" s="564"/>
    </row>
    <row r="119">
      <c r="A119" s="262" t="s">
        <v>1459</v>
      </c>
      <c r="B119" s="425"/>
      <c r="C119" s="401">
        <v>175450.0</v>
      </c>
      <c r="D119" s="182"/>
      <c r="E119" s="557" t="s">
        <v>79</v>
      </c>
      <c r="F119" s="549"/>
      <c r="G119" s="550" t="s">
        <v>2202</v>
      </c>
      <c r="H119" s="556"/>
      <c r="I119" s="552"/>
    </row>
    <row r="120">
      <c r="A120" s="265"/>
      <c r="B120" s="404"/>
      <c r="C120" s="399">
        <v>80000.0</v>
      </c>
      <c r="D120" s="182"/>
      <c r="E120" s="557" t="s">
        <v>2203</v>
      </c>
      <c r="F120" s="554">
        <v>100.0</v>
      </c>
      <c r="G120" s="550" t="s">
        <v>2204</v>
      </c>
      <c r="H120" s="551"/>
      <c r="I120" s="552"/>
    </row>
    <row r="121">
      <c r="A121" s="265"/>
      <c r="B121" s="404"/>
      <c r="C121" s="400"/>
      <c r="D121" s="182"/>
      <c r="E121" s="557"/>
      <c r="F121" s="554"/>
      <c r="G121" s="550"/>
      <c r="H121" s="551"/>
      <c r="I121" s="552"/>
    </row>
    <row r="122">
      <c r="A122" s="265"/>
      <c r="B122" s="477"/>
      <c r="C122" s="400"/>
      <c r="D122" s="182"/>
      <c r="E122" s="557"/>
      <c r="F122" s="554"/>
      <c r="G122" s="550"/>
      <c r="H122" s="581"/>
      <c r="I122" s="582"/>
    </row>
    <row r="123">
      <c r="A123" s="265"/>
      <c r="B123" s="477"/>
      <c r="C123" s="400"/>
      <c r="D123" s="182"/>
      <c r="E123" s="576"/>
      <c r="F123" s="558"/>
      <c r="G123" s="555"/>
      <c r="H123" s="551"/>
      <c r="I123" s="552"/>
    </row>
    <row r="124">
      <c r="A124" s="270"/>
      <c r="B124" s="478"/>
      <c r="C124" s="472"/>
      <c r="D124" s="577"/>
      <c r="E124" s="578"/>
      <c r="F124" s="561"/>
      <c r="G124" s="562"/>
      <c r="H124" s="563"/>
      <c r="I124" s="564"/>
    </row>
    <row r="125">
      <c r="A125" s="262" t="s">
        <v>1463</v>
      </c>
      <c r="B125" s="425"/>
      <c r="C125" s="421"/>
      <c r="D125" s="566"/>
      <c r="E125" s="567"/>
      <c r="F125" s="549"/>
      <c r="G125" s="550" t="s">
        <v>2205</v>
      </c>
      <c r="H125" s="556"/>
      <c r="I125" s="569"/>
    </row>
    <row r="126">
      <c r="A126" s="265"/>
      <c r="B126" s="404"/>
      <c r="C126" s="399"/>
      <c r="D126" s="182"/>
      <c r="E126" s="576"/>
      <c r="F126" s="554"/>
      <c r="G126" s="550" t="s">
        <v>2206</v>
      </c>
      <c r="H126" s="551"/>
      <c r="I126" s="569"/>
    </row>
    <row r="127">
      <c r="A127" s="265"/>
      <c r="B127" s="404"/>
      <c r="C127" s="400"/>
      <c r="D127" s="182"/>
      <c r="E127" s="576"/>
      <c r="F127" s="554"/>
      <c r="G127" s="550" t="s">
        <v>2207</v>
      </c>
      <c r="H127" s="551"/>
      <c r="I127" s="552"/>
    </row>
    <row r="128">
      <c r="A128" s="265"/>
      <c r="B128" s="404"/>
      <c r="C128" s="400"/>
      <c r="D128" s="182"/>
      <c r="E128" s="576"/>
      <c r="F128" s="558"/>
      <c r="G128" s="555"/>
      <c r="H128" s="551"/>
      <c r="I128" s="552"/>
    </row>
    <row r="129">
      <c r="A129" s="265"/>
      <c r="B129" s="404"/>
      <c r="C129" s="399"/>
      <c r="D129" s="182"/>
      <c r="E129" s="576"/>
      <c r="F129" s="558"/>
      <c r="G129" s="555"/>
      <c r="H129" s="551"/>
      <c r="I129" s="552"/>
    </row>
    <row r="130">
      <c r="A130" s="270"/>
      <c r="B130" s="478"/>
      <c r="C130" s="472"/>
      <c r="D130" s="559"/>
      <c r="E130" s="560"/>
      <c r="F130" s="561"/>
      <c r="G130" s="562"/>
      <c r="H130" s="563"/>
      <c r="I130" s="564"/>
    </row>
    <row r="131">
      <c r="A131" s="262" t="s">
        <v>1464</v>
      </c>
      <c r="B131" s="425"/>
      <c r="C131" s="401"/>
      <c r="D131" s="566"/>
      <c r="E131" s="567"/>
      <c r="F131" s="549">
        <v>250.0</v>
      </c>
      <c r="G131" s="550" t="s">
        <v>2097</v>
      </c>
      <c r="H131" s="556"/>
      <c r="I131" s="569"/>
    </row>
    <row r="132">
      <c r="A132" s="265"/>
      <c r="B132" s="477"/>
      <c r="C132" s="399"/>
      <c r="D132" s="182"/>
      <c r="E132" s="557"/>
      <c r="F132" s="554"/>
      <c r="G132" s="550" t="s">
        <v>2208</v>
      </c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65"/>
      <c r="B134" s="477"/>
      <c r="C134" s="400"/>
      <c r="D134" s="182"/>
      <c r="E134" s="576"/>
      <c r="F134" s="554"/>
      <c r="G134" s="550"/>
      <c r="H134" s="551"/>
      <c r="I134" s="552"/>
    </row>
    <row r="135">
      <c r="A135" s="265"/>
      <c r="B135" s="477"/>
      <c r="C135" s="400"/>
      <c r="D135" s="182"/>
      <c r="E135" s="576"/>
      <c r="F135" s="558"/>
      <c r="G135" s="555"/>
      <c r="H135" s="551"/>
      <c r="I135" s="552"/>
    </row>
    <row r="136">
      <c r="A136" s="270"/>
      <c r="B136" s="478"/>
      <c r="C136" s="472"/>
      <c r="D136" s="577"/>
      <c r="E136" s="578"/>
      <c r="F136" s="561"/>
      <c r="G136" s="562"/>
      <c r="H136" s="563"/>
      <c r="I136" s="564"/>
    </row>
    <row r="137">
      <c r="A137" s="262" t="s">
        <v>1465</v>
      </c>
      <c r="B137" s="425"/>
      <c r="C137" s="401"/>
      <c r="D137" s="566"/>
      <c r="E137" s="550"/>
      <c r="F137" s="549">
        <v>170.0</v>
      </c>
      <c r="G137" s="550" t="s">
        <v>2097</v>
      </c>
      <c r="H137" s="551"/>
      <c r="I137" s="552"/>
    </row>
    <row r="138">
      <c r="A138" s="265"/>
      <c r="B138" s="477"/>
      <c r="C138" s="399"/>
      <c r="D138" s="182"/>
      <c r="E138" s="576"/>
      <c r="F138" s="554">
        <v>200.0</v>
      </c>
      <c r="G138" s="550" t="s">
        <v>1965</v>
      </c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65"/>
      <c r="B140" s="404"/>
      <c r="C140" s="400"/>
      <c r="D140" s="182"/>
      <c r="E140" s="576"/>
      <c r="F140" s="554"/>
      <c r="G140" s="550"/>
      <c r="H140" s="551"/>
      <c r="I140" s="552"/>
    </row>
    <row r="141">
      <c r="A141" s="265"/>
      <c r="B141" s="477"/>
      <c r="C141" s="400"/>
      <c r="D141" s="182"/>
      <c r="E141" s="576"/>
      <c r="F141" s="558"/>
      <c r="G141" s="555"/>
      <c r="H141" s="551"/>
      <c r="I141" s="552"/>
    </row>
    <row r="142">
      <c r="A142" s="270"/>
      <c r="B142" s="478"/>
      <c r="C142" s="472"/>
      <c r="D142" s="577"/>
      <c r="E142" s="578"/>
      <c r="F142" s="561"/>
      <c r="G142" s="562"/>
      <c r="H142" s="563"/>
      <c r="I142" s="564"/>
    </row>
    <row r="143">
      <c r="A143" s="280" t="s">
        <v>2209</v>
      </c>
      <c r="B143" s="425"/>
      <c r="C143" s="401"/>
      <c r="D143" s="566"/>
      <c r="E143" s="557"/>
      <c r="F143" s="549">
        <v>180.0</v>
      </c>
      <c r="G143" s="550" t="s">
        <v>2210</v>
      </c>
      <c r="H143" s="556"/>
      <c r="I143" s="569"/>
    </row>
    <row r="144">
      <c r="A144" s="265"/>
      <c r="B144" s="404"/>
      <c r="C144" s="399"/>
      <c r="D144" s="182"/>
      <c r="E144" s="557"/>
      <c r="F144" s="554">
        <v>90.0</v>
      </c>
      <c r="G144" s="550"/>
      <c r="H144" s="556">
        <v>-80.0</v>
      </c>
      <c r="I144" s="569">
        <v>-80.0</v>
      </c>
      <c r="J144" s="2" t="s">
        <v>2174</v>
      </c>
    </row>
    <row r="145">
      <c r="A145" s="265"/>
      <c r="B145" s="404"/>
      <c r="C145" s="399"/>
      <c r="D145" s="182"/>
      <c r="E145" s="557"/>
      <c r="F145" s="554">
        <v>110.0</v>
      </c>
      <c r="G145" s="550" t="s">
        <v>2211</v>
      </c>
      <c r="H145" s="556">
        <v>-50.0</v>
      </c>
      <c r="I145" s="552"/>
      <c r="J145" s="2" t="s">
        <v>2175</v>
      </c>
    </row>
    <row r="146">
      <c r="A146" s="265"/>
      <c r="B146" s="404"/>
      <c r="C146" s="399"/>
      <c r="D146" s="182"/>
      <c r="E146" s="557"/>
      <c r="F146" s="554"/>
      <c r="G146" s="550"/>
      <c r="H146" s="556">
        <v>-90.0</v>
      </c>
      <c r="I146" s="552"/>
      <c r="J146" s="2" t="s">
        <v>2176</v>
      </c>
    </row>
    <row r="147">
      <c r="A147" s="270"/>
      <c r="B147" s="404"/>
      <c r="C147" s="399"/>
      <c r="D147" s="182"/>
      <c r="E147" s="557"/>
      <c r="F147" s="554"/>
      <c r="G147" s="555"/>
      <c r="H147" s="551"/>
      <c r="I147" s="569">
        <v>1420000.0</v>
      </c>
      <c r="J147" s="2" t="s">
        <v>2177</v>
      </c>
    </row>
    <row r="148">
      <c r="A148" s="452"/>
      <c r="B148" s="404"/>
      <c r="C148" s="399"/>
      <c r="D148" s="182"/>
      <c r="E148" s="557"/>
      <c r="F148" s="554"/>
      <c r="G148" s="562"/>
      <c r="H148" s="563"/>
      <c r="I148" s="564"/>
    </row>
    <row r="149">
      <c r="A149" s="280"/>
      <c r="B149" s="461"/>
      <c r="C149" s="421"/>
      <c r="D149" s="583"/>
      <c r="E149" s="584"/>
      <c r="F149" s="549"/>
      <c r="G149" s="550"/>
      <c r="H149" s="556"/>
      <c r="I149" s="552"/>
    </row>
    <row r="150">
      <c r="A150" s="265"/>
      <c r="B150" s="404"/>
      <c r="C150" s="399"/>
      <c r="D150" s="182"/>
      <c r="E150" s="557"/>
      <c r="F150" s="554"/>
      <c r="G150" s="550"/>
      <c r="H150" s="551"/>
      <c r="I150" s="552"/>
    </row>
    <row r="151">
      <c r="A151" s="265"/>
      <c r="B151" s="477"/>
      <c r="C151" s="399"/>
      <c r="D151" s="182"/>
      <c r="E151" s="557"/>
      <c r="F151" s="554"/>
      <c r="G151" s="555"/>
      <c r="H151" s="551"/>
      <c r="I151" s="552"/>
    </row>
    <row r="152">
      <c r="A152" s="265"/>
      <c r="B152" s="477"/>
      <c r="C152" s="399"/>
      <c r="D152" s="182"/>
      <c r="E152" s="576"/>
      <c r="F152" s="554"/>
      <c r="G152" s="550"/>
      <c r="H152" s="551"/>
      <c r="I152" s="552"/>
    </row>
    <row r="153">
      <c r="A153" s="265"/>
      <c r="B153" s="404"/>
      <c r="C153" s="399"/>
      <c r="D153" s="182"/>
      <c r="E153" s="576"/>
      <c r="F153" s="554"/>
      <c r="G153" s="555"/>
      <c r="H153" s="551"/>
      <c r="I153" s="552"/>
    </row>
    <row r="154">
      <c r="A154" s="270"/>
      <c r="B154" s="478"/>
      <c r="C154" s="462"/>
      <c r="D154" s="577"/>
      <c r="E154" s="560"/>
      <c r="F154" s="561"/>
      <c r="G154" s="562"/>
      <c r="H154" s="563"/>
      <c r="I154" s="564"/>
    </row>
    <row r="155">
      <c r="A155" s="299"/>
      <c r="B155" s="440"/>
      <c r="C155" s="462"/>
      <c r="D155" s="182"/>
      <c r="E155" s="557"/>
      <c r="F155" s="554"/>
      <c r="G155" s="550"/>
      <c r="H155" s="551"/>
      <c r="I155" s="552"/>
    </row>
    <row r="156">
      <c r="B156" s="440"/>
      <c r="C156" s="462"/>
      <c r="D156" s="574"/>
      <c r="E156" s="557"/>
      <c r="F156" s="554"/>
      <c r="G156" s="550"/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B158" s="480"/>
      <c r="C158" s="462"/>
      <c r="D158" s="574"/>
      <c r="E158" s="576"/>
      <c r="F158" s="554"/>
      <c r="G158" s="550"/>
      <c r="H158" s="551"/>
      <c r="I158" s="552"/>
    </row>
    <row r="159">
      <c r="B159" s="480"/>
      <c r="C159" s="462"/>
      <c r="D159" s="574"/>
      <c r="E159" s="576"/>
      <c r="F159" s="558"/>
      <c r="G159" s="555"/>
      <c r="H159" s="551"/>
      <c r="I159" s="552"/>
    </row>
    <row r="160">
      <c r="A160" s="585"/>
      <c r="B160" s="271"/>
      <c r="C160" s="586"/>
      <c r="D160" s="587"/>
      <c r="E160" s="588"/>
      <c r="F160" s="561"/>
      <c r="G160" s="562"/>
      <c r="H160" s="563"/>
      <c r="I160" s="564"/>
    </row>
    <row r="161">
      <c r="A161" s="299" t="s">
        <v>1043</v>
      </c>
      <c r="B161" s="440"/>
      <c r="C161" s="462"/>
      <c r="D161" s="182"/>
      <c r="E161" s="557"/>
      <c r="F161" s="554"/>
      <c r="G161" s="550"/>
      <c r="H161" s="551"/>
      <c r="I161" s="552"/>
    </row>
    <row r="162">
      <c r="B162" s="480"/>
      <c r="C162" s="462"/>
      <c r="D162" s="574"/>
      <c r="E162" s="576"/>
      <c r="F162" s="554"/>
      <c r="G162" s="550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B164" s="480"/>
      <c r="C164" s="462"/>
      <c r="D164" s="574"/>
      <c r="E164" s="576"/>
      <c r="F164" s="558"/>
      <c r="G164" s="555"/>
      <c r="H164" s="551"/>
      <c r="I164" s="552"/>
    </row>
    <row r="165">
      <c r="B165" s="480"/>
      <c r="C165" s="462"/>
      <c r="D165" s="574"/>
      <c r="E165" s="576"/>
      <c r="F165" s="558"/>
      <c r="G165" s="555"/>
      <c r="H165" s="551"/>
      <c r="I165" s="552"/>
    </row>
    <row r="166">
      <c r="A166" s="585"/>
      <c r="B166" s="271"/>
      <c r="C166" s="586"/>
      <c r="D166" s="587"/>
      <c r="E166" s="588"/>
      <c r="F166" s="561"/>
      <c r="G166" s="562"/>
      <c r="H166" s="563"/>
      <c r="I166" s="564"/>
    </row>
    <row r="167">
      <c r="A167" s="299" t="s">
        <v>1045</v>
      </c>
      <c r="B167" s="440"/>
      <c r="C167" s="462"/>
      <c r="D167" s="182"/>
      <c r="E167" s="557"/>
      <c r="F167" s="554"/>
      <c r="G167" s="550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B170" s="480"/>
      <c r="C170" s="462"/>
      <c r="D170" s="574"/>
      <c r="E170" s="576"/>
      <c r="F170" s="558"/>
      <c r="G170" s="555"/>
      <c r="H170" s="551"/>
      <c r="I170" s="552"/>
    </row>
    <row r="171">
      <c r="B171" s="480"/>
      <c r="C171" s="462"/>
      <c r="D171" s="574"/>
      <c r="E171" s="576"/>
      <c r="F171" s="558"/>
      <c r="G171" s="555"/>
      <c r="H171" s="551"/>
      <c r="I171" s="552"/>
    </row>
    <row r="172">
      <c r="A172" s="585"/>
      <c r="B172" s="271"/>
      <c r="C172" s="586"/>
      <c r="D172" s="587"/>
      <c r="E172" s="588"/>
      <c r="F172" s="561"/>
      <c r="G172" s="562"/>
      <c r="H172" s="563"/>
      <c r="I172" s="564"/>
    </row>
    <row r="173">
      <c r="A173" s="299" t="s">
        <v>2142</v>
      </c>
      <c r="B173" s="440"/>
      <c r="C173" s="462"/>
      <c r="D173" s="182"/>
      <c r="E173" s="557"/>
      <c r="F173" s="554"/>
      <c r="G173" s="550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B176" s="480"/>
      <c r="C176" s="462"/>
      <c r="D176" s="574"/>
      <c r="E176" s="576"/>
      <c r="F176" s="558"/>
      <c r="G176" s="555"/>
      <c r="H176" s="551"/>
      <c r="I176" s="552"/>
    </row>
    <row r="177">
      <c r="B177" s="480"/>
      <c r="C177" s="462"/>
      <c r="D177" s="574"/>
      <c r="E177" s="576"/>
      <c r="F177" s="558"/>
      <c r="G177" s="555"/>
      <c r="H177" s="551"/>
      <c r="I177" s="552"/>
    </row>
    <row r="178">
      <c r="A178" s="585"/>
      <c r="B178" s="271"/>
      <c r="C178" s="586"/>
      <c r="D178" s="587"/>
      <c r="E178" s="588"/>
      <c r="F178" s="561"/>
      <c r="G178" s="562"/>
      <c r="H178" s="563"/>
      <c r="I178" s="564"/>
    </row>
    <row r="179">
      <c r="A179" s="606" t="s">
        <v>2144</v>
      </c>
      <c r="B179" s="600"/>
      <c r="C179" s="607"/>
      <c r="D179" s="566"/>
      <c r="E179" s="567"/>
      <c r="F179" s="549"/>
      <c r="G179" s="548"/>
      <c r="H179" s="609"/>
      <c r="I179" s="610"/>
    </row>
    <row r="180">
      <c r="A180" s="611"/>
      <c r="B180" s="480"/>
      <c r="C180" s="462"/>
      <c r="D180" s="574"/>
      <c r="E180" s="576"/>
      <c r="F180" s="558"/>
      <c r="G180" s="550"/>
      <c r="H180" s="551"/>
      <c r="I180" s="612"/>
    </row>
    <row r="181">
      <c r="A181" s="611"/>
      <c r="B181" s="480"/>
      <c r="C181" s="462"/>
      <c r="D181" s="574"/>
      <c r="E181" s="576"/>
      <c r="F181" s="558"/>
      <c r="G181" s="550"/>
      <c r="H181" s="551"/>
      <c r="I181" s="612"/>
    </row>
    <row r="182">
      <c r="A182" s="611"/>
      <c r="B182" s="480"/>
      <c r="C182" s="462"/>
      <c r="D182" s="574"/>
      <c r="E182" s="576"/>
      <c r="F182" s="558"/>
      <c r="G182" s="550"/>
      <c r="H182" s="551"/>
      <c r="I182" s="612"/>
    </row>
    <row r="183">
      <c r="A183" s="613"/>
      <c r="B183" s="478"/>
      <c r="C183" s="614"/>
      <c r="D183" s="577"/>
      <c r="E183" s="578"/>
      <c r="F183" s="561"/>
      <c r="G183" s="562"/>
      <c r="H183" s="563"/>
      <c r="I183" s="615"/>
    </row>
    <row r="184">
      <c r="A184" s="606"/>
      <c r="B184" s="600"/>
      <c r="C184" s="607"/>
      <c r="D184" s="566"/>
      <c r="E184" s="567"/>
      <c r="F184" s="597"/>
      <c r="G184" s="608"/>
      <c r="H184" s="609"/>
      <c r="I184" s="610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1"/>
      <c r="B186" s="480"/>
      <c r="C186" s="462"/>
      <c r="D186" s="574"/>
      <c r="E186" s="576"/>
      <c r="F186" s="558"/>
      <c r="G186" s="555"/>
      <c r="H186" s="551"/>
      <c r="I186" s="612"/>
    </row>
    <row r="187">
      <c r="A187" s="611"/>
      <c r="B187" s="480"/>
      <c r="C187" s="462"/>
      <c r="D187" s="574"/>
      <c r="E187" s="576"/>
      <c r="F187" s="558"/>
      <c r="G187" s="555"/>
      <c r="H187" s="551"/>
      <c r="I187" s="612"/>
    </row>
    <row r="188">
      <c r="A188" s="613"/>
      <c r="B188" s="478"/>
      <c r="C188" s="614"/>
      <c r="D188" s="577"/>
      <c r="E188" s="578"/>
      <c r="F188" s="561"/>
      <c r="G188" s="562"/>
      <c r="H188" s="563"/>
      <c r="I188" s="615"/>
    </row>
    <row r="189">
      <c r="A189" s="299"/>
      <c r="B189" s="440"/>
      <c r="C189" s="462"/>
      <c r="D189" s="182"/>
      <c r="E189" s="557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B192" s="480"/>
      <c r="C192" s="462"/>
      <c r="D192" s="574"/>
      <c r="E192" s="576"/>
      <c r="F192" s="558"/>
      <c r="G192" s="555"/>
      <c r="H192" s="551"/>
      <c r="I192" s="552"/>
    </row>
    <row r="193">
      <c r="B193" s="480"/>
      <c r="C193" s="462"/>
      <c r="D193" s="574"/>
      <c r="E193" s="576"/>
      <c r="F193" s="558"/>
      <c r="G193" s="555"/>
      <c r="H193" s="551"/>
      <c r="I193" s="552"/>
    </row>
    <row r="194">
      <c r="A194" s="585"/>
      <c r="B194" s="271"/>
      <c r="C194" s="586"/>
      <c r="D194" s="587"/>
      <c r="E194" s="588"/>
      <c r="F194" s="561"/>
      <c r="G194" s="562"/>
      <c r="H194" s="563"/>
      <c r="I194" s="564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3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3"/>
      <c r="B198" s="268"/>
      <c r="C198" s="253"/>
      <c r="D198" s="366"/>
      <c r="E198" s="555"/>
      <c r="F198" s="558"/>
      <c r="G198" s="555"/>
      <c r="H198" s="551"/>
      <c r="I198" s="552"/>
    </row>
    <row r="199">
      <c r="A199" s="304"/>
      <c r="B199" s="268"/>
      <c r="C199" s="253"/>
      <c r="D199" s="366"/>
      <c r="E199" s="555"/>
      <c r="F199" s="558"/>
      <c r="G199" s="555"/>
      <c r="H199" s="551"/>
      <c r="I199" s="552"/>
    </row>
    <row r="200">
      <c r="A200" s="305"/>
      <c r="B200" s="271"/>
      <c r="C200" s="273"/>
      <c r="D200" s="587"/>
      <c r="E200" s="562"/>
      <c r="F200" s="561"/>
      <c r="G200" s="555"/>
      <c r="H200" s="551"/>
      <c r="I200" s="552"/>
    </row>
    <row r="201">
      <c r="A201" s="265"/>
      <c r="B201" s="306"/>
      <c r="C201" s="241"/>
      <c r="D201" s="583"/>
      <c r="E201" s="548"/>
      <c r="F201" s="597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65"/>
      <c r="B207" s="268"/>
      <c r="C207" s="253"/>
      <c r="D207" s="366"/>
      <c r="E207" s="555"/>
      <c r="F207" s="558"/>
      <c r="G207" s="555"/>
      <c r="H207" s="551"/>
      <c r="I207" s="552"/>
    </row>
    <row r="208">
      <c r="A208" s="265"/>
      <c r="B208" s="268"/>
      <c r="C208" s="253"/>
      <c r="D208" s="366"/>
      <c r="E208" s="555"/>
      <c r="F208" s="558"/>
      <c r="G208" s="555"/>
      <c r="H208" s="551"/>
      <c r="I208" s="552"/>
    </row>
    <row r="209">
      <c r="A209" s="270"/>
      <c r="B209" s="268"/>
      <c r="C209" s="253"/>
      <c r="D209" s="366"/>
      <c r="E209" s="555"/>
      <c r="F209" s="558"/>
      <c r="G209" s="555"/>
      <c r="H209" s="551"/>
      <c r="I209" s="552"/>
    </row>
    <row r="210">
      <c r="B210" s="271"/>
      <c r="C210" s="273"/>
      <c r="D210" s="587"/>
      <c r="E210" s="562"/>
      <c r="F210" s="561"/>
      <c r="G210" s="555"/>
      <c r="H210" s="551"/>
      <c r="I210" s="552"/>
    </row>
    <row r="211">
      <c r="B211" s="306"/>
      <c r="C211" s="241"/>
      <c r="D211" s="583"/>
      <c r="E211" s="548"/>
      <c r="F211" s="597"/>
      <c r="G211" s="555"/>
      <c r="H211" s="551"/>
      <c r="I211" s="552"/>
    </row>
    <row r="212">
      <c r="B212" s="268"/>
      <c r="C212" s="253"/>
      <c r="D212" s="366"/>
      <c r="E212" s="555"/>
      <c r="F212" s="558"/>
      <c r="G212" s="555"/>
      <c r="H212" s="551"/>
      <c r="I212" s="552"/>
    </row>
    <row r="213">
      <c r="B213" s="268"/>
      <c r="C213" s="253"/>
      <c r="D213" s="366"/>
      <c r="E213" s="555"/>
      <c r="F213" s="558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  <row r="518">
      <c r="B518" s="308"/>
      <c r="C518" s="253"/>
      <c r="D518" s="598"/>
      <c r="E518" s="555"/>
      <c r="F518" s="572"/>
      <c r="G518" s="555"/>
      <c r="H518" s="551"/>
      <c r="I518" s="552"/>
    </row>
    <row r="519">
      <c r="B519" s="308"/>
      <c r="C519" s="253"/>
      <c r="D519" s="598"/>
      <c r="E519" s="555"/>
      <c r="F519" s="572"/>
      <c r="G519" s="555"/>
      <c r="H519" s="551"/>
      <c r="I519" s="552"/>
    </row>
  </sheetData>
  <mergeCells count="33">
    <mergeCell ref="A2:A7"/>
    <mergeCell ref="A8:A14"/>
    <mergeCell ref="A15:A19"/>
    <mergeCell ref="A20:A25"/>
    <mergeCell ref="A26:A31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2"/>
    <mergeCell ref="A113:A118"/>
    <mergeCell ref="A119:A124"/>
    <mergeCell ref="A125:A130"/>
    <mergeCell ref="A173:A177"/>
    <mergeCell ref="A179:A183"/>
    <mergeCell ref="A184:A188"/>
    <mergeCell ref="A189:A193"/>
    <mergeCell ref="A200:A209"/>
    <mergeCell ref="A131:A136"/>
    <mergeCell ref="A137:A142"/>
    <mergeCell ref="A143:A147"/>
    <mergeCell ref="A149:A154"/>
    <mergeCell ref="A155:A159"/>
    <mergeCell ref="A161:A165"/>
    <mergeCell ref="A167:A1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16.13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1386</v>
      </c>
      <c r="B2" s="425"/>
      <c r="C2" s="532"/>
      <c r="D2" s="547"/>
      <c r="E2" s="548"/>
      <c r="F2" s="549"/>
      <c r="G2" s="550" t="s">
        <v>2212</v>
      </c>
      <c r="H2" s="556"/>
      <c r="I2" s="569"/>
    </row>
    <row r="3">
      <c r="A3" s="265"/>
      <c r="B3" s="510"/>
      <c r="C3" s="399"/>
      <c r="D3" s="366"/>
      <c r="E3" s="553"/>
      <c r="F3" s="554"/>
      <c r="G3" s="550" t="s">
        <v>2213</v>
      </c>
      <c r="H3" s="556"/>
      <c r="I3" s="552"/>
    </row>
    <row r="4">
      <c r="A4" s="265"/>
      <c r="B4" s="404"/>
      <c r="C4" s="414"/>
      <c r="D4" s="182">
        <v>120.0</v>
      </c>
      <c r="E4" s="557" t="s">
        <v>2214</v>
      </c>
      <c r="F4" s="558"/>
      <c r="G4" s="550"/>
      <c r="H4" s="556"/>
      <c r="I4" s="569"/>
    </row>
    <row r="5">
      <c r="A5" s="265"/>
      <c r="B5" s="404"/>
      <c r="C5" s="399"/>
      <c r="D5" s="182"/>
      <c r="E5" s="557"/>
      <c r="F5" s="554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1391</v>
      </c>
      <c r="B8" s="425"/>
      <c r="C8" s="401"/>
      <c r="D8" s="182"/>
      <c r="E8" s="557"/>
      <c r="F8" s="549"/>
      <c r="G8" s="550" t="s">
        <v>2215</v>
      </c>
      <c r="H8" s="556"/>
      <c r="I8" s="552"/>
    </row>
    <row r="9">
      <c r="A9" s="265"/>
      <c r="B9" s="404"/>
      <c r="C9" s="414"/>
      <c r="D9" s="182"/>
      <c r="E9" s="557"/>
      <c r="F9" s="554">
        <v>200.0</v>
      </c>
      <c r="G9" s="550" t="s">
        <v>1975</v>
      </c>
      <c r="H9" s="556"/>
      <c r="I9" s="552"/>
    </row>
    <row r="10">
      <c r="A10" s="265"/>
      <c r="B10" s="339"/>
      <c r="C10" s="414"/>
      <c r="D10" s="182"/>
      <c r="E10" s="557"/>
      <c r="F10" s="554"/>
      <c r="G10" s="550"/>
      <c r="H10" s="556"/>
      <c r="I10" s="552"/>
    </row>
    <row r="11">
      <c r="A11" s="265"/>
      <c r="B11" s="404"/>
      <c r="C11" s="399"/>
      <c r="D11" s="182"/>
      <c r="E11" s="557"/>
      <c r="F11" s="554"/>
      <c r="G11" s="550"/>
      <c r="H11" s="556"/>
      <c r="I11" s="569"/>
    </row>
    <row r="12">
      <c r="A12" s="265"/>
      <c r="B12" s="419"/>
      <c r="C12" s="414"/>
      <c r="D12" s="182"/>
      <c r="E12" s="557"/>
      <c r="F12" s="554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69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1393</v>
      </c>
      <c r="B15" s="600"/>
      <c r="C15" s="421"/>
      <c r="D15" s="566"/>
      <c r="E15" s="567"/>
      <c r="F15" s="549"/>
      <c r="G15" s="550" t="s">
        <v>2216</v>
      </c>
      <c r="H15" s="581"/>
      <c r="I15" s="619"/>
      <c r="J15" s="603"/>
    </row>
    <row r="16">
      <c r="A16" s="265"/>
      <c r="B16" s="440"/>
      <c r="C16" s="414"/>
      <c r="D16" s="182"/>
      <c r="E16" s="557"/>
      <c r="F16" s="554">
        <v>110.0</v>
      </c>
      <c r="G16" s="557" t="s">
        <v>2217</v>
      </c>
      <c r="H16" s="556"/>
      <c r="I16" s="569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70"/>
      <c r="B19" s="404"/>
      <c r="C19" s="399"/>
      <c r="D19" s="182"/>
      <c r="E19" s="557"/>
      <c r="F19" s="558"/>
      <c r="G19" s="562"/>
      <c r="H19" s="599"/>
      <c r="I19" s="601"/>
    </row>
    <row r="20">
      <c r="A20" s="262" t="s">
        <v>1395</v>
      </c>
      <c r="B20" s="425"/>
      <c r="C20" s="401"/>
      <c r="D20" s="566">
        <v>8910.0</v>
      </c>
      <c r="E20" s="567" t="s">
        <v>2218</v>
      </c>
      <c r="F20" s="549">
        <v>180.0</v>
      </c>
      <c r="G20" s="550" t="s">
        <v>2097</v>
      </c>
      <c r="H20" s="556"/>
      <c r="I20" s="569"/>
    </row>
    <row r="21">
      <c r="A21" s="265"/>
      <c r="B21" s="404"/>
      <c r="C21" s="399"/>
      <c r="D21" s="182"/>
      <c r="E21" s="557"/>
      <c r="F21" s="554">
        <v>150.0</v>
      </c>
      <c r="G21" s="550" t="s">
        <v>2219</v>
      </c>
      <c r="H21" s="551"/>
      <c r="I21" s="569"/>
    </row>
    <row r="22">
      <c r="A22" s="265"/>
      <c r="B22" s="457"/>
      <c r="C22" s="399"/>
      <c r="D22" s="182"/>
      <c r="E22" s="557"/>
      <c r="F22" s="558"/>
      <c r="G22" s="555"/>
      <c r="H22" s="551"/>
      <c r="I22" s="569"/>
    </row>
    <row r="23">
      <c r="A23" s="265"/>
      <c r="B23" s="468"/>
      <c r="C23" s="399"/>
      <c r="D23" s="570"/>
      <c r="E23" s="557"/>
      <c r="F23" s="554"/>
      <c r="G23" s="550"/>
      <c r="H23" s="551"/>
      <c r="I23" s="569"/>
    </row>
    <row r="24">
      <c r="A24" s="265"/>
      <c r="B24" s="468"/>
      <c r="C24" s="399"/>
      <c r="D24" s="182"/>
      <c r="E24" s="557"/>
      <c r="F24" s="554"/>
      <c r="G24" s="555"/>
      <c r="H24" s="551"/>
      <c r="I24" s="569"/>
    </row>
    <row r="25">
      <c r="A25" s="270"/>
      <c r="B25" s="404"/>
      <c r="C25" s="399"/>
      <c r="D25" s="182"/>
      <c r="E25" s="557"/>
      <c r="F25" s="558"/>
      <c r="G25" s="562"/>
      <c r="H25" s="563"/>
      <c r="I25" s="601"/>
    </row>
    <row r="26">
      <c r="A26" s="262" t="s">
        <v>1399</v>
      </c>
      <c r="B26" s="425"/>
      <c r="C26" s="421"/>
      <c r="D26" s="182"/>
      <c r="E26" s="567"/>
      <c r="F26" s="571">
        <v>150.0</v>
      </c>
      <c r="G26" s="550" t="s">
        <v>2153</v>
      </c>
      <c r="H26" s="556"/>
      <c r="I26" s="569"/>
    </row>
    <row r="27">
      <c r="A27" s="265"/>
      <c r="B27" s="404"/>
      <c r="C27" s="399"/>
      <c r="D27" s="182"/>
      <c r="E27" s="557"/>
      <c r="F27" s="83">
        <v>200.0</v>
      </c>
      <c r="G27" s="550" t="s">
        <v>1975</v>
      </c>
      <c r="H27" s="556"/>
      <c r="I27" s="569"/>
    </row>
    <row r="28">
      <c r="A28" s="265"/>
      <c r="B28" s="404"/>
      <c r="C28" s="400"/>
      <c r="D28" s="182"/>
      <c r="E28" s="557"/>
      <c r="F28" s="572"/>
      <c r="G28" s="573"/>
      <c r="H28" s="556"/>
      <c r="I28" s="552"/>
    </row>
    <row r="29">
      <c r="A29" s="265"/>
      <c r="B29" s="404"/>
      <c r="C29" s="400"/>
      <c r="D29" s="182"/>
      <c r="E29" s="557"/>
      <c r="F29" s="83"/>
      <c r="G29" s="550"/>
      <c r="H29" s="556"/>
      <c r="I29" s="552"/>
    </row>
    <row r="30">
      <c r="A30" s="265"/>
      <c r="B30" s="404"/>
      <c r="C30" s="400"/>
      <c r="D30" s="182"/>
      <c r="E30" s="557"/>
      <c r="F30" s="558"/>
      <c r="G30" s="550"/>
      <c r="H30" s="556"/>
      <c r="I30" s="552"/>
    </row>
    <row r="31">
      <c r="A31" s="270"/>
      <c r="B31" s="440"/>
      <c r="C31" s="400"/>
      <c r="D31" s="574"/>
      <c r="E31" s="557"/>
      <c r="F31" s="558"/>
      <c r="G31" s="575"/>
      <c r="H31" s="556"/>
      <c r="I31" s="552"/>
    </row>
    <row r="32">
      <c r="A32" s="437"/>
      <c r="B32" s="440"/>
      <c r="C32" s="400"/>
      <c r="D32" s="574"/>
      <c r="E32" s="557"/>
      <c r="F32" s="558"/>
      <c r="G32" s="573"/>
      <c r="H32" s="556"/>
      <c r="I32" s="569"/>
    </row>
    <row r="33">
      <c r="A33" s="437"/>
      <c r="B33" s="440"/>
      <c r="C33" s="400"/>
      <c r="D33" s="574"/>
      <c r="E33" s="557"/>
      <c r="F33" s="558"/>
      <c r="G33" s="573"/>
      <c r="H33" s="556"/>
      <c r="I33" s="569"/>
    </row>
    <row r="34">
      <c r="A34" s="437"/>
      <c r="B34" s="440"/>
      <c r="C34" s="400"/>
      <c r="D34" s="574"/>
      <c r="E34" s="557"/>
      <c r="F34" s="558"/>
      <c r="G34" s="573"/>
      <c r="H34" s="556"/>
      <c r="I34" s="552"/>
    </row>
    <row r="35">
      <c r="A35" s="262" t="s">
        <v>2187</v>
      </c>
      <c r="B35" s="425"/>
      <c r="C35" s="401"/>
      <c r="D35" s="566"/>
      <c r="E35" s="567"/>
      <c r="F35" s="549">
        <v>290.0</v>
      </c>
      <c r="G35" s="550" t="s">
        <v>2220</v>
      </c>
      <c r="H35" s="556"/>
      <c r="I35" s="552"/>
    </row>
    <row r="36">
      <c r="A36" s="265"/>
      <c r="B36" s="477"/>
      <c r="C36" s="400"/>
      <c r="D36" s="182"/>
      <c r="E36" s="576"/>
      <c r="F36" s="554">
        <v>130.0</v>
      </c>
      <c r="G36" s="550" t="s">
        <v>2221</v>
      </c>
      <c r="H36" s="551"/>
      <c r="I36" s="552"/>
    </row>
    <row r="37">
      <c r="A37" s="265"/>
      <c r="B37" s="477"/>
      <c r="C37" s="400"/>
      <c r="D37" s="182"/>
      <c r="E37" s="576"/>
      <c r="F37" s="554"/>
      <c r="G37" s="550"/>
      <c r="H37" s="556"/>
      <c r="I37" s="552"/>
    </row>
    <row r="38">
      <c r="A38" s="265"/>
      <c r="B38" s="477"/>
      <c r="C38" s="400"/>
      <c r="D38" s="182"/>
      <c r="E38" s="576"/>
      <c r="F38" s="554"/>
      <c r="G38" s="550"/>
      <c r="H38" s="556"/>
      <c r="I38" s="552"/>
    </row>
    <row r="39">
      <c r="A39" s="265"/>
      <c r="B39" s="477"/>
      <c r="C39" s="400"/>
      <c r="D39" s="182"/>
      <c r="E39" s="576"/>
      <c r="F39" s="558"/>
      <c r="G39" s="555"/>
      <c r="H39" s="551"/>
      <c r="I39" s="569"/>
    </row>
    <row r="40">
      <c r="A40" s="270"/>
      <c r="B40" s="478"/>
      <c r="C40" s="472"/>
      <c r="D40" s="577"/>
      <c r="E40" s="578"/>
      <c r="F40" s="561"/>
      <c r="G40" s="562"/>
      <c r="H40" s="563"/>
      <c r="I40" s="601"/>
    </row>
    <row r="41">
      <c r="A41" s="262" t="s">
        <v>1414</v>
      </c>
      <c r="B41" s="425"/>
      <c r="C41" s="401"/>
      <c r="D41" s="566"/>
      <c r="E41" s="550"/>
      <c r="F41" s="549">
        <v>150.0</v>
      </c>
      <c r="G41" s="550" t="s">
        <v>2097</v>
      </c>
      <c r="H41" s="620"/>
      <c r="I41" s="564"/>
      <c r="J41" s="603"/>
    </row>
    <row r="42">
      <c r="A42" s="265"/>
      <c r="B42" s="404"/>
      <c r="C42" s="399"/>
      <c r="D42" s="182"/>
      <c r="E42" s="550"/>
      <c r="F42" s="554">
        <v>190.0</v>
      </c>
      <c r="G42" s="550" t="s">
        <v>1965</v>
      </c>
      <c r="H42" s="556"/>
      <c r="I42" s="552"/>
    </row>
    <row r="43">
      <c r="A43" s="265"/>
      <c r="B43" s="440"/>
      <c r="C43" s="400"/>
      <c r="D43" s="182"/>
      <c r="E43" s="557"/>
      <c r="F43" s="558"/>
      <c r="G43" s="550"/>
      <c r="H43" s="556"/>
      <c r="I43" s="552"/>
    </row>
    <row r="44">
      <c r="A44" s="265"/>
      <c r="B44" s="440"/>
      <c r="C44" s="400"/>
      <c r="D44" s="182"/>
      <c r="E44" s="576"/>
      <c r="F44" s="554"/>
      <c r="G44" s="550"/>
      <c r="H44" s="556"/>
      <c r="I44" s="552"/>
    </row>
    <row r="45">
      <c r="A45" s="265"/>
      <c r="B45" s="480"/>
      <c r="C45" s="400"/>
      <c r="D45" s="182"/>
      <c r="E45" s="576"/>
      <c r="F45" s="558"/>
      <c r="G45" s="555"/>
      <c r="H45" s="556"/>
      <c r="I45" s="552"/>
    </row>
    <row r="46">
      <c r="A46" s="270"/>
      <c r="B46" s="478"/>
      <c r="C46" s="472"/>
      <c r="D46" s="577"/>
      <c r="E46" s="578"/>
      <c r="F46" s="561"/>
      <c r="G46" s="562"/>
      <c r="H46" s="599"/>
      <c r="I46" s="564"/>
    </row>
    <row r="47">
      <c r="A47" s="262" t="s">
        <v>1417</v>
      </c>
      <c r="B47" s="425"/>
      <c r="C47" s="421"/>
      <c r="D47" s="566"/>
      <c r="E47" s="567"/>
      <c r="F47" s="549">
        <v>60.0</v>
      </c>
      <c r="G47" s="550" t="s">
        <v>2222</v>
      </c>
      <c r="H47" s="556"/>
      <c r="I47" s="552"/>
    </row>
    <row r="48">
      <c r="A48" s="265"/>
      <c r="B48" s="404"/>
      <c r="C48" s="399"/>
      <c r="D48" s="182"/>
      <c r="E48" s="557"/>
      <c r="F48" s="554"/>
      <c r="G48" s="550"/>
      <c r="H48" s="556"/>
      <c r="I48" s="552"/>
    </row>
    <row r="49">
      <c r="A49" s="265"/>
      <c r="B49" s="440"/>
      <c r="C49" s="400"/>
      <c r="D49" s="182"/>
      <c r="E49" s="557"/>
      <c r="F49" s="554"/>
      <c r="G49" s="550"/>
      <c r="H49" s="556"/>
      <c r="I49" s="552"/>
    </row>
    <row r="50">
      <c r="A50" s="265"/>
      <c r="B50" s="440"/>
      <c r="C50" s="400"/>
      <c r="D50" s="574"/>
      <c r="E50" s="576"/>
      <c r="F50" s="554"/>
      <c r="G50" s="550"/>
      <c r="H50" s="556"/>
      <c r="I50" s="552"/>
    </row>
    <row r="51">
      <c r="A51" s="265"/>
      <c r="B51" s="480"/>
      <c r="C51" s="400"/>
      <c r="D51" s="182"/>
      <c r="E51" s="576"/>
      <c r="F51" s="558"/>
      <c r="G51" s="555"/>
      <c r="H51" s="551"/>
      <c r="I51" s="569"/>
    </row>
    <row r="52">
      <c r="A52" s="270"/>
      <c r="B52" s="478"/>
      <c r="C52" s="472"/>
      <c r="D52" s="559"/>
      <c r="E52" s="560"/>
      <c r="F52" s="561"/>
      <c r="G52" s="562"/>
      <c r="H52" s="599"/>
      <c r="I52" s="564"/>
    </row>
    <row r="53">
      <c r="A53" s="262" t="s">
        <v>1418</v>
      </c>
      <c r="B53" s="425"/>
      <c r="C53" s="421"/>
      <c r="D53" s="566"/>
      <c r="E53" s="567"/>
      <c r="F53" s="549">
        <v>350.0</v>
      </c>
      <c r="G53" s="550" t="s">
        <v>2097</v>
      </c>
      <c r="H53" s="556"/>
      <c r="I53" s="569"/>
    </row>
    <row r="54">
      <c r="A54" s="265"/>
      <c r="B54" s="404"/>
      <c r="C54" s="399"/>
      <c r="D54" s="182"/>
      <c r="E54" s="557"/>
      <c r="F54" s="554"/>
      <c r="G54" s="550" t="s">
        <v>2223</v>
      </c>
      <c r="H54" s="551"/>
      <c r="I54" s="569"/>
    </row>
    <row r="55">
      <c r="A55" s="265"/>
      <c r="B55" s="404"/>
      <c r="C55" s="399"/>
      <c r="D55" s="182"/>
      <c r="E55" s="557"/>
      <c r="F55" s="554"/>
      <c r="G55" s="550"/>
      <c r="H55" s="556"/>
      <c r="I55" s="552"/>
    </row>
    <row r="56">
      <c r="A56" s="265"/>
      <c r="B56" s="404"/>
      <c r="C56" s="399"/>
      <c r="D56" s="182"/>
      <c r="E56" s="557"/>
      <c r="F56" s="554"/>
      <c r="G56" s="550"/>
      <c r="H56" s="556"/>
      <c r="I56" s="552"/>
    </row>
    <row r="57">
      <c r="A57" s="265"/>
      <c r="B57" s="440"/>
      <c r="C57" s="399"/>
      <c r="D57" s="182"/>
      <c r="E57" s="557"/>
      <c r="F57" s="558"/>
      <c r="G57" s="555"/>
      <c r="H57" s="551"/>
      <c r="I57" s="552"/>
    </row>
    <row r="58">
      <c r="A58" s="270"/>
      <c r="B58" s="470"/>
      <c r="C58" s="486"/>
      <c r="D58" s="559"/>
      <c r="E58" s="560"/>
      <c r="F58" s="561"/>
      <c r="G58" s="562"/>
      <c r="H58" s="563"/>
      <c r="I58" s="564"/>
    </row>
    <row r="59">
      <c r="A59" s="262" t="s">
        <v>1420</v>
      </c>
      <c r="B59" s="425"/>
      <c r="C59" s="421"/>
      <c r="D59" s="566"/>
      <c r="E59" s="567"/>
      <c r="F59" s="549"/>
      <c r="G59" s="550" t="s">
        <v>2193</v>
      </c>
      <c r="H59" s="551"/>
      <c r="I59" s="552"/>
    </row>
    <row r="60">
      <c r="A60" s="265"/>
      <c r="B60" s="404"/>
      <c r="C60" s="400"/>
      <c r="D60" s="182"/>
      <c r="E60" s="557"/>
      <c r="F60" s="554">
        <v>300.0</v>
      </c>
      <c r="G60" s="550" t="s">
        <v>1965</v>
      </c>
      <c r="H60" s="551"/>
      <c r="I60" s="552"/>
    </row>
    <row r="61">
      <c r="A61" s="265"/>
      <c r="B61" s="404"/>
      <c r="C61" s="400"/>
      <c r="D61" s="182"/>
      <c r="E61" s="557"/>
      <c r="F61" s="558"/>
      <c r="G61" s="555"/>
      <c r="H61" s="551"/>
      <c r="I61" s="552"/>
    </row>
    <row r="62">
      <c r="A62" s="265"/>
      <c r="B62" s="477"/>
      <c r="C62" s="400"/>
      <c r="D62" s="182"/>
      <c r="E62" s="576"/>
      <c r="F62" s="554"/>
      <c r="G62" s="550"/>
      <c r="H62" s="551"/>
      <c r="I62" s="552"/>
    </row>
    <row r="63">
      <c r="A63" s="265"/>
      <c r="B63" s="477"/>
      <c r="C63" s="400"/>
      <c r="D63" s="182"/>
      <c r="E63" s="576"/>
      <c r="F63" s="558"/>
      <c r="G63" s="555"/>
      <c r="H63" s="551"/>
      <c r="I63" s="552"/>
    </row>
    <row r="64">
      <c r="A64" s="270"/>
      <c r="B64" s="478"/>
      <c r="C64" s="472"/>
      <c r="D64" s="559"/>
      <c r="E64" s="560"/>
      <c r="F64" s="561"/>
      <c r="G64" s="562"/>
      <c r="H64" s="563"/>
      <c r="I64" s="564"/>
    </row>
    <row r="65">
      <c r="A65" s="262" t="s">
        <v>1421</v>
      </c>
      <c r="B65" s="404"/>
      <c r="C65" s="414"/>
      <c r="D65" s="22"/>
      <c r="E65" s="567"/>
      <c r="F65" s="554">
        <v>200.0</v>
      </c>
      <c r="G65" s="550" t="s">
        <v>2097</v>
      </c>
      <c r="H65" s="556"/>
      <c r="I65" s="552"/>
    </row>
    <row r="66">
      <c r="A66" s="265"/>
      <c r="B66" s="404"/>
      <c r="C66" s="399"/>
      <c r="D66" s="182"/>
      <c r="E66" s="557"/>
      <c r="F66" s="554">
        <v>200.0</v>
      </c>
      <c r="G66" s="550" t="s">
        <v>2224</v>
      </c>
      <c r="H66" s="556"/>
      <c r="I66" s="552"/>
    </row>
    <row r="67">
      <c r="A67" s="265"/>
      <c r="B67" s="404"/>
      <c r="C67" s="399"/>
      <c r="D67" s="182"/>
      <c r="E67" s="557"/>
      <c r="F67" s="558"/>
      <c r="G67" s="555"/>
      <c r="H67" s="551"/>
      <c r="I67" s="552"/>
    </row>
    <row r="68">
      <c r="A68" s="265"/>
      <c r="B68" s="404"/>
      <c r="C68" s="399"/>
      <c r="D68" s="182"/>
      <c r="E68" s="557"/>
      <c r="F68" s="554"/>
      <c r="G68" s="550"/>
      <c r="H68" s="556"/>
      <c r="I68" s="552"/>
    </row>
    <row r="69">
      <c r="A69" s="265"/>
      <c r="B69" s="404"/>
      <c r="C69" s="400"/>
      <c r="D69" s="182"/>
      <c r="E69" s="557"/>
      <c r="F69" s="558"/>
      <c r="G69" s="555"/>
      <c r="H69" s="551"/>
      <c r="I69" s="552"/>
    </row>
    <row r="70">
      <c r="A70" s="270"/>
      <c r="B70" s="404"/>
      <c r="C70" s="399"/>
      <c r="D70" s="182"/>
      <c r="E70" s="557"/>
      <c r="F70" s="561"/>
      <c r="G70" s="562"/>
      <c r="H70" s="563"/>
      <c r="I70" s="564"/>
    </row>
    <row r="71">
      <c r="A71" s="262" t="s">
        <v>2196</v>
      </c>
      <c r="B71" s="425"/>
      <c r="C71" s="401"/>
      <c r="D71" s="566"/>
      <c r="E71" s="567"/>
      <c r="F71" s="554">
        <v>250.0</v>
      </c>
      <c r="G71" s="550" t="s">
        <v>2225</v>
      </c>
      <c r="H71" s="604"/>
      <c r="I71" s="605"/>
      <c r="J71" s="340"/>
    </row>
    <row r="72">
      <c r="A72" s="265"/>
      <c r="B72" s="404"/>
      <c r="C72" s="400"/>
      <c r="D72" s="182"/>
      <c r="E72" s="557"/>
      <c r="F72" s="554">
        <v>130.0</v>
      </c>
      <c r="G72" s="550" t="s">
        <v>2226</v>
      </c>
      <c r="H72" s="556"/>
      <c r="I72" s="552"/>
    </row>
    <row r="73">
      <c r="A73" s="265"/>
      <c r="B73" s="404"/>
      <c r="C73" s="400"/>
      <c r="D73" s="182"/>
      <c r="E73" s="557"/>
      <c r="F73" s="554"/>
      <c r="G73" s="550"/>
      <c r="H73" s="551"/>
      <c r="I73" s="552"/>
    </row>
    <row r="74">
      <c r="A74" s="265"/>
      <c r="B74" s="480"/>
      <c r="C74" s="400"/>
      <c r="D74" s="182"/>
      <c r="E74" s="576"/>
      <c r="F74" s="554"/>
      <c r="G74" s="550"/>
      <c r="H74" s="551"/>
      <c r="I74" s="552"/>
    </row>
    <row r="75">
      <c r="A75" s="265"/>
      <c r="B75" s="480"/>
      <c r="C75" s="400"/>
      <c r="D75" s="574"/>
      <c r="E75" s="576"/>
      <c r="F75" s="554"/>
      <c r="G75" s="550"/>
      <c r="H75" s="551"/>
      <c r="I75" s="552"/>
    </row>
    <row r="76">
      <c r="A76" s="270"/>
      <c r="B76" s="478"/>
      <c r="C76" s="472"/>
      <c r="D76" s="577"/>
      <c r="E76" s="578"/>
      <c r="F76" s="561"/>
      <c r="G76" s="562"/>
      <c r="H76" s="563"/>
      <c r="I76" s="564"/>
    </row>
    <row r="77">
      <c r="A77" s="262" t="s">
        <v>1429</v>
      </c>
      <c r="B77" s="425"/>
      <c r="C77" s="401"/>
      <c r="D77" s="566"/>
      <c r="E77" s="567"/>
      <c r="F77" s="549">
        <v>270.0</v>
      </c>
      <c r="G77" s="550" t="s">
        <v>2227</v>
      </c>
      <c r="H77" s="551"/>
      <c r="I77" s="552"/>
    </row>
    <row r="78">
      <c r="A78" s="265"/>
      <c r="B78" s="404"/>
      <c r="C78" s="400"/>
      <c r="D78" s="182"/>
      <c r="E78" s="567"/>
      <c r="F78" s="554"/>
      <c r="G78" s="550"/>
      <c r="H78" s="551"/>
      <c r="I78" s="552"/>
    </row>
    <row r="79">
      <c r="A79" s="265"/>
      <c r="B79" s="404"/>
      <c r="C79" s="399"/>
      <c r="D79" s="182"/>
      <c r="E79" s="557"/>
      <c r="F79" s="558"/>
      <c r="G79" s="555"/>
      <c r="H79" s="551"/>
      <c r="I79" s="552"/>
    </row>
    <row r="80">
      <c r="A80" s="265"/>
      <c r="B80" s="440"/>
      <c r="C80" s="399"/>
      <c r="D80" s="182"/>
      <c r="E80" s="557"/>
      <c r="F80" s="554"/>
      <c r="G80" s="550"/>
      <c r="H80" s="551"/>
      <c r="I80" s="552"/>
    </row>
    <row r="81">
      <c r="A81" s="265"/>
      <c r="B81" s="440"/>
      <c r="C81" s="400"/>
      <c r="D81" s="574"/>
      <c r="E81" s="557"/>
      <c r="F81" s="558"/>
      <c r="G81" s="555"/>
      <c r="H81" s="551"/>
      <c r="I81" s="552"/>
    </row>
    <row r="82">
      <c r="A82" s="270"/>
      <c r="B82" s="478"/>
      <c r="C82" s="472"/>
      <c r="D82" s="577"/>
      <c r="E82" s="578"/>
      <c r="F82" s="561"/>
      <c r="G82" s="562"/>
      <c r="H82" s="563"/>
      <c r="I82" s="564"/>
    </row>
    <row r="83">
      <c r="A83" s="262" t="s">
        <v>1442</v>
      </c>
      <c r="B83" s="461"/>
      <c r="C83" s="421"/>
      <c r="D83" s="566"/>
      <c r="E83" s="567"/>
      <c r="F83" s="549"/>
      <c r="G83" s="550" t="s">
        <v>2228</v>
      </c>
      <c r="H83" s="556"/>
      <c r="I83" s="569"/>
    </row>
    <row r="84">
      <c r="A84" s="265"/>
      <c r="B84" s="404"/>
      <c r="C84" s="400"/>
      <c r="D84" s="182"/>
      <c r="E84" s="557"/>
      <c r="F84" s="554">
        <v>110.0</v>
      </c>
      <c r="G84" s="550" t="s">
        <v>1975</v>
      </c>
      <c r="H84" s="551"/>
      <c r="I84" s="552"/>
    </row>
    <row r="85">
      <c r="A85" s="265"/>
      <c r="B85" s="440"/>
      <c r="C85" s="400"/>
      <c r="D85" s="182"/>
      <c r="E85" s="557"/>
      <c r="F85" s="558"/>
      <c r="G85" s="555"/>
      <c r="H85" s="551"/>
      <c r="I85" s="552"/>
    </row>
    <row r="86">
      <c r="A86" s="265"/>
      <c r="B86" s="480"/>
      <c r="C86" s="400"/>
      <c r="D86" s="574"/>
      <c r="E86" s="576"/>
      <c r="F86" s="554"/>
      <c r="G86" s="550"/>
      <c r="H86" s="551"/>
      <c r="I86" s="552"/>
    </row>
    <row r="87">
      <c r="A87" s="265"/>
      <c r="B87" s="480"/>
      <c r="C87" s="400"/>
      <c r="D87" s="574"/>
      <c r="E87" s="576"/>
      <c r="F87" s="558"/>
      <c r="G87" s="555"/>
      <c r="H87" s="551"/>
      <c r="I87" s="552"/>
    </row>
    <row r="88">
      <c r="A88" s="270"/>
      <c r="B88" s="478"/>
      <c r="C88" s="472"/>
      <c r="D88" s="577"/>
      <c r="E88" s="578"/>
      <c r="F88" s="561"/>
      <c r="G88" s="562"/>
      <c r="H88" s="563"/>
      <c r="I88" s="564"/>
    </row>
    <row r="89">
      <c r="A89" s="262" t="s">
        <v>1446</v>
      </c>
      <c r="B89" s="425"/>
      <c r="C89" s="421"/>
      <c r="D89" s="566"/>
      <c r="E89" s="557"/>
      <c r="F89" s="549">
        <v>300.0</v>
      </c>
      <c r="G89" s="550" t="s">
        <v>2153</v>
      </c>
      <c r="H89" s="556"/>
      <c r="I89" s="552"/>
    </row>
    <row r="90">
      <c r="A90" s="265"/>
      <c r="B90" s="404"/>
      <c r="C90" s="400"/>
      <c r="D90" s="182"/>
      <c r="E90" s="557"/>
      <c r="F90" s="554"/>
      <c r="G90" s="550" t="s">
        <v>2229</v>
      </c>
      <c r="H90" s="551"/>
      <c r="I90" s="552"/>
    </row>
    <row r="91">
      <c r="A91" s="265"/>
      <c r="B91" s="480"/>
      <c r="C91" s="400"/>
      <c r="D91" s="182"/>
      <c r="E91" s="557"/>
      <c r="F91" s="558"/>
      <c r="G91" s="555"/>
      <c r="H91" s="551"/>
      <c r="I91" s="552"/>
    </row>
    <row r="92">
      <c r="A92" s="265"/>
      <c r="B92" s="480"/>
      <c r="C92" s="400"/>
      <c r="D92" s="182"/>
      <c r="E92" s="576"/>
      <c r="F92" s="558"/>
      <c r="G92" s="555"/>
      <c r="H92" s="551"/>
      <c r="I92" s="552"/>
    </row>
    <row r="93">
      <c r="A93" s="265"/>
      <c r="B93" s="480"/>
      <c r="C93" s="400"/>
      <c r="D93" s="182"/>
      <c r="E93" s="576"/>
      <c r="F93" s="558"/>
      <c r="G93" s="555"/>
      <c r="H93" s="551"/>
      <c r="I93" s="552"/>
    </row>
    <row r="94">
      <c r="A94" s="270"/>
      <c r="B94" s="478"/>
      <c r="C94" s="472"/>
      <c r="D94" s="577"/>
      <c r="E94" s="578"/>
      <c r="F94" s="561"/>
      <c r="G94" s="562"/>
      <c r="H94" s="563"/>
      <c r="I94" s="564"/>
    </row>
    <row r="95">
      <c r="A95" s="262" t="s">
        <v>1451</v>
      </c>
      <c r="B95" s="425"/>
      <c r="C95" s="421"/>
      <c r="D95" s="566"/>
      <c r="E95" s="567"/>
      <c r="F95" s="549">
        <v>210.0</v>
      </c>
      <c r="G95" s="550" t="s">
        <v>2230</v>
      </c>
      <c r="H95" s="551"/>
      <c r="I95" s="552"/>
    </row>
    <row r="96">
      <c r="A96" s="265"/>
      <c r="B96" s="404"/>
      <c r="C96" s="399"/>
      <c r="D96" s="182"/>
      <c r="E96" s="557"/>
      <c r="F96" s="554">
        <v>220.0</v>
      </c>
      <c r="G96" s="550" t="s">
        <v>2231</v>
      </c>
      <c r="H96" s="551"/>
      <c r="I96" s="552"/>
    </row>
    <row r="97">
      <c r="A97" s="265"/>
      <c r="B97" s="404"/>
      <c r="C97" s="399"/>
      <c r="D97" s="182"/>
      <c r="E97" s="557"/>
      <c r="F97" s="558"/>
      <c r="G97" s="555"/>
      <c r="H97" s="551"/>
      <c r="I97" s="552"/>
    </row>
    <row r="98">
      <c r="A98" s="265"/>
      <c r="B98" s="477"/>
      <c r="C98" s="400"/>
      <c r="D98" s="182"/>
      <c r="E98" s="557"/>
      <c r="F98" s="554"/>
      <c r="G98" s="550"/>
      <c r="H98" s="551"/>
      <c r="I98" s="552"/>
    </row>
    <row r="99">
      <c r="A99" s="265"/>
      <c r="B99" s="477"/>
      <c r="C99" s="400"/>
      <c r="D99" s="182"/>
      <c r="E99" s="557"/>
      <c r="F99" s="554"/>
      <c r="G99" s="550"/>
      <c r="H99" s="551"/>
      <c r="I99" s="552"/>
    </row>
    <row r="100">
      <c r="A100" s="270"/>
      <c r="B100" s="478"/>
      <c r="C100" s="472"/>
      <c r="D100" s="559"/>
      <c r="E100" s="560"/>
      <c r="F100" s="561"/>
      <c r="G100" s="562"/>
      <c r="H100" s="563"/>
      <c r="I100" s="564"/>
    </row>
    <row r="101">
      <c r="A101" s="262" t="s">
        <v>1453</v>
      </c>
      <c r="B101" s="425"/>
      <c r="C101" s="399"/>
      <c r="D101" s="182"/>
      <c r="E101" s="557"/>
      <c r="F101" s="549">
        <v>200.0</v>
      </c>
      <c r="G101" s="550" t="s">
        <v>2153</v>
      </c>
      <c r="H101" s="551"/>
      <c r="I101" s="552"/>
    </row>
    <row r="102">
      <c r="A102" s="265"/>
      <c r="B102" s="404"/>
      <c r="C102" s="399"/>
      <c r="D102" s="182"/>
      <c r="E102" s="557"/>
      <c r="F102" s="554">
        <v>280.0</v>
      </c>
      <c r="G102" s="550" t="s">
        <v>1975</v>
      </c>
      <c r="H102" s="551"/>
      <c r="I102" s="552"/>
    </row>
    <row r="103">
      <c r="A103" s="265"/>
      <c r="B103" s="404"/>
      <c r="C103" s="489"/>
      <c r="D103" s="579"/>
      <c r="E103" s="580"/>
      <c r="F103" s="554"/>
      <c r="G103" s="550"/>
      <c r="H103" s="551"/>
      <c r="I103" s="552"/>
    </row>
    <row r="104">
      <c r="A104" s="265"/>
      <c r="B104" s="404"/>
      <c r="C104" s="400"/>
      <c r="D104" s="182"/>
      <c r="E104" s="557"/>
      <c r="F104" s="554"/>
      <c r="G104" s="550"/>
      <c r="H104" s="551"/>
      <c r="I104" s="552"/>
    </row>
    <row r="105">
      <c r="A105" s="265"/>
      <c r="B105" s="477"/>
      <c r="C105" s="400"/>
      <c r="D105" s="182"/>
      <c r="E105" s="576"/>
      <c r="F105" s="558"/>
      <c r="G105" s="555"/>
      <c r="H105" s="551"/>
      <c r="I105" s="552"/>
    </row>
    <row r="106">
      <c r="A106" s="270"/>
      <c r="B106" s="478"/>
      <c r="C106" s="472"/>
      <c r="D106" s="559"/>
      <c r="E106" s="560"/>
      <c r="F106" s="561"/>
      <c r="G106" s="562"/>
      <c r="H106" s="563"/>
      <c r="I106" s="564"/>
    </row>
    <row r="107">
      <c r="A107" s="262" t="s">
        <v>2200</v>
      </c>
      <c r="B107" s="425"/>
      <c r="C107" s="414"/>
      <c r="D107" s="182"/>
      <c r="E107" s="557"/>
      <c r="F107" s="549">
        <v>250.0</v>
      </c>
      <c r="G107" s="550" t="s">
        <v>2232</v>
      </c>
      <c r="H107" s="551"/>
      <c r="I107" s="552"/>
    </row>
    <row r="108">
      <c r="A108" s="265"/>
      <c r="B108" s="404"/>
      <c r="C108" s="400"/>
      <c r="D108" s="182"/>
      <c r="E108" s="557"/>
      <c r="F108" s="554">
        <v>70.0</v>
      </c>
      <c r="G108" s="550" t="s">
        <v>2233</v>
      </c>
      <c r="H108" s="551"/>
      <c r="I108" s="552"/>
    </row>
    <row r="109">
      <c r="A109" s="265"/>
      <c r="B109" s="477"/>
      <c r="C109" s="400"/>
      <c r="D109" s="182"/>
      <c r="E109" s="557"/>
      <c r="F109" s="558"/>
      <c r="G109" s="555"/>
      <c r="H109" s="551"/>
      <c r="I109" s="552"/>
    </row>
    <row r="110">
      <c r="A110" s="265"/>
      <c r="B110" s="480"/>
      <c r="C110" s="400"/>
      <c r="D110" s="182"/>
      <c r="E110" s="557"/>
      <c r="F110" s="554"/>
      <c r="G110" s="550"/>
      <c r="H110" s="551"/>
      <c r="I110" s="552"/>
    </row>
    <row r="111">
      <c r="A111" s="265"/>
      <c r="B111" s="480"/>
      <c r="C111" s="400"/>
      <c r="D111" s="574"/>
      <c r="E111" s="576"/>
      <c r="F111" s="558"/>
      <c r="G111" s="550"/>
      <c r="H111" s="551"/>
      <c r="I111" s="552"/>
    </row>
    <row r="112">
      <c r="A112" s="270"/>
      <c r="B112" s="478"/>
      <c r="C112" s="472"/>
      <c r="D112" s="577"/>
      <c r="E112" s="578"/>
      <c r="F112" s="561"/>
      <c r="G112" s="562"/>
      <c r="H112" s="563"/>
      <c r="I112" s="564"/>
    </row>
    <row r="113">
      <c r="A113" s="262" t="s">
        <v>1458</v>
      </c>
      <c r="B113" s="425"/>
      <c r="C113" s="401"/>
      <c r="D113" s="566"/>
      <c r="E113" s="567"/>
      <c r="F113" s="549"/>
      <c r="G113" s="550"/>
      <c r="H113" s="556"/>
      <c r="I113" s="552"/>
    </row>
    <row r="114">
      <c r="A114" s="265"/>
      <c r="B114" s="477"/>
      <c r="C114" s="400"/>
      <c r="D114" s="182"/>
      <c r="E114" s="557"/>
      <c r="F114" s="554">
        <v>100.0</v>
      </c>
      <c r="G114" s="550" t="s">
        <v>2234</v>
      </c>
      <c r="H114" s="551"/>
      <c r="I114" s="552"/>
    </row>
    <row r="115">
      <c r="A115" s="265"/>
      <c r="B115" s="477"/>
      <c r="C115" s="400"/>
      <c r="D115" s="182"/>
      <c r="E115" s="557"/>
      <c r="F115" s="554"/>
      <c r="G115" s="550"/>
      <c r="H115" s="551"/>
      <c r="I115" s="552"/>
    </row>
    <row r="116">
      <c r="A116" s="265"/>
      <c r="B116" s="477"/>
      <c r="C116" s="400"/>
      <c r="D116" s="182"/>
      <c r="E116" s="557"/>
      <c r="F116" s="554"/>
      <c r="G116" s="550"/>
      <c r="H116" s="551"/>
      <c r="I116" s="552"/>
    </row>
    <row r="117">
      <c r="A117" s="265"/>
      <c r="B117" s="477"/>
      <c r="C117" s="400"/>
      <c r="D117" s="182"/>
      <c r="E117" s="576"/>
      <c r="F117" s="558"/>
      <c r="G117" s="555"/>
      <c r="H117" s="551"/>
      <c r="I117" s="552"/>
    </row>
    <row r="118">
      <c r="A118" s="270"/>
      <c r="B118" s="478"/>
      <c r="C118" s="472"/>
      <c r="D118" s="577"/>
      <c r="E118" s="578"/>
      <c r="F118" s="561"/>
      <c r="G118" s="562"/>
      <c r="H118" s="563"/>
      <c r="I118" s="564"/>
    </row>
    <row r="119">
      <c r="A119" s="262" t="s">
        <v>1459</v>
      </c>
      <c r="B119" s="425"/>
      <c r="C119" s="401"/>
      <c r="D119" s="182"/>
      <c r="E119" s="557"/>
      <c r="F119" s="549">
        <v>310.0</v>
      </c>
      <c r="G119" s="550" t="s">
        <v>2235</v>
      </c>
      <c r="H119" s="556"/>
      <c r="I119" s="552"/>
    </row>
    <row r="120">
      <c r="A120" s="265"/>
      <c r="B120" s="404"/>
      <c r="C120" s="399"/>
      <c r="D120" s="182"/>
      <c r="E120" s="557"/>
      <c r="F120" s="554"/>
      <c r="G120" s="550"/>
      <c r="H120" s="551"/>
      <c r="I120" s="552"/>
    </row>
    <row r="121">
      <c r="A121" s="265"/>
      <c r="B121" s="404"/>
      <c r="C121" s="400"/>
      <c r="D121" s="182"/>
      <c r="E121" s="557"/>
      <c r="F121" s="554"/>
      <c r="G121" s="550"/>
      <c r="H121" s="551"/>
      <c r="I121" s="552"/>
    </row>
    <row r="122">
      <c r="A122" s="265"/>
      <c r="B122" s="477"/>
      <c r="C122" s="400"/>
      <c r="D122" s="182"/>
      <c r="E122" s="557"/>
      <c r="F122" s="554"/>
      <c r="G122" s="550"/>
      <c r="H122" s="581"/>
      <c r="I122" s="582"/>
    </row>
    <row r="123">
      <c r="A123" s="265"/>
      <c r="B123" s="477"/>
      <c r="C123" s="400"/>
      <c r="D123" s="182"/>
      <c r="E123" s="576"/>
      <c r="F123" s="558"/>
      <c r="G123" s="555"/>
      <c r="H123" s="551"/>
      <c r="I123" s="552"/>
    </row>
    <row r="124">
      <c r="A124" s="270"/>
      <c r="B124" s="478"/>
      <c r="C124" s="472"/>
      <c r="D124" s="577"/>
      <c r="E124" s="578"/>
      <c r="F124" s="561"/>
      <c r="G124" s="562"/>
      <c r="H124" s="563"/>
      <c r="I124" s="564"/>
    </row>
    <row r="125">
      <c r="A125" s="262" t="s">
        <v>1463</v>
      </c>
      <c r="B125" s="425"/>
      <c r="C125" s="421"/>
      <c r="D125" s="566"/>
      <c r="E125" s="567"/>
      <c r="F125" s="549"/>
      <c r="G125" s="550" t="s">
        <v>2236</v>
      </c>
      <c r="H125" s="556"/>
      <c r="I125" s="569"/>
    </row>
    <row r="126">
      <c r="A126" s="265"/>
      <c r="B126" s="404"/>
      <c r="C126" s="399"/>
      <c r="D126" s="182"/>
      <c r="E126" s="576"/>
      <c r="F126" s="554">
        <v>100.0</v>
      </c>
      <c r="G126" s="550" t="s">
        <v>1975</v>
      </c>
      <c r="H126" s="551"/>
      <c r="I126" s="569"/>
    </row>
    <row r="127">
      <c r="A127" s="265"/>
      <c r="B127" s="404"/>
      <c r="C127" s="400"/>
      <c r="D127" s="182"/>
      <c r="E127" s="576"/>
      <c r="F127" s="554"/>
      <c r="G127" s="550"/>
      <c r="H127" s="551"/>
      <c r="I127" s="552"/>
    </row>
    <row r="128">
      <c r="A128" s="265"/>
      <c r="B128" s="404"/>
      <c r="C128" s="400"/>
      <c r="D128" s="182"/>
      <c r="E128" s="576"/>
      <c r="F128" s="558"/>
      <c r="G128" s="555"/>
      <c r="H128" s="551"/>
      <c r="I128" s="552"/>
    </row>
    <row r="129">
      <c r="A129" s="265"/>
      <c r="B129" s="404"/>
      <c r="C129" s="399"/>
      <c r="D129" s="182"/>
      <c r="E129" s="576"/>
      <c r="F129" s="558"/>
      <c r="G129" s="555"/>
      <c r="H129" s="551"/>
      <c r="I129" s="552"/>
    </row>
    <row r="130">
      <c r="A130" s="270"/>
      <c r="B130" s="478"/>
      <c r="C130" s="472"/>
      <c r="D130" s="559"/>
      <c r="E130" s="560"/>
      <c r="F130" s="561"/>
      <c r="G130" s="588"/>
      <c r="H130" s="563"/>
      <c r="I130" s="564"/>
    </row>
    <row r="131">
      <c r="A131" s="262" t="s">
        <v>1464</v>
      </c>
      <c r="B131" s="425"/>
      <c r="C131" s="401"/>
      <c r="D131" s="566"/>
      <c r="E131" s="567"/>
      <c r="F131" s="549">
        <v>200.0</v>
      </c>
      <c r="G131" s="550" t="s">
        <v>2237</v>
      </c>
      <c r="H131" s="556"/>
      <c r="I131" s="569"/>
    </row>
    <row r="132">
      <c r="A132" s="265"/>
      <c r="B132" s="477"/>
      <c r="C132" s="399"/>
      <c r="D132" s="182"/>
      <c r="E132" s="557"/>
      <c r="F132" s="554"/>
      <c r="G132" s="550"/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65"/>
      <c r="B134" s="477"/>
      <c r="C134" s="400"/>
      <c r="D134" s="182"/>
      <c r="E134" s="576"/>
      <c r="F134" s="554"/>
      <c r="G134" s="550"/>
      <c r="H134" s="551"/>
      <c r="I134" s="552"/>
    </row>
    <row r="135">
      <c r="A135" s="265"/>
      <c r="B135" s="477"/>
      <c r="C135" s="400"/>
      <c r="D135" s="182"/>
      <c r="E135" s="576"/>
      <c r="F135" s="558"/>
      <c r="G135" s="555"/>
      <c r="H135" s="551"/>
      <c r="I135" s="552"/>
    </row>
    <row r="136">
      <c r="A136" s="270"/>
      <c r="B136" s="478"/>
      <c r="C136" s="472"/>
      <c r="D136" s="577"/>
      <c r="E136" s="578"/>
      <c r="F136" s="561"/>
      <c r="G136" s="562"/>
      <c r="H136" s="563"/>
      <c r="I136" s="564"/>
    </row>
    <row r="137">
      <c r="A137" s="262" t="s">
        <v>1465</v>
      </c>
      <c r="B137" s="425"/>
      <c r="C137" s="401"/>
      <c r="D137" s="566"/>
      <c r="E137" s="550"/>
      <c r="F137" s="549"/>
      <c r="G137" s="550" t="s">
        <v>2238</v>
      </c>
      <c r="H137" s="551"/>
      <c r="I137" s="552"/>
    </row>
    <row r="138">
      <c r="A138" s="265"/>
      <c r="B138" s="477"/>
      <c r="C138" s="399"/>
      <c r="D138" s="182"/>
      <c r="E138" s="576"/>
      <c r="F138" s="554">
        <v>70000.0</v>
      </c>
      <c r="G138" s="550" t="s">
        <v>1975</v>
      </c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65"/>
      <c r="B140" s="404"/>
      <c r="C140" s="400"/>
      <c r="D140" s="182"/>
      <c r="E140" s="576"/>
      <c r="F140" s="554"/>
      <c r="G140" s="550"/>
      <c r="H140" s="551"/>
      <c r="I140" s="552"/>
    </row>
    <row r="141">
      <c r="A141" s="265"/>
      <c r="B141" s="477"/>
      <c r="C141" s="400"/>
      <c r="D141" s="182"/>
      <c r="E141" s="576"/>
      <c r="F141" s="554"/>
      <c r="G141" s="555"/>
      <c r="H141" s="551"/>
      <c r="I141" s="552"/>
    </row>
    <row r="142">
      <c r="A142" s="270"/>
      <c r="B142" s="478"/>
      <c r="C142" s="472"/>
      <c r="D142" s="577"/>
      <c r="E142" s="578"/>
      <c r="F142" s="561"/>
      <c r="G142" s="562"/>
      <c r="H142" s="563"/>
      <c r="I142" s="564"/>
    </row>
    <row r="143">
      <c r="A143" s="280" t="s">
        <v>2209</v>
      </c>
      <c r="B143" s="425"/>
      <c r="C143" s="401"/>
      <c r="D143" s="566"/>
      <c r="E143" s="557"/>
      <c r="F143" s="549">
        <v>230.0</v>
      </c>
      <c r="G143" s="550" t="s">
        <v>2153</v>
      </c>
      <c r="H143" s="556"/>
      <c r="I143" s="569"/>
    </row>
    <row r="144">
      <c r="A144" s="265"/>
      <c r="B144" s="404"/>
      <c r="C144" s="399"/>
      <c r="D144" s="182"/>
      <c r="E144" s="557"/>
      <c r="F144" s="554">
        <v>220.0</v>
      </c>
      <c r="G144" s="550" t="s">
        <v>1975</v>
      </c>
      <c r="H144" s="556">
        <v>-80.0</v>
      </c>
      <c r="I144" s="569">
        <v>-80.0</v>
      </c>
      <c r="J144" s="2" t="s">
        <v>2174</v>
      </c>
    </row>
    <row r="145">
      <c r="A145" s="265"/>
      <c r="B145" s="404"/>
      <c r="C145" s="399"/>
      <c r="D145" s="182"/>
      <c r="E145" s="557"/>
      <c r="F145" s="554"/>
      <c r="G145" s="550"/>
      <c r="H145" s="556">
        <v>-50.0</v>
      </c>
      <c r="I145" s="552"/>
      <c r="J145" s="2" t="s">
        <v>2175</v>
      </c>
    </row>
    <row r="146">
      <c r="A146" s="265"/>
      <c r="B146" s="404"/>
      <c r="C146" s="399"/>
      <c r="D146" s="182"/>
      <c r="E146" s="557"/>
      <c r="F146" s="554"/>
      <c r="G146" s="550"/>
      <c r="H146" s="556">
        <v>-90.0</v>
      </c>
      <c r="I146" s="552"/>
      <c r="J146" s="2" t="s">
        <v>2176</v>
      </c>
    </row>
    <row r="147">
      <c r="A147" s="270"/>
      <c r="B147" s="404"/>
      <c r="C147" s="399"/>
      <c r="D147" s="182"/>
      <c r="E147" s="557"/>
      <c r="F147" s="554"/>
      <c r="G147" s="555"/>
      <c r="H147" s="551"/>
      <c r="I147" s="569">
        <v>1420000.0</v>
      </c>
      <c r="J147" s="2" t="s">
        <v>2177</v>
      </c>
    </row>
    <row r="148">
      <c r="A148" s="452"/>
      <c r="B148" s="631"/>
      <c r="C148" s="486"/>
      <c r="D148" s="559"/>
      <c r="E148" s="560"/>
      <c r="F148" s="632"/>
      <c r="G148" s="562"/>
      <c r="H148" s="563"/>
      <c r="I148" s="564"/>
    </row>
    <row r="149">
      <c r="A149" s="299" t="s">
        <v>1474</v>
      </c>
      <c r="B149" s="440"/>
      <c r="C149" s="462"/>
      <c r="D149" s="182"/>
      <c r="E149" s="557"/>
      <c r="F149" s="554">
        <v>180.0</v>
      </c>
      <c r="G149" s="550" t="s">
        <v>2153</v>
      </c>
      <c r="H149" s="551"/>
      <c r="I149" s="552"/>
    </row>
    <row r="150">
      <c r="B150" s="480"/>
      <c r="C150" s="462"/>
      <c r="D150" s="574"/>
      <c r="E150" s="576"/>
      <c r="F150" s="554">
        <v>90.0</v>
      </c>
      <c r="G150" s="550" t="s">
        <v>1975</v>
      </c>
      <c r="H150" s="551"/>
      <c r="I150" s="552"/>
    </row>
    <row r="151">
      <c r="B151" s="480"/>
      <c r="C151" s="462"/>
      <c r="D151" s="574"/>
      <c r="E151" s="576"/>
      <c r="F151" s="558"/>
      <c r="G151" s="555"/>
      <c r="H151" s="551"/>
      <c r="I151" s="552"/>
    </row>
    <row r="152">
      <c r="B152" s="480"/>
      <c r="C152" s="462"/>
      <c r="D152" s="574"/>
      <c r="E152" s="576"/>
      <c r="F152" s="558"/>
      <c r="G152" s="555"/>
      <c r="H152" s="551"/>
      <c r="I152" s="552"/>
    </row>
    <row r="153">
      <c r="B153" s="480"/>
      <c r="C153" s="462"/>
      <c r="D153" s="574"/>
      <c r="E153" s="576"/>
      <c r="F153" s="558"/>
      <c r="G153" s="555"/>
      <c r="H153" s="551"/>
      <c r="I153" s="552"/>
    </row>
    <row r="154">
      <c r="A154" s="585"/>
      <c r="B154" s="271"/>
      <c r="C154" s="586"/>
      <c r="D154" s="587"/>
      <c r="E154" s="588"/>
      <c r="F154" s="561"/>
      <c r="G154" s="562"/>
      <c r="H154" s="563"/>
      <c r="I154" s="564"/>
    </row>
    <row r="155">
      <c r="A155" s="299" t="s">
        <v>1665</v>
      </c>
      <c r="B155" s="440"/>
      <c r="C155" s="462"/>
      <c r="D155" s="182"/>
      <c r="E155" s="557"/>
      <c r="F155" s="554">
        <v>400.0</v>
      </c>
      <c r="G155" s="550" t="s">
        <v>2239</v>
      </c>
      <c r="H155" s="551"/>
      <c r="I155" s="552"/>
    </row>
    <row r="156">
      <c r="B156" s="480"/>
      <c r="C156" s="462"/>
      <c r="D156" s="574"/>
      <c r="E156" s="576"/>
      <c r="F156" s="558"/>
      <c r="G156" s="555"/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B158" s="480"/>
      <c r="C158" s="462"/>
      <c r="D158" s="574"/>
      <c r="E158" s="576"/>
      <c r="F158" s="558"/>
      <c r="G158" s="555"/>
      <c r="H158" s="551"/>
      <c r="I158" s="552"/>
    </row>
    <row r="159">
      <c r="B159" s="480"/>
      <c r="C159" s="462"/>
      <c r="D159" s="574"/>
      <c r="E159" s="576"/>
      <c r="F159" s="558"/>
      <c r="G159" s="555"/>
      <c r="H159" s="551"/>
      <c r="I159" s="552"/>
    </row>
    <row r="160">
      <c r="A160" s="585"/>
      <c r="B160" s="271"/>
      <c r="C160" s="586"/>
      <c r="D160" s="587"/>
      <c r="E160" s="588"/>
      <c r="F160" s="561"/>
      <c r="G160" s="562"/>
      <c r="H160" s="563"/>
      <c r="I160" s="564"/>
    </row>
    <row r="161">
      <c r="A161" s="299" t="s">
        <v>2142</v>
      </c>
      <c r="B161" s="440"/>
      <c r="C161" s="462"/>
      <c r="D161" s="182"/>
      <c r="E161" s="557"/>
      <c r="F161" s="554"/>
      <c r="G161" s="550"/>
      <c r="H161" s="551"/>
      <c r="I161" s="552"/>
    </row>
    <row r="162">
      <c r="B162" s="480"/>
      <c r="C162" s="462"/>
      <c r="D162" s="574"/>
      <c r="E162" s="576"/>
      <c r="F162" s="558"/>
      <c r="G162" s="555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B164" s="480"/>
      <c r="C164" s="462"/>
      <c r="D164" s="574"/>
      <c r="E164" s="576"/>
      <c r="F164" s="558"/>
      <c r="G164" s="555"/>
      <c r="H164" s="551"/>
      <c r="I164" s="552"/>
    </row>
    <row r="165">
      <c r="B165" s="480"/>
      <c r="C165" s="462"/>
      <c r="D165" s="574"/>
      <c r="E165" s="576"/>
      <c r="F165" s="558"/>
      <c r="G165" s="555"/>
      <c r="H165" s="551"/>
      <c r="I165" s="552"/>
    </row>
    <row r="166">
      <c r="A166" s="585"/>
      <c r="B166" s="271"/>
      <c r="C166" s="586"/>
      <c r="D166" s="587"/>
      <c r="E166" s="588"/>
      <c r="F166" s="561"/>
      <c r="G166" s="562"/>
      <c r="H166" s="563"/>
      <c r="I166" s="564"/>
    </row>
    <row r="167">
      <c r="A167" s="606" t="s">
        <v>2144</v>
      </c>
      <c r="B167" s="600"/>
      <c r="C167" s="607"/>
      <c r="D167" s="566"/>
      <c r="E167" s="567"/>
      <c r="F167" s="549"/>
      <c r="G167" s="548"/>
      <c r="H167" s="609"/>
      <c r="I167" s="610"/>
    </row>
    <row r="168">
      <c r="A168" s="611"/>
      <c r="B168" s="480"/>
      <c r="C168" s="462"/>
      <c r="D168" s="574"/>
      <c r="E168" s="576"/>
      <c r="F168" s="558"/>
      <c r="G168" s="550"/>
      <c r="H168" s="551"/>
      <c r="I168" s="612"/>
    </row>
    <row r="169">
      <c r="A169" s="611"/>
      <c r="B169" s="480"/>
      <c r="C169" s="462"/>
      <c r="D169" s="574"/>
      <c r="E169" s="576"/>
      <c r="F169" s="558"/>
      <c r="G169" s="550"/>
      <c r="H169" s="551"/>
      <c r="I169" s="612"/>
    </row>
    <row r="170">
      <c r="A170" s="611"/>
      <c r="B170" s="480"/>
      <c r="C170" s="462"/>
      <c r="D170" s="574"/>
      <c r="E170" s="576"/>
      <c r="F170" s="558"/>
      <c r="G170" s="550"/>
      <c r="H170" s="551"/>
      <c r="I170" s="612"/>
    </row>
    <row r="171">
      <c r="A171" s="613"/>
      <c r="B171" s="478"/>
      <c r="C171" s="614"/>
      <c r="D171" s="577"/>
      <c r="E171" s="578"/>
      <c r="F171" s="561"/>
      <c r="G171" s="562"/>
      <c r="H171" s="563"/>
      <c r="I171" s="615"/>
    </row>
    <row r="172">
      <c r="A172" s="606"/>
      <c r="B172" s="600"/>
      <c r="C172" s="607"/>
      <c r="D172" s="566"/>
      <c r="E172" s="567"/>
      <c r="F172" s="597"/>
      <c r="G172" s="608"/>
      <c r="H172" s="609"/>
      <c r="I172" s="610"/>
    </row>
    <row r="173">
      <c r="A173" s="611"/>
      <c r="B173" s="480"/>
      <c r="C173" s="462"/>
      <c r="D173" s="574"/>
      <c r="E173" s="576"/>
      <c r="F173" s="558"/>
      <c r="G173" s="555"/>
      <c r="H173" s="551"/>
      <c r="I173" s="612"/>
    </row>
    <row r="174">
      <c r="A174" s="611"/>
      <c r="B174" s="480"/>
      <c r="C174" s="462"/>
      <c r="D174" s="574"/>
      <c r="E174" s="576"/>
      <c r="F174" s="558"/>
      <c r="G174" s="555"/>
      <c r="H174" s="551"/>
      <c r="I174" s="612"/>
    </row>
    <row r="175">
      <c r="A175" s="611"/>
      <c r="B175" s="480"/>
      <c r="C175" s="462"/>
      <c r="D175" s="574"/>
      <c r="E175" s="576"/>
      <c r="F175" s="558"/>
      <c r="G175" s="555"/>
      <c r="H175" s="551"/>
      <c r="I175" s="612"/>
    </row>
    <row r="176">
      <c r="A176" s="613"/>
      <c r="B176" s="478"/>
      <c r="C176" s="614"/>
      <c r="D176" s="577"/>
      <c r="E176" s="578"/>
      <c r="F176" s="561"/>
      <c r="G176" s="562"/>
      <c r="H176" s="563"/>
      <c r="I176" s="615"/>
    </row>
    <row r="177">
      <c r="A177" s="299"/>
      <c r="B177" s="440"/>
      <c r="C177" s="462"/>
      <c r="D177" s="182"/>
      <c r="E177" s="557"/>
      <c r="F177" s="558"/>
      <c r="G177" s="555"/>
      <c r="H177" s="551"/>
      <c r="I177" s="552"/>
    </row>
    <row r="178">
      <c r="B178" s="480"/>
      <c r="C178" s="462"/>
      <c r="D178" s="574"/>
      <c r="E178" s="576"/>
      <c r="F178" s="558"/>
      <c r="G178" s="555"/>
      <c r="H178" s="551"/>
      <c r="I178" s="552"/>
    </row>
    <row r="179">
      <c r="B179" s="480"/>
      <c r="C179" s="462"/>
      <c r="D179" s="574"/>
      <c r="E179" s="576"/>
      <c r="F179" s="558"/>
      <c r="G179" s="555"/>
      <c r="H179" s="551"/>
      <c r="I179" s="552"/>
    </row>
    <row r="180">
      <c r="B180" s="480"/>
      <c r="C180" s="462"/>
      <c r="D180" s="574"/>
      <c r="E180" s="576"/>
      <c r="F180" s="558"/>
      <c r="G180" s="555"/>
      <c r="H180" s="551"/>
      <c r="I180" s="552"/>
    </row>
    <row r="181">
      <c r="B181" s="480"/>
      <c r="C181" s="462"/>
      <c r="D181" s="574"/>
      <c r="E181" s="576"/>
      <c r="F181" s="558"/>
      <c r="G181" s="555"/>
      <c r="H181" s="551"/>
      <c r="I181" s="552"/>
    </row>
    <row r="182">
      <c r="A182" s="585"/>
      <c r="B182" s="271"/>
      <c r="C182" s="586"/>
      <c r="D182" s="587"/>
      <c r="E182" s="588"/>
      <c r="F182" s="561"/>
      <c r="G182" s="562"/>
      <c r="H182" s="563"/>
      <c r="I182" s="564"/>
    </row>
    <row r="183">
      <c r="A183" s="303"/>
      <c r="B183" s="268"/>
      <c r="C183" s="253"/>
      <c r="D183" s="366"/>
      <c r="E183" s="555"/>
      <c r="F183" s="558"/>
      <c r="G183" s="555"/>
      <c r="H183" s="551"/>
      <c r="I183" s="552"/>
    </row>
    <row r="184">
      <c r="A184" s="303"/>
      <c r="B184" s="268"/>
      <c r="C184" s="253"/>
      <c r="D184" s="366"/>
      <c r="E184" s="555"/>
      <c r="F184" s="558"/>
      <c r="G184" s="555"/>
      <c r="H184" s="551"/>
      <c r="I184" s="552"/>
    </row>
    <row r="185">
      <c r="A185" s="303"/>
      <c r="B185" s="268"/>
      <c r="C185" s="253"/>
      <c r="D185" s="366"/>
      <c r="E185" s="555"/>
      <c r="F185" s="558"/>
      <c r="G185" s="555"/>
      <c r="H185" s="551"/>
      <c r="I185" s="552"/>
    </row>
    <row r="186">
      <c r="A186" s="303"/>
      <c r="B186" s="268"/>
      <c r="C186" s="253"/>
      <c r="D186" s="366"/>
      <c r="E186" s="555"/>
      <c r="F186" s="558"/>
      <c r="G186" s="555"/>
      <c r="H186" s="551"/>
      <c r="I186" s="552"/>
    </row>
    <row r="187">
      <c r="A187" s="304"/>
      <c r="B187" s="268"/>
      <c r="C187" s="253"/>
      <c r="D187" s="366"/>
      <c r="E187" s="555"/>
      <c r="F187" s="558"/>
      <c r="G187" s="555"/>
      <c r="H187" s="551"/>
      <c r="I187" s="552"/>
    </row>
    <row r="188">
      <c r="A188" s="305"/>
      <c r="B188" s="271"/>
      <c r="C188" s="273"/>
      <c r="D188" s="587"/>
      <c r="E188" s="562"/>
      <c r="F188" s="561"/>
      <c r="G188" s="555"/>
      <c r="H188" s="551"/>
      <c r="I188" s="552"/>
    </row>
    <row r="189">
      <c r="A189" s="265"/>
      <c r="B189" s="306"/>
      <c r="C189" s="241"/>
      <c r="D189" s="583"/>
      <c r="E189" s="548"/>
      <c r="F189" s="597"/>
      <c r="G189" s="555"/>
      <c r="H189" s="551"/>
      <c r="I189" s="552"/>
    </row>
    <row r="190">
      <c r="A190" s="265"/>
      <c r="B190" s="268"/>
      <c r="C190" s="253"/>
      <c r="D190" s="366"/>
      <c r="E190" s="555"/>
      <c r="F190" s="558"/>
      <c r="G190" s="555"/>
      <c r="H190" s="551"/>
      <c r="I190" s="552"/>
    </row>
    <row r="191">
      <c r="A191" s="265"/>
      <c r="B191" s="268"/>
      <c r="C191" s="253"/>
      <c r="D191" s="366"/>
      <c r="E191" s="555"/>
      <c r="F191" s="558"/>
      <c r="G191" s="555"/>
      <c r="H191" s="551"/>
      <c r="I191" s="552"/>
    </row>
    <row r="192">
      <c r="A192" s="265"/>
      <c r="B192" s="268"/>
      <c r="C192" s="253"/>
      <c r="D192" s="366"/>
      <c r="E192" s="555"/>
      <c r="F192" s="558"/>
      <c r="G192" s="555"/>
      <c r="H192" s="551"/>
      <c r="I192" s="552"/>
    </row>
    <row r="193">
      <c r="A193" s="265"/>
      <c r="B193" s="268"/>
      <c r="C193" s="253"/>
      <c r="D193" s="366"/>
      <c r="E193" s="555"/>
      <c r="F193" s="558"/>
      <c r="G193" s="555"/>
      <c r="H193" s="551"/>
      <c r="I193" s="552"/>
    </row>
    <row r="194">
      <c r="A194" s="265"/>
      <c r="B194" s="268"/>
      <c r="C194" s="253"/>
      <c r="D194" s="366"/>
      <c r="E194" s="555"/>
      <c r="F194" s="558"/>
      <c r="G194" s="555"/>
      <c r="H194" s="551"/>
      <c r="I194" s="552"/>
    </row>
    <row r="195">
      <c r="A195" s="265"/>
      <c r="B195" s="268"/>
      <c r="C195" s="253"/>
      <c r="D195" s="366"/>
      <c r="E195" s="555"/>
      <c r="F195" s="558"/>
      <c r="G195" s="555"/>
      <c r="H195" s="551"/>
      <c r="I195" s="552"/>
    </row>
    <row r="196">
      <c r="A196" s="265"/>
      <c r="B196" s="268"/>
      <c r="C196" s="253"/>
      <c r="D196" s="366"/>
      <c r="E196" s="555"/>
      <c r="F196" s="558"/>
      <c r="G196" s="555"/>
      <c r="H196" s="551"/>
      <c r="I196" s="552"/>
    </row>
    <row r="197">
      <c r="A197" s="270"/>
      <c r="B197" s="268"/>
      <c r="C197" s="253"/>
      <c r="D197" s="366"/>
      <c r="E197" s="555"/>
      <c r="F197" s="558"/>
      <c r="G197" s="555"/>
      <c r="H197" s="551"/>
      <c r="I197" s="552"/>
    </row>
    <row r="198">
      <c r="B198" s="271"/>
      <c r="C198" s="273"/>
      <c r="D198" s="587"/>
      <c r="E198" s="562"/>
      <c r="F198" s="561"/>
      <c r="G198" s="555"/>
      <c r="H198" s="551"/>
      <c r="I198" s="552"/>
    </row>
    <row r="199">
      <c r="B199" s="306"/>
      <c r="C199" s="241"/>
      <c r="D199" s="583"/>
      <c r="E199" s="548"/>
      <c r="F199" s="597"/>
      <c r="G199" s="555"/>
      <c r="H199" s="551"/>
      <c r="I199" s="552"/>
    </row>
    <row r="200">
      <c r="B200" s="268"/>
      <c r="C200" s="253"/>
      <c r="D200" s="366"/>
      <c r="E200" s="555"/>
      <c r="F200" s="558"/>
      <c r="G200" s="555"/>
      <c r="H200" s="551"/>
      <c r="I200" s="552"/>
    </row>
    <row r="201">
      <c r="B201" s="268"/>
      <c r="C201" s="253"/>
      <c r="D201" s="366"/>
      <c r="E201" s="555"/>
      <c r="F201" s="558"/>
      <c r="G201" s="555"/>
      <c r="H201" s="551"/>
      <c r="I201" s="552"/>
    </row>
    <row r="202">
      <c r="B202" s="308"/>
      <c r="C202" s="253"/>
      <c r="D202" s="598"/>
      <c r="E202" s="555"/>
      <c r="F202" s="572"/>
      <c r="G202" s="555"/>
      <c r="H202" s="551"/>
      <c r="I202" s="552"/>
    </row>
    <row r="203">
      <c r="B203" s="308"/>
      <c r="C203" s="253"/>
      <c r="D203" s="598"/>
      <c r="E203" s="555"/>
      <c r="F203" s="572"/>
      <c r="G203" s="555"/>
      <c r="H203" s="551"/>
      <c r="I203" s="552"/>
    </row>
    <row r="204">
      <c r="B204" s="308"/>
      <c r="C204" s="253"/>
      <c r="D204" s="598"/>
      <c r="E204" s="555"/>
      <c r="F204" s="572"/>
      <c r="G204" s="555"/>
      <c r="H204" s="551"/>
      <c r="I204" s="552"/>
    </row>
    <row r="205">
      <c r="B205" s="308"/>
      <c r="C205" s="253"/>
      <c r="D205" s="598"/>
      <c r="E205" s="555"/>
      <c r="F205" s="572"/>
      <c r="G205" s="555"/>
      <c r="H205" s="551"/>
      <c r="I205" s="552"/>
    </row>
    <row r="206">
      <c r="B206" s="308"/>
      <c r="C206" s="253"/>
      <c r="D206" s="598"/>
      <c r="E206" s="555"/>
      <c r="F206" s="572"/>
      <c r="G206" s="555"/>
      <c r="H206" s="551"/>
      <c r="I206" s="552"/>
    </row>
    <row r="207">
      <c r="B207" s="308"/>
      <c r="C207" s="253"/>
      <c r="D207" s="598"/>
      <c r="E207" s="555"/>
      <c r="F207" s="572"/>
      <c r="G207" s="555"/>
      <c r="H207" s="551"/>
      <c r="I207" s="552"/>
    </row>
    <row r="208">
      <c r="B208" s="308"/>
      <c r="C208" s="253"/>
      <c r="D208" s="598"/>
      <c r="E208" s="555"/>
      <c r="F208" s="572"/>
      <c r="G208" s="555"/>
      <c r="H208" s="551"/>
      <c r="I208" s="552"/>
    </row>
    <row r="209">
      <c r="B209" s="308"/>
      <c r="C209" s="253"/>
      <c r="D209" s="598"/>
      <c r="E209" s="555"/>
      <c r="F209" s="572"/>
      <c r="G209" s="555"/>
      <c r="H209" s="551"/>
      <c r="I209" s="552"/>
    </row>
    <row r="210">
      <c r="B210" s="308"/>
      <c r="C210" s="253"/>
      <c r="D210" s="598"/>
      <c r="E210" s="555"/>
      <c r="F210" s="572"/>
      <c r="G210" s="555"/>
      <c r="H210" s="551"/>
      <c r="I210" s="552"/>
    </row>
    <row r="211">
      <c r="B211" s="308"/>
      <c r="C211" s="253"/>
      <c r="D211" s="598"/>
      <c r="E211" s="555"/>
      <c r="F211" s="572"/>
      <c r="G211" s="555"/>
      <c r="H211" s="551"/>
      <c r="I211" s="552"/>
    </row>
    <row r="212">
      <c r="B212" s="308"/>
      <c r="C212" s="253"/>
      <c r="D212" s="598"/>
      <c r="E212" s="555"/>
      <c r="F212" s="572"/>
      <c r="G212" s="555"/>
      <c r="H212" s="551"/>
      <c r="I212" s="552"/>
    </row>
    <row r="213">
      <c r="B213" s="308"/>
      <c r="C213" s="253"/>
      <c r="D213" s="598"/>
      <c r="E213" s="555"/>
      <c r="F213" s="572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</sheetData>
  <mergeCells count="31">
    <mergeCell ref="A2:A7"/>
    <mergeCell ref="A8:A14"/>
    <mergeCell ref="A15:A19"/>
    <mergeCell ref="A20:A25"/>
    <mergeCell ref="A26:A31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2"/>
    <mergeCell ref="A113:A118"/>
    <mergeCell ref="A119:A124"/>
    <mergeCell ref="A125:A130"/>
    <mergeCell ref="A172:A176"/>
    <mergeCell ref="A177:A181"/>
    <mergeCell ref="A188:A197"/>
    <mergeCell ref="A131:A136"/>
    <mergeCell ref="A137:A142"/>
    <mergeCell ref="A143:A147"/>
    <mergeCell ref="A149:A153"/>
    <mergeCell ref="A155:A159"/>
    <mergeCell ref="A161:A165"/>
    <mergeCell ref="A167:A1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16.13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2240</v>
      </c>
      <c r="B2" s="425"/>
      <c r="C2" s="532"/>
      <c r="D2" s="547"/>
      <c r="E2" s="548"/>
      <c r="F2" s="549">
        <v>400.0</v>
      </c>
      <c r="G2" s="550" t="s">
        <v>2241</v>
      </c>
      <c r="H2" s="556"/>
      <c r="I2" s="569"/>
    </row>
    <row r="3">
      <c r="A3" s="265"/>
      <c r="B3" s="510"/>
      <c r="C3" s="399"/>
      <c r="D3" s="366"/>
      <c r="E3" s="553"/>
      <c r="F3" s="554"/>
      <c r="G3" s="550"/>
      <c r="H3" s="556"/>
      <c r="I3" s="552"/>
    </row>
    <row r="4">
      <c r="A4" s="265"/>
      <c r="B4" s="404"/>
      <c r="C4" s="414"/>
      <c r="D4" s="182"/>
      <c r="E4" s="557"/>
      <c r="F4" s="558"/>
      <c r="G4" s="550"/>
      <c r="H4" s="556"/>
      <c r="I4" s="569"/>
    </row>
    <row r="5">
      <c r="A5" s="265"/>
      <c r="B5" s="404"/>
      <c r="C5" s="399"/>
      <c r="D5" s="182"/>
      <c r="E5" s="557"/>
      <c r="F5" s="554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878</v>
      </c>
      <c r="B8" s="425"/>
      <c r="C8" s="401"/>
      <c r="D8" s="182"/>
      <c r="E8" s="557"/>
      <c r="F8" s="549">
        <v>120.0</v>
      </c>
      <c r="G8" s="550" t="s">
        <v>2235</v>
      </c>
      <c r="H8" s="556"/>
      <c r="I8" s="552"/>
    </row>
    <row r="9">
      <c r="A9" s="265"/>
      <c r="B9" s="404"/>
      <c r="C9" s="414"/>
      <c r="D9" s="182"/>
      <c r="E9" s="557"/>
      <c r="F9" s="554"/>
      <c r="G9" s="550"/>
      <c r="H9" s="556"/>
      <c r="I9" s="552"/>
    </row>
    <row r="10">
      <c r="A10" s="265"/>
      <c r="B10" s="339"/>
      <c r="C10" s="414"/>
      <c r="D10" s="182"/>
      <c r="E10" s="557"/>
      <c r="F10" s="554"/>
      <c r="G10" s="550"/>
      <c r="H10" s="556"/>
      <c r="I10" s="552"/>
    </row>
    <row r="11">
      <c r="A11" s="265"/>
      <c r="B11" s="404"/>
      <c r="C11" s="399"/>
      <c r="D11" s="182"/>
      <c r="E11" s="557"/>
      <c r="F11" s="554"/>
      <c r="G11" s="550"/>
      <c r="H11" s="556"/>
      <c r="I11" s="569"/>
    </row>
    <row r="12">
      <c r="A12" s="265"/>
      <c r="B12" s="419"/>
      <c r="C12" s="414"/>
      <c r="D12" s="182"/>
      <c r="E12" s="557"/>
      <c r="F12" s="554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69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262" t="s">
        <v>879</v>
      </c>
      <c r="B15" s="600"/>
      <c r="C15" s="421"/>
      <c r="D15" s="566"/>
      <c r="E15" s="567"/>
      <c r="F15" s="549">
        <v>170.0</v>
      </c>
      <c r="G15" s="550" t="s">
        <v>2241</v>
      </c>
      <c r="H15" s="581"/>
      <c r="I15" s="619"/>
      <c r="J15" s="603"/>
    </row>
    <row r="16">
      <c r="A16" s="265"/>
      <c r="B16" s="440"/>
      <c r="C16" s="414"/>
      <c r="D16" s="182"/>
      <c r="E16" s="557"/>
      <c r="F16" s="554"/>
      <c r="G16" s="557"/>
      <c r="H16" s="556"/>
      <c r="I16" s="569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70"/>
      <c r="B19" s="404"/>
      <c r="C19" s="399"/>
      <c r="D19" s="182"/>
      <c r="E19" s="557"/>
      <c r="F19" s="558"/>
      <c r="G19" s="562"/>
      <c r="H19" s="599"/>
      <c r="I19" s="601"/>
    </row>
    <row r="20">
      <c r="A20" s="262" t="s">
        <v>882</v>
      </c>
      <c r="B20" s="425"/>
      <c r="C20" s="401"/>
      <c r="D20" s="566"/>
      <c r="E20" s="567"/>
      <c r="F20" s="549">
        <v>140.0</v>
      </c>
      <c r="G20" s="550" t="s">
        <v>2153</v>
      </c>
      <c r="H20" s="556"/>
      <c r="I20" s="569"/>
    </row>
    <row r="21">
      <c r="A21" s="265"/>
      <c r="B21" s="404"/>
      <c r="C21" s="399"/>
      <c r="D21" s="182"/>
      <c r="E21" s="557"/>
      <c r="F21" s="554">
        <v>220.0</v>
      </c>
      <c r="G21" s="550" t="s">
        <v>1965</v>
      </c>
      <c r="H21" s="551"/>
      <c r="I21" s="569"/>
    </row>
    <row r="22">
      <c r="A22" s="265"/>
      <c r="B22" s="457"/>
      <c r="C22" s="399"/>
      <c r="D22" s="182"/>
      <c r="E22" s="557"/>
      <c r="F22" s="558"/>
      <c r="G22" s="555"/>
      <c r="H22" s="551"/>
      <c r="I22" s="569"/>
    </row>
    <row r="23">
      <c r="A23" s="265"/>
      <c r="B23" s="468"/>
      <c r="C23" s="399"/>
      <c r="D23" s="570"/>
      <c r="E23" s="557"/>
      <c r="F23" s="554"/>
      <c r="G23" s="550"/>
      <c r="H23" s="551"/>
      <c r="I23" s="569"/>
    </row>
    <row r="24">
      <c r="A24" s="265"/>
      <c r="B24" s="468"/>
      <c r="C24" s="399"/>
      <c r="D24" s="182"/>
      <c r="E24" s="557"/>
      <c r="F24" s="554"/>
      <c r="G24" s="555"/>
      <c r="H24" s="551"/>
      <c r="I24" s="569"/>
    </row>
    <row r="25">
      <c r="A25" s="270"/>
      <c r="B25" s="404"/>
      <c r="C25" s="399"/>
      <c r="D25" s="182"/>
      <c r="E25" s="557"/>
      <c r="F25" s="558"/>
      <c r="G25" s="562"/>
      <c r="H25" s="563"/>
      <c r="I25" s="601"/>
    </row>
    <row r="26">
      <c r="A26" s="262" t="s">
        <v>883</v>
      </c>
      <c r="B26" s="425"/>
      <c r="C26" s="421"/>
      <c r="D26" s="182"/>
      <c r="E26" s="567"/>
      <c r="F26" s="571">
        <f>230-230</f>
        <v>0</v>
      </c>
      <c r="G26" s="550"/>
      <c r="H26" s="556"/>
      <c r="I26" s="569"/>
    </row>
    <row r="27">
      <c r="A27" s="265"/>
      <c r="B27" s="404"/>
      <c r="C27" s="399"/>
      <c r="D27" s="182"/>
      <c r="E27" s="557"/>
      <c r="F27" s="83"/>
      <c r="G27" s="550"/>
      <c r="H27" s="556"/>
      <c r="I27" s="569"/>
    </row>
    <row r="28">
      <c r="A28" s="265"/>
      <c r="B28" s="404"/>
      <c r="C28" s="400"/>
      <c r="D28" s="182"/>
      <c r="E28" s="557"/>
      <c r="F28" s="572"/>
      <c r="G28" s="573"/>
      <c r="H28" s="556"/>
      <c r="I28" s="552"/>
    </row>
    <row r="29">
      <c r="A29" s="265"/>
      <c r="B29" s="404"/>
      <c r="C29" s="400"/>
      <c r="D29" s="182"/>
      <c r="E29" s="557"/>
      <c r="F29" s="83"/>
      <c r="G29" s="550"/>
      <c r="H29" s="556"/>
      <c r="I29" s="552"/>
    </row>
    <row r="30">
      <c r="A30" s="265"/>
      <c r="B30" s="404"/>
      <c r="C30" s="400"/>
      <c r="D30" s="182"/>
      <c r="E30" s="557"/>
      <c r="F30" s="558"/>
      <c r="G30" s="550"/>
      <c r="H30" s="556"/>
      <c r="I30" s="552"/>
    </row>
    <row r="31">
      <c r="A31" s="270"/>
      <c r="B31" s="440"/>
      <c r="C31" s="400"/>
      <c r="D31" s="574"/>
      <c r="E31" s="557"/>
      <c r="F31" s="558"/>
      <c r="G31" s="575"/>
      <c r="H31" s="556"/>
      <c r="I31" s="552"/>
    </row>
    <row r="32">
      <c r="A32" s="437"/>
      <c r="B32" s="440"/>
      <c r="C32" s="400"/>
      <c r="D32" s="574"/>
      <c r="E32" s="557"/>
      <c r="F32" s="558"/>
      <c r="G32" s="573"/>
      <c r="H32" s="556"/>
      <c r="I32" s="569"/>
    </row>
    <row r="33">
      <c r="A33" s="437"/>
      <c r="B33" s="440"/>
      <c r="C33" s="400"/>
      <c r="D33" s="574"/>
      <c r="E33" s="557"/>
      <c r="F33" s="558"/>
      <c r="G33" s="573"/>
      <c r="H33" s="556"/>
      <c r="I33" s="569"/>
    </row>
    <row r="34">
      <c r="A34" s="437"/>
      <c r="B34" s="440"/>
      <c r="C34" s="400"/>
      <c r="D34" s="574"/>
      <c r="E34" s="557"/>
      <c r="F34" s="558"/>
      <c r="G34" s="573"/>
      <c r="H34" s="556"/>
      <c r="I34" s="552"/>
    </row>
    <row r="35">
      <c r="A35" s="262" t="s">
        <v>885</v>
      </c>
      <c r="B35" s="425"/>
      <c r="C35" s="401"/>
      <c r="D35" s="566"/>
      <c r="E35" s="567"/>
      <c r="F35" s="549">
        <v>150.0</v>
      </c>
      <c r="G35" s="550"/>
      <c r="H35" s="556"/>
      <c r="I35" s="552"/>
    </row>
    <row r="36">
      <c r="A36" s="265"/>
      <c r="B36" s="477"/>
      <c r="C36" s="400"/>
      <c r="D36" s="182"/>
      <c r="E36" s="576"/>
      <c r="F36" s="554">
        <f>260-150</f>
        <v>110</v>
      </c>
      <c r="G36" s="550"/>
      <c r="H36" s="551"/>
      <c r="I36" s="552"/>
    </row>
    <row r="37">
      <c r="A37" s="265"/>
      <c r="B37" s="477"/>
      <c r="C37" s="400"/>
      <c r="D37" s="182"/>
      <c r="E37" s="576"/>
      <c r="F37" s="554"/>
      <c r="G37" s="550"/>
      <c r="H37" s="556"/>
      <c r="I37" s="552"/>
    </row>
    <row r="38">
      <c r="A38" s="265"/>
      <c r="B38" s="477"/>
      <c r="C38" s="400"/>
      <c r="D38" s="182"/>
      <c r="E38" s="576"/>
      <c r="F38" s="554"/>
      <c r="G38" s="550"/>
      <c r="H38" s="556"/>
      <c r="I38" s="552"/>
    </row>
    <row r="39">
      <c r="A39" s="265"/>
      <c r="B39" s="477"/>
      <c r="C39" s="400"/>
      <c r="D39" s="182"/>
      <c r="E39" s="576"/>
      <c r="F39" s="558"/>
      <c r="G39" s="555"/>
      <c r="H39" s="551"/>
      <c r="I39" s="569"/>
    </row>
    <row r="40">
      <c r="A40" s="270"/>
      <c r="B40" s="478"/>
      <c r="C40" s="472"/>
      <c r="D40" s="577"/>
      <c r="E40" s="578"/>
      <c r="F40" s="561"/>
      <c r="G40" s="562"/>
      <c r="H40" s="563"/>
      <c r="I40" s="601"/>
    </row>
    <row r="41">
      <c r="A41" s="262" t="s">
        <v>887</v>
      </c>
      <c r="B41" s="425"/>
      <c r="C41" s="401"/>
      <c r="D41" s="566"/>
      <c r="E41" s="550"/>
      <c r="F41" s="549">
        <v>300.0</v>
      </c>
      <c r="G41" s="550"/>
      <c r="H41" s="620"/>
      <c r="I41" s="564"/>
      <c r="J41" s="603"/>
    </row>
    <row r="42">
      <c r="A42" s="265"/>
      <c r="B42" s="404"/>
      <c r="C42" s="399"/>
      <c r="D42" s="182"/>
      <c r="E42" s="550"/>
      <c r="F42" s="554">
        <v>160.0</v>
      </c>
      <c r="G42" s="550"/>
      <c r="H42" s="556"/>
      <c r="I42" s="552"/>
    </row>
    <row r="43">
      <c r="A43" s="265"/>
      <c r="B43" s="440"/>
      <c r="C43" s="400"/>
      <c r="D43" s="182"/>
      <c r="E43" s="557"/>
      <c r="F43" s="558"/>
      <c r="G43" s="550"/>
      <c r="H43" s="556"/>
      <c r="I43" s="552"/>
    </row>
    <row r="44">
      <c r="A44" s="265"/>
      <c r="B44" s="440"/>
      <c r="C44" s="400"/>
      <c r="D44" s="182"/>
      <c r="E44" s="576"/>
      <c r="F44" s="554"/>
      <c r="G44" s="550"/>
      <c r="H44" s="556"/>
      <c r="I44" s="552"/>
    </row>
    <row r="45">
      <c r="A45" s="265"/>
      <c r="B45" s="480"/>
      <c r="C45" s="400"/>
      <c r="D45" s="182"/>
      <c r="E45" s="576"/>
      <c r="F45" s="558"/>
      <c r="G45" s="555"/>
      <c r="H45" s="556"/>
      <c r="I45" s="552"/>
    </row>
    <row r="46">
      <c r="A46" s="270"/>
      <c r="B46" s="478"/>
      <c r="C46" s="472"/>
      <c r="D46" s="577"/>
      <c r="E46" s="578"/>
      <c r="F46" s="561"/>
      <c r="G46" s="562"/>
      <c r="H46" s="599"/>
      <c r="I46" s="564"/>
    </row>
    <row r="47">
      <c r="A47" s="262" t="s">
        <v>888</v>
      </c>
      <c r="B47" s="425"/>
      <c r="C47" s="421"/>
      <c r="D47" s="566"/>
      <c r="E47" s="567"/>
      <c r="F47" s="549">
        <v>330.0</v>
      </c>
      <c r="G47" s="550"/>
      <c r="H47" s="556"/>
      <c r="I47" s="552"/>
    </row>
    <row r="48">
      <c r="A48" s="265"/>
      <c r="B48" s="404"/>
      <c r="C48" s="399"/>
      <c r="D48" s="182"/>
      <c r="E48" s="557"/>
      <c r="F48" s="554">
        <v>310.0</v>
      </c>
      <c r="G48" s="550"/>
      <c r="H48" s="556"/>
      <c r="I48" s="552"/>
    </row>
    <row r="49">
      <c r="A49" s="265"/>
      <c r="B49" s="440"/>
      <c r="C49" s="400"/>
      <c r="D49" s="182"/>
      <c r="E49" s="557"/>
      <c r="F49" s="554"/>
      <c r="G49" s="550"/>
      <c r="H49" s="556"/>
      <c r="I49" s="552"/>
    </row>
    <row r="50">
      <c r="A50" s="265"/>
      <c r="B50" s="440"/>
      <c r="C50" s="400"/>
      <c r="D50" s="574"/>
      <c r="E50" s="576"/>
      <c r="F50" s="554"/>
      <c r="G50" s="550"/>
      <c r="H50" s="556"/>
      <c r="I50" s="552"/>
    </row>
    <row r="51">
      <c r="A51" s="265"/>
      <c r="B51" s="480"/>
      <c r="C51" s="400"/>
      <c r="D51" s="182"/>
      <c r="E51" s="576"/>
      <c r="F51" s="558"/>
      <c r="G51" s="555"/>
      <c r="H51" s="551"/>
      <c r="I51" s="569"/>
    </row>
    <row r="52">
      <c r="A52" s="270"/>
      <c r="B52" s="478"/>
      <c r="C52" s="472"/>
      <c r="D52" s="559"/>
      <c r="E52" s="560"/>
      <c r="F52" s="561"/>
      <c r="G52" s="562"/>
      <c r="H52" s="599"/>
      <c r="I52" s="564"/>
    </row>
    <row r="53">
      <c r="A53" s="262" t="s">
        <v>890</v>
      </c>
      <c r="B53" s="425"/>
      <c r="C53" s="421"/>
      <c r="D53" s="566"/>
      <c r="E53" s="567"/>
      <c r="F53" s="549">
        <f>220-200</f>
        <v>20</v>
      </c>
      <c r="G53" s="550"/>
      <c r="H53" s="556"/>
      <c r="I53" s="569"/>
    </row>
    <row r="54">
      <c r="A54" s="265"/>
      <c r="B54" s="404"/>
      <c r="C54" s="399"/>
      <c r="D54" s="182"/>
      <c r="E54" s="557"/>
      <c r="F54" s="554">
        <v>140.0</v>
      </c>
      <c r="G54" s="550" t="s">
        <v>1930</v>
      </c>
      <c r="H54" s="551"/>
      <c r="I54" s="569"/>
    </row>
    <row r="55">
      <c r="A55" s="265"/>
      <c r="B55" s="404"/>
      <c r="C55" s="399"/>
      <c r="D55" s="182"/>
      <c r="E55" s="557"/>
      <c r="F55" s="554"/>
      <c r="G55" s="550"/>
      <c r="H55" s="556"/>
      <c r="I55" s="552"/>
    </row>
    <row r="56">
      <c r="A56" s="265"/>
      <c r="B56" s="404"/>
      <c r="C56" s="399"/>
      <c r="D56" s="182"/>
      <c r="E56" s="557"/>
      <c r="F56" s="554"/>
      <c r="G56" s="550"/>
      <c r="H56" s="556"/>
      <c r="I56" s="552"/>
    </row>
    <row r="57">
      <c r="A57" s="265"/>
      <c r="B57" s="440"/>
      <c r="C57" s="399"/>
      <c r="D57" s="182"/>
      <c r="E57" s="557"/>
      <c r="F57" s="558"/>
      <c r="G57" s="555"/>
      <c r="H57" s="551"/>
      <c r="I57" s="552"/>
    </row>
    <row r="58">
      <c r="A58" s="270"/>
      <c r="B58" s="470"/>
      <c r="C58" s="486"/>
      <c r="D58" s="559"/>
      <c r="E58" s="560"/>
      <c r="F58" s="561"/>
      <c r="G58" s="562"/>
      <c r="H58" s="563"/>
      <c r="I58" s="564"/>
    </row>
    <row r="59">
      <c r="A59" s="262" t="s">
        <v>896</v>
      </c>
      <c r="B59" s="425"/>
      <c r="C59" s="421"/>
      <c r="D59" s="566"/>
      <c r="E59" s="567"/>
      <c r="F59" s="549">
        <v>250.0</v>
      </c>
      <c r="G59" s="550"/>
      <c r="H59" s="551"/>
      <c r="I59" s="552"/>
    </row>
    <row r="60">
      <c r="A60" s="265"/>
      <c r="B60" s="404"/>
      <c r="C60" s="400"/>
      <c r="D60" s="182"/>
      <c r="E60" s="557"/>
      <c r="F60" s="554">
        <v>120.0</v>
      </c>
      <c r="G60" s="550" t="s">
        <v>2105</v>
      </c>
      <c r="H60" s="551"/>
      <c r="I60" s="552"/>
    </row>
    <row r="61">
      <c r="A61" s="265"/>
      <c r="B61" s="404"/>
      <c r="C61" s="400"/>
      <c r="D61" s="182"/>
      <c r="E61" s="557"/>
      <c r="F61" s="558"/>
      <c r="G61" s="555"/>
      <c r="H61" s="551"/>
      <c r="I61" s="552"/>
    </row>
    <row r="62">
      <c r="A62" s="265"/>
      <c r="B62" s="477"/>
      <c r="C62" s="400"/>
      <c r="D62" s="182"/>
      <c r="E62" s="576"/>
      <c r="F62" s="554"/>
      <c r="G62" s="550"/>
      <c r="H62" s="551"/>
      <c r="I62" s="552"/>
    </row>
    <row r="63">
      <c r="A63" s="265"/>
      <c r="B63" s="477"/>
      <c r="C63" s="400"/>
      <c r="D63" s="182"/>
      <c r="E63" s="576"/>
      <c r="F63" s="558"/>
      <c r="G63" s="555"/>
      <c r="H63" s="551"/>
      <c r="I63" s="552"/>
    </row>
    <row r="64">
      <c r="A64" s="270"/>
      <c r="B64" s="478"/>
      <c r="C64" s="472"/>
      <c r="D64" s="559"/>
      <c r="E64" s="560"/>
      <c r="F64" s="561"/>
      <c r="G64" s="562"/>
      <c r="H64" s="563"/>
      <c r="I64" s="564"/>
    </row>
    <row r="65">
      <c r="A65" s="262" t="s">
        <v>2242</v>
      </c>
      <c r="B65" s="404"/>
      <c r="C65" s="414"/>
      <c r="D65" s="22"/>
      <c r="E65" s="567"/>
      <c r="F65" s="554">
        <f>300-270</f>
        <v>30</v>
      </c>
      <c r="G65" s="550" t="s">
        <v>2243</v>
      </c>
      <c r="H65" s="556"/>
      <c r="I65" s="552"/>
    </row>
    <row r="66">
      <c r="A66" s="265"/>
      <c r="B66" s="404"/>
      <c r="C66" s="399"/>
      <c r="D66" s="182"/>
      <c r="E66" s="557"/>
      <c r="F66" s="554">
        <v>110.0</v>
      </c>
      <c r="G66" s="550" t="s">
        <v>2244</v>
      </c>
      <c r="H66" s="556"/>
      <c r="I66" s="552"/>
    </row>
    <row r="67">
      <c r="A67" s="265"/>
      <c r="B67" s="404"/>
      <c r="C67" s="399"/>
      <c r="D67" s="182"/>
      <c r="E67" s="557"/>
      <c r="F67" s="558"/>
      <c r="G67" s="555"/>
      <c r="H67" s="551"/>
      <c r="I67" s="552"/>
    </row>
    <row r="68">
      <c r="A68" s="265"/>
      <c r="B68" s="404"/>
      <c r="C68" s="399"/>
      <c r="D68" s="182"/>
      <c r="E68" s="557"/>
      <c r="F68" s="554"/>
      <c r="G68" s="550"/>
      <c r="H68" s="556"/>
      <c r="I68" s="552"/>
    </row>
    <row r="69">
      <c r="A69" s="265"/>
      <c r="B69" s="404"/>
      <c r="C69" s="400"/>
      <c r="D69" s="182"/>
      <c r="E69" s="557"/>
      <c r="F69" s="558"/>
      <c r="G69" s="555"/>
      <c r="H69" s="551"/>
      <c r="I69" s="552"/>
    </row>
    <row r="70">
      <c r="A70" s="270"/>
      <c r="B70" s="404"/>
      <c r="C70" s="399"/>
      <c r="D70" s="182"/>
      <c r="E70" s="557"/>
      <c r="F70" s="561"/>
      <c r="G70" s="562"/>
      <c r="H70" s="563"/>
      <c r="I70" s="564"/>
    </row>
    <row r="71">
      <c r="A71" s="262" t="s">
        <v>901</v>
      </c>
      <c r="B71" s="425"/>
      <c r="C71" s="401"/>
      <c r="D71" s="566"/>
      <c r="E71" s="567"/>
      <c r="F71" s="554">
        <f>200-148</f>
        <v>52</v>
      </c>
      <c r="G71" s="550" t="s">
        <v>2245</v>
      </c>
      <c r="H71" s="604"/>
      <c r="I71" s="605"/>
      <c r="J71" s="340"/>
    </row>
    <row r="72">
      <c r="A72" s="265"/>
      <c r="B72" s="404"/>
      <c r="C72" s="400"/>
      <c r="D72" s="182"/>
      <c r="E72" s="557"/>
      <c r="F72" s="554">
        <v>0.0</v>
      </c>
      <c r="G72" s="550" t="s">
        <v>2246</v>
      </c>
      <c r="H72" s="556"/>
      <c r="I72" s="552"/>
    </row>
    <row r="73">
      <c r="A73" s="265"/>
      <c r="B73" s="404"/>
      <c r="C73" s="400"/>
      <c r="D73" s="182"/>
      <c r="E73" s="557"/>
      <c r="F73" s="554"/>
      <c r="G73" s="550"/>
      <c r="H73" s="551"/>
      <c r="I73" s="552"/>
    </row>
    <row r="74">
      <c r="A74" s="265"/>
      <c r="B74" s="480"/>
      <c r="C74" s="400"/>
      <c r="D74" s="182"/>
      <c r="E74" s="576"/>
      <c r="F74" s="554"/>
      <c r="G74" s="550"/>
      <c r="H74" s="551"/>
      <c r="I74" s="552"/>
    </row>
    <row r="75">
      <c r="A75" s="265"/>
      <c r="B75" s="480"/>
      <c r="C75" s="400"/>
      <c r="D75" s="574"/>
      <c r="E75" s="576"/>
      <c r="F75" s="554"/>
      <c r="G75" s="550"/>
      <c r="H75" s="551"/>
      <c r="I75" s="552"/>
    </row>
    <row r="76">
      <c r="A76" s="270"/>
      <c r="B76" s="478"/>
      <c r="C76" s="472"/>
      <c r="D76" s="577"/>
      <c r="E76" s="576"/>
      <c r="F76" s="561"/>
      <c r="G76" s="562"/>
      <c r="H76" s="563"/>
      <c r="I76" s="564"/>
    </row>
    <row r="77">
      <c r="A77" s="262" t="s">
        <v>2247</v>
      </c>
      <c r="B77" s="425"/>
      <c r="C77" s="401"/>
      <c r="D77" s="566"/>
      <c r="E77" s="567"/>
      <c r="F77" s="549">
        <v>30.0</v>
      </c>
      <c r="G77" s="550" t="s">
        <v>2248</v>
      </c>
      <c r="H77" s="551"/>
      <c r="I77" s="552"/>
    </row>
    <row r="78">
      <c r="A78" s="265"/>
      <c r="B78" s="404"/>
      <c r="C78" s="400"/>
      <c r="D78" s="182"/>
      <c r="E78" s="557"/>
      <c r="F78" s="554">
        <f>130-130</f>
        <v>0</v>
      </c>
      <c r="G78" s="550" t="s">
        <v>2249</v>
      </c>
      <c r="H78" s="551"/>
      <c r="I78" s="552"/>
    </row>
    <row r="79">
      <c r="A79" s="265"/>
      <c r="B79" s="404"/>
      <c r="C79" s="399"/>
      <c r="D79" s="182"/>
      <c r="E79" s="557"/>
      <c r="F79" s="558"/>
      <c r="G79" s="555"/>
      <c r="H79" s="551"/>
      <c r="I79" s="552"/>
    </row>
    <row r="80">
      <c r="A80" s="265"/>
      <c r="B80" s="440"/>
      <c r="C80" s="399"/>
      <c r="D80" s="182"/>
      <c r="E80" s="557"/>
      <c r="F80" s="554"/>
      <c r="G80" s="550"/>
      <c r="H80" s="551"/>
      <c r="I80" s="552"/>
    </row>
    <row r="81">
      <c r="A81" s="265"/>
      <c r="B81" s="440"/>
      <c r="C81" s="400"/>
      <c r="D81" s="574"/>
      <c r="E81" s="557"/>
      <c r="F81" s="558"/>
      <c r="G81" s="555"/>
      <c r="H81" s="551"/>
      <c r="I81" s="552"/>
    </row>
    <row r="82">
      <c r="A82" s="270"/>
      <c r="B82" s="478"/>
      <c r="C82" s="472"/>
      <c r="D82" s="577"/>
      <c r="E82" s="578"/>
      <c r="F82" s="561"/>
      <c r="G82" s="562"/>
      <c r="H82" s="563"/>
      <c r="I82" s="564"/>
    </row>
    <row r="83">
      <c r="A83" s="262" t="s">
        <v>905</v>
      </c>
      <c r="B83" s="461"/>
      <c r="C83" s="421"/>
      <c r="D83" s="566"/>
      <c r="E83" s="567"/>
      <c r="F83" s="549">
        <v>320.0</v>
      </c>
      <c r="G83" s="550" t="s">
        <v>2108</v>
      </c>
      <c r="H83" s="556"/>
      <c r="I83" s="569"/>
    </row>
    <row r="84">
      <c r="A84" s="265"/>
      <c r="B84" s="404"/>
      <c r="C84" s="400"/>
      <c r="D84" s="182"/>
      <c r="E84" s="557"/>
      <c r="F84" s="554">
        <v>120.0</v>
      </c>
      <c r="G84" s="550" t="s">
        <v>2105</v>
      </c>
      <c r="H84" s="551"/>
      <c r="I84" s="552"/>
    </row>
    <row r="85">
      <c r="A85" s="265"/>
      <c r="B85" s="440"/>
      <c r="C85" s="400"/>
      <c r="D85" s="182"/>
      <c r="E85" s="557"/>
      <c r="F85" s="558"/>
      <c r="G85" s="555"/>
      <c r="H85" s="551"/>
      <c r="I85" s="552"/>
    </row>
    <row r="86">
      <c r="A86" s="265"/>
      <c r="B86" s="480"/>
      <c r="C86" s="400"/>
      <c r="D86" s="574"/>
      <c r="E86" s="576"/>
      <c r="F86" s="554"/>
      <c r="G86" s="550"/>
      <c r="H86" s="551"/>
      <c r="I86" s="552"/>
    </row>
    <row r="87">
      <c r="A87" s="265"/>
      <c r="B87" s="480"/>
      <c r="C87" s="400"/>
      <c r="D87" s="574"/>
      <c r="E87" s="576"/>
      <c r="F87" s="558"/>
      <c r="G87" s="555"/>
      <c r="H87" s="551"/>
      <c r="I87" s="552"/>
    </row>
    <row r="88">
      <c r="A88" s="270"/>
      <c r="B88" s="478"/>
      <c r="C88" s="472"/>
      <c r="D88" s="577"/>
      <c r="E88" s="578"/>
      <c r="F88" s="561"/>
      <c r="G88" s="562"/>
      <c r="H88" s="563"/>
      <c r="I88" s="564"/>
    </row>
    <row r="89">
      <c r="A89" s="262" t="s">
        <v>906</v>
      </c>
      <c r="B89" s="425"/>
      <c r="C89" s="421"/>
      <c r="D89" s="566"/>
      <c r="E89" s="557"/>
      <c r="F89" s="549">
        <v>0.0</v>
      </c>
      <c r="G89" s="550" t="s">
        <v>2250</v>
      </c>
      <c r="H89" s="556"/>
      <c r="I89" s="552"/>
    </row>
    <row r="90">
      <c r="A90" s="265"/>
      <c r="B90" s="404"/>
      <c r="C90" s="400"/>
      <c r="D90" s="182"/>
      <c r="E90" s="557"/>
      <c r="F90" s="554">
        <v>70.0</v>
      </c>
      <c r="G90" s="550" t="s">
        <v>1965</v>
      </c>
      <c r="H90" s="551"/>
      <c r="I90" s="552"/>
    </row>
    <row r="91">
      <c r="A91" s="265"/>
      <c r="B91" s="480"/>
      <c r="C91" s="400"/>
      <c r="D91" s="182"/>
      <c r="E91" s="557"/>
      <c r="F91" s="558"/>
      <c r="G91" s="555"/>
      <c r="H91" s="551"/>
      <c r="I91" s="552"/>
    </row>
    <row r="92">
      <c r="A92" s="265"/>
      <c r="B92" s="480"/>
      <c r="C92" s="400"/>
      <c r="D92" s="182"/>
      <c r="E92" s="576"/>
      <c r="F92" s="558"/>
      <c r="G92" s="555"/>
      <c r="H92" s="551"/>
      <c r="I92" s="552"/>
    </row>
    <row r="93">
      <c r="A93" s="265"/>
      <c r="B93" s="480"/>
      <c r="C93" s="400"/>
      <c r="D93" s="182"/>
      <c r="E93" s="576"/>
      <c r="F93" s="558"/>
      <c r="G93" s="555"/>
      <c r="H93" s="551"/>
      <c r="I93" s="552"/>
    </row>
    <row r="94">
      <c r="A94" s="270"/>
      <c r="B94" s="478"/>
      <c r="C94" s="472"/>
      <c r="D94" s="577"/>
      <c r="E94" s="578"/>
      <c r="F94" s="561"/>
      <c r="G94" s="562"/>
      <c r="H94" s="563"/>
      <c r="I94" s="564"/>
    </row>
    <row r="95">
      <c r="A95" s="262" t="s">
        <v>908</v>
      </c>
      <c r="B95" s="425"/>
      <c r="C95" s="421"/>
      <c r="D95" s="566"/>
      <c r="E95" s="567"/>
      <c r="F95" s="549">
        <v>180.0</v>
      </c>
      <c r="G95" s="550" t="s">
        <v>2097</v>
      </c>
      <c r="H95" s="551"/>
      <c r="I95" s="552"/>
    </row>
    <row r="96">
      <c r="A96" s="265"/>
      <c r="B96" s="404"/>
      <c r="C96" s="399"/>
      <c r="D96" s="182"/>
      <c r="E96" s="557"/>
      <c r="F96" s="554">
        <f>200-200</f>
        <v>0</v>
      </c>
      <c r="G96" s="550" t="s">
        <v>2251</v>
      </c>
      <c r="H96" s="551"/>
      <c r="I96" s="552"/>
    </row>
    <row r="97">
      <c r="A97" s="265"/>
      <c r="B97" s="404"/>
      <c r="C97" s="399"/>
      <c r="D97" s="182"/>
      <c r="E97" s="557"/>
      <c r="F97" s="558"/>
      <c r="G97" s="555"/>
      <c r="H97" s="551"/>
      <c r="I97" s="552"/>
    </row>
    <row r="98">
      <c r="A98" s="265"/>
      <c r="B98" s="477"/>
      <c r="C98" s="400"/>
      <c r="D98" s="182"/>
      <c r="E98" s="557"/>
      <c r="F98" s="554"/>
      <c r="G98" s="550"/>
      <c r="H98" s="551"/>
      <c r="I98" s="552"/>
    </row>
    <row r="99">
      <c r="A99" s="265"/>
      <c r="B99" s="477"/>
      <c r="C99" s="400"/>
      <c r="D99" s="182"/>
      <c r="E99" s="557"/>
      <c r="F99" s="554"/>
      <c r="G99" s="550"/>
      <c r="H99" s="551"/>
      <c r="I99" s="552"/>
    </row>
    <row r="100">
      <c r="A100" s="270"/>
      <c r="B100" s="478"/>
      <c r="C100" s="472"/>
      <c r="D100" s="559"/>
      <c r="E100" s="560"/>
      <c r="F100" s="561"/>
      <c r="G100" s="562"/>
      <c r="H100" s="563"/>
      <c r="I100" s="564"/>
    </row>
    <row r="101">
      <c r="A101" s="262" t="s">
        <v>2252</v>
      </c>
      <c r="B101" s="425"/>
      <c r="C101" s="399"/>
      <c r="D101" s="182"/>
      <c r="E101" s="557"/>
      <c r="F101" s="554">
        <f>270-270</f>
        <v>0</v>
      </c>
      <c r="G101" s="550" t="s">
        <v>2253</v>
      </c>
      <c r="H101" s="551"/>
      <c r="I101" s="552"/>
    </row>
    <row r="102">
      <c r="A102" s="265"/>
      <c r="B102" s="404"/>
      <c r="C102" s="399"/>
      <c r="D102" s="182"/>
      <c r="E102" s="557"/>
      <c r="F102" s="554"/>
      <c r="G102" s="550"/>
      <c r="H102" s="551"/>
      <c r="I102" s="552"/>
    </row>
    <row r="103">
      <c r="A103" s="265"/>
      <c r="B103" s="404"/>
      <c r="C103" s="489"/>
      <c r="D103" s="579"/>
      <c r="E103" s="580"/>
      <c r="F103" s="554"/>
      <c r="G103" s="550"/>
      <c r="H103" s="551"/>
      <c r="I103" s="552"/>
    </row>
    <row r="104">
      <c r="A104" s="265"/>
      <c r="B104" s="404"/>
      <c r="C104" s="400"/>
      <c r="D104" s="182"/>
      <c r="E104" s="557"/>
      <c r="F104" s="554"/>
      <c r="G104" s="550"/>
      <c r="H104" s="551"/>
      <c r="I104" s="552"/>
    </row>
    <row r="105">
      <c r="A105" s="265"/>
      <c r="B105" s="477"/>
      <c r="C105" s="400"/>
      <c r="D105" s="182"/>
      <c r="E105" s="576"/>
      <c r="F105" s="558"/>
      <c r="G105" s="555"/>
      <c r="H105" s="551"/>
      <c r="I105" s="552"/>
    </row>
    <row r="106">
      <c r="A106" s="270"/>
      <c r="B106" s="478"/>
      <c r="C106" s="472"/>
      <c r="D106" s="559"/>
      <c r="E106" s="560"/>
      <c r="F106" s="561"/>
      <c r="G106" s="562"/>
      <c r="H106" s="563"/>
      <c r="I106" s="564"/>
    </row>
    <row r="107">
      <c r="A107" s="633">
        <v>46102.0</v>
      </c>
      <c r="B107" s="425"/>
      <c r="C107" s="414"/>
      <c r="D107" s="182"/>
      <c r="E107" s="557"/>
      <c r="F107" s="549">
        <v>120.0</v>
      </c>
      <c r="G107" s="550" t="s">
        <v>2097</v>
      </c>
      <c r="H107" s="551"/>
      <c r="I107" s="552"/>
    </row>
    <row r="108">
      <c r="A108" s="265"/>
      <c r="B108" s="404"/>
      <c r="C108" s="400"/>
      <c r="D108" s="182"/>
      <c r="E108" s="557"/>
      <c r="F108" s="554">
        <v>140.0</v>
      </c>
      <c r="G108" s="550" t="s">
        <v>1965</v>
      </c>
      <c r="H108" s="551"/>
      <c r="I108" s="552"/>
    </row>
    <row r="109">
      <c r="A109" s="265"/>
      <c r="B109" s="477"/>
      <c r="C109" s="400"/>
      <c r="D109" s="182"/>
      <c r="E109" s="557"/>
      <c r="F109" s="558"/>
      <c r="G109" s="555"/>
      <c r="H109" s="551"/>
      <c r="I109" s="552"/>
    </row>
    <row r="110">
      <c r="A110" s="265"/>
      <c r="B110" s="480"/>
      <c r="C110" s="400"/>
      <c r="D110" s="182"/>
      <c r="E110" s="557"/>
      <c r="F110" s="554"/>
      <c r="G110" s="550"/>
      <c r="H110" s="551"/>
      <c r="I110" s="552"/>
    </row>
    <row r="111">
      <c r="A111" s="265"/>
      <c r="B111" s="480"/>
      <c r="C111" s="400"/>
      <c r="D111" s="574"/>
      <c r="E111" s="576"/>
      <c r="F111" s="558"/>
      <c r="G111" s="550"/>
      <c r="H111" s="551"/>
      <c r="I111" s="552"/>
    </row>
    <row r="112">
      <c r="A112" s="270"/>
      <c r="B112" s="478"/>
      <c r="C112" s="472"/>
      <c r="D112" s="577"/>
      <c r="E112" s="578"/>
      <c r="F112" s="561"/>
      <c r="G112" s="562"/>
      <c r="H112" s="563"/>
      <c r="I112" s="564"/>
    </row>
    <row r="113">
      <c r="A113" s="262" t="s">
        <v>917</v>
      </c>
      <c r="B113" s="425"/>
      <c r="C113" s="401"/>
      <c r="D113" s="566"/>
      <c r="E113" s="567"/>
      <c r="F113" s="549">
        <v>200.0</v>
      </c>
      <c r="G113" s="550" t="s">
        <v>2097</v>
      </c>
      <c r="H113" s="556"/>
      <c r="I113" s="552"/>
    </row>
    <row r="114">
      <c r="A114" s="265"/>
      <c r="B114" s="477"/>
      <c r="C114" s="400"/>
      <c r="D114" s="182"/>
      <c r="E114" s="557"/>
      <c r="F114" s="554">
        <f>210-110</f>
        <v>100</v>
      </c>
      <c r="G114" s="550" t="s">
        <v>2254</v>
      </c>
      <c r="H114" s="551"/>
      <c r="I114" s="552"/>
    </row>
    <row r="115">
      <c r="A115" s="265"/>
      <c r="B115" s="477"/>
      <c r="C115" s="400"/>
      <c r="D115" s="182"/>
      <c r="E115" s="557"/>
      <c r="F115" s="554"/>
      <c r="G115" s="550"/>
      <c r="H115" s="551"/>
      <c r="I115" s="552"/>
    </row>
    <row r="116">
      <c r="A116" s="265"/>
      <c r="B116" s="477"/>
      <c r="C116" s="400"/>
      <c r="D116" s="182"/>
      <c r="E116" s="557"/>
      <c r="F116" s="554"/>
      <c r="G116" s="550"/>
      <c r="H116" s="551"/>
      <c r="I116" s="552"/>
    </row>
    <row r="117">
      <c r="A117" s="265"/>
      <c r="B117" s="477"/>
      <c r="C117" s="400"/>
      <c r="D117" s="182"/>
      <c r="E117" s="576"/>
      <c r="F117" s="558"/>
      <c r="G117" s="555"/>
      <c r="H117" s="551"/>
      <c r="I117" s="552"/>
    </row>
    <row r="118">
      <c r="A118" s="270"/>
      <c r="B118" s="478"/>
      <c r="C118" s="472"/>
      <c r="D118" s="577"/>
      <c r="E118" s="578"/>
      <c r="F118" s="561"/>
      <c r="G118" s="562"/>
      <c r="H118" s="563"/>
      <c r="I118" s="564"/>
    </row>
    <row r="119">
      <c r="A119" s="262" t="s">
        <v>921</v>
      </c>
      <c r="B119" s="425"/>
      <c r="C119" s="401"/>
      <c r="D119" s="182"/>
      <c r="E119" s="557"/>
      <c r="F119" s="549">
        <v>290.0</v>
      </c>
      <c r="G119" s="550" t="s">
        <v>2097</v>
      </c>
      <c r="H119" s="556"/>
      <c r="I119" s="552"/>
    </row>
    <row r="120">
      <c r="A120" s="265"/>
      <c r="B120" s="404"/>
      <c r="C120" s="399"/>
      <c r="D120" s="182"/>
      <c r="E120" s="557"/>
      <c r="F120" s="554">
        <v>300.0</v>
      </c>
      <c r="G120" s="550" t="s">
        <v>1965</v>
      </c>
      <c r="H120" s="551"/>
      <c r="I120" s="552"/>
    </row>
    <row r="121">
      <c r="A121" s="265"/>
      <c r="B121" s="404"/>
      <c r="C121" s="400"/>
      <c r="D121" s="182"/>
      <c r="E121" s="557"/>
      <c r="F121" s="554"/>
      <c r="G121" s="550"/>
      <c r="H121" s="551"/>
      <c r="I121" s="552"/>
    </row>
    <row r="122">
      <c r="A122" s="265"/>
      <c r="B122" s="477"/>
      <c r="C122" s="400"/>
      <c r="D122" s="182"/>
      <c r="E122" s="557"/>
      <c r="F122" s="554"/>
      <c r="G122" s="550"/>
      <c r="H122" s="581"/>
      <c r="I122" s="582"/>
    </row>
    <row r="123">
      <c r="A123" s="265"/>
      <c r="B123" s="477"/>
      <c r="C123" s="400"/>
      <c r="D123" s="182"/>
      <c r="E123" s="576"/>
      <c r="F123" s="558"/>
      <c r="G123" s="555"/>
      <c r="H123" s="551"/>
      <c r="I123" s="552"/>
    </row>
    <row r="124">
      <c r="A124" s="270"/>
      <c r="B124" s="478"/>
      <c r="C124" s="472"/>
      <c r="D124" s="577"/>
      <c r="E124" s="578"/>
      <c r="F124" s="561"/>
      <c r="G124" s="562"/>
      <c r="H124" s="563"/>
      <c r="I124" s="564"/>
    </row>
    <row r="125">
      <c r="A125" s="262" t="s">
        <v>922</v>
      </c>
      <c r="B125" s="425"/>
      <c r="C125" s="421"/>
      <c r="D125" s="566"/>
      <c r="E125" s="567"/>
      <c r="F125" s="549"/>
      <c r="G125" s="550"/>
      <c r="H125" s="556"/>
      <c r="I125" s="569"/>
    </row>
    <row r="126">
      <c r="A126" s="265"/>
      <c r="B126" s="404"/>
      <c r="C126" s="399"/>
      <c r="D126" s="182"/>
      <c r="E126" s="576"/>
      <c r="F126" s="554"/>
      <c r="G126" s="550"/>
      <c r="H126" s="551"/>
      <c r="I126" s="569"/>
    </row>
    <row r="127">
      <c r="A127" s="265"/>
      <c r="B127" s="404"/>
      <c r="C127" s="400"/>
      <c r="D127" s="182"/>
      <c r="E127" s="576"/>
      <c r="F127" s="554"/>
      <c r="G127" s="550"/>
      <c r="H127" s="551"/>
      <c r="I127" s="552"/>
    </row>
    <row r="128">
      <c r="A128" s="265"/>
      <c r="B128" s="404"/>
      <c r="C128" s="400"/>
      <c r="D128" s="182"/>
      <c r="E128" s="576"/>
      <c r="F128" s="558"/>
      <c r="G128" s="555"/>
      <c r="H128" s="551"/>
      <c r="I128" s="552"/>
    </row>
    <row r="129">
      <c r="A129" s="265"/>
      <c r="B129" s="404"/>
      <c r="C129" s="399"/>
      <c r="D129" s="182"/>
      <c r="E129" s="576"/>
      <c r="F129" s="558"/>
      <c r="G129" s="555"/>
      <c r="H129" s="551"/>
      <c r="I129" s="552"/>
    </row>
    <row r="130">
      <c r="A130" s="270"/>
      <c r="B130" s="478"/>
      <c r="C130" s="472"/>
      <c r="D130" s="559"/>
      <c r="E130" s="560"/>
      <c r="F130" s="561"/>
      <c r="G130" s="588"/>
      <c r="H130" s="563"/>
      <c r="I130" s="564"/>
    </row>
    <row r="131">
      <c r="A131" s="262" t="s">
        <v>925</v>
      </c>
      <c r="B131" s="425"/>
      <c r="C131" s="401"/>
      <c r="D131" s="566"/>
      <c r="E131" s="567"/>
      <c r="F131" s="549"/>
      <c r="G131" s="550"/>
      <c r="H131" s="556"/>
      <c r="I131" s="569"/>
    </row>
    <row r="132">
      <c r="A132" s="265"/>
      <c r="B132" s="477"/>
      <c r="C132" s="399"/>
      <c r="D132" s="182"/>
      <c r="E132" s="557"/>
      <c r="F132" s="554"/>
      <c r="G132" s="550"/>
      <c r="H132" s="551"/>
      <c r="I132" s="552"/>
    </row>
    <row r="133">
      <c r="A133" s="265"/>
      <c r="B133" s="477"/>
      <c r="C133" s="400"/>
      <c r="D133" s="182"/>
      <c r="E133" s="576"/>
      <c r="F133" s="558"/>
      <c r="G133" s="555"/>
      <c r="H133" s="551"/>
      <c r="I133" s="552"/>
    </row>
    <row r="134">
      <c r="A134" s="265"/>
      <c r="B134" s="477"/>
      <c r="C134" s="400"/>
      <c r="D134" s="182"/>
      <c r="E134" s="576"/>
      <c r="F134" s="554"/>
      <c r="G134" s="550"/>
      <c r="H134" s="551"/>
      <c r="I134" s="552"/>
    </row>
    <row r="135">
      <c r="A135" s="265"/>
      <c r="B135" s="477"/>
      <c r="C135" s="400"/>
      <c r="D135" s="182"/>
      <c r="E135" s="576"/>
      <c r="F135" s="558"/>
      <c r="G135" s="555"/>
      <c r="H135" s="551"/>
      <c r="I135" s="552"/>
    </row>
    <row r="136">
      <c r="A136" s="270"/>
      <c r="B136" s="478"/>
      <c r="C136" s="472"/>
      <c r="D136" s="577"/>
      <c r="E136" s="578"/>
      <c r="F136" s="561"/>
      <c r="G136" s="562"/>
      <c r="H136" s="563"/>
      <c r="I136" s="564"/>
    </row>
    <row r="137">
      <c r="A137" s="262" t="s">
        <v>2255</v>
      </c>
      <c r="B137" s="425"/>
      <c r="C137" s="401"/>
      <c r="D137" s="566"/>
      <c r="E137" s="550"/>
      <c r="F137" s="549">
        <v>400.0</v>
      </c>
      <c r="G137" s="550"/>
      <c r="H137" s="551"/>
      <c r="I137" s="552"/>
    </row>
    <row r="138">
      <c r="A138" s="265"/>
      <c r="B138" s="477"/>
      <c r="C138" s="399"/>
      <c r="D138" s="182"/>
      <c r="E138" s="576"/>
      <c r="F138" s="554"/>
      <c r="G138" s="550"/>
      <c r="H138" s="551"/>
      <c r="I138" s="552"/>
    </row>
    <row r="139">
      <c r="A139" s="265"/>
      <c r="B139" s="477"/>
      <c r="C139" s="400"/>
      <c r="D139" s="182"/>
      <c r="E139" s="576"/>
      <c r="F139" s="558"/>
      <c r="G139" s="555"/>
      <c r="H139" s="551"/>
      <c r="I139" s="552"/>
    </row>
    <row r="140">
      <c r="A140" s="265"/>
      <c r="B140" s="404"/>
      <c r="C140" s="400"/>
      <c r="D140" s="182"/>
      <c r="E140" s="576"/>
      <c r="F140" s="554"/>
      <c r="G140" s="550"/>
      <c r="H140" s="551"/>
      <c r="I140" s="552"/>
    </row>
    <row r="141">
      <c r="A141" s="265"/>
      <c r="B141" s="477"/>
      <c r="C141" s="400"/>
      <c r="D141" s="182"/>
      <c r="E141" s="576"/>
      <c r="F141" s="554"/>
      <c r="G141" s="555"/>
      <c r="H141" s="551"/>
      <c r="I141" s="552"/>
    </row>
    <row r="142">
      <c r="A142" s="270"/>
      <c r="B142" s="478"/>
      <c r="C142" s="472"/>
      <c r="D142" s="577"/>
      <c r="E142" s="578"/>
      <c r="F142" s="561"/>
      <c r="G142" s="562"/>
      <c r="H142" s="563"/>
      <c r="I142" s="564"/>
    </row>
    <row r="143">
      <c r="A143" s="634">
        <v>46109.0</v>
      </c>
      <c r="B143" s="425"/>
      <c r="C143" s="401"/>
      <c r="D143" s="566"/>
      <c r="E143" s="557"/>
      <c r="F143" s="549">
        <v>200.0</v>
      </c>
      <c r="G143" s="550"/>
      <c r="H143" s="556"/>
      <c r="I143" s="569"/>
    </row>
    <row r="144">
      <c r="A144" s="265"/>
      <c r="B144" s="404"/>
      <c r="C144" s="399"/>
      <c r="D144" s="182"/>
      <c r="E144" s="557"/>
      <c r="F144" s="554">
        <v>0.0</v>
      </c>
      <c r="G144" s="550" t="s">
        <v>2256</v>
      </c>
      <c r="H144" s="556"/>
      <c r="I144" s="569"/>
      <c r="J144" s="2" t="s">
        <v>2174</v>
      </c>
    </row>
    <row r="145">
      <c r="A145" s="265"/>
      <c r="B145" s="404"/>
      <c r="C145" s="399"/>
      <c r="D145" s="182"/>
      <c r="E145" s="557"/>
      <c r="F145" s="554"/>
      <c r="G145" s="550"/>
      <c r="H145" s="556"/>
      <c r="I145" s="552"/>
      <c r="J145" s="2" t="s">
        <v>2175</v>
      </c>
    </row>
    <row r="146">
      <c r="A146" s="265"/>
      <c r="B146" s="404"/>
      <c r="C146" s="399"/>
      <c r="D146" s="182"/>
      <c r="E146" s="557"/>
      <c r="F146" s="554"/>
      <c r="G146" s="550"/>
      <c r="H146" s="556"/>
      <c r="I146" s="552"/>
      <c r="J146" s="2" t="s">
        <v>2176</v>
      </c>
    </row>
    <row r="147">
      <c r="A147" s="270"/>
      <c r="B147" s="404"/>
      <c r="C147" s="399"/>
      <c r="D147" s="182"/>
      <c r="E147" s="557"/>
      <c r="F147" s="554"/>
      <c r="G147" s="555"/>
      <c r="H147" s="551"/>
      <c r="I147" s="569"/>
      <c r="J147" s="2" t="s">
        <v>2177</v>
      </c>
    </row>
    <row r="148">
      <c r="A148" s="452"/>
      <c r="B148" s="404"/>
      <c r="C148" s="399"/>
      <c r="D148" s="182"/>
      <c r="E148" s="557"/>
      <c r="F148" s="554"/>
      <c r="G148" s="562"/>
      <c r="H148" s="563"/>
      <c r="I148" s="564"/>
    </row>
    <row r="149">
      <c r="A149" s="280" t="s">
        <v>2257</v>
      </c>
      <c r="B149" s="461"/>
      <c r="C149" s="421"/>
      <c r="D149" s="583"/>
      <c r="E149" s="584"/>
      <c r="F149" s="549">
        <v>260.0</v>
      </c>
      <c r="G149" s="550"/>
      <c r="H149" s="556"/>
      <c r="I149" s="552"/>
    </row>
    <row r="150">
      <c r="A150" s="265"/>
      <c r="B150" s="404"/>
      <c r="C150" s="399"/>
      <c r="D150" s="182"/>
      <c r="E150" s="557"/>
      <c r="F150" s="554">
        <v>0.0</v>
      </c>
      <c r="G150" s="550" t="s">
        <v>2258</v>
      </c>
      <c r="H150" s="551"/>
      <c r="I150" s="552"/>
    </row>
    <row r="151">
      <c r="A151" s="265"/>
      <c r="B151" s="477"/>
      <c r="C151" s="399"/>
      <c r="D151" s="182"/>
      <c r="E151" s="557"/>
      <c r="F151" s="554"/>
      <c r="G151" s="555"/>
      <c r="H151" s="551"/>
      <c r="I151" s="552"/>
    </row>
    <row r="152">
      <c r="A152" s="265"/>
      <c r="B152" s="477"/>
      <c r="C152" s="399"/>
      <c r="D152" s="182"/>
      <c r="E152" s="576"/>
      <c r="F152" s="554"/>
      <c r="G152" s="550"/>
      <c r="H152" s="551"/>
      <c r="I152" s="552"/>
    </row>
    <row r="153">
      <c r="A153" s="265"/>
      <c r="B153" s="404"/>
      <c r="C153" s="399"/>
      <c r="D153" s="182"/>
      <c r="E153" s="576"/>
      <c r="F153" s="554"/>
      <c r="G153" s="555"/>
      <c r="H153" s="551"/>
      <c r="I153" s="552"/>
    </row>
    <row r="154">
      <c r="A154" s="270"/>
      <c r="B154" s="478"/>
      <c r="C154" s="462"/>
      <c r="D154" s="577"/>
      <c r="E154" s="560"/>
      <c r="F154" s="561"/>
      <c r="G154" s="562"/>
      <c r="H154" s="563"/>
      <c r="I154" s="564"/>
    </row>
    <row r="155">
      <c r="A155" s="299" t="s">
        <v>934</v>
      </c>
      <c r="B155" s="440"/>
      <c r="C155" s="462"/>
      <c r="D155" s="182"/>
      <c r="E155" s="557"/>
      <c r="F155" s="554">
        <v>0.0</v>
      </c>
      <c r="G155" s="550" t="s">
        <v>2259</v>
      </c>
      <c r="H155" s="551"/>
      <c r="I155" s="552"/>
    </row>
    <row r="156">
      <c r="B156" s="440"/>
      <c r="C156" s="462"/>
      <c r="D156" s="574"/>
      <c r="E156" s="557"/>
      <c r="F156" s="554">
        <v>160.0</v>
      </c>
      <c r="G156" s="550"/>
      <c r="H156" s="551"/>
      <c r="I156" s="552"/>
    </row>
    <row r="157">
      <c r="B157" s="480"/>
      <c r="C157" s="462"/>
      <c r="D157" s="574"/>
      <c r="E157" s="576"/>
      <c r="F157" s="558"/>
      <c r="G157" s="555"/>
      <c r="H157" s="551"/>
      <c r="I157" s="552"/>
    </row>
    <row r="158">
      <c r="B158" s="480"/>
      <c r="C158" s="462"/>
      <c r="D158" s="574"/>
      <c r="E158" s="576"/>
      <c r="F158" s="554"/>
      <c r="G158" s="550"/>
      <c r="H158" s="551"/>
      <c r="I158" s="552"/>
    </row>
    <row r="159">
      <c r="B159" s="480"/>
      <c r="C159" s="462"/>
      <c r="D159" s="574"/>
      <c r="E159" s="576"/>
      <c r="F159" s="558"/>
      <c r="G159" s="555"/>
      <c r="H159" s="551"/>
      <c r="I159" s="552"/>
    </row>
    <row r="160">
      <c r="A160" s="585"/>
      <c r="B160" s="271"/>
      <c r="C160" s="586"/>
      <c r="D160" s="587"/>
      <c r="E160" s="588"/>
      <c r="F160" s="561"/>
      <c r="G160" s="562"/>
      <c r="H160" s="563"/>
      <c r="I160" s="564"/>
    </row>
    <row r="161">
      <c r="A161" s="299" t="s">
        <v>942</v>
      </c>
      <c r="B161" s="440"/>
      <c r="C161" s="462"/>
      <c r="D161" s="182"/>
      <c r="E161" s="557"/>
      <c r="F161" s="554">
        <v>400.0</v>
      </c>
      <c r="G161" s="550"/>
      <c r="H161" s="551"/>
      <c r="I161" s="552"/>
    </row>
    <row r="162">
      <c r="B162" s="480"/>
      <c r="C162" s="462"/>
      <c r="D162" s="574"/>
      <c r="E162" s="576"/>
      <c r="F162" s="554"/>
      <c r="G162" s="550"/>
      <c r="H162" s="551"/>
      <c r="I162" s="552"/>
    </row>
    <row r="163">
      <c r="B163" s="480"/>
      <c r="C163" s="462"/>
      <c r="D163" s="574"/>
      <c r="E163" s="576"/>
      <c r="F163" s="558"/>
      <c r="G163" s="555"/>
      <c r="H163" s="551"/>
      <c r="I163" s="552"/>
    </row>
    <row r="164">
      <c r="B164" s="480"/>
      <c r="C164" s="462"/>
      <c r="D164" s="574"/>
      <c r="E164" s="576"/>
      <c r="F164" s="558"/>
      <c r="G164" s="555"/>
      <c r="H164" s="551"/>
      <c r="I164" s="552"/>
    </row>
    <row r="165">
      <c r="B165" s="480"/>
      <c r="C165" s="462"/>
      <c r="D165" s="574"/>
      <c r="E165" s="576"/>
      <c r="F165" s="558"/>
      <c r="G165" s="555"/>
      <c r="H165" s="551"/>
      <c r="I165" s="552"/>
    </row>
    <row r="166">
      <c r="A166" s="585"/>
      <c r="B166" s="271"/>
      <c r="C166" s="586"/>
      <c r="D166" s="587"/>
      <c r="E166" s="588"/>
      <c r="F166" s="561"/>
      <c r="G166" s="562"/>
      <c r="H166" s="563"/>
      <c r="I166" s="564"/>
    </row>
    <row r="167">
      <c r="A167" s="299" t="s">
        <v>943</v>
      </c>
      <c r="B167" s="440"/>
      <c r="C167" s="462"/>
      <c r="D167" s="182"/>
      <c r="E167" s="557"/>
      <c r="F167" s="554">
        <v>190.0</v>
      </c>
      <c r="G167" s="550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B169" s="480"/>
      <c r="C169" s="462"/>
      <c r="D169" s="574"/>
      <c r="E169" s="576"/>
      <c r="F169" s="558"/>
      <c r="G169" s="555"/>
      <c r="H169" s="551"/>
      <c r="I169" s="552"/>
    </row>
    <row r="170">
      <c r="B170" s="480"/>
      <c r="C170" s="462"/>
      <c r="D170" s="574"/>
      <c r="E170" s="576"/>
      <c r="F170" s="558"/>
      <c r="G170" s="555"/>
      <c r="H170" s="551"/>
      <c r="I170" s="552"/>
    </row>
    <row r="171">
      <c r="B171" s="480"/>
      <c r="C171" s="462"/>
      <c r="D171" s="574"/>
      <c r="E171" s="576"/>
      <c r="F171" s="558"/>
      <c r="G171" s="555"/>
      <c r="H171" s="551"/>
      <c r="I171" s="552"/>
    </row>
    <row r="172">
      <c r="A172" s="585"/>
      <c r="B172" s="271"/>
      <c r="C172" s="586"/>
      <c r="D172" s="587"/>
      <c r="E172" s="588"/>
      <c r="F172" s="561"/>
      <c r="G172" s="562"/>
      <c r="H172" s="563"/>
      <c r="I172" s="564"/>
    </row>
    <row r="173">
      <c r="A173" s="299" t="s">
        <v>2142</v>
      </c>
      <c r="B173" s="440"/>
      <c r="C173" s="462"/>
      <c r="D173" s="182"/>
      <c r="E173" s="557"/>
      <c r="F173" s="554"/>
      <c r="G173" s="550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B175" s="480"/>
      <c r="C175" s="462"/>
      <c r="D175" s="574"/>
      <c r="E175" s="576"/>
      <c r="F175" s="558"/>
      <c r="G175" s="555"/>
      <c r="H175" s="551"/>
      <c r="I175" s="552"/>
    </row>
    <row r="176">
      <c r="B176" s="480"/>
      <c r="C176" s="462"/>
      <c r="D176" s="574"/>
      <c r="E176" s="576"/>
      <c r="F176" s="558"/>
      <c r="G176" s="555"/>
      <c r="H176" s="551"/>
      <c r="I176" s="552"/>
    </row>
    <row r="177">
      <c r="B177" s="480"/>
      <c r="C177" s="462"/>
      <c r="D177" s="574"/>
      <c r="E177" s="576"/>
      <c r="F177" s="558"/>
      <c r="G177" s="555"/>
      <c r="H177" s="551"/>
      <c r="I177" s="552"/>
    </row>
    <row r="178">
      <c r="A178" s="585"/>
      <c r="B178" s="271"/>
      <c r="C178" s="586"/>
      <c r="D178" s="587"/>
      <c r="E178" s="588"/>
      <c r="F178" s="561"/>
      <c r="G178" s="562"/>
      <c r="H178" s="563"/>
      <c r="I178" s="564"/>
    </row>
    <row r="179">
      <c r="A179" s="606"/>
      <c r="B179" s="600"/>
      <c r="C179" s="607"/>
      <c r="D179" s="566"/>
      <c r="E179" s="567"/>
      <c r="F179" s="549"/>
      <c r="G179" s="548"/>
      <c r="H179" s="609"/>
      <c r="I179" s="610"/>
    </row>
    <row r="180">
      <c r="A180" s="611"/>
      <c r="B180" s="480"/>
      <c r="C180" s="462"/>
      <c r="D180" s="574"/>
      <c r="E180" s="576"/>
      <c r="F180" s="558"/>
      <c r="G180" s="550"/>
      <c r="H180" s="551"/>
      <c r="I180" s="612"/>
    </row>
    <row r="181">
      <c r="A181" s="611"/>
      <c r="B181" s="480"/>
      <c r="C181" s="462"/>
      <c r="D181" s="574"/>
      <c r="E181" s="576"/>
      <c r="F181" s="558"/>
      <c r="G181" s="550"/>
      <c r="H181" s="551"/>
      <c r="I181" s="612"/>
    </row>
    <row r="182">
      <c r="A182" s="611"/>
      <c r="B182" s="480"/>
      <c r="C182" s="462"/>
      <c r="D182" s="574"/>
      <c r="E182" s="576"/>
      <c r="F182" s="558"/>
      <c r="G182" s="550"/>
      <c r="H182" s="551"/>
      <c r="I182" s="612"/>
    </row>
    <row r="183">
      <c r="A183" s="613"/>
      <c r="B183" s="478"/>
      <c r="C183" s="614"/>
      <c r="D183" s="577"/>
      <c r="E183" s="578"/>
      <c r="F183" s="561"/>
      <c r="G183" s="562"/>
      <c r="H183" s="563"/>
      <c r="I183" s="615"/>
    </row>
    <row r="184">
      <c r="A184" s="606"/>
      <c r="B184" s="600"/>
      <c r="C184" s="607"/>
      <c r="D184" s="566"/>
      <c r="E184" s="567"/>
      <c r="F184" s="597"/>
      <c r="G184" s="608"/>
      <c r="H184" s="609"/>
      <c r="I184" s="610"/>
    </row>
    <row r="185">
      <c r="A185" s="611"/>
      <c r="B185" s="480"/>
      <c r="C185" s="462"/>
      <c r="D185" s="574"/>
      <c r="E185" s="576"/>
      <c r="F185" s="558"/>
      <c r="G185" s="555"/>
      <c r="H185" s="551"/>
      <c r="I185" s="612"/>
    </row>
    <row r="186">
      <c r="A186" s="611"/>
      <c r="B186" s="480"/>
      <c r="C186" s="462"/>
      <c r="D186" s="574"/>
      <c r="E186" s="576"/>
      <c r="F186" s="558"/>
      <c r="G186" s="555"/>
      <c r="H186" s="551"/>
      <c r="I186" s="612"/>
    </row>
    <row r="187">
      <c r="A187" s="611"/>
      <c r="B187" s="480"/>
      <c r="C187" s="462"/>
      <c r="D187" s="574"/>
      <c r="E187" s="576"/>
      <c r="F187" s="558"/>
      <c r="G187" s="555"/>
      <c r="H187" s="551"/>
      <c r="I187" s="612"/>
    </row>
    <row r="188">
      <c r="A188" s="613"/>
      <c r="B188" s="478"/>
      <c r="C188" s="614"/>
      <c r="D188" s="577"/>
      <c r="E188" s="578"/>
      <c r="F188" s="561"/>
      <c r="G188" s="562"/>
      <c r="H188" s="563"/>
      <c r="I188" s="615"/>
    </row>
    <row r="189">
      <c r="A189" s="299"/>
      <c r="B189" s="440"/>
      <c r="C189" s="462"/>
      <c r="D189" s="182"/>
      <c r="E189" s="557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B191" s="480"/>
      <c r="C191" s="462"/>
      <c r="D191" s="574"/>
      <c r="E191" s="576"/>
      <c r="F191" s="558"/>
      <c r="G191" s="555"/>
      <c r="H191" s="551"/>
      <c r="I191" s="552"/>
    </row>
    <row r="192">
      <c r="B192" s="480"/>
      <c r="C192" s="462"/>
      <c r="D192" s="574"/>
      <c r="E192" s="576"/>
      <c r="F192" s="558"/>
      <c r="G192" s="555"/>
      <c r="H192" s="551"/>
      <c r="I192" s="552"/>
    </row>
    <row r="193">
      <c r="B193" s="480"/>
      <c r="C193" s="462"/>
      <c r="D193" s="574"/>
      <c r="E193" s="576"/>
      <c r="F193" s="558"/>
      <c r="G193" s="555"/>
      <c r="H193" s="551"/>
      <c r="I193" s="552"/>
    </row>
    <row r="194">
      <c r="A194" s="585"/>
      <c r="B194" s="271"/>
      <c r="C194" s="586"/>
      <c r="D194" s="587"/>
      <c r="E194" s="588"/>
      <c r="F194" s="561"/>
      <c r="G194" s="562"/>
      <c r="H194" s="563"/>
      <c r="I194" s="564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3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3"/>
      <c r="B197" s="268"/>
      <c r="C197" s="253"/>
      <c r="D197" s="366"/>
      <c r="E197" s="555"/>
      <c r="F197" s="558"/>
      <c r="G197" s="555"/>
      <c r="H197" s="551"/>
      <c r="I197" s="552"/>
    </row>
    <row r="198">
      <c r="A198" s="303"/>
      <c r="B198" s="268"/>
      <c r="C198" s="253"/>
      <c r="D198" s="366"/>
      <c r="E198" s="555"/>
      <c r="F198" s="558"/>
      <c r="G198" s="555"/>
      <c r="H198" s="551"/>
      <c r="I198" s="552"/>
    </row>
    <row r="199">
      <c r="A199" s="304"/>
      <c r="B199" s="268"/>
      <c r="C199" s="253"/>
      <c r="D199" s="366"/>
      <c r="E199" s="555"/>
      <c r="F199" s="558"/>
      <c r="G199" s="555"/>
      <c r="H199" s="551"/>
      <c r="I199" s="552"/>
    </row>
    <row r="200">
      <c r="A200" s="305"/>
      <c r="B200" s="271"/>
      <c r="C200" s="273"/>
      <c r="D200" s="587"/>
      <c r="E200" s="562"/>
      <c r="F200" s="561"/>
      <c r="G200" s="555"/>
      <c r="H200" s="551"/>
      <c r="I200" s="552"/>
    </row>
    <row r="201">
      <c r="A201" s="265"/>
      <c r="B201" s="306"/>
      <c r="C201" s="241"/>
      <c r="D201" s="583"/>
      <c r="E201" s="548"/>
      <c r="F201" s="597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65"/>
      <c r="B206" s="268"/>
      <c r="C206" s="253"/>
      <c r="D206" s="366"/>
      <c r="E206" s="555"/>
      <c r="F206" s="558"/>
      <c r="G206" s="555"/>
      <c r="H206" s="551"/>
      <c r="I206" s="552"/>
    </row>
    <row r="207">
      <c r="A207" s="265"/>
      <c r="B207" s="268"/>
      <c r="C207" s="253"/>
      <c r="D207" s="366"/>
      <c r="E207" s="555"/>
      <c r="F207" s="558"/>
      <c r="G207" s="555"/>
      <c r="H207" s="551"/>
      <c r="I207" s="552"/>
    </row>
    <row r="208">
      <c r="A208" s="265"/>
      <c r="B208" s="268"/>
      <c r="C208" s="253"/>
      <c r="D208" s="366"/>
      <c r="E208" s="555"/>
      <c r="F208" s="558"/>
      <c r="G208" s="555"/>
      <c r="H208" s="551"/>
      <c r="I208" s="552"/>
    </row>
    <row r="209">
      <c r="A209" s="270"/>
      <c r="B209" s="268"/>
      <c r="C209" s="253"/>
      <c r="D209" s="366"/>
      <c r="E209" s="555"/>
      <c r="F209" s="558"/>
      <c r="G209" s="555"/>
      <c r="H209" s="551"/>
      <c r="I209" s="552"/>
    </row>
    <row r="210">
      <c r="B210" s="271"/>
      <c r="C210" s="273"/>
      <c r="D210" s="587"/>
      <c r="E210" s="562"/>
      <c r="F210" s="561"/>
      <c r="G210" s="555"/>
      <c r="H210" s="551"/>
      <c r="I210" s="552"/>
    </row>
    <row r="211">
      <c r="B211" s="306"/>
      <c r="C211" s="241"/>
      <c r="D211" s="583"/>
      <c r="E211" s="548"/>
      <c r="F211" s="597"/>
      <c r="G211" s="555"/>
      <c r="H211" s="551"/>
      <c r="I211" s="552"/>
    </row>
    <row r="212">
      <c r="B212" s="268"/>
      <c r="C212" s="253"/>
      <c r="D212" s="366"/>
      <c r="E212" s="555"/>
      <c r="F212" s="558"/>
      <c r="G212" s="555"/>
      <c r="H212" s="551"/>
      <c r="I212" s="552"/>
    </row>
    <row r="213">
      <c r="B213" s="268"/>
      <c r="C213" s="253"/>
      <c r="D213" s="366"/>
      <c r="E213" s="555"/>
      <c r="F213" s="558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  <row r="517">
      <c r="B517" s="308"/>
      <c r="C517" s="253"/>
      <c r="D517" s="598"/>
      <c r="E517" s="555"/>
      <c r="F517" s="572"/>
      <c r="G517" s="555"/>
      <c r="H517" s="551"/>
      <c r="I517" s="552"/>
    </row>
    <row r="518">
      <c r="B518" s="308"/>
      <c r="C518" s="253"/>
      <c r="D518" s="598"/>
      <c r="E518" s="555"/>
      <c r="F518" s="572"/>
      <c r="G518" s="555"/>
      <c r="H518" s="551"/>
      <c r="I518" s="552"/>
    </row>
    <row r="519">
      <c r="B519" s="308"/>
      <c r="C519" s="253"/>
      <c r="D519" s="598"/>
      <c r="E519" s="555"/>
      <c r="F519" s="572"/>
      <c r="G519" s="555"/>
      <c r="H519" s="551"/>
      <c r="I519" s="552"/>
    </row>
  </sheetData>
  <autoFilter ref="$E$68"/>
  <mergeCells count="33">
    <mergeCell ref="A2:A7"/>
    <mergeCell ref="A8:A14"/>
    <mergeCell ref="A15:A19"/>
    <mergeCell ref="A20:A25"/>
    <mergeCell ref="A26:A31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2"/>
    <mergeCell ref="A113:A118"/>
    <mergeCell ref="A119:A124"/>
    <mergeCell ref="A125:A130"/>
    <mergeCell ref="A173:A177"/>
    <mergeCell ref="A179:A183"/>
    <mergeCell ref="A184:A188"/>
    <mergeCell ref="A189:A193"/>
    <mergeCell ref="A200:A209"/>
    <mergeCell ref="A131:A136"/>
    <mergeCell ref="A137:A142"/>
    <mergeCell ref="A143:A147"/>
    <mergeCell ref="A149:A154"/>
    <mergeCell ref="A155:A159"/>
    <mergeCell ref="A161:A165"/>
    <mergeCell ref="A167:A1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16.13"/>
    <col customWidth="1" min="3" max="3" width="13.13"/>
    <col customWidth="1" min="5" max="5" width="23.63"/>
    <col customWidth="1" min="6" max="6" width="13.25"/>
    <col customWidth="1" min="7" max="7" width="27.5"/>
    <col customWidth="1" min="8" max="9" width="15.75"/>
  </cols>
  <sheetData>
    <row r="1" ht="27.0" customHeight="1">
      <c r="A1" s="539" t="s">
        <v>46</v>
      </c>
      <c r="B1" s="408" t="s">
        <v>1809</v>
      </c>
      <c r="C1" s="540" t="s">
        <v>1810</v>
      </c>
      <c r="D1" s="541" t="s">
        <v>1811</v>
      </c>
      <c r="E1" s="542" t="s">
        <v>1812</v>
      </c>
      <c r="F1" s="543" t="s">
        <v>1813</v>
      </c>
      <c r="G1" s="544" t="s">
        <v>1814</v>
      </c>
      <c r="H1" s="545" t="s">
        <v>1815</v>
      </c>
      <c r="I1" s="546" t="s">
        <v>1816</v>
      </c>
    </row>
    <row r="2">
      <c r="A2" s="262" t="s">
        <v>943</v>
      </c>
      <c r="B2" s="425"/>
      <c r="C2" s="532"/>
      <c r="D2" s="547"/>
      <c r="E2" s="548"/>
      <c r="F2" s="549">
        <v>70.0</v>
      </c>
      <c r="G2" s="550"/>
      <c r="H2" s="556"/>
      <c r="I2" s="569"/>
    </row>
    <row r="3">
      <c r="A3" s="265"/>
      <c r="B3" s="510"/>
      <c r="C3" s="399"/>
      <c r="D3" s="366"/>
      <c r="E3" s="553"/>
      <c r="F3" s="554"/>
      <c r="G3" s="550"/>
      <c r="H3" s="556"/>
      <c r="I3" s="552"/>
    </row>
    <row r="4">
      <c r="A4" s="265"/>
      <c r="B4" s="404"/>
      <c r="C4" s="414"/>
      <c r="D4" s="182"/>
      <c r="E4" s="557"/>
      <c r="F4" s="558"/>
      <c r="G4" s="550"/>
      <c r="H4" s="556"/>
      <c r="I4" s="569"/>
    </row>
    <row r="5">
      <c r="A5" s="265"/>
      <c r="B5" s="404"/>
      <c r="C5" s="399"/>
      <c r="D5" s="182"/>
      <c r="E5" s="557"/>
      <c r="F5" s="554"/>
      <c r="G5" s="550"/>
      <c r="H5" s="556"/>
      <c r="I5" s="552"/>
    </row>
    <row r="6">
      <c r="A6" s="265"/>
      <c r="B6" s="440"/>
      <c r="C6" s="400"/>
      <c r="D6" s="182"/>
      <c r="E6" s="557"/>
      <c r="F6" s="558"/>
      <c r="G6" s="550"/>
      <c r="H6" s="556"/>
      <c r="I6" s="569"/>
    </row>
    <row r="7">
      <c r="A7" s="270"/>
      <c r="B7" s="470"/>
      <c r="C7" s="472"/>
      <c r="D7" s="559"/>
      <c r="E7" s="560"/>
      <c r="F7" s="561"/>
      <c r="G7" s="562"/>
      <c r="H7" s="599"/>
      <c r="I7" s="564"/>
    </row>
    <row r="8">
      <c r="A8" s="262" t="s">
        <v>2260</v>
      </c>
      <c r="B8" s="425"/>
      <c r="C8" s="401"/>
      <c r="D8" s="182"/>
      <c r="E8" s="557"/>
      <c r="F8" s="549">
        <v>120.0</v>
      </c>
      <c r="G8" s="550"/>
      <c r="H8" s="556"/>
      <c r="I8" s="552"/>
    </row>
    <row r="9">
      <c r="A9" s="265"/>
      <c r="B9" s="404"/>
      <c r="C9" s="414"/>
      <c r="D9" s="182"/>
      <c r="E9" s="557"/>
      <c r="F9" s="554"/>
      <c r="G9" s="550"/>
      <c r="H9" s="556"/>
      <c r="I9" s="552"/>
    </row>
    <row r="10">
      <c r="A10" s="265"/>
      <c r="B10" s="339"/>
      <c r="C10" s="414"/>
      <c r="D10" s="182"/>
      <c r="E10" s="557"/>
      <c r="F10" s="554"/>
      <c r="G10" s="550"/>
      <c r="H10" s="556"/>
      <c r="I10" s="552"/>
    </row>
    <row r="11">
      <c r="A11" s="265"/>
      <c r="B11" s="404"/>
      <c r="C11" s="399"/>
      <c r="D11" s="182"/>
      <c r="E11" s="557"/>
      <c r="F11" s="554"/>
      <c r="G11" s="550"/>
      <c r="H11" s="556"/>
      <c r="I11" s="569"/>
    </row>
    <row r="12">
      <c r="A12" s="265"/>
      <c r="B12" s="419"/>
      <c r="C12" s="414"/>
      <c r="D12" s="182"/>
      <c r="E12" s="557"/>
      <c r="F12" s="554"/>
      <c r="G12" s="550"/>
      <c r="H12" s="556"/>
      <c r="I12" s="552"/>
    </row>
    <row r="13">
      <c r="A13" s="265"/>
      <c r="B13" s="404"/>
      <c r="C13" s="399"/>
      <c r="D13" s="182"/>
      <c r="E13" s="557"/>
      <c r="F13" s="558"/>
      <c r="G13" s="555"/>
      <c r="H13" s="556"/>
      <c r="I13" s="569"/>
    </row>
    <row r="14">
      <c r="A14" s="270"/>
      <c r="B14" s="404"/>
      <c r="C14" s="400"/>
      <c r="D14" s="182"/>
      <c r="E14" s="557"/>
      <c r="F14" s="554"/>
      <c r="G14" s="562"/>
      <c r="H14" s="599"/>
      <c r="I14" s="564"/>
    </row>
    <row r="15">
      <c r="A15" s="633">
        <v>46086.0</v>
      </c>
      <c r="B15" s="600"/>
      <c r="C15" s="421"/>
      <c r="D15" s="566"/>
      <c r="E15" s="567"/>
      <c r="F15" s="549">
        <v>200.0</v>
      </c>
      <c r="G15" s="550"/>
      <c r="H15" s="581"/>
      <c r="I15" s="619"/>
      <c r="J15" s="603"/>
    </row>
    <row r="16">
      <c r="A16" s="265"/>
      <c r="B16" s="440"/>
      <c r="C16" s="414"/>
      <c r="D16" s="182"/>
      <c r="E16" s="557"/>
      <c r="F16" s="554"/>
      <c r="G16" s="557"/>
      <c r="H16" s="556"/>
      <c r="I16" s="569"/>
    </row>
    <row r="17">
      <c r="A17" s="265"/>
      <c r="B17" s="404"/>
      <c r="C17" s="476"/>
      <c r="D17" s="182"/>
      <c r="E17" s="557"/>
      <c r="F17" s="568"/>
      <c r="G17" s="550"/>
      <c r="H17" s="556"/>
      <c r="I17" s="552"/>
    </row>
    <row r="18">
      <c r="A18" s="265"/>
      <c r="B18" s="404"/>
      <c r="C18" s="399"/>
      <c r="D18" s="182"/>
      <c r="E18" s="557"/>
      <c r="F18" s="558"/>
      <c r="G18" s="555"/>
      <c r="H18" s="556"/>
      <c r="I18" s="552"/>
    </row>
    <row r="19">
      <c r="A19" s="270"/>
      <c r="B19" s="404"/>
      <c r="C19" s="399"/>
      <c r="D19" s="182"/>
      <c r="E19" s="557"/>
      <c r="F19" s="558"/>
      <c r="G19" s="562"/>
      <c r="H19" s="599"/>
      <c r="I19" s="601"/>
    </row>
    <row r="20">
      <c r="A20" s="262" t="s">
        <v>2261</v>
      </c>
      <c r="B20" s="425"/>
      <c r="C20" s="401"/>
      <c r="D20" s="566"/>
      <c r="E20" s="567"/>
      <c r="F20" s="549">
        <v>400.0</v>
      </c>
      <c r="G20" s="550"/>
      <c r="H20" s="556"/>
      <c r="I20" s="569"/>
    </row>
    <row r="21">
      <c r="A21" s="265"/>
      <c r="B21" s="404"/>
      <c r="C21" s="399"/>
      <c r="D21" s="182"/>
      <c r="E21" s="557"/>
      <c r="F21" s="554">
        <f>210-110-100</f>
        <v>0</v>
      </c>
      <c r="G21" s="550" t="s">
        <v>2262</v>
      </c>
      <c r="H21" s="551"/>
      <c r="I21" s="569"/>
    </row>
    <row r="22">
      <c r="A22" s="265"/>
      <c r="B22" s="457"/>
      <c r="C22" s="399"/>
      <c r="D22" s="182"/>
      <c r="E22" s="557"/>
      <c r="F22" s="558"/>
      <c r="G22" s="555"/>
      <c r="H22" s="551"/>
      <c r="I22" s="569"/>
    </row>
    <row r="23">
      <c r="A23" s="265"/>
      <c r="B23" s="468"/>
      <c r="C23" s="399"/>
      <c r="D23" s="570"/>
      <c r="E23" s="557"/>
      <c r="F23" s="554"/>
      <c r="G23" s="550"/>
      <c r="H23" s="551"/>
      <c r="I23" s="569"/>
    </row>
    <row r="24">
      <c r="A24" s="265"/>
      <c r="B24" s="468"/>
      <c r="C24" s="399"/>
      <c r="D24" s="182"/>
      <c r="E24" s="557"/>
      <c r="F24" s="554"/>
      <c r="G24" s="555"/>
      <c r="H24" s="551"/>
      <c r="I24" s="569"/>
    </row>
    <row r="25">
      <c r="A25" s="270"/>
      <c r="B25" s="404"/>
      <c r="C25" s="399"/>
      <c r="D25" s="182"/>
      <c r="E25" s="557"/>
      <c r="F25" s="558"/>
      <c r="G25" s="562"/>
      <c r="H25" s="563"/>
      <c r="I25" s="601"/>
    </row>
    <row r="26">
      <c r="A26" s="262" t="s">
        <v>2263</v>
      </c>
      <c r="B26" s="425"/>
      <c r="C26" s="421"/>
      <c r="D26" s="182"/>
      <c r="E26" s="567"/>
      <c r="F26" s="571">
        <v>200.0</v>
      </c>
      <c r="G26" s="550"/>
      <c r="H26" s="556"/>
      <c r="I26" s="569"/>
    </row>
    <row r="27">
      <c r="A27" s="265"/>
      <c r="B27" s="404"/>
      <c r="C27" s="399"/>
      <c r="D27" s="182"/>
      <c r="E27" s="557"/>
      <c r="F27" s="83">
        <v>110.0</v>
      </c>
      <c r="G27" s="550"/>
      <c r="H27" s="556"/>
      <c r="I27" s="569"/>
    </row>
    <row r="28">
      <c r="A28" s="265"/>
      <c r="B28" s="404"/>
      <c r="C28" s="400"/>
      <c r="D28" s="182"/>
      <c r="E28" s="557"/>
      <c r="F28" s="572"/>
      <c r="G28" s="573"/>
      <c r="H28" s="556"/>
      <c r="I28" s="552"/>
    </row>
    <row r="29">
      <c r="A29" s="265"/>
      <c r="B29" s="404"/>
      <c r="C29" s="400"/>
      <c r="D29" s="182"/>
      <c r="E29" s="557"/>
      <c r="F29" s="83"/>
      <c r="G29" s="550"/>
      <c r="H29" s="556"/>
      <c r="I29" s="552"/>
    </row>
    <row r="30">
      <c r="A30" s="265"/>
      <c r="B30" s="404"/>
      <c r="C30" s="400"/>
      <c r="D30" s="182"/>
      <c r="E30" s="557"/>
      <c r="F30" s="558"/>
      <c r="G30" s="550"/>
      <c r="H30" s="556"/>
      <c r="I30" s="552"/>
    </row>
    <row r="31">
      <c r="A31" s="270"/>
      <c r="B31" s="440"/>
      <c r="C31" s="400"/>
      <c r="D31" s="574"/>
      <c r="E31" s="557"/>
      <c r="F31" s="558"/>
      <c r="G31" s="575"/>
      <c r="H31" s="556"/>
      <c r="I31" s="552"/>
    </row>
    <row r="32">
      <c r="A32" s="262" t="s">
        <v>2264</v>
      </c>
      <c r="B32" s="425"/>
      <c r="C32" s="401"/>
      <c r="D32" s="566"/>
      <c r="E32" s="567"/>
      <c r="F32" s="549">
        <v>200.0</v>
      </c>
      <c r="G32" s="550"/>
      <c r="H32" s="556"/>
      <c r="I32" s="552"/>
    </row>
    <row r="33">
      <c r="A33" s="265"/>
      <c r="B33" s="477"/>
      <c r="C33" s="400"/>
      <c r="D33" s="182"/>
      <c r="E33" s="576"/>
      <c r="F33" s="554">
        <v>200.0</v>
      </c>
      <c r="G33" s="550"/>
      <c r="H33" s="551"/>
      <c r="I33" s="552"/>
    </row>
    <row r="34">
      <c r="A34" s="265"/>
      <c r="B34" s="477"/>
      <c r="C34" s="400"/>
      <c r="D34" s="182"/>
      <c r="E34" s="576"/>
      <c r="F34" s="554"/>
      <c r="G34" s="550"/>
      <c r="H34" s="556"/>
      <c r="I34" s="552"/>
    </row>
    <row r="35">
      <c r="A35" s="265"/>
      <c r="B35" s="477"/>
      <c r="C35" s="400"/>
      <c r="D35" s="182"/>
      <c r="E35" s="576"/>
      <c r="F35" s="554"/>
      <c r="G35" s="550"/>
      <c r="H35" s="556"/>
      <c r="I35" s="552"/>
    </row>
    <row r="36">
      <c r="A36" s="265"/>
      <c r="B36" s="477"/>
      <c r="C36" s="400"/>
      <c r="D36" s="182"/>
      <c r="E36" s="576"/>
      <c r="F36" s="558"/>
      <c r="G36" s="555"/>
      <c r="H36" s="551"/>
      <c r="I36" s="569"/>
    </row>
    <row r="37">
      <c r="A37" s="270"/>
      <c r="B37" s="478"/>
      <c r="C37" s="472"/>
      <c r="D37" s="577"/>
      <c r="E37" s="578"/>
      <c r="F37" s="561"/>
      <c r="G37" s="562"/>
      <c r="H37" s="563"/>
      <c r="I37" s="601"/>
    </row>
    <row r="38">
      <c r="A38" s="262" t="s">
        <v>964</v>
      </c>
      <c r="B38" s="425"/>
      <c r="C38" s="401"/>
      <c r="D38" s="566"/>
      <c r="E38" s="550"/>
      <c r="F38" s="549">
        <v>140.0</v>
      </c>
      <c r="G38" s="550"/>
      <c r="H38" s="620"/>
      <c r="I38" s="564"/>
      <c r="J38" s="603"/>
    </row>
    <row r="39">
      <c r="A39" s="265"/>
      <c r="B39" s="404"/>
      <c r="C39" s="399"/>
      <c r="D39" s="182"/>
      <c r="E39" s="550"/>
      <c r="F39" s="554">
        <v>90.0</v>
      </c>
      <c r="G39" s="550"/>
      <c r="H39" s="556"/>
      <c r="I39" s="552"/>
    </row>
    <row r="40">
      <c r="A40" s="265"/>
      <c r="B40" s="440"/>
      <c r="C40" s="400"/>
      <c r="D40" s="182"/>
      <c r="E40" s="557"/>
      <c r="F40" s="558"/>
      <c r="G40" s="550"/>
      <c r="H40" s="556"/>
      <c r="I40" s="552"/>
    </row>
    <row r="41">
      <c r="A41" s="265"/>
      <c r="B41" s="440"/>
      <c r="C41" s="400"/>
      <c r="D41" s="182"/>
      <c r="E41" s="576"/>
      <c r="F41" s="554"/>
      <c r="G41" s="550"/>
      <c r="H41" s="556"/>
      <c r="I41" s="552"/>
    </row>
    <row r="42">
      <c r="A42" s="265"/>
      <c r="B42" s="480"/>
      <c r="C42" s="400"/>
      <c r="D42" s="182"/>
      <c r="E42" s="576"/>
      <c r="F42" s="558"/>
      <c r="G42" s="555"/>
      <c r="H42" s="556"/>
      <c r="I42" s="552"/>
    </row>
    <row r="43">
      <c r="A43" s="270"/>
      <c r="B43" s="478"/>
      <c r="C43" s="472"/>
      <c r="D43" s="577"/>
      <c r="E43" s="578"/>
      <c r="F43" s="561"/>
      <c r="G43" s="562"/>
      <c r="H43" s="599"/>
      <c r="I43" s="564"/>
    </row>
    <row r="44">
      <c r="A44" s="262" t="s">
        <v>888</v>
      </c>
      <c r="B44" s="425"/>
      <c r="C44" s="421"/>
      <c r="D44" s="566"/>
      <c r="E44" s="567"/>
      <c r="F44" s="549"/>
      <c r="G44" s="550"/>
      <c r="H44" s="556"/>
      <c r="I44" s="552"/>
    </row>
    <row r="45">
      <c r="A45" s="265"/>
      <c r="B45" s="404"/>
      <c r="C45" s="399"/>
      <c r="D45" s="182"/>
      <c r="E45" s="557"/>
      <c r="F45" s="554"/>
      <c r="G45" s="550"/>
      <c r="H45" s="556"/>
      <c r="I45" s="552"/>
    </row>
    <row r="46">
      <c r="A46" s="265"/>
      <c r="B46" s="440"/>
      <c r="C46" s="400"/>
      <c r="D46" s="182"/>
      <c r="E46" s="557"/>
      <c r="F46" s="554"/>
      <c r="G46" s="550"/>
      <c r="H46" s="556"/>
      <c r="I46" s="552"/>
    </row>
    <row r="47">
      <c r="A47" s="265"/>
      <c r="B47" s="440"/>
      <c r="C47" s="400"/>
      <c r="D47" s="574"/>
      <c r="E47" s="576"/>
      <c r="F47" s="554"/>
      <c r="G47" s="550"/>
      <c r="H47" s="556"/>
      <c r="I47" s="552"/>
    </row>
    <row r="48">
      <c r="A48" s="265"/>
      <c r="B48" s="480"/>
      <c r="C48" s="400"/>
      <c r="D48" s="182"/>
      <c r="E48" s="576"/>
      <c r="F48" s="558"/>
      <c r="G48" s="555"/>
      <c r="H48" s="551"/>
      <c r="I48" s="569"/>
    </row>
    <row r="49">
      <c r="A49" s="270"/>
      <c r="B49" s="478"/>
      <c r="C49" s="472"/>
      <c r="D49" s="559"/>
      <c r="E49" s="560"/>
      <c r="F49" s="561"/>
      <c r="G49" s="562"/>
      <c r="H49" s="599"/>
      <c r="I49" s="564"/>
    </row>
    <row r="50">
      <c r="A50" s="262" t="s">
        <v>890</v>
      </c>
      <c r="B50" s="425"/>
      <c r="C50" s="421"/>
      <c r="D50" s="566"/>
      <c r="E50" s="567"/>
      <c r="F50" s="549"/>
      <c r="G50" s="550"/>
      <c r="H50" s="556"/>
      <c r="I50" s="569"/>
    </row>
    <row r="51">
      <c r="A51" s="265"/>
      <c r="B51" s="404"/>
      <c r="C51" s="399"/>
      <c r="D51" s="182"/>
      <c r="E51" s="557"/>
      <c r="F51" s="554"/>
      <c r="G51" s="550"/>
      <c r="H51" s="551"/>
      <c r="I51" s="569"/>
    </row>
    <row r="52">
      <c r="A52" s="265"/>
      <c r="B52" s="404"/>
      <c r="C52" s="399"/>
      <c r="D52" s="182"/>
      <c r="E52" s="557"/>
      <c r="F52" s="554"/>
      <c r="G52" s="550"/>
      <c r="H52" s="556"/>
      <c r="I52" s="552"/>
    </row>
    <row r="53">
      <c r="A53" s="265"/>
      <c r="B53" s="404"/>
      <c r="C53" s="399"/>
      <c r="D53" s="182"/>
      <c r="E53" s="557"/>
      <c r="F53" s="554"/>
      <c r="G53" s="550"/>
      <c r="H53" s="556"/>
      <c r="I53" s="552"/>
    </row>
    <row r="54">
      <c r="A54" s="265"/>
      <c r="B54" s="440"/>
      <c r="C54" s="399"/>
      <c r="D54" s="182"/>
      <c r="E54" s="557"/>
      <c r="F54" s="558"/>
      <c r="G54" s="555"/>
      <c r="H54" s="551"/>
      <c r="I54" s="552"/>
    </row>
    <row r="55">
      <c r="A55" s="270"/>
      <c r="B55" s="470"/>
      <c r="C55" s="486"/>
      <c r="D55" s="559"/>
      <c r="E55" s="560"/>
      <c r="F55" s="561"/>
      <c r="G55" s="562"/>
      <c r="H55" s="563"/>
      <c r="I55" s="564"/>
    </row>
    <row r="56">
      <c r="A56" s="262" t="s">
        <v>896</v>
      </c>
      <c r="B56" s="425"/>
      <c r="C56" s="421"/>
      <c r="D56" s="566"/>
      <c r="E56" s="567"/>
      <c r="F56" s="549"/>
      <c r="G56" s="550"/>
      <c r="H56" s="551"/>
      <c r="I56" s="552"/>
    </row>
    <row r="57">
      <c r="A57" s="265"/>
      <c r="B57" s="404"/>
      <c r="C57" s="400"/>
      <c r="D57" s="182"/>
      <c r="E57" s="557"/>
      <c r="F57" s="554"/>
      <c r="G57" s="550"/>
      <c r="H57" s="551"/>
      <c r="I57" s="552"/>
    </row>
    <row r="58">
      <c r="A58" s="265"/>
      <c r="B58" s="404"/>
      <c r="C58" s="400"/>
      <c r="D58" s="182"/>
      <c r="E58" s="557"/>
      <c r="F58" s="558"/>
      <c r="G58" s="555"/>
      <c r="H58" s="551"/>
      <c r="I58" s="552"/>
    </row>
    <row r="59">
      <c r="A59" s="265"/>
      <c r="B59" s="477"/>
      <c r="C59" s="400"/>
      <c r="D59" s="182"/>
      <c r="E59" s="576"/>
      <c r="F59" s="554"/>
      <c r="G59" s="550"/>
      <c r="H59" s="551"/>
      <c r="I59" s="552"/>
    </row>
    <row r="60">
      <c r="A60" s="265"/>
      <c r="B60" s="477"/>
      <c r="C60" s="400"/>
      <c r="D60" s="182"/>
      <c r="E60" s="576"/>
      <c r="F60" s="558"/>
      <c r="G60" s="555"/>
      <c r="H60" s="551"/>
      <c r="I60" s="552"/>
    </row>
    <row r="61">
      <c r="A61" s="270"/>
      <c r="B61" s="478"/>
      <c r="C61" s="472"/>
      <c r="D61" s="559"/>
      <c r="E61" s="560"/>
      <c r="F61" s="561"/>
      <c r="G61" s="562"/>
      <c r="H61" s="563"/>
      <c r="I61" s="564"/>
    </row>
    <row r="62">
      <c r="A62" s="262" t="s">
        <v>2242</v>
      </c>
      <c r="B62" s="404"/>
      <c r="C62" s="414"/>
      <c r="D62" s="22"/>
      <c r="E62" s="567"/>
      <c r="F62" s="554"/>
      <c r="G62" s="550"/>
      <c r="H62" s="556"/>
      <c r="I62" s="552"/>
    </row>
    <row r="63">
      <c r="A63" s="265"/>
      <c r="B63" s="404"/>
      <c r="C63" s="399"/>
      <c r="D63" s="182"/>
      <c r="E63" s="557"/>
      <c r="F63" s="554"/>
      <c r="G63" s="550"/>
      <c r="H63" s="556"/>
      <c r="I63" s="552"/>
    </row>
    <row r="64">
      <c r="A64" s="265"/>
      <c r="B64" s="404"/>
      <c r="C64" s="399"/>
      <c r="D64" s="182"/>
      <c r="E64" s="557"/>
      <c r="F64" s="558"/>
      <c r="G64" s="555"/>
      <c r="H64" s="551"/>
      <c r="I64" s="552"/>
    </row>
    <row r="65">
      <c r="A65" s="265"/>
      <c r="B65" s="404"/>
      <c r="C65" s="399"/>
      <c r="D65" s="182"/>
      <c r="E65" s="557"/>
      <c r="F65" s="554"/>
      <c r="G65" s="550"/>
      <c r="H65" s="556"/>
      <c r="I65" s="552"/>
    </row>
    <row r="66">
      <c r="A66" s="265"/>
      <c r="B66" s="404"/>
      <c r="C66" s="400"/>
      <c r="D66" s="182"/>
      <c r="E66" s="557"/>
      <c r="F66" s="558"/>
      <c r="G66" s="555"/>
      <c r="H66" s="551"/>
      <c r="I66" s="552"/>
    </row>
    <row r="67">
      <c r="A67" s="270"/>
      <c r="B67" s="404"/>
      <c r="C67" s="399"/>
      <c r="D67" s="182"/>
      <c r="E67" s="557"/>
      <c r="F67" s="561"/>
      <c r="G67" s="562"/>
      <c r="H67" s="563"/>
      <c r="I67" s="564"/>
    </row>
    <row r="68">
      <c r="A68" s="262" t="s">
        <v>901</v>
      </c>
      <c r="B68" s="425"/>
      <c r="C68" s="401"/>
      <c r="D68" s="566"/>
      <c r="E68" s="567"/>
      <c r="F68" s="554"/>
      <c r="G68" s="550"/>
      <c r="H68" s="604"/>
      <c r="I68" s="605"/>
      <c r="J68" s="340"/>
    </row>
    <row r="69">
      <c r="A69" s="265"/>
      <c r="B69" s="404"/>
      <c r="C69" s="400"/>
      <c r="D69" s="182"/>
      <c r="E69" s="557"/>
      <c r="F69" s="554"/>
      <c r="G69" s="550"/>
      <c r="H69" s="556"/>
      <c r="I69" s="552"/>
    </row>
    <row r="70">
      <c r="A70" s="265"/>
      <c r="B70" s="404"/>
      <c r="C70" s="400"/>
      <c r="D70" s="182"/>
      <c r="E70" s="557"/>
      <c r="F70" s="554"/>
      <c r="G70" s="550"/>
      <c r="H70" s="551"/>
      <c r="I70" s="552"/>
    </row>
    <row r="71">
      <c r="A71" s="265"/>
      <c r="B71" s="480"/>
      <c r="C71" s="400"/>
      <c r="D71" s="182"/>
      <c r="E71" s="576"/>
      <c r="F71" s="554"/>
      <c r="G71" s="550"/>
      <c r="H71" s="551"/>
      <c r="I71" s="552"/>
    </row>
    <row r="72">
      <c r="A72" s="265"/>
      <c r="B72" s="480"/>
      <c r="C72" s="400"/>
      <c r="D72" s="574"/>
      <c r="E72" s="576"/>
      <c r="F72" s="554"/>
      <c r="G72" s="550"/>
      <c r="H72" s="551"/>
      <c r="I72" s="552"/>
    </row>
    <row r="73">
      <c r="A73" s="270"/>
      <c r="B73" s="478"/>
      <c r="C73" s="472"/>
      <c r="D73" s="577"/>
      <c r="E73" s="576"/>
      <c r="F73" s="561"/>
      <c r="G73" s="562"/>
      <c r="H73" s="563"/>
      <c r="I73" s="564"/>
    </row>
    <row r="74">
      <c r="A74" s="262" t="s">
        <v>2247</v>
      </c>
      <c r="B74" s="425"/>
      <c r="C74" s="401"/>
      <c r="D74" s="566"/>
      <c r="E74" s="567"/>
      <c r="F74" s="549"/>
      <c r="G74" s="550"/>
      <c r="H74" s="551"/>
      <c r="I74" s="552"/>
    </row>
    <row r="75">
      <c r="A75" s="265"/>
      <c r="B75" s="404"/>
      <c r="C75" s="400"/>
      <c r="D75" s="182"/>
      <c r="E75" s="557"/>
      <c r="F75" s="554"/>
      <c r="G75" s="550"/>
      <c r="H75" s="551"/>
      <c r="I75" s="552"/>
    </row>
    <row r="76">
      <c r="A76" s="265"/>
      <c r="B76" s="404"/>
      <c r="C76" s="399"/>
      <c r="D76" s="182"/>
      <c r="E76" s="557"/>
      <c r="F76" s="558"/>
      <c r="G76" s="555"/>
      <c r="H76" s="551"/>
      <c r="I76" s="552"/>
    </row>
    <row r="77">
      <c r="A77" s="265"/>
      <c r="B77" s="440"/>
      <c r="C77" s="399"/>
      <c r="D77" s="182"/>
      <c r="E77" s="557"/>
      <c r="F77" s="554"/>
      <c r="G77" s="550"/>
      <c r="H77" s="551"/>
      <c r="I77" s="552"/>
    </row>
    <row r="78">
      <c r="A78" s="265"/>
      <c r="B78" s="440"/>
      <c r="C78" s="400"/>
      <c r="D78" s="574"/>
      <c r="E78" s="557"/>
      <c r="F78" s="558"/>
      <c r="G78" s="555"/>
      <c r="H78" s="551"/>
      <c r="I78" s="552"/>
    </row>
    <row r="79">
      <c r="A79" s="270"/>
      <c r="B79" s="478"/>
      <c r="C79" s="472"/>
      <c r="D79" s="577"/>
      <c r="E79" s="578"/>
      <c r="F79" s="561"/>
      <c r="G79" s="562"/>
      <c r="H79" s="563"/>
      <c r="I79" s="564"/>
    </row>
    <row r="80">
      <c r="A80" s="262" t="s">
        <v>905</v>
      </c>
      <c r="B80" s="461"/>
      <c r="C80" s="421"/>
      <c r="D80" s="566"/>
      <c r="E80" s="567"/>
      <c r="F80" s="549"/>
      <c r="G80" s="550"/>
      <c r="H80" s="556"/>
      <c r="I80" s="569"/>
    </row>
    <row r="81">
      <c r="A81" s="265"/>
      <c r="B81" s="404"/>
      <c r="C81" s="400"/>
      <c r="D81" s="182"/>
      <c r="E81" s="557"/>
      <c r="F81" s="554"/>
      <c r="G81" s="550"/>
      <c r="H81" s="551"/>
      <c r="I81" s="552"/>
    </row>
    <row r="82">
      <c r="A82" s="265"/>
      <c r="B82" s="440"/>
      <c r="C82" s="400"/>
      <c r="D82" s="182"/>
      <c r="E82" s="557"/>
      <c r="F82" s="558"/>
      <c r="G82" s="555"/>
      <c r="H82" s="551"/>
      <c r="I82" s="552"/>
    </row>
    <row r="83">
      <c r="A83" s="265"/>
      <c r="B83" s="480"/>
      <c r="C83" s="400"/>
      <c r="D83" s="574"/>
      <c r="E83" s="576"/>
      <c r="F83" s="554"/>
      <c r="G83" s="550"/>
      <c r="H83" s="551"/>
      <c r="I83" s="552"/>
    </row>
    <row r="84">
      <c r="A84" s="265"/>
      <c r="B84" s="480"/>
      <c r="C84" s="400"/>
      <c r="D84" s="574"/>
      <c r="E84" s="576"/>
      <c r="F84" s="558"/>
      <c r="G84" s="555"/>
      <c r="H84" s="551"/>
      <c r="I84" s="552"/>
    </row>
    <row r="85">
      <c r="A85" s="270"/>
      <c r="B85" s="478"/>
      <c r="C85" s="472"/>
      <c r="D85" s="577"/>
      <c r="E85" s="578"/>
      <c r="F85" s="561"/>
      <c r="G85" s="562"/>
      <c r="H85" s="563"/>
      <c r="I85" s="564"/>
    </row>
    <row r="86">
      <c r="A86" s="262" t="s">
        <v>906</v>
      </c>
      <c r="B86" s="425"/>
      <c r="C86" s="421"/>
      <c r="D86" s="566"/>
      <c r="E86" s="557"/>
      <c r="F86" s="549"/>
      <c r="G86" s="550"/>
      <c r="H86" s="556"/>
      <c r="I86" s="552"/>
    </row>
    <row r="87">
      <c r="A87" s="265"/>
      <c r="B87" s="404"/>
      <c r="C87" s="400"/>
      <c r="D87" s="182"/>
      <c r="E87" s="557"/>
      <c r="F87" s="554"/>
      <c r="G87" s="550"/>
      <c r="H87" s="551"/>
      <c r="I87" s="552"/>
    </row>
    <row r="88">
      <c r="A88" s="265"/>
      <c r="B88" s="480"/>
      <c r="C88" s="400"/>
      <c r="D88" s="182"/>
      <c r="E88" s="557"/>
      <c r="F88" s="558"/>
      <c r="G88" s="555"/>
      <c r="H88" s="551"/>
      <c r="I88" s="552"/>
    </row>
    <row r="89">
      <c r="A89" s="265"/>
      <c r="B89" s="480"/>
      <c r="C89" s="400"/>
      <c r="D89" s="182"/>
      <c r="E89" s="576"/>
      <c r="F89" s="558"/>
      <c r="G89" s="555"/>
      <c r="H89" s="551"/>
      <c r="I89" s="552"/>
    </row>
    <row r="90">
      <c r="A90" s="265"/>
      <c r="B90" s="480"/>
      <c r="C90" s="400"/>
      <c r="D90" s="182"/>
      <c r="E90" s="576"/>
      <c r="F90" s="558"/>
      <c r="G90" s="555"/>
      <c r="H90" s="551"/>
      <c r="I90" s="552"/>
    </row>
    <row r="91">
      <c r="A91" s="270"/>
      <c r="B91" s="478"/>
      <c r="C91" s="472"/>
      <c r="D91" s="577"/>
      <c r="E91" s="578"/>
      <c r="F91" s="561"/>
      <c r="G91" s="562"/>
      <c r="H91" s="563"/>
      <c r="I91" s="564"/>
    </row>
    <row r="92">
      <c r="A92" s="262" t="s">
        <v>908</v>
      </c>
      <c r="B92" s="425"/>
      <c r="C92" s="421"/>
      <c r="D92" s="566"/>
      <c r="E92" s="567"/>
      <c r="F92" s="549"/>
      <c r="G92" s="550"/>
      <c r="H92" s="551"/>
      <c r="I92" s="552"/>
    </row>
    <row r="93">
      <c r="A93" s="265"/>
      <c r="B93" s="404"/>
      <c r="C93" s="399"/>
      <c r="D93" s="182"/>
      <c r="E93" s="557"/>
      <c r="F93" s="554"/>
      <c r="G93" s="550"/>
      <c r="H93" s="551"/>
      <c r="I93" s="552"/>
    </row>
    <row r="94">
      <c r="A94" s="265"/>
      <c r="B94" s="404"/>
      <c r="C94" s="399"/>
      <c r="D94" s="182"/>
      <c r="E94" s="557"/>
      <c r="F94" s="558"/>
      <c r="G94" s="555"/>
      <c r="H94" s="551"/>
      <c r="I94" s="552"/>
    </row>
    <row r="95">
      <c r="A95" s="265"/>
      <c r="B95" s="477"/>
      <c r="C95" s="400"/>
      <c r="D95" s="182"/>
      <c r="E95" s="557"/>
      <c r="F95" s="554"/>
      <c r="G95" s="550"/>
      <c r="H95" s="551"/>
      <c r="I95" s="552"/>
    </row>
    <row r="96">
      <c r="A96" s="265"/>
      <c r="B96" s="477"/>
      <c r="C96" s="400"/>
      <c r="D96" s="182"/>
      <c r="E96" s="557"/>
      <c r="F96" s="554"/>
      <c r="G96" s="550"/>
      <c r="H96" s="551"/>
      <c r="I96" s="552"/>
    </row>
    <row r="97">
      <c r="A97" s="270"/>
      <c r="B97" s="478"/>
      <c r="C97" s="472"/>
      <c r="D97" s="559"/>
      <c r="E97" s="560"/>
      <c r="F97" s="561"/>
      <c r="G97" s="562"/>
      <c r="H97" s="563"/>
      <c r="I97" s="564"/>
    </row>
    <row r="98">
      <c r="A98" s="262" t="s">
        <v>2252</v>
      </c>
      <c r="B98" s="425"/>
      <c r="C98" s="399"/>
      <c r="D98" s="182"/>
      <c r="E98" s="557"/>
      <c r="F98" s="554"/>
      <c r="G98" s="550"/>
      <c r="H98" s="551"/>
      <c r="I98" s="552"/>
    </row>
    <row r="99">
      <c r="A99" s="265"/>
      <c r="B99" s="404"/>
      <c r="C99" s="399"/>
      <c r="D99" s="182"/>
      <c r="E99" s="557"/>
      <c r="F99" s="554"/>
      <c r="G99" s="550"/>
      <c r="H99" s="551"/>
      <c r="I99" s="552"/>
    </row>
    <row r="100">
      <c r="A100" s="265"/>
      <c r="B100" s="404"/>
      <c r="C100" s="489"/>
      <c r="D100" s="579"/>
      <c r="E100" s="580"/>
      <c r="F100" s="554"/>
      <c r="G100" s="550"/>
      <c r="H100" s="551"/>
      <c r="I100" s="552"/>
    </row>
    <row r="101">
      <c r="A101" s="265"/>
      <c r="B101" s="404"/>
      <c r="C101" s="400"/>
      <c r="D101" s="182"/>
      <c r="E101" s="557"/>
      <c r="F101" s="554"/>
      <c r="G101" s="550"/>
      <c r="H101" s="551"/>
      <c r="I101" s="552"/>
    </row>
    <row r="102">
      <c r="A102" s="265"/>
      <c r="B102" s="477"/>
      <c r="C102" s="400"/>
      <c r="D102" s="182"/>
      <c r="E102" s="576"/>
      <c r="F102" s="558"/>
      <c r="G102" s="555"/>
      <c r="H102" s="551"/>
      <c r="I102" s="552"/>
    </row>
    <row r="103">
      <c r="A103" s="270"/>
      <c r="B103" s="478"/>
      <c r="C103" s="472"/>
      <c r="D103" s="559"/>
      <c r="E103" s="560"/>
      <c r="F103" s="561"/>
      <c r="G103" s="562"/>
      <c r="H103" s="563"/>
      <c r="I103" s="564"/>
    </row>
    <row r="104">
      <c r="A104" s="633">
        <v>46102.0</v>
      </c>
      <c r="B104" s="425"/>
      <c r="C104" s="414"/>
      <c r="D104" s="182"/>
      <c r="E104" s="557"/>
      <c r="F104" s="549"/>
      <c r="G104" s="550"/>
      <c r="H104" s="551"/>
      <c r="I104" s="552"/>
    </row>
    <row r="105">
      <c r="A105" s="265"/>
      <c r="B105" s="404"/>
      <c r="C105" s="400"/>
      <c r="D105" s="182"/>
      <c r="E105" s="557"/>
      <c r="F105" s="554"/>
      <c r="G105" s="550"/>
      <c r="H105" s="551"/>
      <c r="I105" s="552"/>
    </row>
    <row r="106">
      <c r="A106" s="265"/>
      <c r="B106" s="477"/>
      <c r="C106" s="400"/>
      <c r="D106" s="182"/>
      <c r="E106" s="557"/>
      <c r="F106" s="558"/>
      <c r="G106" s="555"/>
      <c r="H106" s="551"/>
      <c r="I106" s="552"/>
    </row>
    <row r="107">
      <c r="A107" s="265"/>
      <c r="B107" s="480"/>
      <c r="C107" s="400"/>
      <c r="D107" s="182"/>
      <c r="E107" s="557"/>
      <c r="F107" s="554"/>
      <c r="G107" s="550"/>
      <c r="H107" s="551"/>
      <c r="I107" s="552"/>
    </row>
    <row r="108">
      <c r="A108" s="265"/>
      <c r="B108" s="480"/>
      <c r="C108" s="400"/>
      <c r="D108" s="574"/>
      <c r="E108" s="576"/>
      <c r="F108" s="558"/>
      <c r="G108" s="550"/>
      <c r="H108" s="551"/>
      <c r="I108" s="552"/>
    </row>
    <row r="109">
      <c r="A109" s="270"/>
      <c r="B109" s="478"/>
      <c r="C109" s="472"/>
      <c r="D109" s="577"/>
      <c r="E109" s="578"/>
      <c r="F109" s="561"/>
      <c r="G109" s="562"/>
      <c r="H109" s="563"/>
      <c r="I109" s="564"/>
    </row>
    <row r="110">
      <c r="A110" s="262" t="s">
        <v>917</v>
      </c>
      <c r="B110" s="425"/>
      <c r="C110" s="401"/>
      <c r="D110" s="566"/>
      <c r="E110" s="567"/>
      <c r="F110" s="549"/>
      <c r="G110" s="550"/>
      <c r="H110" s="556"/>
      <c r="I110" s="552"/>
    </row>
    <row r="111">
      <c r="A111" s="265"/>
      <c r="B111" s="477"/>
      <c r="C111" s="400"/>
      <c r="D111" s="182"/>
      <c r="E111" s="557"/>
      <c r="F111" s="554"/>
      <c r="G111" s="550"/>
      <c r="H111" s="551"/>
      <c r="I111" s="552"/>
    </row>
    <row r="112">
      <c r="A112" s="265"/>
      <c r="B112" s="477"/>
      <c r="C112" s="400"/>
      <c r="D112" s="182"/>
      <c r="E112" s="557"/>
      <c r="F112" s="554"/>
      <c r="G112" s="550"/>
      <c r="H112" s="551"/>
      <c r="I112" s="552"/>
    </row>
    <row r="113">
      <c r="A113" s="265"/>
      <c r="B113" s="477"/>
      <c r="C113" s="400"/>
      <c r="D113" s="182"/>
      <c r="E113" s="557"/>
      <c r="F113" s="554"/>
      <c r="G113" s="550"/>
      <c r="H113" s="551"/>
      <c r="I113" s="552"/>
    </row>
    <row r="114">
      <c r="A114" s="265"/>
      <c r="B114" s="477"/>
      <c r="C114" s="400"/>
      <c r="D114" s="182"/>
      <c r="E114" s="576"/>
      <c r="F114" s="558"/>
      <c r="G114" s="555"/>
      <c r="H114" s="551"/>
      <c r="I114" s="552"/>
    </row>
    <row r="115">
      <c r="A115" s="270"/>
      <c r="B115" s="478"/>
      <c r="C115" s="472"/>
      <c r="D115" s="577"/>
      <c r="E115" s="578"/>
      <c r="F115" s="561"/>
      <c r="G115" s="562"/>
      <c r="H115" s="563"/>
      <c r="I115" s="564"/>
    </row>
    <row r="116">
      <c r="A116" s="262" t="s">
        <v>921</v>
      </c>
      <c r="B116" s="425"/>
      <c r="C116" s="401"/>
      <c r="D116" s="182"/>
      <c r="E116" s="557"/>
      <c r="F116" s="549"/>
      <c r="G116" s="550"/>
      <c r="H116" s="556"/>
      <c r="I116" s="552"/>
    </row>
    <row r="117">
      <c r="A117" s="265"/>
      <c r="B117" s="404"/>
      <c r="C117" s="399"/>
      <c r="D117" s="182"/>
      <c r="E117" s="557"/>
      <c r="F117" s="554"/>
      <c r="G117" s="550"/>
      <c r="H117" s="551"/>
      <c r="I117" s="552"/>
    </row>
    <row r="118">
      <c r="A118" s="265"/>
      <c r="B118" s="404"/>
      <c r="C118" s="400"/>
      <c r="D118" s="182"/>
      <c r="E118" s="557"/>
      <c r="F118" s="554"/>
      <c r="G118" s="550"/>
      <c r="H118" s="551"/>
      <c r="I118" s="552"/>
    </row>
    <row r="119">
      <c r="A119" s="265"/>
      <c r="B119" s="477"/>
      <c r="C119" s="400"/>
      <c r="D119" s="182"/>
      <c r="E119" s="557"/>
      <c r="F119" s="554"/>
      <c r="G119" s="550"/>
      <c r="H119" s="581"/>
      <c r="I119" s="582"/>
    </row>
    <row r="120">
      <c r="A120" s="265"/>
      <c r="B120" s="477"/>
      <c r="C120" s="400"/>
      <c r="D120" s="182"/>
      <c r="E120" s="576"/>
      <c r="F120" s="558"/>
      <c r="G120" s="555"/>
      <c r="H120" s="551"/>
      <c r="I120" s="552"/>
    </row>
    <row r="121">
      <c r="A121" s="270"/>
      <c r="B121" s="478"/>
      <c r="C121" s="472"/>
      <c r="D121" s="577"/>
      <c r="E121" s="578"/>
      <c r="F121" s="561"/>
      <c r="G121" s="562"/>
      <c r="H121" s="563"/>
      <c r="I121" s="564"/>
    </row>
    <row r="122">
      <c r="A122" s="262" t="s">
        <v>922</v>
      </c>
      <c r="B122" s="425"/>
      <c r="C122" s="421"/>
      <c r="D122" s="566"/>
      <c r="E122" s="567"/>
      <c r="F122" s="549"/>
      <c r="G122" s="550"/>
      <c r="H122" s="556"/>
      <c r="I122" s="569"/>
    </row>
    <row r="123">
      <c r="A123" s="265"/>
      <c r="B123" s="404"/>
      <c r="C123" s="399"/>
      <c r="D123" s="182"/>
      <c r="E123" s="576"/>
      <c r="F123" s="554"/>
      <c r="G123" s="550"/>
      <c r="H123" s="551"/>
      <c r="I123" s="569"/>
    </row>
    <row r="124">
      <c r="A124" s="265"/>
      <c r="B124" s="404"/>
      <c r="C124" s="400"/>
      <c r="D124" s="182"/>
      <c r="E124" s="576"/>
      <c r="F124" s="554"/>
      <c r="G124" s="550"/>
      <c r="H124" s="551"/>
      <c r="I124" s="552"/>
    </row>
    <row r="125">
      <c r="A125" s="265"/>
      <c r="B125" s="404"/>
      <c r="C125" s="400"/>
      <c r="D125" s="182"/>
      <c r="E125" s="576"/>
      <c r="F125" s="558"/>
      <c r="G125" s="555"/>
      <c r="H125" s="551"/>
      <c r="I125" s="552"/>
    </row>
    <row r="126">
      <c r="A126" s="265"/>
      <c r="B126" s="404"/>
      <c r="C126" s="399"/>
      <c r="D126" s="182"/>
      <c r="E126" s="576"/>
      <c r="F126" s="558"/>
      <c r="G126" s="555"/>
      <c r="H126" s="551"/>
      <c r="I126" s="552"/>
    </row>
    <row r="127">
      <c r="A127" s="270"/>
      <c r="B127" s="478"/>
      <c r="C127" s="472"/>
      <c r="D127" s="559"/>
      <c r="E127" s="560"/>
      <c r="F127" s="561"/>
      <c r="G127" s="588"/>
      <c r="H127" s="563"/>
      <c r="I127" s="564"/>
    </row>
    <row r="128">
      <c r="A128" s="262" t="s">
        <v>925</v>
      </c>
      <c r="B128" s="425"/>
      <c r="C128" s="401"/>
      <c r="D128" s="566"/>
      <c r="E128" s="567"/>
      <c r="F128" s="549"/>
      <c r="G128" s="550"/>
      <c r="H128" s="556"/>
      <c r="I128" s="569"/>
    </row>
    <row r="129">
      <c r="A129" s="265"/>
      <c r="B129" s="477"/>
      <c r="C129" s="399"/>
      <c r="D129" s="182"/>
      <c r="E129" s="557"/>
      <c r="F129" s="554"/>
      <c r="G129" s="550"/>
      <c r="H129" s="551"/>
      <c r="I129" s="552"/>
    </row>
    <row r="130">
      <c r="A130" s="265"/>
      <c r="B130" s="477"/>
      <c r="C130" s="400"/>
      <c r="D130" s="182"/>
      <c r="E130" s="576"/>
      <c r="F130" s="558"/>
      <c r="G130" s="555"/>
      <c r="H130" s="551"/>
      <c r="I130" s="552"/>
    </row>
    <row r="131">
      <c r="A131" s="265"/>
      <c r="B131" s="477"/>
      <c r="C131" s="400"/>
      <c r="D131" s="182"/>
      <c r="E131" s="576"/>
      <c r="F131" s="554"/>
      <c r="G131" s="550"/>
      <c r="H131" s="551"/>
      <c r="I131" s="552"/>
    </row>
    <row r="132">
      <c r="A132" s="265"/>
      <c r="B132" s="477"/>
      <c r="C132" s="400"/>
      <c r="D132" s="182"/>
      <c r="E132" s="576"/>
      <c r="F132" s="558"/>
      <c r="G132" s="555"/>
      <c r="H132" s="551"/>
      <c r="I132" s="552"/>
    </row>
    <row r="133">
      <c r="A133" s="270"/>
      <c r="B133" s="478"/>
      <c r="C133" s="472"/>
      <c r="D133" s="577"/>
      <c r="E133" s="578"/>
      <c r="F133" s="561"/>
      <c r="G133" s="562"/>
      <c r="H133" s="563"/>
      <c r="I133" s="564"/>
    </row>
    <row r="134">
      <c r="A134" s="262" t="s">
        <v>2255</v>
      </c>
      <c r="B134" s="425"/>
      <c r="C134" s="401"/>
      <c r="D134" s="566"/>
      <c r="E134" s="550"/>
      <c r="F134" s="549"/>
      <c r="G134" s="550"/>
      <c r="H134" s="551"/>
      <c r="I134" s="552"/>
    </row>
    <row r="135">
      <c r="A135" s="265"/>
      <c r="B135" s="477"/>
      <c r="C135" s="399"/>
      <c r="D135" s="182"/>
      <c r="E135" s="576"/>
      <c r="F135" s="554"/>
      <c r="G135" s="550"/>
      <c r="H135" s="551"/>
      <c r="I135" s="552"/>
    </row>
    <row r="136">
      <c r="A136" s="265"/>
      <c r="B136" s="477"/>
      <c r="C136" s="400"/>
      <c r="D136" s="182"/>
      <c r="E136" s="576"/>
      <c r="F136" s="558"/>
      <c r="G136" s="555"/>
      <c r="H136" s="551"/>
      <c r="I136" s="552"/>
    </row>
    <row r="137">
      <c r="A137" s="265"/>
      <c r="B137" s="404"/>
      <c r="C137" s="400"/>
      <c r="D137" s="182"/>
      <c r="E137" s="576"/>
      <c r="F137" s="554"/>
      <c r="G137" s="550"/>
      <c r="H137" s="551"/>
      <c r="I137" s="552"/>
    </row>
    <row r="138">
      <c r="A138" s="265"/>
      <c r="B138" s="477"/>
      <c r="C138" s="400"/>
      <c r="D138" s="182"/>
      <c r="E138" s="576"/>
      <c r="F138" s="554"/>
      <c r="G138" s="555"/>
      <c r="H138" s="551"/>
      <c r="I138" s="552"/>
    </row>
    <row r="139">
      <c r="A139" s="270"/>
      <c r="B139" s="478"/>
      <c r="C139" s="472"/>
      <c r="D139" s="577"/>
      <c r="E139" s="578"/>
      <c r="F139" s="561"/>
      <c r="G139" s="562"/>
      <c r="H139" s="563"/>
      <c r="I139" s="564"/>
    </row>
    <row r="140">
      <c r="A140" s="634">
        <v>46109.0</v>
      </c>
      <c r="B140" s="425"/>
      <c r="C140" s="401"/>
      <c r="D140" s="566"/>
      <c r="E140" s="557"/>
      <c r="F140" s="549"/>
      <c r="G140" s="550"/>
      <c r="H140" s="556"/>
      <c r="I140" s="569"/>
    </row>
    <row r="141">
      <c r="A141" s="265"/>
      <c r="B141" s="404"/>
      <c r="C141" s="399"/>
      <c r="D141" s="182"/>
      <c r="E141" s="557"/>
      <c r="F141" s="554"/>
      <c r="G141" s="550"/>
      <c r="H141" s="556"/>
      <c r="I141" s="569"/>
      <c r="J141" s="2" t="s">
        <v>2174</v>
      </c>
    </row>
    <row r="142">
      <c r="A142" s="265"/>
      <c r="B142" s="404"/>
      <c r="C142" s="399"/>
      <c r="D142" s="182"/>
      <c r="E142" s="557"/>
      <c r="F142" s="554"/>
      <c r="G142" s="550"/>
      <c r="H142" s="556"/>
      <c r="I142" s="552"/>
      <c r="J142" s="2" t="s">
        <v>2175</v>
      </c>
    </row>
    <row r="143">
      <c r="A143" s="265"/>
      <c r="B143" s="404"/>
      <c r="C143" s="399"/>
      <c r="D143" s="182"/>
      <c r="E143" s="557"/>
      <c r="F143" s="554"/>
      <c r="G143" s="550"/>
      <c r="H143" s="556"/>
      <c r="I143" s="552"/>
      <c r="J143" s="2" t="s">
        <v>2176</v>
      </c>
    </row>
    <row r="144">
      <c r="A144" s="270"/>
      <c r="B144" s="404"/>
      <c r="C144" s="399"/>
      <c r="D144" s="182"/>
      <c r="E144" s="557"/>
      <c r="F144" s="554"/>
      <c r="G144" s="555"/>
      <c r="H144" s="551"/>
      <c r="I144" s="569"/>
      <c r="J144" s="2" t="s">
        <v>2177</v>
      </c>
    </row>
    <row r="145">
      <c r="A145" s="452"/>
      <c r="B145" s="404"/>
      <c r="C145" s="399"/>
      <c r="D145" s="182"/>
      <c r="E145" s="557"/>
      <c r="F145" s="554"/>
      <c r="G145" s="562"/>
      <c r="H145" s="563"/>
      <c r="I145" s="564"/>
    </row>
    <row r="146">
      <c r="A146" s="280" t="s">
        <v>2257</v>
      </c>
      <c r="B146" s="461"/>
      <c r="C146" s="421"/>
      <c r="D146" s="583"/>
      <c r="E146" s="584"/>
      <c r="F146" s="549"/>
      <c r="G146" s="550"/>
      <c r="H146" s="556"/>
      <c r="I146" s="552"/>
    </row>
    <row r="147">
      <c r="A147" s="265"/>
      <c r="B147" s="404"/>
      <c r="C147" s="399"/>
      <c r="D147" s="182"/>
      <c r="E147" s="557"/>
      <c r="F147" s="554"/>
      <c r="G147" s="550"/>
      <c r="H147" s="551"/>
      <c r="I147" s="552"/>
    </row>
    <row r="148">
      <c r="A148" s="265"/>
      <c r="B148" s="477"/>
      <c r="C148" s="399"/>
      <c r="D148" s="182"/>
      <c r="E148" s="557"/>
      <c r="F148" s="554"/>
      <c r="G148" s="555"/>
      <c r="H148" s="551"/>
      <c r="I148" s="552"/>
    </row>
    <row r="149">
      <c r="A149" s="265"/>
      <c r="B149" s="477"/>
      <c r="C149" s="399"/>
      <c r="D149" s="182"/>
      <c r="E149" s="576"/>
      <c r="F149" s="554"/>
      <c r="G149" s="550"/>
      <c r="H149" s="551"/>
      <c r="I149" s="552"/>
    </row>
    <row r="150">
      <c r="A150" s="265"/>
      <c r="B150" s="404"/>
      <c r="C150" s="399"/>
      <c r="D150" s="182"/>
      <c r="E150" s="576"/>
      <c r="F150" s="554"/>
      <c r="G150" s="555"/>
      <c r="H150" s="551"/>
      <c r="I150" s="552"/>
    </row>
    <row r="151">
      <c r="A151" s="270"/>
      <c r="B151" s="478"/>
      <c r="C151" s="462"/>
      <c r="D151" s="577"/>
      <c r="E151" s="560"/>
      <c r="F151" s="561"/>
      <c r="G151" s="562"/>
      <c r="H151" s="563"/>
      <c r="I151" s="564"/>
    </row>
    <row r="152">
      <c r="A152" s="299" t="s">
        <v>934</v>
      </c>
      <c r="B152" s="440"/>
      <c r="C152" s="462"/>
      <c r="D152" s="182"/>
      <c r="E152" s="557"/>
      <c r="F152" s="554"/>
      <c r="G152" s="550"/>
      <c r="H152" s="551"/>
      <c r="I152" s="552"/>
    </row>
    <row r="153">
      <c r="B153" s="440"/>
      <c r="C153" s="462"/>
      <c r="D153" s="574"/>
      <c r="E153" s="557"/>
      <c r="F153" s="554"/>
      <c r="G153" s="550"/>
      <c r="H153" s="551"/>
      <c r="I153" s="552"/>
    </row>
    <row r="154">
      <c r="B154" s="480"/>
      <c r="C154" s="462"/>
      <c r="D154" s="574"/>
      <c r="E154" s="576"/>
      <c r="F154" s="558"/>
      <c r="G154" s="555"/>
      <c r="H154" s="551"/>
      <c r="I154" s="552"/>
    </row>
    <row r="155">
      <c r="B155" s="480"/>
      <c r="C155" s="462"/>
      <c r="D155" s="574"/>
      <c r="E155" s="576"/>
      <c r="F155" s="554"/>
      <c r="G155" s="550"/>
      <c r="H155" s="551"/>
      <c r="I155" s="552"/>
    </row>
    <row r="156">
      <c r="B156" s="480"/>
      <c r="C156" s="462"/>
      <c r="D156" s="574"/>
      <c r="E156" s="576"/>
      <c r="F156" s="558"/>
      <c r="G156" s="555"/>
      <c r="H156" s="551"/>
      <c r="I156" s="552"/>
    </row>
    <row r="157">
      <c r="A157" s="585"/>
      <c r="B157" s="271"/>
      <c r="C157" s="586"/>
      <c r="D157" s="587"/>
      <c r="E157" s="588"/>
      <c r="F157" s="561"/>
      <c r="G157" s="562"/>
      <c r="H157" s="563"/>
      <c r="I157" s="564"/>
    </row>
    <row r="158">
      <c r="A158" s="299" t="s">
        <v>942</v>
      </c>
      <c r="B158" s="440"/>
      <c r="C158" s="462"/>
      <c r="D158" s="182"/>
      <c r="E158" s="557"/>
      <c r="F158" s="554"/>
      <c r="G158" s="550"/>
      <c r="H158" s="551"/>
      <c r="I158" s="552"/>
    </row>
    <row r="159">
      <c r="B159" s="480"/>
      <c r="C159" s="462"/>
      <c r="D159" s="574"/>
      <c r="E159" s="576"/>
      <c r="F159" s="554"/>
      <c r="G159" s="550"/>
      <c r="H159" s="551"/>
      <c r="I159" s="552"/>
    </row>
    <row r="160">
      <c r="B160" s="480"/>
      <c r="C160" s="462"/>
      <c r="D160" s="574"/>
      <c r="E160" s="576"/>
      <c r="F160" s="558"/>
      <c r="G160" s="555"/>
      <c r="H160" s="551"/>
      <c r="I160" s="552"/>
    </row>
    <row r="161">
      <c r="B161" s="480"/>
      <c r="C161" s="462"/>
      <c r="D161" s="574"/>
      <c r="E161" s="576"/>
      <c r="F161" s="558"/>
      <c r="G161" s="555"/>
      <c r="H161" s="551"/>
      <c r="I161" s="552"/>
    </row>
    <row r="162">
      <c r="B162" s="480"/>
      <c r="C162" s="462"/>
      <c r="D162" s="574"/>
      <c r="E162" s="576"/>
      <c r="F162" s="558"/>
      <c r="G162" s="555"/>
      <c r="H162" s="551"/>
      <c r="I162" s="552"/>
    </row>
    <row r="163">
      <c r="A163" s="585"/>
      <c r="B163" s="271"/>
      <c r="C163" s="586"/>
      <c r="D163" s="587"/>
      <c r="E163" s="588"/>
      <c r="F163" s="561"/>
      <c r="G163" s="562"/>
      <c r="H163" s="563"/>
      <c r="I163" s="564"/>
    </row>
    <row r="164">
      <c r="A164" s="299" t="s">
        <v>943</v>
      </c>
      <c r="B164" s="440"/>
      <c r="C164" s="462"/>
      <c r="D164" s="182"/>
      <c r="E164" s="557"/>
      <c r="F164" s="554"/>
      <c r="G164" s="550"/>
      <c r="H164" s="551"/>
      <c r="I164" s="552"/>
    </row>
    <row r="165">
      <c r="B165" s="480"/>
      <c r="C165" s="462"/>
      <c r="D165" s="574"/>
      <c r="E165" s="576"/>
      <c r="F165" s="558"/>
      <c r="G165" s="555"/>
      <c r="H165" s="551"/>
      <c r="I165" s="552"/>
    </row>
    <row r="166">
      <c r="B166" s="480"/>
      <c r="C166" s="462"/>
      <c r="D166" s="574"/>
      <c r="E166" s="576"/>
      <c r="F166" s="558"/>
      <c r="G166" s="555"/>
      <c r="H166" s="551"/>
      <c r="I166" s="552"/>
    </row>
    <row r="167">
      <c r="B167" s="480"/>
      <c r="C167" s="462"/>
      <c r="D167" s="574"/>
      <c r="E167" s="576"/>
      <c r="F167" s="558"/>
      <c r="G167" s="555"/>
      <c r="H167" s="551"/>
      <c r="I167" s="552"/>
    </row>
    <row r="168">
      <c r="B168" s="480"/>
      <c r="C168" s="462"/>
      <c r="D168" s="574"/>
      <c r="E168" s="576"/>
      <c r="F168" s="558"/>
      <c r="G168" s="555"/>
      <c r="H168" s="551"/>
      <c r="I168" s="552"/>
    </row>
    <row r="169">
      <c r="A169" s="585"/>
      <c r="B169" s="271"/>
      <c r="C169" s="586"/>
      <c r="D169" s="587"/>
      <c r="E169" s="588"/>
      <c r="F169" s="561"/>
      <c r="G169" s="562"/>
      <c r="H169" s="563"/>
      <c r="I169" s="564"/>
    </row>
    <row r="170">
      <c r="A170" s="299" t="s">
        <v>2142</v>
      </c>
      <c r="B170" s="440"/>
      <c r="C170" s="462"/>
      <c r="D170" s="182"/>
      <c r="E170" s="557"/>
      <c r="F170" s="554"/>
      <c r="G170" s="550"/>
      <c r="H170" s="551"/>
      <c r="I170" s="552"/>
    </row>
    <row r="171">
      <c r="B171" s="480"/>
      <c r="C171" s="462"/>
      <c r="D171" s="574"/>
      <c r="E171" s="576"/>
      <c r="F171" s="558"/>
      <c r="G171" s="555"/>
      <c r="H171" s="551"/>
      <c r="I171" s="552"/>
    </row>
    <row r="172">
      <c r="B172" s="480"/>
      <c r="C172" s="462"/>
      <c r="D172" s="574"/>
      <c r="E172" s="576"/>
      <c r="F172" s="558"/>
      <c r="G172" s="555"/>
      <c r="H172" s="551"/>
      <c r="I172" s="552"/>
    </row>
    <row r="173">
      <c r="B173" s="480"/>
      <c r="C173" s="462"/>
      <c r="D173" s="574"/>
      <c r="E173" s="576"/>
      <c r="F173" s="558"/>
      <c r="G173" s="555"/>
      <c r="H173" s="551"/>
      <c r="I173" s="552"/>
    </row>
    <row r="174">
      <c r="B174" s="480"/>
      <c r="C174" s="462"/>
      <c r="D174" s="574"/>
      <c r="E174" s="576"/>
      <c r="F174" s="558"/>
      <c r="G174" s="555"/>
      <c r="H174" s="551"/>
      <c r="I174" s="552"/>
    </row>
    <row r="175">
      <c r="A175" s="585"/>
      <c r="B175" s="271"/>
      <c r="C175" s="586"/>
      <c r="D175" s="587"/>
      <c r="E175" s="588"/>
      <c r="F175" s="561"/>
      <c r="G175" s="562"/>
      <c r="H175" s="563"/>
      <c r="I175" s="564"/>
    </row>
    <row r="176">
      <c r="A176" s="606"/>
      <c r="B176" s="600"/>
      <c r="C176" s="607"/>
      <c r="D176" s="566"/>
      <c r="E176" s="567"/>
      <c r="F176" s="549"/>
      <c r="G176" s="548"/>
      <c r="H176" s="609"/>
      <c r="I176" s="610"/>
    </row>
    <row r="177">
      <c r="A177" s="611"/>
      <c r="B177" s="480"/>
      <c r="C177" s="462"/>
      <c r="D177" s="574"/>
      <c r="E177" s="576"/>
      <c r="F177" s="558"/>
      <c r="G177" s="550"/>
      <c r="H177" s="551"/>
      <c r="I177" s="612"/>
    </row>
    <row r="178">
      <c r="A178" s="611"/>
      <c r="B178" s="480"/>
      <c r="C178" s="462"/>
      <c r="D178" s="574"/>
      <c r="E178" s="576"/>
      <c r="F178" s="558"/>
      <c r="G178" s="550"/>
      <c r="H178" s="551"/>
      <c r="I178" s="612"/>
    </row>
    <row r="179">
      <c r="A179" s="611"/>
      <c r="B179" s="480"/>
      <c r="C179" s="462"/>
      <c r="D179" s="574"/>
      <c r="E179" s="576"/>
      <c r="F179" s="558"/>
      <c r="G179" s="550"/>
      <c r="H179" s="551"/>
      <c r="I179" s="612"/>
    </row>
    <row r="180">
      <c r="A180" s="613"/>
      <c r="B180" s="478"/>
      <c r="C180" s="614"/>
      <c r="D180" s="577"/>
      <c r="E180" s="578"/>
      <c r="F180" s="561"/>
      <c r="G180" s="562"/>
      <c r="H180" s="563"/>
      <c r="I180" s="615"/>
    </row>
    <row r="181">
      <c r="A181" s="606"/>
      <c r="B181" s="600"/>
      <c r="C181" s="607"/>
      <c r="D181" s="566"/>
      <c r="E181" s="567"/>
      <c r="F181" s="597"/>
      <c r="G181" s="608"/>
      <c r="H181" s="609"/>
      <c r="I181" s="610"/>
    </row>
    <row r="182">
      <c r="A182" s="611"/>
      <c r="B182" s="480"/>
      <c r="C182" s="462"/>
      <c r="D182" s="574"/>
      <c r="E182" s="576"/>
      <c r="F182" s="558"/>
      <c r="G182" s="555"/>
      <c r="H182" s="551"/>
      <c r="I182" s="612"/>
    </row>
    <row r="183">
      <c r="A183" s="611"/>
      <c r="B183" s="480"/>
      <c r="C183" s="462"/>
      <c r="D183" s="574"/>
      <c r="E183" s="576"/>
      <c r="F183" s="558"/>
      <c r="G183" s="555"/>
      <c r="H183" s="551"/>
      <c r="I183" s="612"/>
    </row>
    <row r="184">
      <c r="A184" s="611"/>
      <c r="B184" s="480"/>
      <c r="C184" s="462"/>
      <c r="D184" s="574"/>
      <c r="E184" s="576"/>
      <c r="F184" s="558"/>
      <c r="G184" s="555"/>
      <c r="H184" s="551"/>
      <c r="I184" s="612"/>
    </row>
    <row r="185">
      <c r="A185" s="613"/>
      <c r="B185" s="478"/>
      <c r="C185" s="614"/>
      <c r="D185" s="577"/>
      <c r="E185" s="578"/>
      <c r="F185" s="561"/>
      <c r="G185" s="562"/>
      <c r="H185" s="563"/>
      <c r="I185" s="615"/>
    </row>
    <row r="186">
      <c r="A186" s="299"/>
      <c r="B186" s="440"/>
      <c r="C186" s="462"/>
      <c r="D186" s="182"/>
      <c r="E186" s="557"/>
      <c r="F186" s="558"/>
      <c r="G186" s="555"/>
      <c r="H186" s="551"/>
      <c r="I186" s="552"/>
    </row>
    <row r="187">
      <c r="B187" s="480"/>
      <c r="C187" s="462"/>
      <c r="D187" s="574"/>
      <c r="E187" s="576"/>
      <c r="F187" s="558"/>
      <c r="G187" s="555"/>
      <c r="H187" s="551"/>
      <c r="I187" s="552"/>
    </row>
    <row r="188">
      <c r="B188" s="480"/>
      <c r="C188" s="462"/>
      <c r="D188" s="574"/>
      <c r="E188" s="576"/>
      <c r="F188" s="558"/>
      <c r="G188" s="555"/>
      <c r="H188" s="551"/>
      <c r="I188" s="552"/>
    </row>
    <row r="189">
      <c r="B189" s="480"/>
      <c r="C189" s="462"/>
      <c r="D189" s="574"/>
      <c r="E189" s="576"/>
      <c r="F189" s="558"/>
      <c r="G189" s="555"/>
      <c r="H189" s="551"/>
      <c r="I189" s="552"/>
    </row>
    <row r="190">
      <c r="B190" s="480"/>
      <c r="C190" s="462"/>
      <c r="D190" s="574"/>
      <c r="E190" s="576"/>
      <c r="F190" s="558"/>
      <c r="G190" s="555"/>
      <c r="H190" s="551"/>
      <c r="I190" s="552"/>
    </row>
    <row r="191">
      <c r="A191" s="585"/>
      <c r="B191" s="271"/>
      <c r="C191" s="586"/>
      <c r="D191" s="587"/>
      <c r="E191" s="588"/>
      <c r="F191" s="561"/>
      <c r="G191" s="562"/>
      <c r="H191" s="563"/>
      <c r="I191" s="564"/>
    </row>
    <row r="192">
      <c r="A192" s="303"/>
      <c r="B192" s="268"/>
      <c r="C192" s="253"/>
      <c r="D192" s="366"/>
      <c r="E192" s="555"/>
      <c r="F192" s="558"/>
      <c r="G192" s="555"/>
      <c r="H192" s="551"/>
      <c r="I192" s="552"/>
    </row>
    <row r="193">
      <c r="A193" s="303"/>
      <c r="B193" s="268"/>
      <c r="C193" s="253"/>
      <c r="D193" s="366"/>
      <c r="E193" s="555"/>
      <c r="F193" s="558"/>
      <c r="G193" s="555"/>
      <c r="H193" s="551"/>
      <c r="I193" s="552"/>
    </row>
    <row r="194">
      <c r="A194" s="303"/>
      <c r="B194" s="268"/>
      <c r="C194" s="253"/>
      <c r="D194" s="366"/>
      <c r="E194" s="555"/>
      <c r="F194" s="558"/>
      <c r="G194" s="555"/>
      <c r="H194" s="551"/>
      <c r="I194" s="552"/>
    </row>
    <row r="195">
      <c r="A195" s="303"/>
      <c r="B195" s="268"/>
      <c r="C195" s="253"/>
      <c r="D195" s="366"/>
      <c r="E195" s="555"/>
      <c r="F195" s="558"/>
      <c r="G195" s="555"/>
      <c r="H195" s="551"/>
      <c r="I195" s="552"/>
    </row>
    <row r="196">
      <c r="A196" s="304"/>
      <c r="B196" s="268"/>
      <c r="C196" s="253"/>
      <c r="D196" s="366"/>
      <c r="E196" s="555"/>
      <c r="F196" s="558"/>
      <c r="G196" s="555"/>
      <c r="H196" s="551"/>
      <c r="I196" s="552"/>
    </row>
    <row r="197">
      <c r="A197" s="305"/>
      <c r="B197" s="271"/>
      <c r="C197" s="273"/>
      <c r="D197" s="587"/>
      <c r="E197" s="562"/>
      <c r="F197" s="561"/>
      <c r="G197" s="555"/>
      <c r="H197" s="551"/>
      <c r="I197" s="552"/>
    </row>
    <row r="198">
      <c r="A198" s="265"/>
      <c r="B198" s="306"/>
      <c r="C198" s="241"/>
      <c r="D198" s="583"/>
      <c r="E198" s="548"/>
      <c r="F198" s="597"/>
      <c r="G198" s="555"/>
      <c r="H198" s="551"/>
      <c r="I198" s="552"/>
    </row>
    <row r="199">
      <c r="A199" s="265"/>
      <c r="B199" s="268"/>
      <c r="C199" s="253"/>
      <c r="D199" s="366"/>
      <c r="E199" s="555"/>
      <c r="F199" s="558"/>
      <c r="G199" s="555"/>
      <c r="H199" s="551"/>
      <c r="I199" s="552"/>
    </row>
    <row r="200">
      <c r="A200" s="265"/>
      <c r="B200" s="268"/>
      <c r="C200" s="253"/>
      <c r="D200" s="366"/>
      <c r="E200" s="555"/>
      <c r="F200" s="558"/>
      <c r="G200" s="555"/>
      <c r="H200" s="551"/>
      <c r="I200" s="552"/>
    </row>
    <row r="201">
      <c r="A201" s="265"/>
      <c r="B201" s="268"/>
      <c r="C201" s="253"/>
      <c r="D201" s="366"/>
      <c r="E201" s="555"/>
      <c r="F201" s="558"/>
      <c r="G201" s="555"/>
      <c r="H201" s="551"/>
      <c r="I201" s="552"/>
    </row>
    <row r="202">
      <c r="A202" s="265"/>
      <c r="B202" s="268"/>
      <c r="C202" s="253"/>
      <c r="D202" s="366"/>
      <c r="E202" s="555"/>
      <c r="F202" s="558"/>
      <c r="G202" s="555"/>
      <c r="H202" s="551"/>
      <c r="I202" s="552"/>
    </row>
    <row r="203">
      <c r="A203" s="265"/>
      <c r="B203" s="268"/>
      <c r="C203" s="253"/>
      <c r="D203" s="366"/>
      <c r="E203" s="555"/>
      <c r="F203" s="558"/>
      <c r="G203" s="555"/>
      <c r="H203" s="551"/>
      <c r="I203" s="552"/>
    </row>
    <row r="204">
      <c r="A204" s="265"/>
      <c r="B204" s="268"/>
      <c r="C204" s="253"/>
      <c r="D204" s="366"/>
      <c r="E204" s="555"/>
      <c r="F204" s="558"/>
      <c r="G204" s="555"/>
      <c r="H204" s="551"/>
      <c r="I204" s="552"/>
    </row>
    <row r="205">
      <c r="A205" s="265"/>
      <c r="B205" s="268"/>
      <c r="C205" s="253"/>
      <c r="D205" s="366"/>
      <c r="E205" s="555"/>
      <c r="F205" s="558"/>
      <c r="G205" s="555"/>
      <c r="H205" s="551"/>
      <c r="I205" s="552"/>
    </row>
    <row r="206">
      <c r="A206" s="270"/>
      <c r="B206" s="268"/>
      <c r="C206" s="253"/>
      <c r="D206" s="366"/>
      <c r="E206" s="555"/>
      <c r="F206" s="558"/>
      <c r="G206" s="555"/>
      <c r="H206" s="551"/>
      <c r="I206" s="552"/>
    </row>
    <row r="207">
      <c r="B207" s="271"/>
      <c r="C207" s="273"/>
      <c r="D207" s="587"/>
      <c r="E207" s="562"/>
      <c r="F207" s="561"/>
      <c r="G207" s="555"/>
      <c r="H207" s="551"/>
      <c r="I207" s="552"/>
    </row>
    <row r="208">
      <c r="B208" s="306"/>
      <c r="C208" s="241"/>
      <c r="D208" s="583"/>
      <c r="E208" s="548"/>
      <c r="F208" s="597"/>
      <c r="G208" s="555"/>
      <c r="H208" s="551"/>
      <c r="I208" s="552"/>
    </row>
    <row r="209">
      <c r="B209" s="268"/>
      <c r="C209" s="253"/>
      <c r="D209" s="366"/>
      <c r="E209" s="555"/>
      <c r="F209" s="558"/>
      <c r="G209" s="555"/>
      <c r="H209" s="551"/>
      <c r="I209" s="552"/>
    </row>
    <row r="210">
      <c r="B210" s="268"/>
      <c r="C210" s="253"/>
      <c r="D210" s="366"/>
      <c r="E210" s="555"/>
      <c r="F210" s="558"/>
      <c r="G210" s="555"/>
      <c r="H210" s="551"/>
      <c r="I210" s="552"/>
    </row>
    <row r="211">
      <c r="B211" s="308"/>
      <c r="C211" s="253"/>
      <c r="D211" s="598"/>
      <c r="E211" s="555"/>
      <c r="F211" s="572"/>
      <c r="G211" s="555"/>
      <c r="H211" s="551"/>
      <c r="I211" s="552"/>
    </row>
    <row r="212">
      <c r="B212" s="308"/>
      <c r="C212" s="253"/>
      <c r="D212" s="598"/>
      <c r="E212" s="555"/>
      <c r="F212" s="572"/>
      <c r="G212" s="555"/>
      <c r="H212" s="551"/>
      <c r="I212" s="552"/>
    </row>
    <row r="213">
      <c r="B213" s="308"/>
      <c r="C213" s="253"/>
      <c r="D213" s="598"/>
      <c r="E213" s="555"/>
      <c r="F213" s="572"/>
      <c r="G213" s="555"/>
      <c r="H213" s="551"/>
      <c r="I213" s="552"/>
    </row>
    <row r="214">
      <c r="B214" s="308"/>
      <c r="C214" s="253"/>
      <c r="D214" s="598"/>
      <c r="E214" s="555"/>
      <c r="F214" s="572"/>
      <c r="G214" s="555"/>
      <c r="H214" s="551"/>
      <c r="I214" s="552"/>
    </row>
    <row r="215">
      <c r="B215" s="308"/>
      <c r="C215" s="253"/>
      <c r="D215" s="598"/>
      <c r="E215" s="555"/>
      <c r="F215" s="572"/>
      <c r="G215" s="555"/>
      <c r="H215" s="551"/>
      <c r="I215" s="552"/>
    </row>
    <row r="216">
      <c r="B216" s="308"/>
      <c r="C216" s="253"/>
      <c r="D216" s="598"/>
      <c r="E216" s="555"/>
      <c r="F216" s="572"/>
      <c r="G216" s="555"/>
      <c r="H216" s="551"/>
      <c r="I216" s="552"/>
    </row>
    <row r="217">
      <c r="B217" s="308"/>
      <c r="C217" s="253"/>
      <c r="D217" s="598"/>
      <c r="E217" s="555"/>
      <c r="F217" s="572"/>
      <c r="G217" s="555"/>
      <c r="H217" s="551"/>
      <c r="I217" s="552"/>
    </row>
    <row r="218">
      <c r="B218" s="308"/>
      <c r="C218" s="253"/>
      <c r="D218" s="598"/>
      <c r="E218" s="555"/>
      <c r="F218" s="572"/>
      <c r="G218" s="555"/>
      <c r="H218" s="551"/>
      <c r="I218" s="552"/>
    </row>
    <row r="219">
      <c r="B219" s="308"/>
      <c r="C219" s="253"/>
      <c r="D219" s="598"/>
      <c r="E219" s="555"/>
      <c r="F219" s="572"/>
      <c r="G219" s="555"/>
      <c r="H219" s="551"/>
      <c r="I219" s="552"/>
    </row>
    <row r="220">
      <c r="B220" s="308"/>
      <c r="C220" s="253"/>
      <c r="D220" s="598"/>
      <c r="E220" s="555"/>
      <c r="F220" s="572"/>
      <c r="G220" s="555"/>
      <c r="H220" s="551"/>
      <c r="I220" s="552"/>
    </row>
    <row r="221">
      <c r="B221" s="308"/>
      <c r="C221" s="253"/>
      <c r="D221" s="598"/>
      <c r="E221" s="555"/>
      <c r="F221" s="572"/>
      <c r="G221" s="555"/>
      <c r="H221" s="551"/>
      <c r="I221" s="552"/>
    </row>
    <row r="222">
      <c r="B222" s="308"/>
      <c r="C222" s="253"/>
      <c r="D222" s="598"/>
      <c r="E222" s="555"/>
      <c r="F222" s="572"/>
      <c r="G222" s="555"/>
      <c r="H222" s="551"/>
      <c r="I222" s="552"/>
    </row>
    <row r="223">
      <c r="B223" s="308"/>
      <c r="C223" s="253"/>
      <c r="D223" s="598"/>
      <c r="E223" s="555"/>
      <c r="F223" s="572"/>
      <c r="G223" s="555"/>
      <c r="H223" s="551"/>
      <c r="I223" s="552"/>
    </row>
    <row r="224">
      <c r="B224" s="308"/>
      <c r="C224" s="253"/>
      <c r="D224" s="598"/>
      <c r="E224" s="555"/>
      <c r="F224" s="572"/>
      <c r="G224" s="555"/>
      <c r="H224" s="551"/>
      <c r="I224" s="552"/>
    </row>
    <row r="225">
      <c r="B225" s="308"/>
      <c r="C225" s="253"/>
      <c r="D225" s="598"/>
      <c r="E225" s="555"/>
      <c r="F225" s="572"/>
      <c r="G225" s="555"/>
      <c r="H225" s="551"/>
      <c r="I225" s="552"/>
    </row>
    <row r="226">
      <c r="B226" s="308"/>
      <c r="C226" s="253"/>
      <c r="D226" s="598"/>
      <c r="E226" s="555"/>
      <c r="F226" s="572"/>
      <c r="G226" s="555"/>
      <c r="H226" s="551"/>
      <c r="I226" s="552"/>
    </row>
    <row r="227">
      <c r="B227" s="308"/>
      <c r="C227" s="253"/>
      <c r="D227" s="598"/>
      <c r="E227" s="555"/>
      <c r="F227" s="572"/>
      <c r="G227" s="555"/>
      <c r="H227" s="551"/>
      <c r="I227" s="552"/>
    </row>
    <row r="228">
      <c r="B228" s="308"/>
      <c r="C228" s="253"/>
      <c r="D228" s="598"/>
      <c r="E228" s="555"/>
      <c r="F228" s="572"/>
      <c r="G228" s="555"/>
      <c r="H228" s="551"/>
      <c r="I228" s="552"/>
    </row>
    <row r="229">
      <c r="B229" s="308"/>
      <c r="C229" s="253"/>
      <c r="D229" s="598"/>
      <c r="E229" s="555"/>
      <c r="F229" s="572"/>
      <c r="G229" s="555"/>
      <c r="H229" s="551"/>
      <c r="I229" s="552"/>
    </row>
    <row r="230">
      <c r="B230" s="308"/>
      <c r="C230" s="253"/>
      <c r="D230" s="598"/>
      <c r="E230" s="555"/>
      <c r="F230" s="572"/>
      <c r="G230" s="555"/>
      <c r="H230" s="551"/>
      <c r="I230" s="552"/>
    </row>
    <row r="231">
      <c r="B231" s="308"/>
      <c r="C231" s="253"/>
      <c r="D231" s="598"/>
      <c r="E231" s="555"/>
      <c r="F231" s="572"/>
      <c r="G231" s="555"/>
      <c r="H231" s="551"/>
      <c r="I231" s="552"/>
    </row>
    <row r="232">
      <c r="B232" s="308"/>
      <c r="C232" s="253"/>
      <c r="D232" s="598"/>
      <c r="E232" s="555"/>
      <c r="F232" s="572"/>
      <c r="G232" s="555"/>
      <c r="H232" s="551"/>
      <c r="I232" s="552"/>
    </row>
    <row r="233">
      <c r="B233" s="308"/>
      <c r="C233" s="253"/>
      <c r="D233" s="598"/>
      <c r="E233" s="555"/>
      <c r="F233" s="572"/>
      <c r="G233" s="555"/>
      <c r="H233" s="551"/>
      <c r="I233" s="552"/>
    </row>
    <row r="234">
      <c r="B234" s="308"/>
      <c r="C234" s="253"/>
      <c r="D234" s="598"/>
      <c r="E234" s="555"/>
      <c r="F234" s="572"/>
      <c r="G234" s="555"/>
      <c r="H234" s="551"/>
      <c r="I234" s="552"/>
    </row>
    <row r="235">
      <c r="B235" s="308"/>
      <c r="C235" s="253"/>
      <c r="D235" s="598"/>
      <c r="E235" s="555"/>
      <c r="F235" s="572"/>
      <c r="G235" s="555"/>
      <c r="H235" s="551"/>
      <c r="I235" s="552"/>
    </row>
    <row r="236">
      <c r="B236" s="308"/>
      <c r="C236" s="253"/>
      <c r="D236" s="598"/>
      <c r="E236" s="555"/>
      <c r="F236" s="572"/>
      <c r="G236" s="555"/>
      <c r="H236" s="551"/>
      <c r="I236" s="552"/>
    </row>
    <row r="237">
      <c r="B237" s="308"/>
      <c r="C237" s="253"/>
      <c r="D237" s="598"/>
      <c r="E237" s="555"/>
      <c r="F237" s="572"/>
      <c r="G237" s="555"/>
      <c r="H237" s="551"/>
      <c r="I237" s="552"/>
    </row>
    <row r="238">
      <c r="B238" s="308"/>
      <c r="C238" s="253"/>
      <c r="D238" s="598"/>
      <c r="E238" s="555"/>
      <c r="F238" s="572"/>
      <c r="G238" s="555"/>
      <c r="H238" s="551"/>
      <c r="I238" s="552"/>
    </row>
    <row r="239">
      <c r="B239" s="308"/>
      <c r="C239" s="253"/>
      <c r="D239" s="598"/>
      <c r="E239" s="555"/>
      <c r="F239" s="572"/>
      <c r="G239" s="555"/>
      <c r="H239" s="551"/>
      <c r="I239" s="552"/>
    </row>
    <row r="240">
      <c r="B240" s="308"/>
      <c r="C240" s="253"/>
      <c r="D240" s="598"/>
      <c r="E240" s="555"/>
      <c r="F240" s="572"/>
      <c r="G240" s="555"/>
      <c r="H240" s="551"/>
      <c r="I240" s="552"/>
    </row>
    <row r="241">
      <c r="B241" s="308"/>
      <c r="C241" s="253"/>
      <c r="D241" s="598"/>
      <c r="E241" s="555"/>
      <c r="F241" s="572"/>
      <c r="G241" s="555"/>
      <c r="H241" s="551"/>
      <c r="I241" s="552"/>
    </row>
    <row r="242">
      <c r="B242" s="308"/>
      <c r="C242" s="253"/>
      <c r="D242" s="598"/>
      <c r="E242" s="555"/>
      <c r="F242" s="572"/>
      <c r="G242" s="555"/>
      <c r="H242" s="551"/>
      <c r="I242" s="552"/>
    </row>
    <row r="243">
      <c r="B243" s="308"/>
      <c r="C243" s="253"/>
      <c r="D243" s="598"/>
      <c r="E243" s="555"/>
      <c r="F243" s="572"/>
      <c r="G243" s="555"/>
      <c r="H243" s="551"/>
      <c r="I243" s="552"/>
    </row>
    <row r="244">
      <c r="B244" s="308"/>
      <c r="C244" s="253"/>
      <c r="D244" s="598"/>
      <c r="E244" s="555"/>
      <c r="F244" s="572"/>
      <c r="G244" s="555"/>
      <c r="H244" s="551"/>
      <c r="I244" s="552"/>
    </row>
    <row r="245">
      <c r="B245" s="308"/>
      <c r="C245" s="253"/>
      <c r="D245" s="598"/>
      <c r="E245" s="555"/>
      <c r="F245" s="572"/>
      <c r="G245" s="555"/>
      <c r="H245" s="551"/>
      <c r="I245" s="552"/>
    </row>
    <row r="246">
      <c r="B246" s="308"/>
      <c r="C246" s="253"/>
      <c r="D246" s="598"/>
      <c r="E246" s="555"/>
      <c r="F246" s="572"/>
      <c r="G246" s="555"/>
      <c r="H246" s="551"/>
      <c r="I246" s="552"/>
    </row>
    <row r="247">
      <c r="B247" s="308"/>
      <c r="C247" s="253"/>
      <c r="D247" s="598"/>
      <c r="E247" s="555"/>
      <c r="F247" s="572"/>
      <c r="G247" s="555"/>
      <c r="H247" s="551"/>
      <c r="I247" s="552"/>
    </row>
    <row r="248">
      <c r="B248" s="308"/>
      <c r="C248" s="253"/>
      <c r="D248" s="598"/>
      <c r="E248" s="555"/>
      <c r="F248" s="572"/>
      <c r="G248" s="555"/>
      <c r="H248" s="551"/>
      <c r="I248" s="552"/>
    </row>
    <row r="249">
      <c r="B249" s="308"/>
      <c r="C249" s="253"/>
      <c r="D249" s="598"/>
      <c r="E249" s="555"/>
      <c r="F249" s="572"/>
      <c r="G249" s="555"/>
      <c r="H249" s="551"/>
      <c r="I249" s="552"/>
    </row>
    <row r="250">
      <c r="B250" s="308"/>
      <c r="C250" s="253"/>
      <c r="D250" s="598"/>
      <c r="E250" s="555"/>
      <c r="F250" s="572"/>
      <c r="G250" s="555"/>
      <c r="H250" s="551"/>
      <c r="I250" s="552"/>
    </row>
    <row r="251">
      <c r="B251" s="308"/>
      <c r="C251" s="253"/>
      <c r="D251" s="598"/>
      <c r="E251" s="555"/>
      <c r="F251" s="572"/>
      <c r="G251" s="555"/>
      <c r="H251" s="551"/>
      <c r="I251" s="552"/>
    </row>
    <row r="252">
      <c r="B252" s="308"/>
      <c r="C252" s="253"/>
      <c r="D252" s="598"/>
      <c r="E252" s="555"/>
      <c r="F252" s="572"/>
      <c r="G252" s="555"/>
      <c r="H252" s="551"/>
      <c r="I252" s="552"/>
    </row>
    <row r="253">
      <c r="B253" s="308"/>
      <c r="C253" s="253"/>
      <c r="D253" s="598"/>
      <c r="E253" s="555"/>
      <c r="F253" s="572"/>
      <c r="G253" s="555"/>
      <c r="H253" s="551"/>
      <c r="I253" s="552"/>
    </row>
    <row r="254">
      <c r="B254" s="308"/>
      <c r="C254" s="253"/>
      <c r="D254" s="598"/>
      <c r="E254" s="555"/>
      <c r="F254" s="572"/>
      <c r="G254" s="555"/>
      <c r="H254" s="551"/>
      <c r="I254" s="552"/>
    </row>
    <row r="255">
      <c r="B255" s="308"/>
      <c r="C255" s="253"/>
      <c r="D255" s="598"/>
      <c r="E255" s="555"/>
      <c r="F255" s="572"/>
      <c r="G255" s="555"/>
      <c r="H255" s="551"/>
      <c r="I255" s="552"/>
    </row>
    <row r="256">
      <c r="B256" s="308"/>
      <c r="C256" s="253"/>
      <c r="D256" s="598"/>
      <c r="E256" s="555"/>
      <c r="F256" s="572"/>
      <c r="G256" s="555"/>
      <c r="H256" s="551"/>
      <c r="I256" s="552"/>
    </row>
    <row r="257">
      <c r="B257" s="308"/>
      <c r="C257" s="253"/>
      <c r="D257" s="598"/>
      <c r="E257" s="555"/>
      <c r="F257" s="572"/>
      <c r="G257" s="555"/>
      <c r="H257" s="551"/>
      <c r="I257" s="552"/>
    </row>
    <row r="258">
      <c r="B258" s="308"/>
      <c r="C258" s="253"/>
      <c r="D258" s="598"/>
      <c r="E258" s="555"/>
      <c r="F258" s="572"/>
      <c r="G258" s="555"/>
      <c r="H258" s="551"/>
      <c r="I258" s="552"/>
    </row>
    <row r="259">
      <c r="B259" s="308"/>
      <c r="C259" s="253"/>
      <c r="D259" s="598"/>
      <c r="E259" s="555"/>
      <c r="F259" s="572"/>
      <c r="G259" s="555"/>
      <c r="H259" s="551"/>
      <c r="I259" s="552"/>
    </row>
    <row r="260">
      <c r="B260" s="308"/>
      <c r="C260" s="253"/>
      <c r="D260" s="598"/>
      <c r="E260" s="555"/>
      <c r="F260" s="572"/>
      <c r="G260" s="555"/>
      <c r="H260" s="551"/>
      <c r="I260" s="552"/>
    </row>
    <row r="261">
      <c r="B261" s="308"/>
      <c r="C261" s="253"/>
      <c r="D261" s="598"/>
      <c r="E261" s="555"/>
      <c r="F261" s="572"/>
      <c r="G261" s="555"/>
      <c r="H261" s="551"/>
      <c r="I261" s="552"/>
    </row>
    <row r="262">
      <c r="B262" s="308"/>
      <c r="C262" s="253"/>
      <c r="D262" s="598"/>
      <c r="E262" s="555"/>
      <c r="F262" s="572"/>
      <c r="G262" s="555"/>
      <c r="H262" s="551"/>
      <c r="I262" s="552"/>
    </row>
    <row r="263">
      <c r="B263" s="308"/>
      <c r="C263" s="253"/>
      <c r="D263" s="598"/>
      <c r="E263" s="555"/>
      <c r="F263" s="572"/>
      <c r="G263" s="555"/>
      <c r="H263" s="551"/>
      <c r="I263" s="552"/>
    </row>
    <row r="264">
      <c r="B264" s="308"/>
      <c r="C264" s="253"/>
      <c r="D264" s="598"/>
      <c r="E264" s="555"/>
      <c r="F264" s="572"/>
      <c r="G264" s="555"/>
      <c r="H264" s="551"/>
      <c r="I264" s="552"/>
    </row>
    <row r="265">
      <c r="B265" s="308"/>
      <c r="C265" s="253"/>
      <c r="D265" s="598"/>
      <c r="E265" s="555"/>
      <c r="F265" s="572"/>
      <c r="G265" s="555"/>
      <c r="H265" s="551"/>
      <c r="I265" s="552"/>
    </row>
    <row r="266">
      <c r="B266" s="308"/>
      <c r="C266" s="253"/>
      <c r="D266" s="598"/>
      <c r="E266" s="555"/>
      <c r="F266" s="572"/>
      <c r="G266" s="555"/>
      <c r="H266" s="551"/>
      <c r="I266" s="552"/>
    </row>
    <row r="267">
      <c r="B267" s="308"/>
      <c r="C267" s="253"/>
      <c r="D267" s="598"/>
      <c r="E267" s="555"/>
      <c r="F267" s="572"/>
      <c r="G267" s="555"/>
      <c r="H267" s="551"/>
      <c r="I267" s="552"/>
    </row>
    <row r="268">
      <c r="B268" s="308"/>
      <c r="C268" s="253"/>
      <c r="D268" s="598"/>
      <c r="E268" s="555"/>
      <c r="F268" s="572"/>
      <c r="G268" s="555"/>
      <c r="H268" s="551"/>
      <c r="I268" s="552"/>
    </row>
    <row r="269">
      <c r="B269" s="308"/>
      <c r="C269" s="253"/>
      <c r="D269" s="598"/>
      <c r="E269" s="555"/>
      <c r="F269" s="572"/>
      <c r="G269" s="555"/>
      <c r="H269" s="551"/>
      <c r="I269" s="552"/>
    </row>
    <row r="270">
      <c r="B270" s="308"/>
      <c r="C270" s="253"/>
      <c r="D270" s="598"/>
      <c r="E270" s="555"/>
      <c r="F270" s="572"/>
      <c r="G270" s="555"/>
      <c r="H270" s="551"/>
      <c r="I270" s="552"/>
    </row>
    <row r="271">
      <c r="B271" s="308"/>
      <c r="C271" s="253"/>
      <c r="D271" s="598"/>
      <c r="E271" s="555"/>
      <c r="F271" s="572"/>
      <c r="G271" s="555"/>
      <c r="H271" s="551"/>
      <c r="I271" s="552"/>
    </row>
    <row r="272">
      <c r="B272" s="308"/>
      <c r="C272" s="253"/>
      <c r="D272" s="598"/>
      <c r="E272" s="555"/>
      <c r="F272" s="572"/>
      <c r="G272" s="555"/>
      <c r="H272" s="551"/>
      <c r="I272" s="552"/>
    </row>
    <row r="273">
      <c r="B273" s="308"/>
      <c r="C273" s="253"/>
      <c r="D273" s="598"/>
      <c r="E273" s="555"/>
      <c r="F273" s="572"/>
      <c r="G273" s="555"/>
      <c r="H273" s="551"/>
      <c r="I273" s="552"/>
    </row>
    <row r="274">
      <c r="B274" s="308"/>
      <c r="C274" s="253"/>
      <c r="D274" s="598"/>
      <c r="E274" s="555"/>
      <c r="F274" s="572"/>
      <c r="G274" s="555"/>
      <c r="H274" s="551"/>
      <c r="I274" s="552"/>
    </row>
    <row r="275">
      <c r="B275" s="308"/>
      <c r="C275" s="253"/>
      <c r="D275" s="598"/>
      <c r="E275" s="555"/>
      <c r="F275" s="572"/>
      <c r="G275" s="555"/>
      <c r="H275" s="551"/>
      <c r="I275" s="552"/>
    </row>
    <row r="276">
      <c r="B276" s="308"/>
      <c r="C276" s="253"/>
      <c r="D276" s="598"/>
      <c r="E276" s="555"/>
      <c r="F276" s="572"/>
      <c r="G276" s="555"/>
      <c r="H276" s="551"/>
      <c r="I276" s="552"/>
    </row>
    <row r="277">
      <c r="B277" s="308"/>
      <c r="C277" s="253"/>
      <c r="D277" s="598"/>
      <c r="E277" s="555"/>
      <c r="F277" s="572"/>
      <c r="G277" s="555"/>
      <c r="H277" s="551"/>
      <c r="I277" s="552"/>
    </row>
    <row r="278">
      <c r="B278" s="308"/>
      <c r="C278" s="253"/>
      <c r="D278" s="598"/>
      <c r="E278" s="555"/>
      <c r="F278" s="572"/>
      <c r="G278" s="555"/>
      <c r="H278" s="551"/>
      <c r="I278" s="552"/>
    </row>
    <row r="279">
      <c r="B279" s="308"/>
      <c r="C279" s="253"/>
      <c r="D279" s="598"/>
      <c r="E279" s="555"/>
      <c r="F279" s="572"/>
      <c r="G279" s="555"/>
      <c r="H279" s="551"/>
      <c r="I279" s="552"/>
    </row>
    <row r="280">
      <c r="B280" s="308"/>
      <c r="C280" s="253"/>
      <c r="D280" s="598"/>
      <c r="E280" s="555"/>
      <c r="F280" s="572"/>
      <c r="G280" s="555"/>
      <c r="H280" s="551"/>
      <c r="I280" s="552"/>
    </row>
    <row r="281">
      <c r="B281" s="308"/>
      <c r="C281" s="253"/>
      <c r="D281" s="598"/>
      <c r="E281" s="555"/>
      <c r="F281" s="572"/>
      <c r="G281" s="555"/>
      <c r="H281" s="551"/>
      <c r="I281" s="552"/>
    </row>
    <row r="282">
      <c r="B282" s="308"/>
      <c r="C282" s="253"/>
      <c r="D282" s="598"/>
      <c r="E282" s="555"/>
      <c r="F282" s="572"/>
      <c r="G282" s="555"/>
      <c r="H282" s="551"/>
      <c r="I282" s="552"/>
    </row>
    <row r="283">
      <c r="B283" s="308"/>
      <c r="C283" s="253"/>
      <c r="D283" s="598"/>
      <c r="E283" s="555"/>
      <c r="F283" s="572"/>
      <c r="G283" s="555"/>
      <c r="H283" s="551"/>
      <c r="I283" s="552"/>
    </row>
    <row r="284">
      <c r="B284" s="308"/>
      <c r="C284" s="253"/>
      <c r="D284" s="598"/>
      <c r="E284" s="555"/>
      <c r="F284" s="572"/>
      <c r="G284" s="555"/>
      <c r="H284" s="551"/>
      <c r="I284" s="552"/>
    </row>
    <row r="285">
      <c r="B285" s="308"/>
      <c r="C285" s="253"/>
      <c r="D285" s="598"/>
      <c r="E285" s="555"/>
      <c r="F285" s="572"/>
      <c r="G285" s="555"/>
      <c r="H285" s="551"/>
      <c r="I285" s="552"/>
    </row>
    <row r="286">
      <c r="B286" s="308"/>
      <c r="C286" s="253"/>
      <c r="D286" s="598"/>
      <c r="E286" s="555"/>
      <c r="F286" s="572"/>
      <c r="G286" s="555"/>
      <c r="H286" s="551"/>
      <c r="I286" s="552"/>
    </row>
    <row r="287">
      <c r="B287" s="308"/>
      <c r="C287" s="253"/>
      <c r="D287" s="598"/>
      <c r="E287" s="555"/>
      <c r="F287" s="572"/>
      <c r="G287" s="555"/>
      <c r="H287" s="551"/>
      <c r="I287" s="552"/>
    </row>
    <row r="288">
      <c r="B288" s="308"/>
      <c r="C288" s="253"/>
      <c r="D288" s="598"/>
      <c r="E288" s="555"/>
      <c r="F288" s="572"/>
      <c r="G288" s="555"/>
      <c r="H288" s="551"/>
      <c r="I288" s="552"/>
    </row>
    <row r="289">
      <c r="B289" s="308"/>
      <c r="C289" s="253"/>
      <c r="D289" s="598"/>
      <c r="E289" s="555"/>
      <c r="F289" s="572"/>
      <c r="G289" s="555"/>
      <c r="H289" s="551"/>
      <c r="I289" s="552"/>
    </row>
    <row r="290">
      <c r="B290" s="308"/>
      <c r="C290" s="253"/>
      <c r="D290" s="598"/>
      <c r="E290" s="555"/>
      <c r="F290" s="572"/>
      <c r="G290" s="555"/>
      <c r="H290" s="551"/>
      <c r="I290" s="552"/>
    </row>
    <row r="291">
      <c r="B291" s="308"/>
      <c r="C291" s="253"/>
      <c r="D291" s="598"/>
      <c r="E291" s="555"/>
      <c r="F291" s="572"/>
      <c r="G291" s="555"/>
      <c r="H291" s="551"/>
      <c r="I291" s="552"/>
    </row>
    <row r="292">
      <c r="B292" s="308"/>
      <c r="C292" s="253"/>
      <c r="D292" s="598"/>
      <c r="E292" s="555"/>
      <c r="F292" s="572"/>
      <c r="G292" s="555"/>
      <c r="H292" s="551"/>
      <c r="I292" s="552"/>
    </row>
    <row r="293">
      <c r="B293" s="308"/>
      <c r="C293" s="253"/>
      <c r="D293" s="598"/>
      <c r="E293" s="555"/>
      <c r="F293" s="572"/>
      <c r="G293" s="555"/>
      <c r="H293" s="551"/>
      <c r="I293" s="552"/>
    </row>
    <row r="294">
      <c r="B294" s="308"/>
      <c r="C294" s="253"/>
      <c r="D294" s="598"/>
      <c r="E294" s="555"/>
      <c r="F294" s="572"/>
      <c r="G294" s="555"/>
      <c r="H294" s="551"/>
      <c r="I294" s="552"/>
    </row>
    <row r="295">
      <c r="B295" s="308"/>
      <c r="C295" s="253"/>
      <c r="D295" s="598"/>
      <c r="E295" s="555"/>
      <c r="F295" s="572"/>
      <c r="G295" s="555"/>
      <c r="H295" s="551"/>
      <c r="I295" s="552"/>
    </row>
    <row r="296">
      <c r="B296" s="308"/>
      <c r="C296" s="253"/>
      <c r="D296" s="598"/>
      <c r="E296" s="555"/>
      <c r="F296" s="572"/>
      <c r="G296" s="555"/>
      <c r="H296" s="551"/>
      <c r="I296" s="552"/>
    </row>
    <row r="297">
      <c r="B297" s="308"/>
      <c r="C297" s="253"/>
      <c r="D297" s="598"/>
      <c r="E297" s="555"/>
      <c r="F297" s="572"/>
      <c r="G297" s="555"/>
      <c r="H297" s="551"/>
      <c r="I297" s="552"/>
    </row>
    <row r="298">
      <c r="B298" s="308"/>
      <c r="C298" s="253"/>
      <c r="D298" s="598"/>
      <c r="E298" s="555"/>
      <c r="F298" s="572"/>
      <c r="G298" s="555"/>
      <c r="H298" s="551"/>
      <c r="I298" s="552"/>
    </row>
    <row r="299">
      <c r="B299" s="308"/>
      <c r="C299" s="253"/>
      <c r="D299" s="598"/>
      <c r="E299" s="555"/>
      <c r="F299" s="572"/>
      <c r="G299" s="555"/>
      <c r="H299" s="551"/>
      <c r="I299" s="552"/>
    </row>
    <row r="300">
      <c r="B300" s="308"/>
      <c r="C300" s="253"/>
      <c r="D300" s="598"/>
      <c r="E300" s="555"/>
      <c r="F300" s="572"/>
      <c r="G300" s="555"/>
      <c r="H300" s="551"/>
      <c r="I300" s="552"/>
    </row>
    <row r="301">
      <c r="B301" s="308"/>
      <c r="C301" s="253"/>
      <c r="D301" s="598"/>
      <c r="E301" s="555"/>
      <c r="F301" s="572"/>
      <c r="G301" s="555"/>
      <c r="H301" s="551"/>
      <c r="I301" s="552"/>
    </row>
    <row r="302">
      <c r="B302" s="308"/>
      <c r="C302" s="253"/>
      <c r="D302" s="598"/>
      <c r="E302" s="555"/>
      <c r="F302" s="572"/>
      <c r="G302" s="555"/>
      <c r="H302" s="551"/>
      <c r="I302" s="552"/>
    </row>
    <row r="303">
      <c r="B303" s="308"/>
      <c r="C303" s="253"/>
      <c r="D303" s="598"/>
      <c r="E303" s="555"/>
      <c r="F303" s="572"/>
      <c r="G303" s="555"/>
      <c r="H303" s="551"/>
      <c r="I303" s="552"/>
    </row>
    <row r="304">
      <c r="B304" s="308"/>
      <c r="C304" s="253"/>
      <c r="D304" s="598"/>
      <c r="E304" s="555"/>
      <c r="F304" s="572"/>
      <c r="G304" s="555"/>
      <c r="H304" s="551"/>
      <c r="I304" s="552"/>
    </row>
    <row r="305">
      <c r="B305" s="308"/>
      <c r="C305" s="253"/>
      <c r="D305" s="598"/>
      <c r="E305" s="555"/>
      <c r="F305" s="572"/>
      <c r="G305" s="555"/>
      <c r="H305" s="551"/>
      <c r="I305" s="552"/>
    </row>
    <row r="306">
      <c r="B306" s="308"/>
      <c r="C306" s="253"/>
      <c r="D306" s="598"/>
      <c r="E306" s="555"/>
      <c r="F306" s="572"/>
      <c r="G306" s="555"/>
      <c r="H306" s="551"/>
      <c r="I306" s="552"/>
    </row>
    <row r="307">
      <c r="B307" s="308"/>
      <c r="C307" s="253"/>
      <c r="D307" s="598"/>
      <c r="E307" s="555"/>
      <c r="F307" s="572"/>
      <c r="G307" s="555"/>
      <c r="H307" s="551"/>
      <c r="I307" s="552"/>
    </row>
    <row r="308">
      <c r="B308" s="308"/>
      <c r="C308" s="253"/>
      <c r="D308" s="598"/>
      <c r="E308" s="555"/>
      <c r="F308" s="572"/>
      <c r="G308" s="555"/>
      <c r="H308" s="551"/>
      <c r="I308" s="552"/>
    </row>
    <row r="309">
      <c r="B309" s="308"/>
      <c r="C309" s="253"/>
      <c r="D309" s="598"/>
      <c r="E309" s="555"/>
      <c r="F309" s="572"/>
      <c r="G309" s="555"/>
      <c r="H309" s="551"/>
      <c r="I309" s="552"/>
    </row>
    <row r="310">
      <c r="B310" s="308"/>
      <c r="C310" s="253"/>
      <c r="D310" s="598"/>
      <c r="E310" s="555"/>
      <c r="F310" s="572"/>
      <c r="G310" s="555"/>
      <c r="H310" s="551"/>
      <c r="I310" s="552"/>
    </row>
    <row r="311">
      <c r="B311" s="308"/>
      <c r="C311" s="253"/>
      <c r="D311" s="598"/>
      <c r="E311" s="555"/>
      <c r="F311" s="572"/>
      <c r="G311" s="555"/>
      <c r="H311" s="551"/>
      <c r="I311" s="552"/>
    </row>
    <row r="312">
      <c r="B312" s="308"/>
      <c r="C312" s="253"/>
      <c r="D312" s="598"/>
      <c r="E312" s="555"/>
      <c r="F312" s="572"/>
      <c r="G312" s="555"/>
      <c r="H312" s="551"/>
      <c r="I312" s="552"/>
    </row>
    <row r="313">
      <c r="B313" s="308"/>
      <c r="C313" s="253"/>
      <c r="D313" s="598"/>
      <c r="E313" s="555"/>
      <c r="F313" s="572"/>
      <c r="G313" s="555"/>
      <c r="H313" s="551"/>
      <c r="I313" s="552"/>
    </row>
    <row r="314">
      <c r="B314" s="308"/>
      <c r="C314" s="253"/>
      <c r="D314" s="598"/>
      <c r="E314" s="555"/>
      <c r="F314" s="572"/>
      <c r="G314" s="555"/>
      <c r="H314" s="551"/>
      <c r="I314" s="552"/>
    </row>
    <row r="315">
      <c r="B315" s="308"/>
      <c r="C315" s="253"/>
      <c r="D315" s="598"/>
      <c r="E315" s="555"/>
      <c r="F315" s="572"/>
      <c r="G315" s="555"/>
      <c r="H315" s="551"/>
      <c r="I315" s="552"/>
    </row>
    <row r="316">
      <c r="B316" s="308"/>
      <c r="C316" s="253"/>
      <c r="D316" s="598"/>
      <c r="E316" s="555"/>
      <c r="F316" s="572"/>
      <c r="G316" s="555"/>
      <c r="H316" s="551"/>
      <c r="I316" s="552"/>
    </row>
    <row r="317">
      <c r="B317" s="308"/>
      <c r="C317" s="253"/>
      <c r="D317" s="598"/>
      <c r="E317" s="555"/>
      <c r="F317" s="572"/>
      <c r="G317" s="555"/>
      <c r="H317" s="551"/>
      <c r="I317" s="552"/>
    </row>
    <row r="318">
      <c r="B318" s="308"/>
      <c r="C318" s="253"/>
      <c r="D318" s="598"/>
      <c r="E318" s="555"/>
      <c r="F318" s="572"/>
      <c r="G318" s="555"/>
      <c r="H318" s="551"/>
      <c r="I318" s="552"/>
    </row>
    <row r="319">
      <c r="B319" s="308"/>
      <c r="C319" s="253"/>
      <c r="D319" s="598"/>
      <c r="E319" s="555"/>
      <c r="F319" s="572"/>
      <c r="G319" s="555"/>
      <c r="H319" s="551"/>
      <c r="I319" s="552"/>
    </row>
    <row r="320">
      <c r="B320" s="308"/>
      <c r="C320" s="253"/>
      <c r="D320" s="598"/>
      <c r="E320" s="555"/>
      <c r="F320" s="572"/>
      <c r="G320" s="555"/>
      <c r="H320" s="551"/>
      <c r="I320" s="552"/>
    </row>
    <row r="321">
      <c r="B321" s="308"/>
      <c r="C321" s="253"/>
      <c r="D321" s="598"/>
      <c r="E321" s="555"/>
      <c r="F321" s="572"/>
      <c r="G321" s="555"/>
      <c r="H321" s="551"/>
      <c r="I321" s="552"/>
    </row>
    <row r="322">
      <c r="B322" s="308"/>
      <c r="C322" s="253"/>
      <c r="D322" s="598"/>
      <c r="E322" s="555"/>
      <c r="F322" s="572"/>
      <c r="G322" s="555"/>
      <c r="H322" s="551"/>
      <c r="I322" s="552"/>
    </row>
    <row r="323">
      <c r="B323" s="308"/>
      <c r="C323" s="253"/>
      <c r="D323" s="598"/>
      <c r="E323" s="555"/>
      <c r="F323" s="572"/>
      <c r="G323" s="555"/>
      <c r="H323" s="551"/>
      <c r="I323" s="552"/>
    </row>
    <row r="324">
      <c r="B324" s="308"/>
      <c r="C324" s="253"/>
      <c r="D324" s="598"/>
      <c r="E324" s="555"/>
      <c r="F324" s="572"/>
      <c r="G324" s="555"/>
      <c r="H324" s="551"/>
      <c r="I324" s="552"/>
    </row>
    <row r="325">
      <c r="B325" s="308"/>
      <c r="C325" s="253"/>
      <c r="D325" s="598"/>
      <c r="E325" s="555"/>
      <c r="F325" s="572"/>
      <c r="G325" s="555"/>
      <c r="H325" s="551"/>
      <c r="I325" s="552"/>
    </row>
    <row r="326">
      <c r="B326" s="308"/>
      <c r="C326" s="253"/>
      <c r="D326" s="598"/>
      <c r="E326" s="555"/>
      <c r="F326" s="572"/>
      <c r="G326" s="555"/>
      <c r="H326" s="551"/>
      <c r="I326" s="552"/>
    </row>
    <row r="327">
      <c r="B327" s="308"/>
      <c r="C327" s="253"/>
      <c r="D327" s="598"/>
      <c r="E327" s="555"/>
      <c r="F327" s="572"/>
      <c r="G327" s="555"/>
      <c r="H327" s="551"/>
      <c r="I327" s="552"/>
    </row>
    <row r="328">
      <c r="B328" s="308"/>
      <c r="C328" s="253"/>
      <c r="D328" s="598"/>
      <c r="E328" s="555"/>
      <c r="F328" s="572"/>
      <c r="G328" s="555"/>
      <c r="H328" s="551"/>
      <c r="I328" s="552"/>
    </row>
    <row r="329">
      <c r="B329" s="308"/>
      <c r="C329" s="253"/>
      <c r="D329" s="598"/>
      <c r="E329" s="555"/>
      <c r="F329" s="572"/>
      <c r="G329" s="555"/>
      <c r="H329" s="551"/>
      <c r="I329" s="552"/>
    </row>
    <row r="330">
      <c r="B330" s="308"/>
      <c r="C330" s="253"/>
      <c r="D330" s="598"/>
      <c r="E330" s="555"/>
      <c r="F330" s="572"/>
      <c r="G330" s="555"/>
      <c r="H330" s="551"/>
      <c r="I330" s="552"/>
    </row>
    <row r="331">
      <c r="B331" s="308"/>
      <c r="C331" s="253"/>
      <c r="D331" s="598"/>
      <c r="E331" s="555"/>
      <c r="F331" s="572"/>
      <c r="G331" s="555"/>
      <c r="H331" s="551"/>
      <c r="I331" s="552"/>
    </row>
    <row r="332">
      <c r="B332" s="308"/>
      <c r="C332" s="253"/>
      <c r="D332" s="598"/>
      <c r="E332" s="555"/>
      <c r="F332" s="572"/>
      <c r="G332" s="555"/>
      <c r="H332" s="551"/>
      <c r="I332" s="552"/>
    </row>
    <row r="333">
      <c r="B333" s="308"/>
      <c r="C333" s="253"/>
      <c r="D333" s="598"/>
      <c r="E333" s="555"/>
      <c r="F333" s="572"/>
      <c r="G333" s="555"/>
      <c r="H333" s="551"/>
      <c r="I333" s="552"/>
    </row>
    <row r="334">
      <c r="B334" s="308"/>
      <c r="C334" s="253"/>
      <c r="D334" s="598"/>
      <c r="E334" s="555"/>
      <c r="F334" s="572"/>
      <c r="G334" s="555"/>
      <c r="H334" s="551"/>
      <c r="I334" s="552"/>
    </row>
    <row r="335">
      <c r="B335" s="308"/>
      <c r="C335" s="253"/>
      <c r="D335" s="598"/>
      <c r="E335" s="555"/>
      <c r="F335" s="572"/>
      <c r="G335" s="555"/>
      <c r="H335" s="551"/>
      <c r="I335" s="552"/>
    </row>
    <row r="336">
      <c r="B336" s="308"/>
      <c r="C336" s="253"/>
      <c r="D336" s="598"/>
      <c r="E336" s="555"/>
      <c r="F336" s="572"/>
      <c r="G336" s="555"/>
      <c r="H336" s="551"/>
      <c r="I336" s="552"/>
    </row>
    <row r="337">
      <c r="B337" s="308"/>
      <c r="C337" s="253"/>
      <c r="D337" s="598"/>
      <c r="E337" s="555"/>
      <c r="F337" s="572"/>
      <c r="G337" s="555"/>
      <c r="H337" s="551"/>
      <c r="I337" s="552"/>
    </row>
    <row r="338">
      <c r="B338" s="308"/>
      <c r="C338" s="253"/>
      <c r="D338" s="598"/>
      <c r="E338" s="555"/>
      <c r="F338" s="572"/>
      <c r="G338" s="555"/>
      <c r="H338" s="551"/>
      <c r="I338" s="552"/>
    </row>
    <row r="339">
      <c r="B339" s="308"/>
      <c r="C339" s="253"/>
      <c r="D339" s="598"/>
      <c r="E339" s="555"/>
      <c r="F339" s="572"/>
      <c r="G339" s="555"/>
      <c r="H339" s="551"/>
      <c r="I339" s="552"/>
    </row>
    <row r="340">
      <c r="B340" s="308"/>
      <c r="C340" s="253"/>
      <c r="D340" s="598"/>
      <c r="E340" s="555"/>
      <c r="F340" s="572"/>
      <c r="G340" s="555"/>
      <c r="H340" s="551"/>
      <c r="I340" s="552"/>
    </row>
    <row r="341">
      <c r="B341" s="308"/>
      <c r="C341" s="253"/>
      <c r="D341" s="598"/>
      <c r="E341" s="555"/>
      <c r="F341" s="572"/>
      <c r="G341" s="555"/>
      <c r="H341" s="551"/>
      <c r="I341" s="552"/>
    </row>
    <row r="342">
      <c r="B342" s="308"/>
      <c r="C342" s="253"/>
      <c r="D342" s="598"/>
      <c r="E342" s="555"/>
      <c r="F342" s="572"/>
      <c r="G342" s="555"/>
      <c r="H342" s="551"/>
      <c r="I342" s="552"/>
    </row>
    <row r="343">
      <c r="B343" s="308"/>
      <c r="C343" s="253"/>
      <c r="D343" s="598"/>
      <c r="E343" s="555"/>
      <c r="F343" s="572"/>
      <c r="G343" s="555"/>
      <c r="H343" s="551"/>
      <c r="I343" s="552"/>
    </row>
    <row r="344">
      <c r="B344" s="308"/>
      <c r="C344" s="253"/>
      <c r="D344" s="598"/>
      <c r="E344" s="555"/>
      <c r="F344" s="572"/>
      <c r="G344" s="555"/>
      <c r="H344" s="551"/>
      <c r="I344" s="552"/>
    </row>
    <row r="345">
      <c r="B345" s="308"/>
      <c r="C345" s="253"/>
      <c r="D345" s="598"/>
      <c r="E345" s="555"/>
      <c r="F345" s="572"/>
      <c r="G345" s="555"/>
      <c r="H345" s="551"/>
      <c r="I345" s="552"/>
    </row>
    <row r="346">
      <c r="B346" s="308"/>
      <c r="C346" s="253"/>
      <c r="D346" s="598"/>
      <c r="E346" s="555"/>
      <c r="F346" s="572"/>
      <c r="G346" s="555"/>
      <c r="H346" s="551"/>
      <c r="I346" s="552"/>
    </row>
    <row r="347">
      <c r="B347" s="308"/>
      <c r="C347" s="253"/>
      <c r="D347" s="598"/>
      <c r="E347" s="555"/>
      <c r="F347" s="572"/>
      <c r="G347" s="555"/>
      <c r="H347" s="551"/>
      <c r="I347" s="552"/>
    </row>
    <row r="348">
      <c r="B348" s="308"/>
      <c r="C348" s="253"/>
      <c r="D348" s="598"/>
      <c r="E348" s="555"/>
      <c r="F348" s="572"/>
      <c r="G348" s="555"/>
      <c r="H348" s="551"/>
      <c r="I348" s="552"/>
    </row>
    <row r="349">
      <c r="B349" s="308"/>
      <c r="C349" s="253"/>
      <c r="D349" s="598"/>
      <c r="E349" s="555"/>
      <c r="F349" s="572"/>
      <c r="G349" s="555"/>
      <c r="H349" s="551"/>
      <c r="I349" s="552"/>
    </row>
    <row r="350">
      <c r="B350" s="308"/>
      <c r="C350" s="253"/>
      <c r="D350" s="598"/>
      <c r="E350" s="555"/>
      <c r="F350" s="572"/>
      <c r="G350" s="555"/>
      <c r="H350" s="551"/>
      <c r="I350" s="552"/>
    </row>
    <row r="351">
      <c r="B351" s="308"/>
      <c r="C351" s="253"/>
      <c r="D351" s="598"/>
      <c r="E351" s="555"/>
      <c r="F351" s="572"/>
      <c r="G351" s="555"/>
      <c r="H351" s="551"/>
      <c r="I351" s="552"/>
    </row>
    <row r="352">
      <c r="B352" s="308"/>
      <c r="C352" s="253"/>
      <c r="D352" s="598"/>
      <c r="E352" s="555"/>
      <c r="F352" s="572"/>
      <c r="G352" s="555"/>
      <c r="H352" s="551"/>
      <c r="I352" s="552"/>
    </row>
    <row r="353">
      <c r="B353" s="308"/>
      <c r="C353" s="253"/>
      <c r="D353" s="598"/>
      <c r="E353" s="555"/>
      <c r="F353" s="572"/>
      <c r="G353" s="555"/>
      <c r="H353" s="551"/>
      <c r="I353" s="552"/>
    </row>
    <row r="354">
      <c r="B354" s="308"/>
      <c r="C354" s="253"/>
      <c r="D354" s="598"/>
      <c r="E354" s="555"/>
      <c r="F354" s="572"/>
      <c r="G354" s="555"/>
      <c r="H354" s="551"/>
      <c r="I354" s="552"/>
    </row>
    <row r="355">
      <c r="B355" s="308"/>
      <c r="C355" s="253"/>
      <c r="D355" s="598"/>
      <c r="E355" s="555"/>
      <c r="F355" s="572"/>
      <c r="G355" s="555"/>
      <c r="H355" s="551"/>
      <c r="I355" s="552"/>
    </row>
    <row r="356">
      <c r="B356" s="308"/>
      <c r="C356" s="253"/>
      <c r="D356" s="598"/>
      <c r="E356" s="555"/>
      <c r="F356" s="572"/>
      <c r="G356" s="555"/>
      <c r="H356" s="551"/>
      <c r="I356" s="552"/>
    </row>
    <row r="357">
      <c r="B357" s="308"/>
      <c r="C357" s="253"/>
      <c r="D357" s="598"/>
      <c r="E357" s="555"/>
      <c r="F357" s="572"/>
      <c r="G357" s="555"/>
      <c r="H357" s="551"/>
      <c r="I357" s="552"/>
    </row>
    <row r="358">
      <c r="B358" s="308"/>
      <c r="C358" s="253"/>
      <c r="D358" s="598"/>
      <c r="E358" s="555"/>
      <c r="F358" s="572"/>
      <c r="G358" s="555"/>
      <c r="H358" s="551"/>
      <c r="I358" s="552"/>
    </row>
    <row r="359">
      <c r="B359" s="308"/>
      <c r="C359" s="253"/>
      <c r="D359" s="598"/>
      <c r="E359" s="555"/>
      <c r="F359" s="572"/>
      <c r="G359" s="555"/>
      <c r="H359" s="551"/>
      <c r="I359" s="552"/>
    </row>
    <row r="360">
      <c r="B360" s="308"/>
      <c r="C360" s="253"/>
      <c r="D360" s="598"/>
      <c r="E360" s="555"/>
      <c r="F360" s="572"/>
      <c r="G360" s="555"/>
      <c r="H360" s="551"/>
      <c r="I360" s="552"/>
    </row>
    <row r="361">
      <c r="B361" s="308"/>
      <c r="C361" s="253"/>
      <c r="D361" s="598"/>
      <c r="E361" s="555"/>
      <c r="F361" s="572"/>
      <c r="G361" s="555"/>
      <c r="H361" s="551"/>
      <c r="I361" s="552"/>
    </row>
    <row r="362">
      <c r="B362" s="308"/>
      <c r="C362" s="253"/>
      <c r="D362" s="598"/>
      <c r="E362" s="555"/>
      <c r="F362" s="572"/>
      <c r="G362" s="555"/>
      <c r="H362" s="551"/>
      <c r="I362" s="552"/>
    </row>
    <row r="363">
      <c r="B363" s="308"/>
      <c r="C363" s="253"/>
      <c r="D363" s="598"/>
      <c r="E363" s="555"/>
      <c r="F363" s="572"/>
      <c r="G363" s="555"/>
      <c r="H363" s="551"/>
      <c r="I363" s="552"/>
    </row>
    <row r="364">
      <c r="B364" s="308"/>
      <c r="C364" s="253"/>
      <c r="D364" s="598"/>
      <c r="E364" s="555"/>
      <c r="F364" s="572"/>
      <c r="G364" s="555"/>
      <c r="H364" s="551"/>
      <c r="I364" s="552"/>
    </row>
    <row r="365">
      <c r="B365" s="308"/>
      <c r="C365" s="253"/>
      <c r="D365" s="598"/>
      <c r="E365" s="555"/>
      <c r="F365" s="572"/>
      <c r="G365" s="555"/>
      <c r="H365" s="551"/>
      <c r="I365" s="552"/>
    </row>
    <row r="366">
      <c r="B366" s="308"/>
      <c r="C366" s="253"/>
      <c r="D366" s="598"/>
      <c r="E366" s="555"/>
      <c r="F366" s="572"/>
      <c r="G366" s="555"/>
      <c r="H366" s="551"/>
      <c r="I366" s="552"/>
    </row>
    <row r="367">
      <c r="B367" s="308"/>
      <c r="C367" s="253"/>
      <c r="D367" s="598"/>
      <c r="E367" s="555"/>
      <c r="F367" s="572"/>
      <c r="G367" s="555"/>
      <c r="H367" s="551"/>
      <c r="I367" s="552"/>
    </row>
    <row r="368">
      <c r="B368" s="308"/>
      <c r="C368" s="253"/>
      <c r="D368" s="598"/>
      <c r="E368" s="555"/>
      <c r="F368" s="572"/>
      <c r="G368" s="555"/>
      <c r="H368" s="551"/>
      <c r="I368" s="552"/>
    </row>
    <row r="369">
      <c r="B369" s="308"/>
      <c r="C369" s="253"/>
      <c r="D369" s="598"/>
      <c r="E369" s="555"/>
      <c r="F369" s="572"/>
      <c r="G369" s="555"/>
      <c r="H369" s="551"/>
      <c r="I369" s="552"/>
    </row>
    <row r="370">
      <c r="B370" s="308"/>
      <c r="C370" s="253"/>
      <c r="D370" s="598"/>
      <c r="E370" s="555"/>
      <c r="F370" s="572"/>
      <c r="G370" s="555"/>
      <c r="H370" s="551"/>
      <c r="I370" s="552"/>
    </row>
    <row r="371">
      <c r="B371" s="308"/>
      <c r="C371" s="253"/>
      <c r="D371" s="598"/>
      <c r="E371" s="555"/>
      <c r="F371" s="572"/>
      <c r="G371" s="555"/>
      <c r="H371" s="551"/>
      <c r="I371" s="552"/>
    </row>
    <row r="372">
      <c r="B372" s="308"/>
      <c r="C372" s="253"/>
      <c r="D372" s="598"/>
      <c r="E372" s="555"/>
      <c r="F372" s="572"/>
      <c r="G372" s="555"/>
      <c r="H372" s="551"/>
      <c r="I372" s="552"/>
    </row>
    <row r="373">
      <c r="B373" s="308"/>
      <c r="C373" s="253"/>
      <c r="D373" s="598"/>
      <c r="E373" s="555"/>
      <c r="F373" s="572"/>
      <c r="G373" s="555"/>
      <c r="H373" s="551"/>
      <c r="I373" s="552"/>
    </row>
    <row r="374">
      <c r="B374" s="308"/>
      <c r="C374" s="253"/>
      <c r="D374" s="598"/>
      <c r="E374" s="555"/>
      <c r="F374" s="572"/>
      <c r="G374" s="555"/>
      <c r="H374" s="551"/>
      <c r="I374" s="552"/>
    </row>
    <row r="375">
      <c r="B375" s="308"/>
      <c r="C375" s="253"/>
      <c r="D375" s="598"/>
      <c r="E375" s="555"/>
      <c r="F375" s="572"/>
      <c r="G375" s="555"/>
      <c r="H375" s="551"/>
      <c r="I375" s="552"/>
    </row>
    <row r="376">
      <c r="B376" s="308"/>
      <c r="C376" s="253"/>
      <c r="D376" s="598"/>
      <c r="E376" s="555"/>
      <c r="F376" s="572"/>
      <c r="G376" s="555"/>
      <c r="H376" s="551"/>
      <c r="I376" s="552"/>
    </row>
    <row r="377">
      <c r="B377" s="308"/>
      <c r="C377" s="253"/>
      <c r="D377" s="598"/>
      <c r="E377" s="555"/>
      <c r="F377" s="572"/>
      <c r="G377" s="555"/>
      <c r="H377" s="551"/>
      <c r="I377" s="552"/>
    </row>
    <row r="378">
      <c r="B378" s="308"/>
      <c r="C378" s="253"/>
      <c r="D378" s="598"/>
      <c r="E378" s="555"/>
      <c r="F378" s="572"/>
      <c r="G378" s="555"/>
      <c r="H378" s="551"/>
      <c r="I378" s="552"/>
    </row>
    <row r="379">
      <c r="B379" s="308"/>
      <c r="C379" s="253"/>
      <c r="D379" s="598"/>
      <c r="E379" s="555"/>
      <c r="F379" s="572"/>
      <c r="G379" s="555"/>
      <c r="H379" s="551"/>
      <c r="I379" s="552"/>
    </row>
    <row r="380">
      <c r="B380" s="308"/>
      <c r="C380" s="253"/>
      <c r="D380" s="598"/>
      <c r="E380" s="555"/>
      <c r="F380" s="572"/>
      <c r="G380" s="555"/>
      <c r="H380" s="551"/>
      <c r="I380" s="552"/>
    </row>
    <row r="381">
      <c r="B381" s="308"/>
      <c r="C381" s="253"/>
      <c r="D381" s="598"/>
      <c r="E381" s="555"/>
      <c r="F381" s="572"/>
      <c r="G381" s="555"/>
      <c r="H381" s="551"/>
      <c r="I381" s="552"/>
    </row>
    <row r="382">
      <c r="B382" s="308"/>
      <c r="C382" s="253"/>
      <c r="D382" s="598"/>
      <c r="E382" s="555"/>
      <c r="F382" s="572"/>
      <c r="G382" s="555"/>
      <c r="H382" s="551"/>
      <c r="I382" s="552"/>
    </row>
    <row r="383">
      <c r="B383" s="308"/>
      <c r="C383" s="253"/>
      <c r="D383" s="598"/>
      <c r="E383" s="555"/>
      <c r="F383" s="572"/>
      <c r="G383" s="555"/>
      <c r="H383" s="551"/>
      <c r="I383" s="552"/>
    </row>
    <row r="384">
      <c r="B384" s="308"/>
      <c r="C384" s="253"/>
      <c r="D384" s="598"/>
      <c r="E384" s="555"/>
      <c r="F384" s="572"/>
      <c r="G384" s="555"/>
      <c r="H384" s="551"/>
      <c r="I384" s="552"/>
    </row>
    <row r="385">
      <c r="B385" s="308"/>
      <c r="C385" s="253"/>
      <c r="D385" s="598"/>
      <c r="E385" s="555"/>
      <c r="F385" s="572"/>
      <c r="G385" s="555"/>
      <c r="H385" s="551"/>
      <c r="I385" s="552"/>
    </row>
    <row r="386">
      <c r="B386" s="308"/>
      <c r="C386" s="253"/>
      <c r="D386" s="598"/>
      <c r="E386" s="555"/>
      <c r="F386" s="572"/>
      <c r="G386" s="555"/>
      <c r="H386" s="551"/>
      <c r="I386" s="552"/>
    </row>
    <row r="387">
      <c r="B387" s="308"/>
      <c r="C387" s="253"/>
      <c r="D387" s="598"/>
      <c r="E387" s="555"/>
      <c r="F387" s="572"/>
      <c r="G387" s="555"/>
      <c r="H387" s="551"/>
      <c r="I387" s="552"/>
    </row>
    <row r="388">
      <c r="B388" s="308"/>
      <c r="C388" s="253"/>
      <c r="D388" s="598"/>
      <c r="E388" s="555"/>
      <c r="F388" s="572"/>
      <c r="G388" s="555"/>
      <c r="H388" s="551"/>
      <c r="I388" s="552"/>
    </row>
    <row r="389">
      <c r="B389" s="308"/>
      <c r="C389" s="253"/>
      <c r="D389" s="598"/>
      <c r="E389" s="555"/>
      <c r="F389" s="572"/>
      <c r="G389" s="555"/>
      <c r="H389" s="551"/>
      <c r="I389" s="552"/>
    </row>
    <row r="390">
      <c r="B390" s="308"/>
      <c r="C390" s="253"/>
      <c r="D390" s="598"/>
      <c r="E390" s="555"/>
      <c r="F390" s="572"/>
      <c r="G390" s="555"/>
      <c r="H390" s="551"/>
      <c r="I390" s="552"/>
    </row>
    <row r="391">
      <c r="B391" s="308"/>
      <c r="C391" s="253"/>
      <c r="D391" s="598"/>
      <c r="E391" s="555"/>
      <c r="F391" s="572"/>
      <c r="G391" s="555"/>
      <c r="H391" s="551"/>
      <c r="I391" s="552"/>
    </row>
    <row r="392">
      <c r="B392" s="308"/>
      <c r="C392" s="253"/>
      <c r="D392" s="598"/>
      <c r="E392" s="555"/>
      <c r="F392" s="572"/>
      <c r="G392" s="555"/>
      <c r="H392" s="551"/>
      <c r="I392" s="552"/>
    </row>
    <row r="393">
      <c r="B393" s="308"/>
      <c r="C393" s="253"/>
      <c r="D393" s="598"/>
      <c r="E393" s="555"/>
      <c r="F393" s="572"/>
      <c r="G393" s="555"/>
      <c r="H393" s="551"/>
      <c r="I393" s="552"/>
    </row>
    <row r="394">
      <c r="B394" s="308"/>
      <c r="C394" s="253"/>
      <c r="D394" s="598"/>
      <c r="E394" s="555"/>
      <c r="F394" s="572"/>
      <c r="G394" s="555"/>
      <c r="H394" s="551"/>
      <c r="I394" s="552"/>
    </row>
    <row r="395">
      <c r="B395" s="308"/>
      <c r="C395" s="253"/>
      <c r="D395" s="598"/>
      <c r="E395" s="555"/>
      <c r="F395" s="572"/>
      <c r="G395" s="555"/>
      <c r="H395" s="551"/>
      <c r="I395" s="552"/>
    </row>
    <row r="396">
      <c r="B396" s="308"/>
      <c r="C396" s="253"/>
      <c r="D396" s="598"/>
      <c r="E396" s="555"/>
      <c r="F396" s="572"/>
      <c r="G396" s="555"/>
      <c r="H396" s="551"/>
      <c r="I396" s="552"/>
    </row>
    <row r="397">
      <c r="B397" s="308"/>
      <c r="C397" s="253"/>
      <c r="D397" s="598"/>
      <c r="E397" s="555"/>
      <c r="F397" s="572"/>
      <c r="G397" s="555"/>
      <c r="H397" s="551"/>
      <c r="I397" s="552"/>
    </row>
    <row r="398">
      <c r="B398" s="308"/>
      <c r="C398" s="253"/>
      <c r="D398" s="598"/>
      <c r="E398" s="555"/>
      <c r="F398" s="572"/>
      <c r="G398" s="555"/>
      <c r="H398" s="551"/>
      <c r="I398" s="552"/>
    </row>
    <row r="399">
      <c r="B399" s="308"/>
      <c r="C399" s="253"/>
      <c r="D399" s="598"/>
      <c r="E399" s="555"/>
      <c r="F399" s="572"/>
      <c r="G399" s="555"/>
      <c r="H399" s="551"/>
      <c r="I399" s="552"/>
    </row>
    <row r="400">
      <c r="B400" s="308"/>
      <c r="C400" s="253"/>
      <c r="D400" s="598"/>
      <c r="E400" s="555"/>
      <c r="F400" s="572"/>
      <c r="G400" s="555"/>
      <c r="H400" s="551"/>
      <c r="I400" s="552"/>
    </row>
    <row r="401">
      <c r="B401" s="308"/>
      <c r="C401" s="253"/>
      <c r="D401" s="598"/>
      <c r="E401" s="555"/>
      <c r="F401" s="572"/>
      <c r="G401" s="555"/>
      <c r="H401" s="551"/>
      <c r="I401" s="552"/>
    </row>
    <row r="402">
      <c r="B402" s="308"/>
      <c r="C402" s="253"/>
      <c r="D402" s="598"/>
      <c r="E402" s="555"/>
      <c r="F402" s="572"/>
      <c r="G402" s="555"/>
      <c r="H402" s="551"/>
      <c r="I402" s="552"/>
    </row>
    <row r="403">
      <c r="B403" s="308"/>
      <c r="C403" s="253"/>
      <c r="D403" s="598"/>
      <c r="E403" s="555"/>
      <c r="F403" s="572"/>
      <c r="G403" s="555"/>
      <c r="H403" s="551"/>
      <c r="I403" s="552"/>
    </row>
    <row r="404">
      <c r="B404" s="308"/>
      <c r="C404" s="253"/>
      <c r="D404" s="598"/>
      <c r="E404" s="555"/>
      <c r="F404" s="572"/>
      <c r="G404" s="555"/>
      <c r="H404" s="551"/>
      <c r="I404" s="552"/>
    </row>
    <row r="405">
      <c r="B405" s="308"/>
      <c r="C405" s="253"/>
      <c r="D405" s="598"/>
      <c r="E405" s="555"/>
      <c r="F405" s="572"/>
      <c r="G405" s="555"/>
      <c r="H405" s="551"/>
      <c r="I405" s="552"/>
    </row>
    <row r="406">
      <c r="B406" s="308"/>
      <c r="C406" s="253"/>
      <c r="D406" s="598"/>
      <c r="E406" s="555"/>
      <c r="F406" s="572"/>
      <c r="G406" s="555"/>
      <c r="H406" s="551"/>
      <c r="I406" s="552"/>
    </row>
    <row r="407">
      <c r="B407" s="308"/>
      <c r="C407" s="253"/>
      <c r="D407" s="598"/>
      <c r="E407" s="555"/>
      <c r="F407" s="572"/>
      <c r="G407" s="555"/>
      <c r="H407" s="551"/>
      <c r="I407" s="552"/>
    </row>
    <row r="408">
      <c r="B408" s="308"/>
      <c r="C408" s="253"/>
      <c r="D408" s="598"/>
      <c r="E408" s="555"/>
      <c r="F408" s="572"/>
      <c r="G408" s="555"/>
      <c r="H408" s="551"/>
      <c r="I408" s="552"/>
    </row>
    <row r="409">
      <c r="B409" s="308"/>
      <c r="C409" s="253"/>
      <c r="D409" s="598"/>
      <c r="E409" s="555"/>
      <c r="F409" s="572"/>
      <c r="G409" s="555"/>
      <c r="H409" s="551"/>
      <c r="I409" s="552"/>
    </row>
    <row r="410">
      <c r="B410" s="308"/>
      <c r="C410" s="253"/>
      <c r="D410" s="598"/>
      <c r="E410" s="555"/>
      <c r="F410" s="572"/>
      <c r="G410" s="555"/>
      <c r="H410" s="551"/>
      <c r="I410" s="552"/>
    </row>
    <row r="411">
      <c r="B411" s="308"/>
      <c r="C411" s="253"/>
      <c r="D411" s="598"/>
      <c r="E411" s="555"/>
      <c r="F411" s="572"/>
      <c r="G411" s="555"/>
      <c r="H411" s="551"/>
      <c r="I411" s="552"/>
    </row>
    <row r="412">
      <c r="B412" s="308"/>
      <c r="C412" s="253"/>
      <c r="D412" s="598"/>
      <c r="E412" s="555"/>
      <c r="F412" s="572"/>
      <c r="G412" s="555"/>
      <c r="H412" s="551"/>
      <c r="I412" s="552"/>
    </row>
    <row r="413">
      <c r="B413" s="308"/>
      <c r="C413" s="253"/>
      <c r="D413" s="598"/>
      <c r="E413" s="555"/>
      <c r="F413" s="572"/>
      <c r="G413" s="555"/>
      <c r="H413" s="551"/>
      <c r="I413" s="552"/>
    </row>
    <row r="414">
      <c r="B414" s="308"/>
      <c r="C414" s="253"/>
      <c r="D414" s="598"/>
      <c r="E414" s="555"/>
      <c r="F414" s="572"/>
      <c r="G414" s="555"/>
      <c r="H414" s="551"/>
      <c r="I414" s="552"/>
    </row>
    <row r="415">
      <c r="B415" s="308"/>
      <c r="C415" s="253"/>
      <c r="D415" s="598"/>
      <c r="E415" s="555"/>
      <c r="F415" s="572"/>
      <c r="G415" s="555"/>
      <c r="H415" s="551"/>
      <c r="I415" s="552"/>
    </row>
    <row r="416">
      <c r="B416" s="308"/>
      <c r="C416" s="253"/>
      <c r="D416" s="598"/>
      <c r="E416" s="555"/>
      <c r="F416" s="572"/>
      <c r="G416" s="555"/>
      <c r="H416" s="551"/>
      <c r="I416" s="552"/>
    </row>
    <row r="417">
      <c r="B417" s="308"/>
      <c r="C417" s="253"/>
      <c r="D417" s="598"/>
      <c r="E417" s="555"/>
      <c r="F417" s="572"/>
      <c r="G417" s="555"/>
      <c r="H417" s="551"/>
      <c r="I417" s="552"/>
    </row>
    <row r="418">
      <c r="B418" s="308"/>
      <c r="C418" s="253"/>
      <c r="D418" s="598"/>
      <c r="E418" s="555"/>
      <c r="F418" s="572"/>
      <c r="G418" s="555"/>
      <c r="H418" s="551"/>
      <c r="I418" s="552"/>
    </row>
    <row r="419">
      <c r="B419" s="308"/>
      <c r="C419" s="253"/>
      <c r="D419" s="598"/>
      <c r="E419" s="555"/>
      <c r="F419" s="572"/>
      <c r="G419" s="555"/>
      <c r="H419" s="551"/>
      <c r="I419" s="552"/>
    </row>
    <row r="420">
      <c r="B420" s="308"/>
      <c r="C420" s="253"/>
      <c r="D420" s="598"/>
      <c r="E420" s="555"/>
      <c r="F420" s="572"/>
      <c r="G420" s="555"/>
      <c r="H420" s="551"/>
      <c r="I420" s="552"/>
    </row>
    <row r="421">
      <c r="B421" s="308"/>
      <c r="C421" s="253"/>
      <c r="D421" s="598"/>
      <c r="E421" s="555"/>
      <c r="F421" s="572"/>
      <c r="G421" s="555"/>
      <c r="H421" s="551"/>
      <c r="I421" s="552"/>
    </row>
    <row r="422">
      <c r="B422" s="308"/>
      <c r="C422" s="253"/>
      <c r="D422" s="598"/>
      <c r="E422" s="555"/>
      <c r="F422" s="572"/>
      <c r="G422" s="555"/>
      <c r="H422" s="551"/>
      <c r="I422" s="552"/>
    </row>
    <row r="423">
      <c r="B423" s="308"/>
      <c r="C423" s="253"/>
      <c r="D423" s="598"/>
      <c r="E423" s="555"/>
      <c r="F423" s="572"/>
      <c r="G423" s="555"/>
      <c r="H423" s="551"/>
      <c r="I423" s="552"/>
    </row>
    <row r="424">
      <c r="B424" s="308"/>
      <c r="C424" s="253"/>
      <c r="D424" s="598"/>
      <c r="E424" s="555"/>
      <c r="F424" s="572"/>
      <c r="G424" s="555"/>
      <c r="H424" s="551"/>
      <c r="I424" s="552"/>
    </row>
    <row r="425">
      <c r="B425" s="308"/>
      <c r="C425" s="253"/>
      <c r="D425" s="598"/>
      <c r="E425" s="555"/>
      <c r="F425" s="572"/>
      <c r="G425" s="555"/>
      <c r="H425" s="551"/>
      <c r="I425" s="552"/>
    </row>
    <row r="426">
      <c r="B426" s="308"/>
      <c r="C426" s="253"/>
      <c r="D426" s="598"/>
      <c r="E426" s="555"/>
      <c r="F426" s="572"/>
      <c r="G426" s="555"/>
      <c r="H426" s="551"/>
      <c r="I426" s="552"/>
    </row>
    <row r="427">
      <c r="B427" s="308"/>
      <c r="C427" s="253"/>
      <c r="D427" s="598"/>
      <c r="E427" s="555"/>
      <c r="F427" s="572"/>
      <c r="G427" s="555"/>
      <c r="H427" s="551"/>
      <c r="I427" s="552"/>
    </row>
    <row r="428">
      <c r="B428" s="308"/>
      <c r="C428" s="253"/>
      <c r="D428" s="598"/>
      <c r="E428" s="555"/>
      <c r="F428" s="572"/>
      <c r="G428" s="555"/>
      <c r="H428" s="551"/>
      <c r="I428" s="552"/>
    </row>
    <row r="429">
      <c r="B429" s="308"/>
      <c r="C429" s="253"/>
      <c r="D429" s="598"/>
      <c r="E429" s="555"/>
      <c r="F429" s="572"/>
      <c r="G429" s="555"/>
      <c r="H429" s="551"/>
      <c r="I429" s="552"/>
    </row>
    <row r="430">
      <c r="B430" s="308"/>
      <c r="C430" s="253"/>
      <c r="D430" s="598"/>
      <c r="E430" s="555"/>
      <c r="F430" s="572"/>
      <c r="G430" s="555"/>
      <c r="H430" s="551"/>
      <c r="I430" s="552"/>
    </row>
    <row r="431">
      <c r="B431" s="308"/>
      <c r="C431" s="253"/>
      <c r="D431" s="598"/>
      <c r="E431" s="555"/>
      <c r="F431" s="572"/>
      <c r="G431" s="555"/>
      <c r="H431" s="551"/>
      <c r="I431" s="552"/>
    </row>
    <row r="432">
      <c r="B432" s="308"/>
      <c r="C432" s="253"/>
      <c r="D432" s="598"/>
      <c r="E432" s="555"/>
      <c r="F432" s="572"/>
      <c r="G432" s="555"/>
      <c r="H432" s="551"/>
      <c r="I432" s="552"/>
    </row>
    <row r="433">
      <c r="B433" s="308"/>
      <c r="C433" s="253"/>
      <c r="D433" s="598"/>
      <c r="E433" s="555"/>
      <c r="F433" s="572"/>
      <c r="G433" s="555"/>
      <c r="H433" s="551"/>
      <c r="I433" s="552"/>
    </row>
    <row r="434">
      <c r="B434" s="308"/>
      <c r="C434" s="253"/>
      <c r="D434" s="598"/>
      <c r="E434" s="555"/>
      <c r="F434" s="572"/>
      <c r="G434" s="555"/>
      <c r="H434" s="551"/>
      <c r="I434" s="552"/>
    </row>
    <row r="435">
      <c r="B435" s="308"/>
      <c r="C435" s="253"/>
      <c r="D435" s="598"/>
      <c r="E435" s="555"/>
      <c r="F435" s="572"/>
      <c r="G435" s="555"/>
      <c r="H435" s="551"/>
      <c r="I435" s="552"/>
    </row>
    <row r="436">
      <c r="B436" s="308"/>
      <c r="C436" s="253"/>
      <c r="D436" s="598"/>
      <c r="E436" s="555"/>
      <c r="F436" s="572"/>
      <c r="G436" s="555"/>
      <c r="H436" s="551"/>
      <c r="I436" s="552"/>
    </row>
    <row r="437">
      <c r="B437" s="308"/>
      <c r="C437" s="253"/>
      <c r="D437" s="598"/>
      <c r="E437" s="555"/>
      <c r="F437" s="572"/>
      <c r="G437" s="555"/>
      <c r="H437" s="551"/>
      <c r="I437" s="552"/>
    </row>
    <row r="438">
      <c r="B438" s="308"/>
      <c r="C438" s="253"/>
      <c r="D438" s="598"/>
      <c r="E438" s="555"/>
      <c r="F438" s="572"/>
      <c r="G438" s="555"/>
      <c r="H438" s="551"/>
      <c r="I438" s="552"/>
    </row>
    <row r="439">
      <c r="B439" s="308"/>
      <c r="C439" s="253"/>
      <c r="D439" s="598"/>
      <c r="E439" s="555"/>
      <c r="F439" s="572"/>
      <c r="G439" s="555"/>
      <c r="H439" s="551"/>
      <c r="I439" s="552"/>
    </row>
    <row r="440">
      <c r="B440" s="308"/>
      <c r="C440" s="253"/>
      <c r="D440" s="598"/>
      <c r="E440" s="555"/>
      <c r="F440" s="572"/>
      <c r="G440" s="555"/>
      <c r="H440" s="551"/>
      <c r="I440" s="552"/>
    </row>
    <row r="441">
      <c r="B441" s="308"/>
      <c r="C441" s="253"/>
      <c r="D441" s="598"/>
      <c r="E441" s="555"/>
      <c r="F441" s="572"/>
      <c r="G441" s="555"/>
      <c r="H441" s="551"/>
      <c r="I441" s="552"/>
    </row>
    <row r="442">
      <c r="B442" s="308"/>
      <c r="C442" s="253"/>
      <c r="D442" s="598"/>
      <c r="E442" s="555"/>
      <c r="F442" s="572"/>
      <c r="G442" s="555"/>
      <c r="H442" s="551"/>
      <c r="I442" s="552"/>
    </row>
    <row r="443">
      <c r="B443" s="308"/>
      <c r="C443" s="253"/>
      <c r="D443" s="598"/>
      <c r="E443" s="555"/>
      <c r="F443" s="572"/>
      <c r="G443" s="555"/>
      <c r="H443" s="551"/>
      <c r="I443" s="552"/>
    </row>
    <row r="444">
      <c r="B444" s="308"/>
      <c r="C444" s="253"/>
      <c r="D444" s="598"/>
      <c r="E444" s="555"/>
      <c r="F444" s="572"/>
      <c r="G444" s="555"/>
      <c r="H444" s="551"/>
      <c r="I444" s="552"/>
    </row>
    <row r="445">
      <c r="B445" s="308"/>
      <c r="C445" s="253"/>
      <c r="D445" s="598"/>
      <c r="E445" s="555"/>
      <c r="F445" s="572"/>
      <c r="G445" s="555"/>
      <c r="H445" s="551"/>
      <c r="I445" s="552"/>
    </row>
    <row r="446">
      <c r="B446" s="308"/>
      <c r="C446" s="253"/>
      <c r="D446" s="598"/>
      <c r="E446" s="555"/>
      <c r="F446" s="572"/>
      <c r="G446" s="555"/>
      <c r="H446" s="551"/>
      <c r="I446" s="552"/>
    </row>
    <row r="447">
      <c r="B447" s="308"/>
      <c r="C447" s="253"/>
      <c r="D447" s="598"/>
      <c r="E447" s="555"/>
      <c r="F447" s="572"/>
      <c r="G447" s="555"/>
      <c r="H447" s="551"/>
      <c r="I447" s="552"/>
    </row>
    <row r="448">
      <c r="B448" s="308"/>
      <c r="C448" s="253"/>
      <c r="D448" s="598"/>
      <c r="E448" s="555"/>
      <c r="F448" s="572"/>
      <c r="G448" s="555"/>
      <c r="H448" s="551"/>
      <c r="I448" s="552"/>
    </row>
    <row r="449">
      <c r="B449" s="308"/>
      <c r="C449" s="253"/>
      <c r="D449" s="598"/>
      <c r="E449" s="555"/>
      <c r="F449" s="572"/>
      <c r="G449" s="555"/>
      <c r="H449" s="551"/>
      <c r="I449" s="552"/>
    </row>
    <row r="450">
      <c r="B450" s="308"/>
      <c r="C450" s="253"/>
      <c r="D450" s="598"/>
      <c r="E450" s="555"/>
      <c r="F450" s="572"/>
      <c r="G450" s="555"/>
      <c r="H450" s="551"/>
      <c r="I450" s="552"/>
    </row>
    <row r="451">
      <c r="B451" s="308"/>
      <c r="C451" s="253"/>
      <c r="D451" s="598"/>
      <c r="E451" s="555"/>
      <c r="F451" s="572"/>
      <c r="G451" s="555"/>
      <c r="H451" s="551"/>
      <c r="I451" s="552"/>
    </row>
    <row r="452">
      <c r="B452" s="308"/>
      <c r="C452" s="253"/>
      <c r="D452" s="598"/>
      <c r="E452" s="555"/>
      <c r="F452" s="572"/>
      <c r="G452" s="555"/>
      <c r="H452" s="551"/>
      <c r="I452" s="552"/>
    </row>
    <row r="453">
      <c r="B453" s="308"/>
      <c r="C453" s="253"/>
      <c r="D453" s="598"/>
      <c r="E453" s="555"/>
      <c r="F453" s="572"/>
      <c r="G453" s="555"/>
      <c r="H453" s="551"/>
      <c r="I453" s="552"/>
    </row>
    <row r="454">
      <c r="B454" s="308"/>
      <c r="C454" s="253"/>
      <c r="D454" s="598"/>
      <c r="E454" s="555"/>
      <c r="F454" s="572"/>
      <c r="G454" s="555"/>
      <c r="H454" s="551"/>
      <c r="I454" s="552"/>
    </row>
    <row r="455">
      <c r="B455" s="308"/>
      <c r="C455" s="253"/>
      <c r="D455" s="598"/>
      <c r="E455" s="555"/>
      <c r="F455" s="572"/>
      <c r="G455" s="555"/>
      <c r="H455" s="551"/>
      <c r="I455" s="552"/>
    </row>
    <row r="456">
      <c r="B456" s="308"/>
      <c r="C456" s="253"/>
      <c r="D456" s="598"/>
      <c r="E456" s="555"/>
      <c r="F456" s="572"/>
      <c r="G456" s="555"/>
      <c r="H456" s="551"/>
      <c r="I456" s="552"/>
    </row>
    <row r="457">
      <c r="B457" s="308"/>
      <c r="C457" s="253"/>
      <c r="D457" s="598"/>
      <c r="E457" s="555"/>
      <c r="F457" s="572"/>
      <c r="G457" s="555"/>
      <c r="H457" s="551"/>
      <c r="I457" s="552"/>
    </row>
    <row r="458">
      <c r="B458" s="308"/>
      <c r="C458" s="253"/>
      <c r="D458" s="598"/>
      <c r="E458" s="555"/>
      <c r="F458" s="572"/>
      <c r="G458" s="555"/>
      <c r="H458" s="551"/>
      <c r="I458" s="552"/>
    </row>
    <row r="459">
      <c r="B459" s="308"/>
      <c r="C459" s="253"/>
      <c r="D459" s="598"/>
      <c r="E459" s="555"/>
      <c r="F459" s="572"/>
      <c r="G459" s="555"/>
      <c r="H459" s="551"/>
      <c r="I459" s="552"/>
    </row>
    <row r="460">
      <c r="B460" s="308"/>
      <c r="C460" s="253"/>
      <c r="D460" s="598"/>
      <c r="E460" s="555"/>
      <c r="F460" s="572"/>
      <c r="G460" s="555"/>
      <c r="H460" s="551"/>
      <c r="I460" s="552"/>
    </row>
    <row r="461">
      <c r="B461" s="308"/>
      <c r="C461" s="253"/>
      <c r="D461" s="598"/>
      <c r="E461" s="555"/>
      <c r="F461" s="572"/>
      <c r="G461" s="555"/>
      <c r="H461" s="551"/>
      <c r="I461" s="552"/>
    </row>
    <row r="462">
      <c r="B462" s="308"/>
      <c r="C462" s="253"/>
      <c r="D462" s="598"/>
      <c r="E462" s="555"/>
      <c r="F462" s="572"/>
      <c r="G462" s="555"/>
      <c r="H462" s="551"/>
      <c r="I462" s="552"/>
    </row>
    <row r="463">
      <c r="B463" s="308"/>
      <c r="C463" s="253"/>
      <c r="D463" s="598"/>
      <c r="E463" s="555"/>
      <c r="F463" s="572"/>
      <c r="G463" s="555"/>
      <c r="H463" s="551"/>
      <c r="I463" s="552"/>
    </row>
    <row r="464">
      <c r="B464" s="308"/>
      <c r="C464" s="253"/>
      <c r="D464" s="598"/>
      <c r="E464" s="555"/>
      <c r="F464" s="572"/>
      <c r="G464" s="555"/>
      <c r="H464" s="551"/>
      <c r="I464" s="552"/>
    </row>
    <row r="465">
      <c r="B465" s="308"/>
      <c r="C465" s="253"/>
      <c r="D465" s="598"/>
      <c r="E465" s="555"/>
      <c r="F465" s="572"/>
      <c r="G465" s="555"/>
      <c r="H465" s="551"/>
      <c r="I465" s="552"/>
    </row>
    <row r="466">
      <c r="B466" s="308"/>
      <c r="C466" s="253"/>
      <c r="D466" s="598"/>
      <c r="E466" s="555"/>
      <c r="F466" s="572"/>
      <c r="G466" s="555"/>
      <c r="H466" s="551"/>
      <c r="I466" s="552"/>
    </row>
    <row r="467">
      <c r="B467" s="308"/>
      <c r="C467" s="253"/>
      <c r="D467" s="598"/>
      <c r="E467" s="555"/>
      <c r="F467" s="572"/>
      <c r="G467" s="555"/>
      <c r="H467" s="551"/>
      <c r="I467" s="552"/>
    </row>
    <row r="468">
      <c r="B468" s="308"/>
      <c r="C468" s="253"/>
      <c r="D468" s="598"/>
      <c r="E468" s="555"/>
      <c r="F468" s="572"/>
      <c r="G468" s="555"/>
      <c r="H468" s="551"/>
      <c r="I468" s="552"/>
    </row>
    <row r="469">
      <c r="B469" s="308"/>
      <c r="C469" s="253"/>
      <c r="D469" s="598"/>
      <c r="E469" s="555"/>
      <c r="F469" s="572"/>
      <c r="G469" s="555"/>
      <c r="H469" s="551"/>
      <c r="I469" s="552"/>
    </row>
    <row r="470">
      <c r="B470" s="308"/>
      <c r="C470" s="253"/>
      <c r="D470" s="598"/>
      <c r="E470" s="555"/>
      <c r="F470" s="572"/>
      <c r="G470" s="555"/>
      <c r="H470" s="551"/>
      <c r="I470" s="552"/>
    </row>
    <row r="471">
      <c r="B471" s="308"/>
      <c r="C471" s="253"/>
      <c r="D471" s="598"/>
      <c r="E471" s="555"/>
      <c r="F471" s="572"/>
      <c r="G471" s="555"/>
      <c r="H471" s="551"/>
      <c r="I471" s="552"/>
    </row>
    <row r="472">
      <c r="B472" s="308"/>
      <c r="C472" s="253"/>
      <c r="D472" s="598"/>
      <c r="E472" s="555"/>
      <c r="F472" s="572"/>
      <c r="G472" s="555"/>
      <c r="H472" s="551"/>
      <c r="I472" s="552"/>
    </row>
    <row r="473">
      <c r="B473" s="308"/>
      <c r="C473" s="253"/>
      <c r="D473" s="598"/>
      <c r="E473" s="555"/>
      <c r="F473" s="572"/>
      <c r="G473" s="555"/>
      <c r="H473" s="551"/>
      <c r="I473" s="552"/>
    </row>
    <row r="474">
      <c r="B474" s="308"/>
      <c r="C474" s="253"/>
      <c r="D474" s="598"/>
      <c r="E474" s="555"/>
      <c r="F474" s="572"/>
      <c r="G474" s="555"/>
      <c r="H474" s="551"/>
      <c r="I474" s="552"/>
    </row>
    <row r="475">
      <c r="B475" s="308"/>
      <c r="C475" s="253"/>
      <c r="D475" s="598"/>
      <c r="E475" s="555"/>
      <c r="F475" s="572"/>
      <c r="G475" s="555"/>
      <c r="H475" s="551"/>
      <c r="I475" s="552"/>
    </row>
    <row r="476">
      <c r="B476" s="308"/>
      <c r="C476" s="253"/>
      <c r="D476" s="598"/>
      <c r="E476" s="555"/>
      <c r="F476" s="572"/>
      <c r="G476" s="555"/>
      <c r="H476" s="551"/>
      <c r="I476" s="552"/>
    </row>
    <row r="477">
      <c r="B477" s="308"/>
      <c r="C477" s="253"/>
      <c r="D477" s="598"/>
      <c r="E477" s="555"/>
      <c r="F477" s="572"/>
      <c r="G477" s="555"/>
      <c r="H477" s="551"/>
      <c r="I477" s="552"/>
    </row>
    <row r="478">
      <c r="B478" s="308"/>
      <c r="C478" s="253"/>
      <c r="D478" s="598"/>
      <c r="E478" s="555"/>
      <c r="F478" s="572"/>
      <c r="G478" s="555"/>
      <c r="H478" s="551"/>
      <c r="I478" s="552"/>
    </row>
    <row r="479">
      <c r="B479" s="308"/>
      <c r="C479" s="253"/>
      <c r="D479" s="598"/>
      <c r="E479" s="555"/>
      <c r="F479" s="572"/>
      <c r="G479" s="555"/>
      <c r="H479" s="551"/>
      <c r="I479" s="552"/>
    </row>
    <row r="480">
      <c r="B480" s="308"/>
      <c r="C480" s="253"/>
      <c r="D480" s="598"/>
      <c r="E480" s="555"/>
      <c r="F480" s="572"/>
      <c r="G480" s="555"/>
      <c r="H480" s="551"/>
      <c r="I480" s="552"/>
    </row>
    <row r="481">
      <c r="B481" s="308"/>
      <c r="C481" s="253"/>
      <c r="D481" s="598"/>
      <c r="E481" s="555"/>
      <c r="F481" s="572"/>
      <c r="G481" s="555"/>
      <c r="H481" s="551"/>
      <c r="I481" s="552"/>
    </row>
    <row r="482">
      <c r="B482" s="308"/>
      <c r="C482" s="253"/>
      <c r="D482" s="598"/>
      <c r="E482" s="555"/>
      <c r="F482" s="572"/>
      <c r="G482" s="555"/>
      <c r="H482" s="551"/>
      <c r="I482" s="552"/>
    </row>
    <row r="483">
      <c r="B483" s="308"/>
      <c r="C483" s="253"/>
      <c r="D483" s="598"/>
      <c r="E483" s="555"/>
      <c r="F483" s="572"/>
      <c r="G483" s="555"/>
      <c r="H483" s="551"/>
      <c r="I483" s="552"/>
    </row>
    <row r="484">
      <c r="B484" s="308"/>
      <c r="C484" s="253"/>
      <c r="D484" s="598"/>
      <c r="E484" s="555"/>
      <c r="F484" s="572"/>
      <c r="G484" s="555"/>
      <c r="H484" s="551"/>
      <c r="I484" s="552"/>
    </row>
    <row r="485">
      <c r="B485" s="308"/>
      <c r="C485" s="253"/>
      <c r="D485" s="598"/>
      <c r="E485" s="555"/>
      <c r="F485" s="572"/>
      <c r="G485" s="555"/>
      <c r="H485" s="551"/>
      <c r="I485" s="552"/>
    </row>
    <row r="486">
      <c r="B486" s="308"/>
      <c r="C486" s="253"/>
      <c r="D486" s="598"/>
      <c r="E486" s="555"/>
      <c r="F486" s="572"/>
      <c r="G486" s="555"/>
      <c r="H486" s="551"/>
      <c r="I486" s="552"/>
    </row>
    <row r="487">
      <c r="B487" s="308"/>
      <c r="C487" s="253"/>
      <c r="D487" s="598"/>
      <c r="E487" s="555"/>
      <c r="F487" s="572"/>
      <c r="G487" s="555"/>
      <c r="H487" s="551"/>
      <c r="I487" s="552"/>
    </row>
    <row r="488">
      <c r="B488" s="308"/>
      <c r="C488" s="253"/>
      <c r="D488" s="598"/>
      <c r="E488" s="555"/>
      <c r="F488" s="572"/>
      <c r="G488" s="555"/>
      <c r="H488" s="551"/>
      <c r="I488" s="552"/>
    </row>
    <row r="489">
      <c r="B489" s="308"/>
      <c r="C489" s="253"/>
      <c r="D489" s="598"/>
      <c r="E489" s="555"/>
      <c r="F489" s="572"/>
      <c r="G489" s="555"/>
      <c r="H489" s="551"/>
      <c r="I489" s="552"/>
    </row>
    <row r="490">
      <c r="B490" s="308"/>
      <c r="C490" s="253"/>
      <c r="D490" s="598"/>
      <c r="E490" s="555"/>
      <c r="F490" s="572"/>
      <c r="G490" s="555"/>
      <c r="H490" s="551"/>
      <c r="I490" s="552"/>
    </row>
    <row r="491">
      <c r="B491" s="308"/>
      <c r="C491" s="253"/>
      <c r="D491" s="598"/>
      <c r="E491" s="555"/>
      <c r="F491" s="572"/>
      <c r="G491" s="555"/>
      <c r="H491" s="551"/>
      <c r="I491" s="552"/>
    </row>
    <row r="492">
      <c r="B492" s="308"/>
      <c r="C492" s="253"/>
      <c r="D492" s="598"/>
      <c r="E492" s="555"/>
      <c r="F492" s="572"/>
      <c r="G492" s="555"/>
      <c r="H492" s="551"/>
      <c r="I492" s="552"/>
    </row>
    <row r="493">
      <c r="B493" s="308"/>
      <c r="C493" s="253"/>
      <c r="D493" s="598"/>
      <c r="E493" s="555"/>
      <c r="F493" s="572"/>
      <c r="G493" s="555"/>
      <c r="H493" s="551"/>
      <c r="I493" s="552"/>
    </row>
    <row r="494">
      <c r="B494" s="308"/>
      <c r="C494" s="253"/>
      <c r="D494" s="598"/>
      <c r="E494" s="555"/>
      <c r="F494" s="572"/>
      <c r="G494" s="555"/>
      <c r="H494" s="551"/>
      <c r="I494" s="552"/>
    </row>
    <row r="495">
      <c r="B495" s="308"/>
      <c r="C495" s="253"/>
      <c r="D495" s="598"/>
      <c r="E495" s="555"/>
      <c r="F495" s="572"/>
      <c r="G495" s="555"/>
      <c r="H495" s="551"/>
      <c r="I495" s="552"/>
    </row>
    <row r="496">
      <c r="B496" s="308"/>
      <c r="C496" s="253"/>
      <c r="D496" s="598"/>
      <c r="E496" s="555"/>
      <c r="F496" s="572"/>
      <c r="G496" s="555"/>
      <c r="H496" s="551"/>
      <c r="I496" s="552"/>
    </row>
    <row r="497">
      <c r="B497" s="308"/>
      <c r="C497" s="253"/>
      <c r="D497" s="598"/>
      <c r="E497" s="555"/>
      <c r="F497" s="572"/>
      <c r="G497" s="555"/>
      <c r="H497" s="551"/>
      <c r="I497" s="552"/>
    </row>
    <row r="498">
      <c r="B498" s="308"/>
      <c r="C498" s="253"/>
      <c r="D498" s="598"/>
      <c r="E498" s="555"/>
      <c r="F498" s="572"/>
      <c r="G498" s="555"/>
      <c r="H498" s="551"/>
      <c r="I498" s="552"/>
    </row>
    <row r="499">
      <c r="B499" s="308"/>
      <c r="C499" s="253"/>
      <c r="D499" s="598"/>
      <c r="E499" s="555"/>
      <c r="F499" s="572"/>
      <c r="G499" s="555"/>
      <c r="H499" s="551"/>
      <c r="I499" s="552"/>
    </row>
    <row r="500">
      <c r="B500" s="308"/>
      <c r="C500" s="253"/>
      <c r="D500" s="598"/>
      <c r="E500" s="555"/>
      <c r="F500" s="572"/>
      <c r="G500" s="555"/>
      <c r="H500" s="551"/>
      <c r="I500" s="552"/>
    </row>
    <row r="501">
      <c r="B501" s="308"/>
      <c r="C501" s="253"/>
      <c r="D501" s="598"/>
      <c r="E501" s="555"/>
      <c r="F501" s="572"/>
      <c r="G501" s="555"/>
      <c r="H501" s="551"/>
      <c r="I501" s="552"/>
    </row>
    <row r="502">
      <c r="B502" s="308"/>
      <c r="C502" s="253"/>
      <c r="D502" s="598"/>
      <c r="E502" s="555"/>
      <c r="F502" s="572"/>
      <c r="G502" s="555"/>
      <c r="H502" s="551"/>
      <c r="I502" s="552"/>
    </row>
    <row r="503">
      <c r="B503" s="308"/>
      <c r="C503" s="253"/>
      <c r="D503" s="598"/>
      <c r="E503" s="555"/>
      <c r="F503" s="572"/>
      <c r="G503" s="555"/>
      <c r="H503" s="551"/>
      <c r="I503" s="552"/>
    </row>
    <row r="504">
      <c r="B504" s="308"/>
      <c r="C504" s="253"/>
      <c r="D504" s="598"/>
      <c r="E504" s="555"/>
      <c r="F504" s="572"/>
      <c r="G504" s="555"/>
      <c r="H504" s="551"/>
      <c r="I504" s="552"/>
    </row>
    <row r="505">
      <c r="B505" s="308"/>
      <c r="C505" s="253"/>
      <c r="D505" s="598"/>
      <c r="E505" s="555"/>
      <c r="F505" s="572"/>
      <c r="G505" s="555"/>
      <c r="H505" s="551"/>
      <c r="I505" s="552"/>
    </row>
    <row r="506">
      <c r="B506" s="308"/>
      <c r="C506" s="253"/>
      <c r="D506" s="598"/>
      <c r="E506" s="555"/>
      <c r="F506" s="572"/>
      <c r="G506" s="555"/>
      <c r="H506" s="551"/>
      <c r="I506" s="552"/>
    </row>
    <row r="507">
      <c r="B507" s="308"/>
      <c r="C507" s="253"/>
      <c r="D507" s="598"/>
      <c r="E507" s="555"/>
      <c r="F507" s="572"/>
      <c r="G507" s="555"/>
      <c r="H507" s="551"/>
      <c r="I507" s="552"/>
    </row>
    <row r="508">
      <c r="B508" s="308"/>
      <c r="C508" s="253"/>
      <c r="D508" s="598"/>
      <c r="E508" s="555"/>
      <c r="F508" s="572"/>
      <c r="G508" s="555"/>
      <c r="H508" s="551"/>
      <c r="I508" s="552"/>
    </row>
    <row r="509">
      <c r="B509" s="308"/>
      <c r="C509" s="253"/>
      <c r="D509" s="598"/>
      <c r="E509" s="555"/>
      <c r="F509" s="572"/>
      <c r="G509" s="555"/>
      <c r="H509" s="551"/>
      <c r="I509" s="552"/>
    </row>
    <row r="510">
      <c r="B510" s="308"/>
      <c r="C510" s="253"/>
      <c r="D510" s="598"/>
      <c r="E510" s="555"/>
      <c r="F510" s="572"/>
      <c r="G510" s="555"/>
      <c r="H510" s="551"/>
      <c r="I510" s="552"/>
    </row>
    <row r="511">
      <c r="B511" s="308"/>
      <c r="C511" s="253"/>
      <c r="D511" s="598"/>
      <c r="E511" s="555"/>
      <c r="F511" s="572"/>
      <c r="G511" s="555"/>
      <c r="H511" s="551"/>
      <c r="I511" s="552"/>
    </row>
    <row r="512">
      <c r="B512" s="308"/>
      <c r="C512" s="253"/>
      <c r="D512" s="598"/>
      <c r="E512" s="555"/>
      <c r="F512" s="572"/>
      <c r="G512" s="555"/>
      <c r="H512" s="551"/>
      <c r="I512" s="552"/>
    </row>
    <row r="513">
      <c r="B513" s="308"/>
      <c r="C513" s="253"/>
      <c r="D513" s="598"/>
      <c r="E513" s="555"/>
      <c r="F513" s="572"/>
      <c r="G513" s="555"/>
      <c r="H513" s="551"/>
      <c r="I513" s="552"/>
    </row>
    <row r="514">
      <c r="B514" s="308"/>
      <c r="C514" s="253"/>
      <c r="D514" s="598"/>
      <c r="E514" s="555"/>
      <c r="F514" s="572"/>
      <c r="G514" s="555"/>
      <c r="H514" s="551"/>
      <c r="I514" s="552"/>
    </row>
    <row r="515">
      <c r="B515" s="308"/>
      <c r="C515" s="253"/>
      <c r="D515" s="598"/>
      <c r="E515" s="555"/>
      <c r="F515" s="572"/>
      <c r="G515" s="555"/>
      <c r="H515" s="551"/>
      <c r="I515" s="552"/>
    </row>
    <row r="516">
      <c r="B516" s="308"/>
      <c r="C516" s="253"/>
      <c r="D516" s="598"/>
      <c r="E516" s="555"/>
      <c r="F516" s="572"/>
      <c r="G516" s="555"/>
      <c r="H516" s="551"/>
      <c r="I516" s="552"/>
    </row>
  </sheetData>
  <autoFilter ref="$E$65"/>
  <mergeCells count="33">
    <mergeCell ref="A2:A7"/>
    <mergeCell ref="A8:A14"/>
    <mergeCell ref="A15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70:A174"/>
    <mergeCell ref="A176:A180"/>
    <mergeCell ref="A181:A185"/>
    <mergeCell ref="A186:A190"/>
    <mergeCell ref="A197:A206"/>
    <mergeCell ref="A128:A133"/>
    <mergeCell ref="A134:A139"/>
    <mergeCell ref="A140:A144"/>
    <mergeCell ref="A146:A151"/>
    <mergeCell ref="A152:A156"/>
    <mergeCell ref="A158:A162"/>
    <mergeCell ref="A164:A16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5" max="5" width="5.5"/>
    <col customWidth="1" min="7" max="7" width="17.88"/>
    <col customWidth="1" min="8" max="8" width="14.0"/>
  </cols>
  <sheetData>
    <row r="1" ht="27.0" customHeight="1">
      <c r="A1" s="635" t="s">
        <v>39</v>
      </c>
      <c r="B1" s="636"/>
      <c r="C1" s="636"/>
      <c r="D1" s="636"/>
      <c r="E1" s="636"/>
      <c r="F1" s="636"/>
      <c r="G1" s="636"/>
      <c r="H1" s="636"/>
      <c r="I1" s="636"/>
      <c r="J1" s="637"/>
      <c r="M1" s="4"/>
      <c r="N1" s="4"/>
    </row>
    <row r="2">
      <c r="A2" s="638" t="s">
        <v>2265</v>
      </c>
      <c r="B2" s="636"/>
      <c r="C2" s="636"/>
      <c r="D2" s="636"/>
      <c r="E2" s="636"/>
      <c r="F2" s="636"/>
      <c r="G2" s="636"/>
      <c r="H2" s="636"/>
      <c r="I2" s="252"/>
      <c r="J2" s="252"/>
      <c r="M2" s="4"/>
      <c r="N2" s="4"/>
    </row>
    <row r="3">
      <c r="A3" s="639" t="s">
        <v>2266</v>
      </c>
      <c r="B3" s="639" t="s">
        <v>2267</v>
      </c>
      <c r="C3" s="639" t="s">
        <v>2268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641" t="s">
        <v>2274</v>
      </c>
      <c r="M3" s="4"/>
      <c r="N3" s="642"/>
    </row>
    <row r="4">
      <c r="A4" s="643" t="s">
        <v>2275</v>
      </c>
      <c r="B4" s="644"/>
      <c r="C4" s="644"/>
      <c r="D4" s="643">
        <v>647683.57</v>
      </c>
      <c r="E4" s="645" t="b">
        <v>1</v>
      </c>
      <c r="F4" s="646" t="str">
        <f t="shared" ref="F4:F34" si="1">IF(E4,"PAGADO","ADEUDA")</f>
        <v>PAGADO</v>
      </c>
      <c r="G4" s="340" t="s">
        <v>2276</v>
      </c>
      <c r="H4" s="646" t="str">
        <f t="shared" ref="H4:H34" si="2">IF(C4&lt;TODAY(),"VENCIDA",IF(C4=TODAY(),"VENCE HOY",IF(C4&gt;TODAY(),"VIGENTE")))</f>
        <v>VENCIDA</v>
      </c>
      <c r="I4" s="647">
        <f>TODAY()-C4</f>
        <v>46167</v>
      </c>
      <c r="J4" s="648" t="b">
        <v>0</v>
      </c>
      <c r="M4" s="4"/>
      <c r="N4" s="642"/>
    </row>
    <row r="5">
      <c r="A5" s="643" t="s">
        <v>2277</v>
      </c>
      <c r="B5" s="644">
        <v>45782.0</v>
      </c>
      <c r="C5" s="644"/>
      <c r="D5" s="649">
        <v>506809.15</v>
      </c>
      <c r="E5" s="645" t="b">
        <v>1</v>
      </c>
      <c r="F5" s="646" t="str">
        <f t="shared" si="1"/>
        <v>PAGADO</v>
      </c>
      <c r="G5" s="340" t="s">
        <v>2278</v>
      </c>
      <c r="H5" s="646" t="str">
        <f t="shared" si="2"/>
        <v>VENCIDA</v>
      </c>
      <c r="I5" s="647">
        <f t="shared" ref="I5:I10" si="3">TODAY()-B5</f>
        <v>385</v>
      </c>
      <c r="J5" s="648" t="b">
        <v>0</v>
      </c>
      <c r="K5" s="2" t="s">
        <v>2279</v>
      </c>
      <c r="M5" s="4"/>
    </row>
    <row r="6">
      <c r="A6" s="643" t="s">
        <v>2280</v>
      </c>
      <c r="B6" s="644">
        <v>45782.0</v>
      </c>
      <c r="C6" s="644"/>
      <c r="D6" s="650">
        <v>180334.64</v>
      </c>
      <c r="E6" s="645" t="b">
        <v>0</v>
      </c>
      <c r="F6" s="646" t="str">
        <f t="shared" si="1"/>
        <v>ADEUDA</v>
      </c>
      <c r="G6" s="340" t="s">
        <v>2278</v>
      </c>
      <c r="H6" s="646" t="str">
        <f t="shared" si="2"/>
        <v>VENCIDA</v>
      </c>
      <c r="I6" s="647">
        <f t="shared" si="3"/>
        <v>385</v>
      </c>
      <c r="J6" s="648" t="b">
        <v>0</v>
      </c>
      <c r="M6" s="4"/>
    </row>
    <row r="7">
      <c r="A7" s="643" t="s">
        <v>2281</v>
      </c>
      <c r="B7" s="644">
        <v>45812.0</v>
      </c>
      <c r="C7" s="644"/>
      <c r="D7" s="643">
        <v>200101.71</v>
      </c>
      <c r="E7" s="645" t="b">
        <v>0</v>
      </c>
      <c r="F7" s="646" t="str">
        <f t="shared" si="1"/>
        <v>ADEUDA</v>
      </c>
      <c r="G7" s="340" t="s">
        <v>2278</v>
      </c>
      <c r="H7" s="646" t="str">
        <f t="shared" si="2"/>
        <v>VENCIDA</v>
      </c>
      <c r="I7" s="647">
        <f t="shared" si="3"/>
        <v>355</v>
      </c>
      <c r="J7" s="648" t="b">
        <v>0</v>
      </c>
      <c r="K7" s="2"/>
      <c r="M7" s="4"/>
    </row>
    <row r="8">
      <c r="A8" s="643" t="s">
        <v>2282</v>
      </c>
      <c r="B8" s="644">
        <v>45784.0</v>
      </c>
      <c r="C8" s="644"/>
      <c r="D8" s="643">
        <v>136330.63</v>
      </c>
      <c r="E8" s="645" t="b">
        <v>1</v>
      </c>
      <c r="F8" s="646" t="str">
        <f t="shared" si="1"/>
        <v>PAGADO</v>
      </c>
      <c r="G8" s="340" t="s">
        <v>2278</v>
      </c>
      <c r="H8" s="646" t="str">
        <f t="shared" si="2"/>
        <v>VENCIDA</v>
      </c>
      <c r="I8" s="647">
        <f t="shared" si="3"/>
        <v>383</v>
      </c>
      <c r="J8" s="648" t="b">
        <v>0</v>
      </c>
      <c r="K8" s="2" t="s">
        <v>2283</v>
      </c>
      <c r="M8" s="4"/>
    </row>
    <row r="9">
      <c r="A9" s="643" t="s">
        <v>2284</v>
      </c>
      <c r="B9" s="644">
        <v>45800.0</v>
      </c>
      <c r="C9" s="644">
        <v>45800.0</v>
      </c>
      <c r="D9" s="643">
        <v>63493.8</v>
      </c>
      <c r="E9" s="645" t="b">
        <v>0</v>
      </c>
      <c r="F9" s="646" t="str">
        <f t="shared" si="1"/>
        <v>ADEUDA</v>
      </c>
      <c r="G9" s="340" t="s">
        <v>2278</v>
      </c>
      <c r="H9" s="646" t="str">
        <f t="shared" si="2"/>
        <v>VENCIDA</v>
      </c>
      <c r="I9" s="647">
        <f t="shared" si="3"/>
        <v>367</v>
      </c>
      <c r="J9" s="648" t="b">
        <v>0</v>
      </c>
      <c r="M9" s="4"/>
    </row>
    <row r="10">
      <c r="A10" s="643" t="s">
        <v>2284</v>
      </c>
      <c r="B10" s="644">
        <v>45800.0</v>
      </c>
      <c r="C10" s="644">
        <v>45800.0</v>
      </c>
      <c r="D10" s="643">
        <v>169649.0</v>
      </c>
      <c r="E10" s="645" t="b">
        <v>0</v>
      </c>
      <c r="F10" s="646" t="str">
        <f t="shared" si="1"/>
        <v>ADEUDA</v>
      </c>
      <c r="G10" s="340" t="s">
        <v>2278</v>
      </c>
      <c r="H10" s="646" t="str">
        <f t="shared" si="2"/>
        <v>VENCIDA</v>
      </c>
      <c r="I10" s="647">
        <f t="shared" si="3"/>
        <v>367</v>
      </c>
      <c r="J10" s="648" t="b">
        <v>0</v>
      </c>
      <c r="M10" s="4"/>
    </row>
    <row r="11">
      <c r="A11" s="643" t="s">
        <v>1666</v>
      </c>
      <c r="B11" s="644">
        <v>45790.0</v>
      </c>
      <c r="C11" s="644"/>
      <c r="D11" s="643">
        <v>142244.6</v>
      </c>
      <c r="E11" s="645" t="b">
        <v>0</v>
      </c>
      <c r="F11" s="646" t="str">
        <f t="shared" si="1"/>
        <v>ADEUDA</v>
      </c>
      <c r="G11" s="340" t="s">
        <v>2278</v>
      </c>
      <c r="H11" s="646" t="str">
        <f t="shared" si="2"/>
        <v>VENCIDA</v>
      </c>
      <c r="I11" s="647">
        <f t="shared" ref="I11:I34" si="4">TODAY()-C11</f>
        <v>46167</v>
      </c>
      <c r="J11" s="648" t="b">
        <v>0</v>
      </c>
      <c r="M11" s="4"/>
    </row>
    <row r="12">
      <c r="A12" s="643" t="s">
        <v>2285</v>
      </c>
      <c r="B12" s="644">
        <v>45800.0</v>
      </c>
      <c r="C12" s="644">
        <v>45800.0</v>
      </c>
      <c r="D12" s="643">
        <v>72423.77</v>
      </c>
      <c r="E12" s="645" t="b">
        <v>1</v>
      </c>
      <c r="F12" s="646" t="str">
        <f t="shared" si="1"/>
        <v>PAGADO</v>
      </c>
      <c r="G12" s="340" t="s">
        <v>2276</v>
      </c>
      <c r="H12" s="646" t="str">
        <f t="shared" si="2"/>
        <v>VENCIDA</v>
      </c>
      <c r="I12" s="647">
        <f t="shared" si="4"/>
        <v>367</v>
      </c>
      <c r="J12" s="648" t="b">
        <v>0</v>
      </c>
      <c r="M12" s="4"/>
    </row>
    <row r="13">
      <c r="A13" s="643" t="s">
        <v>199</v>
      </c>
      <c r="B13" s="644"/>
      <c r="C13" s="643"/>
      <c r="D13" s="643">
        <v>64082.92</v>
      </c>
      <c r="E13" s="645" t="b">
        <v>1</v>
      </c>
      <c r="F13" s="646" t="str">
        <f t="shared" si="1"/>
        <v>PAGADO</v>
      </c>
      <c r="G13" s="340" t="s">
        <v>2276</v>
      </c>
      <c r="H13" s="646" t="str">
        <f t="shared" si="2"/>
        <v>VENCIDA</v>
      </c>
      <c r="I13" s="651">
        <f t="shared" si="4"/>
        <v>46167</v>
      </c>
      <c r="J13" s="648" t="b">
        <v>0</v>
      </c>
      <c r="M13" s="4"/>
    </row>
    <row r="14">
      <c r="A14" s="643" t="s">
        <v>200</v>
      </c>
      <c r="B14" s="644"/>
      <c r="C14" s="643"/>
      <c r="D14" s="643">
        <v>124484.47</v>
      </c>
      <c r="E14" s="645" t="b">
        <v>1</v>
      </c>
      <c r="F14" s="646" t="str">
        <f t="shared" si="1"/>
        <v>PAGADO</v>
      </c>
      <c r="G14" s="340" t="s">
        <v>2286</v>
      </c>
      <c r="H14" s="646" t="str">
        <f t="shared" si="2"/>
        <v>VENCIDA</v>
      </c>
      <c r="I14" s="651">
        <f t="shared" si="4"/>
        <v>46167</v>
      </c>
      <c r="J14" s="652" t="b">
        <v>1</v>
      </c>
      <c r="M14" s="4"/>
    </row>
    <row r="15">
      <c r="A15" s="643" t="s">
        <v>201</v>
      </c>
      <c r="B15" s="644"/>
      <c r="C15" s="643"/>
      <c r="D15" s="643">
        <v>84785.15</v>
      </c>
      <c r="E15" s="645" t="b">
        <v>0</v>
      </c>
      <c r="F15" s="646" t="str">
        <f t="shared" si="1"/>
        <v>ADEUDA</v>
      </c>
      <c r="G15" s="340" t="s">
        <v>2278</v>
      </c>
      <c r="H15" s="646" t="str">
        <f t="shared" si="2"/>
        <v>VENCIDA</v>
      </c>
      <c r="I15" s="651">
        <f t="shared" si="4"/>
        <v>46167</v>
      </c>
      <c r="J15" s="648" t="b">
        <v>0</v>
      </c>
      <c r="M15" s="4"/>
    </row>
    <row r="16">
      <c r="A16" s="643" t="s">
        <v>192</v>
      </c>
      <c r="B16" s="644">
        <v>45782.0</v>
      </c>
      <c r="C16" s="644">
        <v>45787.0</v>
      </c>
      <c r="D16" s="643">
        <v>726000.0</v>
      </c>
      <c r="E16" s="645" t="b">
        <v>1</v>
      </c>
      <c r="F16" s="646" t="str">
        <f t="shared" si="1"/>
        <v>PAGADO</v>
      </c>
      <c r="G16" s="340" t="s">
        <v>2278</v>
      </c>
      <c r="H16" s="646" t="str">
        <f t="shared" si="2"/>
        <v>VENCIDA</v>
      </c>
      <c r="I16" s="647">
        <f t="shared" si="4"/>
        <v>380</v>
      </c>
      <c r="J16" s="648" t="b">
        <v>0</v>
      </c>
      <c r="M16" s="4"/>
    </row>
    <row r="17">
      <c r="A17" s="643" t="s">
        <v>193</v>
      </c>
      <c r="B17" s="644">
        <v>45782.0</v>
      </c>
      <c r="C17" s="644">
        <v>45787.0</v>
      </c>
      <c r="D17" s="643">
        <v>700000.0</v>
      </c>
      <c r="E17" s="645" t="b">
        <v>1</v>
      </c>
      <c r="F17" s="646" t="str">
        <f t="shared" si="1"/>
        <v>PAGADO</v>
      </c>
      <c r="G17" s="340" t="s">
        <v>2287</v>
      </c>
      <c r="H17" s="646" t="str">
        <f t="shared" si="2"/>
        <v>VENCIDA</v>
      </c>
      <c r="I17" s="647">
        <f t="shared" si="4"/>
        <v>380</v>
      </c>
      <c r="J17" s="648" t="b">
        <v>0</v>
      </c>
      <c r="K17" s="2" t="s">
        <v>2288</v>
      </c>
      <c r="M17" s="4"/>
    </row>
    <row r="18">
      <c r="A18" s="643" t="s">
        <v>194</v>
      </c>
      <c r="B18" s="644">
        <v>45804.0</v>
      </c>
      <c r="C18" s="643"/>
      <c r="D18" s="643">
        <v>668023.0</v>
      </c>
      <c r="E18" s="645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51">
        <f t="shared" si="4"/>
        <v>46167</v>
      </c>
      <c r="J18" s="648" t="b">
        <v>0</v>
      </c>
      <c r="M18" s="4"/>
    </row>
    <row r="19">
      <c r="A19" s="643" t="s">
        <v>2289</v>
      </c>
      <c r="B19" s="644"/>
      <c r="C19" s="643"/>
      <c r="D19" s="643"/>
      <c r="E19" s="645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51">
        <f t="shared" si="4"/>
        <v>46167</v>
      </c>
      <c r="J19" s="648" t="b">
        <v>0</v>
      </c>
    </row>
    <row r="20">
      <c r="A20" s="643" t="s">
        <v>196</v>
      </c>
      <c r="B20" s="644">
        <v>45782.0</v>
      </c>
      <c r="C20" s="644">
        <v>45782.0</v>
      </c>
      <c r="D20" s="643">
        <v>136000.0</v>
      </c>
      <c r="E20" s="645" t="b">
        <v>1</v>
      </c>
      <c r="F20" s="646" t="str">
        <f t="shared" si="1"/>
        <v>PAGADO</v>
      </c>
      <c r="G20" s="340" t="s">
        <v>2278</v>
      </c>
      <c r="H20" s="646" t="str">
        <f t="shared" si="2"/>
        <v>VENCIDA</v>
      </c>
      <c r="I20" s="647">
        <f t="shared" si="4"/>
        <v>385</v>
      </c>
      <c r="J20" s="648" t="b">
        <v>0</v>
      </c>
    </row>
    <row r="21">
      <c r="A21" s="643" t="s">
        <v>2290</v>
      </c>
      <c r="B21" s="644"/>
      <c r="C21" s="643"/>
      <c r="D21" s="653"/>
      <c r="E21" s="654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51">
        <f t="shared" si="4"/>
        <v>46167</v>
      </c>
      <c r="J21" s="655" t="b">
        <v>0</v>
      </c>
    </row>
    <row r="22">
      <c r="A22" s="643" t="s">
        <v>2291</v>
      </c>
      <c r="B22" s="644">
        <v>45821.0</v>
      </c>
      <c r="C22" s="643"/>
      <c r="D22" s="653">
        <v>1421469.19</v>
      </c>
      <c r="E22" s="654" t="b">
        <v>0</v>
      </c>
      <c r="F22" s="646" t="str">
        <f t="shared" si="1"/>
        <v>ADEUDA</v>
      </c>
      <c r="G22" s="340" t="s">
        <v>2292</v>
      </c>
      <c r="H22" s="646" t="str">
        <f t="shared" si="2"/>
        <v>VENCIDA</v>
      </c>
      <c r="I22" s="651">
        <f t="shared" si="4"/>
        <v>46167</v>
      </c>
      <c r="J22" s="655" t="b">
        <v>0</v>
      </c>
    </row>
    <row r="23">
      <c r="A23" s="643" t="s">
        <v>2293</v>
      </c>
      <c r="B23" s="644"/>
      <c r="C23" s="643"/>
      <c r="D23" s="643">
        <v>65087.59</v>
      </c>
      <c r="E23" s="654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51">
        <f t="shared" si="4"/>
        <v>46167</v>
      </c>
      <c r="J23" s="655" t="b">
        <v>0</v>
      </c>
    </row>
    <row r="24">
      <c r="A24" s="643" t="s">
        <v>2294</v>
      </c>
      <c r="B24" s="644"/>
      <c r="C24" s="643"/>
      <c r="D24" s="643">
        <v>52070.07</v>
      </c>
      <c r="E24" s="654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51">
        <f t="shared" si="4"/>
        <v>46167</v>
      </c>
      <c r="J24" s="655" t="b">
        <v>0</v>
      </c>
    </row>
    <row r="25">
      <c r="A25" s="643" t="s">
        <v>2295</v>
      </c>
      <c r="B25" s="644"/>
      <c r="C25" s="643"/>
      <c r="D25" s="643">
        <v>52070.07</v>
      </c>
      <c r="E25" s="654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51">
        <f t="shared" si="4"/>
        <v>46167</v>
      </c>
      <c r="J25" s="655" t="b">
        <v>0</v>
      </c>
    </row>
    <row r="26">
      <c r="A26" s="643" t="s">
        <v>2296</v>
      </c>
      <c r="B26" s="644">
        <v>45799.0</v>
      </c>
      <c r="C26" s="643"/>
      <c r="D26" s="643">
        <v>500000.0</v>
      </c>
      <c r="E26" s="645" t="b">
        <v>1</v>
      </c>
      <c r="F26" s="646" t="str">
        <f t="shared" si="1"/>
        <v>PAGADO</v>
      </c>
      <c r="G26" s="340" t="s">
        <v>2292</v>
      </c>
      <c r="H26" s="646" t="str">
        <f t="shared" si="2"/>
        <v>VENCIDA</v>
      </c>
      <c r="I26" s="651">
        <f t="shared" si="4"/>
        <v>46167</v>
      </c>
      <c r="J26" s="656" t="b">
        <v>0</v>
      </c>
      <c r="K26" s="657" t="s">
        <v>2297</v>
      </c>
    </row>
    <row r="27">
      <c r="A27" s="643" t="s">
        <v>2298</v>
      </c>
      <c r="B27" s="644">
        <v>45793.0</v>
      </c>
      <c r="C27" s="644">
        <v>45803.0</v>
      </c>
      <c r="D27" s="643">
        <v>901550.45</v>
      </c>
      <c r="E27" s="645" t="b">
        <v>1</v>
      </c>
      <c r="F27" s="646" t="str">
        <f t="shared" si="1"/>
        <v>PAGADO</v>
      </c>
      <c r="G27" s="340" t="s">
        <v>2286</v>
      </c>
      <c r="H27" s="646" t="str">
        <f t="shared" si="2"/>
        <v>VENCIDA</v>
      </c>
      <c r="I27" s="647">
        <f t="shared" si="4"/>
        <v>364</v>
      </c>
      <c r="J27" s="652" t="b">
        <v>1</v>
      </c>
    </row>
    <row r="28">
      <c r="A28" s="643" t="s">
        <v>209</v>
      </c>
      <c r="B28" s="644">
        <v>45786.0</v>
      </c>
      <c r="C28" s="644">
        <v>45787.0</v>
      </c>
      <c r="D28" s="643">
        <v>142499.15</v>
      </c>
      <c r="E28" s="645" t="b">
        <v>1</v>
      </c>
      <c r="F28" s="646" t="str">
        <f t="shared" si="1"/>
        <v>PAGADO</v>
      </c>
      <c r="G28" s="340" t="s">
        <v>2278</v>
      </c>
      <c r="H28" s="646" t="str">
        <f t="shared" si="2"/>
        <v>VENCIDA</v>
      </c>
      <c r="I28" s="647">
        <f t="shared" si="4"/>
        <v>380</v>
      </c>
      <c r="J28" s="656" t="b">
        <v>0</v>
      </c>
    </row>
    <row r="29">
      <c r="A29" s="643" t="s">
        <v>2299</v>
      </c>
      <c r="B29" s="644"/>
      <c r="C29" s="643"/>
      <c r="D29" s="643">
        <v>51340.68</v>
      </c>
      <c r="E29" s="645" t="b">
        <v>1</v>
      </c>
      <c r="F29" s="646" t="str">
        <f t="shared" si="1"/>
        <v>PAGADO</v>
      </c>
      <c r="G29" s="340" t="s">
        <v>2278</v>
      </c>
      <c r="H29" s="646" t="str">
        <f t="shared" si="2"/>
        <v>VENCIDA</v>
      </c>
      <c r="I29" s="651">
        <f t="shared" si="4"/>
        <v>46167</v>
      </c>
      <c r="J29" s="656" t="b">
        <v>0</v>
      </c>
    </row>
    <row r="30">
      <c r="A30" s="643" t="s">
        <v>2300</v>
      </c>
      <c r="B30" s="644"/>
      <c r="C30" s="643"/>
      <c r="D30" s="643">
        <v>44197.12</v>
      </c>
      <c r="E30" s="645" t="b">
        <v>1</v>
      </c>
      <c r="F30" s="646" t="str">
        <f t="shared" si="1"/>
        <v>PAGADO</v>
      </c>
      <c r="G30" s="340" t="s">
        <v>2292</v>
      </c>
      <c r="H30" s="646" t="str">
        <f t="shared" si="2"/>
        <v>VENCIDA</v>
      </c>
      <c r="I30" s="651">
        <f t="shared" si="4"/>
        <v>46167</v>
      </c>
      <c r="J30" s="656" t="b">
        <v>0</v>
      </c>
    </row>
    <row r="31">
      <c r="A31" s="643"/>
      <c r="B31" s="644"/>
      <c r="C31" s="643"/>
      <c r="D31" s="643"/>
      <c r="E31" s="658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51">
        <f t="shared" si="4"/>
        <v>46167</v>
      </c>
      <c r="J31" s="656" t="b">
        <v>0</v>
      </c>
    </row>
    <row r="32">
      <c r="A32" s="643"/>
      <c r="B32" s="644"/>
      <c r="C32" s="643"/>
      <c r="D32" s="643"/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51">
        <f t="shared" si="4"/>
        <v>46167</v>
      </c>
      <c r="J32" s="656" t="b">
        <v>0</v>
      </c>
    </row>
    <row r="33">
      <c r="A33" s="643"/>
      <c r="B33" s="644"/>
      <c r="C33" s="643"/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51">
        <f t="shared" si="4"/>
        <v>46167</v>
      </c>
      <c r="J33" s="656" t="b">
        <v>0</v>
      </c>
    </row>
    <row r="34">
      <c r="A34" s="644"/>
      <c r="B34" s="644"/>
      <c r="C34" s="643"/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51">
        <f t="shared" si="4"/>
        <v>46167</v>
      </c>
      <c r="J34" s="656" t="b">
        <v>0</v>
      </c>
    </row>
    <row r="35" ht="42.0" customHeight="1">
      <c r="A35" s="635" t="s">
        <v>41</v>
      </c>
      <c r="B35" s="636"/>
      <c r="C35" s="636"/>
      <c r="D35" s="636"/>
      <c r="E35" s="636"/>
      <c r="F35" s="636"/>
      <c r="G35" s="636"/>
      <c r="H35" s="636"/>
      <c r="I35" s="636"/>
      <c r="J35" s="637"/>
    </row>
    <row r="36">
      <c r="A36" s="638" t="s">
        <v>2265</v>
      </c>
      <c r="B36" s="636"/>
      <c r="C36" s="636"/>
      <c r="D36" s="636"/>
      <c r="E36" s="636"/>
      <c r="F36" s="636"/>
      <c r="G36" s="636"/>
      <c r="H36" s="636"/>
      <c r="I36" s="252"/>
      <c r="J36" s="252"/>
    </row>
    <row r="37">
      <c r="A37" s="639" t="s">
        <v>2266</v>
      </c>
      <c r="B37" s="639" t="s">
        <v>2267</v>
      </c>
      <c r="C37" s="639" t="s">
        <v>2268</v>
      </c>
      <c r="D37" s="639" t="s">
        <v>2269</v>
      </c>
      <c r="E37" s="640" t="s">
        <v>2270</v>
      </c>
      <c r="F37" s="637"/>
      <c r="G37" s="639" t="s">
        <v>2271</v>
      </c>
      <c r="H37" s="641" t="s">
        <v>2272</v>
      </c>
      <c r="I37" s="641" t="s">
        <v>2273</v>
      </c>
      <c r="J37" s="641" t="s">
        <v>2274</v>
      </c>
    </row>
    <row r="38">
      <c r="A38" s="643" t="s">
        <v>2275</v>
      </c>
      <c r="B38" s="644"/>
      <c r="C38" s="644"/>
      <c r="D38" s="643">
        <v>582623.0</v>
      </c>
      <c r="E38" s="645" t="b">
        <v>1</v>
      </c>
      <c r="F38" s="646" t="str">
        <f t="shared" ref="F38:F66" si="5">IF(E38,"PAGADO","ADEUDA")</f>
        <v>PAGADO</v>
      </c>
      <c r="G38" s="340" t="s">
        <v>2278</v>
      </c>
      <c r="H38" s="646" t="str">
        <f t="shared" ref="H38:H66" si="6">IF(C38&lt;TODAY(),"VENCIDA",IF(C38=TODAY(),"VENCE HOY",IF(C38&gt;TODAY(),"VIGENTE")))</f>
        <v>VENCIDA</v>
      </c>
      <c r="I38" s="647">
        <f>TODAY()-C38</f>
        <v>46167</v>
      </c>
      <c r="J38" s="648" t="b">
        <v>0</v>
      </c>
      <c r="K38" s="2" t="s">
        <v>2301</v>
      </c>
    </row>
    <row r="39">
      <c r="A39" s="643" t="s">
        <v>2280</v>
      </c>
      <c r="B39" s="644">
        <v>45782.0</v>
      </c>
      <c r="C39" s="644"/>
      <c r="D39" s="650">
        <v>180334.64</v>
      </c>
      <c r="E39" s="645" t="b">
        <v>1</v>
      </c>
      <c r="F39" s="646" t="str">
        <f t="shared" si="5"/>
        <v>PAGADO</v>
      </c>
      <c r="G39" s="340" t="s">
        <v>2278</v>
      </c>
      <c r="H39" s="646" t="str">
        <f t="shared" si="6"/>
        <v>VENCIDA</v>
      </c>
      <c r="I39" s="647">
        <f t="shared" ref="I39:I43" si="7">TODAY()-B39</f>
        <v>385</v>
      </c>
      <c r="J39" s="648" t="b">
        <v>0</v>
      </c>
    </row>
    <row r="40">
      <c r="A40" s="643" t="s">
        <v>2281</v>
      </c>
      <c r="B40" s="644">
        <v>45812.0</v>
      </c>
      <c r="C40" s="644"/>
      <c r="D40" s="643">
        <v>200101.71</v>
      </c>
      <c r="E40" s="645" t="b">
        <v>1</v>
      </c>
      <c r="F40" s="646" t="str">
        <f t="shared" si="5"/>
        <v>PAGADO</v>
      </c>
      <c r="G40" s="340" t="s">
        <v>2278</v>
      </c>
      <c r="H40" s="646" t="str">
        <f t="shared" si="6"/>
        <v>VENCIDA</v>
      </c>
      <c r="I40" s="647">
        <f t="shared" si="7"/>
        <v>355</v>
      </c>
      <c r="J40" s="648" t="b">
        <v>0</v>
      </c>
    </row>
    <row r="41">
      <c r="A41" s="643" t="s">
        <v>2302</v>
      </c>
      <c r="B41" s="644">
        <v>45784.0</v>
      </c>
      <c r="C41" s="644"/>
      <c r="D41" s="643">
        <v>136330.63</v>
      </c>
      <c r="E41" s="645" t="b">
        <v>0</v>
      </c>
      <c r="F41" s="646" t="str">
        <f t="shared" si="5"/>
        <v>ADEUDA</v>
      </c>
      <c r="G41" s="340" t="s">
        <v>2278</v>
      </c>
      <c r="H41" s="646" t="str">
        <f t="shared" si="6"/>
        <v>VENCIDA</v>
      </c>
      <c r="I41" s="647">
        <f t="shared" si="7"/>
        <v>383</v>
      </c>
      <c r="J41" s="648" t="b">
        <v>0</v>
      </c>
    </row>
    <row r="42">
      <c r="A42" s="643" t="s">
        <v>2284</v>
      </c>
      <c r="B42" s="644">
        <v>45800.0</v>
      </c>
      <c r="C42" s="644">
        <v>45800.0</v>
      </c>
      <c r="D42" s="643">
        <v>63493.8</v>
      </c>
      <c r="E42" s="645" t="b">
        <v>0</v>
      </c>
      <c r="F42" s="646" t="str">
        <f t="shared" si="5"/>
        <v>ADEUDA</v>
      </c>
      <c r="G42" s="340" t="s">
        <v>2278</v>
      </c>
      <c r="H42" s="646" t="str">
        <f t="shared" si="6"/>
        <v>VENCIDA</v>
      </c>
      <c r="I42" s="647">
        <f t="shared" si="7"/>
        <v>367</v>
      </c>
      <c r="J42" s="648" t="b">
        <v>0</v>
      </c>
    </row>
    <row r="43">
      <c r="A43" s="643" t="s">
        <v>2284</v>
      </c>
      <c r="B43" s="644">
        <v>45800.0</v>
      </c>
      <c r="C43" s="644">
        <v>45800.0</v>
      </c>
      <c r="D43" s="643">
        <v>169649.0</v>
      </c>
      <c r="E43" s="645" t="b">
        <v>0</v>
      </c>
      <c r="F43" s="646" t="str">
        <f t="shared" si="5"/>
        <v>ADEUDA</v>
      </c>
      <c r="G43" s="340" t="s">
        <v>2278</v>
      </c>
      <c r="H43" s="646" t="str">
        <f t="shared" si="6"/>
        <v>VENCIDA</v>
      </c>
      <c r="I43" s="647">
        <f t="shared" si="7"/>
        <v>367</v>
      </c>
      <c r="J43" s="648" t="b">
        <v>0</v>
      </c>
    </row>
    <row r="44">
      <c r="A44" s="643" t="s">
        <v>1666</v>
      </c>
      <c r="B44" s="644"/>
      <c r="C44" s="644"/>
      <c r="D44" s="643">
        <v>142244.6</v>
      </c>
      <c r="E44" s="645" t="b">
        <v>1</v>
      </c>
      <c r="F44" s="646" t="str">
        <f t="shared" si="5"/>
        <v>PAGADO</v>
      </c>
      <c r="G44" s="340" t="s">
        <v>2278</v>
      </c>
      <c r="H44" s="646" t="str">
        <f t="shared" si="6"/>
        <v>VENCIDA</v>
      </c>
      <c r="I44" s="647">
        <f t="shared" ref="I44:I66" si="8">TODAY()-C44</f>
        <v>46167</v>
      </c>
      <c r="J44" s="648" t="b">
        <v>0</v>
      </c>
    </row>
    <row r="45">
      <c r="A45" s="643" t="s">
        <v>2285</v>
      </c>
      <c r="B45" s="644"/>
      <c r="C45" s="644"/>
      <c r="D45" s="643">
        <v>72423.77</v>
      </c>
      <c r="E45" s="645" t="b">
        <v>1</v>
      </c>
      <c r="F45" s="646" t="str">
        <f t="shared" si="5"/>
        <v>PAGADO</v>
      </c>
      <c r="G45" s="340" t="s">
        <v>2276</v>
      </c>
      <c r="H45" s="646" t="str">
        <f t="shared" si="6"/>
        <v>VENCIDA</v>
      </c>
      <c r="I45" s="647">
        <f t="shared" si="8"/>
        <v>46167</v>
      </c>
      <c r="J45" s="648" t="b">
        <v>0</v>
      </c>
    </row>
    <row r="46">
      <c r="A46" s="643" t="s">
        <v>199</v>
      </c>
      <c r="B46" s="644"/>
      <c r="C46" s="643"/>
      <c r="D46" s="643">
        <v>64082.92</v>
      </c>
      <c r="E46" s="645" t="b">
        <v>0</v>
      </c>
      <c r="F46" s="646" t="str">
        <f t="shared" si="5"/>
        <v>ADEUDA</v>
      </c>
      <c r="G46" s="340" t="s">
        <v>2276</v>
      </c>
      <c r="H46" s="646" t="str">
        <f t="shared" si="6"/>
        <v>VENCIDA</v>
      </c>
      <c r="I46" s="651">
        <f t="shared" si="8"/>
        <v>46167</v>
      </c>
      <c r="J46" s="648" t="b">
        <v>0</v>
      </c>
    </row>
    <row r="47">
      <c r="A47" s="643" t="s">
        <v>200</v>
      </c>
      <c r="B47" s="644"/>
      <c r="C47" s="643"/>
      <c r="D47" s="643">
        <v>124484.47</v>
      </c>
      <c r="E47" s="645" t="b">
        <v>1</v>
      </c>
      <c r="F47" s="646" t="str">
        <f t="shared" si="5"/>
        <v>PAGADO</v>
      </c>
      <c r="G47" s="340" t="s">
        <v>2286</v>
      </c>
      <c r="H47" s="646" t="str">
        <f t="shared" si="6"/>
        <v>VENCIDA</v>
      </c>
      <c r="I47" s="651">
        <f t="shared" si="8"/>
        <v>46167</v>
      </c>
      <c r="J47" s="652" t="b">
        <v>1</v>
      </c>
    </row>
    <row r="48">
      <c r="A48" s="643" t="s">
        <v>201</v>
      </c>
      <c r="B48" s="644"/>
      <c r="C48" s="643"/>
      <c r="D48" s="643">
        <v>84785.15</v>
      </c>
      <c r="E48" s="645" t="b">
        <v>0</v>
      </c>
      <c r="F48" s="646" t="str">
        <f t="shared" si="5"/>
        <v>ADEUDA</v>
      </c>
      <c r="G48" s="340" t="s">
        <v>2278</v>
      </c>
      <c r="H48" s="646" t="str">
        <f t="shared" si="6"/>
        <v>VENCIDA</v>
      </c>
      <c r="I48" s="651">
        <f t="shared" si="8"/>
        <v>46167</v>
      </c>
      <c r="J48" s="648" t="b">
        <v>0</v>
      </c>
    </row>
    <row r="49">
      <c r="A49" s="643" t="s">
        <v>192</v>
      </c>
      <c r="B49" s="644"/>
      <c r="C49" s="644"/>
      <c r="D49" s="643">
        <v>726000.0</v>
      </c>
      <c r="E49" s="645" t="b">
        <v>1</v>
      </c>
      <c r="F49" s="646" t="str">
        <f t="shared" si="5"/>
        <v>PAGADO</v>
      </c>
      <c r="G49" s="340" t="s">
        <v>2278</v>
      </c>
      <c r="H49" s="646" t="str">
        <f t="shared" si="6"/>
        <v>VENCIDA</v>
      </c>
      <c r="I49" s="647">
        <f t="shared" si="8"/>
        <v>46167</v>
      </c>
      <c r="J49" s="648" t="b">
        <v>0</v>
      </c>
    </row>
    <row r="50">
      <c r="A50" s="643" t="s">
        <v>193</v>
      </c>
      <c r="B50" s="644"/>
      <c r="C50" s="644"/>
      <c r="D50" s="643">
        <v>700000.0</v>
      </c>
      <c r="E50" s="645" t="b">
        <v>1</v>
      </c>
      <c r="F50" s="646" t="str">
        <f t="shared" si="5"/>
        <v>PAGADO</v>
      </c>
      <c r="G50" s="340" t="s">
        <v>2287</v>
      </c>
      <c r="H50" s="646" t="str">
        <f t="shared" si="6"/>
        <v>VENCIDA</v>
      </c>
      <c r="I50" s="647">
        <f t="shared" si="8"/>
        <v>46167</v>
      </c>
      <c r="J50" s="648" t="b">
        <v>0</v>
      </c>
    </row>
    <row r="51">
      <c r="A51" s="643" t="s">
        <v>194</v>
      </c>
      <c r="B51" s="644">
        <v>45835.0</v>
      </c>
      <c r="C51" s="643"/>
      <c r="D51" s="643">
        <v>78850.0</v>
      </c>
      <c r="E51" s="645" t="b">
        <v>0</v>
      </c>
      <c r="F51" s="646" t="str">
        <f t="shared" si="5"/>
        <v>ADEUDA</v>
      </c>
      <c r="G51" s="340" t="s">
        <v>2278</v>
      </c>
      <c r="H51" s="646" t="str">
        <f t="shared" si="6"/>
        <v>VENCIDA</v>
      </c>
      <c r="I51" s="651">
        <f t="shared" si="8"/>
        <v>46167</v>
      </c>
      <c r="J51" s="648" t="b">
        <v>0</v>
      </c>
    </row>
    <row r="52">
      <c r="A52" s="643" t="s">
        <v>2289</v>
      </c>
      <c r="B52" s="644"/>
      <c r="C52" s="643"/>
      <c r="D52" s="643"/>
      <c r="E52" s="645" t="b">
        <v>0</v>
      </c>
      <c r="F52" s="646" t="str">
        <f t="shared" si="5"/>
        <v>ADEUDA</v>
      </c>
      <c r="G52" s="340" t="s">
        <v>2278</v>
      </c>
      <c r="H52" s="646" t="str">
        <f t="shared" si="6"/>
        <v>VENCIDA</v>
      </c>
      <c r="I52" s="651">
        <f t="shared" si="8"/>
        <v>46167</v>
      </c>
      <c r="J52" s="648" t="b">
        <v>0</v>
      </c>
    </row>
    <row r="53">
      <c r="A53" s="643" t="s">
        <v>196</v>
      </c>
      <c r="B53" s="644"/>
      <c r="C53" s="644"/>
      <c r="D53" s="643">
        <v>136000.0</v>
      </c>
      <c r="E53" s="645" t="b">
        <v>1</v>
      </c>
      <c r="F53" s="646" t="str">
        <f t="shared" si="5"/>
        <v>PAGADO</v>
      </c>
      <c r="G53" s="340" t="s">
        <v>2278</v>
      </c>
      <c r="H53" s="646" t="str">
        <f t="shared" si="6"/>
        <v>VENCIDA</v>
      </c>
      <c r="I53" s="647">
        <f t="shared" si="8"/>
        <v>46167</v>
      </c>
      <c r="J53" s="648" t="b">
        <v>0</v>
      </c>
    </row>
    <row r="54">
      <c r="A54" s="643" t="s">
        <v>2290</v>
      </c>
      <c r="B54" s="644"/>
      <c r="C54" s="643"/>
      <c r="D54" s="653"/>
      <c r="E54" s="654" t="b">
        <v>0</v>
      </c>
      <c r="F54" s="646" t="str">
        <f t="shared" si="5"/>
        <v>ADEUDA</v>
      </c>
      <c r="G54" s="340" t="s">
        <v>2278</v>
      </c>
      <c r="H54" s="646" t="str">
        <f t="shared" si="6"/>
        <v>VENCIDA</v>
      </c>
      <c r="I54" s="651">
        <f t="shared" si="8"/>
        <v>46167</v>
      </c>
      <c r="J54" s="655" t="b">
        <v>0</v>
      </c>
    </row>
    <row r="55">
      <c r="A55" s="643" t="s">
        <v>2303</v>
      </c>
      <c r="B55" s="644">
        <v>45825.0</v>
      </c>
      <c r="C55" s="643"/>
      <c r="D55" s="653">
        <v>1427684.3</v>
      </c>
      <c r="E55" s="654" t="b">
        <v>0</v>
      </c>
      <c r="F55" s="646" t="str">
        <f t="shared" si="5"/>
        <v>ADEUDA</v>
      </c>
      <c r="G55" s="340" t="s">
        <v>2292</v>
      </c>
      <c r="H55" s="646" t="str">
        <f t="shared" si="6"/>
        <v>VENCIDA</v>
      </c>
      <c r="I55" s="651">
        <f t="shared" si="8"/>
        <v>46167</v>
      </c>
      <c r="J55" s="655" t="b">
        <v>0</v>
      </c>
    </row>
    <row r="56">
      <c r="A56" s="643" t="s">
        <v>2293</v>
      </c>
      <c r="B56" s="644"/>
      <c r="C56" s="643"/>
      <c r="D56" s="643">
        <v>65087.59</v>
      </c>
      <c r="E56" s="654" t="b">
        <v>0</v>
      </c>
      <c r="F56" s="646" t="str">
        <f t="shared" si="5"/>
        <v>ADEUDA</v>
      </c>
      <c r="G56" s="340" t="s">
        <v>2278</v>
      </c>
      <c r="H56" s="646" t="str">
        <f t="shared" si="6"/>
        <v>VENCIDA</v>
      </c>
      <c r="I56" s="651">
        <f t="shared" si="8"/>
        <v>46167</v>
      </c>
      <c r="J56" s="655" t="b">
        <v>0</v>
      </c>
    </row>
    <row r="57">
      <c r="A57" s="643" t="s">
        <v>2294</v>
      </c>
      <c r="B57" s="644"/>
      <c r="C57" s="643"/>
      <c r="D57" s="643">
        <v>52070.07</v>
      </c>
      <c r="E57" s="654" t="b">
        <v>0</v>
      </c>
      <c r="F57" s="646" t="str">
        <f t="shared" si="5"/>
        <v>ADEUDA</v>
      </c>
      <c r="G57" s="340" t="s">
        <v>2278</v>
      </c>
      <c r="H57" s="646" t="str">
        <f t="shared" si="6"/>
        <v>VENCIDA</v>
      </c>
      <c r="I57" s="651">
        <f t="shared" si="8"/>
        <v>46167</v>
      </c>
      <c r="J57" s="655" t="b">
        <v>0</v>
      </c>
    </row>
    <row r="58">
      <c r="A58" s="643" t="s">
        <v>2295</v>
      </c>
      <c r="B58" s="644"/>
      <c r="C58" s="643"/>
      <c r="D58" s="643">
        <v>52070.07</v>
      </c>
      <c r="E58" s="654" t="b">
        <v>0</v>
      </c>
      <c r="F58" s="646" t="str">
        <f t="shared" si="5"/>
        <v>ADEUDA</v>
      </c>
      <c r="G58" s="340" t="s">
        <v>2278</v>
      </c>
      <c r="H58" s="646" t="str">
        <f t="shared" si="6"/>
        <v>VENCIDA</v>
      </c>
      <c r="I58" s="651">
        <f t="shared" si="8"/>
        <v>46167</v>
      </c>
      <c r="J58" s="655" t="b">
        <v>0</v>
      </c>
    </row>
    <row r="59">
      <c r="A59" s="643" t="s">
        <v>2304</v>
      </c>
      <c r="B59" s="644">
        <v>45832.0</v>
      </c>
      <c r="C59" s="643"/>
      <c r="D59" s="643">
        <v>1481597.53</v>
      </c>
      <c r="E59" s="645" t="b">
        <v>0</v>
      </c>
      <c r="F59" s="646" t="str">
        <f t="shared" si="5"/>
        <v>ADEUDA</v>
      </c>
      <c r="G59" s="340" t="s">
        <v>2292</v>
      </c>
      <c r="H59" s="646" t="str">
        <f t="shared" si="6"/>
        <v>VENCIDA</v>
      </c>
      <c r="I59" s="651">
        <f t="shared" si="8"/>
        <v>46167</v>
      </c>
      <c r="J59" s="656" t="b">
        <v>0</v>
      </c>
    </row>
    <row r="60">
      <c r="A60" s="643" t="s">
        <v>2298</v>
      </c>
      <c r="B60" s="644">
        <v>45824.0</v>
      </c>
      <c r="C60" s="644">
        <v>45834.0</v>
      </c>
      <c r="D60" s="643">
        <v>901550.45</v>
      </c>
      <c r="E60" s="645" t="b">
        <v>1</v>
      </c>
      <c r="F60" s="646" t="str">
        <f t="shared" si="5"/>
        <v>PAGADO</v>
      </c>
      <c r="G60" s="340" t="s">
        <v>2286</v>
      </c>
      <c r="H60" s="646" t="str">
        <f t="shared" si="6"/>
        <v>VENCIDA</v>
      </c>
      <c r="I60" s="647">
        <f t="shared" si="8"/>
        <v>333</v>
      </c>
      <c r="J60" s="652" t="b">
        <v>1</v>
      </c>
    </row>
    <row r="61">
      <c r="A61" s="643" t="s">
        <v>209</v>
      </c>
      <c r="B61" s="644">
        <v>45817.0</v>
      </c>
      <c r="C61" s="644">
        <v>45818.0</v>
      </c>
      <c r="D61" s="643">
        <v>142499.15</v>
      </c>
      <c r="E61" s="645" t="b">
        <v>1</v>
      </c>
      <c r="F61" s="646" t="str">
        <f t="shared" si="5"/>
        <v>PAGADO</v>
      </c>
      <c r="G61" s="340" t="s">
        <v>2278</v>
      </c>
      <c r="H61" s="646" t="str">
        <f t="shared" si="6"/>
        <v>VENCIDA</v>
      </c>
      <c r="I61" s="647">
        <f t="shared" si="8"/>
        <v>349</v>
      </c>
      <c r="J61" s="656" t="b">
        <v>0</v>
      </c>
    </row>
    <row r="62">
      <c r="A62" s="643" t="s">
        <v>2299</v>
      </c>
      <c r="B62" s="644"/>
      <c r="C62" s="643"/>
      <c r="D62" s="643">
        <v>53255.0</v>
      </c>
      <c r="E62" s="645" t="b">
        <v>1</v>
      </c>
      <c r="F62" s="646" t="str">
        <f t="shared" si="5"/>
        <v>PAGADO</v>
      </c>
      <c r="G62" s="340" t="s">
        <v>2292</v>
      </c>
      <c r="H62" s="646" t="str">
        <f t="shared" si="6"/>
        <v>VENCIDA</v>
      </c>
      <c r="I62" s="651">
        <f t="shared" si="8"/>
        <v>46167</v>
      </c>
      <c r="J62" s="656" t="b">
        <v>0</v>
      </c>
    </row>
    <row r="63">
      <c r="A63" s="643" t="s">
        <v>2305</v>
      </c>
      <c r="B63" s="644"/>
      <c r="C63" s="643"/>
      <c r="D63" s="643">
        <v>95246.51</v>
      </c>
      <c r="E63" s="645" t="b">
        <v>1</v>
      </c>
      <c r="F63" s="646" t="str">
        <f t="shared" si="5"/>
        <v>PAGADO</v>
      </c>
      <c r="G63" s="340" t="s">
        <v>2292</v>
      </c>
      <c r="H63" s="646" t="str">
        <f t="shared" si="6"/>
        <v>VENCIDA</v>
      </c>
      <c r="I63" s="651">
        <f t="shared" si="8"/>
        <v>46167</v>
      </c>
      <c r="J63" s="656" t="b">
        <v>0</v>
      </c>
    </row>
    <row r="64">
      <c r="A64" s="643" t="s">
        <v>2306</v>
      </c>
      <c r="B64" s="644">
        <v>45825.0</v>
      </c>
      <c r="C64" s="644">
        <f t="shared" ref="C64:C66" si="9">B64+30</f>
        <v>45855</v>
      </c>
      <c r="D64" s="643">
        <v>679613.0</v>
      </c>
      <c r="E64" s="645" t="b">
        <v>1</v>
      </c>
      <c r="F64" s="646" t="str">
        <f t="shared" si="5"/>
        <v>PAGADO</v>
      </c>
      <c r="G64" s="340" t="s">
        <v>2292</v>
      </c>
      <c r="H64" s="646" t="str">
        <f t="shared" si="6"/>
        <v>VENCIDA</v>
      </c>
      <c r="I64" s="647">
        <f t="shared" si="8"/>
        <v>312</v>
      </c>
      <c r="J64" s="656" t="b">
        <v>0</v>
      </c>
    </row>
    <row r="65">
      <c r="A65" s="644"/>
      <c r="B65" s="644"/>
      <c r="C65" s="644">
        <f t="shared" si="9"/>
        <v>30</v>
      </c>
      <c r="D65" s="643"/>
      <c r="E65" s="645" t="b">
        <v>0</v>
      </c>
      <c r="F65" s="646" t="str">
        <f t="shared" si="5"/>
        <v>ADEUDA</v>
      </c>
      <c r="G65" s="340" t="s">
        <v>2278</v>
      </c>
      <c r="H65" s="646" t="str">
        <f t="shared" si="6"/>
        <v>VENCIDA</v>
      </c>
      <c r="I65" s="647">
        <f t="shared" si="8"/>
        <v>46137</v>
      </c>
      <c r="J65" s="656" t="b">
        <v>0</v>
      </c>
    </row>
    <row r="66">
      <c r="A66" s="644"/>
      <c r="B66" s="644"/>
      <c r="C66" s="644">
        <f t="shared" si="9"/>
        <v>30</v>
      </c>
      <c r="D66" s="643"/>
      <c r="E66" s="658" t="b">
        <v>0</v>
      </c>
      <c r="F66" s="646" t="str">
        <f t="shared" si="5"/>
        <v>ADEUDA</v>
      </c>
      <c r="G66" s="340" t="s">
        <v>2278</v>
      </c>
      <c r="H66" s="646" t="str">
        <f t="shared" si="6"/>
        <v>VENCIDA</v>
      </c>
      <c r="I66" s="647">
        <f t="shared" si="8"/>
        <v>46137</v>
      </c>
      <c r="J66" s="656" t="b">
        <v>0</v>
      </c>
    </row>
    <row r="67">
      <c r="A67" s="635" t="s">
        <v>42</v>
      </c>
      <c r="B67" s="636"/>
      <c r="C67" s="636"/>
      <c r="D67" s="636"/>
      <c r="E67" s="636"/>
      <c r="F67" s="636"/>
      <c r="G67" s="636"/>
      <c r="H67" s="636"/>
      <c r="I67" s="636"/>
      <c r="J67" s="637"/>
    </row>
    <row r="68">
      <c r="A68" s="638" t="s">
        <v>2265</v>
      </c>
      <c r="B68" s="636"/>
      <c r="C68" s="636"/>
      <c r="D68" s="636"/>
      <c r="E68" s="636"/>
      <c r="F68" s="636"/>
      <c r="G68" s="636"/>
      <c r="H68" s="636"/>
      <c r="I68" s="252"/>
      <c r="J68" s="252"/>
    </row>
    <row r="69">
      <c r="A69" s="639" t="s">
        <v>2266</v>
      </c>
      <c r="B69" s="639" t="s">
        <v>2267</v>
      </c>
      <c r="C69" s="639" t="s">
        <v>2268</v>
      </c>
      <c r="D69" s="639" t="s">
        <v>2269</v>
      </c>
      <c r="E69" s="640" t="s">
        <v>2270</v>
      </c>
      <c r="F69" s="637"/>
      <c r="G69" s="639" t="s">
        <v>2271</v>
      </c>
      <c r="H69" s="641" t="s">
        <v>2272</v>
      </c>
      <c r="I69" s="641" t="s">
        <v>2273</v>
      </c>
      <c r="J69" s="641" t="s">
        <v>2274</v>
      </c>
    </row>
    <row r="70">
      <c r="A70" s="643" t="s">
        <v>2307</v>
      </c>
      <c r="B70" s="644"/>
      <c r="C70" s="644"/>
      <c r="D70" s="643">
        <v>384912.44</v>
      </c>
      <c r="E70" s="645" t="b">
        <v>1</v>
      </c>
      <c r="F70" s="646" t="str">
        <f t="shared" ref="F70:F97" si="10">IF(E70,"PAGADO","ADEUDA")</f>
        <v>PAGADO</v>
      </c>
      <c r="G70" s="340" t="s">
        <v>2278</v>
      </c>
      <c r="H70" s="646" t="str">
        <f t="shared" ref="H70:H71" si="11">IF(C70&lt;TODAY(),"VENCIDA",IF(C70=TODAY(),"VENCE HOY",IF(C70&gt;TODAY(),"VIGENTE")))</f>
        <v>VENCIDA</v>
      </c>
      <c r="I70" s="647"/>
      <c r="J70" s="648" t="b">
        <v>0</v>
      </c>
    </row>
    <row r="71">
      <c r="A71" s="643" t="s">
        <v>2275</v>
      </c>
      <c r="B71" s="644">
        <v>45863.0</v>
      </c>
      <c r="C71" s="644"/>
      <c r="D71" s="659">
        <v>482916.42</v>
      </c>
      <c r="E71" s="645" t="b">
        <v>0</v>
      </c>
      <c r="F71" s="646" t="str">
        <f t="shared" si="10"/>
        <v>ADEUDA</v>
      </c>
      <c r="G71" s="340" t="s">
        <v>2278</v>
      </c>
      <c r="H71" s="646" t="str">
        <f t="shared" si="11"/>
        <v>VENCIDA</v>
      </c>
      <c r="I71" s="647">
        <f t="shared" ref="I71:I75" si="12">TODAY()-B71</f>
        <v>304</v>
      </c>
      <c r="J71" s="648" t="b">
        <v>0</v>
      </c>
    </row>
    <row r="72">
      <c r="A72" s="643" t="s">
        <v>2308</v>
      </c>
      <c r="B72" s="644">
        <v>45862.0</v>
      </c>
      <c r="C72" s="644"/>
      <c r="D72" s="659">
        <v>339653.18</v>
      </c>
      <c r="E72" s="645" t="b">
        <v>0</v>
      </c>
      <c r="F72" s="646" t="str">
        <f t="shared" si="10"/>
        <v>ADEUDA</v>
      </c>
      <c r="G72" s="340" t="s">
        <v>2278</v>
      </c>
      <c r="H72" s="660" t="b">
        <v>0</v>
      </c>
      <c r="I72" s="647">
        <f t="shared" si="12"/>
        <v>305</v>
      </c>
      <c r="J72" s="648" t="b">
        <v>0</v>
      </c>
    </row>
    <row r="73">
      <c r="A73" s="643" t="s">
        <v>2302</v>
      </c>
      <c r="B73" s="644">
        <v>45784.0</v>
      </c>
      <c r="C73" s="644"/>
      <c r="D73" s="643">
        <v>136330.63</v>
      </c>
      <c r="E73" s="645" t="b">
        <v>0</v>
      </c>
      <c r="F73" s="646" t="str">
        <f t="shared" si="10"/>
        <v>ADEUDA</v>
      </c>
      <c r="G73" s="340" t="s">
        <v>2278</v>
      </c>
      <c r="H73" s="646" t="str">
        <f t="shared" ref="H73:H97" si="13">IF(C73&lt;TODAY(),"VENCIDA",IF(C73=TODAY(),"VENCE HOY",IF(C73&gt;TODAY(),"VIGENTE")))</f>
        <v>VENCIDA</v>
      </c>
      <c r="I73" s="647">
        <f t="shared" si="12"/>
        <v>383</v>
      </c>
      <c r="J73" s="648" t="b">
        <v>0</v>
      </c>
    </row>
    <row r="74">
      <c r="A74" s="643" t="s">
        <v>2284</v>
      </c>
      <c r="B74" s="644">
        <v>45856.0</v>
      </c>
      <c r="C74" s="644"/>
      <c r="D74" s="643">
        <v>360170.02</v>
      </c>
      <c r="E74" s="645" t="b">
        <v>0</v>
      </c>
      <c r="F74" s="646" t="str">
        <f t="shared" si="10"/>
        <v>ADEUDA</v>
      </c>
      <c r="G74" s="340" t="s">
        <v>2278</v>
      </c>
      <c r="H74" s="646" t="str">
        <f t="shared" si="13"/>
        <v>VENCIDA</v>
      </c>
      <c r="I74" s="647">
        <f t="shared" si="12"/>
        <v>311</v>
      </c>
      <c r="J74" s="648" t="b">
        <v>0</v>
      </c>
    </row>
    <row r="75">
      <c r="A75" s="643" t="s">
        <v>2284</v>
      </c>
      <c r="B75" s="644">
        <v>45800.0</v>
      </c>
      <c r="C75" s="644">
        <v>45800.0</v>
      </c>
      <c r="D75" s="643">
        <v>169649.0</v>
      </c>
      <c r="E75" s="645" t="b">
        <v>0</v>
      </c>
      <c r="F75" s="646" t="str">
        <f t="shared" si="10"/>
        <v>ADEUDA</v>
      </c>
      <c r="G75" s="340" t="s">
        <v>2278</v>
      </c>
      <c r="H75" s="646" t="str">
        <f t="shared" si="13"/>
        <v>VENCIDA</v>
      </c>
      <c r="I75" s="647">
        <f t="shared" si="12"/>
        <v>367</v>
      </c>
      <c r="J75" s="648" t="b">
        <v>0</v>
      </c>
    </row>
    <row r="76">
      <c r="A76" s="643" t="s">
        <v>1666</v>
      </c>
      <c r="B76" s="644"/>
      <c r="C76" s="644"/>
      <c r="D76" s="643">
        <v>153103.73</v>
      </c>
      <c r="E76" s="645" t="b">
        <v>0</v>
      </c>
      <c r="F76" s="646" t="str">
        <f t="shared" si="10"/>
        <v>ADEUDA</v>
      </c>
      <c r="G76" s="340" t="s">
        <v>2278</v>
      </c>
      <c r="H76" s="646" t="str">
        <f t="shared" si="13"/>
        <v>VENCIDA</v>
      </c>
      <c r="I76" s="647">
        <f t="shared" ref="I76:I78" si="14">TODAY()-C76</f>
        <v>46167</v>
      </c>
      <c r="J76" s="648" t="b">
        <v>0</v>
      </c>
    </row>
    <row r="77">
      <c r="A77" s="643" t="s">
        <v>2309</v>
      </c>
      <c r="B77" s="644">
        <v>45863.0</v>
      </c>
      <c r="C77" s="644"/>
      <c r="D77" s="643">
        <v>72423.77</v>
      </c>
      <c r="E77" s="645" t="b">
        <v>0</v>
      </c>
      <c r="F77" s="646" t="str">
        <f t="shared" si="10"/>
        <v>ADEUDA</v>
      </c>
      <c r="G77" s="340" t="s">
        <v>2276</v>
      </c>
      <c r="H77" s="646" t="str">
        <f t="shared" si="13"/>
        <v>VENCIDA</v>
      </c>
      <c r="I77" s="647">
        <f t="shared" si="14"/>
        <v>46167</v>
      </c>
      <c r="J77" s="648" t="b">
        <v>0</v>
      </c>
    </row>
    <row r="78">
      <c r="A78" s="643" t="s">
        <v>199</v>
      </c>
      <c r="B78" s="644">
        <v>45895.0</v>
      </c>
      <c r="C78" s="643"/>
      <c r="D78" s="643">
        <v>196093.73</v>
      </c>
      <c r="E78" s="645" t="b">
        <v>1</v>
      </c>
      <c r="F78" s="646" t="str">
        <f t="shared" si="10"/>
        <v>PAGADO</v>
      </c>
      <c r="G78" s="340" t="s">
        <v>2278</v>
      </c>
      <c r="H78" s="646" t="str">
        <f t="shared" si="13"/>
        <v>VENCIDA</v>
      </c>
      <c r="I78" s="651">
        <f t="shared" si="14"/>
        <v>46167</v>
      </c>
      <c r="J78" s="648" t="b">
        <v>0</v>
      </c>
    </row>
    <row r="79">
      <c r="A79" s="643" t="s">
        <v>200</v>
      </c>
      <c r="B79" s="644"/>
      <c r="C79" s="643"/>
      <c r="D79" s="643">
        <v>133820.81</v>
      </c>
      <c r="E79" s="645" t="b">
        <v>1</v>
      </c>
      <c r="F79" s="646" t="str">
        <f t="shared" si="10"/>
        <v>PAGADO</v>
      </c>
      <c r="G79" s="340" t="s">
        <v>2286</v>
      </c>
      <c r="H79" s="646" t="str">
        <f t="shared" si="13"/>
        <v>VENCIDA</v>
      </c>
      <c r="I79" s="647"/>
      <c r="J79" s="652" t="b">
        <v>1</v>
      </c>
    </row>
    <row r="80">
      <c r="A80" s="643" t="s">
        <v>201</v>
      </c>
      <c r="B80" s="644"/>
      <c r="C80" s="643"/>
      <c r="D80" s="643">
        <v>84785.15</v>
      </c>
      <c r="E80" s="645" t="b">
        <v>0</v>
      </c>
      <c r="F80" s="646" t="str">
        <f t="shared" si="10"/>
        <v>ADEUDA</v>
      </c>
      <c r="G80" s="340" t="s">
        <v>2278</v>
      </c>
      <c r="H80" s="646" t="str">
        <f t="shared" si="13"/>
        <v>VENCIDA</v>
      </c>
      <c r="I80" s="651">
        <f t="shared" ref="I80:I97" si="15">TODAY()-C80</f>
        <v>46167</v>
      </c>
      <c r="J80" s="648" t="b">
        <v>0</v>
      </c>
    </row>
    <row r="81">
      <c r="A81" s="643" t="s">
        <v>192</v>
      </c>
      <c r="B81" s="644"/>
      <c r="C81" s="644"/>
      <c r="D81" s="643">
        <v>726000.0</v>
      </c>
      <c r="E81" s="645" t="b">
        <v>1</v>
      </c>
      <c r="F81" s="646" t="str">
        <f t="shared" si="10"/>
        <v>PAGADO</v>
      </c>
      <c r="G81" s="340" t="s">
        <v>2278</v>
      </c>
      <c r="H81" s="646" t="str">
        <f t="shared" si="13"/>
        <v>VENCIDA</v>
      </c>
      <c r="I81" s="647">
        <f t="shared" si="15"/>
        <v>46167</v>
      </c>
      <c r="J81" s="648" t="b">
        <v>0</v>
      </c>
    </row>
    <row r="82">
      <c r="A82" s="643" t="s">
        <v>193</v>
      </c>
      <c r="B82" s="644"/>
      <c r="C82" s="644"/>
      <c r="D82" s="643">
        <v>700000.0</v>
      </c>
      <c r="E82" s="645" t="b">
        <v>1</v>
      </c>
      <c r="F82" s="646" t="str">
        <f t="shared" si="10"/>
        <v>PAGADO</v>
      </c>
      <c r="G82" s="340" t="s">
        <v>2287</v>
      </c>
      <c r="H82" s="646" t="str">
        <f t="shared" si="13"/>
        <v>VENCIDA</v>
      </c>
      <c r="I82" s="647">
        <f t="shared" si="15"/>
        <v>46167</v>
      </c>
      <c r="J82" s="648" t="b">
        <v>0</v>
      </c>
    </row>
    <row r="83">
      <c r="A83" s="643" t="s">
        <v>194</v>
      </c>
      <c r="B83" s="644"/>
      <c r="C83" s="643"/>
      <c r="D83" s="643">
        <v>78850.0</v>
      </c>
      <c r="E83" s="645" t="b">
        <v>0</v>
      </c>
      <c r="F83" s="646" t="str">
        <f t="shared" si="10"/>
        <v>ADEUDA</v>
      </c>
      <c r="G83" s="340" t="s">
        <v>2278</v>
      </c>
      <c r="H83" s="646" t="str">
        <f t="shared" si="13"/>
        <v>VENCIDA</v>
      </c>
      <c r="I83" s="651">
        <f t="shared" si="15"/>
        <v>46167</v>
      </c>
      <c r="J83" s="648" t="b">
        <v>0</v>
      </c>
    </row>
    <row r="84">
      <c r="A84" s="643" t="s">
        <v>2289</v>
      </c>
      <c r="B84" s="644"/>
      <c r="C84" s="643"/>
      <c r="D84" s="643"/>
      <c r="E84" s="645" t="b">
        <v>0</v>
      </c>
      <c r="F84" s="646" t="str">
        <f t="shared" si="10"/>
        <v>ADEUDA</v>
      </c>
      <c r="G84" s="340" t="s">
        <v>2278</v>
      </c>
      <c r="H84" s="646" t="str">
        <f t="shared" si="13"/>
        <v>VENCIDA</v>
      </c>
      <c r="I84" s="651">
        <f t="shared" si="15"/>
        <v>46167</v>
      </c>
      <c r="J84" s="648" t="b">
        <v>0</v>
      </c>
    </row>
    <row r="85">
      <c r="A85" s="643" t="s">
        <v>196</v>
      </c>
      <c r="B85" s="644"/>
      <c r="C85" s="644"/>
      <c r="D85" s="643">
        <v>142000.0</v>
      </c>
      <c r="E85" s="645" t="b">
        <v>1</v>
      </c>
      <c r="F85" s="646" t="str">
        <f t="shared" si="10"/>
        <v>PAGADO</v>
      </c>
      <c r="G85" s="340" t="s">
        <v>2278</v>
      </c>
      <c r="H85" s="646" t="str">
        <f t="shared" si="13"/>
        <v>VENCIDA</v>
      </c>
      <c r="I85" s="647">
        <f t="shared" si="15"/>
        <v>46167</v>
      </c>
      <c r="J85" s="648" t="b">
        <v>0</v>
      </c>
    </row>
    <row r="86">
      <c r="A86" s="643" t="s">
        <v>2290</v>
      </c>
      <c r="B86" s="644"/>
      <c r="C86" s="643"/>
      <c r="D86" s="653"/>
      <c r="E86" s="654" t="b">
        <v>0</v>
      </c>
      <c r="F86" s="646" t="str">
        <f t="shared" si="10"/>
        <v>ADEUDA</v>
      </c>
      <c r="G86" s="340" t="s">
        <v>2278</v>
      </c>
      <c r="H86" s="646" t="str">
        <f t="shared" si="13"/>
        <v>VENCIDA</v>
      </c>
      <c r="I86" s="651">
        <f t="shared" si="15"/>
        <v>46167</v>
      </c>
      <c r="J86" s="655" t="b">
        <v>0</v>
      </c>
    </row>
    <row r="87">
      <c r="A87" s="643" t="s">
        <v>2303</v>
      </c>
      <c r="B87" s="644">
        <v>45825.0</v>
      </c>
      <c r="C87" s="643"/>
      <c r="D87" s="653">
        <v>1427684.3</v>
      </c>
      <c r="E87" s="654" t="b">
        <v>0</v>
      </c>
      <c r="F87" s="646" t="str">
        <f t="shared" si="10"/>
        <v>ADEUDA</v>
      </c>
      <c r="G87" s="340" t="s">
        <v>2292</v>
      </c>
      <c r="H87" s="646" t="str">
        <f t="shared" si="13"/>
        <v>VENCIDA</v>
      </c>
      <c r="I87" s="651">
        <f t="shared" si="15"/>
        <v>46167</v>
      </c>
      <c r="J87" s="655" t="b">
        <v>0</v>
      </c>
    </row>
    <row r="88">
      <c r="A88" s="643" t="s">
        <v>2293</v>
      </c>
      <c r="B88" s="644"/>
      <c r="C88" s="643"/>
      <c r="D88" s="643">
        <v>65087.59</v>
      </c>
      <c r="E88" s="654" t="b">
        <v>0</v>
      </c>
      <c r="F88" s="646" t="str">
        <f t="shared" si="10"/>
        <v>ADEUDA</v>
      </c>
      <c r="G88" s="340" t="s">
        <v>2278</v>
      </c>
      <c r="H88" s="646" t="str">
        <f t="shared" si="13"/>
        <v>VENCIDA</v>
      </c>
      <c r="I88" s="651">
        <f t="shared" si="15"/>
        <v>46167</v>
      </c>
      <c r="J88" s="655" t="b">
        <v>0</v>
      </c>
    </row>
    <row r="89">
      <c r="A89" s="643" t="s">
        <v>2294</v>
      </c>
      <c r="B89" s="644"/>
      <c r="C89" s="643"/>
      <c r="D89" s="643">
        <v>52070.07</v>
      </c>
      <c r="E89" s="654" t="b">
        <v>0</v>
      </c>
      <c r="F89" s="646" t="str">
        <f t="shared" si="10"/>
        <v>ADEUDA</v>
      </c>
      <c r="G89" s="340" t="s">
        <v>2278</v>
      </c>
      <c r="H89" s="646" t="str">
        <f t="shared" si="13"/>
        <v>VENCIDA</v>
      </c>
      <c r="I89" s="651">
        <f t="shared" si="15"/>
        <v>46167</v>
      </c>
      <c r="J89" s="655" t="b">
        <v>0</v>
      </c>
    </row>
    <row r="90">
      <c r="A90" s="643" t="s">
        <v>2295</v>
      </c>
      <c r="B90" s="644"/>
      <c r="C90" s="643"/>
      <c r="D90" s="643">
        <v>52070.07</v>
      </c>
      <c r="E90" s="654" t="b">
        <v>0</v>
      </c>
      <c r="F90" s="646" t="str">
        <f t="shared" si="10"/>
        <v>ADEUDA</v>
      </c>
      <c r="G90" s="340" t="s">
        <v>2278</v>
      </c>
      <c r="H90" s="646" t="str">
        <f t="shared" si="13"/>
        <v>VENCIDA</v>
      </c>
      <c r="I90" s="651">
        <f t="shared" si="15"/>
        <v>46167</v>
      </c>
      <c r="J90" s="655" t="b">
        <v>0</v>
      </c>
    </row>
    <row r="91">
      <c r="A91" s="643" t="s">
        <v>2304</v>
      </c>
      <c r="B91" s="644">
        <v>45832.0</v>
      </c>
      <c r="C91" s="643"/>
      <c r="D91" s="643">
        <v>1481597.53</v>
      </c>
      <c r="E91" s="645" t="b">
        <v>0</v>
      </c>
      <c r="F91" s="646" t="str">
        <f t="shared" si="10"/>
        <v>ADEUDA</v>
      </c>
      <c r="G91" s="340" t="s">
        <v>2292</v>
      </c>
      <c r="H91" s="646" t="str">
        <f t="shared" si="13"/>
        <v>VENCIDA</v>
      </c>
      <c r="I91" s="651">
        <f t="shared" si="15"/>
        <v>46167</v>
      </c>
      <c r="J91" s="656" t="b">
        <v>0</v>
      </c>
    </row>
    <row r="92">
      <c r="A92" s="643" t="s">
        <v>2298</v>
      </c>
      <c r="B92" s="644">
        <v>45854.0</v>
      </c>
      <c r="C92" s="644">
        <v>45864.0</v>
      </c>
      <c r="D92" s="643">
        <v>901550.45</v>
      </c>
      <c r="E92" s="645" t="b">
        <v>0</v>
      </c>
      <c r="F92" s="646" t="str">
        <f t="shared" si="10"/>
        <v>ADEUDA</v>
      </c>
      <c r="G92" s="340" t="s">
        <v>2286</v>
      </c>
      <c r="H92" s="646" t="str">
        <f t="shared" si="13"/>
        <v>VENCIDA</v>
      </c>
      <c r="I92" s="647">
        <f t="shared" si="15"/>
        <v>303</v>
      </c>
      <c r="J92" s="652" t="b">
        <v>1</v>
      </c>
    </row>
    <row r="93">
      <c r="A93" s="643" t="s">
        <v>209</v>
      </c>
      <c r="B93" s="644">
        <v>45844.0</v>
      </c>
      <c r="C93" s="644">
        <v>45848.0</v>
      </c>
      <c r="D93" s="643">
        <v>142499.15</v>
      </c>
      <c r="E93" s="645" t="b">
        <v>1</v>
      </c>
      <c r="F93" s="646" t="str">
        <f t="shared" si="10"/>
        <v>PAGADO</v>
      </c>
      <c r="G93" s="340" t="s">
        <v>2278</v>
      </c>
      <c r="H93" s="646" t="str">
        <f t="shared" si="13"/>
        <v>VENCIDA</v>
      </c>
      <c r="I93" s="647">
        <f t="shared" si="15"/>
        <v>319</v>
      </c>
      <c r="J93" s="656" t="b">
        <v>0</v>
      </c>
    </row>
    <row r="94">
      <c r="A94" s="643" t="s">
        <v>2299</v>
      </c>
      <c r="B94" s="644"/>
      <c r="C94" s="643"/>
      <c r="D94" s="643">
        <v>54736.0</v>
      </c>
      <c r="E94" s="645" t="b">
        <v>1</v>
      </c>
      <c r="F94" s="646" t="str">
        <f t="shared" si="10"/>
        <v>PAGADO</v>
      </c>
      <c r="G94" s="340" t="s">
        <v>2292</v>
      </c>
      <c r="H94" s="646" t="str">
        <f t="shared" si="13"/>
        <v>VENCIDA</v>
      </c>
      <c r="I94" s="651">
        <f t="shared" si="15"/>
        <v>46167</v>
      </c>
      <c r="J94" s="656" t="b">
        <v>0</v>
      </c>
    </row>
    <row r="95">
      <c r="A95" s="643" t="s">
        <v>2310</v>
      </c>
      <c r="B95" s="644"/>
      <c r="C95" s="643"/>
      <c r="D95" s="643">
        <v>95246.51</v>
      </c>
      <c r="E95" s="645" t="b">
        <v>0</v>
      </c>
      <c r="F95" s="646" t="str">
        <f t="shared" si="10"/>
        <v>ADEUDA</v>
      </c>
      <c r="G95" s="340" t="s">
        <v>2292</v>
      </c>
      <c r="H95" s="646" t="str">
        <f t="shared" si="13"/>
        <v>VENCIDA</v>
      </c>
      <c r="I95" s="651">
        <f t="shared" si="15"/>
        <v>46167</v>
      </c>
      <c r="J95" s="656" t="b">
        <v>0</v>
      </c>
    </row>
    <row r="96">
      <c r="A96" s="643"/>
      <c r="B96" s="644"/>
      <c r="C96" s="643"/>
      <c r="D96" s="643"/>
      <c r="E96" s="645" t="b">
        <v>0</v>
      </c>
      <c r="F96" s="646" t="str">
        <f t="shared" si="10"/>
        <v>ADEUDA</v>
      </c>
      <c r="G96" s="340" t="s">
        <v>2292</v>
      </c>
      <c r="H96" s="646" t="str">
        <f t="shared" si="13"/>
        <v>VENCIDA</v>
      </c>
      <c r="I96" s="651">
        <f t="shared" si="15"/>
        <v>46167</v>
      </c>
      <c r="J96" s="656" t="b">
        <v>0</v>
      </c>
    </row>
    <row r="97">
      <c r="A97" s="644"/>
      <c r="B97" s="644"/>
      <c r="C97" s="644">
        <f>B97+30</f>
        <v>30</v>
      </c>
      <c r="D97" s="643"/>
      <c r="E97" s="658" t="b">
        <v>0</v>
      </c>
      <c r="F97" s="646" t="str">
        <f t="shared" si="10"/>
        <v>ADEUDA</v>
      </c>
      <c r="G97" s="340" t="s">
        <v>2278</v>
      </c>
      <c r="H97" s="646" t="str">
        <f t="shared" si="13"/>
        <v>VENCIDA</v>
      </c>
      <c r="I97" s="647">
        <f t="shared" si="15"/>
        <v>46137</v>
      </c>
      <c r="J97" s="656" t="b">
        <v>0</v>
      </c>
    </row>
    <row r="98">
      <c r="A98" s="635" t="s">
        <v>43</v>
      </c>
      <c r="B98" s="636"/>
      <c r="C98" s="636"/>
      <c r="D98" s="636"/>
      <c r="E98" s="636"/>
      <c r="F98" s="636"/>
      <c r="G98" s="636"/>
      <c r="H98" s="636"/>
      <c r="I98" s="636"/>
      <c r="J98" s="637"/>
    </row>
    <row r="99">
      <c r="A99" s="638" t="s">
        <v>2265</v>
      </c>
      <c r="B99" s="636"/>
      <c r="C99" s="636"/>
      <c r="D99" s="636"/>
      <c r="E99" s="636"/>
      <c r="F99" s="636"/>
      <c r="G99" s="636"/>
      <c r="H99" s="636"/>
      <c r="I99" s="252"/>
      <c r="J99" s="252"/>
    </row>
    <row r="100">
      <c r="A100" s="639" t="s">
        <v>2266</v>
      </c>
      <c r="B100" s="639" t="s">
        <v>2267</v>
      </c>
      <c r="C100" s="639" t="s">
        <v>2268</v>
      </c>
      <c r="D100" s="639" t="s">
        <v>2269</v>
      </c>
      <c r="E100" s="640" t="s">
        <v>2270</v>
      </c>
      <c r="F100" s="637"/>
      <c r="G100" s="639" t="s">
        <v>2271</v>
      </c>
      <c r="H100" s="641" t="s">
        <v>2272</v>
      </c>
      <c r="I100" s="641" t="s">
        <v>2273</v>
      </c>
      <c r="J100" s="641" t="s">
        <v>2274</v>
      </c>
    </row>
    <row r="101">
      <c r="A101" s="643" t="s">
        <v>2311</v>
      </c>
      <c r="B101" s="644"/>
      <c r="C101" s="644"/>
      <c r="D101" s="643">
        <v>497331.32</v>
      </c>
      <c r="E101" s="645" t="b">
        <v>1</v>
      </c>
      <c r="F101" s="646" t="str">
        <f t="shared" ref="F101:F130" si="16">IF(E101,"PAGADO","ADEUDA")</f>
        <v>PAGADO</v>
      </c>
      <c r="G101" s="340" t="s">
        <v>2278</v>
      </c>
      <c r="H101" s="646" t="str">
        <f t="shared" ref="H101:H103" si="17">IF(C101&lt;TODAY(),"VENCIDA",IF(C101=TODAY(),"VENCE HOY",IF(C101&gt;TODAY(),"VIGENTE")))</f>
        <v>VENCIDA</v>
      </c>
      <c r="I101" s="647"/>
      <c r="J101" s="648" t="b">
        <v>0</v>
      </c>
    </row>
    <row r="102">
      <c r="A102" s="643" t="s">
        <v>2311</v>
      </c>
      <c r="B102" s="644"/>
      <c r="C102" s="644"/>
      <c r="D102" s="643">
        <v>501157.04</v>
      </c>
      <c r="E102" s="645" t="b">
        <v>0</v>
      </c>
      <c r="F102" s="646" t="str">
        <f t="shared" si="16"/>
        <v>ADEUDA</v>
      </c>
      <c r="G102" s="340" t="s">
        <v>2278</v>
      </c>
      <c r="H102" s="646" t="str">
        <f t="shared" si="17"/>
        <v>VENCIDA</v>
      </c>
      <c r="I102" s="647"/>
      <c r="J102" s="648" t="b">
        <v>0</v>
      </c>
    </row>
    <row r="103">
      <c r="A103" s="643" t="s">
        <v>2275</v>
      </c>
      <c r="B103" s="644"/>
      <c r="C103" s="644"/>
      <c r="D103" s="649"/>
      <c r="E103" s="645" t="b">
        <v>0</v>
      </c>
      <c r="F103" s="646" t="str">
        <f t="shared" si="16"/>
        <v>ADEUDA</v>
      </c>
      <c r="G103" s="340" t="s">
        <v>2278</v>
      </c>
      <c r="H103" s="646" t="str">
        <f t="shared" si="17"/>
        <v>VENCIDA</v>
      </c>
      <c r="I103" s="647">
        <f t="shared" ref="I103:I107" si="18">TODAY()-B103</f>
        <v>46167</v>
      </c>
      <c r="J103" s="648" t="b">
        <v>0</v>
      </c>
    </row>
    <row r="104">
      <c r="A104" s="643" t="s">
        <v>2308</v>
      </c>
      <c r="B104" s="644">
        <v>45862.0</v>
      </c>
      <c r="C104" s="644"/>
      <c r="D104" s="659">
        <v>339653.18</v>
      </c>
      <c r="E104" s="645" t="b">
        <v>0</v>
      </c>
      <c r="F104" s="646" t="str">
        <f t="shared" si="16"/>
        <v>ADEUDA</v>
      </c>
      <c r="G104" s="340" t="s">
        <v>2278</v>
      </c>
      <c r="H104" s="660" t="b">
        <v>0</v>
      </c>
      <c r="I104" s="647">
        <f t="shared" si="18"/>
        <v>305</v>
      </c>
      <c r="J104" s="648" t="b">
        <v>0</v>
      </c>
    </row>
    <row r="105">
      <c r="A105" s="643" t="s">
        <v>2302</v>
      </c>
      <c r="B105" s="644">
        <v>45784.0</v>
      </c>
      <c r="C105" s="644"/>
      <c r="D105" s="643">
        <v>136330.63</v>
      </c>
      <c r="E105" s="645" t="b">
        <v>0</v>
      </c>
      <c r="F105" s="646" t="str">
        <f t="shared" si="16"/>
        <v>ADEUDA</v>
      </c>
      <c r="G105" s="340" t="s">
        <v>2278</v>
      </c>
      <c r="H105" s="646" t="str">
        <f t="shared" ref="H105:H130" si="19">IF(C105&lt;TODAY(),"VENCIDA",IF(C105=TODAY(),"VENCE HOY",IF(C105&gt;TODAY(),"VIGENTE")))</f>
        <v>VENCIDA</v>
      </c>
      <c r="I105" s="647">
        <f t="shared" si="18"/>
        <v>383</v>
      </c>
      <c r="J105" s="648" t="b">
        <v>0</v>
      </c>
    </row>
    <row r="106">
      <c r="A106" s="643" t="s">
        <v>2284</v>
      </c>
      <c r="B106" s="644">
        <v>45856.0</v>
      </c>
      <c r="C106" s="644"/>
      <c r="D106" s="643">
        <v>360170.02</v>
      </c>
      <c r="E106" s="645" t="b">
        <v>0</v>
      </c>
      <c r="F106" s="646" t="str">
        <f t="shared" si="16"/>
        <v>ADEUDA</v>
      </c>
      <c r="G106" s="340" t="s">
        <v>2278</v>
      </c>
      <c r="H106" s="646" t="str">
        <f t="shared" si="19"/>
        <v>VENCIDA</v>
      </c>
      <c r="I106" s="647">
        <f t="shared" si="18"/>
        <v>311</v>
      </c>
      <c r="J106" s="648" t="b">
        <v>0</v>
      </c>
    </row>
    <row r="107">
      <c r="A107" s="643" t="s">
        <v>2284</v>
      </c>
      <c r="B107" s="644">
        <v>45800.0</v>
      </c>
      <c r="C107" s="644">
        <v>45800.0</v>
      </c>
      <c r="D107" s="643">
        <v>169649.0</v>
      </c>
      <c r="E107" s="645" t="b">
        <v>0</v>
      </c>
      <c r="F107" s="646" t="str">
        <f t="shared" si="16"/>
        <v>ADEUDA</v>
      </c>
      <c r="G107" s="340" t="s">
        <v>2278</v>
      </c>
      <c r="H107" s="646" t="str">
        <f t="shared" si="19"/>
        <v>VENCIDA</v>
      </c>
      <c r="I107" s="647">
        <f t="shared" si="18"/>
        <v>367</v>
      </c>
      <c r="J107" s="648" t="b">
        <v>0</v>
      </c>
    </row>
    <row r="108">
      <c r="A108" s="643" t="s">
        <v>1666</v>
      </c>
      <c r="B108" s="644"/>
      <c r="C108" s="644"/>
      <c r="D108" s="643">
        <v>153103.73</v>
      </c>
      <c r="E108" s="645" t="b">
        <v>1</v>
      </c>
      <c r="F108" s="646" t="str">
        <f t="shared" si="16"/>
        <v>PAGADO</v>
      </c>
      <c r="G108" s="340" t="s">
        <v>2278</v>
      </c>
      <c r="H108" s="646" t="str">
        <f t="shared" si="19"/>
        <v>VENCIDA</v>
      </c>
      <c r="I108" s="647">
        <f t="shared" ref="I108:I110" si="20">TODAY()-C108</f>
        <v>46167</v>
      </c>
      <c r="J108" s="648" t="b">
        <v>0</v>
      </c>
    </row>
    <row r="109">
      <c r="A109" s="643" t="s">
        <v>2309</v>
      </c>
      <c r="B109" s="644">
        <v>45863.0</v>
      </c>
      <c r="C109" s="644"/>
      <c r="D109" s="643">
        <v>72423.77</v>
      </c>
      <c r="E109" s="645" t="b">
        <v>1</v>
      </c>
      <c r="F109" s="646" t="str">
        <f t="shared" si="16"/>
        <v>PAGADO</v>
      </c>
      <c r="G109" s="340" t="s">
        <v>2276</v>
      </c>
      <c r="H109" s="646" t="str">
        <f t="shared" si="19"/>
        <v>VENCIDA</v>
      </c>
      <c r="I109" s="647">
        <f t="shared" si="20"/>
        <v>46167</v>
      </c>
      <c r="J109" s="648" t="b">
        <v>0</v>
      </c>
    </row>
    <row r="110">
      <c r="A110" s="643" t="s">
        <v>199</v>
      </c>
      <c r="B110" s="644"/>
      <c r="C110" s="643"/>
      <c r="D110" s="643">
        <v>64082.92</v>
      </c>
      <c r="E110" s="645" t="b">
        <v>1</v>
      </c>
      <c r="F110" s="646" t="str">
        <f t="shared" si="16"/>
        <v>PAGADO</v>
      </c>
      <c r="G110" s="340" t="s">
        <v>2276</v>
      </c>
      <c r="H110" s="646" t="str">
        <f t="shared" si="19"/>
        <v>VENCIDA</v>
      </c>
      <c r="I110" s="651">
        <f t="shared" si="20"/>
        <v>46167</v>
      </c>
      <c r="J110" s="648" t="b">
        <v>0</v>
      </c>
    </row>
    <row r="111">
      <c r="A111" s="643" t="s">
        <v>2312</v>
      </c>
      <c r="B111" s="644"/>
      <c r="C111" s="643"/>
      <c r="D111" s="643">
        <v>108982.73</v>
      </c>
      <c r="E111" s="645" t="b">
        <v>1</v>
      </c>
      <c r="F111" s="646" t="str">
        <f t="shared" si="16"/>
        <v>PAGADO</v>
      </c>
      <c r="G111" s="340" t="s">
        <v>2276</v>
      </c>
      <c r="H111" s="646" t="str">
        <f t="shared" si="19"/>
        <v>VENCIDA</v>
      </c>
      <c r="I111" s="647"/>
      <c r="J111" s="652" t="b">
        <v>0</v>
      </c>
    </row>
    <row r="112">
      <c r="A112" s="643" t="s">
        <v>200</v>
      </c>
      <c r="B112" s="644"/>
      <c r="C112" s="643"/>
      <c r="D112" s="643">
        <v>133820.81</v>
      </c>
      <c r="E112" s="645" t="b">
        <v>1</v>
      </c>
      <c r="F112" s="646" t="str">
        <f t="shared" si="16"/>
        <v>PAGADO</v>
      </c>
      <c r="G112" s="340" t="s">
        <v>2286</v>
      </c>
      <c r="H112" s="646" t="str">
        <f t="shared" si="19"/>
        <v>VENCIDA</v>
      </c>
      <c r="I112" s="647"/>
      <c r="J112" s="652" t="b">
        <v>1</v>
      </c>
    </row>
    <row r="113">
      <c r="A113" s="643" t="s">
        <v>201</v>
      </c>
      <c r="B113" s="644"/>
      <c r="C113" s="643"/>
      <c r="D113" s="643">
        <v>84785.15</v>
      </c>
      <c r="E113" s="645" t="b">
        <v>0</v>
      </c>
      <c r="F113" s="646" t="str">
        <f t="shared" si="16"/>
        <v>ADEUDA</v>
      </c>
      <c r="G113" s="340" t="s">
        <v>2278</v>
      </c>
      <c r="H113" s="646" t="str">
        <f t="shared" si="19"/>
        <v>VENCIDA</v>
      </c>
      <c r="I113" s="651">
        <f t="shared" ref="I113:I130" si="21">TODAY()-C113</f>
        <v>46167</v>
      </c>
      <c r="J113" s="648" t="b">
        <v>0</v>
      </c>
    </row>
    <row r="114">
      <c r="A114" s="643" t="s">
        <v>192</v>
      </c>
      <c r="B114" s="644"/>
      <c r="C114" s="644"/>
      <c r="D114" s="643">
        <v>968000.0</v>
      </c>
      <c r="E114" s="645" t="b">
        <v>1</v>
      </c>
      <c r="F114" s="646" t="str">
        <f t="shared" si="16"/>
        <v>PAGADO</v>
      </c>
      <c r="G114" s="340" t="s">
        <v>2278</v>
      </c>
      <c r="H114" s="646" t="str">
        <f t="shared" si="19"/>
        <v>VENCIDA</v>
      </c>
      <c r="I114" s="647">
        <f t="shared" si="21"/>
        <v>46167</v>
      </c>
      <c r="J114" s="648" t="b">
        <v>0</v>
      </c>
    </row>
    <row r="115">
      <c r="A115" s="643" t="s">
        <v>193</v>
      </c>
      <c r="B115" s="644"/>
      <c r="C115" s="644"/>
      <c r="D115" s="643">
        <v>700000.0</v>
      </c>
      <c r="E115" s="645" t="b">
        <v>1</v>
      </c>
      <c r="F115" s="646" t="str">
        <f t="shared" si="16"/>
        <v>PAGADO</v>
      </c>
      <c r="G115" s="340" t="s">
        <v>2287</v>
      </c>
      <c r="H115" s="646" t="str">
        <f t="shared" si="19"/>
        <v>VENCIDA</v>
      </c>
      <c r="I115" s="647">
        <f t="shared" si="21"/>
        <v>46167</v>
      </c>
      <c r="J115" s="648" t="b">
        <v>0</v>
      </c>
    </row>
    <row r="116">
      <c r="A116" s="643" t="s">
        <v>194</v>
      </c>
      <c r="B116" s="644"/>
      <c r="C116" s="643"/>
      <c r="D116" s="643">
        <v>78850.0</v>
      </c>
      <c r="E116" s="645" t="b">
        <v>0</v>
      </c>
      <c r="F116" s="646" t="str">
        <f t="shared" si="16"/>
        <v>ADEUDA</v>
      </c>
      <c r="G116" s="340" t="s">
        <v>2278</v>
      </c>
      <c r="H116" s="646" t="str">
        <f t="shared" si="19"/>
        <v>VENCIDA</v>
      </c>
      <c r="I116" s="651">
        <f t="shared" si="21"/>
        <v>46167</v>
      </c>
      <c r="J116" s="648" t="b">
        <v>0</v>
      </c>
    </row>
    <row r="117">
      <c r="A117" s="643" t="s">
        <v>2289</v>
      </c>
      <c r="B117" s="644"/>
      <c r="C117" s="643"/>
      <c r="D117" s="643"/>
      <c r="E117" s="645" t="b">
        <v>0</v>
      </c>
      <c r="F117" s="646" t="str">
        <f t="shared" si="16"/>
        <v>ADEUDA</v>
      </c>
      <c r="G117" s="340" t="s">
        <v>2278</v>
      </c>
      <c r="H117" s="646" t="str">
        <f t="shared" si="19"/>
        <v>VENCIDA</v>
      </c>
      <c r="I117" s="651">
        <f t="shared" si="21"/>
        <v>46167</v>
      </c>
      <c r="J117" s="648" t="b">
        <v>0</v>
      </c>
    </row>
    <row r="118">
      <c r="A118" s="643" t="s">
        <v>196</v>
      </c>
      <c r="B118" s="644"/>
      <c r="C118" s="644"/>
      <c r="D118" s="643">
        <v>142000.0</v>
      </c>
      <c r="E118" s="645" t="b">
        <v>1</v>
      </c>
      <c r="F118" s="646" t="str">
        <f t="shared" si="16"/>
        <v>PAGADO</v>
      </c>
      <c r="G118" s="340" t="s">
        <v>2276</v>
      </c>
      <c r="H118" s="646" t="str">
        <f t="shared" si="19"/>
        <v>VENCIDA</v>
      </c>
      <c r="I118" s="647">
        <f t="shared" si="21"/>
        <v>46167</v>
      </c>
      <c r="J118" s="648" t="b">
        <v>0</v>
      </c>
    </row>
    <row r="119">
      <c r="A119" s="643" t="s">
        <v>2290</v>
      </c>
      <c r="B119" s="644"/>
      <c r="C119" s="643"/>
      <c r="D119" s="653"/>
      <c r="E119" s="654" t="b">
        <v>0</v>
      </c>
      <c r="F119" s="646" t="str">
        <f t="shared" si="16"/>
        <v>ADEUDA</v>
      </c>
      <c r="G119" s="340" t="s">
        <v>2278</v>
      </c>
      <c r="H119" s="646" t="str">
        <f t="shared" si="19"/>
        <v>VENCIDA</v>
      </c>
      <c r="I119" s="651">
        <f t="shared" si="21"/>
        <v>46167</v>
      </c>
      <c r="J119" s="655" t="b">
        <v>0</v>
      </c>
    </row>
    <row r="120">
      <c r="A120" s="643" t="s">
        <v>2313</v>
      </c>
      <c r="B120" s="644"/>
      <c r="C120" s="643"/>
      <c r="D120" s="643">
        <v>1189539.37</v>
      </c>
      <c r="E120" s="654" t="b">
        <v>1</v>
      </c>
      <c r="F120" s="646" t="str">
        <f t="shared" si="16"/>
        <v>PAGADO</v>
      </c>
      <c r="G120" s="340" t="s">
        <v>2292</v>
      </c>
      <c r="H120" s="646" t="str">
        <f t="shared" si="19"/>
        <v>VENCIDA</v>
      </c>
      <c r="I120" s="651">
        <f t="shared" si="21"/>
        <v>46167</v>
      </c>
      <c r="J120" s="655" t="b">
        <v>0</v>
      </c>
    </row>
    <row r="121">
      <c r="A121" s="643" t="s">
        <v>2293</v>
      </c>
      <c r="B121" s="644"/>
      <c r="C121" s="643"/>
      <c r="D121" s="643">
        <v>65087.59</v>
      </c>
      <c r="E121" s="654" t="b">
        <v>0</v>
      </c>
      <c r="F121" s="646" t="str">
        <f t="shared" si="16"/>
        <v>ADEUDA</v>
      </c>
      <c r="G121" s="340" t="s">
        <v>2278</v>
      </c>
      <c r="H121" s="646" t="str">
        <f t="shared" si="19"/>
        <v>VENCIDA</v>
      </c>
      <c r="I121" s="651">
        <f t="shared" si="21"/>
        <v>46167</v>
      </c>
      <c r="J121" s="655" t="b">
        <v>0</v>
      </c>
    </row>
    <row r="122">
      <c r="A122" s="643" t="s">
        <v>2294</v>
      </c>
      <c r="B122" s="644"/>
      <c r="C122" s="643"/>
      <c r="D122" s="643">
        <v>52070.07</v>
      </c>
      <c r="E122" s="654" t="b">
        <v>0</v>
      </c>
      <c r="F122" s="646" t="str">
        <f t="shared" si="16"/>
        <v>ADEUDA</v>
      </c>
      <c r="G122" s="340" t="s">
        <v>2278</v>
      </c>
      <c r="H122" s="646" t="str">
        <f t="shared" si="19"/>
        <v>VENCIDA</v>
      </c>
      <c r="I122" s="651">
        <f t="shared" si="21"/>
        <v>46167</v>
      </c>
      <c r="J122" s="655" t="b">
        <v>0</v>
      </c>
    </row>
    <row r="123">
      <c r="A123" s="643" t="s">
        <v>2295</v>
      </c>
      <c r="B123" s="644"/>
      <c r="C123" s="643"/>
      <c r="D123" s="643">
        <v>52070.07</v>
      </c>
      <c r="E123" s="654" t="b">
        <v>0</v>
      </c>
      <c r="F123" s="646" t="str">
        <f t="shared" si="16"/>
        <v>ADEUDA</v>
      </c>
      <c r="G123" s="340" t="s">
        <v>2278</v>
      </c>
      <c r="H123" s="646" t="str">
        <f t="shared" si="19"/>
        <v>VENCIDA</v>
      </c>
      <c r="I123" s="651">
        <f t="shared" si="21"/>
        <v>46167</v>
      </c>
      <c r="J123" s="655" t="b">
        <v>0</v>
      </c>
    </row>
    <row r="124">
      <c r="A124" s="643" t="s">
        <v>2314</v>
      </c>
      <c r="B124" s="644"/>
      <c r="C124" s="643"/>
      <c r="D124" s="643"/>
      <c r="E124" s="645" t="b">
        <v>0</v>
      </c>
      <c r="F124" s="646" t="str">
        <f t="shared" si="16"/>
        <v>ADEUDA</v>
      </c>
      <c r="G124" s="340" t="s">
        <v>2292</v>
      </c>
      <c r="H124" s="646" t="str">
        <f t="shared" si="19"/>
        <v>VENCIDA</v>
      </c>
      <c r="I124" s="651">
        <f t="shared" si="21"/>
        <v>46167</v>
      </c>
      <c r="J124" s="656" t="b">
        <v>0</v>
      </c>
    </row>
    <row r="125">
      <c r="A125" s="643" t="s">
        <v>2298</v>
      </c>
      <c r="B125" s="644">
        <v>45885.0</v>
      </c>
      <c r="C125" s="644">
        <v>45897.0</v>
      </c>
      <c r="D125" s="643">
        <v>901550.45</v>
      </c>
      <c r="E125" s="645" t="b">
        <v>1</v>
      </c>
      <c r="F125" s="646" t="str">
        <f t="shared" si="16"/>
        <v>PAGADO</v>
      </c>
      <c r="G125" s="340" t="s">
        <v>2286</v>
      </c>
      <c r="H125" s="646" t="str">
        <f t="shared" si="19"/>
        <v>VENCIDA</v>
      </c>
      <c r="I125" s="647">
        <f t="shared" si="21"/>
        <v>270</v>
      </c>
      <c r="J125" s="652" t="b">
        <v>1</v>
      </c>
    </row>
    <row r="126">
      <c r="A126" s="643" t="s">
        <v>209</v>
      </c>
      <c r="B126" s="644">
        <v>45875.0</v>
      </c>
      <c r="C126" s="644">
        <v>45879.0</v>
      </c>
      <c r="D126" s="643">
        <v>142499.15</v>
      </c>
      <c r="E126" s="645" t="b">
        <v>1</v>
      </c>
      <c r="F126" s="646" t="str">
        <f t="shared" si="16"/>
        <v>PAGADO</v>
      </c>
      <c r="G126" s="340" t="s">
        <v>2278</v>
      </c>
      <c r="H126" s="646" t="str">
        <f t="shared" si="19"/>
        <v>VENCIDA</v>
      </c>
      <c r="I126" s="647">
        <f t="shared" si="21"/>
        <v>288</v>
      </c>
      <c r="J126" s="656" t="b">
        <v>0</v>
      </c>
    </row>
    <row r="127">
      <c r="A127" s="643" t="s">
        <v>2299</v>
      </c>
      <c r="B127" s="644"/>
      <c r="C127" s="643"/>
      <c r="D127" s="643">
        <v>54736.0</v>
      </c>
      <c r="E127" s="645" t="b">
        <v>0</v>
      </c>
      <c r="F127" s="646" t="str">
        <f t="shared" si="16"/>
        <v>ADEUDA</v>
      </c>
      <c r="G127" s="340" t="s">
        <v>2292</v>
      </c>
      <c r="H127" s="646" t="str">
        <f t="shared" si="19"/>
        <v>VENCIDA</v>
      </c>
      <c r="I127" s="651">
        <f t="shared" si="21"/>
        <v>46167</v>
      </c>
      <c r="J127" s="656" t="b">
        <v>0</v>
      </c>
    </row>
    <row r="128">
      <c r="A128" s="643" t="s">
        <v>2315</v>
      </c>
      <c r="B128" s="644"/>
      <c r="C128" s="643"/>
      <c r="D128" s="643"/>
      <c r="E128" s="645" t="b">
        <v>0</v>
      </c>
      <c r="F128" s="646" t="str">
        <f t="shared" si="16"/>
        <v>ADEUDA</v>
      </c>
      <c r="G128" s="340" t="s">
        <v>2292</v>
      </c>
      <c r="H128" s="646" t="str">
        <f t="shared" si="19"/>
        <v>VENCIDA</v>
      </c>
      <c r="I128" s="651">
        <f t="shared" si="21"/>
        <v>46167</v>
      </c>
      <c r="J128" s="656" t="b">
        <v>0</v>
      </c>
    </row>
    <row r="129">
      <c r="A129" s="643"/>
      <c r="B129" s="644"/>
      <c r="C129" s="643"/>
      <c r="D129" s="643"/>
      <c r="E129" s="645" t="b">
        <v>0</v>
      </c>
      <c r="F129" s="646" t="str">
        <f t="shared" si="16"/>
        <v>ADEUDA</v>
      </c>
      <c r="G129" s="340" t="s">
        <v>2292</v>
      </c>
      <c r="H129" s="646" t="str">
        <f t="shared" si="19"/>
        <v>VENCIDA</v>
      </c>
      <c r="I129" s="651">
        <f t="shared" si="21"/>
        <v>46167</v>
      </c>
      <c r="J129" s="656" t="b">
        <v>0</v>
      </c>
    </row>
    <row r="130">
      <c r="A130" s="644"/>
      <c r="B130" s="644"/>
      <c r="C130" s="644">
        <f>B130+30</f>
        <v>30</v>
      </c>
      <c r="D130" s="643"/>
      <c r="E130" s="658" t="b">
        <v>0</v>
      </c>
      <c r="F130" s="646" t="str">
        <f t="shared" si="16"/>
        <v>ADEUDA</v>
      </c>
      <c r="G130" s="340" t="s">
        <v>2278</v>
      </c>
      <c r="H130" s="646" t="str">
        <f t="shared" si="19"/>
        <v>VENCIDA</v>
      </c>
      <c r="I130" s="647">
        <f t="shared" si="21"/>
        <v>46137</v>
      </c>
      <c r="J130" s="656" t="b">
        <v>0</v>
      </c>
    </row>
    <row r="131">
      <c r="A131" s="661" t="s">
        <v>45</v>
      </c>
      <c r="B131" s="242"/>
      <c r="C131" s="242"/>
      <c r="D131" s="242"/>
      <c r="E131" s="242"/>
      <c r="F131" s="242"/>
      <c r="G131" s="242"/>
      <c r="H131" s="242"/>
      <c r="I131" s="242"/>
      <c r="J131" s="662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663"/>
    </row>
    <row r="133">
      <c r="A133" s="664" t="s">
        <v>2265</v>
      </c>
      <c r="B133" s="636"/>
      <c r="C133" s="636"/>
      <c r="D133" s="636"/>
      <c r="E133" s="636"/>
      <c r="F133" s="636"/>
      <c r="G133" s="636"/>
      <c r="H133" s="636"/>
      <c r="I133" s="665"/>
      <c r="J133" s="666"/>
    </row>
    <row r="134">
      <c r="A134" s="667" t="s">
        <v>2266</v>
      </c>
      <c r="B134" s="667" t="s">
        <v>2267</v>
      </c>
      <c r="C134" s="667" t="s">
        <v>2268</v>
      </c>
      <c r="D134" s="667" t="s">
        <v>2269</v>
      </c>
      <c r="E134" s="668" t="s">
        <v>2270</v>
      </c>
      <c r="F134" s="637"/>
      <c r="G134" s="667" t="s">
        <v>2271</v>
      </c>
      <c r="H134" s="667" t="s">
        <v>2272</v>
      </c>
      <c r="I134" s="669" t="s">
        <v>2273</v>
      </c>
      <c r="J134" s="669" t="s">
        <v>2274</v>
      </c>
    </row>
    <row r="135">
      <c r="A135" s="670" t="s">
        <v>2311</v>
      </c>
      <c r="B135" s="671">
        <v>45924.0</v>
      </c>
      <c r="C135" s="672"/>
      <c r="D135" s="673">
        <v>620521.87</v>
      </c>
      <c r="E135" s="674" t="b">
        <v>1</v>
      </c>
      <c r="F135" s="675" t="str">
        <f t="shared" ref="F135:F163" si="22">IF(E135,"PAGADO","ADEUDA")</f>
        <v>PAGADO</v>
      </c>
      <c r="G135" s="676" t="s">
        <v>2278</v>
      </c>
      <c r="H135" s="677" t="str">
        <f t="shared" ref="H135:H140" si="23">IF(C135&lt;TODAY(),"VENCIDA",IF(C135=TODAY(),"VENCE HOY",IF(C135&gt;TODAY(),"VIGENTE")))</f>
        <v>VENCIDA</v>
      </c>
      <c r="I135" s="678"/>
      <c r="J135" s="679" t="b">
        <v>0</v>
      </c>
    </row>
    <row r="136">
      <c r="A136" s="670" t="s">
        <v>2275</v>
      </c>
      <c r="B136" s="680">
        <v>45924.0</v>
      </c>
      <c r="C136" s="672"/>
      <c r="D136" s="673">
        <v>374640.0</v>
      </c>
      <c r="E136" s="681" t="b">
        <v>0</v>
      </c>
      <c r="F136" s="675" t="str">
        <f t="shared" si="22"/>
        <v>ADEUDA</v>
      </c>
      <c r="G136" s="676" t="s">
        <v>2278</v>
      </c>
      <c r="H136" s="677" t="str">
        <f t="shared" si="23"/>
        <v>VENCIDA</v>
      </c>
      <c r="I136" s="682">
        <f t="shared" ref="I136:I138" si="24">TODAY()-B136</f>
        <v>243</v>
      </c>
      <c r="J136" s="679" t="b">
        <v>0</v>
      </c>
    </row>
    <row r="137">
      <c r="A137" s="670" t="s">
        <v>2302</v>
      </c>
      <c r="B137" s="683">
        <v>45784.0</v>
      </c>
      <c r="C137" s="672"/>
      <c r="D137" s="684">
        <v>136330.63</v>
      </c>
      <c r="E137" s="674" t="b">
        <v>0</v>
      </c>
      <c r="F137" s="675" t="str">
        <f t="shared" si="22"/>
        <v>ADEUDA</v>
      </c>
      <c r="G137" s="676" t="s">
        <v>2278</v>
      </c>
      <c r="H137" s="677" t="str">
        <f t="shared" si="23"/>
        <v>VENCIDA</v>
      </c>
      <c r="I137" s="682">
        <f t="shared" si="24"/>
        <v>383</v>
      </c>
      <c r="J137" s="679" t="b">
        <v>0</v>
      </c>
    </row>
    <row r="138">
      <c r="A138" s="670" t="s">
        <v>2284</v>
      </c>
      <c r="B138" s="680">
        <v>45924.0</v>
      </c>
      <c r="C138" s="683"/>
      <c r="D138" s="673">
        <v>69993.3</v>
      </c>
      <c r="E138" s="674" t="b">
        <v>1</v>
      </c>
      <c r="F138" s="675" t="str">
        <f t="shared" si="22"/>
        <v>PAGADO</v>
      </c>
      <c r="G138" s="676" t="s">
        <v>2278</v>
      </c>
      <c r="H138" s="677" t="str">
        <f t="shared" si="23"/>
        <v>VENCIDA</v>
      </c>
      <c r="I138" s="682">
        <f t="shared" si="24"/>
        <v>243</v>
      </c>
      <c r="J138" s="685" t="b">
        <v>0</v>
      </c>
    </row>
    <row r="139">
      <c r="A139" s="686" t="s">
        <v>1666</v>
      </c>
      <c r="B139" s="672"/>
      <c r="C139" s="672"/>
      <c r="D139" s="673">
        <v>165347.69</v>
      </c>
      <c r="E139" s="674" t="b">
        <v>1</v>
      </c>
      <c r="F139" s="675" t="str">
        <f t="shared" si="22"/>
        <v>PAGADO</v>
      </c>
      <c r="G139" s="687" t="s">
        <v>2278</v>
      </c>
      <c r="H139" s="677" t="str">
        <f t="shared" si="23"/>
        <v>VENCIDA</v>
      </c>
      <c r="I139" s="682">
        <f t="shared" ref="I139:I140" si="25">TODAY()-C139</f>
        <v>46167</v>
      </c>
      <c r="J139" s="679" t="b">
        <v>0</v>
      </c>
    </row>
    <row r="140">
      <c r="A140" s="686" t="s">
        <v>2309</v>
      </c>
      <c r="B140" s="683"/>
      <c r="C140" s="672"/>
      <c r="D140" s="688">
        <v>72423.77</v>
      </c>
      <c r="E140" s="674" t="b">
        <v>1</v>
      </c>
      <c r="F140" s="675" t="str">
        <f t="shared" si="22"/>
        <v>PAGADO</v>
      </c>
      <c r="G140" s="687" t="s">
        <v>2276</v>
      </c>
      <c r="H140" s="677" t="str">
        <f t="shared" si="23"/>
        <v>VENCIDA</v>
      </c>
      <c r="I140" s="682">
        <f t="shared" si="25"/>
        <v>46167</v>
      </c>
      <c r="J140" s="679" t="b">
        <v>0</v>
      </c>
    </row>
    <row r="141">
      <c r="A141" s="689" t="s">
        <v>2316</v>
      </c>
      <c r="B141" s="672"/>
      <c r="C141" s="678"/>
      <c r="D141" s="673">
        <v>26112.0</v>
      </c>
      <c r="E141" s="674" t="b">
        <v>1</v>
      </c>
      <c r="F141" s="675" t="str">
        <f t="shared" si="22"/>
        <v>PAGADO</v>
      </c>
      <c r="G141" s="690" t="s">
        <v>2286</v>
      </c>
      <c r="H141" s="677"/>
      <c r="I141" s="691"/>
      <c r="J141" s="679" t="b">
        <v>0</v>
      </c>
    </row>
    <row r="142">
      <c r="A142" s="689" t="s">
        <v>2317</v>
      </c>
      <c r="B142" s="672"/>
      <c r="C142" s="678"/>
      <c r="D142" s="673">
        <v>18278.0</v>
      </c>
      <c r="E142" s="674" t="b">
        <v>1</v>
      </c>
      <c r="F142" s="675" t="str">
        <f t="shared" si="22"/>
        <v>PAGADO</v>
      </c>
      <c r="G142" s="690" t="s">
        <v>2286</v>
      </c>
      <c r="H142" s="677"/>
      <c r="I142" s="691"/>
      <c r="J142" s="679" t="b">
        <v>0</v>
      </c>
    </row>
    <row r="143">
      <c r="A143" s="689" t="s">
        <v>2318</v>
      </c>
      <c r="B143" s="672"/>
      <c r="C143" s="678"/>
      <c r="D143" s="673">
        <v>20415.41</v>
      </c>
      <c r="E143" s="674" t="b">
        <v>1</v>
      </c>
      <c r="F143" s="675" t="str">
        <f t="shared" si="22"/>
        <v>PAGADO</v>
      </c>
      <c r="G143" s="690" t="s">
        <v>2286</v>
      </c>
      <c r="H143" s="677"/>
      <c r="I143" s="691"/>
      <c r="J143" s="679" t="b">
        <v>0</v>
      </c>
    </row>
    <row r="144">
      <c r="A144" s="686" t="s">
        <v>199</v>
      </c>
      <c r="B144" s="672"/>
      <c r="C144" s="678"/>
      <c r="D144" s="688">
        <v>64082.92</v>
      </c>
      <c r="E144" s="681" t="b">
        <v>0</v>
      </c>
      <c r="F144" s="675" t="str">
        <f t="shared" si="22"/>
        <v>ADEUDA</v>
      </c>
      <c r="G144" s="687" t="s">
        <v>2276</v>
      </c>
      <c r="H144" s="677" t="str">
        <f t="shared" ref="H144:H163" si="26">IF(C144&lt;TODAY(),"VENCIDA",IF(C144=TODAY(),"VENCE HOY",IF(C144&gt;TODAY(),"VIGENTE")))</f>
        <v>VENCIDA</v>
      </c>
      <c r="I144" s="691">
        <f>TODAY()-C144</f>
        <v>46167</v>
      </c>
      <c r="J144" s="679" t="b">
        <v>0</v>
      </c>
    </row>
    <row r="145">
      <c r="A145" s="686" t="s">
        <v>200</v>
      </c>
      <c r="B145" s="672"/>
      <c r="C145" s="678"/>
      <c r="D145" s="688">
        <v>133820.81</v>
      </c>
      <c r="E145" s="681" t="b">
        <v>0</v>
      </c>
      <c r="F145" s="675" t="str">
        <f t="shared" si="22"/>
        <v>ADEUDA</v>
      </c>
      <c r="G145" s="687" t="s">
        <v>2286</v>
      </c>
      <c r="H145" s="677" t="str">
        <f t="shared" si="26"/>
        <v>VENCIDA</v>
      </c>
      <c r="I145" s="678"/>
      <c r="J145" s="692" t="b">
        <v>1</v>
      </c>
    </row>
    <row r="146">
      <c r="A146" s="686" t="s">
        <v>201</v>
      </c>
      <c r="B146" s="672"/>
      <c r="C146" s="678"/>
      <c r="D146" s="688">
        <v>84785.15</v>
      </c>
      <c r="E146" s="674" t="b">
        <v>0</v>
      </c>
      <c r="F146" s="675" t="str">
        <f t="shared" si="22"/>
        <v>ADEUDA</v>
      </c>
      <c r="G146" s="687" t="s">
        <v>2278</v>
      </c>
      <c r="H146" s="677" t="str">
        <f t="shared" si="26"/>
        <v>VENCIDA</v>
      </c>
      <c r="I146" s="691">
        <f t="shared" ref="I146:I163" si="27">TODAY()-C146</f>
        <v>46167</v>
      </c>
      <c r="J146" s="679" t="b">
        <v>0</v>
      </c>
    </row>
    <row r="147">
      <c r="A147" s="686" t="s">
        <v>192</v>
      </c>
      <c r="B147" s="672"/>
      <c r="C147" s="672"/>
      <c r="D147" s="688">
        <v>968000.0</v>
      </c>
      <c r="E147" s="674" t="b">
        <v>0</v>
      </c>
      <c r="F147" s="675" t="str">
        <f t="shared" si="22"/>
        <v>ADEUDA</v>
      </c>
      <c r="G147" s="687" t="s">
        <v>2278</v>
      </c>
      <c r="H147" s="677" t="str">
        <f t="shared" si="26"/>
        <v>VENCIDA</v>
      </c>
      <c r="I147" s="682">
        <f t="shared" si="27"/>
        <v>46167</v>
      </c>
      <c r="J147" s="679" t="b">
        <v>0</v>
      </c>
    </row>
    <row r="148">
      <c r="A148" s="686" t="s">
        <v>193</v>
      </c>
      <c r="B148" s="672"/>
      <c r="C148" s="672"/>
      <c r="D148" s="688">
        <v>700000.0</v>
      </c>
      <c r="E148" s="681" t="b">
        <v>0</v>
      </c>
      <c r="F148" s="675" t="str">
        <f t="shared" si="22"/>
        <v>ADEUDA</v>
      </c>
      <c r="G148" s="687" t="s">
        <v>2287</v>
      </c>
      <c r="H148" s="677" t="str">
        <f t="shared" si="26"/>
        <v>VENCIDA</v>
      </c>
      <c r="I148" s="682">
        <f t="shared" si="27"/>
        <v>46167</v>
      </c>
      <c r="J148" s="679" t="b">
        <v>0</v>
      </c>
    </row>
    <row r="149">
      <c r="A149" s="686" t="s">
        <v>194</v>
      </c>
      <c r="B149" s="672"/>
      <c r="C149" s="678"/>
      <c r="D149" s="673">
        <v>300000.0</v>
      </c>
      <c r="E149" s="674" t="b">
        <v>1</v>
      </c>
      <c r="F149" s="675" t="str">
        <f t="shared" si="22"/>
        <v>PAGADO</v>
      </c>
      <c r="G149" s="687" t="s">
        <v>2278</v>
      </c>
      <c r="H149" s="677" t="str">
        <f t="shared" si="26"/>
        <v>VENCIDA</v>
      </c>
      <c r="I149" s="691">
        <f t="shared" si="27"/>
        <v>46167</v>
      </c>
      <c r="J149" s="679" t="b">
        <v>0</v>
      </c>
    </row>
    <row r="150">
      <c r="A150" s="686" t="s">
        <v>2289</v>
      </c>
      <c r="B150" s="672"/>
      <c r="C150" s="678"/>
      <c r="D150" s="678"/>
      <c r="E150" s="674" t="b">
        <v>0</v>
      </c>
      <c r="F150" s="675" t="str">
        <f t="shared" si="22"/>
        <v>ADEUDA</v>
      </c>
      <c r="G150" s="687" t="s">
        <v>2278</v>
      </c>
      <c r="H150" s="677" t="str">
        <f t="shared" si="26"/>
        <v>VENCIDA</v>
      </c>
      <c r="I150" s="691">
        <f t="shared" si="27"/>
        <v>46167</v>
      </c>
      <c r="J150" s="679" t="b">
        <v>0</v>
      </c>
    </row>
    <row r="151">
      <c r="A151" s="686" t="s">
        <v>196</v>
      </c>
      <c r="B151" s="672"/>
      <c r="C151" s="672"/>
      <c r="D151" s="688">
        <v>142000.0</v>
      </c>
      <c r="E151" s="674" t="b">
        <v>1</v>
      </c>
      <c r="F151" s="675" t="str">
        <f t="shared" si="22"/>
        <v>PAGADO</v>
      </c>
      <c r="G151" s="687" t="s">
        <v>2276</v>
      </c>
      <c r="H151" s="677" t="str">
        <f t="shared" si="26"/>
        <v>VENCIDA</v>
      </c>
      <c r="I151" s="682">
        <f t="shared" si="27"/>
        <v>46167</v>
      </c>
      <c r="J151" s="679" t="b">
        <v>0</v>
      </c>
    </row>
    <row r="152">
      <c r="A152" s="686" t="s">
        <v>2290</v>
      </c>
      <c r="B152" s="672"/>
      <c r="C152" s="678"/>
      <c r="D152" s="693"/>
      <c r="E152" s="694" t="b">
        <v>0</v>
      </c>
      <c r="F152" s="675" t="str">
        <f t="shared" si="22"/>
        <v>ADEUDA</v>
      </c>
      <c r="G152" s="687" t="s">
        <v>2278</v>
      </c>
      <c r="H152" s="677" t="str">
        <f t="shared" si="26"/>
        <v>VENCIDA</v>
      </c>
      <c r="I152" s="691">
        <f t="shared" si="27"/>
        <v>46167</v>
      </c>
      <c r="J152" s="695" t="b">
        <v>0</v>
      </c>
    </row>
    <row r="153">
      <c r="A153" s="689" t="s">
        <v>2319</v>
      </c>
      <c r="B153" s="672"/>
      <c r="C153" s="678"/>
      <c r="D153" s="688"/>
      <c r="E153" s="696" t="b">
        <v>0</v>
      </c>
      <c r="F153" s="675" t="str">
        <f t="shared" si="22"/>
        <v>ADEUDA</v>
      </c>
      <c r="G153" s="687" t="s">
        <v>2292</v>
      </c>
      <c r="H153" s="677" t="str">
        <f t="shared" si="26"/>
        <v>VENCIDA</v>
      </c>
      <c r="I153" s="691">
        <f t="shared" si="27"/>
        <v>46167</v>
      </c>
      <c r="J153" s="695" t="b">
        <v>0</v>
      </c>
    </row>
    <row r="154">
      <c r="A154" s="686" t="s">
        <v>2293</v>
      </c>
      <c r="B154" s="672"/>
      <c r="C154" s="678"/>
      <c r="D154" s="688">
        <v>65087.59</v>
      </c>
      <c r="E154" s="694" t="b">
        <v>0</v>
      </c>
      <c r="F154" s="675" t="str">
        <f t="shared" si="22"/>
        <v>ADEUDA</v>
      </c>
      <c r="G154" s="687" t="s">
        <v>2278</v>
      </c>
      <c r="H154" s="677" t="str">
        <f t="shared" si="26"/>
        <v>VENCIDA</v>
      </c>
      <c r="I154" s="691">
        <f t="shared" si="27"/>
        <v>46167</v>
      </c>
      <c r="J154" s="695" t="b">
        <v>0</v>
      </c>
    </row>
    <row r="155">
      <c r="A155" s="686" t="s">
        <v>2294</v>
      </c>
      <c r="B155" s="672"/>
      <c r="C155" s="678"/>
      <c r="D155" s="688">
        <v>52070.07</v>
      </c>
      <c r="E155" s="694" t="b">
        <v>0</v>
      </c>
      <c r="F155" s="675" t="str">
        <f t="shared" si="22"/>
        <v>ADEUDA</v>
      </c>
      <c r="G155" s="687" t="s">
        <v>2278</v>
      </c>
      <c r="H155" s="677" t="str">
        <f t="shared" si="26"/>
        <v>VENCIDA</v>
      </c>
      <c r="I155" s="691">
        <f t="shared" si="27"/>
        <v>46167</v>
      </c>
      <c r="J155" s="695" t="b">
        <v>0</v>
      </c>
    </row>
    <row r="156">
      <c r="A156" s="686" t="s">
        <v>2295</v>
      </c>
      <c r="B156" s="672"/>
      <c r="C156" s="678"/>
      <c r="D156" s="688">
        <v>52070.07</v>
      </c>
      <c r="E156" s="694" t="b">
        <v>0</v>
      </c>
      <c r="F156" s="675" t="str">
        <f t="shared" si="22"/>
        <v>ADEUDA</v>
      </c>
      <c r="G156" s="687" t="s">
        <v>2278</v>
      </c>
      <c r="H156" s="677" t="str">
        <f t="shared" si="26"/>
        <v>VENCIDA</v>
      </c>
      <c r="I156" s="691">
        <f t="shared" si="27"/>
        <v>46167</v>
      </c>
      <c r="J156" s="695" t="b">
        <v>0</v>
      </c>
    </row>
    <row r="157">
      <c r="A157" s="686" t="s">
        <v>2314</v>
      </c>
      <c r="B157" s="672"/>
      <c r="C157" s="678"/>
      <c r="D157" s="678"/>
      <c r="E157" s="681" t="b">
        <v>0</v>
      </c>
      <c r="F157" s="675" t="str">
        <f t="shared" si="22"/>
        <v>ADEUDA</v>
      </c>
      <c r="G157" s="687" t="s">
        <v>2292</v>
      </c>
      <c r="H157" s="677" t="str">
        <f t="shared" si="26"/>
        <v>VENCIDA</v>
      </c>
      <c r="I157" s="691">
        <f t="shared" si="27"/>
        <v>46167</v>
      </c>
      <c r="J157" s="679" t="b">
        <v>0</v>
      </c>
    </row>
    <row r="158">
      <c r="A158" s="686" t="s">
        <v>2298</v>
      </c>
      <c r="B158" s="680">
        <v>45916.0</v>
      </c>
      <c r="C158" s="680">
        <v>45928.0</v>
      </c>
      <c r="D158" s="688">
        <v>901550.45</v>
      </c>
      <c r="E158" s="674" t="b">
        <v>1</v>
      </c>
      <c r="F158" s="675" t="str">
        <f t="shared" si="22"/>
        <v>PAGADO</v>
      </c>
      <c r="G158" s="687" t="s">
        <v>2286</v>
      </c>
      <c r="H158" s="677" t="str">
        <f t="shared" si="26"/>
        <v>VENCIDA</v>
      </c>
      <c r="I158" s="682">
        <f t="shared" si="27"/>
        <v>239</v>
      </c>
      <c r="J158" s="692" t="b">
        <v>1</v>
      </c>
    </row>
    <row r="159">
      <c r="A159" s="686" t="s">
        <v>209</v>
      </c>
      <c r="B159" s="680">
        <v>45906.0</v>
      </c>
      <c r="C159" s="680">
        <v>45910.0</v>
      </c>
      <c r="D159" s="688">
        <v>142499.15</v>
      </c>
      <c r="E159" s="674" t="b">
        <v>1</v>
      </c>
      <c r="F159" s="675" t="str">
        <f t="shared" si="22"/>
        <v>PAGADO</v>
      </c>
      <c r="G159" s="687" t="s">
        <v>2278</v>
      </c>
      <c r="H159" s="677" t="str">
        <f t="shared" si="26"/>
        <v>VENCIDA</v>
      </c>
      <c r="I159" s="682">
        <f t="shared" si="27"/>
        <v>257</v>
      </c>
      <c r="J159" s="679" t="b">
        <v>0</v>
      </c>
    </row>
    <row r="160">
      <c r="A160" s="686" t="s">
        <v>2299</v>
      </c>
      <c r="B160" s="672"/>
      <c r="C160" s="678"/>
      <c r="D160" s="688">
        <v>54736.0</v>
      </c>
      <c r="E160" s="681" t="b">
        <v>0</v>
      </c>
      <c r="F160" s="675" t="str">
        <f t="shared" si="22"/>
        <v>ADEUDA</v>
      </c>
      <c r="G160" s="687" t="s">
        <v>2292</v>
      </c>
      <c r="H160" s="677" t="str">
        <f t="shared" si="26"/>
        <v>VENCIDA</v>
      </c>
      <c r="I160" s="691">
        <f t="shared" si="27"/>
        <v>46167</v>
      </c>
      <c r="J160" s="679" t="b">
        <v>0</v>
      </c>
    </row>
    <row r="161">
      <c r="A161" s="686" t="s">
        <v>2315</v>
      </c>
      <c r="B161" s="672"/>
      <c r="C161" s="678"/>
      <c r="D161" s="678"/>
      <c r="E161" s="681" t="b">
        <v>0</v>
      </c>
      <c r="F161" s="675" t="str">
        <f t="shared" si="22"/>
        <v>ADEUDA</v>
      </c>
      <c r="G161" s="687" t="s">
        <v>2292</v>
      </c>
      <c r="H161" s="677" t="str">
        <f t="shared" si="26"/>
        <v>VENCIDA</v>
      </c>
      <c r="I161" s="691">
        <f t="shared" si="27"/>
        <v>46167</v>
      </c>
      <c r="J161" s="679" t="b">
        <v>0</v>
      </c>
    </row>
    <row r="162">
      <c r="A162" s="678"/>
      <c r="B162" s="672"/>
      <c r="C162" s="678"/>
      <c r="D162" s="678"/>
      <c r="E162" s="681" t="b">
        <v>0</v>
      </c>
      <c r="F162" s="675" t="str">
        <f t="shared" si="22"/>
        <v>ADEUDA</v>
      </c>
      <c r="G162" s="687" t="s">
        <v>2292</v>
      </c>
      <c r="H162" s="677" t="str">
        <f t="shared" si="26"/>
        <v>VENCIDA</v>
      </c>
      <c r="I162" s="691">
        <f t="shared" si="27"/>
        <v>46167</v>
      </c>
      <c r="J162" s="679" t="b">
        <v>0</v>
      </c>
    </row>
    <row r="163">
      <c r="A163" s="672"/>
      <c r="B163" s="672"/>
      <c r="C163" s="683">
        <f>B163+30</f>
        <v>30</v>
      </c>
      <c r="D163" s="678"/>
      <c r="E163" s="681" t="b">
        <v>0</v>
      </c>
      <c r="F163" s="675" t="str">
        <f t="shared" si="22"/>
        <v>ADEUDA</v>
      </c>
      <c r="G163" s="687" t="s">
        <v>2278</v>
      </c>
      <c r="H163" s="677" t="str">
        <f t="shared" si="26"/>
        <v>VENCIDA</v>
      </c>
      <c r="I163" s="682">
        <f t="shared" si="27"/>
        <v>46137</v>
      </c>
      <c r="J163" s="679" t="b">
        <v>0</v>
      </c>
    </row>
    <row r="164">
      <c r="A164" s="661" t="s">
        <v>49</v>
      </c>
      <c r="B164" s="242"/>
      <c r="C164" s="242"/>
      <c r="D164" s="242"/>
      <c r="E164" s="242"/>
      <c r="F164" s="242"/>
      <c r="G164" s="242"/>
      <c r="H164" s="242"/>
      <c r="I164" s="242"/>
      <c r="J164" s="662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663"/>
    </row>
    <row r="166">
      <c r="A166" s="664" t="s">
        <v>2265</v>
      </c>
      <c r="B166" s="636"/>
      <c r="C166" s="636"/>
      <c r="D166" s="636"/>
      <c r="E166" s="636"/>
      <c r="F166" s="636"/>
      <c r="G166" s="636"/>
      <c r="H166" s="636"/>
      <c r="I166" s="665"/>
      <c r="J166" s="666"/>
    </row>
    <row r="167">
      <c r="A167" s="667" t="s">
        <v>2266</v>
      </c>
      <c r="B167" s="667" t="s">
        <v>2267</v>
      </c>
      <c r="C167" s="667" t="s">
        <v>2268</v>
      </c>
      <c r="D167" s="667" t="s">
        <v>2269</v>
      </c>
      <c r="E167" s="668" t="s">
        <v>2270</v>
      </c>
      <c r="F167" s="637"/>
      <c r="G167" s="667" t="s">
        <v>2271</v>
      </c>
      <c r="H167" s="667" t="s">
        <v>2272</v>
      </c>
      <c r="I167" s="669" t="s">
        <v>2273</v>
      </c>
      <c r="J167" s="669" t="s">
        <v>2274</v>
      </c>
    </row>
    <row r="168">
      <c r="A168" s="670" t="s">
        <v>2311</v>
      </c>
      <c r="B168" s="671"/>
      <c r="C168" s="672"/>
      <c r="D168" s="673">
        <v>368898.0</v>
      </c>
      <c r="E168" s="674" t="b">
        <v>1</v>
      </c>
      <c r="F168" s="675" t="str">
        <f t="shared" ref="F168:F198" si="28">IF(E168,"PAGADO","ADEUDA")</f>
        <v>PAGADO</v>
      </c>
      <c r="G168" s="676" t="s">
        <v>2278</v>
      </c>
      <c r="H168" s="677" t="str">
        <f t="shared" ref="H168:H173" si="29">IF(C168&lt;TODAY(),"VENCIDA",IF(C168=TODAY(),"VENCE HOY",IF(C168&gt;TODAY(),"VIGENTE")))</f>
        <v>VENCIDA</v>
      </c>
      <c r="I168" s="678"/>
      <c r="J168" s="679" t="b">
        <v>0</v>
      </c>
    </row>
    <row r="169">
      <c r="A169" s="670" t="s">
        <v>2275</v>
      </c>
      <c r="B169" s="680"/>
      <c r="C169" s="672"/>
      <c r="D169" s="673"/>
      <c r="E169" s="681" t="b">
        <v>0</v>
      </c>
      <c r="F169" s="675" t="str">
        <f t="shared" si="28"/>
        <v>ADEUDA</v>
      </c>
      <c r="G169" s="676" t="s">
        <v>2278</v>
      </c>
      <c r="H169" s="677" t="str">
        <f t="shared" si="29"/>
        <v>VENCIDA</v>
      </c>
      <c r="I169" s="682">
        <f t="shared" ref="I169:I171" si="30">TODAY()-B169</f>
        <v>46167</v>
      </c>
      <c r="J169" s="679" t="b">
        <v>0</v>
      </c>
    </row>
    <row r="170">
      <c r="A170" s="689" t="s">
        <v>2320</v>
      </c>
      <c r="B170" s="680">
        <v>45947.0</v>
      </c>
      <c r="C170" s="672"/>
      <c r="D170" s="673">
        <v>897600.0</v>
      </c>
      <c r="E170" s="674" t="b">
        <v>0</v>
      </c>
      <c r="F170" s="675" t="str">
        <f t="shared" si="28"/>
        <v>ADEUDA</v>
      </c>
      <c r="G170" s="676" t="s">
        <v>2278</v>
      </c>
      <c r="H170" s="677" t="str">
        <f t="shared" si="29"/>
        <v>VENCIDA</v>
      </c>
      <c r="I170" s="682">
        <f t="shared" si="30"/>
        <v>220</v>
      </c>
      <c r="J170" s="679" t="b">
        <v>0</v>
      </c>
    </row>
    <row r="171">
      <c r="A171" s="689" t="s">
        <v>2321</v>
      </c>
      <c r="B171" s="680">
        <v>45938.0</v>
      </c>
      <c r="C171" s="683"/>
      <c r="D171" s="673">
        <v>69993.3</v>
      </c>
      <c r="E171" s="674" t="b">
        <v>0</v>
      </c>
      <c r="F171" s="675" t="str">
        <f t="shared" si="28"/>
        <v>ADEUDA</v>
      </c>
      <c r="G171" s="676" t="s">
        <v>2278</v>
      </c>
      <c r="H171" s="677" t="str">
        <f t="shared" si="29"/>
        <v>VENCIDA</v>
      </c>
      <c r="I171" s="682">
        <f t="shared" si="30"/>
        <v>229</v>
      </c>
      <c r="J171" s="685" t="b">
        <v>0</v>
      </c>
    </row>
    <row r="172">
      <c r="A172" s="686" t="s">
        <v>1666</v>
      </c>
      <c r="B172" s="672"/>
      <c r="C172" s="672"/>
      <c r="D172" s="673">
        <v>164713.0</v>
      </c>
      <c r="E172" s="674" t="b">
        <v>1</v>
      </c>
      <c r="F172" s="675" t="str">
        <f t="shared" si="28"/>
        <v>PAGADO</v>
      </c>
      <c r="G172" s="687" t="s">
        <v>2278</v>
      </c>
      <c r="H172" s="677" t="str">
        <f t="shared" si="29"/>
        <v>VENCIDA</v>
      </c>
      <c r="I172" s="682">
        <f t="shared" ref="I172:I173" si="31">TODAY()-C172</f>
        <v>46167</v>
      </c>
      <c r="J172" s="679" t="b">
        <v>0</v>
      </c>
    </row>
    <row r="173">
      <c r="A173" s="686" t="s">
        <v>2309</v>
      </c>
      <c r="B173" s="683"/>
      <c r="C173" s="672"/>
      <c r="D173" s="673">
        <v>73582.54</v>
      </c>
      <c r="E173" s="674" t="b">
        <v>0</v>
      </c>
      <c r="F173" s="675" t="str">
        <f t="shared" si="28"/>
        <v>ADEUDA</v>
      </c>
      <c r="G173" s="687" t="s">
        <v>2276</v>
      </c>
      <c r="H173" s="677" t="str">
        <f t="shared" si="29"/>
        <v>VENCIDA</v>
      </c>
      <c r="I173" s="682">
        <f t="shared" si="31"/>
        <v>46167</v>
      </c>
      <c r="J173" s="679" t="b">
        <v>0</v>
      </c>
    </row>
    <row r="174">
      <c r="A174" s="689" t="s">
        <v>2316</v>
      </c>
      <c r="B174" s="672"/>
      <c r="C174" s="678"/>
      <c r="D174" s="673">
        <v>26112.0</v>
      </c>
      <c r="E174" s="674" t="b">
        <v>1</v>
      </c>
      <c r="F174" s="675" t="str">
        <f t="shared" si="28"/>
        <v>PAGADO</v>
      </c>
      <c r="G174" s="690" t="s">
        <v>2286</v>
      </c>
      <c r="H174" s="677"/>
      <c r="I174" s="691"/>
      <c r="J174" s="679" t="b">
        <v>0</v>
      </c>
    </row>
    <row r="175">
      <c r="A175" s="689" t="s">
        <v>2317</v>
      </c>
      <c r="B175" s="672"/>
      <c r="C175" s="678"/>
      <c r="D175" s="673">
        <v>18278.0</v>
      </c>
      <c r="E175" s="674" t="b">
        <v>1</v>
      </c>
      <c r="F175" s="675" t="str">
        <f t="shared" si="28"/>
        <v>PAGADO</v>
      </c>
      <c r="G175" s="690" t="s">
        <v>2286</v>
      </c>
      <c r="H175" s="677"/>
      <c r="I175" s="691"/>
      <c r="J175" s="679" t="b">
        <v>0</v>
      </c>
    </row>
    <row r="176">
      <c r="A176" s="689" t="s">
        <v>2318</v>
      </c>
      <c r="B176" s="672"/>
      <c r="C176" s="678"/>
      <c r="D176" s="673">
        <v>20415.41</v>
      </c>
      <c r="E176" s="674" t="b">
        <v>1</v>
      </c>
      <c r="F176" s="675" t="str">
        <f t="shared" si="28"/>
        <v>PAGADO</v>
      </c>
      <c r="G176" s="690" t="s">
        <v>2286</v>
      </c>
      <c r="H176" s="677"/>
      <c r="I176" s="691"/>
      <c r="J176" s="679" t="b">
        <v>0</v>
      </c>
    </row>
    <row r="177">
      <c r="A177" s="686" t="s">
        <v>199</v>
      </c>
      <c r="B177" s="672"/>
      <c r="C177" s="678"/>
      <c r="D177" s="673">
        <v>135855.78</v>
      </c>
      <c r="E177" s="674" t="b">
        <v>1</v>
      </c>
      <c r="F177" s="675" t="str">
        <f t="shared" si="28"/>
        <v>PAGADO</v>
      </c>
      <c r="G177" s="687" t="s">
        <v>2276</v>
      </c>
      <c r="H177" s="677" t="str">
        <f t="shared" ref="H177:H198" si="32">IF(C177&lt;TODAY(),"VENCIDA",IF(C177=TODAY(),"VENCE HOY",IF(C177&gt;TODAY(),"VIGENTE")))</f>
        <v>VENCIDA</v>
      </c>
      <c r="I177" s="691">
        <f>TODAY()-C177</f>
        <v>46167</v>
      </c>
      <c r="J177" s="679" t="b">
        <v>0</v>
      </c>
    </row>
    <row r="178">
      <c r="A178" s="686" t="s">
        <v>200</v>
      </c>
      <c r="B178" s="672"/>
      <c r="C178" s="678"/>
      <c r="D178" s="688">
        <v>133820.81</v>
      </c>
      <c r="E178" s="681" t="b">
        <v>0</v>
      </c>
      <c r="F178" s="675" t="str">
        <f t="shared" si="28"/>
        <v>ADEUDA</v>
      </c>
      <c r="G178" s="687" t="s">
        <v>2286</v>
      </c>
      <c r="H178" s="677" t="str">
        <f t="shared" si="32"/>
        <v>VENCIDA</v>
      </c>
      <c r="I178" s="678"/>
      <c r="J178" s="692" t="b">
        <v>1</v>
      </c>
    </row>
    <row r="179">
      <c r="A179" s="686" t="s">
        <v>201</v>
      </c>
      <c r="B179" s="672"/>
      <c r="C179" s="678"/>
      <c r="D179" s="688">
        <v>84785.15</v>
      </c>
      <c r="E179" s="674" t="b">
        <v>0</v>
      </c>
      <c r="F179" s="675" t="str">
        <f t="shared" si="28"/>
        <v>ADEUDA</v>
      </c>
      <c r="G179" s="687" t="s">
        <v>2278</v>
      </c>
      <c r="H179" s="677" t="str">
        <f t="shared" si="32"/>
        <v>VENCIDA</v>
      </c>
      <c r="I179" s="691">
        <f t="shared" ref="I179:I198" si="33">TODAY()-C179</f>
        <v>46167</v>
      </c>
      <c r="J179" s="679" t="b">
        <v>0</v>
      </c>
    </row>
    <row r="180">
      <c r="A180" s="686" t="s">
        <v>192</v>
      </c>
      <c r="B180" s="672"/>
      <c r="C180" s="672"/>
      <c r="D180" s="688">
        <v>968000.0</v>
      </c>
      <c r="E180" s="674" t="b">
        <v>1</v>
      </c>
      <c r="F180" s="675" t="str">
        <f t="shared" si="28"/>
        <v>PAGADO</v>
      </c>
      <c r="G180" s="687" t="s">
        <v>2278</v>
      </c>
      <c r="H180" s="677" t="str">
        <f t="shared" si="32"/>
        <v>VENCIDA</v>
      </c>
      <c r="I180" s="682">
        <f t="shared" si="33"/>
        <v>46167</v>
      </c>
      <c r="J180" s="679" t="b">
        <v>0</v>
      </c>
    </row>
    <row r="181">
      <c r="A181" s="686" t="s">
        <v>193</v>
      </c>
      <c r="B181" s="672"/>
      <c r="C181" s="672"/>
      <c r="D181" s="688">
        <v>700000.0</v>
      </c>
      <c r="E181" s="674" t="b">
        <v>1</v>
      </c>
      <c r="F181" s="675" t="str">
        <f t="shared" si="28"/>
        <v>PAGADO</v>
      </c>
      <c r="G181" s="687" t="s">
        <v>2287</v>
      </c>
      <c r="H181" s="677" t="str">
        <f t="shared" si="32"/>
        <v>VENCIDA</v>
      </c>
      <c r="I181" s="682">
        <f t="shared" si="33"/>
        <v>46167</v>
      </c>
      <c r="J181" s="679" t="b">
        <v>0</v>
      </c>
    </row>
    <row r="182">
      <c r="A182" s="686" t="s">
        <v>194</v>
      </c>
      <c r="B182" s="672"/>
      <c r="C182" s="678"/>
      <c r="D182" s="673"/>
      <c r="E182" s="674" t="b">
        <v>0</v>
      </c>
      <c r="F182" s="675" t="str">
        <f t="shared" si="28"/>
        <v>ADEUDA</v>
      </c>
      <c r="G182" s="687" t="s">
        <v>2278</v>
      </c>
      <c r="H182" s="677" t="str">
        <f t="shared" si="32"/>
        <v>VENCIDA</v>
      </c>
      <c r="I182" s="691">
        <f t="shared" si="33"/>
        <v>46167</v>
      </c>
      <c r="J182" s="679" t="b">
        <v>0</v>
      </c>
    </row>
    <row r="183">
      <c r="A183" s="686" t="s">
        <v>2289</v>
      </c>
      <c r="B183" s="672"/>
      <c r="C183" s="678"/>
      <c r="D183" s="678"/>
      <c r="E183" s="674" t="b">
        <v>0</v>
      </c>
      <c r="F183" s="675" t="str">
        <f t="shared" si="28"/>
        <v>ADEUDA</v>
      </c>
      <c r="G183" s="687" t="s">
        <v>2278</v>
      </c>
      <c r="H183" s="677" t="str">
        <f t="shared" si="32"/>
        <v>VENCIDA</v>
      </c>
      <c r="I183" s="691">
        <f t="shared" si="33"/>
        <v>46167</v>
      </c>
      <c r="J183" s="679" t="b">
        <v>0</v>
      </c>
    </row>
    <row r="184">
      <c r="A184" s="686" t="s">
        <v>196</v>
      </c>
      <c r="B184" s="672"/>
      <c r="C184" s="672"/>
      <c r="D184" s="688">
        <v>142000.0</v>
      </c>
      <c r="E184" s="674" t="b">
        <v>1</v>
      </c>
      <c r="F184" s="675" t="str">
        <f t="shared" si="28"/>
        <v>PAGADO</v>
      </c>
      <c r="G184" s="687" t="s">
        <v>2276</v>
      </c>
      <c r="H184" s="677" t="str">
        <f t="shared" si="32"/>
        <v>VENCIDA</v>
      </c>
      <c r="I184" s="682">
        <f t="shared" si="33"/>
        <v>46167</v>
      </c>
      <c r="J184" s="679" t="b">
        <v>0</v>
      </c>
    </row>
    <row r="185">
      <c r="A185" s="686" t="s">
        <v>2290</v>
      </c>
      <c r="B185" s="672"/>
      <c r="C185" s="678"/>
      <c r="D185" s="693"/>
      <c r="E185" s="694" t="b">
        <v>0</v>
      </c>
      <c r="F185" s="675" t="str">
        <f t="shared" si="28"/>
        <v>ADEUDA</v>
      </c>
      <c r="G185" s="687" t="s">
        <v>2278</v>
      </c>
      <c r="H185" s="677" t="str">
        <f t="shared" si="32"/>
        <v>VENCIDA</v>
      </c>
      <c r="I185" s="691">
        <f t="shared" si="33"/>
        <v>46167</v>
      </c>
      <c r="J185" s="695" t="b">
        <v>0</v>
      </c>
    </row>
    <row r="186">
      <c r="A186" s="689" t="s">
        <v>2319</v>
      </c>
      <c r="B186" s="672"/>
      <c r="C186" s="678"/>
      <c r="D186" s="673">
        <v>842088.97</v>
      </c>
      <c r="E186" s="696" t="b">
        <v>1</v>
      </c>
      <c r="F186" s="675" t="str">
        <f t="shared" si="28"/>
        <v>PAGADO</v>
      </c>
      <c r="G186" s="687" t="s">
        <v>2292</v>
      </c>
      <c r="H186" s="677" t="str">
        <f t="shared" si="32"/>
        <v>VENCIDA</v>
      </c>
      <c r="I186" s="691">
        <f t="shared" si="33"/>
        <v>46167</v>
      </c>
      <c r="J186" s="695" t="b">
        <v>0</v>
      </c>
    </row>
    <row r="187">
      <c r="A187" s="686" t="s">
        <v>2293</v>
      </c>
      <c r="B187" s="672"/>
      <c r="C187" s="678"/>
      <c r="D187" s="688">
        <v>65087.59</v>
      </c>
      <c r="E187" s="694" t="b">
        <v>0</v>
      </c>
      <c r="F187" s="675" t="str">
        <f t="shared" si="28"/>
        <v>ADEUDA</v>
      </c>
      <c r="G187" s="687" t="s">
        <v>2278</v>
      </c>
      <c r="H187" s="677" t="str">
        <f t="shared" si="32"/>
        <v>VENCIDA</v>
      </c>
      <c r="I187" s="691">
        <f t="shared" si="33"/>
        <v>46167</v>
      </c>
      <c r="J187" s="695" t="b">
        <v>0</v>
      </c>
    </row>
    <row r="188">
      <c r="A188" s="686" t="s">
        <v>2294</v>
      </c>
      <c r="B188" s="672"/>
      <c r="C188" s="678"/>
      <c r="D188" s="688">
        <v>52070.07</v>
      </c>
      <c r="E188" s="694" t="b">
        <v>0</v>
      </c>
      <c r="F188" s="675" t="str">
        <f t="shared" si="28"/>
        <v>ADEUDA</v>
      </c>
      <c r="G188" s="687" t="s">
        <v>2278</v>
      </c>
      <c r="H188" s="677" t="str">
        <f t="shared" si="32"/>
        <v>VENCIDA</v>
      </c>
      <c r="I188" s="691">
        <f t="shared" si="33"/>
        <v>46167</v>
      </c>
      <c r="J188" s="695" t="b">
        <v>0</v>
      </c>
    </row>
    <row r="189">
      <c r="A189" s="686" t="s">
        <v>2295</v>
      </c>
      <c r="B189" s="672"/>
      <c r="C189" s="678"/>
      <c r="D189" s="688">
        <v>52070.07</v>
      </c>
      <c r="E189" s="694" t="b">
        <v>0</v>
      </c>
      <c r="F189" s="675" t="str">
        <f t="shared" si="28"/>
        <v>ADEUDA</v>
      </c>
      <c r="G189" s="687" t="s">
        <v>2278</v>
      </c>
      <c r="H189" s="677" t="str">
        <f t="shared" si="32"/>
        <v>VENCIDA</v>
      </c>
      <c r="I189" s="691">
        <f t="shared" si="33"/>
        <v>46167</v>
      </c>
      <c r="J189" s="695" t="b">
        <v>0</v>
      </c>
    </row>
    <row r="190">
      <c r="A190" s="686" t="s">
        <v>2314</v>
      </c>
      <c r="B190" s="672"/>
      <c r="C190" s="678"/>
      <c r="D190" s="678"/>
      <c r="E190" s="681" t="b">
        <v>0</v>
      </c>
      <c r="F190" s="675" t="str">
        <f t="shared" si="28"/>
        <v>ADEUDA</v>
      </c>
      <c r="G190" s="687" t="s">
        <v>2292</v>
      </c>
      <c r="H190" s="677" t="str">
        <f t="shared" si="32"/>
        <v>VENCIDA</v>
      </c>
      <c r="I190" s="691">
        <f t="shared" si="33"/>
        <v>46167</v>
      </c>
      <c r="J190" s="679" t="b">
        <v>0</v>
      </c>
    </row>
    <row r="191">
      <c r="A191" s="686" t="s">
        <v>2298</v>
      </c>
      <c r="B191" s="680">
        <v>45946.0</v>
      </c>
      <c r="C191" s="680">
        <v>45957.0</v>
      </c>
      <c r="D191" s="688">
        <v>901550.45</v>
      </c>
      <c r="E191" s="674" t="b">
        <v>1</v>
      </c>
      <c r="F191" s="675" t="str">
        <f t="shared" si="28"/>
        <v>PAGADO</v>
      </c>
      <c r="G191" s="687" t="s">
        <v>2286</v>
      </c>
      <c r="H191" s="677" t="str">
        <f t="shared" si="32"/>
        <v>VENCIDA</v>
      </c>
      <c r="I191" s="682">
        <f t="shared" si="33"/>
        <v>210</v>
      </c>
      <c r="J191" s="692" t="b">
        <v>1</v>
      </c>
    </row>
    <row r="192">
      <c r="A192" s="686" t="s">
        <v>209</v>
      </c>
      <c r="B192" s="680">
        <v>45936.0</v>
      </c>
      <c r="C192" s="680">
        <v>45940.0</v>
      </c>
      <c r="D192" s="688">
        <v>142499.15</v>
      </c>
      <c r="E192" s="674" t="b">
        <v>1</v>
      </c>
      <c r="F192" s="675" t="str">
        <f t="shared" si="28"/>
        <v>PAGADO</v>
      </c>
      <c r="G192" s="687" t="s">
        <v>2278</v>
      </c>
      <c r="H192" s="677" t="str">
        <f t="shared" si="32"/>
        <v>VENCIDA</v>
      </c>
      <c r="I192" s="682">
        <f t="shared" si="33"/>
        <v>227</v>
      </c>
      <c r="J192" s="679" t="b">
        <v>0</v>
      </c>
    </row>
    <row r="193">
      <c r="A193" s="686" t="s">
        <v>2299</v>
      </c>
      <c r="B193" s="672"/>
      <c r="C193" s="678"/>
      <c r="D193" s="688">
        <v>54736.0</v>
      </c>
      <c r="E193" s="674" t="b">
        <v>1</v>
      </c>
      <c r="F193" s="675" t="str">
        <f t="shared" si="28"/>
        <v>PAGADO</v>
      </c>
      <c r="G193" s="687" t="s">
        <v>2292</v>
      </c>
      <c r="H193" s="677" t="str">
        <f t="shared" si="32"/>
        <v>VENCIDA</v>
      </c>
      <c r="I193" s="691">
        <f t="shared" si="33"/>
        <v>46167</v>
      </c>
      <c r="J193" s="679" t="b">
        <v>0</v>
      </c>
    </row>
    <row r="194">
      <c r="A194" s="686" t="s">
        <v>2315</v>
      </c>
      <c r="B194" s="672"/>
      <c r="C194" s="678"/>
      <c r="D194" s="678"/>
      <c r="E194" s="681" t="b">
        <v>0</v>
      </c>
      <c r="F194" s="675" t="str">
        <f t="shared" si="28"/>
        <v>ADEUDA</v>
      </c>
      <c r="G194" s="687" t="s">
        <v>2292</v>
      </c>
      <c r="H194" s="677" t="str">
        <f t="shared" si="32"/>
        <v>VENCIDA</v>
      </c>
      <c r="I194" s="691">
        <f t="shared" si="33"/>
        <v>46167</v>
      </c>
      <c r="J194" s="679" t="b">
        <v>0</v>
      </c>
    </row>
    <row r="195">
      <c r="A195" s="678"/>
      <c r="B195" s="672"/>
      <c r="C195" s="678"/>
      <c r="D195" s="678"/>
      <c r="E195" s="681" t="b">
        <v>0</v>
      </c>
      <c r="F195" s="675" t="str">
        <f t="shared" si="28"/>
        <v>ADEUDA</v>
      </c>
      <c r="G195" s="687" t="s">
        <v>2292</v>
      </c>
      <c r="H195" s="677" t="str">
        <f t="shared" si="32"/>
        <v>VENCIDA</v>
      </c>
      <c r="I195" s="691">
        <f t="shared" si="33"/>
        <v>46167</v>
      </c>
      <c r="J195" s="679" t="b">
        <v>0</v>
      </c>
    </row>
    <row r="196">
      <c r="A196" s="672"/>
      <c r="B196" s="672"/>
      <c r="C196" s="683"/>
      <c r="D196" s="678"/>
      <c r="E196" s="681" t="b">
        <v>0</v>
      </c>
      <c r="F196" s="675" t="str">
        <f t="shared" si="28"/>
        <v>ADEUDA</v>
      </c>
      <c r="G196" s="687" t="s">
        <v>2278</v>
      </c>
      <c r="H196" s="677" t="str">
        <f t="shared" si="32"/>
        <v>VENCIDA</v>
      </c>
      <c r="I196" s="682">
        <f t="shared" si="33"/>
        <v>46167</v>
      </c>
      <c r="J196" s="679" t="b">
        <v>0</v>
      </c>
    </row>
    <row r="197">
      <c r="A197" s="672"/>
      <c r="B197" s="672"/>
      <c r="C197" s="683"/>
      <c r="D197" s="678"/>
      <c r="E197" s="681" t="b">
        <v>0</v>
      </c>
      <c r="F197" s="675" t="str">
        <f t="shared" si="28"/>
        <v>ADEUDA</v>
      </c>
      <c r="G197" s="687" t="s">
        <v>2278</v>
      </c>
      <c r="H197" s="677" t="str">
        <f t="shared" si="32"/>
        <v>VENCIDA</v>
      </c>
      <c r="I197" s="682">
        <f t="shared" si="33"/>
        <v>46167</v>
      </c>
      <c r="J197" s="679" t="b">
        <v>0</v>
      </c>
    </row>
    <row r="198">
      <c r="A198" s="672"/>
      <c r="B198" s="672"/>
      <c r="C198" s="683"/>
      <c r="D198" s="678"/>
      <c r="E198" s="681" t="b">
        <v>0</v>
      </c>
      <c r="F198" s="675" t="str">
        <f t="shared" si="28"/>
        <v>ADEUDA</v>
      </c>
      <c r="G198" s="687" t="s">
        <v>2278</v>
      </c>
      <c r="H198" s="677" t="str">
        <f t="shared" si="32"/>
        <v>VENCIDA</v>
      </c>
      <c r="I198" s="682">
        <f t="shared" si="33"/>
        <v>46167</v>
      </c>
      <c r="J198" s="679" t="b">
        <v>0</v>
      </c>
    </row>
    <row r="199">
      <c r="C199" s="697" t="s">
        <v>28</v>
      </c>
      <c r="D199" s="3">
        <f>D197+D198</f>
        <v>0</v>
      </c>
    </row>
    <row r="200">
      <c r="A200" s="661" t="s">
        <v>50</v>
      </c>
      <c r="B200" s="242"/>
      <c r="C200" s="242"/>
      <c r="D200" s="242"/>
      <c r="E200" s="242"/>
      <c r="F200" s="242"/>
      <c r="G200" s="242"/>
      <c r="H200" s="242"/>
      <c r="I200" s="242"/>
      <c r="J200" s="662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663"/>
    </row>
    <row r="202">
      <c r="A202" s="664" t="s">
        <v>2265</v>
      </c>
      <c r="B202" s="636"/>
      <c r="C202" s="636"/>
      <c r="D202" s="636"/>
      <c r="E202" s="636"/>
      <c r="F202" s="636"/>
      <c r="G202" s="636"/>
      <c r="H202" s="636"/>
      <c r="I202" s="665"/>
      <c r="J202" s="666"/>
    </row>
    <row r="203">
      <c r="A203" s="667" t="s">
        <v>2266</v>
      </c>
      <c r="B203" s="667" t="s">
        <v>2267</v>
      </c>
      <c r="C203" s="667" t="s">
        <v>2268</v>
      </c>
      <c r="D203" s="667" t="s">
        <v>2269</v>
      </c>
      <c r="E203" s="668" t="s">
        <v>2270</v>
      </c>
      <c r="F203" s="637"/>
      <c r="G203" s="667" t="s">
        <v>2271</v>
      </c>
      <c r="H203" s="667" t="s">
        <v>2272</v>
      </c>
      <c r="I203" s="669" t="s">
        <v>2273</v>
      </c>
      <c r="J203" s="669" t="s">
        <v>2274</v>
      </c>
    </row>
    <row r="204">
      <c r="A204" s="670" t="s">
        <v>2311</v>
      </c>
      <c r="B204" s="671"/>
      <c r="C204" s="672"/>
      <c r="D204" s="673"/>
      <c r="E204" s="674" t="b">
        <v>0</v>
      </c>
      <c r="F204" s="675" t="str">
        <f t="shared" ref="F204:F235" si="34">IF(E204,"PAGADO","ADEUDA")</f>
        <v>ADEUDA</v>
      </c>
      <c r="G204" s="676" t="s">
        <v>2278</v>
      </c>
      <c r="H204" s="677" t="str">
        <f t="shared" ref="H204:H209" si="35">IF(C204&lt;TODAY(),"VENCIDA",IF(C204=TODAY(),"VENCE HOY",IF(C204&gt;TODAY(),"VIGENTE")))</f>
        <v>VENCIDA</v>
      </c>
      <c r="I204" s="678"/>
      <c r="J204" s="679" t="b">
        <v>0</v>
      </c>
    </row>
    <row r="205">
      <c r="A205" s="670" t="s">
        <v>2275</v>
      </c>
      <c r="B205" s="680"/>
      <c r="C205" s="672"/>
      <c r="D205" s="673"/>
      <c r="E205" s="681" t="b">
        <v>0</v>
      </c>
      <c r="F205" s="675" t="str">
        <f t="shared" si="34"/>
        <v>ADEUDA</v>
      </c>
      <c r="G205" s="676" t="s">
        <v>2278</v>
      </c>
      <c r="H205" s="677" t="str">
        <f t="shared" si="35"/>
        <v>VENCIDA</v>
      </c>
      <c r="I205" s="682">
        <f t="shared" ref="I205:I207" si="36">TODAY()-B205</f>
        <v>46167</v>
      </c>
      <c r="J205" s="679" t="b">
        <v>0</v>
      </c>
    </row>
    <row r="206">
      <c r="A206" s="689" t="s">
        <v>2320</v>
      </c>
      <c r="B206" s="680">
        <v>45947.0</v>
      </c>
      <c r="C206" s="672"/>
      <c r="D206" s="673">
        <v>897600.0</v>
      </c>
      <c r="E206" s="674" t="b">
        <v>0</v>
      </c>
      <c r="F206" s="675" t="str">
        <f t="shared" si="34"/>
        <v>ADEUDA</v>
      </c>
      <c r="G206" s="676" t="s">
        <v>2278</v>
      </c>
      <c r="H206" s="677" t="str">
        <f t="shared" si="35"/>
        <v>VENCIDA</v>
      </c>
      <c r="I206" s="682">
        <f t="shared" si="36"/>
        <v>220</v>
      </c>
      <c r="J206" s="679" t="b">
        <v>0</v>
      </c>
    </row>
    <row r="207">
      <c r="A207" s="689" t="s">
        <v>2321</v>
      </c>
      <c r="B207" s="680">
        <v>46003.0</v>
      </c>
      <c r="C207" s="683"/>
      <c r="D207" s="673">
        <v>71148.0</v>
      </c>
      <c r="E207" s="674" t="b">
        <v>1</v>
      </c>
      <c r="F207" s="675" t="str">
        <f t="shared" si="34"/>
        <v>PAGADO</v>
      </c>
      <c r="G207" s="676" t="s">
        <v>2278</v>
      </c>
      <c r="H207" s="677" t="str">
        <f t="shared" si="35"/>
        <v>VENCIDA</v>
      </c>
      <c r="I207" s="682">
        <f t="shared" si="36"/>
        <v>164</v>
      </c>
      <c r="J207" s="685" t="b">
        <v>0</v>
      </c>
    </row>
    <row r="208">
      <c r="A208" s="686" t="s">
        <v>1666</v>
      </c>
      <c r="B208" s="672"/>
      <c r="C208" s="672"/>
      <c r="D208" s="673">
        <v>172840.0</v>
      </c>
      <c r="E208" s="674" t="b">
        <v>1</v>
      </c>
      <c r="F208" s="675" t="str">
        <f t="shared" si="34"/>
        <v>PAGADO</v>
      </c>
      <c r="G208" s="687" t="s">
        <v>2278</v>
      </c>
      <c r="H208" s="677" t="str">
        <f t="shared" si="35"/>
        <v>VENCIDA</v>
      </c>
      <c r="I208" s="682">
        <f t="shared" ref="I208:I209" si="37">TODAY()-C208</f>
        <v>46167</v>
      </c>
      <c r="J208" s="679" t="b">
        <v>0</v>
      </c>
    </row>
    <row r="209">
      <c r="A209" s="686" t="s">
        <v>2309</v>
      </c>
      <c r="B209" s="683"/>
      <c r="C209" s="672"/>
      <c r="D209" s="673">
        <v>75127.77</v>
      </c>
      <c r="E209" s="674" t="b">
        <v>0</v>
      </c>
      <c r="F209" s="675" t="str">
        <f t="shared" si="34"/>
        <v>ADEUDA</v>
      </c>
      <c r="G209" s="687" t="s">
        <v>2276</v>
      </c>
      <c r="H209" s="677" t="str">
        <f t="shared" si="35"/>
        <v>VENCIDA</v>
      </c>
      <c r="I209" s="682">
        <f t="shared" si="37"/>
        <v>46167</v>
      </c>
      <c r="J209" s="679" t="b">
        <v>0</v>
      </c>
    </row>
    <row r="210">
      <c r="A210" s="689" t="s">
        <v>2316</v>
      </c>
      <c r="B210" s="672"/>
      <c r="C210" s="678"/>
      <c r="D210" s="673">
        <v>26112.0</v>
      </c>
      <c r="E210" s="674" t="b">
        <v>1</v>
      </c>
      <c r="F210" s="675" t="str">
        <f t="shared" si="34"/>
        <v>PAGADO</v>
      </c>
      <c r="G210" s="690" t="s">
        <v>2286</v>
      </c>
      <c r="H210" s="677"/>
      <c r="I210" s="691"/>
      <c r="J210" s="679" t="b">
        <v>0</v>
      </c>
    </row>
    <row r="211">
      <c r="A211" s="689" t="s">
        <v>2317</v>
      </c>
      <c r="B211" s="672"/>
      <c r="C211" s="678"/>
      <c r="D211" s="673">
        <v>18278.0</v>
      </c>
      <c r="E211" s="674" t="b">
        <v>1</v>
      </c>
      <c r="F211" s="675" t="str">
        <f t="shared" si="34"/>
        <v>PAGADO</v>
      </c>
      <c r="G211" s="690" t="s">
        <v>2286</v>
      </c>
      <c r="H211" s="677"/>
      <c r="I211" s="691"/>
      <c r="J211" s="679" t="b">
        <v>0</v>
      </c>
    </row>
    <row r="212">
      <c r="A212" s="689" t="s">
        <v>2318</v>
      </c>
      <c r="B212" s="672"/>
      <c r="C212" s="678"/>
      <c r="D212" s="673">
        <v>20415.41</v>
      </c>
      <c r="E212" s="674" t="b">
        <v>0</v>
      </c>
      <c r="F212" s="675" t="str">
        <f t="shared" si="34"/>
        <v>ADEUDA</v>
      </c>
      <c r="G212" s="690" t="s">
        <v>2286</v>
      </c>
      <c r="H212" s="677"/>
      <c r="I212" s="691"/>
      <c r="J212" s="679" t="b">
        <v>0</v>
      </c>
    </row>
    <row r="213">
      <c r="A213" s="686" t="s">
        <v>199</v>
      </c>
      <c r="B213" s="672"/>
      <c r="C213" s="678"/>
      <c r="D213" s="673">
        <v>135855.78</v>
      </c>
      <c r="E213" s="674" t="b">
        <v>0</v>
      </c>
      <c r="F213" s="675" t="str">
        <f t="shared" si="34"/>
        <v>ADEUDA</v>
      </c>
      <c r="G213" s="687" t="s">
        <v>2276</v>
      </c>
      <c r="H213" s="677" t="str">
        <f t="shared" ref="H213:H235" si="38">IF(C213&lt;TODAY(),"VENCIDA",IF(C213=TODAY(),"VENCE HOY",IF(C213&gt;TODAY(),"VIGENTE")))</f>
        <v>VENCIDA</v>
      </c>
      <c r="I213" s="691">
        <f>TODAY()-C213</f>
        <v>46167</v>
      </c>
      <c r="J213" s="679" t="b">
        <v>0</v>
      </c>
    </row>
    <row r="214">
      <c r="A214" s="686" t="s">
        <v>200</v>
      </c>
      <c r="B214" s="672"/>
      <c r="C214" s="678"/>
      <c r="D214" s="673">
        <v>148541.1</v>
      </c>
      <c r="E214" s="674" t="b">
        <v>1</v>
      </c>
      <c r="F214" s="675" t="str">
        <f t="shared" si="34"/>
        <v>PAGADO</v>
      </c>
      <c r="G214" s="687" t="s">
        <v>2286</v>
      </c>
      <c r="H214" s="677" t="str">
        <f t="shared" si="38"/>
        <v>VENCIDA</v>
      </c>
      <c r="I214" s="678"/>
      <c r="J214" s="692" t="b">
        <v>1</v>
      </c>
    </row>
    <row r="215">
      <c r="A215" s="686" t="s">
        <v>201</v>
      </c>
      <c r="B215" s="672"/>
      <c r="C215" s="678"/>
      <c r="D215" s="688">
        <v>84785.15</v>
      </c>
      <c r="E215" s="674" t="b">
        <v>0</v>
      </c>
      <c r="F215" s="675" t="str">
        <f t="shared" si="34"/>
        <v>ADEUDA</v>
      </c>
      <c r="G215" s="687" t="s">
        <v>2278</v>
      </c>
      <c r="H215" s="677" t="str">
        <f t="shared" si="38"/>
        <v>VENCIDA</v>
      </c>
      <c r="I215" s="691">
        <f t="shared" ref="I215:I235" si="39">TODAY()-C215</f>
        <v>46167</v>
      </c>
      <c r="J215" s="679" t="b">
        <v>0</v>
      </c>
    </row>
    <row r="216">
      <c r="A216" s="686" t="s">
        <v>192</v>
      </c>
      <c r="B216" s="672"/>
      <c r="C216" s="672"/>
      <c r="D216" s="688">
        <v>968000.0</v>
      </c>
      <c r="E216" s="674" t="b">
        <v>1</v>
      </c>
      <c r="F216" s="675" t="str">
        <f t="shared" si="34"/>
        <v>PAGADO</v>
      </c>
      <c r="G216" s="687" t="s">
        <v>2278</v>
      </c>
      <c r="H216" s="677" t="str">
        <f t="shared" si="38"/>
        <v>VENCIDA</v>
      </c>
      <c r="I216" s="682">
        <f t="shared" si="39"/>
        <v>46167</v>
      </c>
      <c r="J216" s="679" t="b">
        <v>0</v>
      </c>
    </row>
    <row r="217">
      <c r="A217" s="686" t="s">
        <v>193</v>
      </c>
      <c r="B217" s="672"/>
      <c r="C217" s="672"/>
      <c r="D217" s="688">
        <v>700000.0</v>
      </c>
      <c r="E217" s="674" t="b">
        <v>1</v>
      </c>
      <c r="F217" s="675" t="str">
        <f t="shared" si="34"/>
        <v>PAGADO</v>
      </c>
      <c r="G217" s="687" t="s">
        <v>2287</v>
      </c>
      <c r="H217" s="677" t="str">
        <f t="shared" si="38"/>
        <v>VENCIDA</v>
      </c>
      <c r="I217" s="682">
        <f t="shared" si="39"/>
        <v>46167</v>
      </c>
      <c r="J217" s="679" t="b">
        <v>0</v>
      </c>
    </row>
    <row r="218">
      <c r="A218" s="686" t="s">
        <v>194</v>
      </c>
      <c r="B218" s="672"/>
      <c r="C218" s="678"/>
      <c r="D218" s="673"/>
      <c r="E218" s="674" t="b">
        <v>0</v>
      </c>
      <c r="F218" s="675" t="str">
        <f t="shared" si="34"/>
        <v>ADEUDA</v>
      </c>
      <c r="G218" s="687" t="s">
        <v>2278</v>
      </c>
      <c r="H218" s="677" t="str">
        <f t="shared" si="38"/>
        <v>VENCIDA</v>
      </c>
      <c r="I218" s="691">
        <f t="shared" si="39"/>
        <v>46167</v>
      </c>
      <c r="J218" s="679" t="b">
        <v>0</v>
      </c>
    </row>
    <row r="219">
      <c r="A219" s="686" t="s">
        <v>2289</v>
      </c>
      <c r="B219" s="672"/>
      <c r="C219" s="678"/>
      <c r="D219" s="678"/>
      <c r="E219" s="674" t="b">
        <v>0</v>
      </c>
      <c r="F219" s="675" t="str">
        <f t="shared" si="34"/>
        <v>ADEUDA</v>
      </c>
      <c r="G219" s="687" t="s">
        <v>2278</v>
      </c>
      <c r="H219" s="677" t="str">
        <f t="shared" si="38"/>
        <v>VENCIDA</v>
      </c>
      <c r="I219" s="691">
        <f t="shared" si="39"/>
        <v>46167</v>
      </c>
      <c r="J219" s="679" t="b">
        <v>0</v>
      </c>
    </row>
    <row r="220">
      <c r="A220" s="686" t="s">
        <v>196</v>
      </c>
      <c r="B220" s="672"/>
      <c r="C220" s="672"/>
      <c r="D220" s="673">
        <v>143500.0</v>
      </c>
      <c r="E220" s="674" t="b">
        <v>1</v>
      </c>
      <c r="F220" s="675" t="str">
        <f t="shared" si="34"/>
        <v>PAGADO</v>
      </c>
      <c r="G220" s="687" t="s">
        <v>2276</v>
      </c>
      <c r="H220" s="677" t="str">
        <f t="shared" si="38"/>
        <v>VENCIDA</v>
      </c>
      <c r="I220" s="682">
        <f t="shared" si="39"/>
        <v>46167</v>
      </c>
      <c r="J220" s="679" t="b">
        <v>0</v>
      </c>
    </row>
    <row r="221">
      <c r="A221" s="686" t="s">
        <v>2290</v>
      </c>
      <c r="B221" s="672"/>
      <c r="C221" s="678"/>
      <c r="D221" s="693"/>
      <c r="E221" s="694" t="b">
        <v>0</v>
      </c>
      <c r="F221" s="675" t="str">
        <f t="shared" si="34"/>
        <v>ADEUDA</v>
      </c>
      <c r="G221" s="687" t="s">
        <v>2278</v>
      </c>
      <c r="H221" s="677" t="str">
        <f t="shared" si="38"/>
        <v>VENCIDA</v>
      </c>
      <c r="I221" s="691">
        <f t="shared" si="39"/>
        <v>46167</v>
      </c>
      <c r="J221" s="695" t="b">
        <v>0</v>
      </c>
    </row>
    <row r="222">
      <c r="A222" s="689" t="s">
        <v>2319</v>
      </c>
      <c r="B222" s="672"/>
      <c r="C222" s="678"/>
      <c r="D222" s="673">
        <v>842088.97</v>
      </c>
      <c r="E222" s="696" t="b">
        <v>0</v>
      </c>
      <c r="F222" s="675" t="str">
        <f t="shared" si="34"/>
        <v>ADEUDA</v>
      </c>
      <c r="G222" s="687" t="s">
        <v>2292</v>
      </c>
      <c r="H222" s="677" t="str">
        <f t="shared" si="38"/>
        <v>VENCIDA</v>
      </c>
      <c r="I222" s="691">
        <f t="shared" si="39"/>
        <v>46167</v>
      </c>
      <c r="J222" s="695" t="b">
        <v>0</v>
      </c>
    </row>
    <row r="223">
      <c r="A223" s="686" t="s">
        <v>2293</v>
      </c>
      <c r="B223" s="672"/>
      <c r="C223" s="678"/>
      <c r="D223" s="688">
        <v>65087.59</v>
      </c>
      <c r="E223" s="694" t="b">
        <v>0</v>
      </c>
      <c r="F223" s="675" t="str">
        <f t="shared" si="34"/>
        <v>ADEUDA</v>
      </c>
      <c r="G223" s="687" t="s">
        <v>2278</v>
      </c>
      <c r="H223" s="677" t="str">
        <f t="shared" si="38"/>
        <v>VENCIDA</v>
      </c>
      <c r="I223" s="691">
        <f t="shared" si="39"/>
        <v>46167</v>
      </c>
      <c r="J223" s="695" t="b">
        <v>0</v>
      </c>
    </row>
    <row r="224">
      <c r="A224" s="686" t="s">
        <v>2294</v>
      </c>
      <c r="B224" s="672"/>
      <c r="C224" s="678"/>
      <c r="D224" s="688">
        <v>52070.07</v>
      </c>
      <c r="E224" s="694" t="b">
        <v>0</v>
      </c>
      <c r="F224" s="675" t="str">
        <f t="shared" si="34"/>
        <v>ADEUDA</v>
      </c>
      <c r="G224" s="687" t="s">
        <v>2278</v>
      </c>
      <c r="H224" s="677" t="str">
        <f t="shared" si="38"/>
        <v>VENCIDA</v>
      </c>
      <c r="I224" s="691">
        <f t="shared" si="39"/>
        <v>46167</v>
      </c>
      <c r="J224" s="695" t="b">
        <v>0</v>
      </c>
    </row>
    <row r="225">
      <c r="A225" s="686" t="s">
        <v>2295</v>
      </c>
      <c r="B225" s="672"/>
      <c r="C225" s="678"/>
      <c r="D225" s="688">
        <v>52070.07</v>
      </c>
      <c r="E225" s="694" t="b">
        <v>0</v>
      </c>
      <c r="F225" s="675" t="str">
        <f t="shared" si="34"/>
        <v>ADEUDA</v>
      </c>
      <c r="G225" s="687" t="s">
        <v>2278</v>
      </c>
      <c r="H225" s="677" t="str">
        <f t="shared" si="38"/>
        <v>VENCIDA</v>
      </c>
      <c r="I225" s="691">
        <f t="shared" si="39"/>
        <v>46167</v>
      </c>
      <c r="J225" s="695" t="b">
        <v>0</v>
      </c>
    </row>
    <row r="226">
      <c r="A226" s="686" t="s">
        <v>2314</v>
      </c>
      <c r="B226" s="672"/>
      <c r="C226" s="678"/>
      <c r="D226" s="678"/>
      <c r="E226" s="681" t="b">
        <v>0</v>
      </c>
      <c r="F226" s="675" t="str">
        <f t="shared" si="34"/>
        <v>ADEUDA</v>
      </c>
      <c r="G226" s="687" t="s">
        <v>2292</v>
      </c>
      <c r="H226" s="677" t="str">
        <f t="shared" si="38"/>
        <v>VENCIDA</v>
      </c>
      <c r="I226" s="691">
        <f t="shared" si="39"/>
        <v>46167</v>
      </c>
      <c r="J226" s="679" t="b">
        <v>0</v>
      </c>
    </row>
    <row r="227">
      <c r="A227" s="686" t="s">
        <v>2298</v>
      </c>
      <c r="B227" s="680">
        <v>45977.0</v>
      </c>
      <c r="C227" s="680">
        <v>45987.0</v>
      </c>
      <c r="D227" s="688">
        <v>901550.45</v>
      </c>
      <c r="E227" s="674" t="b">
        <v>1</v>
      </c>
      <c r="F227" s="675" t="str">
        <f t="shared" si="34"/>
        <v>PAGADO</v>
      </c>
      <c r="G227" s="687" t="s">
        <v>2286</v>
      </c>
      <c r="H227" s="677" t="str">
        <f t="shared" si="38"/>
        <v>VENCIDA</v>
      </c>
      <c r="I227" s="682">
        <f t="shared" si="39"/>
        <v>180</v>
      </c>
      <c r="J227" s="692" t="b">
        <v>1</v>
      </c>
    </row>
    <row r="228">
      <c r="A228" s="686" t="s">
        <v>2298</v>
      </c>
      <c r="B228" s="680">
        <v>45977.0</v>
      </c>
      <c r="C228" s="680">
        <v>45987.0</v>
      </c>
      <c r="D228" s="673">
        <v>1206540.43</v>
      </c>
      <c r="E228" s="674" t="b">
        <v>1</v>
      </c>
      <c r="F228" s="675" t="str">
        <f t="shared" si="34"/>
        <v>PAGADO</v>
      </c>
      <c r="G228" s="687" t="s">
        <v>2286</v>
      </c>
      <c r="H228" s="677" t="str">
        <f t="shared" si="38"/>
        <v>VENCIDA</v>
      </c>
      <c r="I228" s="682">
        <f t="shared" si="39"/>
        <v>180</v>
      </c>
      <c r="J228" s="692" t="b">
        <v>1</v>
      </c>
    </row>
    <row r="229">
      <c r="A229" s="686" t="s">
        <v>209</v>
      </c>
      <c r="B229" s="680">
        <v>45936.0</v>
      </c>
      <c r="C229" s="680">
        <v>45940.0</v>
      </c>
      <c r="D229" s="688">
        <v>142499.15</v>
      </c>
      <c r="E229" s="674" t="b">
        <v>0</v>
      </c>
      <c r="F229" s="675" t="str">
        <f t="shared" si="34"/>
        <v>ADEUDA</v>
      </c>
      <c r="G229" s="687" t="s">
        <v>2278</v>
      </c>
      <c r="H229" s="677" t="str">
        <f t="shared" si="38"/>
        <v>VENCIDA</v>
      </c>
      <c r="I229" s="682">
        <f t="shared" si="39"/>
        <v>227</v>
      </c>
      <c r="J229" s="679" t="b">
        <v>0</v>
      </c>
    </row>
    <row r="230">
      <c r="A230" s="686" t="s">
        <v>2299</v>
      </c>
      <c r="B230" s="672"/>
      <c r="C230" s="678"/>
      <c r="D230" s="688">
        <v>54736.0</v>
      </c>
      <c r="E230" s="674" t="b">
        <v>0</v>
      </c>
      <c r="F230" s="675" t="str">
        <f t="shared" si="34"/>
        <v>ADEUDA</v>
      </c>
      <c r="G230" s="687" t="s">
        <v>2292</v>
      </c>
      <c r="H230" s="677" t="str">
        <f t="shared" si="38"/>
        <v>VENCIDA</v>
      </c>
      <c r="I230" s="691">
        <f t="shared" si="39"/>
        <v>46167</v>
      </c>
      <c r="J230" s="679" t="b">
        <v>0</v>
      </c>
    </row>
    <row r="231">
      <c r="A231" s="686" t="s">
        <v>2315</v>
      </c>
      <c r="B231" s="672"/>
      <c r="C231" s="678"/>
      <c r="D231" s="678"/>
      <c r="E231" s="681" t="b">
        <v>0</v>
      </c>
      <c r="F231" s="675" t="str">
        <f t="shared" si="34"/>
        <v>ADEUDA</v>
      </c>
      <c r="G231" s="687" t="s">
        <v>2292</v>
      </c>
      <c r="H231" s="677" t="str">
        <f t="shared" si="38"/>
        <v>VENCIDA</v>
      </c>
      <c r="I231" s="691">
        <f t="shared" si="39"/>
        <v>46167</v>
      </c>
      <c r="J231" s="679" t="b">
        <v>0</v>
      </c>
    </row>
    <row r="232">
      <c r="A232" s="678"/>
      <c r="B232" s="672"/>
      <c r="C232" s="678"/>
      <c r="D232" s="678"/>
      <c r="E232" s="681" t="b">
        <v>0</v>
      </c>
      <c r="F232" s="675" t="str">
        <f t="shared" si="34"/>
        <v>ADEUDA</v>
      </c>
      <c r="G232" s="687" t="s">
        <v>2292</v>
      </c>
      <c r="H232" s="677" t="str">
        <f t="shared" si="38"/>
        <v>VENCIDA</v>
      </c>
      <c r="I232" s="691">
        <f t="shared" si="39"/>
        <v>46167</v>
      </c>
      <c r="J232" s="679" t="b">
        <v>0</v>
      </c>
    </row>
    <row r="233">
      <c r="A233" s="672"/>
      <c r="B233" s="672"/>
      <c r="C233" s="683"/>
      <c r="D233" s="678"/>
      <c r="E233" s="681" t="b">
        <v>0</v>
      </c>
      <c r="F233" s="675" t="str">
        <f t="shared" si="34"/>
        <v>ADEUDA</v>
      </c>
      <c r="G233" s="687" t="s">
        <v>2278</v>
      </c>
      <c r="H233" s="677" t="str">
        <f t="shared" si="38"/>
        <v>VENCIDA</v>
      </c>
      <c r="I233" s="682">
        <f t="shared" si="39"/>
        <v>46167</v>
      </c>
      <c r="J233" s="679" t="b">
        <v>0</v>
      </c>
    </row>
    <row r="234">
      <c r="A234" s="672"/>
      <c r="B234" s="672"/>
      <c r="C234" s="683"/>
      <c r="D234" s="678"/>
      <c r="E234" s="681" t="b">
        <v>0</v>
      </c>
      <c r="F234" s="675" t="str">
        <f t="shared" si="34"/>
        <v>ADEUDA</v>
      </c>
      <c r="G234" s="687" t="s">
        <v>2278</v>
      </c>
      <c r="H234" s="677" t="str">
        <f t="shared" si="38"/>
        <v>VENCIDA</v>
      </c>
      <c r="I234" s="682">
        <f t="shared" si="39"/>
        <v>46167</v>
      </c>
      <c r="J234" s="679" t="b">
        <v>0</v>
      </c>
    </row>
    <row r="235">
      <c r="A235" s="672"/>
      <c r="B235" s="672"/>
      <c r="C235" s="683"/>
      <c r="D235" s="678"/>
      <c r="E235" s="681" t="b">
        <v>0</v>
      </c>
      <c r="F235" s="675" t="str">
        <f t="shared" si="34"/>
        <v>ADEUDA</v>
      </c>
      <c r="G235" s="687" t="s">
        <v>2278</v>
      </c>
      <c r="H235" s="677" t="str">
        <f t="shared" si="38"/>
        <v>VENCIDA</v>
      </c>
      <c r="I235" s="682">
        <f t="shared" si="39"/>
        <v>46167</v>
      </c>
      <c r="J235" s="679" t="b">
        <v>0</v>
      </c>
    </row>
    <row r="237">
      <c r="A237" s="661" t="s">
        <v>51</v>
      </c>
      <c r="B237" s="242"/>
      <c r="C237" s="242"/>
      <c r="D237" s="242"/>
      <c r="E237" s="242"/>
      <c r="F237" s="242"/>
      <c r="G237" s="242"/>
      <c r="H237" s="242"/>
      <c r="I237" s="242"/>
      <c r="J237" s="662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663"/>
    </row>
    <row r="239">
      <c r="A239" s="664" t="s">
        <v>2265</v>
      </c>
      <c r="B239" s="636"/>
      <c r="C239" s="636"/>
      <c r="D239" s="636"/>
      <c r="E239" s="636"/>
      <c r="F239" s="636"/>
      <c r="G239" s="636"/>
      <c r="H239" s="636"/>
      <c r="I239" s="665"/>
      <c r="J239" s="666"/>
    </row>
    <row r="240">
      <c r="A240" s="667" t="s">
        <v>2266</v>
      </c>
      <c r="B240" s="667" t="s">
        <v>2267</v>
      </c>
      <c r="C240" s="667" t="s">
        <v>2268</v>
      </c>
      <c r="D240" s="667" t="s">
        <v>2269</v>
      </c>
      <c r="E240" s="668" t="s">
        <v>2270</v>
      </c>
      <c r="F240" s="637"/>
      <c r="G240" s="667" t="s">
        <v>2271</v>
      </c>
      <c r="H240" s="667" t="s">
        <v>2272</v>
      </c>
      <c r="I240" s="669" t="s">
        <v>2273</v>
      </c>
      <c r="J240" s="669" t="s">
        <v>2274</v>
      </c>
    </row>
    <row r="241">
      <c r="A241" s="670" t="s">
        <v>2311</v>
      </c>
      <c r="B241" s="671">
        <v>46014.0</v>
      </c>
      <c r="C241" s="672"/>
      <c r="D241" s="673">
        <v>382000.0</v>
      </c>
      <c r="E241" s="674" t="b">
        <v>1</v>
      </c>
      <c r="F241" s="675" t="str">
        <f t="shared" ref="F241:F272" si="40">IF(E241,"PAGADO","ADEUDA")</f>
        <v>PAGADO</v>
      </c>
      <c r="G241" s="676" t="s">
        <v>2278</v>
      </c>
      <c r="H241" s="677" t="str">
        <f t="shared" ref="H241:H246" si="41">IF(C241&lt;TODAY(),"VENCIDA",IF(C241=TODAY(),"VENCE HOY",IF(C241&gt;TODAY(),"VIGENTE")))</f>
        <v>VENCIDA</v>
      </c>
      <c r="I241" s="678"/>
      <c r="J241" s="679" t="b">
        <v>0</v>
      </c>
    </row>
    <row r="242">
      <c r="A242" s="670" t="s">
        <v>2275</v>
      </c>
      <c r="B242" s="680"/>
      <c r="C242" s="672"/>
      <c r="D242" s="673"/>
      <c r="E242" s="681" t="b">
        <v>0</v>
      </c>
      <c r="F242" s="675" t="str">
        <f t="shared" si="40"/>
        <v>ADEUDA</v>
      </c>
      <c r="G242" s="676" t="s">
        <v>2278</v>
      </c>
      <c r="H242" s="677" t="str">
        <f t="shared" si="41"/>
        <v>VENCIDA</v>
      </c>
      <c r="I242" s="682">
        <f t="shared" ref="I242:I244" si="42">TODAY()-B242</f>
        <v>46167</v>
      </c>
      <c r="J242" s="679" t="b">
        <v>0</v>
      </c>
    </row>
    <row r="243">
      <c r="A243" s="689" t="s">
        <v>2322</v>
      </c>
      <c r="B243" s="680">
        <v>45993.0</v>
      </c>
      <c r="C243" s="672"/>
      <c r="D243" s="673">
        <v>198984.67</v>
      </c>
      <c r="E243" s="674" t="b">
        <v>1</v>
      </c>
      <c r="F243" s="675" t="str">
        <f t="shared" si="40"/>
        <v>PAGADO</v>
      </c>
      <c r="G243" s="676" t="s">
        <v>2278</v>
      </c>
      <c r="H243" s="677" t="str">
        <f t="shared" si="41"/>
        <v>VENCIDA</v>
      </c>
      <c r="I243" s="682">
        <f t="shared" si="42"/>
        <v>174</v>
      </c>
      <c r="J243" s="679" t="b">
        <v>0</v>
      </c>
    </row>
    <row r="244">
      <c r="A244" s="689" t="s">
        <v>2321</v>
      </c>
      <c r="B244" s="680"/>
      <c r="C244" s="683"/>
      <c r="D244" s="673">
        <v>69993.3</v>
      </c>
      <c r="E244" s="674" t="b">
        <v>0</v>
      </c>
      <c r="F244" s="675" t="str">
        <f t="shared" si="40"/>
        <v>ADEUDA</v>
      </c>
      <c r="G244" s="676" t="s">
        <v>2278</v>
      </c>
      <c r="H244" s="677" t="str">
        <f t="shared" si="41"/>
        <v>VENCIDA</v>
      </c>
      <c r="I244" s="682">
        <f t="shared" si="42"/>
        <v>46167</v>
      </c>
      <c r="J244" s="685" t="b">
        <v>0</v>
      </c>
    </row>
    <row r="245">
      <c r="A245" s="686" t="s">
        <v>1666</v>
      </c>
      <c r="B245" s="672"/>
      <c r="C245" s="672"/>
      <c r="D245" s="673">
        <v>164713.0</v>
      </c>
      <c r="E245" s="674" t="b">
        <v>0</v>
      </c>
      <c r="F245" s="675" t="str">
        <f t="shared" si="40"/>
        <v>ADEUDA</v>
      </c>
      <c r="G245" s="687" t="s">
        <v>2278</v>
      </c>
      <c r="H245" s="677" t="str">
        <f t="shared" si="41"/>
        <v>VENCIDA</v>
      </c>
      <c r="I245" s="682">
        <f t="shared" ref="I245:I246" si="43">TODAY()-C245</f>
        <v>46167</v>
      </c>
      <c r="J245" s="679" t="b">
        <v>0</v>
      </c>
    </row>
    <row r="246">
      <c r="A246" s="686" t="s">
        <v>2309</v>
      </c>
      <c r="B246" s="683"/>
      <c r="C246" s="672"/>
      <c r="D246" s="673">
        <v>75127.77</v>
      </c>
      <c r="E246" s="674" t="b">
        <v>1</v>
      </c>
      <c r="F246" s="675" t="str">
        <f t="shared" si="40"/>
        <v>PAGADO</v>
      </c>
      <c r="G246" s="687" t="s">
        <v>2276</v>
      </c>
      <c r="H246" s="677" t="str">
        <f t="shared" si="41"/>
        <v>VENCIDA</v>
      </c>
      <c r="I246" s="682">
        <f t="shared" si="43"/>
        <v>46167</v>
      </c>
      <c r="J246" s="679" t="b">
        <v>0</v>
      </c>
    </row>
    <row r="247">
      <c r="A247" s="689" t="s">
        <v>2316</v>
      </c>
      <c r="B247" s="672"/>
      <c r="C247" s="678"/>
      <c r="D247" s="673">
        <v>26112.0</v>
      </c>
      <c r="E247" s="674" t="b">
        <v>1</v>
      </c>
      <c r="F247" s="675" t="str">
        <f t="shared" si="40"/>
        <v>PAGADO</v>
      </c>
      <c r="G247" s="690" t="s">
        <v>2286</v>
      </c>
      <c r="H247" s="677"/>
      <c r="I247" s="691"/>
      <c r="J247" s="679" t="b">
        <v>0</v>
      </c>
    </row>
    <row r="248">
      <c r="A248" s="689" t="s">
        <v>2317</v>
      </c>
      <c r="B248" s="672"/>
      <c r="C248" s="678"/>
      <c r="D248" s="673">
        <v>18278.0</v>
      </c>
      <c r="E248" s="674" t="b">
        <v>1</v>
      </c>
      <c r="F248" s="675" t="str">
        <f t="shared" si="40"/>
        <v>PAGADO</v>
      </c>
      <c r="G248" s="690" t="s">
        <v>2286</v>
      </c>
      <c r="H248" s="677"/>
      <c r="I248" s="691"/>
      <c r="J248" s="679" t="b">
        <v>0</v>
      </c>
    </row>
    <row r="249">
      <c r="A249" s="689" t="s">
        <v>2318</v>
      </c>
      <c r="B249" s="672"/>
      <c r="C249" s="678"/>
      <c r="D249" s="673">
        <v>20415.41</v>
      </c>
      <c r="E249" s="674" t="b">
        <v>0</v>
      </c>
      <c r="F249" s="675" t="str">
        <f t="shared" si="40"/>
        <v>ADEUDA</v>
      </c>
      <c r="G249" s="690" t="s">
        <v>2286</v>
      </c>
      <c r="H249" s="677"/>
      <c r="I249" s="691"/>
      <c r="J249" s="679" t="b">
        <v>0</v>
      </c>
    </row>
    <row r="250">
      <c r="A250" s="686" t="s">
        <v>199</v>
      </c>
      <c r="B250" s="672"/>
      <c r="C250" s="678"/>
      <c r="D250" s="673">
        <v>135855.78</v>
      </c>
      <c r="E250" s="674" t="b">
        <v>0</v>
      </c>
      <c r="F250" s="675" t="str">
        <f t="shared" si="40"/>
        <v>ADEUDA</v>
      </c>
      <c r="G250" s="687" t="s">
        <v>2276</v>
      </c>
      <c r="H250" s="677" t="str">
        <f t="shared" ref="H250:H272" si="44">IF(C250&lt;TODAY(),"VENCIDA",IF(C250=TODAY(),"VENCE HOY",IF(C250&gt;TODAY(),"VIGENTE")))</f>
        <v>VENCIDA</v>
      </c>
      <c r="I250" s="691">
        <f>TODAY()-C250</f>
        <v>46167</v>
      </c>
      <c r="J250" s="679" t="b">
        <v>0</v>
      </c>
    </row>
    <row r="251">
      <c r="A251" s="686" t="s">
        <v>200</v>
      </c>
      <c r="B251" s="672"/>
      <c r="C251" s="678"/>
      <c r="D251" s="673">
        <v>148541.1</v>
      </c>
      <c r="E251" s="674" t="b">
        <v>1</v>
      </c>
      <c r="F251" s="675" t="str">
        <f t="shared" si="40"/>
        <v>PAGADO</v>
      </c>
      <c r="G251" s="687" t="s">
        <v>2286</v>
      </c>
      <c r="H251" s="677" t="str">
        <f t="shared" si="44"/>
        <v>VENCIDA</v>
      </c>
      <c r="I251" s="678"/>
      <c r="J251" s="692" t="b">
        <v>1</v>
      </c>
    </row>
    <row r="252">
      <c r="A252" s="686" t="s">
        <v>201</v>
      </c>
      <c r="B252" s="672"/>
      <c r="C252" s="678"/>
      <c r="D252" s="688">
        <v>84785.15</v>
      </c>
      <c r="E252" s="674" t="b">
        <v>0</v>
      </c>
      <c r="F252" s="675" t="str">
        <f t="shared" si="40"/>
        <v>ADEUDA</v>
      </c>
      <c r="G252" s="687" t="s">
        <v>2278</v>
      </c>
      <c r="H252" s="677" t="str">
        <f t="shared" si="44"/>
        <v>VENCIDA</v>
      </c>
      <c r="I252" s="691">
        <f t="shared" ref="I252:I272" si="45">TODAY()-C252</f>
        <v>46167</v>
      </c>
      <c r="J252" s="679" t="b">
        <v>0</v>
      </c>
    </row>
    <row r="253">
      <c r="A253" s="686" t="s">
        <v>192</v>
      </c>
      <c r="B253" s="672"/>
      <c r="C253" s="672"/>
      <c r="D253" s="688">
        <v>968000.0</v>
      </c>
      <c r="E253" s="674" t="b">
        <v>1</v>
      </c>
      <c r="F253" s="675" t="str">
        <f t="shared" si="40"/>
        <v>PAGADO</v>
      </c>
      <c r="G253" s="687" t="s">
        <v>2278</v>
      </c>
      <c r="H253" s="677" t="str">
        <f t="shared" si="44"/>
        <v>VENCIDA</v>
      </c>
      <c r="I253" s="682">
        <f t="shared" si="45"/>
        <v>46167</v>
      </c>
      <c r="J253" s="679" t="b">
        <v>0</v>
      </c>
    </row>
    <row r="254">
      <c r="A254" s="686" t="s">
        <v>193</v>
      </c>
      <c r="B254" s="672"/>
      <c r="C254" s="672"/>
      <c r="D254" s="688">
        <v>700000.0</v>
      </c>
      <c r="E254" s="674" t="b">
        <v>1</v>
      </c>
      <c r="F254" s="675" t="str">
        <f t="shared" si="40"/>
        <v>PAGADO</v>
      </c>
      <c r="G254" s="687" t="s">
        <v>2287</v>
      </c>
      <c r="H254" s="677" t="str">
        <f t="shared" si="44"/>
        <v>VENCIDA</v>
      </c>
      <c r="I254" s="682">
        <f t="shared" si="45"/>
        <v>46167</v>
      </c>
      <c r="J254" s="679" t="b">
        <v>0</v>
      </c>
    </row>
    <row r="255">
      <c r="A255" s="686" t="s">
        <v>194</v>
      </c>
      <c r="B255" s="672"/>
      <c r="C255" s="678"/>
      <c r="D255" s="673"/>
      <c r="E255" s="674" t="b">
        <v>0</v>
      </c>
      <c r="F255" s="675" t="str">
        <f t="shared" si="40"/>
        <v>ADEUDA</v>
      </c>
      <c r="G255" s="687" t="s">
        <v>2278</v>
      </c>
      <c r="H255" s="677" t="str">
        <f t="shared" si="44"/>
        <v>VENCIDA</v>
      </c>
      <c r="I255" s="691">
        <f t="shared" si="45"/>
        <v>46167</v>
      </c>
      <c r="J255" s="679" t="b">
        <v>0</v>
      </c>
    </row>
    <row r="256">
      <c r="A256" s="686" t="s">
        <v>2289</v>
      </c>
      <c r="B256" s="672"/>
      <c r="C256" s="678"/>
      <c r="D256" s="678"/>
      <c r="E256" s="674" t="b">
        <v>0</v>
      </c>
      <c r="F256" s="675" t="str">
        <f t="shared" si="40"/>
        <v>ADEUDA</v>
      </c>
      <c r="G256" s="687" t="s">
        <v>2278</v>
      </c>
      <c r="H256" s="677" t="str">
        <f t="shared" si="44"/>
        <v>VENCIDA</v>
      </c>
      <c r="I256" s="691">
        <f t="shared" si="45"/>
        <v>46167</v>
      </c>
      <c r="J256" s="679" t="b">
        <v>0</v>
      </c>
    </row>
    <row r="257">
      <c r="A257" s="686" t="s">
        <v>196</v>
      </c>
      <c r="B257" s="672"/>
      <c r="C257" s="672"/>
      <c r="D257" s="673">
        <v>143500.0</v>
      </c>
      <c r="E257" s="674" t="b">
        <v>1</v>
      </c>
      <c r="F257" s="675" t="str">
        <f t="shared" si="40"/>
        <v>PAGADO</v>
      </c>
      <c r="G257" s="687" t="s">
        <v>2276</v>
      </c>
      <c r="H257" s="677" t="str">
        <f t="shared" si="44"/>
        <v>VENCIDA</v>
      </c>
      <c r="I257" s="682">
        <f t="shared" si="45"/>
        <v>46167</v>
      </c>
      <c r="J257" s="679" t="b">
        <v>0</v>
      </c>
    </row>
    <row r="258">
      <c r="A258" s="686" t="s">
        <v>2290</v>
      </c>
      <c r="B258" s="672"/>
      <c r="C258" s="678"/>
      <c r="D258" s="693"/>
      <c r="E258" s="694" t="b">
        <v>0</v>
      </c>
      <c r="F258" s="675" t="str">
        <f t="shared" si="40"/>
        <v>ADEUDA</v>
      </c>
      <c r="G258" s="687" t="s">
        <v>2278</v>
      </c>
      <c r="H258" s="677" t="str">
        <f t="shared" si="44"/>
        <v>VENCIDA</v>
      </c>
      <c r="I258" s="691">
        <f t="shared" si="45"/>
        <v>46167</v>
      </c>
      <c r="J258" s="695" t="b">
        <v>0</v>
      </c>
    </row>
    <row r="259">
      <c r="A259" s="689" t="s">
        <v>2319</v>
      </c>
      <c r="B259" s="671">
        <v>46017.0</v>
      </c>
      <c r="C259" s="678"/>
      <c r="D259" s="673">
        <v>880057.6</v>
      </c>
      <c r="E259" s="696" t="b">
        <v>1</v>
      </c>
      <c r="F259" s="675" t="str">
        <f t="shared" si="40"/>
        <v>PAGADO</v>
      </c>
      <c r="G259" s="687" t="s">
        <v>2292</v>
      </c>
      <c r="H259" s="677" t="str">
        <f t="shared" si="44"/>
        <v>VENCIDA</v>
      </c>
      <c r="I259" s="691">
        <f t="shared" si="45"/>
        <v>46167</v>
      </c>
      <c r="J259" s="695" t="b">
        <v>0</v>
      </c>
    </row>
    <row r="260">
      <c r="A260" s="686" t="s">
        <v>2293</v>
      </c>
      <c r="B260" s="672"/>
      <c r="C260" s="678"/>
      <c r="D260" s="688">
        <v>65087.59</v>
      </c>
      <c r="E260" s="694" t="b">
        <v>0</v>
      </c>
      <c r="F260" s="675" t="str">
        <f t="shared" si="40"/>
        <v>ADEUDA</v>
      </c>
      <c r="G260" s="687" t="s">
        <v>2278</v>
      </c>
      <c r="H260" s="677" t="str">
        <f t="shared" si="44"/>
        <v>VENCIDA</v>
      </c>
      <c r="I260" s="691">
        <f t="shared" si="45"/>
        <v>46167</v>
      </c>
      <c r="J260" s="695" t="b">
        <v>0</v>
      </c>
    </row>
    <row r="261">
      <c r="A261" s="686" t="s">
        <v>2294</v>
      </c>
      <c r="B261" s="672"/>
      <c r="C261" s="678"/>
      <c r="D261" s="688">
        <v>52070.07</v>
      </c>
      <c r="E261" s="694" t="b">
        <v>0</v>
      </c>
      <c r="F261" s="675" t="str">
        <f t="shared" si="40"/>
        <v>ADEUDA</v>
      </c>
      <c r="G261" s="687" t="s">
        <v>2278</v>
      </c>
      <c r="H261" s="677" t="str">
        <f t="shared" si="44"/>
        <v>VENCIDA</v>
      </c>
      <c r="I261" s="691">
        <f t="shared" si="45"/>
        <v>46167</v>
      </c>
      <c r="J261" s="695" t="b">
        <v>0</v>
      </c>
    </row>
    <row r="262">
      <c r="A262" s="686" t="s">
        <v>2295</v>
      </c>
      <c r="B262" s="672"/>
      <c r="C262" s="678"/>
      <c r="D262" s="688">
        <v>52070.07</v>
      </c>
      <c r="E262" s="694" t="b">
        <v>0</v>
      </c>
      <c r="F262" s="675" t="str">
        <f t="shared" si="40"/>
        <v>ADEUDA</v>
      </c>
      <c r="G262" s="687" t="s">
        <v>2278</v>
      </c>
      <c r="H262" s="677" t="str">
        <f t="shared" si="44"/>
        <v>VENCIDA</v>
      </c>
      <c r="I262" s="691">
        <f t="shared" si="45"/>
        <v>46167</v>
      </c>
      <c r="J262" s="695" t="b">
        <v>0</v>
      </c>
    </row>
    <row r="263">
      <c r="A263" s="686" t="s">
        <v>2314</v>
      </c>
      <c r="B263" s="672"/>
      <c r="C263" s="678"/>
      <c r="D263" s="678"/>
      <c r="E263" s="681" t="b">
        <v>0</v>
      </c>
      <c r="F263" s="675" t="str">
        <f t="shared" si="40"/>
        <v>ADEUDA</v>
      </c>
      <c r="G263" s="687" t="s">
        <v>2292</v>
      </c>
      <c r="H263" s="677" t="str">
        <f t="shared" si="44"/>
        <v>VENCIDA</v>
      </c>
      <c r="I263" s="691">
        <f t="shared" si="45"/>
        <v>46167</v>
      </c>
      <c r="J263" s="679" t="b">
        <v>0</v>
      </c>
    </row>
    <row r="264">
      <c r="A264" s="686" t="s">
        <v>2298</v>
      </c>
      <c r="B264" s="680">
        <v>45977.0</v>
      </c>
      <c r="C264" s="680">
        <v>45987.0</v>
      </c>
      <c r="D264" s="688">
        <v>901550.45</v>
      </c>
      <c r="E264" s="674" t="b">
        <v>1</v>
      </c>
      <c r="F264" s="675" t="str">
        <f t="shared" si="40"/>
        <v>PAGADO</v>
      </c>
      <c r="G264" s="687" t="s">
        <v>2286</v>
      </c>
      <c r="H264" s="677" t="str">
        <f t="shared" si="44"/>
        <v>VENCIDA</v>
      </c>
      <c r="I264" s="682">
        <f t="shared" si="45"/>
        <v>180</v>
      </c>
      <c r="J264" s="692" t="b">
        <v>1</v>
      </c>
    </row>
    <row r="265">
      <c r="A265" s="686" t="s">
        <v>2298</v>
      </c>
      <c r="B265" s="680">
        <v>45987.0</v>
      </c>
      <c r="C265" s="680">
        <v>45987.0</v>
      </c>
      <c r="D265" s="673">
        <v>1206540.43</v>
      </c>
      <c r="E265" s="674" t="b">
        <v>1</v>
      </c>
      <c r="F265" s="675" t="str">
        <f t="shared" si="40"/>
        <v>PAGADO</v>
      </c>
      <c r="G265" s="687" t="s">
        <v>2286</v>
      </c>
      <c r="H265" s="677" t="str">
        <f t="shared" si="44"/>
        <v>VENCIDA</v>
      </c>
      <c r="I265" s="682">
        <f t="shared" si="45"/>
        <v>180</v>
      </c>
      <c r="J265" s="692" t="b">
        <v>1</v>
      </c>
    </row>
    <row r="266">
      <c r="A266" s="686" t="s">
        <v>209</v>
      </c>
      <c r="B266" s="680"/>
      <c r="C266" s="680"/>
      <c r="D266" s="688">
        <v>142499.15</v>
      </c>
      <c r="E266" s="674" t="b">
        <v>1</v>
      </c>
      <c r="F266" s="675" t="str">
        <f t="shared" si="40"/>
        <v>PAGADO</v>
      </c>
      <c r="G266" s="687" t="s">
        <v>2278</v>
      </c>
      <c r="H266" s="677" t="str">
        <f t="shared" si="44"/>
        <v>VENCIDA</v>
      </c>
      <c r="I266" s="682">
        <f t="shared" si="45"/>
        <v>46167</v>
      </c>
      <c r="J266" s="679" t="b">
        <v>0</v>
      </c>
    </row>
    <row r="267">
      <c r="A267" s="686" t="s">
        <v>2299</v>
      </c>
      <c r="B267" s="672"/>
      <c r="C267" s="678"/>
      <c r="D267" s="688">
        <v>54736.0</v>
      </c>
      <c r="E267" s="674" t="b">
        <v>0</v>
      </c>
      <c r="F267" s="675" t="str">
        <f t="shared" si="40"/>
        <v>ADEUDA</v>
      </c>
      <c r="G267" s="687" t="s">
        <v>2292</v>
      </c>
      <c r="H267" s="677" t="str">
        <f t="shared" si="44"/>
        <v>VENCIDA</v>
      </c>
      <c r="I267" s="691">
        <f t="shared" si="45"/>
        <v>46167</v>
      </c>
      <c r="J267" s="679" t="b">
        <v>0</v>
      </c>
    </row>
    <row r="268">
      <c r="A268" s="686" t="s">
        <v>2315</v>
      </c>
      <c r="B268" s="672"/>
      <c r="C268" s="678"/>
      <c r="D268" s="678"/>
      <c r="E268" s="681" t="b">
        <v>0</v>
      </c>
      <c r="F268" s="675" t="str">
        <f t="shared" si="40"/>
        <v>ADEUDA</v>
      </c>
      <c r="G268" s="687" t="s">
        <v>2292</v>
      </c>
      <c r="H268" s="677" t="str">
        <f t="shared" si="44"/>
        <v>VENCIDA</v>
      </c>
      <c r="I268" s="691">
        <f t="shared" si="45"/>
        <v>46167</v>
      </c>
      <c r="J268" s="679" t="b">
        <v>0</v>
      </c>
    </row>
    <row r="269">
      <c r="A269" s="678"/>
      <c r="B269" s="672"/>
      <c r="C269" s="678"/>
      <c r="D269" s="678"/>
      <c r="E269" s="681" t="b">
        <v>0</v>
      </c>
      <c r="F269" s="675" t="str">
        <f t="shared" si="40"/>
        <v>ADEUDA</v>
      </c>
      <c r="G269" s="687" t="s">
        <v>2292</v>
      </c>
      <c r="H269" s="677" t="str">
        <f t="shared" si="44"/>
        <v>VENCIDA</v>
      </c>
      <c r="I269" s="691">
        <f t="shared" si="45"/>
        <v>46167</v>
      </c>
      <c r="J269" s="679" t="b">
        <v>0</v>
      </c>
    </row>
    <row r="270">
      <c r="A270" s="672"/>
      <c r="B270" s="672"/>
      <c r="C270" s="683"/>
      <c r="D270" s="678"/>
      <c r="E270" s="681" t="b">
        <v>0</v>
      </c>
      <c r="F270" s="675" t="str">
        <f t="shared" si="40"/>
        <v>ADEUDA</v>
      </c>
      <c r="G270" s="687" t="s">
        <v>2278</v>
      </c>
      <c r="H270" s="677" t="str">
        <f t="shared" si="44"/>
        <v>VENCIDA</v>
      </c>
      <c r="I270" s="682">
        <f t="shared" si="45"/>
        <v>46167</v>
      </c>
      <c r="J270" s="679" t="b">
        <v>0</v>
      </c>
    </row>
    <row r="271">
      <c r="A271" s="672"/>
      <c r="B271" s="672"/>
      <c r="C271" s="683"/>
      <c r="D271" s="678"/>
      <c r="E271" s="681" t="b">
        <v>0</v>
      </c>
      <c r="F271" s="675" t="str">
        <f t="shared" si="40"/>
        <v>ADEUDA</v>
      </c>
      <c r="G271" s="687" t="s">
        <v>2278</v>
      </c>
      <c r="H271" s="677" t="str">
        <f t="shared" si="44"/>
        <v>VENCIDA</v>
      </c>
      <c r="I271" s="682">
        <f t="shared" si="45"/>
        <v>46167</v>
      </c>
      <c r="J271" s="679" t="b">
        <v>0</v>
      </c>
    </row>
    <row r="272">
      <c r="A272" s="672"/>
      <c r="B272" s="672"/>
      <c r="C272" s="683"/>
      <c r="D272" s="678"/>
      <c r="E272" s="681" t="b">
        <v>0</v>
      </c>
      <c r="F272" s="675" t="str">
        <f t="shared" si="40"/>
        <v>ADEUDA</v>
      </c>
      <c r="G272" s="687" t="s">
        <v>2278</v>
      </c>
      <c r="H272" s="677" t="str">
        <f t="shared" si="44"/>
        <v>VENCIDA</v>
      </c>
      <c r="I272" s="682">
        <f t="shared" si="45"/>
        <v>46167</v>
      </c>
      <c r="J272" s="679" t="b">
        <v>0</v>
      </c>
    </row>
  </sheetData>
  <mergeCells count="24">
    <mergeCell ref="A1:J1"/>
    <mergeCell ref="A2:H2"/>
    <mergeCell ref="E3:F3"/>
    <mergeCell ref="A35:J35"/>
    <mergeCell ref="A36:H36"/>
    <mergeCell ref="E37:F37"/>
    <mergeCell ref="A67:J67"/>
    <mergeCell ref="A68:H68"/>
    <mergeCell ref="E69:F69"/>
    <mergeCell ref="A98:J98"/>
    <mergeCell ref="A99:H99"/>
    <mergeCell ref="E100:F100"/>
    <mergeCell ref="A131:J132"/>
    <mergeCell ref="A133:H133"/>
    <mergeCell ref="A237:J238"/>
    <mergeCell ref="A239:H239"/>
    <mergeCell ref="E240:F240"/>
    <mergeCell ref="E134:F134"/>
    <mergeCell ref="A164:J165"/>
    <mergeCell ref="A166:H166"/>
    <mergeCell ref="E167:F167"/>
    <mergeCell ref="A200:J201"/>
    <mergeCell ref="A202:H202"/>
    <mergeCell ref="E203:F203"/>
  </mergeCells>
  <conditionalFormatting sqref="F4:F34 F38:F66 F70:F97 F101:F130 F135:F163 F168:F198 F204:F235 F241:F272">
    <cfRule type="expression" dxfId="1" priority="1">
      <formula>F4="PAGADO"</formula>
    </cfRule>
  </conditionalFormatting>
  <conditionalFormatting sqref="F4:F34 F38:F66 F70:F97 F101:F130 F135:F163 F168:F198 F204:F235 F241:F272">
    <cfRule type="expression" dxfId="2" priority="2">
      <formula>F4="ADEUDA"</formula>
    </cfRule>
  </conditionalFormatting>
  <conditionalFormatting sqref="H4:H34 H37:H66 H69:H97 H100:H130 H134:H138 H167:H171 H203:H207 H240:H244">
    <cfRule type="cellIs" dxfId="3" priority="4" operator="equal">
      <formula>"VENCIDA"</formula>
    </cfRule>
  </conditionalFormatting>
  <conditionalFormatting sqref="H4:H34 H37:H66 H69:H97 H100:H130 H134:H138 H167:H171 H203:H207 H240:H244">
    <cfRule type="cellIs" dxfId="4" priority="5" operator="equal">
      <formula>"VIGENTE"</formula>
    </cfRule>
  </conditionalFormatting>
  <conditionalFormatting sqref="H4:H34 H37:H66 H69:H97 H100:H130 H134:H138 H167:H171 H203:H207 H240:H244">
    <cfRule type="cellIs" dxfId="2" priority="6" operator="equal">
      <formula>"VENCE HOY"</formula>
    </cfRule>
  </conditionalFormatting>
  <dataValidations>
    <dataValidation type="list" allowBlank="1" showErrorMessage="1" sqref="G4:G34 G38:G66 G70:G97 G101:G130 G135:G163 G168:G198 G204:G235 G241:G272">
      <formula1>"transferencia,mercado pago,efectivo,debito automatico,vep"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5" max="5" width="5.5"/>
    <col customWidth="1" min="7" max="7" width="17.88"/>
    <col customWidth="1" min="8" max="8" width="14.0"/>
  </cols>
  <sheetData>
    <row r="1">
      <c r="A1" s="661" t="s">
        <v>29</v>
      </c>
      <c r="B1" s="242"/>
      <c r="C1" s="242"/>
      <c r="D1" s="242"/>
      <c r="E1" s="242"/>
      <c r="F1" s="242"/>
      <c r="G1" s="242"/>
      <c r="H1" s="242"/>
      <c r="I1" s="242"/>
      <c r="J1" s="662"/>
    </row>
    <row r="2">
      <c r="A2" s="18"/>
      <c r="B2" s="18"/>
      <c r="C2" s="18"/>
      <c r="D2" s="18"/>
      <c r="E2" s="18"/>
      <c r="F2" s="18"/>
      <c r="G2" s="18"/>
      <c r="H2" s="18"/>
      <c r="I2" s="18"/>
      <c r="J2" s="663"/>
    </row>
    <row r="3">
      <c r="A3" s="664" t="s">
        <v>2265</v>
      </c>
      <c r="B3" s="636"/>
      <c r="C3" s="636"/>
      <c r="D3" s="636"/>
      <c r="E3" s="636"/>
      <c r="F3" s="636"/>
      <c r="G3" s="636"/>
      <c r="H3" s="636"/>
      <c r="I3" s="665"/>
      <c r="J3" s="666"/>
    </row>
    <row r="4">
      <c r="A4" s="667" t="s">
        <v>2266</v>
      </c>
      <c r="B4" s="667" t="s">
        <v>2267</v>
      </c>
      <c r="C4" s="667" t="s">
        <v>2268</v>
      </c>
      <c r="D4" s="667" t="s">
        <v>2269</v>
      </c>
      <c r="E4" s="668" t="s">
        <v>2270</v>
      </c>
      <c r="F4" s="637"/>
      <c r="G4" s="667" t="s">
        <v>2271</v>
      </c>
      <c r="H4" s="667" t="s">
        <v>2272</v>
      </c>
      <c r="I4" s="669" t="s">
        <v>2273</v>
      </c>
      <c r="J4" s="669" t="s">
        <v>2274</v>
      </c>
    </row>
    <row r="5">
      <c r="A5" s="670" t="s">
        <v>2311</v>
      </c>
      <c r="B5" s="671"/>
      <c r="C5" s="672"/>
      <c r="D5" s="673"/>
      <c r="E5" s="674" t="b">
        <v>0</v>
      </c>
      <c r="F5" s="675" t="str">
        <f t="shared" ref="F5:F36" si="1">IF(E5,"PAGADO","ADEUDA")</f>
        <v>ADEUDA</v>
      </c>
      <c r="G5" s="676" t="s">
        <v>2278</v>
      </c>
      <c r="H5" s="677" t="str">
        <f t="shared" ref="H5:H10" si="2">IF(C5&lt;TODAY(),"VENCIDA",IF(C5=TODAY(),"VENCE HOY",IF(C5&gt;TODAY(),"VIGENTE")))</f>
        <v>VENCIDA</v>
      </c>
      <c r="I5" s="678"/>
      <c r="J5" s="679" t="b">
        <v>0</v>
      </c>
    </row>
    <row r="6">
      <c r="A6" s="670" t="s">
        <v>2275</v>
      </c>
      <c r="B6" s="680"/>
      <c r="C6" s="672"/>
      <c r="D6" s="673"/>
      <c r="E6" s="681" t="b">
        <v>0</v>
      </c>
      <c r="F6" s="675" t="str">
        <f t="shared" si="1"/>
        <v>ADEUDA</v>
      </c>
      <c r="G6" s="676" t="s">
        <v>2278</v>
      </c>
      <c r="H6" s="677" t="str">
        <f t="shared" si="2"/>
        <v>VENCIDA</v>
      </c>
      <c r="I6" s="682">
        <f t="shared" ref="I6:I8" si="3">TODAY()-B6</f>
        <v>46167</v>
      </c>
      <c r="J6" s="679" t="b">
        <v>0</v>
      </c>
    </row>
    <row r="7">
      <c r="A7" s="689" t="s">
        <v>2322</v>
      </c>
      <c r="B7" s="680"/>
      <c r="C7" s="672"/>
      <c r="D7" s="673"/>
      <c r="E7" s="674" t="b">
        <v>0</v>
      </c>
      <c r="F7" s="675" t="str">
        <f t="shared" si="1"/>
        <v>ADEUDA</v>
      </c>
      <c r="G7" s="676" t="s">
        <v>2278</v>
      </c>
      <c r="H7" s="677" t="str">
        <f t="shared" si="2"/>
        <v>VENCIDA</v>
      </c>
      <c r="I7" s="682">
        <f t="shared" si="3"/>
        <v>46167</v>
      </c>
      <c r="J7" s="679" t="b">
        <v>0</v>
      </c>
    </row>
    <row r="8">
      <c r="A8" s="689" t="s">
        <v>2321</v>
      </c>
      <c r="B8" s="680"/>
      <c r="C8" s="683"/>
      <c r="D8" s="673">
        <v>69993.3</v>
      </c>
      <c r="E8" s="674" t="b">
        <v>0</v>
      </c>
      <c r="F8" s="675" t="str">
        <f t="shared" si="1"/>
        <v>ADEUDA</v>
      </c>
      <c r="G8" s="676" t="s">
        <v>2278</v>
      </c>
      <c r="H8" s="677" t="str">
        <f t="shared" si="2"/>
        <v>VENCIDA</v>
      </c>
      <c r="I8" s="682">
        <f t="shared" si="3"/>
        <v>46167</v>
      </c>
      <c r="J8" s="685" t="b">
        <v>0</v>
      </c>
    </row>
    <row r="9">
      <c r="A9" s="686" t="s">
        <v>1666</v>
      </c>
      <c r="B9" s="672"/>
      <c r="C9" s="672"/>
      <c r="D9" s="673">
        <v>164713.0</v>
      </c>
      <c r="E9" s="674" t="b">
        <v>0</v>
      </c>
      <c r="F9" s="675" t="str">
        <f t="shared" si="1"/>
        <v>ADEUDA</v>
      </c>
      <c r="G9" s="687" t="s">
        <v>2278</v>
      </c>
      <c r="H9" s="677" t="str">
        <f t="shared" si="2"/>
        <v>VENCIDA</v>
      </c>
      <c r="I9" s="682">
        <f t="shared" ref="I9:I10" si="4">TODAY()-C9</f>
        <v>46167</v>
      </c>
      <c r="J9" s="679" t="b">
        <v>0</v>
      </c>
    </row>
    <row r="10">
      <c r="A10" s="686" t="s">
        <v>2309</v>
      </c>
      <c r="B10" s="683"/>
      <c r="C10" s="672"/>
      <c r="D10" s="673">
        <v>75127.77</v>
      </c>
      <c r="E10" s="674" t="b">
        <v>1</v>
      </c>
      <c r="F10" s="675" t="str">
        <f t="shared" si="1"/>
        <v>PAGADO</v>
      </c>
      <c r="G10" s="687" t="s">
        <v>2276</v>
      </c>
      <c r="H10" s="677" t="str">
        <f t="shared" si="2"/>
        <v>VENCIDA</v>
      </c>
      <c r="I10" s="682">
        <f t="shared" si="4"/>
        <v>46167</v>
      </c>
      <c r="J10" s="679" t="b">
        <v>0</v>
      </c>
    </row>
    <row r="11">
      <c r="A11" s="689" t="s">
        <v>2316</v>
      </c>
      <c r="B11" s="672"/>
      <c r="C11" s="678"/>
      <c r="D11" s="673">
        <v>26112.0</v>
      </c>
      <c r="E11" s="674" t="b">
        <v>0</v>
      </c>
      <c r="F11" s="675" t="str">
        <f t="shared" si="1"/>
        <v>ADEUDA</v>
      </c>
      <c r="G11" s="690" t="s">
        <v>2286</v>
      </c>
      <c r="H11" s="677"/>
      <c r="I11" s="691"/>
      <c r="J11" s="679" t="b">
        <v>0</v>
      </c>
    </row>
    <row r="12">
      <c r="A12" s="689" t="s">
        <v>2317</v>
      </c>
      <c r="B12" s="672"/>
      <c r="C12" s="678"/>
      <c r="D12" s="673">
        <v>18278.0</v>
      </c>
      <c r="E12" s="674" t="b">
        <v>0</v>
      </c>
      <c r="F12" s="675" t="str">
        <f t="shared" si="1"/>
        <v>ADEUDA</v>
      </c>
      <c r="G12" s="690" t="s">
        <v>2286</v>
      </c>
      <c r="H12" s="677"/>
      <c r="I12" s="691"/>
      <c r="J12" s="679" t="b">
        <v>0</v>
      </c>
    </row>
    <row r="13">
      <c r="A13" s="689" t="s">
        <v>2318</v>
      </c>
      <c r="B13" s="672"/>
      <c r="C13" s="678"/>
      <c r="D13" s="673">
        <v>20415.41</v>
      </c>
      <c r="E13" s="674" t="b">
        <v>0</v>
      </c>
      <c r="F13" s="675" t="str">
        <f t="shared" si="1"/>
        <v>ADEUDA</v>
      </c>
      <c r="G13" s="690" t="s">
        <v>2286</v>
      </c>
      <c r="H13" s="677"/>
      <c r="I13" s="691"/>
      <c r="J13" s="679" t="b">
        <v>0</v>
      </c>
    </row>
    <row r="14">
      <c r="A14" s="686" t="s">
        <v>199</v>
      </c>
      <c r="B14" s="672"/>
      <c r="C14" s="678"/>
      <c r="D14" s="673">
        <v>146724.22</v>
      </c>
      <c r="E14" s="674" t="b">
        <v>1</v>
      </c>
      <c r="F14" s="675" t="str">
        <f t="shared" si="1"/>
        <v>PAGADO</v>
      </c>
      <c r="G14" s="687" t="s">
        <v>2276</v>
      </c>
      <c r="H14" s="677" t="str">
        <f t="shared" ref="H14:H36" si="5">IF(C14&lt;TODAY(),"VENCIDA",IF(C14=TODAY(),"VENCE HOY",IF(C14&gt;TODAY(),"VIGENTE")))</f>
        <v>VENCIDA</v>
      </c>
      <c r="I14" s="691">
        <f>TODAY()-C14</f>
        <v>46167</v>
      </c>
      <c r="J14" s="679" t="b">
        <v>0</v>
      </c>
    </row>
    <row r="15">
      <c r="A15" s="686" t="s">
        <v>200</v>
      </c>
      <c r="B15" s="672"/>
      <c r="C15" s="678"/>
      <c r="D15" s="673">
        <v>148541.1</v>
      </c>
      <c r="E15" s="674" t="b">
        <v>1</v>
      </c>
      <c r="F15" s="675" t="str">
        <f t="shared" si="1"/>
        <v>PAGADO</v>
      </c>
      <c r="G15" s="687" t="s">
        <v>2286</v>
      </c>
      <c r="H15" s="677" t="str">
        <f t="shared" si="5"/>
        <v>VENCIDA</v>
      </c>
      <c r="I15" s="678"/>
      <c r="J15" s="692" t="b">
        <v>1</v>
      </c>
    </row>
    <row r="16">
      <c r="A16" s="686" t="s">
        <v>201</v>
      </c>
      <c r="B16" s="672"/>
      <c r="C16" s="678"/>
      <c r="D16" s="688">
        <v>84785.15</v>
      </c>
      <c r="E16" s="674" t="b">
        <v>0</v>
      </c>
      <c r="F16" s="675" t="str">
        <f t="shared" si="1"/>
        <v>ADEUDA</v>
      </c>
      <c r="G16" s="687" t="s">
        <v>2278</v>
      </c>
      <c r="H16" s="677" t="str">
        <f t="shared" si="5"/>
        <v>VENCIDA</v>
      </c>
      <c r="I16" s="691">
        <f t="shared" ref="I16:I36" si="6">TODAY()-C16</f>
        <v>46167</v>
      </c>
      <c r="J16" s="679" t="b">
        <v>0</v>
      </c>
    </row>
    <row r="17">
      <c r="A17" s="686" t="s">
        <v>192</v>
      </c>
      <c r="B17" s="672"/>
      <c r="C17" s="672"/>
      <c r="D17" s="673">
        <v>1210000.0</v>
      </c>
      <c r="E17" s="674" t="b">
        <v>1</v>
      </c>
      <c r="F17" s="675" t="str">
        <f t="shared" si="1"/>
        <v>PAGADO</v>
      </c>
      <c r="G17" s="687" t="s">
        <v>2278</v>
      </c>
      <c r="H17" s="677" t="str">
        <f t="shared" si="5"/>
        <v>VENCIDA</v>
      </c>
      <c r="I17" s="682">
        <f t="shared" si="6"/>
        <v>46167</v>
      </c>
      <c r="J17" s="679" t="b">
        <v>0</v>
      </c>
    </row>
    <row r="18">
      <c r="A18" s="686" t="s">
        <v>193</v>
      </c>
      <c r="B18" s="672"/>
      <c r="C18" s="672"/>
      <c r="D18" s="688">
        <v>700000.0</v>
      </c>
      <c r="E18" s="674" t="b">
        <v>1</v>
      </c>
      <c r="F18" s="675" t="str">
        <f t="shared" si="1"/>
        <v>PAGADO</v>
      </c>
      <c r="G18" s="687" t="s">
        <v>2287</v>
      </c>
      <c r="H18" s="677" t="str">
        <f t="shared" si="5"/>
        <v>VENCIDA</v>
      </c>
      <c r="I18" s="682">
        <f t="shared" si="6"/>
        <v>46167</v>
      </c>
      <c r="J18" s="679" t="b">
        <v>0</v>
      </c>
      <c r="K18" s="2" t="s">
        <v>2323</v>
      </c>
    </row>
    <row r="19">
      <c r="A19" s="686" t="s">
        <v>194</v>
      </c>
      <c r="B19" s="672"/>
      <c r="C19" s="678"/>
      <c r="D19" s="673"/>
      <c r="E19" s="674" t="b">
        <v>0</v>
      </c>
      <c r="F19" s="675" t="str">
        <f t="shared" si="1"/>
        <v>ADEUDA</v>
      </c>
      <c r="G19" s="687" t="s">
        <v>2278</v>
      </c>
      <c r="H19" s="677" t="str">
        <f t="shared" si="5"/>
        <v>VENCIDA</v>
      </c>
      <c r="I19" s="691">
        <f t="shared" si="6"/>
        <v>46167</v>
      </c>
      <c r="J19" s="679" t="b">
        <v>0</v>
      </c>
    </row>
    <row r="20">
      <c r="A20" s="686" t="s">
        <v>2289</v>
      </c>
      <c r="B20" s="672"/>
      <c r="C20" s="678"/>
      <c r="D20" s="678"/>
      <c r="E20" s="674" t="b">
        <v>0</v>
      </c>
      <c r="F20" s="675" t="str">
        <f t="shared" si="1"/>
        <v>ADEUDA</v>
      </c>
      <c r="G20" s="687" t="s">
        <v>2278</v>
      </c>
      <c r="H20" s="677" t="str">
        <f t="shared" si="5"/>
        <v>VENCIDA</v>
      </c>
      <c r="I20" s="691">
        <f t="shared" si="6"/>
        <v>46167</v>
      </c>
      <c r="J20" s="679" t="b">
        <v>0</v>
      </c>
    </row>
    <row r="21">
      <c r="A21" s="686" t="s">
        <v>196</v>
      </c>
      <c r="B21" s="672"/>
      <c r="C21" s="672"/>
      <c r="D21" s="673">
        <v>170000.0</v>
      </c>
      <c r="E21" s="674" t="b">
        <v>1</v>
      </c>
      <c r="F21" s="675" t="str">
        <f t="shared" si="1"/>
        <v>PAGADO</v>
      </c>
      <c r="G21" s="690" t="s">
        <v>2278</v>
      </c>
      <c r="H21" s="677" t="str">
        <f t="shared" si="5"/>
        <v>VENCIDA</v>
      </c>
      <c r="I21" s="682">
        <f t="shared" si="6"/>
        <v>46167</v>
      </c>
      <c r="J21" s="679" t="b">
        <v>0</v>
      </c>
    </row>
    <row r="22">
      <c r="A22" s="686" t="s">
        <v>2290</v>
      </c>
      <c r="B22" s="672"/>
      <c r="C22" s="678"/>
      <c r="D22" s="693"/>
      <c r="E22" s="694" t="b">
        <v>0</v>
      </c>
      <c r="F22" s="675" t="str">
        <f t="shared" si="1"/>
        <v>ADEUDA</v>
      </c>
      <c r="G22" s="687" t="s">
        <v>2278</v>
      </c>
      <c r="H22" s="677" t="str">
        <f t="shared" si="5"/>
        <v>VENCIDA</v>
      </c>
      <c r="I22" s="691">
        <f t="shared" si="6"/>
        <v>46167</v>
      </c>
      <c r="J22" s="695" t="b">
        <v>0</v>
      </c>
    </row>
    <row r="23">
      <c r="A23" s="689" t="s">
        <v>2319</v>
      </c>
      <c r="B23" s="671"/>
      <c r="C23" s="678"/>
      <c r="D23" s="673"/>
      <c r="E23" s="696" t="b">
        <v>0</v>
      </c>
      <c r="F23" s="675" t="str">
        <f t="shared" si="1"/>
        <v>ADEUDA</v>
      </c>
      <c r="G23" s="687" t="s">
        <v>2292</v>
      </c>
      <c r="H23" s="677" t="str">
        <f t="shared" si="5"/>
        <v>VENCIDA</v>
      </c>
      <c r="I23" s="691">
        <f t="shared" si="6"/>
        <v>46167</v>
      </c>
      <c r="J23" s="695" t="b">
        <v>0</v>
      </c>
    </row>
    <row r="24">
      <c r="A24" s="686" t="s">
        <v>2293</v>
      </c>
      <c r="B24" s="672"/>
      <c r="C24" s="678"/>
      <c r="D24" s="688">
        <v>65087.59</v>
      </c>
      <c r="E24" s="694" t="b">
        <v>0</v>
      </c>
      <c r="F24" s="675" t="str">
        <f t="shared" si="1"/>
        <v>ADEUDA</v>
      </c>
      <c r="G24" s="687" t="s">
        <v>2278</v>
      </c>
      <c r="H24" s="677" t="str">
        <f t="shared" si="5"/>
        <v>VENCIDA</v>
      </c>
      <c r="I24" s="691">
        <f t="shared" si="6"/>
        <v>46167</v>
      </c>
      <c r="J24" s="695" t="b">
        <v>0</v>
      </c>
    </row>
    <row r="25">
      <c r="A25" s="686" t="s">
        <v>2294</v>
      </c>
      <c r="B25" s="672"/>
      <c r="C25" s="678"/>
      <c r="D25" s="688">
        <v>52070.07</v>
      </c>
      <c r="E25" s="694" t="b">
        <v>0</v>
      </c>
      <c r="F25" s="675" t="str">
        <f t="shared" si="1"/>
        <v>ADEUDA</v>
      </c>
      <c r="G25" s="687" t="s">
        <v>2278</v>
      </c>
      <c r="H25" s="677" t="str">
        <f t="shared" si="5"/>
        <v>VENCIDA</v>
      </c>
      <c r="I25" s="691">
        <f t="shared" si="6"/>
        <v>46167</v>
      </c>
      <c r="J25" s="695" t="b">
        <v>0</v>
      </c>
    </row>
    <row r="26">
      <c r="A26" s="686" t="s">
        <v>2295</v>
      </c>
      <c r="B26" s="672"/>
      <c r="C26" s="678"/>
      <c r="D26" s="688">
        <v>52070.07</v>
      </c>
      <c r="E26" s="694" t="b">
        <v>0</v>
      </c>
      <c r="F26" s="675" t="str">
        <f t="shared" si="1"/>
        <v>ADEUDA</v>
      </c>
      <c r="G26" s="687" t="s">
        <v>2278</v>
      </c>
      <c r="H26" s="677" t="str">
        <f t="shared" si="5"/>
        <v>VENCIDA</v>
      </c>
      <c r="I26" s="691">
        <f t="shared" si="6"/>
        <v>46167</v>
      </c>
      <c r="J26" s="695" t="b">
        <v>0</v>
      </c>
    </row>
    <row r="27">
      <c r="A27" s="686" t="s">
        <v>2314</v>
      </c>
      <c r="B27" s="672"/>
      <c r="C27" s="678"/>
      <c r="D27" s="678"/>
      <c r="E27" s="681" t="b">
        <v>0</v>
      </c>
      <c r="F27" s="675" t="str">
        <f t="shared" si="1"/>
        <v>ADEUDA</v>
      </c>
      <c r="G27" s="687" t="s">
        <v>2292</v>
      </c>
      <c r="H27" s="677" t="str">
        <f t="shared" si="5"/>
        <v>VENCIDA</v>
      </c>
      <c r="I27" s="691">
        <f t="shared" si="6"/>
        <v>46167</v>
      </c>
      <c r="J27" s="679" t="b">
        <v>0</v>
      </c>
    </row>
    <row r="28">
      <c r="A28" s="686" t="s">
        <v>2298</v>
      </c>
      <c r="B28" s="680"/>
      <c r="C28" s="680"/>
      <c r="D28" s="673">
        <v>901550.45</v>
      </c>
      <c r="E28" s="674" t="b">
        <v>1</v>
      </c>
      <c r="F28" s="675" t="str">
        <f t="shared" si="1"/>
        <v>PAGADO</v>
      </c>
      <c r="G28" s="687" t="s">
        <v>2286</v>
      </c>
      <c r="H28" s="677" t="str">
        <f t="shared" si="5"/>
        <v>VENCIDA</v>
      </c>
      <c r="I28" s="682">
        <f t="shared" si="6"/>
        <v>46167</v>
      </c>
      <c r="J28" s="692" t="b">
        <v>1</v>
      </c>
    </row>
    <row r="29">
      <c r="A29" s="686" t="s">
        <v>2298</v>
      </c>
      <c r="B29" s="680"/>
      <c r="C29" s="680"/>
      <c r="D29" s="673">
        <v>1195580.94</v>
      </c>
      <c r="E29" s="674" t="b">
        <v>0</v>
      </c>
      <c r="F29" s="675" t="str">
        <f t="shared" si="1"/>
        <v>ADEUDA</v>
      </c>
      <c r="G29" s="687" t="s">
        <v>2286</v>
      </c>
      <c r="H29" s="677" t="str">
        <f t="shared" si="5"/>
        <v>VENCIDA</v>
      </c>
      <c r="I29" s="682">
        <f t="shared" si="6"/>
        <v>46167</v>
      </c>
      <c r="J29" s="692" t="b">
        <v>1</v>
      </c>
    </row>
    <row r="30">
      <c r="A30" s="686" t="s">
        <v>209</v>
      </c>
      <c r="B30" s="680"/>
      <c r="C30" s="680"/>
      <c r="D30" s="688">
        <v>142499.15</v>
      </c>
      <c r="E30" s="674" t="b">
        <v>1</v>
      </c>
      <c r="F30" s="675" t="str">
        <f t="shared" si="1"/>
        <v>PAGADO</v>
      </c>
      <c r="G30" s="687" t="s">
        <v>2278</v>
      </c>
      <c r="H30" s="677" t="str">
        <f t="shared" si="5"/>
        <v>VENCIDA</v>
      </c>
      <c r="I30" s="682">
        <f t="shared" si="6"/>
        <v>46167</v>
      </c>
      <c r="J30" s="679" t="b">
        <v>0</v>
      </c>
    </row>
    <row r="31">
      <c r="A31" s="686" t="s">
        <v>2299</v>
      </c>
      <c r="B31" s="672"/>
      <c r="C31" s="678"/>
      <c r="D31" s="688">
        <v>54736.0</v>
      </c>
      <c r="E31" s="674" t="b">
        <v>0</v>
      </c>
      <c r="F31" s="675" t="str">
        <f t="shared" si="1"/>
        <v>ADEUDA</v>
      </c>
      <c r="G31" s="687" t="s">
        <v>2292</v>
      </c>
      <c r="H31" s="677" t="str">
        <f t="shared" si="5"/>
        <v>VENCIDA</v>
      </c>
      <c r="I31" s="691">
        <f t="shared" si="6"/>
        <v>46167</v>
      </c>
      <c r="J31" s="679" t="b">
        <v>0</v>
      </c>
    </row>
    <row r="32">
      <c r="A32" s="686" t="s">
        <v>2315</v>
      </c>
      <c r="B32" s="672"/>
      <c r="C32" s="678"/>
      <c r="D32" s="678"/>
      <c r="E32" s="681" t="b">
        <v>0</v>
      </c>
      <c r="F32" s="675" t="str">
        <f t="shared" si="1"/>
        <v>ADEUDA</v>
      </c>
      <c r="G32" s="687" t="s">
        <v>2292</v>
      </c>
      <c r="H32" s="677" t="str">
        <f t="shared" si="5"/>
        <v>VENCIDA</v>
      </c>
      <c r="I32" s="691">
        <f t="shared" si="6"/>
        <v>46167</v>
      </c>
      <c r="J32" s="679" t="b">
        <v>0</v>
      </c>
    </row>
    <row r="33">
      <c r="A33" s="678"/>
      <c r="B33" s="672"/>
      <c r="C33" s="678"/>
      <c r="D33" s="678"/>
      <c r="E33" s="681" t="b">
        <v>0</v>
      </c>
      <c r="F33" s="675" t="str">
        <f t="shared" si="1"/>
        <v>ADEUDA</v>
      </c>
      <c r="G33" s="687" t="s">
        <v>2292</v>
      </c>
      <c r="H33" s="677" t="str">
        <f t="shared" si="5"/>
        <v>VENCIDA</v>
      </c>
      <c r="I33" s="691">
        <f t="shared" si="6"/>
        <v>46167</v>
      </c>
      <c r="J33" s="679" t="b">
        <v>0</v>
      </c>
    </row>
    <row r="34">
      <c r="A34" s="672"/>
      <c r="B34" s="672"/>
      <c r="C34" s="683"/>
      <c r="D34" s="678"/>
      <c r="E34" s="681" t="b">
        <v>0</v>
      </c>
      <c r="F34" s="675" t="str">
        <f t="shared" si="1"/>
        <v>ADEUDA</v>
      </c>
      <c r="G34" s="687" t="s">
        <v>2278</v>
      </c>
      <c r="H34" s="677" t="str">
        <f t="shared" si="5"/>
        <v>VENCIDA</v>
      </c>
      <c r="I34" s="682">
        <f t="shared" si="6"/>
        <v>46167</v>
      </c>
      <c r="J34" s="679" t="b">
        <v>0</v>
      </c>
    </row>
    <row r="35">
      <c r="A35" s="672"/>
      <c r="B35" s="672"/>
      <c r="C35" s="683"/>
      <c r="D35" s="678"/>
      <c r="E35" s="681" t="b">
        <v>0</v>
      </c>
      <c r="F35" s="675" t="str">
        <f t="shared" si="1"/>
        <v>ADEUDA</v>
      </c>
      <c r="G35" s="687" t="s">
        <v>2278</v>
      </c>
      <c r="H35" s="677" t="str">
        <f t="shared" si="5"/>
        <v>VENCIDA</v>
      </c>
      <c r="I35" s="682">
        <f t="shared" si="6"/>
        <v>46167</v>
      </c>
      <c r="J35" s="679" t="b">
        <v>0</v>
      </c>
    </row>
    <row r="36">
      <c r="A36" s="672"/>
      <c r="B36" s="672"/>
      <c r="C36" s="683"/>
      <c r="D36" s="678"/>
      <c r="E36" s="681" t="b">
        <v>0</v>
      </c>
      <c r="F36" s="675" t="str">
        <f t="shared" si="1"/>
        <v>ADEUDA</v>
      </c>
      <c r="G36" s="687" t="s">
        <v>2278</v>
      </c>
      <c r="H36" s="677" t="str">
        <f t="shared" si="5"/>
        <v>VENCIDA</v>
      </c>
      <c r="I36" s="682">
        <f t="shared" si="6"/>
        <v>46167</v>
      </c>
      <c r="J36" s="679" t="b">
        <v>0</v>
      </c>
    </row>
    <row r="38">
      <c r="A38" s="661" t="s">
        <v>31</v>
      </c>
      <c r="B38" s="242"/>
      <c r="C38" s="242"/>
      <c r="D38" s="242"/>
      <c r="E38" s="242"/>
      <c r="F38" s="242"/>
      <c r="G38" s="242"/>
      <c r="H38" s="242"/>
      <c r="I38" s="242"/>
      <c r="J38" s="662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663"/>
    </row>
    <row r="40">
      <c r="A40" s="664" t="s">
        <v>2265</v>
      </c>
      <c r="B40" s="636"/>
      <c r="C40" s="636"/>
      <c r="D40" s="636"/>
      <c r="E40" s="636"/>
      <c r="F40" s="636"/>
      <c r="G40" s="636"/>
      <c r="H40" s="636"/>
      <c r="I40" s="665"/>
      <c r="J40" s="666"/>
    </row>
    <row r="41">
      <c r="A41" s="667" t="s">
        <v>2266</v>
      </c>
      <c r="B41" s="667" t="s">
        <v>2267</v>
      </c>
      <c r="C41" s="667" t="s">
        <v>2268</v>
      </c>
      <c r="D41" s="667" t="s">
        <v>2269</v>
      </c>
      <c r="E41" s="668" t="s">
        <v>2270</v>
      </c>
      <c r="F41" s="637"/>
      <c r="G41" s="667" t="s">
        <v>2271</v>
      </c>
      <c r="H41" s="667" t="s">
        <v>2272</v>
      </c>
      <c r="I41" s="669" t="s">
        <v>2273</v>
      </c>
      <c r="J41" s="669" t="s">
        <v>2274</v>
      </c>
    </row>
    <row r="42">
      <c r="A42" s="689" t="s">
        <v>2324</v>
      </c>
      <c r="B42" s="671">
        <v>46056.0</v>
      </c>
      <c r="C42" s="672"/>
      <c r="D42" s="673">
        <v>318703.65</v>
      </c>
      <c r="E42" s="674" t="b">
        <v>1</v>
      </c>
      <c r="F42" s="675" t="str">
        <f t="shared" ref="F42:F73" si="7">IF(E42,"PAGADO","ADEUDA")</f>
        <v>PAGADO</v>
      </c>
      <c r="G42" s="690" t="s">
        <v>2276</v>
      </c>
      <c r="H42" s="677" t="str">
        <f t="shared" ref="H42:H47" si="8">IF(C42&lt;TODAY(),"VENCIDA",IF(C42=TODAY(),"VENCE HOY",IF(C42&gt;TODAY(),"VIGENTE")))</f>
        <v>VENCIDA</v>
      </c>
      <c r="I42" s="678"/>
      <c r="J42" s="679" t="b">
        <v>0</v>
      </c>
      <c r="K42" s="2" t="s">
        <v>2325</v>
      </c>
    </row>
    <row r="43">
      <c r="A43" s="670" t="s">
        <v>2275</v>
      </c>
      <c r="B43" s="680"/>
      <c r="C43" s="672"/>
      <c r="D43" s="673"/>
      <c r="E43" s="681" t="b">
        <v>0</v>
      </c>
      <c r="F43" s="675" t="str">
        <f t="shared" si="7"/>
        <v>ADEUDA</v>
      </c>
      <c r="G43" s="676" t="s">
        <v>2278</v>
      </c>
      <c r="H43" s="677" t="str">
        <f t="shared" si="8"/>
        <v>VENCIDA</v>
      </c>
      <c r="I43" s="682">
        <f t="shared" ref="I43:I45" si="9">TODAY()-B43</f>
        <v>46167</v>
      </c>
      <c r="J43" s="679" t="b">
        <v>0</v>
      </c>
    </row>
    <row r="44">
      <c r="A44" s="689" t="s">
        <v>2322</v>
      </c>
      <c r="B44" s="680"/>
      <c r="C44" s="672"/>
      <c r="D44" s="673"/>
      <c r="E44" s="674" t="b">
        <v>0</v>
      </c>
      <c r="F44" s="675" t="str">
        <f t="shared" si="7"/>
        <v>ADEUDA</v>
      </c>
      <c r="G44" s="676" t="s">
        <v>2278</v>
      </c>
      <c r="H44" s="677" t="str">
        <f t="shared" si="8"/>
        <v>VENCIDA</v>
      </c>
      <c r="I44" s="682">
        <f t="shared" si="9"/>
        <v>46167</v>
      </c>
      <c r="J44" s="679" t="b">
        <v>0</v>
      </c>
    </row>
    <row r="45">
      <c r="A45" s="689" t="s">
        <v>2321</v>
      </c>
      <c r="B45" s="680"/>
      <c r="C45" s="683"/>
      <c r="D45" s="673">
        <v>69993.3</v>
      </c>
      <c r="E45" s="674" t="b">
        <v>0</v>
      </c>
      <c r="F45" s="675" t="str">
        <f t="shared" si="7"/>
        <v>ADEUDA</v>
      </c>
      <c r="G45" s="676" t="s">
        <v>2278</v>
      </c>
      <c r="H45" s="677" t="str">
        <f t="shared" si="8"/>
        <v>VENCIDA</v>
      </c>
      <c r="I45" s="682">
        <f t="shared" si="9"/>
        <v>46167</v>
      </c>
      <c r="J45" s="685" t="b">
        <v>0</v>
      </c>
    </row>
    <row r="46">
      <c r="A46" s="686" t="s">
        <v>1666</v>
      </c>
      <c r="B46" s="672"/>
      <c r="C46" s="672"/>
      <c r="D46" s="673">
        <v>185728.66</v>
      </c>
      <c r="E46" s="674" t="b">
        <v>1</v>
      </c>
      <c r="F46" s="675" t="str">
        <f t="shared" si="7"/>
        <v>PAGADO</v>
      </c>
      <c r="G46" s="687" t="s">
        <v>2278</v>
      </c>
      <c r="H46" s="677" t="str">
        <f t="shared" si="8"/>
        <v>VENCIDA</v>
      </c>
      <c r="I46" s="682">
        <f t="shared" ref="I46:I47" si="10">TODAY()-C46</f>
        <v>46167</v>
      </c>
      <c r="J46" s="679" t="b">
        <v>0</v>
      </c>
    </row>
    <row r="47">
      <c r="A47" s="686" t="s">
        <v>2309</v>
      </c>
      <c r="B47" s="683"/>
      <c r="C47" s="672"/>
      <c r="D47" s="673">
        <v>75127.77</v>
      </c>
      <c r="E47" s="674" t="b">
        <v>0</v>
      </c>
      <c r="F47" s="675" t="str">
        <f t="shared" si="7"/>
        <v>ADEUDA</v>
      </c>
      <c r="G47" s="687" t="s">
        <v>2276</v>
      </c>
      <c r="H47" s="677" t="str">
        <f t="shared" si="8"/>
        <v>VENCIDA</v>
      </c>
      <c r="I47" s="682">
        <f t="shared" si="10"/>
        <v>46167</v>
      </c>
      <c r="J47" s="679" t="b">
        <v>0</v>
      </c>
    </row>
    <row r="48">
      <c r="A48" s="689" t="s">
        <v>2316</v>
      </c>
      <c r="B48" s="672"/>
      <c r="C48" s="678"/>
      <c r="D48" s="673">
        <v>26112.0</v>
      </c>
      <c r="E48" s="674" t="b">
        <v>0</v>
      </c>
      <c r="F48" s="675" t="str">
        <f t="shared" si="7"/>
        <v>ADEUDA</v>
      </c>
      <c r="G48" s="690" t="s">
        <v>2286</v>
      </c>
      <c r="H48" s="677"/>
      <c r="I48" s="691"/>
      <c r="J48" s="679" t="b">
        <v>0</v>
      </c>
    </row>
    <row r="49">
      <c r="A49" s="689" t="s">
        <v>2317</v>
      </c>
      <c r="B49" s="672"/>
      <c r="C49" s="678"/>
      <c r="D49" s="673">
        <v>18278.0</v>
      </c>
      <c r="E49" s="674" t="b">
        <v>0</v>
      </c>
      <c r="F49" s="675" t="str">
        <f t="shared" si="7"/>
        <v>ADEUDA</v>
      </c>
      <c r="G49" s="690" t="s">
        <v>2286</v>
      </c>
      <c r="H49" s="677"/>
      <c r="I49" s="691"/>
      <c r="J49" s="679" t="b">
        <v>0</v>
      </c>
    </row>
    <row r="50">
      <c r="A50" s="689" t="s">
        <v>2318</v>
      </c>
      <c r="B50" s="672"/>
      <c r="C50" s="678"/>
      <c r="D50" s="673">
        <v>20415.41</v>
      </c>
      <c r="E50" s="674" t="b">
        <v>0</v>
      </c>
      <c r="F50" s="675" t="str">
        <f t="shared" si="7"/>
        <v>ADEUDA</v>
      </c>
      <c r="G50" s="690" t="s">
        <v>2286</v>
      </c>
      <c r="H50" s="677"/>
      <c r="I50" s="691"/>
      <c r="J50" s="679" t="b">
        <v>0</v>
      </c>
    </row>
    <row r="51">
      <c r="A51" s="686" t="s">
        <v>199</v>
      </c>
      <c r="B51" s="672"/>
      <c r="C51" s="678"/>
      <c r="D51" s="673">
        <v>146724.22</v>
      </c>
      <c r="E51" s="674" t="b">
        <v>0</v>
      </c>
      <c r="F51" s="675" t="str">
        <f t="shared" si="7"/>
        <v>ADEUDA</v>
      </c>
      <c r="G51" s="687" t="s">
        <v>2276</v>
      </c>
      <c r="H51" s="677" t="str">
        <f t="shared" ref="H51:H73" si="11">IF(C51&lt;TODAY(),"VENCIDA",IF(C51=TODAY(),"VENCE HOY",IF(C51&gt;TODAY(),"VIGENTE")))</f>
        <v>VENCIDA</v>
      </c>
      <c r="I51" s="691">
        <f>TODAY()-C51</f>
        <v>46167</v>
      </c>
      <c r="J51" s="679" t="b">
        <v>0</v>
      </c>
    </row>
    <row r="52">
      <c r="A52" s="686" t="s">
        <v>200</v>
      </c>
      <c r="B52" s="672"/>
      <c r="C52" s="678"/>
      <c r="D52" s="673">
        <v>157453.56</v>
      </c>
      <c r="E52" s="674" t="b">
        <v>1</v>
      </c>
      <c r="F52" s="675" t="str">
        <f t="shared" si="7"/>
        <v>PAGADO</v>
      </c>
      <c r="G52" s="687" t="s">
        <v>2286</v>
      </c>
      <c r="H52" s="677" t="str">
        <f t="shared" si="11"/>
        <v>VENCIDA</v>
      </c>
      <c r="I52" s="678"/>
      <c r="J52" s="692" t="b">
        <v>1</v>
      </c>
    </row>
    <row r="53">
      <c r="A53" s="686" t="s">
        <v>201</v>
      </c>
      <c r="B53" s="672"/>
      <c r="C53" s="678"/>
      <c r="D53" s="688">
        <v>84785.15</v>
      </c>
      <c r="E53" s="674" t="b">
        <v>0</v>
      </c>
      <c r="F53" s="675" t="str">
        <f t="shared" si="7"/>
        <v>ADEUDA</v>
      </c>
      <c r="G53" s="687" t="s">
        <v>2278</v>
      </c>
      <c r="H53" s="677" t="str">
        <f t="shared" si="11"/>
        <v>VENCIDA</v>
      </c>
      <c r="I53" s="691">
        <f t="shared" ref="I53:I73" si="12">TODAY()-C53</f>
        <v>46167</v>
      </c>
      <c r="J53" s="679" t="b">
        <v>0</v>
      </c>
    </row>
    <row r="54">
      <c r="A54" s="686" t="s">
        <v>192</v>
      </c>
      <c r="B54" s="672"/>
      <c r="C54" s="672"/>
      <c r="D54" s="673">
        <v>1210000.0</v>
      </c>
      <c r="E54" s="674" t="b">
        <v>1</v>
      </c>
      <c r="F54" s="675" t="str">
        <f t="shared" si="7"/>
        <v>PAGADO</v>
      </c>
      <c r="G54" s="687" t="s">
        <v>2278</v>
      </c>
      <c r="H54" s="677" t="str">
        <f t="shared" si="11"/>
        <v>VENCIDA</v>
      </c>
      <c r="I54" s="682">
        <f t="shared" si="12"/>
        <v>46167</v>
      </c>
      <c r="J54" s="679" t="b">
        <v>0</v>
      </c>
    </row>
    <row r="55">
      <c r="A55" s="686" t="s">
        <v>193</v>
      </c>
      <c r="B55" s="672"/>
      <c r="C55" s="672"/>
      <c r="D55" s="673">
        <v>500000.0</v>
      </c>
      <c r="E55" s="674" t="b">
        <v>1</v>
      </c>
      <c r="F55" s="675" t="str">
        <f t="shared" si="7"/>
        <v>PAGADO</v>
      </c>
      <c r="G55" s="687" t="s">
        <v>2287</v>
      </c>
      <c r="H55" s="677" t="str">
        <f t="shared" si="11"/>
        <v>VENCIDA</v>
      </c>
      <c r="I55" s="682">
        <f t="shared" si="12"/>
        <v>46167</v>
      </c>
      <c r="J55" s="679" t="b">
        <v>0</v>
      </c>
    </row>
    <row r="56">
      <c r="A56" s="686" t="s">
        <v>194</v>
      </c>
      <c r="B56" s="672"/>
      <c r="C56" s="678"/>
      <c r="D56" s="673"/>
      <c r="E56" s="674" t="b">
        <v>0</v>
      </c>
      <c r="F56" s="675" t="str">
        <f t="shared" si="7"/>
        <v>ADEUDA</v>
      </c>
      <c r="G56" s="687" t="s">
        <v>2278</v>
      </c>
      <c r="H56" s="677" t="str">
        <f t="shared" si="11"/>
        <v>VENCIDA</v>
      </c>
      <c r="I56" s="691">
        <f t="shared" si="12"/>
        <v>46167</v>
      </c>
      <c r="J56" s="679" t="b">
        <v>0</v>
      </c>
    </row>
    <row r="57">
      <c r="A57" s="686" t="s">
        <v>2289</v>
      </c>
      <c r="B57" s="672"/>
      <c r="C57" s="678"/>
      <c r="D57" s="678"/>
      <c r="E57" s="674" t="b">
        <v>0</v>
      </c>
      <c r="F57" s="675" t="str">
        <f t="shared" si="7"/>
        <v>ADEUDA</v>
      </c>
      <c r="G57" s="687" t="s">
        <v>2278</v>
      </c>
      <c r="H57" s="677" t="str">
        <f t="shared" si="11"/>
        <v>VENCIDA</v>
      </c>
      <c r="I57" s="691">
        <f t="shared" si="12"/>
        <v>46167</v>
      </c>
      <c r="J57" s="679" t="b">
        <v>0</v>
      </c>
    </row>
    <row r="58">
      <c r="A58" s="686" t="s">
        <v>196</v>
      </c>
      <c r="B58" s="672"/>
      <c r="C58" s="672"/>
      <c r="D58" s="673">
        <v>170000.0</v>
      </c>
      <c r="E58" s="674" t="b">
        <v>1</v>
      </c>
      <c r="F58" s="675" t="str">
        <f t="shared" si="7"/>
        <v>PAGADO</v>
      </c>
      <c r="G58" s="690" t="s">
        <v>2278</v>
      </c>
      <c r="H58" s="677" t="str">
        <f t="shared" si="11"/>
        <v>VENCIDA</v>
      </c>
      <c r="I58" s="682">
        <f t="shared" si="12"/>
        <v>46167</v>
      </c>
      <c r="J58" s="679" t="b">
        <v>0</v>
      </c>
    </row>
    <row r="59">
      <c r="A59" s="686" t="s">
        <v>2290</v>
      </c>
      <c r="B59" s="672"/>
      <c r="C59" s="678"/>
      <c r="D59" s="693"/>
      <c r="E59" s="694" t="b">
        <v>0</v>
      </c>
      <c r="F59" s="675" t="str">
        <f t="shared" si="7"/>
        <v>ADEUDA</v>
      </c>
      <c r="G59" s="687" t="s">
        <v>2278</v>
      </c>
      <c r="H59" s="677" t="str">
        <f t="shared" si="11"/>
        <v>VENCIDA</v>
      </c>
      <c r="I59" s="691">
        <f t="shared" si="12"/>
        <v>46167</v>
      </c>
      <c r="J59" s="695" t="b">
        <v>0</v>
      </c>
    </row>
    <row r="60">
      <c r="A60" s="689" t="s">
        <v>2326</v>
      </c>
      <c r="B60" s="671">
        <v>46072.0</v>
      </c>
      <c r="C60" s="678"/>
      <c r="D60" s="673">
        <v>1332568.97</v>
      </c>
      <c r="E60" s="696" t="b">
        <v>1</v>
      </c>
      <c r="F60" s="675" t="str">
        <f t="shared" si="7"/>
        <v>PAGADO</v>
      </c>
      <c r="G60" s="687" t="s">
        <v>2292</v>
      </c>
      <c r="H60" s="677" t="str">
        <f t="shared" si="11"/>
        <v>VENCIDA</v>
      </c>
      <c r="I60" s="691">
        <f t="shared" si="12"/>
        <v>46167</v>
      </c>
      <c r="J60" s="695" t="b">
        <v>0</v>
      </c>
    </row>
    <row r="61">
      <c r="A61" s="686" t="s">
        <v>2293</v>
      </c>
      <c r="B61" s="672"/>
      <c r="C61" s="678"/>
      <c r="D61" s="688">
        <v>65087.59</v>
      </c>
      <c r="E61" s="694" t="b">
        <v>0</v>
      </c>
      <c r="F61" s="675" t="str">
        <f t="shared" si="7"/>
        <v>ADEUDA</v>
      </c>
      <c r="G61" s="687" t="s">
        <v>2278</v>
      </c>
      <c r="H61" s="677" t="str">
        <f t="shared" si="11"/>
        <v>VENCIDA</v>
      </c>
      <c r="I61" s="691">
        <f t="shared" si="12"/>
        <v>46167</v>
      </c>
      <c r="J61" s="695" t="b">
        <v>0</v>
      </c>
    </row>
    <row r="62">
      <c r="A62" s="686" t="s">
        <v>2294</v>
      </c>
      <c r="B62" s="672"/>
      <c r="C62" s="678"/>
      <c r="D62" s="688">
        <v>52070.07</v>
      </c>
      <c r="E62" s="694" t="b">
        <v>0</v>
      </c>
      <c r="F62" s="675" t="str">
        <f t="shared" si="7"/>
        <v>ADEUDA</v>
      </c>
      <c r="G62" s="687" t="s">
        <v>2278</v>
      </c>
      <c r="H62" s="677" t="str">
        <f t="shared" si="11"/>
        <v>VENCIDA</v>
      </c>
      <c r="I62" s="691">
        <f t="shared" si="12"/>
        <v>46167</v>
      </c>
      <c r="J62" s="695" t="b">
        <v>0</v>
      </c>
    </row>
    <row r="63">
      <c r="A63" s="686" t="s">
        <v>2295</v>
      </c>
      <c r="B63" s="672"/>
      <c r="C63" s="678"/>
      <c r="D63" s="688">
        <v>52070.07</v>
      </c>
      <c r="E63" s="694" t="b">
        <v>0</v>
      </c>
      <c r="F63" s="675" t="str">
        <f t="shared" si="7"/>
        <v>ADEUDA</v>
      </c>
      <c r="G63" s="687" t="s">
        <v>2278</v>
      </c>
      <c r="H63" s="677" t="str">
        <f t="shared" si="11"/>
        <v>VENCIDA</v>
      </c>
      <c r="I63" s="691">
        <f t="shared" si="12"/>
        <v>46167</v>
      </c>
      <c r="J63" s="695" t="b">
        <v>0</v>
      </c>
    </row>
    <row r="64">
      <c r="A64" s="689" t="s">
        <v>2327</v>
      </c>
      <c r="B64" s="671">
        <v>46072.0</v>
      </c>
      <c r="C64" s="678"/>
      <c r="D64" s="698">
        <v>1188289.59</v>
      </c>
      <c r="E64" s="674" t="b">
        <v>1</v>
      </c>
      <c r="F64" s="675" t="str">
        <f t="shared" si="7"/>
        <v>PAGADO</v>
      </c>
      <c r="G64" s="687" t="s">
        <v>2292</v>
      </c>
      <c r="H64" s="677" t="str">
        <f t="shared" si="11"/>
        <v>VENCIDA</v>
      </c>
      <c r="I64" s="691">
        <f t="shared" si="12"/>
        <v>46167</v>
      </c>
      <c r="J64" s="679" t="b">
        <v>0</v>
      </c>
    </row>
    <row r="65">
      <c r="A65" s="686" t="s">
        <v>2298</v>
      </c>
      <c r="B65" s="680"/>
      <c r="C65" s="680"/>
      <c r="D65" s="673">
        <v>901550.45</v>
      </c>
      <c r="E65" s="674" t="b">
        <v>1</v>
      </c>
      <c r="F65" s="675" t="str">
        <f t="shared" si="7"/>
        <v>PAGADO</v>
      </c>
      <c r="G65" s="687" t="s">
        <v>2286</v>
      </c>
      <c r="H65" s="677" t="str">
        <f t="shared" si="11"/>
        <v>VENCIDA</v>
      </c>
      <c r="I65" s="682">
        <f t="shared" si="12"/>
        <v>46167</v>
      </c>
      <c r="J65" s="692" t="b">
        <v>1</v>
      </c>
    </row>
    <row r="66">
      <c r="A66" s="686" t="s">
        <v>2298</v>
      </c>
      <c r="B66" s="680"/>
      <c r="C66" s="680"/>
      <c r="D66" s="673">
        <v>1195580.94</v>
      </c>
      <c r="E66" s="674" t="b">
        <v>1</v>
      </c>
      <c r="F66" s="675" t="str">
        <f t="shared" si="7"/>
        <v>PAGADO</v>
      </c>
      <c r="G66" s="687" t="s">
        <v>2286</v>
      </c>
      <c r="H66" s="677" t="str">
        <f t="shared" si="11"/>
        <v>VENCIDA</v>
      </c>
      <c r="I66" s="682">
        <f t="shared" si="12"/>
        <v>46167</v>
      </c>
      <c r="J66" s="692" t="b">
        <v>1</v>
      </c>
    </row>
    <row r="67">
      <c r="A67" s="686" t="s">
        <v>209</v>
      </c>
      <c r="B67" s="680"/>
      <c r="C67" s="680"/>
      <c r="D67" s="688">
        <v>142499.15</v>
      </c>
      <c r="E67" s="674" t="b">
        <v>1</v>
      </c>
      <c r="F67" s="675" t="str">
        <f t="shared" si="7"/>
        <v>PAGADO</v>
      </c>
      <c r="G67" s="687" t="s">
        <v>2278</v>
      </c>
      <c r="H67" s="677" t="str">
        <f t="shared" si="11"/>
        <v>VENCIDA</v>
      </c>
      <c r="I67" s="682">
        <f t="shared" si="12"/>
        <v>46167</v>
      </c>
      <c r="J67" s="679" t="b">
        <v>0</v>
      </c>
    </row>
    <row r="68">
      <c r="A68" s="686" t="s">
        <v>2299</v>
      </c>
      <c r="B68" s="672"/>
      <c r="C68" s="678"/>
      <c r="D68" s="673">
        <v>62743.08</v>
      </c>
      <c r="E68" s="674" t="b">
        <v>1</v>
      </c>
      <c r="F68" s="675" t="str">
        <f t="shared" si="7"/>
        <v>PAGADO</v>
      </c>
      <c r="G68" s="687" t="s">
        <v>2292</v>
      </c>
      <c r="H68" s="677" t="str">
        <f t="shared" si="11"/>
        <v>VENCIDA</v>
      </c>
      <c r="I68" s="691">
        <f t="shared" si="12"/>
        <v>46167</v>
      </c>
      <c r="J68" s="679" t="b">
        <v>0</v>
      </c>
    </row>
    <row r="69">
      <c r="A69" s="686"/>
      <c r="B69" s="672"/>
      <c r="C69" s="678"/>
      <c r="D69" s="678"/>
      <c r="E69" s="681" t="b">
        <v>0</v>
      </c>
      <c r="F69" s="675" t="str">
        <f t="shared" si="7"/>
        <v>ADEUDA</v>
      </c>
      <c r="G69" s="687" t="s">
        <v>2292</v>
      </c>
      <c r="H69" s="677" t="str">
        <f t="shared" si="11"/>
        <v>VENCIDA</v>
      </c>
      <c r="I69" s="691">
        <f t="shared" si="12"/>
        <v>46167</v>
      </c>
      <c r="J69" s="679" t="b">
        <v>0</v>
      </c>
    </row>
    <row r="70">
      <c r="A70" s="678"/>
      <c r="B70" s="672"/>
      <c r="C70" s="678"/>
      <c r="D70" s="678"/>
      <c r="E70" s="681" t="b">
        <v>0</v>
      </c>
      <c r="F70" s="675" t="str">
        <f t="shared" si="7"/>
        <v>ADEUDA</v>
      </c>
      <c r="G70" s="687" t="s">
        <v>2292</v>
      </c>
      <c r="H70" s="677" t="str">
        <f t="shared" si="11"/>
        <v>VENCIDA</v>
      </c>
      <c r="I70" s="691">
        <f t="shared" si="12"/>
        <v>46167</v>
      </c>
      <c r="J70" s="679" t="b">
        <v>0</v>
      </c>
    </row>
    <row r="71">
      <c r="A71" s="672"/>
      <c r="B71" s="672"/>
      <c r="C71" s="683"/>
      <c r="D71" s="678"/>
      <c r="E71" s="681" t="b">
        <v>0</v>
      </c>
      <c r="F71" s="675" t="str">
        <f t="shared" si="7"/>
        <v>ADEUDA</v>
      </c>
      <c r="G71" s="687" t="s">
        <v>2278</v>
      </c>
      <c r="H71" s="677" t="str">
        <f t="shared" si="11"/>
        <v>VENCIDA</v>
      </c>
      <c r="I71" s="682">
        <f t="shared" si="12"/>
        <v>46167</v>
      </c>
      <c r="J71" s="679" t="b">
        <v>0</v>
      </c>
    </row>
    <row r="72">
      <c r="A72" s="672"/>
      <c r="B72" s="672"/>
      <c r="C72" s="683"/>
      <c r="D72" s="678"/>
      <c r="E72" s="681" t="b">
        <v>0</v>
      </c>
      <c r="F72" s="675" t="str">
        <f t="shared" si="7"/>
        <v>ADEUDA</v>
      </c>
      <c r="G72" s="687" t="s">
        <v>2278</v>
      </c>
      <c r="H72" s="677" t="str">
        <f t="shared" si="11"/>
        <v>VENCIDA</v>
      </c>
      <c r="I72" s="682">
        <f t="shared" si="12"/>
        <v>46167</v>
      </c>
      <c r="J72" s="679" t="b">
        <v>0</v>
      </c>
    </row>
    <row r="73">
      <c r="A73" s="672"/>
      <c r="B73" s="672"/>
      <c r="C73" s="683"/>
      <c r="D73" s="678"/>
      <c r="E73" s="681" t="b">
        <v>0</v>
      </c>
      <c r="F73" s="675" t="str">
        <f t="shared" si="7"/>
        <v>ADEUDA</v>
      </c>
      <c r="G73" s="687" t="s">
        <v>2278</v>
      </c>
      <c r="H73" s="677" t="str">
        <f t="shared" si="11"/>
        <v>VENCIDA</v>
      </c>
      <c r="I73" s="682">
        <f t="shared" si="12"/>
        <v>46167</v>
      </c>
      <c r="J73" s="679" t="b">
        <v>0</v>
      </c>
    </row>
    <row r="76">
      <c r="A76" s="661" t="s">
        <v>35</v>
      </c>
      <c r="B76" s="242"/>
      <c r="C76" s="242"/>
      <c r="D76" s="242"/>
      <c r="E76" s="242"/>
      <c r="F76" s="242"/>
      <c r="G76" s="242"/>
      <c r="H76" s="242"/>
      <c r="I76" s="242"/>
      <c r="J76" s="662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663"/>
    </row>
    <row r="78">
      <c r="A78" s="664" t="s">
        <v>2265</v>
      </c>
      <c r="B78" s="636"/>
      <c r="C78" s="636"/>
      <c r="D78" s="636"/>
      <c r="E78" s="636"/>
      <c r="F78" s="636"/>
      <c r="G78" s="636"/>
      <c r="H78" s="636"/>
      <c r="I78" s="665"/>
      <c r="J78" s="666"/>
    </row>
    <row r="79">
      <c r="A79" s="667" t="s">
        <v>2266</v>
      </c>
      <c r="B79" s="667" t="s">
        <v>2267</v>
      </c>
      <c r="C79" s="667" t="s">
        <v>2268</v>
      </c>
      <c r="D79" s="667" t="s">
        <v>2269</v>
      </c>
      <c r="E79" s="668" t="s">
        <v>2270</v>
      </c>
      <c r="F79" s="637"/>
      <c r="G79" s="667" t="s">
        <v>2271</v>
      </c>
      <c r="H79" s="667" t="s">
        <v>2272</v>
      </c>
      <c r="I79" s="669" t="s">
        <v>2273</v>
      </c>
      <c r="J79" s="669" t="s">
        <v>2274</v>
      </c>
    </row>
    <row r="80">
      <c r="A80" s="689" t="s">
        <v>2324</v>
      </c>
      <c r="B80" s="671">
        <v>46119.0</v>
      </c>
      <c r="C80" s="672"/>
      <c r="D80" s="673">
        <v>433717.38</v>
      </c>
      <c r="E80" s="674" t="b">
        <v>0</v>
      </c>
      <c r="F80" s="675" t="str">
        <f t="shared" ref="F80:F111" si="13">IF(E80,"PAGADO","ADEUDA")</f>
        <v>ADEUDA</v>
      </c>
      <c r="G80" s="690" t="s">
        <v>2276</v>
      </c>
      <c r="H80" s="677" t="str">
        <f t="shared" ref="H80:H85" si="14">IF(C80&lt;TODAY(),"VENCIDA",IF(C80=TODAY(),"VENCE HOY",IF(C80&gt;TODAY(),"VIGENTE")))</f>
        <v>VENCIDA</v>
      </c>
      <c r="I80" s="678"/>
      <c r="J80" s="679" t="b">
        <v>0</v>
      </c>
    </row>
    <row r="81">
      <c r="A81" s="670" t="s">
        <v>2275</v>
      </c>
      <c r="B81" s="680"/>
      <c r="C81" s="672"/>
      <c r="D81" s="673"/>
      <c r="E81" s="681" t="b">
        <v>0</v>
      </c>
      <c r="F81" s="675" t="str">
        <f t="shared" si="13"/>
        <v>ADEUDA</v>
      </c>
      <c r="G81" s="676" t="s">
        <v>2278</v>
      </c>
      <c r="H81" s="677" t="str">
        <f t="shared" si="14"/>
        <v>VENCIDA</v>
      </c>
      <c r="I81" s="682">
        <f t="shared" ref="I81:I83" si="15">TODAY()-B81</f>
        <v>46167</v>
      </c>
      <c r="J81" s="679" t="b">
        <v>0</v>
      </c>
    </row>
    <row r="82">
      <c r="A82" s="689" t="s">
        <v>2322</v>
      </c>
      <c r="B82" s="680"/>
      <c r="C82" s="672"/>
      <c r="D82" s="673"/>
      <c r="E82" s="674" t="b">
        <v>0</v>
      </c>
      <c r="F82" s="675" t="str">
        <f t="shared" si="13"/>
        <v>ADEUDA</v>
      </c>
      <c r="G82" s="676" t="s">
        <v>2278</v>
      </c>
      <c r="H82" s="677" t="str">
        <f t="shared" si="14"/>
        <v>VENCIDA</v>
      </c>
      <c r="I82" s="682">
        <f t="shared" si="15"/>
        <v>46167</v>
      </c>
      <c r="J82" s="679" t="b">
        <v>0</v>
      </c>
    </row>
    <row r="83">
      <c r="A83" s="689" t="s">
        <v>2321</v>
      </c>
      <c r="B83" s="680"/>
      <c r="C83" s="683"/>
      <c r="D83" s="673">
        <v>69993.3</v>
      </c>
      <c r="E83" s="674" t="b">
        <v>0</v>
      </c>
      <c r="F83" s="675" t="str">
        <f t="shared" si="13"/>
        <v>ADEUDA</v>
      </c>
      <c r="G83" s="676" t="s">
        <v>2278</v>
      </c>
      <c r="H83" s="677" t="str">
        <f t="shared" si="14"/>
        <v>VENCIDA</v>
      </c>
      <c r="I83" s="682">
        <f t="shared" si="15"/>
        <v>46167</v>
      </c>
      <c r="J83" s="685" t="b">
        <v>0</v>
      </c>
    </row>
    <row r="84">
      <c r="A84" s="686" t="s">
        <v>1666</v>
      </c>
      <c r="B84" s="672"/>
      <c r="C84" s="672"/>
      <c r="D84" s="673">
        <v>185728.66</v>
      </c>
      <c r="E84" s="674" t="b">
        <v>1</v>
      </c>
      <c r="F84" s="675" t="str">
        <f t="shared" si="13"/>
        <v>PAGADO</v>
      </c>
      <c r="G84" s="687" t="s">
        <v>2278</v>
      </c>
      <c r="H84" s="677" t="str">
        <f t="shared" si="14"/>
        <v>VENCIDA</v>
      </c>
      <c r="I84" s="682">
        <f t="shared" ref="I84:I85" si="16">TODAY()-C84</f>
        <v>46167</v>
      </c>
      <c r="J84" s="679" t="b">
        <v>0</v>
      </c>
    </row>
    <row r="85">
      <c r="A85" s="686" t="s">
        <v>2309</v>
      </c>
      <c r="B85" s="683"/>
      <c r="C85" s="672"/>
      <c r="D85" s="673">
        <v>75127.77</v>
      </c>
      <c r="E85" s="674" t="b">
        <v>0</v>
      </c>
      <c r="F85" s="675" t="str">
        <f t="shared" si="13"/>
        <v>ADEUDA</v>
      </c>
      <c r="G85" s="687" t="s">
        <v>2276</v>
      </c>
      <c r="H85" s="677" t="str">
        <f t="shared" si="14"/>
        <v>VENCIDA</v>
      </c>
      <c r="I85" s="682">
        <f t="shared" si="16"/>
        <v>46167</v>
      </c>
      <c r="J85" s="679" t="b">
        <v>0</v>
      </c>
    </row>
    <row r="86">
      <c r="A86" s="689" t="s">
        <v>2316</v>
      </c>
      <c r="B86" s="672"/>
      <c r="C86" s="678"/>
      <c r="D86" s="673">
        <v>26112.0</v>
      </c>
      <c r="E86" s="674" t="b">
        <v>0</v>
      </c>
      <c r="F86" s="675" t="str">
        <f t="shared" si="13"/>
        <v>ADEUDA</v>
      </c>
      <c r="G86" s="690" t="s">
        <v>2286</v>
      </c>
      <c r="H86" s="677"/>
      <c r="I86" s="691"/>
      <c r="J86" s="679" t="b">
        <v>0</v>
      </c>
    </row>
    <row r="87">
      <c r="A87" s="689" t="s">
        <v>2317</v>
      </c>
      <c r="B87" s="672"/>
      <c r="C87" s="678"/>
      <c r="D87" s="673">
        <v>18278.0</v>
      </c>
      <c r="E87" s="674" t="b">
        <v>0</v>
      </c>
      <c r="F87" s="675" t="str">
        <f t="shared" si="13"/>
        <v>ADEUDA</v>
      </c>
      <c r="G87" s="690" t="s">
        <v>2286</v>
      </c>
      <c r="H87" s="677"/>
      <c r="I87" s="691"/>
      <c r="J87" s="679" t="b">
        <v>0</v>
      </c>
    </row>
    <row r="88">
      <c r="A88" s="689" t="s">
        <v>2318</v>
      </c>
      <c r="B88" s="672"/>
      <c r="C88" s="678"/>
      <c r="D88" s="673">
        <v>20415.41</v>
      </c>
      <c r="E88" s="674" t="b">
        <v>0</v>
      </c>
      <c r="F88" s="675" t="str">
        <f t="shared" si="13"/>
        <v>ADEUDA</v>
      </c>
      <c r="G88" s="690" t="s">
        <v>2286</v>
      </c>
      <c r="H88" s="677"/>
      <c r="I88" s="691"/>
      <c r="J88" s="679" t="b">
        <v>0</v>
      </c>
    </row>
    <row r="89">
      <c r="A89" s="686" t="s">
        <v>199</v>
      </c>
      <c r="B89" s="672"/>
      <c r="C89" s="678"/>
      <c r="D89" s="673">
        <v>146724.22</v>
      </c>
      <c r="E89" s="674" t="b">
        <v>0</v>
      </c>
      <c r="F89" s="675" t="str">
        <f t="shared" si="13"/>
        <v>ADEUDA</v>
      </c>
      <c r="G89" s="687" t="s">
        <v>2276</v>
      </c>
      <c r="H89" s="677" t="str">
        <f t="shared" ref="H89:H111" si="17">IF(C89&lt;TODAY(),"VENCIDA",IF(C89=TODAY(),"VENCE HOY",IF(C89&gt;TODAY(),"VIGENTE")))</f>
        <v>VENCIDA</v>
      </c>
      <c r="I89" s="691">
        <f>TODAY()-C89</f>
        <v>46167</v>
      </c>
      <c r="J89" s="679" t="b">
        <v>0</v>
      </c>
    </row>
    <row r="90">
      <c r="A90" s="686" t="s">
        <v>200</v>
      </c>
      <c r="B90" s="672"/>
      <c r="C90" s="678"/>
      <c r="D90" s="673">
        <v>157453.56</v>
      </c>
      <c r="E90" s="674" t="b">
        <v>1</v>
      </c>
      <c r="F90" s="675" t="str">
        <f t="shared" si="13"/>
        <v>PAGADO</v>
      </c>
      <c r="G90" s="687" t="s">
        <v>2286</v>
      </c>
      <c r="H90" s="677" t="str">
        <f t="shared" si="17"/>
        <v>VENCIDA</v>
      </c>
      <c r="I90" s="678"/>
      <c r="J90" s="692" t="b">
        <v>1</v>
      </c>
    </row>
    <row r="91">
      <c r="A91" s="686" t="s">
        <v>201</v>
      </c>
      <c r="B91" s="672"/>
      <c r="C91" s="678"/>
      <c r="D91" s="688">
        <v>84785.15</v>
      </c>
      <c r="E91" s="674" t="b">
        <v>0</v>
      </c>
      <c r="F91" s="675" t="str">
        <f t="shared" si="13"/>
        <v>ADEUDA</v>
      </c>
      <c r="G91" s="687" t="s">
        <v>2278</v>
      </c>
      <c r="H91" s="677" t="str">
        <f t="shared" si="17"/>
        <v>VENCIDA</v>
      </c>
      <c r="I91" s="691">
        <f t="shared" ref="I91:I111" si="18">TODAY()-C91</f>
        <v>46167</v>
      </c>
      <c r="J91" s="679" t="b">
        <v>0</v>
      </c>
    </row>
    <row r="92">
      <c r="A92" s="686" t="s">
        <v>192</v>
      </c>
      <c r="B92" s="672"/>
      <c r="C92" s="672"/>
      <c r="D92" s="673">
        <v>1210000.0</v>
      </c>
      <c r="E92" s="674" t="b">
        <v>1</v>
      </c>
      <c r="F92" s="675" t="str">
        <f t="shared" si="13"/>
        <v>PAGADO</v>
      </c>
      <c r="G92" s="687" t="s">
        <v>2278</v>
      </c>
      <c r="H92" s="677" t="str">
        <f t="shared" si="17"/>
        <v>VENCIDA</v>
      </c>
      <c r="I92" s="682">
        <f t="shared" si="18"/>
        <v>46167</v>
      </c>
      <c r="J92" s="679" t="b">
        <v>0</v>
      </c>
    </row>
    <row r="93">
      <c r="A93" s="686" t="s">
        <v>193</v>
      </c>
      <c r="B93" s="672"/>
      <c r="C93" s="672"/>
      <c r="D93" s="673">
        <v>500000.0</v>
      </c>
      <c r="E93" s="674" t="b">
        <v>1</v>
      </c>
      <c r="F93" s="675" t="str">
        <f t="shared" si="13"/>
        <v>PAGADO</v>
      </c>
      <c r="G93" s="687" t="s">
        <v>2287</v>
      </c>
      <c r="H93" s="677" t="str">
        <f t="shared" si="17"/>
        <v>VENCIDA</v>
      </c>
      <c r="I93" s="682">
        <f t="shared" si="18"/>
        <v>46167</v>
      </c>
      <c r="J93" s="679" t="b">
        <v>0</v>
      </c>
    </row>
    <row r="94">
      <c r="A94" s="686" t="s">
        <v>194</v>
      </c>
      <c r="B94" s="672"/>
      <c r="C94" s="678"/>
      <c r="D94" s="673"/>
      <c r="E94" s="674" t="b">
        <v>0</v>
      </c>
      <c r="F94" s="675" t="str">
        <f t="shared" si="13"/>
        <v>ADEUDA</v>
      </c>
      <c r="G94" s="687" t="s">
        <v>2278</v>
      </c>
      <c r="H94" s="677" t="str">
        <f t="shared" si="17"/>
        <v>VENCIDA</v>
      </c>
      <c r="I94" s="691">
        <f t="shared" si="18"/>
        <v>46167</v>
      </c>
      <c r="J94" s="679" t="b">
        <v>0</v>
      </c>
    </row>
    <row r="95">
      <c r="A95" s="686" t="s">
        <v>2289</v>
      </c>
      <c r="B95" s="672"/>
      <c r="C95" s="678"/>
      <c r="D95" s="678"/>
      <c r="E95" s="674" t="b">
        <v>0</v>
      </c>
      <c r="F95" s="675" t="str">
        <f t="shared" si="13"/>
        <v>ADEUDA</v>
      </c>
      <c r="G95" s="687" t="s">
        <v>2278</v>
      </c>
      <c r="H95" s="677" t="str">
        <f t="shared" si="17"/>
        <v>VENCIDA</v>
      </c>
      <c r="I95" s="691">
        <f t="shared" si="18"/>
        <v>46167</v>
      </c>
      <c r="J95" s="679" t="b">
        <v>0</v>
      </c>
    </row>
    <row r="96">
      <c r="A96" s="686" t="s">
        <v>196</v>
      </c>
      <c r="B96" s="672"/>
      <c r="C96" s="672"/>
      <c r="D96" s="673">
        <v>170000.0</v>
      </c>
      <c r="E96" s="674" t="b">
        <v>1</v>
      </c>
      <c r="F96" s="675" t="str">
        <f t="shared" si="13"/>
        <v>PAGADO</v>
      </c>
      <c r="G96" s="690" t="s">
        <v>2278</v>
      </c>
      <c r="H96" s="677" t="str">
        <f t="shared" si="17"/>
        <v>VENCIDA</v>
      </c>
      <c r="I96" s="682">
        <f t="shared" si="18"/>
        <v>46167</v>
      </c>
      <c r="J96" s="679" t="b">
        <v>0</v>
      </c>
    </row>
    <row r="97">
      <c r="A97" s="686" t="s">
        <v>2290</v>
      </c>
      <c r="B97" s="672"/>
      <c r="C97" s="678"/>
      <c r="D97" s="693"/>
      <c r="E97" s="694" t="b">
        <v>0</v>
      </c>
      <c r="F97" s="675" t="str">
        <f t="shared" si="13"/>
        <v>ADEUDA</v>
      </c>
      <c r="G97" s="687" t="s">
        <v>2278</v>
      </c>
      <c r="H97" s="677" t="str">
        <f t="shared" si="17"/>
        <v>VENCIDA</v>
      </c>
      <c r="I97" s="691">
        <f t="shared" si="18"/>
        <v>46167</v>
      </c>
      <c r="J97" s="695" t="b">
        <v>0</v>
      </c>
    </row>
    <row r="98">
      <c r="A98" s="689" t="s">
        <v>2319</v>
      </c>
      <c r="B98" s="671"/>
      <c r="C98" s="678"/>
      <c r="D98" s="673"/>
      <c r="E98" s="696" t="b">
        <v>0</v>
      </c>
      <c r="F98" s="675" t="str">
        <f t="shared" si="13"/>
        <v>ADEUDA</v>
      </c>
      <c r="G98" s="687" t="s">
        <v>2292</v>
      </c>
      <c r="H98" s="677" t="str">
        <f t="shared" si="17"/>
        <v>VENCIDA</v>
      </c>
      <c r="I98" s="691">
        <f t="shared" si="18"/>
        <v>46167</v>
      </c>
      <c r="J98" s="695" t="b">
        <v>0</v>
      </c>
    </row>
    <row r="99">
      <c r="A99" s="686" t="s">
        <v>2293</v>
      </c>
      <c r="B99" s="672"/>
      <c r="C99" s="678"/>
      <c r="D99" s="688">
        <v>65087.59</v>
      </c>
      <c r="E99" s="694" t="b">
        <v>0</v>
      </c>
      <c r="F99" s="675" t="str">
        <f t="shared" si="13"/>
        <v>ADEUDA</v>
      </c>
      <c r="G99" s="687" t="s">
        <v>2278</v>
      </c>
      <c r="H99" s="677" t="str">
        <f t="shared" si="17"/>
        <v>VENCIDA</v>
      </c>
      <c r="I99" s="691">
        <f t="shared" si="18"/>
        <v>46167</v>
      </c>
      <c r="J99" s="695" t="b">
        <v>0</v>
      </c>
    </row>
    <row r="100">
      <c r="A100" s="686" t="s">
        <v>2294</v>
      </c>
      <c r="B100" s="672"/>
      <c r="C100" s="678"/>
      <c r="D100" s="688">
        <v>52070.07</v>
      </c>
      <c r="E100" s="694" t="b">
        <v>0</v>
      </c>
      <c r="F100" s="675" t="str">
        <f t="shared" si="13"/>
        <v>ADEUDA</v>
      </c>
      <c r="G100" s="687" t="s">
        <v>2278</v>
      </c>
      <c r="H100" s="677" t="str">
        <f t="shared" si="17"/>
        <v>VENCIDA</v>
      </c>
      <c r="I100" s="691">
        <f t="shared" si="18"/>
        <v>46167</v>
      </c>
      <c r="J100" s="695" t="b">
        <v>0</v>
      </c>
    </row>
    <row r="101">
      <c r="A101" s="686" t="s">
        <v>2295</v>
      </c>
      <c r="B101" s="672"/>
      <c r="C101" s="678"/>
      <c r="D101" s="688">
        <v>52070.07</v>
      </c>
      <c r="E101" s="694" t="b">
        <v>0</v>
      </c>
      <c r="F101" s="675" t="str">
        <f t="shared" si="13"/>
        <v>ADEUDA</v>
      </c>
      <c r="G101" s="687" t="s">
        <v>2278</v>
      </c>
      <c r="H101" s="677" t="str">
        <f t="shared" si="17"/>
        <v>VENCIDA</v>
      </c>
      <c r="I101" s="691">
        <f t="shared" si="18"/>
        <v>46167</v>
      </c>
      <c r="J101" s="695" t="b">
        <v>0</v>
      </c>
    </row>
    <row r="102">
      <c r="A102" s="689" t="s">
        <v>2314</v>
      </c>
      <c r="B102" s="671"/>
      <c r="C102" s="678"/>
      <c r="D102" s="698"/>
      <c r="E102" s="674" t="b">
        <v>0</v>
      </c>
      <c r="F102" s="675" t="str">
        <f t="shared" si="13"/>
        <v>ADEUDA</v>
      </c>
      <c r="G102" s="687" t="s">
        <v>2292</v>
      </c>
      <c r="H102" s="677" t="str">
        <f t="shared" si="17"/>
        <v>VENCIDA</v>
      </c>
      <c r="I102" s="691">
        <f t="shared" si="18"/>
        <v>46167</v>
      </c>
      <c r="J102" s="679" t="b">
        <v>0</v>
      </c>
    </row>
    <row r="103">
      <c r="A103" s="686" t="s">
        <v>2298</v>
      </c>
      <c r="B103" s="680"/>
      <c r="C103" s="680"/>
      <c r="D103" s="673">
        <v>901550.45</v>
      </c>
      <c r="E103" s="674" t="b">
        <v>0</v>
      </c>
      <c r="F103" s="675" t="str">
        <f t="shared" si="13"/>
        <v>ADEUDA</v>
      </c>
      <c r="G103" s="687" t="s">
        <v>2286</v>
      </c>
      <c r="H103" s="677" t="str">
        <f t="shared" si="17"/>
        <v>VENCIDA</v>
      </c>
      <c r="I103" s="682">
        <f t="shared" si="18"/>
        <v>46167</v>
      </c>
      <c r="J103" s="692" t="b">
        <v>1</v>
      </c>
    </row>
    <row r="104">
      <c r="A104" s="686" t="s">
        <v>2298</v>
      </c>
      <c r="B104" s="680"/>
      <c r="C104" s="680"/>
      <c r="D104" s="673">
        <v>1195580.94</v>
      </c>
      <c r="E104" s="674" t="b">
        <v>0</v>
      </c>
      <c r="F104" s="675" t="str">
        <f t="shared" si="13"/>
        <v>ADEUDA</v>
      </c>
      <c r="G104" s="687" t="s">
        <v>2286</v>
      </c>
      <c r="H104" s="677" t="str">
        <f t="shared" si="17"/>
        <v>VENCIDA</v>
      </c>
      <c r="I104" s="682">
        <f t="shared" si="18"/>
        <v>46167</v>
      </c>
      <c r="J104" s="692" t="b">
        <v>1</v>
      </c>
    </row>
    <row r="105">
      <c r="A105" s="686" t="s">
        <v>209</v>
      </c>
      <c r="B105" s="680"/>
      <c r="C105" s="680"/>
      <c r="D105" s="688">
        <v>142499.15</v>
      </c>
      <c r="E105" s="674" t="b">
        <v>1</v>
      </c>
      <c r="F105" s="675" t="str">
        <f t="shared" si="13"/>
        <v>PAGADO</v>
      </c>
      <c r="G105" s="687" t="s">
        <v>2278</v>
      </c>
      <c r="H105" s="677" t="str">
        <f t="shared" si="17"/>
        <v>VENCIDA</v>
      </c>
      <c r="I105" s="682">
        <f t="shared" si="18"/>
        <v>46167</v>
      </c>
      <c r="J105" s="679" t="b">
        <v>0</v>
      </c>
    </row>
    <row r="106">
      <c r="A106" s="686" t="s">
        <v>2299</v>
      </c>
      <c r="B106" s="672"/>
      <c r="C106" s="678"/>
      <c r="D106" s="673">
        <v>62743.08</v>
      </c>
      <c r="E106" s="674" t="b">
        <v>0</v>
      </c>
      <c r="F106" s="675" t="str">
        <f t="shared" si="13"/>
        <v>ADEUDA</v>
      </c>
      <c r="G106" s="687" t="s">
        <v>2292</v>
      </c>
      <c r="H106" s="677" t="str">
        <f t="shared" si="17"/>
        <v>VENCIDA</v>
      </c>
      <c r="I106" s="691">
        <f t="shared" si="18"/>
        <v>46167</v>
      </c>
      <c r="J106" s="679" t="b">
        <v>0</v>
      </c>
    </row>
    <row r="107">
      <c r="A107" s="686"/>
      <c r="B107" s="672"/>
      <c r="C107" s="678"/>
      <c r="D107" s="678"/>
      <c r="E107" s="681" t="b">
        <v>0</v>
      </c>
      <c r="F107" s="675" t="str">
        <f t="shared" si="13"/>
        <v>ADEUDA</v>
      </c>
      <c r="G107" s="687" t="s">
        <v>2292</v>
      </c>
      <c r="H107" s="677" t="str">
        <f t="shared" si="17"/>
        <v>VENCIDA</v>
      </c>
      <c r="I107" s="691">
        <f t="shared" si="18"/>
        <v>46167</v>
      </c>
      <c r="J107" s="679" t="b">
        <v>0</v>
      </c>
    </row>
    <row r="108">
      <c r="A108" s="678"/>
      <c r="B108" s="672"/>
      <c r="C108" s="678"/>
      <c r="D108" s="678"/>
      <c r="E108" s="681" t="b">
        <v>0</v>
      </c>
      <c r="F108" s="675" t="str">
        <f t="shared" si="13"/>
        <v>ADEUDA</v>
      </c>
      <c r="G108" s="687" t="s">
        <v>2292</v>
      </c>
      <c r="H108" s="677" t="str">
        <f t="shared" si="17"/>
        <v>VENCIDA</v>
      </c>
      <c r="I108" s="691">
        <f t="shared" si="18"/>
        <v>46167</v>
      </c>
      <c r="J108" s="679" t="b">
        <v>0</v>
      </c>
    </row>
    <row r="109">
      <c r="A109" s="672"/>
      <c r="B109" s="672"/>
      <c r="C109" s="683"/>
      <c r="D109" s="678"/>
      <c r="E109" s="681" t="b">
        <v>0</v>
      </c>
      <c r="F109" s="675" t="str">
        <f t="shared" si="13"/>
        <v>ADEUDA</v>
      </c>
      <c r="G109" s="687" t="s">
        <v>2278</v>
      </c>
      <c r="H109" s="677" t="str">
        <f t="shared" si="17"/>
        <v>VENCIDA</v>
      </c>
      <c r="I109" s="682">
        <f t="shared" si="18"/>
        <v>46167</v>
      </c>
      <c r="J109" s="679" t="b">
        <v>0</v>
      </c>
    </row>
    <row r="110">
      <c r="A110" s="672"/>
      <c r="B110" s="672"/>
      <c r="C110" s="683"/>
      <c r="D110" s="678"/>
      <c r="E110" s="681" t="b">
        <v>0</v>
      </c>
      <c r="F110" s="675" t="str">
        <f t="shared" si="13"/>
        <v>ADEUDA</v>
      </c>
      <c r="G110" s="687" t="s">
        <v>2278</v>
      </c>
      <c r="H110" s="677" t="str">
        <f t="shared" si="17"/>
        <v>VENCIDA</v>
      </c>
      <c r="I110" s="682">
        <f t="shared" si="18"/>
        <v>46167</v>
      </c>
      <c r="J110" s="679" t="b">
        <v>0</v>
      </c>
    </row>
    <row r="111">
      <c r="A111" s="672"/>
      <c r="B111" s="672"/>
      <c r="C111" s="683"/>
      <c r="D111" s="678"/>
      <c r="E111" s="681" t="b">
        <v>0</v>
      </c>
      <c r="F111" s="675" t="str">
        <f t="shared" si="13"/>
        <v>ADEUDA</v>
      </c>
      <c r="G111" s="687" t="s">
        <v>2278</v>
      </c>
      <c r="H111" s="677" t="str">
        <f t="shared" si="17"/>
        <v>VENCIDA</v>
      </c>
      <c r="I111" s="682">
        <f t="shared" si="18"/>
        <v>46167</v>
      </c>
      <c r="J111" s="679" t="b">
        <v>0</v>
      </c>
    </row>
    <row r="114">
      <c r="A114" s="661" t="s">
        <v>37</v>
      </c>
      <c r="B114" s="242"/>
      <c r="C114" s="242"/>
      <c r="D114" s="242"/>
      <c r="E114" s="242"/>
      <c r="F114" s="242"/>
      <c r="G114" s="242"/>
      <c r="H114" s="242"/>
      <c r="I114" s="242"/>
      <c r="J114" s="662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663"/>
    </row>
    <row r="116">
      <c r="A116" s="664" t="s">
        <v>2265</v>
      </c>
      <c r="B116" s="636"/>
      <c r="C116" s="636"/>
      <c r="D116" s="636"/>
      <c r="E116" s="636"/>
      <c r="F116" s="636"/>
      <c r="G116" s="636"/>
      <c r="H116" s="636"/>
      <c r="I116" s="665"/>
      <c r="J116" s="666"/>
    </row>
    <row r="117">
      <c r="A117" s="667" t="s">
        <v>2266</v>
      </c>
      <c r="B117" s="667" t="s">
        <v>2267</v>
      </c>
      <c r="C117" s="667" t="s">
        <v>2268</v>
      </c>
      <c r="D117" s="667" t="s">
        <v>2269</v>
      </c>
      <c r="E117" s="668" t="s">
        <v>2270</v>
      </c>
      <c r="F117" s="637"/>
      <c r="G117" s="667" t="s">
        <v>2271</v>
      </c>
      <c r="H117" s="667" t="s">
        <v>2272</v>
      </c>
      <c r="I117" s="669" t="s">
        <v>2273</v>
      </c>
      <c r="J117" s="669" t="s">
        <v>2274</v>
      </c>
    </row>
    <row r="118">
      <c r="A118" s="689" t="s">
        <v>2324</v>
      </c>
      <c r="B118" s="671">
        <v>46119.0</v>
      </c>
      <c r="C118" s="672"/>
      <c r="D118" s="673">
        <v>433717.38</v>
      </c>
      <c r="E118" s="674" t="b">
        <v>0</v>
      </c>
      <c r="F118" s="675" t="str">
        <f t="shared" ref="F118:F149" si="19">IF(E118,"PAGADO","ADEUDA")</f>
        <v>ADEUDA</v>
      </c>
      <c r="G118" s="690" t="s">
        <v>2276</v>
      </c>
      <c r="H118" s="677" t="str">
        <f t="shared" ref="H118:H123" si="20">IF(C118&lt;TODAY(),"VENCIDA",IF(C118=TODAY(),"VENCE HOY",IF(C118&gt;TODAY(),"VIGENTE")))</f>
        <v>VENCIDA</v>
      </c>
      <c r="I118" s="678"/>
      <c r="J118" s="679" t="b">
        <v>0</v>
      </c>
    </row>
    <row r="119">
      <c r="A119" s="670" t="s">
        <v>2275</v>
      </c>
      <c r="B119" s="680"/>
      <c r="C119" s="672"/>
      <c r="D119" s="673"/>
      <c r="E119" s="681" t="b">
        <v>0</v>
      </c>
      <c r="F119" s="675" t="str">
        <f t="shared" si="19"/>
        <v>ADEUDA</v>
      </c>
      <c r="G119" s="676" t="s">
        <v>2278</v>
      </c>
      <c r="H119" s="677" t="str">
        <f t="shared" si="20"/>
        <v>VENCIDA</v>
      </c>
      <c r="I119" s="682">
        <f t="shared" ref="I119:I121" si="21">TODAY()-B119</f>
        <v>46167</v>
      </c>
      <c r="J119" s="679" t="b">
        <v>0</v>
      </c>
    </row>
    <row r="120">
      <c r="A120" s="689" t="s">
        <v>2322</v>
      </c>
      <c r="B120" s="680"/>
      <c r="C120" s="672"/>
      <c r="D120" s="673"/>
      <c r="E120" s="674" t="b">
        <v>0</v>
      </c>
      <c r="F120" s="675" t="str">
        <f t="shared" si="19"/>
        <v>ADEUDA</v>
      </c>
      <c r="G120" s="676" t="s">
        <v>2278</v>
      </c>
      <c r="H120" s="677" t="str">
        <f t="shared" si="20"/>
        <v>VENCIDA</v>
      </c>
      <c r="I120" s="682">
        <f t="shared" si="21"/>
        <v>46167</v>
      </c>
      <c r="J120" s="679" t="b">
        <v>0</v>
      </c>
    </row>
    <row r="121">
      <c r="A121" s="689" t="s">
        <v>2321</v>
      </c>
      <c r="B121" s="680"/>
      <c r="C121" s="683"/>
      <c r="D121" s="673">
        <v>69993.3</v>
      </c>
      <c r="E121" s="674" t="b">
        <v>0</v>
      </c>
      <c r="F121" s="675" t="str">
        <f t="shared" si="19"/>
        <v>ADEUDA</v>
      </c>
      <c r="G121" s="676" t="s">
        <v>2278</v>
      </c>
      <c r="H121" s="677" t="str">
        <f t="shared" si="20"/>
        <v>VENCIDA</v>
      </c>
      <c r="I121" s="682">
        <f t="shared" si="21"/>
        <v>46167</v>
      </c>
      <c r="J121" s="685" t="b">
        <v>0</v>
      </c>
    </row>
    <row r="122">
      <c r="A122" s="686" t="s">
        <v>1666</v>
      </c>
      <c r="B122" s="672"/>
      <c r="C122" s="672"/>
      <c r="D122" s="673">
        <v>185728.66</v>
      </c>
      <c r="E122" s="674" t="b">
        <v>1</v>
      </c>
      <c r="F122" s="675" t="str">
        <f t="shared" si="19"/>
        <v>PAGADO</v>
      </c>
      <c r="G122" s="687" t="s">
        <v>2278</v>
      </c>
      <c r="H122" s="677" t="str">
        <f t="shared" si="20"/>
        <v>VENCIDA</v>
      </c>
      <c r="I122" s="682">
        <f t="shared" ref="I122:I123" si="22">TODAY()-C122</f>
        <v>46167</v>
      </c>
      <c r="J122" s="679" t="b">
        <v>0</v>
      </c>
    </row>
    <row r="123">
      <c r="A123" s="686" t="s">
        <v>2309</v>
      </c>
      <c r="B123" s="683"/>
      <c r="C123" s="672"/>
      <c r="D123" s="673">
        <v>75127.77</v>
      </c>
      <c r="E123" s="674" t="b">
        <v>0</v>
      </c>
      <c r="F123" s="675" t="str">
        <f t="shared" si="19"/>
        <v>ADEUDA</v>
      </c>
      <c r="G123" s="687" t="s">
        <v>2276</v>
      </c>
      <c r="H123" s="677" t="str">
        <f t="shared" si="20"/>
        <v>VENCIDA</v>
      </c>
      <c r="I123" s="682">
        <f t="shared" si="22"/>
        <v>46167</v>
      </c>
      <c r="J123" s="679" t="b">
        <v>0</v>
      </c>
    </row>
    <row r="124">
      <c r="A124" s="689" t="s">
        <v>2316</v>
      </c>
      <c r="B124" s="672"/>
      <c r="C124" s="678"/>
      <c r="D124" s="673">
        <v>26112.0</v>
      </c>
      <c r="E124" s="674" t="b">
        <v>0</v>
      </c>
      <c r="F124" s="675" t="str">
        <f t="shared" si="19"/>
        <v>ADEUDA</v>
      </c>
      <c r="G124" s="690" t="s">
        <v>2286</v>
      </c>
      <c r="H124" s="677"/>
      <c r="I124" s="691"/>
      <c r="J124" s="679" t="b">
        <v>0</v>
      </c>
    </row>
    <row r="125">
      <c r="A125" s="689" t="s">
        <v>2317</v>
      </c>
      <c r="B125" s="672"/>
      <c r="C125" s="678"/>
      <c r="D125" s="673">
        <v>18278.0</v>
      </c>
      <c r="E125" s="674" t="b">
        <v>0</v>
      </c>
      <c r="F125" s="675" t="str">
        <f t="shared" si="19"/>
        <v>ADEUDA</v>
      </c>
      <c r="G125" s="690" t="s">
        <v>2286</v>
      </c>
      <c r="H125" s="677"/>
      <c r="I125" s="691"/>
      <c r="J125" s="679" t="b">
        <v>0</v>
      </c>
    </row>
    <row r="126">
      <c r="A126" s="689" t="s">
        <v>2318</v>
      </c>
      <c r="B126" s="672"/>
      <c r="C126" s="678"/>
      <c r="D126" s="673">
        <v>20415.41</v>
      </c>
      <c r="E126" s="674" t="b">
        <v>0</v>
      </c>
      <c r="F126" s="675" t="str">
        <f t="shared" si="19"/>
        <v>ADEUDA</v>
      </c>
      <c r="G126" s="690" t="s">
        <v>2286</v>
      </c>
      <c r="H126" s="677"/>
      <c r="I126" s="691"/>
      <c r="J126" s="679" t="b">
        <v>0</v>
      </c>
    </row>
    <row r="127">
      <c r="A127" s="686" t="s">
        <v>199</v>
      </c>
      <c r="B127" s="672"/>
      <c r="C127" s="678"/>
      <c r="D127" s="673">
        <v>146724.22</v>
      </c>
      <c r="E127" s="674" t="b">
        <v>0</v>
      </c>
      <c r="F127" s="675" t="str">
        <f t="shared" si="19"/>
        <v>ADEUDA</v>
      </c>
      <c r="G127" s="687" t="s">
        <v>2276</v>
      </c>
      <c r="H127" s="677" t="str">
        <f t="shared" ref="H127:H149" si="23">IF(C127&lt;TODAY(),"VENCIDA",IF(C127=TODAY(),"VENCE HOY",IF(C127&gt;TODAY(),"VIGENTE")))</f>
        <v>VENCIDA</v>
      </c>
      <c r="I127" s="691">
        <f>TODAY()-C127</f>
        <v>46167</v>
      </c>
      <c r="J127" s="679" t="b">
        <v>0</v>
      </c>
    </row>
    <row r="128">
      <c r="A128" s="686" t="s">
        <v>200</v>
      </c>
      <c r="B128" s="672"/>
      <c r="C128" s="678"/>
      <c r="D128" s="673">
        <v>157453.56</v>
      </c>
      <c r="E128" s="674" t="b">
        <v>1</v>
      </c>
      <c r="F128" s="675" t="str">
        <f t="shared" si="19"/>
        <v>PAGADO</v>
      </c>
      <c r="G128" s="687" t="s">
        <v>2286</v>
      </c>
      <c r="H128" s="677" t="str">
        <f t="shared" si="23"/>
        <v>VENCIDA</v>
      </c>
      <c r="I128" s="678"/>
      <c r="J128" s="692" t="b">
        <v>1</v>
      </c>
    </row>
    <row r="129">
      <c r="A129" s="686" t="s">
        <v>201</v>
      </c>
      <c r="B129" s="672"/>
      <c r="C129" s="678"/>
      <c r="D129" s="688">
        <v>84785.15</v>
      </c>
      <c r="E129" s="674" t="b">
        <v>0</v>
      </c>
      <c r="F129" s="675" t="str">
        <f t="shared" si="19"/>
        <v>ADEUDA</v>
      </c>
      <c r="G129" s="687" t="s">
        <v>2278</v>
      </c>
      <c r="H129" s="677" t="str">
        <f t="shared" si="23"/>
        <v>VENCIDA</v>
      </c>
      <c r="I129" s="691">
        <f t="shared" ref="I129:I149" si="24">TODAY()-C129</f>
        <v>46167</v>
      </c>
      <c r="J129" s="679" t="b">
        <v>0</v>
      </c>
    </row>
    <row r="130">
      <c r="A130" s="686" t="s">
        <v>192</v>
      </c>
      <c r="B130" s="672"/>
      <c r="C130" s="672"/>
      <c r="D130" s="673">
        <v>1210000.0</v>
      </c>
      <c r="E130" s="674" t="b">
        <v>0</v>
      </c>
      <c r="F130" s="675" t="str">
        <f t="shared" si="19"/>
        <v>ADEUDA</v>
      </c>
      <c r="G130" s="687" t="s">
        <v>2278</v>
      </c>
      <c r="H130" s="677" t="str">
        <f t="shared" si="23"/>
        <v>VENCIDA</v>
      </c>
      <c r="I130" s="682">
        <f t="shared" si="24"/>
        <v>46167</v>
      </c>
      <c r="J130" s="679" t="b">
        <v>0</v>
      </c>
    </row>
    <row r="131">
      <c r="A131" s="686" t="s">
        <v>193</v>
      </c>
      <c r="B131" s="672"/>
      <c r="C131" s="672"/>
      <c r="D131" s="673">
        <v>500000.0</v>
      </c>
      <c r="E131" s="674" t="b">
        <v>0</v>
      </c>
      <c r="F131" s="675" t="str">
        <f t="shared" si="19"/>
        <v>ADEUDA</v>
      </c>
      <c r="G131" s="687" t="s">
        <v>2287</v>
      </c>
      <c r="H131" s="677" t="str">
        <f t="shared" si="23"/>
        <v>VENCIDA</v>
      </c>
      <c r="I131" s="682">
        <f t="shared" si="24"/>
        <v>46167</v>
      </c>
      <c r="J131" s="679" t="b">
        <v>0</v>
      </c>
    </row>
    <row r="132">
      <c r="A132" s="686" t="s">
        <v>194</v>
      </c>
      <c r="B132" s="672"/>
      <c r="C132" s="678"/>
      <c r="D132" s="673"/>
      <c r="E132" s="674" t="b">
        <v>0</v>
      </c>
      <c r="F132" s="675" t="str">
        <f t="shared" si="19"/>
        <v>ADEUDA</v>
      </c>
      <c r="G132" s="687" t="s">
        <v>2278</v>
      </c>
      <c r="H132" s="677" t="str">
        <f t="shared" si="23"/>
        <v>VENCIDA</v>
      </c>
      <c r="I132" s="691">
        <f t="shared" si="24"/>
        <v>46167</v>
      </c>
      <c r="J132" s="679" t="b">
        <v>0</v>
      </c>
    </row>
    <row r="133">
      <c r="A133" s="686" t="s">
        <v>2289</v>
      </c>
      <c r="B133" s="672"/>
      <c r="C133" s="678"/>
      <c r="D133" s="678"/>
      <c r="E133" s="674" t="b">
        <v>0</v>
      </c>
      <c r="F133" s="675" t="str">
        <f t="shared" si="19"/>
        <v>ADEUDA</v>
      </c>
      <c r="G133" s="687" t="s">
        <v>2278</v>
      </c>
      <c r="H133" s="677" t="str">
        <f t="shared" si="23"/>
        <v>VENCIDA</v>
      </c>
      <c r="I133" s="691">
        <f t="shared" si="24"/>
        <v>46167</v>
      </c>
      <c r="J133" s="679" t="b">
        <v>0</v>
      </c>
    </row>
    <row r="134">
      <c r="A134" s="686" t="s">
        <v>196</v>
      </c>
      <c r="B134" s="672"/>
      <c r="C134" s="672"/>
      <c r="D134" s="673">
        <v>186000.0</v>
      </c>
      <c r="E134" s="674" t="b">
        <v>1</v>
      </c>
      <c r="F134" s="675" t="str">
        <f t="shared" si="19"/>
        <v>PAGADO</v>
      </c>
      <c r="G134" s="690" t="s">
        <v>2278</v>
      </c>
      <c r="H134" s="677" t="str">
        <f t="shared" si="23"/>
        <v>VENCIDA</v>
      </c>
      <c r="I134" s="682">
        <f t="shared" si="24"/>
        <v>46167</v>
      </c>
      <c r="J134" s="679" t="b">
        <v>0</v>
      </c>
    </row>
    <row r="135">
      <c r="A135" s="686" t="s">
        <v>2290</v>
      </c>
      <c r="B135" s="672"/>
      <c r="C135" s="678"/>
      <c r="D135" s="693"/>
      <c r="E135" s="694" t="b">
        <v>0</v>
      </c>
      <c r="F135" s="675" t="str">
        <f t="shared" si="19"/>
        <v>ADEUDA</v>
      </c>
      <c r="G135" s="687" t="s">
        <v>2278</v>
      </c>
      <c r="H135" s="677" t="str">
        <f t="shared" si="23"/>
        <v>VENCIDA</v>
      </c>
      <c r="I135" s="691">
        <f t="shared" si="24"/>
        <v>46167</v>
      </c>
      <c r="J135" s="695" t="b">
        <v>0</v>
      </c>
    </row>
    <row r="136">
      <c r="A136" s="689" t="s">
        <v>2319</v>
      </c>
      <c r="B136" s="671"/>
      <c r="C136" s="678"/>
      <c r="D136" s="673"/>
      <c r="E136" s="696" t="b">
        <v>0</v>
      </c>
      <c r="F136" s="675" t="str">
        <f t="shared" si="19"/>
        <v>ADEUDA</v>
      </c>
      <c r="G136" s="687" t="s">
        <v>2292</v>
      </c>
      <c r="H136" s="677" t="str">
        <f t="shared" si="23"/>
        <v>VENCIDA</v>
      </c>
      <c r="I136" s="691">
        <f t="shared" si="24"/>
        <v>46167</v>
      </c>
      <c r="J136" s="695" t="b">
        <v>0</v>
      </c>
    </row>
    <row r="137">
      <c r="A137" s="686" t="s">
        <v>2293</v>
      </c>
      <c r="B137" s="672"/>
      <c r="C137" s="678"/>
      <c r="D137" s="688">
        <v>65087.59</v>
      </c>
      <c r="E137" s="694" t="b">
        <v>0</v>
      </c>
      <c r="F137" s="675" t="str">
        <f t="shared" si="19"/>
        <v>ADEUDA</v>
      </c>
      <c r="G137" s="687" t="s">
        <v>2278</v>
      </c>
      <c r="H137" s="677" t="str">
        <f t="shared" si="23"/>
        <v>VENCIDA</v>
      </c>
      <c r="I137" s="691">
        <f t="shared" si="24"/>
        <v>46167</v>
      </c>
      <c r="J137" s="695" t="b">
        <v>0</v>
      </c>
    </row>
    <row r="138">
      <c r="A138" s="686" t="s">
        <v>2294</v>
      </c>
      <c r="B138" s="672"/>
      <c r="C138" s="678"/>
      <c r="D138" s="688">
        <v>52070.07</v>
      </c>
      <c r="E138" s="694" t="b">
        <v>0</v>
      </c>
      <c r="F138" s="675" t="str">
        <f t="shared" si="19"/>
        <v>ADEUDA</v>
      </c>
      <c r="G138" s="687" t="s">
        <v>2278</v>
      </c>
      <c r="H138" s="677" t="str">
        <f t="shared" si="23"/>
        <v>VENCIDA</v>
      </c>
      <c r="I138" s="691">
        <f t="shared" si="24"/>
        <v>46167</v>
      </c>
      <c r="J138" s="695" t="b">
        <v>0</v>
      </c>
    </row>
    <row r="139">
      <c r="A139" s="686" t="s">
        <v>2295</v>
      </c>
      <c r="B139" s="672"/>
      <c r="C139" s="678"/>
      <c r="D139" s="688">
        <v>52070.07</v>
      </c>
      <c r="E139" s="694" t="b">
        <v>0</v>
      </c>
      <c r="F139" s="675" t="str">
        <f t="shared" si="19"/>
        <v>ADEUDA</v>
      </c>
      <c r="G139" s="687" t="s">
        <v>2278</v>
      </c>
      <c r="H139" s="677" t="str">
        <f t="shared" si="23"/>
        <v>VENCIDA</v>
      </c>
      <c r="I139" s="691">
        <f t="shared" si="24"/>
        <v>46167</v>
      </c>
      <c r="J139" s="695" t="b">
        <v>0</v>
      </c>
    </row>
    <row r="140">
      <c r="A140" s="689" t="s">
        <v>2314</v>
      </c>
      <c r="B140" s="671"/>
      <c r="C140" s="678"/>
      <c r="D140" s="698"/>
      <c r="E140" s="674" t="b">
        <v>0</v>
      </c>
      <c r="F140" s="675" t="str">
        <f t="shared" si="19"/>
        <v>ADEUDA</v>
      </c>
      <c r="G140" s="687" t="s">
        <v>2292</v>
      </c>
      <c r="H140" s="677" t="str">
        <f t="shared" si="23"/>
        <v>VENCIDA</v>
      </c>
      <c r="I140" s="691">
        <f t="shared" si="24"/>
        <v>46167</v>
      </c>
      <c r="J140" s="679" t="b">
        <v>0</v>
      </c>
    </row>
    <row r="141">
      <c r="A141" s="686" t="s">
        <v>2298</v>
      </c>
      <c r="B141" s="680"/>
      <c r="C141" s="680"/>
      <c r="D141" s="673">
        <v>901550.45</v>
      </c>
      <c r="E141" s="674" t="b">
        <v>0</v>
      </c>
      <c r="F141" s="675" t="str">
        <f t="shared" si="19"/>
        <v>ADEUDA</v>
      </c>
      <c r="G141" s="687" t="s">
        <v>2286</v>
      </c>
      <c r="H141" s="677" t="str">
        <f t="shared" si="23"/>
        <v>VENCIDA</v>
      </c>
      <c r="I141" s="682">
        <f t="shared" si="24"/>
        <v>46167</v>
      </c>
      <c r="J141" s="692" t="b">
        <v>1</v>
      </c>
    </row>
    <row r="142">
      <c r="A142" s="686" t="s">
        <v>2298</v>
      </c>
      <c r="B142" s="680"/>
      <c r="C142" s="680"/>
      <c r="D142" s="673">
        <v>1195580.94</v>
      </c>
      <c r="E142" s="674" t="b">
        <v>0</v>
      </c>
      <c r="F142" s="675" t="str">
        <f t="shared" si="19"/>
        <v>ADEUDA</v>
      </c>
      <c r="G142" s="687" t="s">
        <v>2286</v>
      </c>
      <c r="H142" s="677" t="str">
        <f t="shared" si="23"/>
        <v>VENCIDA</v>
      </c>
      <c r="I142" s="682">
        <f t="shared" si="24"/>
        <v>46167</v>
      </c>
      <c r="J142" s="692" t="b">
        <v>1</v>
      </c>
    </row>
    <row r="143">
      <c r="A143" s="686" t="s">
        <v>209</v>
      </c>
      <c r="B143" s="680"/>
      <c r="C143" s="680"/>
      <c r="D143" s="688">
        <v>142499.15</v>
      </c>
      <c r="E143" s="674" t="b">
        <v>1</v>
      </c>
      <c r="F143" s="675" t="str">
        <f t="shared" si="19"/>
        <v>PAGADO</v>
      </c>
      <c r="G143" s="687" t="s">
        <v>2278</v>
      </c>
      <c r="H143" s="677" t="str">
        <f t="shared" si="23"/>
        <v>VENCIDA</v>
      </c>
      <c r="I143" s="682">
        <f t="shared" si="24"/>
        <v>46167</v>
      </c>
      <c r="J143" s="679" t="b">
        <v>0</v>
      </c>
    </row>
    <row r="144">
      <c r="A144" s="686" t="s">
        <v>2299</v>
      </c>
      <c r="B144" s="672"/>
      <c r="C144" s="678"/>
      <c r="D144" s="673">
        <v>62743.08</v>
      </c>
      <c r="E144" s="674" t="b">
        <v>0</v>
      </c>
      <c r="F144" s="675" t="str">
        <f t="shared" si="19"/>
        <v>ADEUDA</v>
      </c>
      <c r="G144" s="687" t="s">
        <v>2292</v>
      </c>
      <c r="H144" s="677" t="str">
        <f t="shared" si="23"/>
        <v>VENCIDA</v>
      </c>
      <c r="I144" s="691">
        <f t="shared" si="24"/>
        <v>46167</v>
      </c>
      <c r="J144" s="679" t="b">
        <v>0</v>
      </c>
    </row>
    <row r="145">
      <c r="A145" s="686"/>
      <c r="B145" s="672"/>
      <c r="C145" s="678"/>
      <c r="D145" s="678"/>
      <c r="E145" s="681" t="b">
        <v>0</v>
      </c>
      <c r="F145" s="675" t="str">
        <f t="shared" si="19"/>
        <v>ADEUDA</v>
      </c>
      <c r="G145" s="687" t="s">
        <v>2292</v>
      </c>
      <c r="H145" s="677" t="str">
        <f t="shared" si="23"/>
        <v>VENCIDA</v>
      </c>
      <c r="I145" s="691">
        <f t="shared" si="24"/>
        <v>46167</v>
      </c>
      <c r="J145" s="679" t="b">
        <v>0</v>
      </c>
    </row>
    <row r="146">
      <c r="A146" s="678"/>
      <c r="B146" s="672"/>
      <c r="C146" s="678"/>
      <c r="D146" s="678"/>
      <c r="E146" s="681" t="b">
        <v>0</v>
      </c>
      <c r="F146" s="675" t="str">
        <f t="shared" si="19"/>
        <v>ADEUDA</v>
      </c>
      <c r="G146" s="687" t="s">
        <v>2292</v>
      </c>
      <c r="H146" s="677" t="str">
        <f t="shared" si="23"/>
        <v>VENCIDA</v>
      </c>
      <c r="I146" s="691">
        <f t="shared" si="24"/>
        <v>46167</v>
      </c>
      <c r="J146" s="679" t="b">
        <v>0</v>
      </c>
    </row>
    <row r="147">
      <c r="A147" s="672"/>
      <c r="B147" s="672"/>
      <c r="C147" s="683"/>
      <c r="D147" s="678"/>
      <c r="E147" s="681" t="b">
        <v>0</v>
      </c>
      <c r="F147" s="675" t="str">
        <f t="shared" si="19"/>
        <v>ADEUDA</v>
      </c>
      <c r="G147" s="687" t="s">
        <v>2278</v>
      </c>
      <c r="H147" s="677" t="str">
        <f t="shared" si="23"/>
        <v>VENCIDA</v>
      </c>
      <c r="I147" s="682">
        <f t="shared" si="24"/>
        <v>46167</v>
      </c>
      <c r="J147" s="679" t="b">
        <v>0</v>
      </c>
    </row>
    <row r="148">
      <c r="A148" s="672"/>
      <c r="B148" s="672"/>
      <c r="C148" s="683"/>
      <c r="D148" s="678"/>
      <c r="E148" s="681" t="b">
        <v>0</v>
      </c>
      <c r="F148" s="675" t="str">
        <f t="shared" si="19"/>
        <v>ADEUDA</v>
      </c>
      <c r="G148" s="687" t="s">
        <v>2278</v>
      </c>
      <c r="H148" s="677" t="str">
        <f t="shared" si="23"/>
        <v>VENCIDA</v>
      </c>
      <c r="I148" s="682">
        <f t="shared" si="24"/>
        <v>46167</v>
      </c>
      <c r="J148" s="679" t="b">
        <v>0</v>
      </c>
    </row>
    <row r="149">
      <c r="A149" s="672"/>
      <c r="B149" s="672"/>
      <c r="C149" s="683"/>
      <c r="D149" s="678"/>
      <c r="E149" s="681" t="b">
        <v>0</v>
      </c>
      <c r="F149" s="675" t="str">
        <f t="shared" si="19"/>
        <v>ADEUDA</v>
      </c>
      <c r="G149" s="687" t="s">
        <v>2278</v>
      </c>
      <c r="H149" s="677" t="str">
        <f t="shared" si="23"/>
        <v>VENCIDA</v>
      </c>
      <c r="I149" s="682">
        <f t="shared" si="24"/>
        <v>46167</v>
      </c>
      <c r="J149" s="679" t="b">
        <v>0</v>
      </c>
    </row>
  </sheetData>
  <mergeCells count="12">
    <mergeCell ref="A78:H78"/>
    <mergeCell ref="E79:F79"/>
    <mergeCell ref="A114:J115"/>
    <mergeCell ref="A116:H116"/>
    <mergeCell ref="E117:F117"/>
    <mergeCell ref="A1:J2"/>
    <mergeCell ref="A3:H3"/>
    <mergeCell ref="E4:F4"/>
    <mergeCell ref="A38:J39"/>
    <mergeCell ref="A40:H40"/>
    <mergeCell ref="E41:F41"/>
    <mergeCell ref="A76:J77"/>
  </mergeCells>
  <conditionalFormatting sqref="F5:F36 F42:F73 F80:F111 F118:F149">
    <cfRule type="expression" dxfId="1" priority="1">
      <formula>F5="PAGADO"</formula>
    </cfRule>
  </conditionalFormatting>
  <conditionalFormatting sqref="F5:F36 F42:F73 F80:F111 F118:F149">
    <cfRule type="expression" dxfId="2" priority="2">
      <formula>F5="ADEUDA"</formula>
    </cfRule>
  </conditionalFormatting>
  <conditionalFormatting sqref="H4:H8 H41:H45 H79:H83 H117:H121">
    <cfRule type="cellIs" dxfId="3" priority="4" operator="equal">
      <formula>"VENCIDA"</formula>
    </cfRule>
  </conditionalFormatting>
  <conditionalFormatting sqref="H4:H8 H41:H45 H79:H83 H117:H121">
    <cfRule type="cellIs" dxfId="4" priority="5" operator="equal">
      <formula>"VIGENTE"</formula>
    </cfRule>
  </conditionalFormatting>
  <conditionalFormatting sqref="H4:H8 H41:H45 H79:H83 H117:H121">
    <cfRule type="cellIs" dxfId="2" priority="6" operator="equal">
      <formula>"VENCE HOY"</formula>
    </cfRule>
  </conditionalFormatting>
  <dataValidations>
    <dataValidation type="list" allowBlank="1" showErrorMessage="1" sqref="G5:G36 G42:G73 G80:G111 G118:G149">
      <formula1>"transferencia,mercado pago,efectivo,debito automatico,vep"</formula1>
    </dataValidation>
  </dataValidations>
  <drawing r:id="rId4"/>
  <legacyDrawing r:id="rId5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3" max="3" width="13.75"/>
    <col customWidth="1" min="8" max="8" width="14.63"/>
  </cols>
  <sheetData>
    <row r="1" ht="27.0" customHeight="1">
      <c r="A1" s="699"/>
      <c r="B1" s="700"/>
      <c r="C1" s="635" t="s">
        <v>42</v>
      </c>
      <c r="D1" s="635"/>
      <c r="E1" s="700"/>
      <c r="F1" s="635"/>
      <c r="G1" s="701"/>
      <c r="I1" s="4"/>
      <c r="J1" s="4"/>
    </row>
    <row r="2">
      <c r="A2" s="700" t="s">
        <v>2328</v>
      </c>
      <c r="B2" s="636"/>
      <c r="C2" s="636"/>
      <c r="D2" s="636"/>
      <c r="E2" s="636"/>
      <c r="F2" s="636"/>
      <c r="G2" s="636"/>
      <c r="I2" s="4"/>
      <c r="J2" s="4"/>
    </row>
    <row r="3">
      <c r="A3" s="639" t="s">
        <v>2329</v>
      </c>
      <c r="B3" s="639" t="s">
        <v>2330</v>
      </c>
      <c r="C3" s="639" t="s">
        <v>2331</v>
      </c>
      <c r="D3" s="639" t="s">
        <v>2332</v>
      </c>
      <c r="E3" s="639" t="s">
        <v>2333</v>
      </c>
      <c r="F3" s="640" t="s">
        <v>2334</v>
      </c>
      <c r="G3" s="640" t="s">
        <v>2335</v>
      </c>
      <c r="I3" s="4"/>
      <c r="J3" s="642"/>
    </row>
    <row r="4">
      <c r="A4" s="702" t="s">
        <v>2336</v>
      </c>
      <c r="B4" s="703"/>
      <c r="C4" s="703"/>
      <c r="D4" s="704"/>
      <c r="E4" s="704"/>
      <c r="F4" s="705"/>
      <c r="G4" s="705"/>
      <c r="H4" s="642"/>
    </row>
    <row r="5">
      <c r="A5" s="706" t="s">
        <v>2337</v>
      </c>
      <c r="B5" s="707">
        <f>'CIERRE 2025'!L500</f>
        <v>13601535</v>
      </c>
      <c r="C5" s="706" t="s">
        <v>38</v>
      </c>
      <c r="D5" s="706" t="s">
        <v>38</v>
      </c>
      <c r="E5" s="706" t="s">
        <v>38</v>
      </c>
      <c r="F5" s="708">
        <f>B5</f>
        <v>13601535</v>
      </c>
      <c r="G5" s="709"/>
      <c r="H5" s="642"/>
    </row>
    <row r="6">
      <c r="A6" s="706" t="s">
        <v>2338</v>
      </c>
      <c r="B6" s="707">
        <f>'CIERRE 2025'!G500</f>
        <v>9943340</v>
      </c>
      <c r="C6" s="706">
        <f>B6*10%</f>
        <v>994334</v>
      </c>
      <c r="D6" s="706"/>
      <c r="E6" s="706"/>
      <c r="F6" s="708">
        <f>B6-C6</f>
        <v>8949006</v>
      </c>
      <c r="G6" s="709"/>
    </row>
    <row r="7">
      <c r="A7" s="706" t="s">
        <v>2339</v>
      </c>
      <c r="B7" s="707">
        <f>'CIERRE 2025'!K500</f>
        <v>10365950</v>
      </c>
      <c r="C7" s="706"/>
      <c r="D7" s="706">
        <f>B7*8%</f>
        <v>829276</v>
      </c>
      <c r="E7" s="707" t="str">
        <f>'CIERRE 2025'!M500</f>
        <v/>
      </c>
      <c r="F7" s="708">
        <f>B7-D7</f>
        <v>9536674</v>
      </c>
      <c r="G7" s="709"/>
    </row>
    <row r="8">
      <c r="A8" s="706" t="s">
        <v>2340</v>
      </c>
      <c r="B8" s="706">
        <v>1620000.0</v>
      </c>
      <c r="C8" s="706"/>
      <c r="D8" s="706"/>
      <c r="E8" s="706">
        <f>B8*50%</f>
        <v>810000</v>
      </c>
      <c r="F8" s="709">
        <f>B8-E8</f>
        <v>810000</v>
      </c>
      <c r="G8" s="709"/>
    </row>
    <row r="9">
      <c r="A9" s="706" t="s">
        <v>2341</v>
      </c>
      <c r="B9" s="706">
        <f>265850+305600+264400+187200</f>
        <v>1023050</v>
      </c>
      <c r="C9" s="710"/>
      <c r="D9" s="710"/>
      <c r="E9" s="710"/>
      <c r="F9" s="709">
        <f>B9</f>
        <v>1023050</v>
      </c>
      <c r="G9" s="709"/>
    </row>
    <row r="10">
      <c r="A10" s="711" t="s">
        <v>2342</v>
      </c>
      <c r="B10" s="712">
        <f>SUM(B5:B9)</f>
        <v>36553875</v>
      </c>
      <c r="C10" s="713"/>
      <c r="D10" s="713"/>
      <c r="E10" s="713"/>
      <c r="F10" s="714">
        <f>SUM(F5:F9)</f>
        <v>33920265</v>
      </c>
      <c r="G10" s="715"/>
    </row>
    <row r="11">
      <c r="A11" s="643"/>
      <c r="B11" s="716"/>
      <c r="C11" s="716"/>
      <c r="D11" s="716"/>
      <c r="E11" s="716"/>
      <c r="F11" s="717"/>
      <c r="G11" s="717"/>
    </row>
    <row r="12">
      <c r="A12" s="639" t="s">
        <v>2329</v>
      </c>
      <c r="B12" s="639" t="s">
        <v>2343</v>
      </c>
      <c r="C12" s="639" t="s">
        <v>38</v>
      </c>
      <c r="D12" s="639" t="s">
        <v>38</v>
      </c>
      <c r="E12" s="639" t="s">
        <v>38</v>
      </c>
      <c r="F12" s="640" t="s">
        <v>2344</v>
      </c>
      <c r="G12" s="640"/>
    </row>
    <row r="13">
      <c r="A13" s="702" t="s">
        <v>2345</v>
      </c>
      <c r="B13" s="718"/>
      <c r="C13" s="718"/>
      <c r="D13" s="713"/>
      <c r="E13" s="713"/>
      <c r="F13" s="715"/>
      <c r="G13" s="715"/>
    </row>
    <row r="14">
      <c r="A14" s="706" t="s">
        <v>2346</v>
      </c>
      <c r="B14" s="706">
        <f>QUINTELA!N9+'LA SERENISIMA'!K8+'VICKY VERDURA'!K9+'POLLO MIGUEL'!K9+'HEREFORD PAMPA'!K9+APROSEM!K10+MANTECA!K9+CRIOLLO!L9+'HARINA DEL ROSARIO'!K9+MILKAUT!K8+CUYAIRES!K9+SEMAS!K9+HIELO!K8+HUEVO!K9+FERAS!K9+ALMAFUERTE!K9</f>
        <v>8513610.96</v>
      </c>
      <c r="C14" s="706"/>
      <c r="D14" s="706"/>
      <c r="E14" s="706"/>
      <c r="F14" s="709"/>
      <c r="G14" s="709"/>
    </row>
    <row r="15">
      <c r="A15" s="706" t="s">
        <v>2347</v>
      </c>
      <c r="B15" s="706">
        <f>ORMAZABAL!K9</f>
        <v>954343.31</v>
      </c>
      <c r="C15" s="706"/>
      <c r="D15" s="706"/>
      <c r="E15" s="706"/>
      <c r="F15" s="709"/>
      <c r="G15" s="709"/>
    </row>
    <row r="16">
      <c r="A16" s="706" t="s">
        <v>2348</v>
      </c>
      <c r="B16" s="706">
        <f>COCA!K8+'LA REDENCION'!K9</f>
        <v>602293.11</v>
      </c>
      <c r="C16" s="706"/>
      <c r="D16" s="706"/>
      <c r="E16" s="706"/>
      <c r="F16" s="709"/>
      <c r="G16" s="709"/>
    </row>
    <row r="17">
      <c r="A17" s="706" t="s">
        <v>2349</v>
      </c>
      <c r="B17" s="706">
        <f>'DISTRIB LJ'!K9</f>
        <v>211400</v>
      </c>
      <c r="C17" s="706"/>
      <c r="D17" s="706"/>
      <c r="E17" s="706"/>
      <c r="F17" s="709"/>
      <c r="G17" s="709"/>
    </row>
    <row r="18">
      <c r="A18" s="706" t="s">
        <v>2350</v>
      </c>
      <c r="B18" s="719">
        <f>'JULIO 25'!B184</f>
        <v>378125</v>
      </c>
      <c r="C18" s="716"/>
      <c r="D18" s="716"/>
      <c r="E18" s="716"/>
      <c r="F18" s="717"/>
      <c r="G18" s="717"/>
    </row>
    <row r="19">
      <c r="A19" s="711" t="s">
        <v>2351</v>
      </c>
      <c r="B19" s="718">
        <f>SUM(B14:B18)</f>
        <v>10659772.38</v>
      </c>
      <c r="C19" s="720"/>
      <c r="D19" s="720"/>
      <c r="E19" s="720"/>
      <c r="F19" s="721">
        <f>(B19/B10)*100</f>
        <v>29.1618122</v>
      </c>
      <c r="G19" s="721" t="s">
        <v>2352</v>
      </c>
    </row>
    <row r="20">
      <c r="A20" s="643"/>
      <c r="B20" s="716"/>
      <c r="C20" s="716"/>
      <c r="D20" s="716"/>
      <c r="E20" s="716"/>
      <c r="F20" s="717">
        <f>B19/B10</f>
        <v>0.291618122</v>
      </c>
      <c r="G20" s="717"/>
    </row>
    <row r="21">
      <c r="A21" s="722"/>
      <c r="B21" s="723"/>
      <c r="C21" s="716"/>
      <c r="D21" s="716"/>
      <c r="E21" s="716"/>
      <c r="F21" s="717"/>
      <c r="G21" s="717"/>
    </row>
    <row r="22">
      <c r="A22" s="724" t="s">
        <v>2353</v>
      </c>
      <c r="B22" s="725">
        <f>F10-B19</f>
        <v>23260492.62</v>
      </c>
      <c r="C22" s="726"/>
      <c r="D22" s="727"/>
      <c r="E22" s="727"/>
      <c r="F22" s="728"/>
      <c r="G22" s="728"/>
    </row>
    <row r="23">
      <c r="A23" s="729"/>
      <c r="B23" s="730"/>
      <c r="C23" s="716"/>
      <c r="D23" s="731"/>
      <c r="E23" s="731"/>
      <c r="F23" s="717"/>
      <c r="G23" s="717"/>
    </row>
    <row r="24">
      <c r="A24" s="639" t="s">
        <v>2329</v>
      </c>
      <c r="B24" s="639" t="s">
        <v>2343</v>
      </c>
      <c r="C24" s="639" t="s">
        <v>38</v>
      </c>
      <c r="D24" s="639" t="s">
        <v>38</v>
      </c>
      <c r="E24" s="639" t="s">
        <v>38</v>
      </c>
      <c r="F24" s="640" t="s">
        <v>2344</v>
      </c>
      <c r="G24" s="640"/>
    </row>
    <row r="25">
      <c r="A25" s="702" t="s">
        <v>187</v>
      </c>
      <c r="B25" s="718"/>
      <c r="C25" s="718"/>
      <c r="D25" s="713"/>
      <c r="E25" s="713"/>
      <c r="F25" s="715"/>
      <c r="G25" s="715"/>
    </row>
    <row r="26">
      <c r="A26" s="706" t="s">
        <v>2354</v>
      </c>
      <c r="B26" s="706">
        <f>'GASTOS FIJOS 2025'!D81+'GASTOS FIJOS 2025'!D82</f>
        <v>1426000</v>
      </c>
      <c r="C26" s="706"/>
      <c r="D26" s="706"/>
      <c r="E26" s="706"/>
      <c r="F26" s="709"/>
      <c r="G26" s="709"/>
    </row>
    <row r="27">
      <c r="A27" s="706" t="s">
        <v>194</v>
      </c>
      <c r="B27" s="706">
        <f>'GASTOS FIJOS 2025'!D83</f>
        <v>78850</v>
      </c>
      <c r="C27" s="706"/>
      <c r="D27" s="706"/>
      <c r="E27" s="706"/>
      <c r="F27" s="709"/>
      <c r="G27" s="709"/>
    </row>
    <row r="28">
      <c r="A28" s="706" t="s">
        <v>2355</v>
      </c>
      <c r="B28" s="706">
        <v>1.0327557E7</v>
      </c>
      <c r="C28" s="706"/>
      <c r="D28" s="706"/>
      <c r="E28" s="706"/>
      <c r="F28" s="709"/>
      <c r="G28" s="709"/>
    </row>
    <row r="29">
      <c r="A29" s="706" t="s">
        <v>2356</v>
      </c>
      <c r="B29" s="706">
        <v>1680000.0</v>
      </c>
      <c r="C29" s="706"/>
      <c r="D29" s="706"/>
      <c r="E29" s="706"/>
      <c r="F29" s="709"/>
      <c r="G29" s="709"/>
    </row>
    <row r="30">
      <c r="A30" s="706" t="s">
        <v>2357</v>
      </c>
      <c r="B30" s="706">
        <f>'GASTOS FIJOS 2025'!D87+'GASTOS FIJOS 2025'!D88+'GASTOS FIJOS 2025'!D89+'GASTOS FIJOS 2025'!D90</f>
        <v>1596912.03</v>
      </c>
      <c r="C30" s="706"/>
      <c r="D30" s="706"/>
      <c r="E30" s="706"/>
      <c r="F30" s="709"/>
      <c r="G30" s="709"/>
    </row>
    <row r="31">
      <c r="A31" s="706" t="s">
        <v>2358</v>
      </c>
      <c r="B31" s="732">
        <f>'GASTOS FIJOS 2025'!D71+'GASTOS FIJOS 2025'!D72+'GASTOS FIJOS 2025'!D75+'GASTOS FIJOS 2025'!D77+'GASTOS FIJOS 2025'!D76</f>
        <v>1217746.1</v>
      </c>
      <c r="C31" s="706"/>
      <c r="D31" s="706"/>
      <c r="E31" s="706"/>
      <c r="F31" s="709"/>
      <c r="G31" s="709"/>
    </row>
    <row r="32">
      <c r="A32" s="706" t="s">
        <v>2359</v>
      </c>
      <c r="B32" s="706">
        <f>B93</f>
        <v>64805.41</v>
      </c>
      <c r="C32" s="716"/>
      <c r="D32" s="716"/>
      <c r="E32" s="716"/>
      <c r="F32" s="717"/>
      <c r="G32" s="717"/>
    </row>
    <row r="33">
      <c r="A33" s="706" t="s">
        <v>2360</v>
      </c>
      <c r="B33" s="706">
        <f>'GASTOS FIJOS 2025'!D78</f>
        <v>196093.73</v>
      </c>
      <c r="C33" s="716"/>
      <c r="D33" s="716"/>
      <c r="E33" s="716"/>
      <c r="F33" s="717"/>
      <c r="G33" s="717"/>
    </row>
    <row r="34">
      <c r="A34" s="706" t="s">
        <v>2361</v>
      </c>
      <c r="B34" s="706">
        <f>'GASTOS FIJOS 2025'!D79</f>
        <v>133820.81</v>
      </c>
      <c r="C34" s="716"/>
      <c r="D34" s="716"/>
      <c r="E34" s="716"/>
      <c r="F34" s="717"/>
      <c r="G34" s="717"/>
      <c r="H34" s="733"/>
    </row>
    <row r="35">
      <c r="A35" s="706" t="s">
        <v>2362</v>
      </c>
      <c r="B35" s="706">
        <f>'GASTOS FIJOS 2025'!D80</f>
        <v>84785.15</v>
      </c>
      <c r="C35" s="716"/>
      <c r="D35" s="716"/>
      <c r="E35" s="716"/>
      <c r="F35" s="717"/>
      <c r="G35" s="717"/>
    </row>
    <row r="36">
      <c r="A36" s="706" t="s">
        <v>2363</v>
      </c>
      <c r="B36" s="706">
        <f>'GASTOS FIJOS 2025'!D85</f>
        <v>142000</v>
      </c>
      <c r="C36" s="716"/>
      <c r="D36" s="716"/>
      <c r="E36" s="716"/>
      <c r="F36" s="717"/>
      <c r="G36" s="717"/>
    </row>
    <row r="37">
      <c r="A37" s="711" t="s">
        <v>2364</v>
      </c>
      <c r="B37" s="718">
        <f>SUM(B26:B35)</f>
        <v>16806570.23</v>
      </c>
      <c r="C37" s="734"/>
      <c r="D37" s="734"/>
      <c r="E37" s="734"/>
      <c r="F37" s="735">
        <f>B37</f>
        <v>16806570.23</v>
      </c>
      <c r="G37" s="735"/>
    </row>
    <row r="38">
      <c r="A38" s="736"/>
      <c r="B38" s="737"/>
      <c r="C38" s="734"/>
      <c r="D38" s="734"/>
      <c r="E38" s="734"/>
      <c r="F38" s="735">
        <f>B37/B10</f>
        <v>0.4597753379</v>
      </c>
      <c r="G38" s="735"/>
    </row>
    <row r="39">
      <c r="A39" s="722"/>
      <c r="B39" s="723"/>
      <c r="C39" s="716"/>
      <c r="D39" s="716"/>
      <c r="E39" s="716"/>
      <c r="F39" s="717"/>
      <c r="G39" s="717"/>
    </row>
    <row r="40">
      <c r="A40" s="738" t="s">
        <v>2365</v>
      </c>
      <c r="B40" s="739">
        <f>B22-B37</f>
        <v>6453922.39</v>
      </c>
      <c r="C40" s="740"/>
      <c r="D40" s="741"/>
      <c r="E40" s="741"/>
      <c r="F40" s="742"/>
      <c r="G40" s="742"/>
    </row>
    <row r="41">
      <c r="A41" s="729"/>
      <c r="B41" s="730"/>
      <c r="C41" s="716"/>
      <c r="D41" s="731"/>
      <c r="E41" s="731"/>
      <c r="F41" s="717"/>
      <c r="G41" s="717"/>
    </row>
    <row r="42">
      <c r="A42" s="639" t="s">
        <v>2329</v>
      </c>
      <c r="B42" s="639" t="s">
        <v>2343</v>
      </c>
      <c r="C42" s="639" t="s">
        <v>38</v>
      </c>
      <c r="D42" s="639" t="s">
        <v>38</v>
      </c>
      <c r="E42" s="639" t="s">
        <v>38</v>
      </c>
      <c r="F42" s="640" t="s">
        <v>2344</v>
      </c>
      <c r="G42" s="640"/>
    </row>
    <row r="43">
      <c r="A43" s="702" t="s">
        <v>2366</v>
      </c>
      <c r="B43" s="718"/>
      <c r="C43" s="718"/>
      <c r="D43" s="713"/>
      <c r="E43" s="713"/>
      <c r="F43" s="715"/>
      <c r="G43" s="715"/>
    </row>
    <row r="44">
      <c r="A44" s="706" t="s">
        <v>2300</v>
      </c>
      <c r="B44" s="706">
        <f>'GASTOS FIJOS 2025'!D95</f>
        <v>95246.51</v>
      </c>
      <c r="C44" s="706"/>
      <c r="D44" s="706"/>
      <c r="E44" s="706"/>
      <c r="F44" s="709"/>
      <c r="G44" s="709"/>
    </row>
    <row r="45">
      <c r="A45" s="706" t="s">
        <v>206</v>
      </c>
      <c r="B45" s="706">
        <f>'GASTOS FIJOS 2025'!D91</f>
        <v>1481597.53</v>
      </c>
      <c r="C45" s="706"/>
      <c r="D45" s="706"/>
      <c r="E45" s="706"/>
      <c r="F45" s="709"/>
      <c r="G45" s="709"/>
    </row>
    <row r="46">
      <c r="A46" s="706" t="s">
        <v>2367</v>
      </c>
      <c r="B46" s="706">
        <f>'GASTOS FIJOS 2025'!D92</f>
        <v>901550.45</v>
      </c>
      <c r="C46" s="706"/>
      <c r="D46" s="706"/>
      <c r="E46" s="706"/>
      <c r="F46" s="709"/>
      <c r="G46" s="709"/>
    </row>
    <row r="47">
      <c r="A47" s="706" t="s">
        <v>2299</v>
      </c>
      <c r="B47" s="706">
        <f>'GASTOS FIJOS 2025'!D94</f>
        <v>54736</v>
      </c>
      <c r="C47" s="706"/>
      <c r="D47" s="706"/>
      <c r="E47" s="706"/>
      <c r="F47" s="709"/>
      <c r="G47" s="709"/>
    </row>
    <row r="48">
      <c r="A48" s="706" t="s">
        <v>2368</v>
      </c>
      <c r="B48" s="706">
        <f>'GASTOS FIJOS 2025'!D93</f>
        <v>142499.15</v>
      </c>
      <c r="C48" s="706"/>
      <c r="D48" s="706"/>
      <c r="E48" s="706"/>
      <c r="F48" s="709"/>
      <c r="G48" s="709"/>
    </row>
    <row r="49">
      <c r="A49" s="711" t="s">
        <v>2369</v>
      </c>
      <c r="B49" s="718">
        <f>SUM(B44:B48)</f>
        <v>2675629.64</v>
      </c>
      <c r="C49" s="743"/>
      <c r="D49" s="743"/>
      <c r="E49" s="743"/>
      <c r="F49" s="744">
        <f>B49</f>
        <v>2675629.64</v>
      </c>
      <c r="G49" s="744"/>
    </row>
    <row r="50">
      <c r="A50" s="711"/>
      <c r="B50" s="718"/>
      <c r="C50" s="743"/>
      <c r="D50" s="743"/>
      <c r="E50" s="743"/>
      <c r="F50" s="744">
        <f>B49/B10</f>
        <v>0.07319688104</v>
      </c>
      <c r="G50" s="744"/>
    </row>
    <row r="51">
      <c r="A51" s="722"/>
      <c r="B51" s="745"/>
      <c r="C51" s="644"/>
      <c r="D51" s="644"/>
      <c r="E51" s="644"/>
      <c r="F51" s="746"/>
      <c r="G51" s="746"/>
    </row>
    <row r="52" ht="33.0" customHeight="1">
      <c r="A52" s="747" t="s">
        <v>2370</v>
      </c>
      <c r="B52" s="748">
        <f>B40-B49</f>
        <v>3778292.75</v>
      </c>
      <c r="C52" s="749"/>
      <c r="D52" s="750"/>
      <c r="E52" s="750"/>
      <c r="F52" s="751"/>
      <c r="G52" s="752"/>
    </row>
    <row r="53" ht="33.0" customHeight="1">
      <c r="A53" s="747" t="s">
        <v>2371</v>
      </c>
      <c r="B53" s="748">
        <f>(B52/B10)*100</f>
        <v>10.33623043</v>
      </c>
      <c r="C53" s="749"/>
      <c r="D53" s="750"/>
      <c r="E53" s="750"/>
      <c r="F53" s="751"/>
      <c r="G53" s="752" t="s">
        <v>2372</v>
      </c>
    </row>
    <row r="54">
      <c r="A54" s="729"/>
      <c r="B54" s="753"/>
      <c r="C54" s="644"/>
      <c r="D54" s="643"/>
      <c r="E54" s="643"/>
      <c r="F54" s="746"/>
      <c r="G54" s="746"/>
    </row>
    <row r="55">
      <c r="A55" s="754" t="s">
        <v>2373</v>
      </c>
      <c r="B55" s="755">
        <f>1-(F20+F50)</f>
        <v>0.6351849969</v>
      </c>
      <c r="C55" s="756"/>
      <c r="D55" s="757"/>
      <c r="E55" s="757"/>
      <c r="F55" s="758"/>
      <c r="G55" s="758"/>
    </row>
    <row r="56">
      <c r="A56" s="759" t="s">
        <v>2374</v>
      </c>
      <c r="B56" s="760"/>
      <c r="C56" s="756"/>
      <c r="D56" s="757"/>
      <c r="E56" s="757"/>
      <c r="F56" s="758"/>
      <c r="G56" s="758"/>
    </row>
    <row r="57">
      <c r="A57" s="722"/>
      <c r="B57" s="761"/>
      <c r="C57" s="644"/>
      <c r="D57" s="643"/>
      <c r="E57" s="643"/>
      <c r="F57" s="746"/>
      <c r="G57" s="746"/>
    </row>
    <row r="58">
      <c r="A58" s="738" t="s">
        <v>2375</v>
      </c>
      <c r="B58" s="739">
        <f>B37/B55</f>
        <v>26459331.24</v>
      </c>
      <c r="C58" s="762"/>
      <c r="D58" s="757"/>
      <c r="E58" s="757"/>
      <c r="F58" s="758"/>
      <c r="G58" s="758"/>
    </row>
    <row r="59">
      <c r="A59" s="763" t="s">
        <v>2376</v>
      </c>
      <c r="B59" s="764"/>
      <c r="C59" s="756"/>
      <c r="D59" s="757"/>
      <c r="E59" s="757"/>
      <c r="F59" s="757"/>
      <c r="G59" s="757"/>
    </row>
    <row r="62">
      <c r="A62" s="635" t="s">
        <v>43</v>
      </c>
      <c r="B62" s="636"/>
      <c r="C62" s="636"/>
      <c r="D62" s="636"/>
      <c r="E62" s="636"/>
      <c r="F62" s="636"/>
      <c r="G62" s="636"/>
    </row>
    <row r="63">
      <c r="A63" s="700" t="s">
        <v>2377</v>
      </c>
      <c r="B63" s="636"/>
      <c r="C63" s="636"/>
      <c r="D63" s="636"/>
      <c r="E63" s="636"/>
      <c r="F63" s="636"/>
      <c r="G63" s="636"/>
    </row>
    <row r="64">
      <c r="A64" s="639" t="s">
        <v>2329</v>
      </c>
      <c r="B64" s="639" t="s">
        <v>2330</v>
      </c>
      <c r="C64" s="639" t="s">
        <v>2331</v>
      </c>
      <c r="D64" s="639" t="s">
        <v>2332</v>
      </c>
      <c r="E64" s="639" t="s">
        <v>2333</v>
      </c>
      <c r="F64" s="640" t="s">
        <v>2334</v>
      </c>
      <c r="G64" s="640" t="s">
        <v>2335</v>
      </c>
    </row>
    <row r="65">
      <c r="A65" s="702" t="s">
        <v>2336</v>
      </c>
      <c r="B65" s="703"/>
      <c r="C65" s="703"/>
      <c r="D65" s="704"/>
      <c r="E65" s="704"/>
      <c r="F65" s="705"/>
      <c r="G65" s="705"/>
    </row>
    <row r="66">
      <c r="A66" s="706" t="s">
        <v>2337</v>
      </c>
      <c r="B66" s="706">
        <v>1.3461015E7</v>
      </c>
      <c r="C66" s="706" t="s">
        <v>38</v>
      </c>
      <c r="D66" s="706" t="s">
        <v>38</v>
      </c>
      <c r="E66" s="706" t="s">
        <v>38</v>
      </c>
      <c r="F66" s="709">
        <f>B66</f>
        <v>13461015</v>
      </c>
      <c r="G66" s="709"/>
    </row>
    <row r="67">
      <c r="A67" s="706" t="s">
        <v>2338</v>
      </c>
      <c r="B67" s="706">
        <f>1383600+1008600</f>
        <v>2392200</v>
      </c>
      <c r="C67" s="706">
        <f>B67*10%</f>
        <v>239220</v>
      </c>
      <c r="D67" s="706"/>
      <c r="E67" s="706"/>
      <c r="F67" s="709">
        <f>B67-C67</f>
        <v>2152980</v>
      </c>
      <c r="G67" s="709"/>
    </row>
    <row r="68">
      <c r="A68" s="706" t="s">
        <v>2339</v>
      </c>
      <c r="B68" s="706">
        <f>8607960+7881255+8400</f>
        <v>16497615</v>
      </c>
      <c r="C68" s="706"/>
      <c r="D68" s="706">
        <f>B68*8%</f>
        <v>1319809.2</v>
      </c>
      <c r="E68" s="707">
        <f>'CIERRE 2025'!M560</f>
        <v>140000</v>
      </c>
      <c r="F68" s="709">
        <f>B68-D68</f>
        <v>15177805.8</v>
      </c>
      <c r="G68" s="709"/>
    </row>
    <row r="69">
      <c r="A69" s="706" t="s">
        <v>2340</v>
      </c>
      <c r="B69" s="706">
        <v>1329200.0</v>
      </c>
      <c r="C69" s="706"/>
      <c r="D69" s="706"/>
      <c r="E69" s="706">
        <f>B69*50%</f>
        <v>664600</v>
      </c>
      <c r="F69" s="709">
        <f>B69-E69</f>
        <v>664600</v>
      </c>
      <c r="G69" s="709"/>
    </row>
    <row r="70">
      <c r="A70" s="706" t="s">
        <v>2341</v>
      </c>
      <c r="B70" s="706">
        <f>147250+125500+120050+185850+212250</f>
        <v>790900</v>
      </c>
      <c r="C70" s="710"/>
      <c r="D70" s="710"/>
      <c r="E70" s="710"/>
      <c r="F70" s="709">
        <f>B70</f>
        <v>790900</v>
      </c>
      <c r="G70" s="709"/>
    </row>
    <row r="71">
      <c r="A71" s="711" t="s">
        <v>2342</v>
      </c>
      <c r="B71" s="718">
        <f>SUM(B66:B70)</f>
        <v>34470930</v>
      </c>
      <c r="C71" s="713"/>
      <c r="D71" s="713"/>
      <c r="E71" s="713"/>
      <c r="F71" s="715">
        <f>SUM(F66:F70)</f>
        <v>32247300.8</v>
      </c>
      <c r="G71" s="715"/>
    </row>
    <row r="72">
      <c r="A72" s="643"/>
      <c r="B72" s="716"/>
      <c r="C72" s="716"/>
      <c r="D72" s="716"/>
      <c r="E72" s="716"/>
      <c r="F72" s="717"/>
      <c r="G72" s="717"/>
    </row>
    <row r="73">
      <c r="A73" s="639" t="s">
        <v>2329</v>
      </c>
      <c r="B73" s="639" t="s">
        <v>2343</v>
      </c>
      <c r="C73" s="639" t="s">
        <v>38</v>
      </c>
      <c r="D73" s="639" t="s">
        <v>38</v>
      </c>
      <c r="E73" s="639" t="s">
        <v>38</v>
      </c>
      <c r="F73" s="640" t="s">
        <v>2344</v>
      </c>
      <c r="G73" s="640"/>
    </row>
    <row r="74">
      <c r="A74" s="702" t="s">
        <v>2345</v>
      </c>
      <c r="B74" s="718"/>
      <c r="C74" s="718"/>
      <c r="D74" s="713"/>
      <c r="E74" s="713"/>
      <c r="F74" s="715"/>
      <c r="G74" s="715"/>
    </row>
    <row r="75">
      <c r="A75" s="706" t="s">
        <v>2346</v>
      </c>
      <c r="B75" s="706">
        <f>QUINTELA!N10+'LA SERENISIMA'!K9+'VICKY VERDURA'!K10+'POLLO MIGUEL'!K10+'HEREFORD PAMPA'!K10+APROSEM!K11+MANTECA!K10+CRIOLLO!L10+'HARINA DEL ROSARIO'!K10+MILKAUT!K9+CUYAIRES!K10+SEMAS!K10+HIELO!K9+HUEVO!K10+FERAS!K10+ALMAFUERTE!K10+MESSIAN!K10+VITALCER!K9+'TUTTO FARRA'!K9</f>
        <v>8391413.23</v>
      </c>
      <c r="C75" s="706"/>
      <c r="D75" s="706"/>
      <c r="E75" s="706"/>
      <c r="F75" s="709"/>
      <c r="G75" s="709"/>
    </row>
    <row r="76">
      <c r="A76" s="706" t="s">
        <v>2347</v>
      </c>
      <c r="B76" s="706">
        <f>ORMAZABAL!K10</f>
        <v>125390.94</v>
      </c>
      <c r="C76" s="706"/>
      <c r="D76" s="706"/>
      <c r="E76" s="706"/>
      <c r="F76" s="709"/>
      <c r="G76" s="709"/>
    </row>
    <row r="77">
      <c r="A77" s="706" t="s">
        <v>2348</v>
      </c>
      <c r="B77" s="706">
        <f>'DISTRIB LJ'!K10+COCA!K9</f>
        <v>477748.51</v>
      </c>
      <c r="C77" s="706"/>
      <c r="D77" s="706"/>
      <c r="E77" s="706"/>
      <c r="F77" s="709"/>
      <c r="G77" s="709"/>
    </row>
    <row r="78">
      <c r="A78" s="706" t="s">
        <v>2349</v>
      </c>
      <c r="B78" s="706">
        <f>'DISTRIB LJ'!K10</f>
        <v>220310</v>
      </c>
      <c r="C78" s="706"/>
      <c r="D78" s="706"/>
      <c r="E78" s="706"/>
      <c r="F78" s="709"/>
      <c r="G78" s="709"/>
    </row>
    <row r="79">
      <c r="A79" s="706" t="s">
        <v>2350</v>
      </c>
      <c r="B79" s="719">
        <f>'AGOSTO 25'!B160</f>
        <v>29000</v>
      </c>
      <c r="C79" s="716"/>
      <c r="D79" s="716"/>
      <c r="E79" s="716"/>
      <c r="F79" s="717"/>
      <c r="G79" s="717"/>
    </row>
    <row r="80">
      <c r="A80" s="711" t="s">
        <v>2351</v>
      </c>
      <c r="B80" s="718">
        <f>SUM(B75:B79)</f>
        <v>9243862.68</v>
      </c>
      <c r="C80" s="720"/>
      <c r="D80" s="720"/>
      <c r="E80" s="720"/>
      <c r="F80" s="721">
        <f>(B80/B71)*100</f>
        <v>26.8164006</v>
      </c>
      <c r="G80" s="721" t="s">
        <v>2352</v>
      </c>
    </row>
    <row r="81">
      <c r="A81" s="643"/>
      <c r="B81" s="716"/>
      <c r="C81" s="716"/>
      <c r="D81" s="716"/>
      <c r="E81" s="716"/>
      <c r="F81" s="717">
        <f>B80/B71</f>
        <v>0.268164006</v>
      </c>
      <c r="G81" s="717"/>
    </row>
    <row r="82">
      <c r="A82" s="722"/>
      <c r="B82" s="723"/>
      <c r="C82" s="716"/>
      <c r="D82" s="716"/>
      <c r="E82" s="716"/>
      <c r="F82" s="717"/>
      <c r="G82" s="717"/>
    </row>
    <row r="83">
      <c r="A83" s="724" t="s">
        <v>2353</v>
      </c>
      <c r="B83" s="725">
        <f>F71-B80</f>
        <v>23003438.12</v>
      </c>
      <c r="C83" s="726"/>
      <c r="D83" s="727"/>
      <c r="E83" s="727"/>
      <c r="F83" s="728"/>
      <c r="G83" s="728"/>
    </row>
    <row r="84">
      <c r="A84" s="729"/>
      <c r="B84" s="730"/>
      <c r="C84" s="716"/>
      <c r="D84" s="731"/>
      <c r="E84" s="731"/>
      <c r="F84" s="717"/>
      <c r="G84" s="717"/>
    </row>
    <row r="85">
      <c r="A85" s="639" t="s">
        <v>2329</v>
      </c>
      <c r="B85" s="639" t="s">
        <v>2343</v>
      </c>
      <c r="C85" s="639" t="s">
        <v>38</v>
      </c>
      <c r="D85" s="639" t="s">
        <v>38</v>
      </c>
      <c r="E85" s="639" t="s">
        <v>38</v>
      </c>
      <c r="F85" s="640" t="s">
        <v>2344</v>
      </c>
      <c r="G85" s="640"/>
    </row>
    <row r="86">
      <c r="A86" s="702" t="s">
        <v>187</v>
      </c>
      <c r="B86" s="718"/>
      <c r="C86" s="718"/>
      <c r="D86" s="713"/>
      <c r="E86" s="713"/>
      <c r="F86" s="715"/>
      <c r="G86" s="715"/>
    </row>
    <row r="87">
      <c r="A87" s="706" t="s">
        <v>2354</v>
      </c>
      <c r="B87" s="706">
        <f>'GASTOS FIJOS 2025'!D114+'GASTOS FIJOS 2025'!D115</f>
        <v>1668000</v>
      </c>
      <c r="C87" s="706"/>
      <c r="D87" s="706"/>
      <c r="E87" s="706"/>
      <c r="F87" s="709"/>
      <c r="G87" s="709"/>
    </row>
    <row r="88">
      <c r="A88" s="706" t="s">
        <v>194</v>
      </c>
      <c r="B88" s="706">
        <f>'GASTOS FIJOS 2025'!D116</f>
        <v>78850</v>
      </c>
      <c r="C88" s="706"/>
      <c r="D88" s="706"/>
      <c r="E88" s="706"/>
      <c r="F88" s="709"/>
      <c r="G88" s="709"/>
    </row>
    <row r="89">
      <c r="A89" s="706" t="s">
        <v>2378</v>
      </c>
      <c r="B89" s="706">
        <v>1.302204458E7</v>
      </c>
      <c r="C89" s="706"/>
      <c r="D89" s="706"/>
      <c r="E89" s="706"/>
      <c r="F89" s="709"/>
      <c r="G89" s="709"/>
    </row>
    <row r="90">
      <c r="A90" s="706" t="s">
        <v>2379</v>
      </c>
      <c r="B90" s="706"/>
      <c r="C90" s="706"/>
      <c r="D90" s="706"/>
      <c r="E90" s="706"/>
      <c r="F90" s="709"/>
      <c r="G90" s="709"/>
    </row>
    <row r="91">
      <c r="A91" s="706" t="s">
        <v>2380</v>
      </c>
      <c r="B91" s="706">
        <f>'GASTOS FIJOS 2025'!D120+'GASTOS FIJOS 2025'!D121+'GASTOS FIJOS 2025'!D122+'GASTOS FIJOS 2025'!D123</f>
        <v>1358767.1</v>
      </c>
      <c r="C91" s="706"/>
      <c r="D91" s="706"/>
      <c r="E91" s="706"/>
      <c r="F91" s="709"/>
      <c r="G91" s="709"/>
    </row>
    <row r="92">
      <c r="A92" s="706" t="s">
        <v>2358</v>
      </c>
      <c r="B92" s="732">
        <f>'GASTOS FIJOS 2025'!D104+'GASTOS FIJOS 2025'!D106+'GASTOS FIJOS 2025'!D108+'GASTOS FIJOS 2025'!D109</f>
        <v>925350.7</v>
      </c>
      <c r="C92" s="706"/>
      <c r="D92" s="706"/>
      <c r="E92" s="706"/>
      <c r="F92" s="709"/>
      <c r="G92" s="709"/>
    </row>
    <row r="93">
      <c r="A93" s="706" t="s">
        <v>2359</v>
      </c>
      <c r="B93" s="706">
        <f>'GASTOS FIJOS 2025'!D143+'GASTOS FIJOS 2025'!D142+'GASTOS FIJOS 2025'!D141</f>
        <v>64805.41</v>
      </c>
      <c r="C93" s="716"/>
      <c r="D93" s="716"/>
      <c r="E93" s="716"/>
      <c r="F93" s="717"/>
      <c r="G93" s="717"/>
    </row>
    <row r="94">
      <c r="A94" s="706" t="s">
        <v>2360</v>
      </c>
      <c r="B94" s="706">
        <f>'GASTOS FIJOS 2025'!D110</f>
        <v>64082.92</v>
      </c>
      <c r="C94" s="716"/>
      <c r="D94" s="716"/>
      <c r="E94" s="716"/>
      <c r="F94" s="717"/>
      <c r="G94" s="717"/>
    </row>
    <row r="95">
      <c r="A95" s="706" t="s">
        <v>2361</v>
      </c>
      <c r="B95" s="706">
        <f>'GASTOS FIJOS 2025'!D112</f>
        <v>133820.81</v>
      </c>
      <c r="C95" s="716"/>
      <c r="D95" s="716"/>
      <c r="E95" s="716"/>
      <c r="F95" s="717"/>
      <c r="G95" s="717"/>
    </row>
    <row r="96">
      <c r="A96" s="706" t="s">
        <v>2362</v>
      </c>
      <c r="B96" s="706">
        <f>'GASTOS FIJOS 2025'!D113</f>
        <v>84785.15</v>
      </c>
      <c r="C96" s="716"/>
      <c r="D96" s="716"/>
      <c r="E96" s="716"/>
      <c r="F96" s="717"/>
      <c r="G96" s="717"/>
    </row>
    <row r="97">
      <c r="A97" s="706" t="s">
        <v>2363</v>
      </c>
      <c r="B97" s="706">
        <f>'GASTOS FIJOS 2025'!D118</f>
        <v>142000</v>
      </c>
      <c r="C97" s="716"/>
      <c r="D97" s="716"/>
      <c r="E97" s="716"/>
      <c r="F97" s="717"/>
      <c r="G97" s="717"/>
    </row>
    <row r="98">
      <c r="A98" s="711" t="s">
        <v>2364</v>
      </c>
      <c r="B98" s="718">
        <f>SUM(B87:B96)</f>
        <v>17400506.67</v>
      </c>
      <c r="C98" s="734"/>
      <c r="D98" s="734"/>
      <c r="E98" s="734"/>
      <c r="F98" s="735">
        <f>B98</f>
        <v>17400506.67</v>
      </c>
      <c r="G98" s="735"/>
    </row>
    <row r="99">
      <c r="A99" s="736"/>
      <c r="B99" s="737"/>
      <c r="C99" s="734"/>
      <c r="D99" s="734"/>
      <c r="E99" s="734"/>
      <c r="F99" s="735">
        <f>B98/B71</f>
        <v>0.5047878508</v>
      </c>
      <c r="G99" s="735"/>
    </row>
    <row r="100">
      <c r="A100" s="722"/>
      <c r="B100" s="723"/>
      <c r="C100" s="716"/>
      <c r="D100" s="716"/>
      <c r="E100" s="716"/>
      <c r="F100" s="717"/>
      <c r="G100" s="717"/>
    </row>
    <row r="101">
      <c r="A101" s="738" t="s">
        <v>2365</v>
      </c>
      <c r="B101" s="739">
        <f>B83-B98</f>
        <v>5602931.45</v>
      </c>
      <c r="C101" s="740"/>
      <c r="D101" s="741"/>
      <c r="E101" s="741"/>
      <c r="F101" s="742"/>
      <c r="G101" s="742"/>
    </row>
    <row r="102">
      <c r="A102" s="729"/>
      <c r="B102" s="730"/>
      <c r="C102" s="716"/>
      <c r="D102" s="731"/>
      <c r="E102" s="731"/>
      <c r="F102" s="717"/>
      <c r="G102" s="717"/>
    </row>
    <row r="103">
      <c r="A103" s="639" t="s">
        <v>2329</v>
      </c>
      <c r="B103" s="639" t="s">
        <v>2343</v>
      </c>
      <c r="C103" s="639" t="s">
        <v>38</v>
      </c>
      <c r="D103" s="639" t="s">
        <v>38</v>
      </c>
      <c r="E103" s="639" t="s">
        <v>38</v>
      </c>
      <c r="F103" s="640" t="s">
        <v>2344</v>
      </c>
      <c r="G103" s="640"/>
    </row>
    <row r="104">
      <c r="A104" s="702" t="s">
        <v>2366</v>
      </c>
      <c r="B104" s="718"/>
      <c r="C104" s="718"/>
      <c r="D104" s="713"/>
      <c r="E104" s="713"/>
      <c r="F104" s="715"/>
      <c r="G104" s="715"/>
    </row>
    <row r="105">
      <c r="A105" s="706" t="s">
        <v>2300</v>
      </c>
      <c r="B105" s="706">
        <v>100000.0</v>
      </c>
      <c r="C105" s="706" t="s">
        <v>2381</v>
      </c>
      <c r="D105" s="706"/>
      <c r="E105" s="706"/>
      <c r="F105" s="709"/>
      <c r="G105" s="709"/>
    </row>
    <row r="106">
      <c r="A106" s="706" t="s">
        <v>206</v>
      </c>
      <c r="B106" s="706">
        <v>1500000.0</v>
      </c>
      <c r="C106" s="706" t="s">
        <v>2381</v>
      </c>
      <c r="D106" s="706"/>
      <c r="E106" s="706"/>
      <c r="F106" s="709"/>
      <c r="G106" s="709"/>
    </row>
    <row r="107">
      <c r="A107" s="706" t="s">
        <v>2367</v>
      </c>
      <c r="B107" s="706">
        <f>'GASTOS FIJOS 2025'!D125</f>
        <v>901550.45</v>
      </c>
      <c r="C107" s="706"/>
      <c r="D107" s="706"/>
      <c r="E107" s="706"/>
      <c r="F107" s="709"/>
      <c r="G107" s="709"/>
    </row>
    <row r="108">
      <c r="A108" s="706" t="s">
        <v>2299</v>
      </c>
      <c r="B108" s="706">
        <f>'GASTOS FIJOS 2025'!D127</f>
        <v>54736</v>
      </c>
      <c r="C108" s="706"/>
      <c r="D108" s="706"/>
      <c r="E108" s="706"/>
      <c r="F108" s="709"/>
      <c r="G108" s="709"/>
    </row>
    <row r="109">
      <c r="A109" s="706" t="s">
        <v>2368</v>
      </c>
      <c r="B109" s="706">
        <f>'GASTOS FIJOS 2025'!D126</f>
        <v>142499.15</v>
      </c>
      <c r="C109" s="706"/>
      <c r="D109" s="706"/>
      <c r="E109" s="706"/>
      <c r="F109" s="709"/>
      <c r="G109" s="709"/>
    </row>
    <row r="110">
      <c r="A110" s="711" t="s">
        <v>2369</v>
      </c>
      <c r="B110" s="718">
        <f>SUM(B105:B109)</f>
        <v>2698785.6</v>
      </c>
      <c r="C110" s="743"/>
      <c r="D110" s="743"/>
      <c r="E110" s="743"/>
      <c r="F110" s="744">
        <f>B110</f>
        <v>2698785.6</v>
      </c>
      <c r="G110" s="744"/>
    </row>
    <row r="111">
      <c r="A111" s="711"/>
      <c r="B111" s="718"/>
      <c r="C111" s="743"/>
      <c r="D111" s="743"/>
      <c r="E111" s="743"/>
      <c r="F111" s="744">
        <f>B110/B71</f>
        <v>0.07829163878</v>
      </c>
      <c r="G111" s="744"/>
    </row>
    <row r="112">
      <c r="A112" s="722"/>
      <c r="B112" s="745"/>
      <c r="C112" s="644"/>
      <c r="D112" s="644"/>
      <c r="E112" s="644"/>
      <c r="F112" s="746"/>
      <c r="G112" s="746"/>
    </row>
    <row r="113">
      <c r="A113" s="747" t="s">
        <v>2370</v>
      </c>
      <c r="B113" s="748">
        <f>B101-B110</f>
        <v>2904145.85</v>
      </c>
      <c r="C113" s="749"/>
      <c r="D113" s="750"/>
      <c r="E113" s="750"/>
      <c r="F113" s="751"/>
      <c r="G113" s="752"/>
    </row>
    <row r="114">
      <c r="A114" s="747" t="s">
        <v>2371</v>
      </c>
      <c r="B114" s="748">
        <f>(B113/B71)*100</f>
        <v>8.424912963</v>
      </c>
      <c r="C114" s="749"/>
      <c r="D114" s="750"/>
      <c r="E114" s="750"/>
      <c r="F114" s="751"/>
      <c r="G114" s="752" t="s">
        <v>2372</v>
      </c>
    </row>
    <row r="115">
      <c r="A115" s="729"/>
      <c r="B115" s="753"/>
      <c r="C115" s="644"/>
      <c r="D115" s="643"/>
      <c r="E115" s="643"/>
      <c r="F115" s="746"/>
      <c r="G115" s="746"/>
    </row>
    <row r="116">
      <c r="A116" s="754" t="s">
        <v>2373</v>
      </c>
      <c r="B116" s="755">
        <f>1-(F81+F111)</f>
        <v>0.6535443552</v>
      </c>
      <c r="C116" s="756"/>
      <c r="D116" s="757"/>
      <c r="E116" s="757"/>
      <c r="F116" s="758"/>
      <c r="G116" s="758"/>
    </row>
    <row r="117">
      <c r="A117" s="759" t="s">
        <v>2374</v>
      </c>
      <c r="B117" s="760"/>
      <c r="C117" s="756"/>
      <c r="D117" s="757"/>
      <c r="E117" s="757"/>
      <c r="F117" s="758"/>
      <c r="G117" s="758"/>
    </row>
    <row r="118">
      <c r="A118" s="722"/>
      <c r="B118" s="761"/>
      <c r="C118" s="644"/>
      <c r="D118" s="643"/>
      <c r="E118" s="643"/>
      <c r="F118" s="746"/>
      <c r="G118" s="746"/>
    </row>
    <row r="119">
      <c r="A119" s="738" t="s">
        <v>2375</v>
      </c>
      <c r="B119" s="739">
        <f>B98/B116</f>
        <v>26624828.95</v>
      </c>
      <c r="C119" s="762"/>
      <c r="D119" s="757"/>
      <c r="E119" s="757"/>
      <c r="F119" s="758"/>
      <c r="G119" s="758"/>
    </row>
    <row r="120">
      <c r="A120" s="763" t="s">
        <v>2376</v>
      </c>
      <c r="B120" s="764"/>
      <c r="C120" s="756"/>
      <c r="D120" s="757"/>
      <c r="E120" s="757"/>
      <c r="F120" s="757"/>
      <c r="G120" s="757"/>
    </row>
    <row r="123">
      <c r="A123" s="635" t="s">
        <v>2382</v>
      </c>
      <c r="B123" s="636"/>
      <c r="C123" s="636"/>
      <c r="D123" s="636"/>
      <c r="E123" s="636"/>
      <c r="F123" s="636"/>
      <c r="G123" s="636"/>
    </row>
    <row r="124">
      <c r="A124" s="700" t="s">
        <v>2383</v>
      </c>
      <c r="B124" s="636"/>
      <c r="C124" s="636"/>
      <c r="D124" s="636"/>
      <c r="E124" s="636"/>
      <c r="F124" s="636"/>
      <c r="G124" s="636"/>
    </row>
    <row r="125">
      <c r="A125" s="639" t="s">
        <v>2329</v>
      </c>
      <c r="B125" s="639" t="s">
        <v>2330</v>
      </c>
      <c r="C125" s="639" t="s">
        <v>2331</v>
      </c>
      <c r="D125" s="639" t="s">
        <v>2332</v>
      </c>
      <c r="E125" s="639" t="s">
        <v>2333</v>
      </c>
      <c r="F125" s="640" t="s">
        <v>2334</v>
      </c>
      <c r="G125" s="640" t="s">
        <v>2335</v>
      </c>
    </row>
    <row r="126">
      <c r="A126" s="702" t="s">
        <v>2336</v>
      </c>
      <c r="B126" s="703"/>
      <c r="C126" s="703"/>
      <c r="D126" s="704"/>
      <c r="E126" s="704"/>
      <c r="F126" s="705"/>
      <c r="G126" s="705"/>
    </row>
    <row r="127">
      <c r="A127" s="706" t="s">
        <v>2337</v>
      </c>
      <c r="B127" s="706">
        <v>1.3461015E7</v>
      </c>
      <c r="C127" s="706" t="s">
        <v>38</v>
      </c>
      <c r="D127" s="706" t="s">
        <v>38</v>
      </c>
      <c r="E127" s="706" t="s">
        <v>38</v>
      </c>
      <c r="F127" s="709">
        <f>B127</f>
        <v>13461015</v>
      </c>
      <c r="G127" s="709"/>
    </row>
    <row r="128">
      <c r="A128" s="706" t="s">
        <v>2338</v>
      </c>
      <c r="B128" s="706">
        <f>1383600+1008600</f>
        <v>2392200</v>
      </c>
      <c r="C128" s="706">
        <f>B128*10%</f>
        <v>239220</v>
      </c>
      <c r="D128" s="706"/>
      <c r="E128" s="706"/>
      <c r="F128" s="709">
        <f>B128-C128</f>
        <v>2152980</v>
      </c>
      <c r="G128" s="709"/>
    </row>
    <row r="129">
      <c r="A129" s="706" t="s">
        <v>2339</v>
      </c>
      <c r="B129" s="706">
        <f>8607960+7881255+8400</f>
        <v>16497615</v>
      </c>
      <c r="C129" s="706"/>
      <c r="D129" s="706">
        <f>B129*8%</f>
        <v>1319809.2</v>
      </c>
      <c r="E129" s="707">
        <f>'CIERRE 2025'!M621</f>
        <v>280000</v>
      </c>
      <c r="F129" s="709">
        <f>B129-D129</f>
        <v>15177805.8</v>
      </c>
      <c r="G129" s="709"/>
    </row>
    <row r="130">
      <c r="A130" s="706" t="s">
        <v>2340</v>
      </c>
      <c r="B130" s="706">
        <v>1329200.0</v>
      </c>
      <c r="C130" s="706"/>
      <c r="D130" s="706"/>
      <c r="E130" s="706">
        <f>B130*50%</f>
        <v>664600</v>
      </c>
      <c r="F130" s="709">
        <f>B130-E130</f>
        <v>664600</v>
      </c>
      <c r="G130" s="709"/>
    </row>
    <row r="131">
      <c r="A131" s="706" t="s">
        <v>2341</v>
      </c>
      <c r="B131" s="706">
        <f>147250+125500+120050+185850+212250</f>
        <v>790900</v>
      </c>
      <c r="C131" s="710"/>
      <c r="D131" s="710"/>
      <c r="E131" s="710"/>
      <c r="F131" s="709">
        <f>B131</f>
        <v>790900</v>
      </c>
      <c r="G131" s="709"/>
    </row>
    <row r="132">
      <c r="A132" s="711" t="s">
        <v>2342</v>
      </c>
      <c r="B132" s="718">
        <f>SUM(B127:B131)</f>
        <v>34470930</v>
      </c>
      <c r="C132" s="713"/>
      <c r="D132" s="713"/>
      <c r="E132" s="713"/>
      <c r="F132" s="715">
        <f>SUM(F127:F131)</f>
        <v>32247300.8</v>
      </c>
      <c r="G132" s="715"/>
    </row>
    <row r="133">
      <c r="A133" s="643"/>
      <c r="B133" s="716"/>
      <c r="C133" s="716"/>
      <c r="D133" s="716"/>
      <c r="E133" s="716"/>
      <c r="F133" s="717"/>
      <c r="G133" s="717"/>
    </row>
    <row r="134">
      <c r="A134" s="639" t="s">
        <v>2329</v>
      </c>
      <c r="B134" s="639" t="s">
        <v>2343</v>
      </c>
      <c r="C134" s="639" t="s">
        <v>38</v>
      </c>
      <c r="D134" s="639" t="s">
        <v>38</v>
      </c>
      <c r="E134" s="639" t="s">
        <v>38</v>
      </c>
      <c r="F134" s="640" t="s">
        <v>2344</v>
      </c>
      <c r="G134" s="640"/>
    </row>
    <row r="135">
      <c r="A135" s="702" t="s">
        <v>2345</v>
      </c>
      <c r="B135" s="718"/>
      <c r="C135" s="718"/>
      <c r="D135" s="713"/>
      <c r="E135" s="713"/>
      <c r="F135" s="715"/>
      <c r="G135" s="715"/>
    </row>
    <row r="136">
      <c r="A136" s="706" t="s">
        <v>2346</v>
      </c>
      <c r="B136" s="706">
        <f>B75</f>
        <v>8391413.23</v>
      </c>
      <c r="C136" s="706"/>
      <c r="D136" s="706"/>
      <c r="E136" s="706"/>
      <c r="F136" s="709"/>
      <c r="G136" s="709"/>
    </row>
    <row r="137">
      <c r="A137" s="706" t="s">
        <v>2347</v>
      </c>
      <c r="B137" s="706">
        <v>250000.0</v>
      </c>
      <c r="C137" s="706"/>
      <c r="D137" s="706"/>
      <c r="E137" s="706"/>
      <c r="F137" s="709"/>
      <c r="G137" s="709"/>
    </row>
    <row r="138">
      <c r="A138" s="706" t="s">
        <v>2348</v>
      </c>
      <c r="B138" s="706">
        <f>B77</f>
        <v>477748.51</v>
      </c>
      <c r="C138" s="706"/>
      <c r="D138" s="706"/>
      <c r="E138" s="706"/>
      <c r="F138" s="709"/>
      <c r="G138" s="709"/>
    </row>
    <row r="139">
      <c r="A139" s="706" t="s">
        <v>2349</v>
      </c>
      <c r="B139" s="706">
        <v>150000.0</v>
      </c>
      <c r="C139" s="706"/>
      <c r="D139" s="706"/>
      <c r="E139" s="706"/>
      <c r="F139" s="709"/>
      <c r="G139" s="709"/>
    </row>
    <row r="140">
      <c r="A140" s="706" t="s">
        <v>2350</v>
      </c>
      <c r="B140" s="706">
        <v>80000.0</v>
      </c>
      <c r="C140" s="716"/>
      <c r="D140" s="716"/>
      <c r="E140" s="716"/>
      <c r="F140" s="717"/>
      <c r="G140" s="717"/>
    </row>
    <row r="141">
      <c r="A141" s="711" t="s">
        <v>2351</v>
      </c>
      <c r="B141" s="718">
        <f>SUM(B136:B140)</f>
        <v>9349161.74</v>
      </c>
      <c r="C141" s="720"/>
      <c r="D141" s="720"/>
      <c r="E141" s="720"/>
      <c r="F141" s="721">
        <f>(B141/B132)*100</f>
        <v>27.12187266</v>
      </c>
      <c r="G141" s="721" t="s">
        <v>2352</v>
      </c>
    </row>
    <row r="142">
      <c r="A142" s="643"/>
      <c r="B142" s="716"/>
      <c r="C142" s="716"/>
      <c r="D142" s="716"/>
      <c r="E142" s="716"/>
      <c r="F142" s="717">
        <f>B141/B132</f>
        <v>0.2712187266</v>
      </c>
      <c r="G142" s="717"/>
    </row>
    <row r="143">
      <c r="A143" s="722"/>
      <c r="B143" s="723"/>
      <c r="C143" s="716"/>
      <c r="D143" s="716"/>
      <c r="E143" s="716"/>
      <c r="F143" s="717"/>
      <c r="G143" s="717"/>
    </row>
    <row r="144">
      <c r="A144" s="724" t="s">
        <v>2353</v>
      </c>
      <c r="B144" s="725">
        <f>F132-B141</f>
        <v>22898139.06</v>
      </c>
      <c r="C144" s="726"/>
      <c r="D144" s="727"/>
      <c r="E144" s="727"/>
      <c r="F144" s="728"/>
      <c r="G144" s="728"/>
    </row>
    <row r="145">
      <c r="A145" s="729"/>
      <c r="B145" s="730"/>
      <c r="C145" s="716"/>
      <c r="D145" s="731"/>
      <c r="E145" s="731"/>
      <c r="F145" s="717"/>
      <c r="G145" s="717"/>
    </row>
    <row r="146">
      <c r="A146" s="639" t="s">
        <v>2329</v>
      </c>
      <c r="B146" s="639" t="s">
        <v>2343</v>
      </c>
      <c r="C146" s="639" t="s">
        <v>38</v>
      </c>
      <c r="D146" s="639" t="s">
        <v>38</v>
      </c>
      <c r="E146" s="639" t="s">
        <v>38</v>
      </c>
      <c r="F146" s="640" t="s">
        <v>2344</v>
      </c>
      <c r="G146" s="640"/>
    </row>
    <row r="147">
      <c r="A147" s="702" t="s">
        <v>187</v>
      </c>
      <c r="B147" s="718"/>
      <c r="C147" s="718"/>
      <c r="D147" s="713"/>
      <c r="E147" s="713"/>
      <c r="F147" s="715"/>
      <c r="G147" s="715"/>
    </row>
    <row r="148">
      <c r="A148" s="706" t="s">
        <v>2354</v>
      </c>
      <c r="B148" s="706">
        <f t="shared" ref="B148:B149" si="1">B87</f>
        <v>1668000</v>
      </c>
      <c r="C148" s="706"/>
      <c r="D148" s="706"/>
      <c r="E148" s="706"/>
      <c r="F148" s="709"/>
      <c r="G148" s="709"/>
    </row>
    <row r="149">
      <c r="A149" s="706" t="s">
        <v>194</v>
      </c>
      <c r="B149" s="706">
        <f t="shared" si="1"/>
        <v>78850</v>
      </c>
      <c r="C149" s="706"/>
      <c r="D149" s="706"/>
      <c r="E149" s="706"/>
      <c r="F149" s="709"/>
      <c r="G149" s="709"/>
    </row>
    <row r="150">
      <c r="A150" s="706" t="s">
        <v>2378</v>
      </c>
      <c r="B150" s="706">
        <f>8500000+514000</f>
        <v>9014000</v>
      </c>
      <c r="C150" s="706"/>
      <c r="D150" s="706"/>
      <c r="E150" s="706"/>
      <c r="F150" s="709"/>
      <c r="G150" s="709"/>
    </row>
    <row r="151">
      <c r="A151" s="706" t="s">
        <v>2379</v>
      </c>
      <c r="B151" s="706"/>
      <c r="C151" s="706"/>
      <c r="D151" s="706"/>
      <c r="E151" s="706"/>
      <c r="F151" s="709"/>
      <c r="G151" s="709"/>
    </row>
    <row r="152">
      <c r="A152" s="706" t="s">
        <v>2380</v>
      </c>
      <c r="B152" s="706">
        <f>B91-350000</f>
        <v>1008767.1</v>
      </c>
      <c r="C152" s="706"/>
      <c r="D152" s="706"/>
      <c r="E152" s="706"/>
      <c r="F152" s="709"/>
      <c r="G152" s="709"/>
    </row>
    <row r="153">
      <c r="A153" s="706" t="s">
        <v>2358</v>
      </c>
      <c r="B153" s="732">
        <f t="shared" ref="B153:B158" si="2">B92</f>
        <v>925350.7</v>
      </c>
      <c r="C153" s="706"/>
      <c r="D153" s="706"/>
      <c r="E153" s="706"/>
      <c r="F153" s="709"/>
      <c r="G153" s="709"/>
    </row>
    <row r="154">
      <c r="A154" s="706" t="s">
        <v>2359</v>
      </c>
      <c r="B154" s="706">
        <f t="shared" si="2"/>
        <v>64805.41</v>
      </c>
      <c r="C154" s="716"/>
      <c r="D154" s="716"/>
      <c r="E154" s="716"/>
      <c r="F154" s="717"/>
      <c r="G154" s="717"/>
    </row>
    <row r="155">
      <c r="A155" s="706" t="s">
        <v>2360</v>
      </c>
      <c r="B155" s="706">
        <f t="shared" si="2"/>
        <v>64082.92</v>
      </c>
      <c r="C155" s="716"/>
      <c r="D155" s="716"/>
      <c r="E155" s="716"/>
      <c r="F155" s="717"/>
      <c r="G155" s="717"/>
    </row>
    <row r="156">
      <c r="A156" s="706" t="s">
        <v>2361</v>
      </c>
      <c r="B156" s="706">
        <f t="shared" si="2"/>
        <v>133820.81</v>
      </c>
      <c r="C156" s="716"/>
      <c r="D156" s="716"/>
      <c r="E156" s="716"/>
      <c r="F156" s="717"/>
      <c r="G156" s="717"/>
    </row>
    <row r="157">
      <c r="A157" s="706" t="s">
        <v>2362</v>
      </c>
      <c r="B157" s="706">
        <f t="shared" si="2"/>
        <v>84785.15</v>
      </c>
      <c r="C157" s="716"/>
      <c r="D157" s="716"/>
      <c r="E157" s="716"/>
      <c r="F157" s="717"/>
      <c r="G157" s="717"/>
    </row>
    <row r="158">
      <c r="A158" s="706" t="s">
        <v>2363</v>
      </c>
      <c r="B158" s="706">
        <f t="shared" si="2"/>
        <v>142000</v>
      </c>
      <c r="C158" s="716"/>
      <c r="D158" s="716"/>
      <c r="E158" s="716"/>
      <c r="F158" s="717"/>
      <c r="G158" s="717"/>
    </row>
    <row r="159">
      <c r="A159" s="711" t="s">
        <v>2364</v>
      </c>
      <c r="B159" s="718">
        <f>SUM(B148:B157)</f>
        <v>13042462.09</v>
      </c>
      <c r="C159" s="734"/>
      <c r="D159" s="734"/>
      <c r="E159" s="734"/>
      <c r="F159" s="735">
        <f>B159</f>
        <v>13042462.09</v>
      </c>
      <c r="G159" s="735"/>
    </row>
    <row r="160">
      <c r="A160" s="736"/>
      <c r="B160" s="737"/>
      <c r="C160" s="734"/>
      <c r="D160" s="734"/>
      <c r="E160" s="734"/>
      <c r="F160" s="735">
        <f>B159/B132</f>
        <v>0.3783611898</v>
      </c>
      <c r="G160" s="735"/>
    </row>
    <row r="161">
      <c r="A161" s="722"/>
      <c r="B161" s="723"/>
      <c r="C161" s="716"/>
      <c r="D161" s="716"/>
      <c r="E161" s="716"/>
      <c r="F161" s="717"/>
      <c r="G161" s="717"/>
    </row>
    <row r="162">
      <c r="A162" s="738" t="s">
        <v>2365</v>
      </c>
      <c r="B162" s="739">
        <f>B144-B159</f>
        <v>9855676.97</v>
      </c>
      <c r="C162" s="740"/>
      <c r="D162" s="741"/>
      <c r="E162" s="741"/>
      <c r="F162" s="742"/>
      <c r="G162" s="742"/>
    </row>
    <row r="163">
      <c r="A163" s="729"/>
      <c r="B163" s="730"/>
      <c r="C163" s="716"/>
      <c r="D163" s="731"/>
      <c r="E163" s="731"/>
      <c r="F163" s="717"/>
      <c r="G163" s="717"/>
    </row>
    <row r="164">
      <c r="A164" s="639" t="s">
        <v>2329</v>
      </c>
      <c r="B164" s="639" t="s">
        <v>2343</v>
      </c>
      <c r="C164" s="639" t="s">
        <v>38</v>
      </c>
      <c r="D164" s="639" t="s">
        <v>38</v>
      </c>
      <c r="E164" s="639" t="s">
        <v>38</v>
      </c>
      <c r="F164" s="640" t="s">
        <v>2344</v>
      </c>
      <c r="G164" s="640"/>
    </row>
    <row r="165">
      <c r="A165" s="702" t="s">
        <v>2366</v>
      </c>
      <c r="B165" s="718"/>
      <c r="C165" s="718"/>
      <c r="D165" s="713"/>
      <c r="E165" s="713"/>
      <c r="F165" s="715"/>
      <c r="G165" s="715"/>
    </row>
    <row r="166">
      <c r="A166" s="706" t="s">
        <v>2300</v>
      </c>
      <c r="B166" s="706">
        <v>100000.0</v>
      </c>
      <c r="C166" s="706" t="s">
        <v>2381</v>
      </c>
      <c r="D166" s="706"/>
      <c r="E166" s="706"/>
      <c r="F166" s="709"/>
      <c r="G166" s="709"/>
    </row>
    <row r="167">
      <c r="A167" s="706" t="s">
        <v>206</v>
      </c>
      <c r="B167" s="706">
        <v>1500000.0</v>
      </c>
      <c r="C167" s="706" t="s">
        <v>2381</v>
      </c>
      <c r="D167" s="706"/>
      <c r="E167" s="706"/>
      <c r="F167" s="709"/>
      <c r="G167" s="709"/>
    </row>
    <row r="168">
      <c r="A168" s="706" t="s">
        <v>2367</v>
      </c>
      <c r="B168" s="706">
        <f>B107</f>
        <v>901550.45</v>
      </c>
      <c r="C168" s="706"/>
      <c r="D168" s="706"/>
      <c r="E168" s="706"/>
      <c r="F168" s="709"/>
      <c r="G168" s="709"/>
    </row>
    <row r="169">
      <c r="A169" s="706" t="s">
        <v>2384</v>
      </c>
      <c r="B169" s="706">
        <v>1200000.0</v>
      </c>
      <c r="C169" s="706"/>
      <c r="D169" s="706"/>
      <c r="E169" s="706"/>
      <c r="F169" s="709"/>
      <c r="G169" s="709"/>
    </row>
    <row r="170">
      <c r="A170" s="706" t="s">
        <v>2299</v>
      </c>
      <c r="B170" s="706">
        <f t="shared" ref="B170:B171" si="3">B108</f>
        <v>54736</v>
      </c>
      <c r="C170" s="706"/>
      <c r="D170" s="706"/>
      <c r="E170" s="706"/>
      <c r="F170" s="709"/>
      <c r="G170" s="709"/>
    </row>
    <row r="171">
      <c r="A171" s="706" t="s">
        <v>2368</v>
      </c>
      <c r="B171" s="706">
        <f t="shared" si="3"/>
        <v>142499.15</v>
      </c>
      <c r="C171" s="706"/>
      <c r="D171" s="706"/>
      <c r="E171" s="706"/>
      <c r="F171" s="709"/>
      <c r="G171" s="709"/>
    </row>
    <row r="172">
      <c r="A172" s="711" t="s">
        <v>2369</v>
      </c>
      <c r="B172" s="718">
        <f>SUM(B166:B171)</f>
        <v>3898785.6</v>
      </c>
      <c r="C172" s="743"/>
      <c r="D172" s="743"/>
      <c r="E172" s="743"/>
      <c r="F172" s="744">
        <f>B172</f>
        <v>3898785.6</v>
      </c>
      <c r="G172" s="744"/>
    </row>
    <row r="173">
      <c r="A173" s="711"/>
      <c r="B173" s="718"/>
      <c r="C173" s="743"/>
      <c r="D173" s="743"/>
      <c r="E173" s="743"/>
      <c r="F173" s="744">
        <f>B172/B132</f>
        <v>0.1131035803</v>
      </c>
      <c r="G173" s="744"/>
    </row>
    <row r="174">
      <c r="A174" s="722"/>
      <c r="B174" s="745"/>
      <c r="C174" s="644"/>
      <c r="D174" s="644"/>
      <c r="E174" s="644"/>
      <c r="F174" s="746"/>
      <c r="G174" s="746"/>
    </row>
    <row r="175">
      <c r="A175" s="747" t="s">
        <v>2370</v>
      </c>
      <c r="B175" s="748">
        <f>B162-B172</f>
        <v>5956891.37</v>
      </c>
      <c r="C175" s="749"/>
      <c r="D175" s="750"/>
      <c r="E175" s="750"/>
      <c r="F175" s="751"/>
      <c r="G175" s="752"/>
    </row>
    <row r="176">
      <c r="A176" s="747" t="s">
        <v>2371</v>
      </c>
      <c r="B176" s="748">
        <f>(B175/B132)*100</f>
        <v>17.28091284</v>
      </c>
      <c r="C176" s="749"/>
      <c r="D176" s="750"/>
      <c r="E176" s="750"/>
      <c r="F176" s="751"/>
      <c r="G176" s="752" t="s">
        <v>2372</v>
      </c>
    </row>
    <row r="177">
      <c r="A177" s="729"/>
      <c r="B177" s="753"/>
      <c r="C177" s="644"/>
      <c r="D177" s="643"/>
      <c r="E177" s="643"/>
      <c r="F177" s="746"/>
      <c r="G177" s="746"/>
    </row>
    <row r="178">
      <c r="A178" s="754" t="s">
        <v>2373</v>
      </c>
      <c r="B178" s="755">
        <f>1-(F142+F173)</f>
        <v>0.6156776931</v>
      </c>
      <c r="C178" s="756"/>
      <c r="D178" s="757"/>
      <c r="E178" s="757"/>
      <c r="F178" s="758"/>
      <c r="G178" s="758"/>
    </row>
    <row r="179">
      <c r="A179" s="759" t="s">
        <v>2374</v>
      </c>
      <c r="B179" s="760"/>
      <c r="C179" s="756"/>
      <c r="D179" s="757"/>
      <c r="E179" s="757"/>
      <c r="F179" s="758"/>
      <c r="G179" s="758"/>
    </row>
    <row r="180">
      <c r="A180" s="722"/>
      <c r="B180" s="761"/>
      <c r="C180" s="644"/>
      <c r="D180" s="643"/>
      <c r="E180" s="643"/>
      <c r="F180" s="746"/>
      <c r="G180" s="746"/>
    </row>
    <row r="181">
      <c r="A181" s="738" t="s">
        <v>2375</v>
      </c>
      <c r="B181" s="739">
        <f>B159/B178</f>
        <v>21183912.03</v>
      </c>
      <c r="C181" s="762"/>
      <c r="D181" s="757"/>
      <c r="E181" s="757"/>
      <c r="F181" s="758"/>
      <c r="G181" s="758"/>
    </row>
    <row r="182">
      <c r="A182" s="763" t="s">
        <v>2376</v>
      </c>
      <c r="B182" s="764"/>
      <c r="C182" s="756"/>
      <c r="D182" s="757"/>
      <c r="E182" s="757"/>
      <c r="F182" s="757"/>
      <c r="G182" s="757"/>
    </row>
    <row r="190">
      <c r="A190" s="635" t="s">
        <v>51</v>
      </c>
      <c r="B190" s="636"/>
      <c r="C190" s="636"/>
      <c r="D190" s="636"/>
      <c r="E190" s="636"/>
      <c r="F190" s="636"/>
      <c r="G190" s="636"/>
    </row>
    <row r="191">
      <c r="A191" s="700" t="s">
        <v>2385</v>
      </c>
      <c r="B191" s="636"/>
      <c r="C191" s="636"/>
      <c r="D191" s="636"/>
      <c r="E191" s="636"/>
      <c r="F191" s="636"/>
      <c r="G191" s="636"/>
    </row>
    <row r="192">
      <c r="A192" s="639" t="s">
        <v>2329</v>
      </c>
      <c r="B192" s="639" t="s">
        <v>2330</v>
      </c>
      <c r="C192" s="639" t="s">
        <v>2331</v>
      </c>
      <c r="D192" s="639" t="s">
        <v>2332</v>
      </c>
      <c r="E192" s="639" t="s">
        <v>2333</v>
      </c>
      <c r="F192" s="640" t="s">
        <v>2334</v>
      </c>
      <c r="G192" s="640" t="s">
        <v>2335</v>
      </c>
    </row>
    <row r="193">
      <c r="A193" s="702" t="s">
        <v>2336</v>
      </c>
      <c r="B193" s="703"/>
      <c r="C193" s="703"/>
      <c r="D193" s="704"/>
      <c r="E193" s="704"/>
      <c r="F193" s="705"/>
      <c r="G193" s="705"/>
    </row>
    <row r="194">
      <c r="A194" s="706" t="s">
        <v>2337</v>
      </c>
      <c r="B194" s="707">
        <f>'CIERRE 2025'!L658</f>
        <v>11195109</v>
      </c>
      <c r="C194" s="706" t="s">
        <v>38</v>
      </c>
      <c r="D194" s="706" t="s">
        <v>38</v>
      </c>
      <c r="E194" s="706" t="s">
        <v>38</v>
      </c>
      <c r="F194" s="708">
        <f>B194</f>
        <v>11195109</v>
      </c>
      <c r="G194" s="709"/>
    </row>
    <row r="195">
      <c r="A195" s="706" t="s">
        <v>2338</v>
      </c>
      <c r="B195" s="707">
        <f>'CIERRE 2025'!G658</f>
        <v>6528225</v>
      </c>
      <c r="C195" s="706">
        <f>B195*10%</f>
        <v>652822.5</v>
      </c>
      <c r="D195" s="706"/>
      <c r="E195" s="706"/>
      <c r="F195" s="708">
        <f>B195-C195</f>
        <v>5875402.5</v>
      </c>
      <c r="G195" s="709"/>
    </row>
    <row r="196">
      <c r="A196" s="706" t="s">
        <v>2339</v>
      </c>
      <c r="B196" s="707">
        <f>'CIERRE 2025'!K658</f>
        <v>10122608</v>
      </c>
      <c r="C196" s="706"/>
      <c r="D196" s="706">
        <f>B196*8%</f>
        <v>809808.64</v>
      </c>
      <c r="E196" s="707" t="str">
        <f>'CIERRE 2025'!M688</f>
        <v/>
      </c>
      <c r="F196" s="708">
        <f>B196-D196</f>
        <v>9312799.36</v>
      </c>
      <c r="G196" s="709"/>
    </row>
    <row r="197">
      <c r="A197" s="706" t="s">
        <v>2340</v>
      </c>
      <c r="B197" s="707">
        <f>'CIERRE 2025'!H658</f>
        <v>3614650</v>
      </c>
      <c r="C197" s="706"/>
      <c r="D197" s="706"/>
      <c r="E197" s="706">
        <f>B197*50%</f>
        <v>1807325</v>
      </c>
      <c r="F197" s="708">
        <f>B197-E197</f>
        <v>1807325</v>
      </c>
      <c r="G197" s="709"/>
    </row>
    <row r="198">
      <c r="A198" s="706" t="s">
        <v>2386</v>
      </c>
      <c r="B198" s="706">
        <v>571422.0</v>
      </c>
      <c r="C198" s="710"/>
      <c r="D198" s="710"/>
      <c r="E198" s="710"/>
      <c r="F198" s="709">
        <f>B198</f>
        <v>571422</v>
      </c>
      <c r="G198" s="709"/>
    </row>
    <row r="199">
      <c r="A199" s="711" t="s">
        <v>2342</v>
      </c>
      <c r="B199" s="712">
        <f>SUM(B194:B198)</f>
        <v>32032014</v>
      </c>
      <c r="C199" s="713"/>
      <c r="D199" s="713"/>
      <c r="E199" s="713"/>
      <c r="F199" s="714">
        <f>SUM(F194:F198)</f>
        <v>28762057.86</v>
      </c>
      <c r="G199" s="715"/>
    </row>
    <row r="200">
      <c r="A200" s="643"/>
      <c r="B200" s="716"/>
      <c r="C200" s="716"/>
      <c r="D200" s="716"/>
      <c r="E200" s="716"/>
      <c r="F200" s="717"/>
      <c r="G200" s="717"/>
    </row>
    <row r="201">
      <c r="A201" s="639" t="s">
        <v>2329</v>
      </c>
      <c r="B201" s="639" t="s">
        <v>2343</v>
      </c>
      <c r="C201" s="639" t="s">
        <v>38</v>
      </c>
      <c r="D201" s="639" t="s">
        <v>38</v>
      </c>
      <c r="E201" s="639" t="s">
        <v>38</v>
      </c>
      <c r="F201" s="640" t="s">
        <v>2344</v>
      </c>
      <c r="G201" s="640"/>
    </row>
    <row r="202">
      <c r="A202" s="702" t="s">
        <v>2345</v>
      </c>
      <c r="B202" s="718"/>
      <c r="C202" s="718"/>
      <c r="D202" s="713"/>
      <c r="E202" s="713"/>
      <c r="F202" s="715"/>
      <c r="G202" s="715"/>
    </row>
    <row r="203">
      <c r="A203" s="706" t="s">
        <v>2346</v>
      </c>
      <c r="B203" s="706">
        <f>'VICKY VERDURA'!K14+QUINTELA!N14+'LA SERENISIMA'!K13+'POLLO MIGUEL'!K14+'HEREFORD PAMPA'!K14+'PORTO ESPRESO'!K14+MANTECA!K14+CRIOLLO!L14+'HARINA DEL ROSARIO'!K14+MESSIAN!K14+MILKAUT!K13+CUYAIRES!K14+SEMAS!K14+HIELO!K13+HUEVO!K14+PANIZZA!K13+VITALCER!K13+'TUTTO FARRA'!K13+'LA BOTICA DEL PASTELERO'!K14</f>
        <v>8434943.95</v>
      </c>
      <c r="C203" s="706"/>
      <c r="D203" s="706"/>
      <c r="E203" s="706"/>
      <c r="F203" s="709"/>
      <c r="G203" s="709"/>
    </row>
    <row r="204">
      <c r="A204" s="706" t="s">
        <v>2347</v>
      </c>
      <c r="B204" s="706">
        <f>ORMAZABAL!K16</f>
        <v>537998.36</v>
      </c>
      <c r="C204" s="706"/>
      <c r="D204" s="706"/>
      <c r="E204" s="706"/>
      <c r="F204" s="709"/>
      <c r="G204" s="709"/>
    </row>
    <row r="205">
      <c r="A205" s="706" t="s">
        <v>2348</v>
      </c>
      <c r="B205" s="706">
        <f>'KEVIN COCA'!K13</f>
        <v>399200</v>
      </c>
      <c r="C205" s="706"/>
      <c r="D205" s="706"/>
      <c r="E205" s="706"/>
      <c r="F205" s="709"/>
      <c r="G205" s="709"/>
    </row>
    <row r="206">
      <c r="A206" s="706" t="s">
        <v>2349</v>
      </c>
      <c r="B206" s="706">
        <f>'DISTRIB LJ'!K14</f>
        <v>172370</v>
      </c>
      <c r="C206" s="706"/>
      <c r="D206" s="706"/>
      <c r="E206" s="706"/>
      <c r="F206" s="709"/>
      <c r="G206" s="709"/>
    </row>
    <row r="207">
      <c r="A207" s="706" t="s">
        <v>2387</v>
      </c>
      <c r="B207" s="719">
        <f>'DICIEMBRE 25'!B188</f>
        <v>223467.76</v>
      </c>
      <c r="C207" s="716"/>
      <c r="D207" s="716"/>
      <c r="E207" s="716"/>
      <c r="F207" s="717"/>
      <c r="G207" s="717"/>
    </row>
    <row r="208">
      <c r="A208" s="711" t="s">
        <v>2351</v>
      </c>
      <c r="B208" s="718">
        <f>SUM(B203:B207)</f>
        <v>9767980.07</v>
      </c>
      <c r="C208" s="720"/>
      <c r="D208" s="720"/>
      <c r="E208" s="720"/>
      <c r="F208" s="721">
        <f>(B208/B199)*100</f>
        <v>30.49442995</v>
      </c>
      <c r="G208" s="721" t="s">
        <v>2352</v>
      </c>
    </row>
    <row r="209">
      <c r="A209" s="643"/>
      <c r="B209" s="716"/>
      <c r="C209" s="716"/>
      <c r="D209" s="716"/>
      <c r="E209" s="716"/>
      <c r="F209" s="717">
        <f>B208/B199</f>
        <v>0.3049442995</v>
      </c>
      <c r="G209" s="717"/>
    </row>
    <row r="210">
      <c r="A210" s="722"/>
      <c r="B210" s="723"/>
      <c r="C210" s="716"/>
      <c r="D210" s="716"/>
      <c r="E210" s="716"/>
      <c r="F210" s="717"/>
      <c r="G210" s="717"/>
    </row>
    <row r="211">
      <c r="A211" s="724" t="s">
        <v>2353</v>
      </c>
      <c r="B211" s="725">
        <f>F199-B208</f>
        <v>18994077.79</v>
      </c>
      <c r="C211" s="726"/>
      <c r="D211" s="727"/>
      <c r="E211" s="727"/>
      <c r="F211" s="728"/>
      <c r="G211" s="728"/>
    </row>
    <row r="212">
      <c r="A212" s="729"/>
      <c r="B212" s="730"/>
      <c r="C212" s="716"/>
      <c r="D212" s="731"/>
      <c r="E212" s="731"/>
      <c r="F212" s="717"/>
      <c r="G212" s="717"/>
    </row>
    <row r="213">
      <c r="A213" s="639" t="s">
        <v>2329</v>
      </c>
      <c r="B213" s="639" t="s">
        <v>2343</v>
      </c>
      <c r="C213" s="639" t="s">
        <v>38</v>
      </c>
      <c r="D213" s="639" t="s">
        <v>38</v>
      </c>
      <c r="E213" s="639" t="s">
        <v>38</v>
      </c>
      <c r="F213" s="640" t="s">
        <v>2344</v>
      </c>
      <c r="G213" s="640"/>
    </row>
    <row r="214">
      <c r="A214" s="702" t="s">
        <v>187</v>
      </c>
      <c r="B214" s="718"/>
      <c r="C214" s="718"/>
      <c r="D214" s="713"/>
      <c r="E214" s="713"/>
      <c r="F214" s="715"/>
      <c r="G214" s="715"/>
    </row>
    <row r="215">
      <c r="A215" s="706" t="s">
        <v>2354</v>
      </c>
      <c r="B215" s="706">
        <f>'GASTOS FIJOS 2025'!D253+'GASTOS FIJOS 2025'!D254</f>
        <v>1668000</v>
      </c>
      <c r="C215" s="706"/>
      <c r="D215" s="706"/>
      <c r="E215" s="706"/>
      <c r="F215" s="709"/>
      <c r="G215" s="709"/>
    </row>
    <row r="216">
      <c r="A216" s="706" t="s">
        <v>194</v>
      </c>
      <c r="B216" s="706"/>
      <c r="C216" s="706"/>
      <c r="D216" s="706"/>
      <c r="E216" s="706"/>
      <c r="F216" s="709"/>
      <c r="G216" s="709"/>
    </row>
    <row r="217">
      <c r="A217" s="706" t="s">
        <v>2378</v>
      </c>
      <c r="B217" s="706">
        <v>1.0905357E7</v>
      </c>
      <c r="C217" s="706"/>
      <c r="D217" s="706"/>
      <c r="E217" s="706"/>
      <c r="F217" s="709"/>
      <c r="G217" s="709"/>
    </row>
    <row r="218">
      <c r="A218" s="706" t="s">
        <v>2388</v>
      </c>
      <c r="B218" s="732">
        <f>'DICIEMBRE 25'!C188</f>
        <v>721000</v>
      </c>
      <c r="C218" s="706"/>
      <c r="D218" s="706"/>
      <c r="E218" s="706"/>
      <c r="F218" s="709"/>
      <c r="G218" s="709"/>
    </row>
    <row r="219">
      <c r="A219" s="706" t="s">
        <v>2380</v>
      </c>
      <c r="B219" s="706">
        <f>'GASTOS FIJOS 2025'!D259</f>
        <v>880057.6</v>
      </c>
      <c r="C219" s="706"/>
      <c r="D219" s="706"/>
      <c r="E219" s="706"/>
      <c r="F219" s="709"/>
      <c r="G219" s="709"/>
    </row>
    <row r="220">
      <c r="A220" s="706" t="s">
        <v>2358</v>
      </c>
      <c r="B220" s="706">
        <f>'GASTOS FIJOS 2025'!D241+'GASTOS FIJOS 2025'!D243+'GASTOS FIJOS 2025'!D244+'GASTOS FIJOS 2025'!D245+'GASTOS FIJOS 2025'!D246</f>
        <v>890818.74</v>
      </c>
      <c r="C220" s="706"/>
      <c r="D220" s="706"/>
      <c r="E220" s="706"/>
      <c r="F220" s="709"/>
      <c r="G220" s="709"/>
    </row>
    <row r="221">
      <c r="A221" s="706" t="s">
        <v>2359</v>
      </c>
      <c r="B221" s="706">
        <f>'GASTOS FIJOS 2025'!D249+'GASTOS FIJOS 2025'!D248+'GASTOS FIJOS 2025'!D247</f>
        <v>64805.41</v>
      </c>
      <c r="C221" s="716"/>
      <c r="D221" s="716"/>
      <c r="E221" s="716"/>
      <c r="F221" s="717"/>
      <c r="G221" s="717"/>
    </row>
    <row r="222">
      <c r="A222" s="706" t="s">
        <v>2389</v>
      </c>
      <c r="B222" s="706">
        <f>'GASTOS FIJOS 2025'!D250</f>
        <v>135855.78</v>
      </c>
      <c r="C222" s="716"/>
      <c r="D222" s="716"/>
      <c r="E222" s="716"/>
      <c r="F222" s="717"/>
      <c r="G222" s="717"/>
    </row>
    <row r="223">
      <c r="A223" s="706" t="s">
        <v>2390</v>
      </c>
      <c r="B223" s="706">
        <f>'GASTOS FIJOS 2025'!D251</f>
        <v>148541.1</v>
      </c>
      <c r="C223" s="716"/>
      <c r="D223" s="716"/>
      <c r="E223" s="716"/>
      <c r="F223" s="717"/>
      <c r="G223" s="717"/>
    </row>
    <row r="224">
      <c r="A224" s="706" t="s">
        <v>2362</v>
      </c>
      <c r="B224" s="706"/>
      <c r="C224" s="716"/>
      <c r="D224" s="716"/>
      <c r="E224" s="716"/>
      <c r="F224" s="717"/>
      <c r="G224" s="717"/>
    </row>
    <row r="225">
      <c r="A225" s="706" t="s">
        <v>2363</v>
      </c>
      <c r="B225" s="706">
        <f>'GASTOS FIJOS 2025'!D257</f>
        <v>143500</v>
      </c>
      <c r="C225" s="716"/>
      <c r="D225" s="716"/>
      <c r="E225" s="716"/>
      <c r="F225" s="717"/>
      <c r="G225" s="717"/>
    </row>
    <row r="226">
      <c r="A226" s="711" t="s">
        <v>2364</v>
      </c>
      <c r="B226" s="718">
        <f>SUM(B215:B224)</f>
        <v>15414435.63</v>
      </c>
      <c r="C226" s="734"/>
      <c r="D226" s="734"/>
      <c r="E226" s="734"/>
      <c r="F226" s="735">
        <f>B226</f>
        <v>15414435.63</v>
      </c>
      <c r="G226" s="735"/>
    </row>
    <row r="227">
      <c r="A227" s="736"/>
      <c r="B227" s="737"/>
      <c r="C227" s="734"/>
      <c r="D227" s="734"/>
      <c r="E227" s="734"/>
      <c r="F227" s="735">
        <f>B226/B199</f>
        <v>0.4812196832</v>
      </c>
      <c r="G227" s="735"/>
    </row>
    <row r="228">
      <c r="A228" s="722"/>
      <c r="B228" s="723"/>
      <c r="C228" s="716"/>
      <c r="D228" s="716"/>
      <c r="E228" s="716"/>
      <c r="F228" s="717"/>
      <c r="G228" s="717"/>
    </row>
    <row r="229">
      <c r="A229" s="738" t="s">
        <v>2365</v>
      </c>
      <c r="B229" s="739">
        <f>B211-B226</f>
        <v>3579642.16</v>
      </c>
      <c r="C229" s="740"/>
      <c r="D229" s="741"/>
      <c r="E229" s="741"/>
      <c r="F229" s="742"/>
      <c r="G229" s="742"/>
    </row>
    <row r="230">
      <c r="A230" s="729"/>
      <c r="B230" s="730"/>
      <c r="C230" s="716"/>
      <c r="D230" s="731"/>
      <c r="E230" s="731"/>
      <c r="F230" s="717"/>
      <c r="G230" s="717"/>
    </row>
    <row r="231">
      <c r="A231" s="639" t="s">
        <v>2329</v>
      </c>
      <c r="B231" s="639" t="s">
        <v>2343</v>
      </c>
      <c r="C231" s="639" t="s">
        <v>38</v>
      </c>
      <c r="D231" s="639" t="s">
        <v>38</v>
      </c>
      <c r="E231" s="639" t="s">
        <v>38</v>
      </c>
      <c r="F231" s="640" t="s">
        <v>2344</v>
      </c>
      <c r="G231" s="640"/>
    </row>
    <row r="232">
      <c r="A232" s="702" t="s">
        <v>2366</v>
      </c>
      <c r="B232" s="718"/>
      <c r="C232" s="718"/>
      <c r="D232" s="713"/>
      <c r="E232" s="713"/>
      <c r="F232" s="715"/>
      <c r="G232" s="715"/>
    </row>
    <row r="233">
      <c r="A233" s="706" t="s">
        <v>2300</v>
      </c>
      <c r="B233" s="706"/>
      <c r="C233" s="706" t="s">
        <v>2381</v>
      </c>
      <c r="D233" s="706"/>
      <c r="E233" s="706"/>
      <c r="F233" s="709"/>
      <c r="G233" s="709"/>
    </row>
    <row r="234">
      <c r="A234" s="706" t="s">
        <v>206</v>
      </c>
      <c r="B234" s="706"/>
      <c r="C234" s="706" t="s">
        <v>2381</v>
      </c>
      <c r="D234" s="706"/>
      <c r="E234" s="706"/>
      <c r="F234" s="709"/>
      <c r="G234" s="709"/>
    </row>
    <row r="235">
      <c r="A235" s="706" t="s">
        <v>2391</v>
      </c>
      <c r="B235" s="706">
        <f>'GASTOS FIJOS 2025'!D264+'GASTOS FIJOS 2025'!D265</f>
        <v>2108090.88</v>
      </c>
      <c r="C235" s="706"/>
      <c r="D235" s="706"/>
      <c r="E235" s="706"/>
      <c r="F235" s="709"/>
      <c r="G235" s="709"/>
    </row>
    <row r="236">
      <c r="A236" s="706" t="s">
        <v>2299</v>
      </c>
      <c r="B236" s="706">
        <f>'GASTOS FIJOS 2025'!D267</f>
        <v>54736</v>
      </c>
      <c r="C236" s="706"/>
      <c r="D236" s="706"/>
      <c r="E236" s="706"/>
      <c r="F236" s="709"/>
      <c r="G236" s="709"/>
    </row>
    <row r="237">
      <c r="A237" s="706" t="s">
        <v>2368</v>
      </c>
      <c r="B237" s="706">
        <f>'GASTOS FIJOS 2025'!D266</f>
        <v>142499.15</v>
      </c>
      <c r="C237" s="706"/>
      <c r="D237" s="706"/>
      <c r="E237" s="706"/>
      <c r="F237" s="709"/>
      <c r="G237" s="709"/>
    </row>
    <row r="238">
      <c r="A238" s="711" t="s">
        <v>2369</v>
      </c>
      <c r="B238" s="718">
        <f>SUM(B233:B237)</f>
        <v>2305326.03</v>
      </c>
      <c r="C238" s="743"/>
      <c r="D238" s="743"/>
      <c r="E238" s="743"/>
      <c r="F238" s="744">
        <f>B238</f>
        <v>2305326.03</v>
      </c>
      <c r="G238" s="744"/>
    </row>
    <row r="239">
      <c r="A239" s="711"/>
      <c r="B239" s="718"/>
      <c r="C239" s="743"/>
      <c r="D239" s="743"/>
      <c r="E239" s="743"/>
      <c r="F239" s="744">
        <f>B238/B199</f>
        <v>0.07196943751</v>
      </c>
      <c r="G239" s="744"/>
    </row>
    <row r="240">
      <c r="A240" s="722"/>
      <c r="B240" s="745"/>
      <c r="C240" s="644"/>
      <c r="D240" s="644"/>
      <c r="E240" s="644"/>
      <c r="F240" s="746"/>
      <c r="G240" s="746"/>
    </row>
    <row r="241">
      <c r="A241" s="747" t="s">
        <v>2370</v>
      </c>
      <c r="B241" s="748">
        <f>B229-B238</f>
        <v>1274316.13</v>
      </c>
      <c r="C241" s="749"/>
      <c r="D241" s="750"/>
      <c r="E241" s="750"/>
      <c r="F241" s="751"/>
      <c r="G241" s="752"/>
    </row>
    <row r="242">
      <c r="A242" s="747" t="s">
        <v>2371</v>
      </c>
      <c r="B242" s="748">
        <f>(B241/B199)*100</f>
        <v>3.978257908</v>
      </c>
      <c r="C242" s="749"/>
      <c r="D242" s="750"/>
      <c r="E242" s="750"/>
      <c r="F242" s="751"/>
      <c r="G242" s="752" t="s">
        <v>2372</v>
      </c>
    </row>
    <row r="243">
      <c r="A243" s="729"/>
      <c r="B243" s="753"/>
      <c r="C243" s="644"/>
      <c r="D243" s="643"/>
      <c r="E243" s="643"/>
      <c r="F243" s="746"/>
      <c r="G243" s="746"/>
    </row>
    <row r="244">
      <c r="A244" s="754" t="s">
        <v>2373</v>
      </c>
      <c r="B244" s="755">
        <f>1-(F209+F239)</f>
        <v>0.623086263</v>
      </c>
      <c r="C244" s="756"/>
      <c r="D244" s="757"/>
      <c r="E244" s="757"/>
      <c r="F244" s="758"/>
      <c r="G244" s="758"/>
    </row>
    <row r="245">
      <c r="A245" s="759" t="s">
        <v>2374</v>
      </c>
      <c r="B245" s="760"/>
      <c r="C245" s="756"/>
      <c r="D245" s="757"/>
      <c r="E245" s="757"/>
      <c r="F245" s="758"/>
      <c r="G245" s="758"/>
    </row>
    <row r="246">
      <c r="A246" s="722"/>
      <c r="B246" s="761"/>
      <c r="C246" s="644"/>
      <c r="D246" s="643"/>
      <c r="E246" s="643"/>
      <c r="F246" s="746"/>
      <c r="G246" s="746"/>
    </row>
    <row r="247">
      <c r="A247" s="738" t="s">
        <v>2375</v>
      </c>
      <c r="B247" s="739">
        <f>B226/B244</f>
        <v>24738846.84</v>
      </c>
      <c r="C247" s="762"/>
      <c r="D247" s="757"/>
      <c r="E247" s="757"/>
      <c r="F247" s="758"/>
      <c r="G247" s="758"/>
    </row>
    <row r="248">
      <c r="A248" s="763" t="s">
        <v>2376</v>
      </c>
      <c r="B248" s="764"/>
      <c r="C248" s="756"/>
      <c r="D248" s="757"/>
      <c r="E248" s="757"/>
      <c r="F248" s="757"/>
      <c r="G248" s="757"/>
    </row>
  </sheetData>
  <mergeCells count="7">
    <mergeCell ref="A2:G2"/>
    <mergeCell ref="A62:G62"/>
    <mergeCell ref="A63:G63"/>
    <mergeCell ref="A123:G123"/>
    <mergeCell ref="A124:G124"/>
    <mergeCell ref="A190:G190"/>
    <mergeCell ref="A191:G191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2392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2394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45700.0</v>
      </c>
      <c r="C4" s="644">
        <f t="shared" ref="C4:C6" si="1">B4</f>
        <v>45700</v>
      </c>
      <c r="D4" s="643">
        <v>78000.0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467</v>
      </c>
      <c r="J4" s="768" t="s">
        <v>31</v>
      </c>
      <c r="K4" s="769">
        <f>D4+D5+D6+D7+D8++D9+D10</f>
        <v>724655</v>
      </c>
    </row>
    <row r="5">
      <c r="A5" s="643"/>
      <c r="B5" s="644">
        <v>45768.0</v>
      </c>
      <c r="C5" s="644">
        <f t="shared" si="1"/>
        <v>45768</v>
      </c>
      <c r="D5" s="643">
        <v>103355.0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399</v>
      </c>
      <c r="J5" s="768" t="s">
        <v>35</v>
      </c>
      <c r="K5" s="770"/>
    </row>
    <row r="6">
      <c r="A6" s="643"/>
      <c r="B6" s="644">
        <v>45775.0</v>
      </c>
      <c r="C6" s="644">
        <f t="shared" si="1"/>
        <v>45775</v>
      </c>
      <c r="D6" s="643">
        <v>114800.0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392</v>
      </c>
      <c r="J6" s="768" t="s">
        <v>37</v>
      </c>
      <c r="K6" s="770">
        <f>D5+D6+D7</f>
        <v>283155</v>
      </c>
    </row>
    <row r="7">
      <c r="A7" s="643"/>
      <c r="B7" s="644">
        <v>45776.0</v>
      </c>
      <c r="C7" s="644">
        <v>45776.0</v>
      </c>
      <c r="D7" s="643">
        <v>65000.0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391</v>
      </c>
      <c r="J7" s="768" t="s">
        <v>39</v>
      </c>
      <c r="K7" s="770"/>
    </row>
    <row r="8">
      <c r="A8" s="643"/>
      <c r="B8" s="644">
        <v>45782.0</v>
      </c>
      <c r="C8" s="644">
        <f t="shared" ref="C8:C43" si="5">B8</f>
        <v>45782</v>
      </c>
      <c r="D8" s="643">
        <v>125000.0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385</v>
      </c>
      <c r="J8" s="768" t="s">
        <v>41</v>
      </c>
      <c r="K8" s="770"/>
    </row>
    <row r="9">
      <c r="A9" s="643"/>
      <c r="B9" s="644">
        <v>45785.0</v>
      </c>
      <c r="C9" s="644">
        <f t="shared" si="5"/>
        <v>45785</v>
      </c>
      <c r="D9" s="643">
        <v>57000.0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382</v>
      </c>
      <c r="J9" s="768" t="s">
        <v>42</v>
      </c>
      <c r="K9" s="770">
        <f>D26+D27+D28+D29+D30+D31+D32+D33+D34</f>
        <v>992700</v>
      </c>
    </row>
    <row r="10">
      <c r="A10" s="643"/>
      <c r="B10" s="644">
        <v>45789.0</v>
      </c>
      <c r="C10" s="644">
        <f t="shared" si="5"/>
        <v>45789</v>
      </c>
      <c r="D10" s="643">
        <v>181500.0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378</v>
      </c>
      <c r="J10" s="768" t="s">
        <v>43</v>
      </c>
      <c r="K10" s="770">
        <f>D35+D36+D37+D38+D39+D40+D41+D42+D43+D44+D45</f>
        <v>1116960</v>
      </c>
    </row>
    <row r="11">
      <c r="A11" s="643"/>
      <c r="B11" s="644">
        <v>45792.0</v>
      </c>
      <c r="C11" s="644">
        <f t="shared" si="5"/>
        <v>45792</v>
      </c>
      <c r="D11" s="643">
        <v>46500.0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375</v>
      </c>
      <c r="J11" s="768" t="s">
        <v>45</v>
      </c>
      <c r="K11" s="770"/>
    </row>
    <row r="12">
      <c r="A12" s="643"/>
      <c r="B12" s="644">
        <v>45796.0</v>
      </c>
      <c r="C12" s="644">
        <f t="shared" si="5"/>
        <v>45796</v>
      </c>
      <c r="D12" s="643">
        <v>114900.0</v>
      </c>
      <c r="E12" s="645" t="b">
        <v>1</v>
      </c>
      <c r="F12" s="646" t="str">
        <f t="shared" si="2"/>
        <v>PAGADO</v>
      </c>
      <c r="G12" s="340" t="s">
        <v>2276</v>
      </c>
      <c r="H12" s="646" t="str">
        <f t="shared" si="3"/>
        <v>VENCIDA</v>
      </c>
      <c r="I12" s="647">
        <f t="shared" si="4"/>
        <v>371</v>
      </c>
      <c r="J12" s="768" t="s">
        <v>49</v>
      </c>
      <c r="K12" s="770"/>
    </row>
    <row r="13">
      <c r="A13" s="643"/>
      <c r="B13" s="644">
        <v>45799.0</v>
      </c>
      <c r="C13" s="644">
        <f t="shared" si="5"/>
        <v>45799</v>
      </c>
      <c r="D13" s="643">
        <v>71200.0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368</v>
      </c>
      <c r="J13" s="768" t="s">
        <v>50</v>
      </c>
      <c r="K13" s="770"/>
    </row>
    <row r="14">
      <c r="A14" s="643"/>
      <c r="B14" s="644">
        <v>45803.0</v>
      </c>
      <c r="C14" s="644">
        <f t="shared" si="5"/>
        <v>45803</v>
      </c>
      <c r="D14" s="643">
        <v>201600.0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364</v>
      </c>
      <c r="J14" s="768" t="s">
        <v>51</v>
      </c>
      <c r="K14" s="770">
        <f>SUM(D68:D76)</f>
        <v>1204300</v>
      </c>
    </row>
    <row r="15">
      <c r="A15" s="643"/>
      <c r="B15" s="644">
        <v>45807.0</v>
      </c>
      <c r="C15" s="644">
        <f t="shared" si="5"/>
        <v>45807</v>
      </c>
      <c r="D15" s="643">
        <v>62300.0</v>
      </c>
      <c r="E15" s="645" t="b">
        <v>1</v>
      </c>
      <c r="F15" s="646" t="str">
        <f t="shared" si="2"/>
        <v>PAGADO</v>
      </c>
      <c r="G15" s="340" t="s">
        <v>2276</v>
      </c>
      <c r="H15" s="646" t="str">
        <f t="shared" si="3"/>
        <v>VENCIDA</v>
      </c>
      <c r="I15" s="647">
        <f t="shared" si="4"/>
        <v>360</v>
      </c>
    </row>
    <row r="16">
      <c r="A16" s="643"/>
      <c r="B16" s="644">
        <v>45810.0</v>
      </c>
      <c r="C16" s="644">
        <f t="shared" si="5"/>
        <v>45810</v>
      </c>
      <c r="D16" s="643">
        <v>110400.0</v>
      </c>
      <c r="E16" s="654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4"/>
        <v>357</v>
      </c>
    </row>
    <row r="17">
      <c r="A17" s="643"/>
      <c r="B17" s="644">
        <v>45814.0</v>
      </c>
      <c r="C17" s="644">
        <f t="shared" si="5"/>
        <v>45814</v>
      </c>
      <c r="D17" s="643">
        <v>148700.0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353</v>
      </c>
    </row>
    <row r="18">
      <c r="A18" s="643"/>
      <c r="B18" s="644">
        <v>45819.0</v>
      </c>
      <c r="C18" s="644">
        <f t="shared" si="5"/>
        <v>45819</v>
      </c>
      <c r="D18" s="643">
        <v>29000.0</v>
      </c>
      <c r="E18" s="654" t="b">
        <v>1</v>
      </c>
      <c r="F18" s="646" t="str">
        <f t="shared" si="2"/>
        <v>PAGADO</v>
      </c>
      <c r="G18" s="340" t="s">
        <v>2276</v>
      </c>
      <c r="H18" s="646" t="str">
        <f t="shared" si="3"/>
        <v>VENCIDA</v>
      </c>
      <c r="I18" s="647">
        <f t="shared" si="4"/>
        <v>348</v>
      </c>
    </row>
    <row r="19">
      <c r="A19" s="643"/>
      <c r="B19" s="644">
        <v>45824.0</v>
      </c>
      <c r="C19" s="644">
        <f t="shared" si="5"/>
        <v>45824</v>
      </c>
      <c r="D19" s="643">
        <v>102300.0</v>
      </c>
      <c r="E19" s="645" t="b">
        <v>1</v>
      </c>
      <c r="F19" s="646" t="str">
        <f t="shared" si="2"/>
        <v>PAGADO</v>
      </c>
      <c r="G19" s="340" t="s">
        <v>2276</v>
      </c>
      <c r="H19" s="646" t="str">
        <f t="shared" si="3"/>
        <v>VENCIDA</v>
      </c>
      <c r="I19" s="647">
        <f t="shared" si="4"/>
        <v>343</v>
      </c>
    </row>
    <row r="20">
      <c r="A20" s="643"/>
      <c r="B20" s="644">
        <v>45824.0</v>
      </c>
      <c r="C20" s="644">
        <f t="shared" si="5"/>
        <v>45824</v>
      </c>
      <c r="D20" s="643">
        <v>38500.0</v>
      </c>
      <c r="E20" s="645" t="b">
        <v>1</v>
      </c>
      <c r="F20" s="646" t="str">
        <f t="shared" si="2"/>
        <v>PAGADO</v>
      </c>
      <c r="G20" s="340" t="s">
        <v>2276</v>
      </c>
      <c r="H20" s="646" t="str">
        <f t="shared" si="3"/>
        <v>VENCIDA</v>
      </c>
      <c r="I20" s="647">
        <f t="shared" si="4"/>
        <v>343</v>
      </c>
    </row>
    <row r="21">
      <c r="A21" s="643"/>
      <c r="B21" s="644">
        <v>45828.0</v>
      </c>
      <c r="C21" s="644">
        <f t="shared" si="5"/>
        <v>45828</v>
      </c>
      <c r="D21" s="643">
        <v>85000.0</v>
      </c>
      <c r="E21" s="645" t="b">
        <v>1</v>
      </c>
      <c r="F21" s="646" t="str">
        <f t="shared" si="2"/>
        <v>PAGADO</v>
      </c>
      <c r="G21" s="340" t="s">
        <v>2276</v>
      </c>
      <c r="H21" s="646" t="str">
        <f t="shared" si="3"/>
        <v>VENCIDA</v>
      </c>
      <c r="I21" s="647">
        <f t="shared" si="4"/>
        <v>339</v>
      </c>
    </row>
    <row r="22">
      <c r="A22" s="643"/>
      <c r="B22" s="644">
        <v>45831.0</v>
      </c>
      <c r="C22" s="644">
        <f t="shared" si="5"/>
        <v>45831</v>
      </c>
      <c r="D22" s="643">
        <v>131500.0</v>
      </c>
      <c r="E22" s="645" t="b">
        <v>1</v>
      </c>
      <c r="F22" s="646" t="str">
        <f t="shared" si="2"/>
        <v>PAGADO</v>
      </c>
      <c r="G22" s="340" t="s">
        <v>2276</v>
      </c>
      <c r="H22" s="646" t="str">
        <f t="shared" si="3"/>
        <v>VENCIDA</v>
      </c>
      <c r="I22" s="647">
        <f t="shared" si="4"/>
        <v>336</v>
      </c>
    </row>
    <row r="23">
      <c r="A23" s="643"/>
      <c r="B23" s="644">
        <v>45832.0</v>
      </c>
      <c r="C23" s="644">
        <f t="shared" si="5"/>
        <v>45832</v>
      </c>
      <c r="D23" s="643">
        <v>22000.0</v>
      </c>
      <c r="E23" s="645" t="b">
        <v>1</v>
      </c>
      <c r="F23" s="646" t="str">
        <f t="shared" si="2"/>
        <v>PAGADO</v>
      </c>
      <c r="G23" s="340" t="s">
        <v>2276</v>
      </c>
      <c r="H23" s="646" t="str">
        <f t="shared" si="3"/>
        <v>VENCIDA</v>
      </c>
      <c r="I23" s="647">
        <f t="shared" si="4"/>
        <v>335</v>
      </c>
    </row>
    <row r="24">
      <c r="A24" s="643"/>
      <c r="B24" s="644">
        <v>45834.0</v>
      </c>
      <c r="C24" s="644">
        <f t="shared" si="5"/>
        <v>45834</v>
      </c>
      <c r="D24" s="643">
        <v>39300.0</v>
      </c>
      <c r="E24" s="645" t="b">
        <v>1</v>
      </c>
      <c r="F24" s="646" t="str">
        <f t="shared" si="2"/>
        <v>PAGADO</v>
      </c>
      <c r="G24" s="340" t="s">
        <v>2276</v>
      </c>
      <c r="H24" s="646" t="str">
        <f t="shared" si="3"/>
        <v>VENCIDA</v>
      </c>
      <c r="I24" s="647">
        <f t="shared" si="4"/>
        <v>333</v>
      </c>
    </row>
    <row r="25">
      <c r="A25" s="643"/>
      <c r="B25" s="644">
        <v>45838.0</v>
      </c>
      <c r="C25" s="644">
        <f t="shared" si="5"/>
        <v>45838</v>
      </c>
      <c r="D25" s="643">
        <v>173800.0</v>
      </c>
      <c r="E25" s="645" t="b">
        <v>1</v>
      </c>
      <c r="F25" s="646" t="str">
        <f t="shared" si="2"/>
        <v>PAGADO</v>
      </c>
      <c r="G25" s="340" t="s">
        <v>2276</v>
      </c>
      <c r="H25" s="646" t="str">
        <f t="shared" si="3"/>
        <v>VENCIDA</v>
      </c>
      <c r="I25" s="647">
        <f t="shared" si="4"/>
        <v>329</v>
      </c>
    </row>
    <row r="26">
      <c r="A26" s="643"/>
      <c r="B26" s="644">
        <v>45842.0</v>
      </c>
      <c r="C26" s="644">
        <f t="shared" si="5"/>
        <v>45842</v>
      </c>
      <c r="D26" s="643">
        <v>97300.0</v>
      </c>
      <c r="E26" s="645" t="b">
        <v>1</v>
      </c>
      <c r="F26" s="646" t="str">
        <f t="shared" si="2"/>
        <v>PAGADO</v>
      </c>
      <c r="G26" s="340" t="s">
        <v>2276</v>
      </c>
      <c r="H26" s="646" t="str">
        <f t="shared" si="3"/>
        <v>VENCIDA</v>
      </c>
      <c r="I26" s="647">
        <f t="shared" si="4"/>
        <v>325</v>
      </c>
    </row>
    <row r="27">
      <c r="A27" s="643"/>
      <c r="B27" s="644">
        <v>45845.0</v>
      </c>
      <c r="C27" s="644">
        <f t="shared" si="5"/>
        <v>45845</v>
      </c>
      <c r="D27" s="643">
        <v>133600.0</v>
      </c>
      <c r="E27" s="645" t="b">
        <v>1</v>
      </c>
      <c r="F27" s="646" t="str">
        <f t="shared" si="2"/>
        <v>PAGADO</v>
      </c>
      <c r="G27" s="340" t="s">
        <v>2276</v>
      </c>
      <c r="H27" s="646" t="str">
        <f t="shared" si="3"/>
        <v>VENCIDA</v>
      </c>
      <c r="I27" s="647">
        <f t="shared" si="4"/>
        <v>322</v>
      </c>
    </row>
    <row r="28">
      <c r="A28" s="643"/>
      <c r="B28" s="644">
        <v>45849.0</v>
      </c>
      <c r="C28" s="644">
        <f t="shared" si="5"/>
        <v>45849</v>
      </c>
      <c r="D28" s="643">
        <v>91000.0</v>
      </c>
      <c r="E28" s="645" t="b">
        <v>1</v>
      </c>
      <c r="F28" s="646" t="str">
        <f t="shared" si="2"/>
        <v>PAGADO</v>
      </c>
      <c r="G28" s="340" t="s">
        <v>2276</v>
      </c>
      <c r="H28" s="646" t="str">
        <f t="shared" si="3"/>
        <v>VENCIDA</v>
      </c>
      <c r="I28" s="647">
        <f t="shared" si="4"/>
        <v>318</v>
      </c>
    </row>
    <row r="29">
      <c r="A29" s="644"/>
      <c r="B29" s="644">
        <v>45852.0</v>
      </c>
      <c r="C29" s="644">
        <f t="shared" si="5"/>
        <v>45852</v>
      </c>
      <c r="D29" s="643">
        <v>178700.0</v>
      </c>
      <c r="E29" s="645" t="b">
        <v>1</v>
      </c>
      <c r="F29" s="646" t="str">
        <f t="shared" si="2"/>
        <v>PAGADO</v>
      </c>
      <c r="G29" s="340" t="s">
        <v>2276</v>
      </c>
      <c r="H29" s="646" t="str">
        <f t="shared" si="3"/>
        <v>VENCIDA</v>
      </c>
      <c r="I29" s="647">
        <f t="shared" si="4"/>
        <v>315</v>
      </c>
    </row>
    <row r="30">
      <c r="A30" s="644"/>
      <c r="B30" s="644">
        <v>45854.0</v>
      </c>
      <c r="C30" s="644">
        <f t="shared" si="5"/>
        <v>45854</v>
      </c>
      <c r="D30" s="643">
        <v>65000.0</v>
      </c>
      <c r="E30" s="645" t="b">
        <v>1</v>
      </c>
      <c r="F30" s="646" t="str">
        <f t="shared" si="2"/>
        <v>PAGADO</v>
      </c>
      <c r="G30" s="340" t="s">
        <v>2278</v>
      </c>
      <c r="H30" s="646" t="str">
        <f t="shared" si="3"/>
        <v>VENCIDA</v>
      </c>
      <c r="I30" s="647">
        <f t="shared" si="4"/>
        <v>313</v>
      </c>
    </row>
    <row r="31">
      <c r="A31" s="644"/>
      <c r="B31" s="644">
        <v>45856.0</v>
      </c>
      <c r="C31" s="644">
        <f t="shared" si="5"/>
        <v>45856</v>
      </c>
      <c r="D31" s="643">
        <v>120800.0</v>
      </c>
      <c r="E31" s="645" t="b">
        <v>1</v>
      </c>
      <c r="F31" s="646" t="str">
        <f t="shared" si="2"/>
        <v>PAGADO</v>
      </c>
      <c r="G31" s="340" t="s">
        <v>2278</v>
      </c>
      <c r="H31" s="646" t="str">
        <f t="shared" si="3"/>
        <v>VENCIDA</v>
      </c>
      <c r="I31" s="647">
        <f t="shared" si="4"/>
        <v>311</v>
      </c>
    </row>
    <row r="32">
      <c r="A32" s="644"/>
      <c r="B32" s="644">
        <v>45859.0</v>
      </c>
      <c r="C32" s="644">
        <f t="shared" si="5"/>
        <v>45859</v>
      </c>
      <c r="D32" s="643">
        <v>102500.0</v>
      </c>
      <c r="E32" s="645" t="b">
        <v>1</v>
      </c>
      <c r="F32" s="646" t="str">
        <f t="shared" si="2"/>
        <v>PAGADO</v>
      </c>
      <c r="G32" s="340" t="s">
        <v>2276</v>
      </c>
      <c r="H32" s="646" t="str">
        <f t="shared" si="3"/>
        <v>VENCIDA</v>
      </c>
      <c r="I32" s="647">
        <f t="shared" si="4"/>
        <v>308</v>
      </c>
    </row>
    <row r="33">
      <c r="A33" s="644"/>
      <c r="B33" s="644">
        <v>45863.0</v>
      </c>
      <c r="C33" s="644">
        <f t="shared" si="5"/>
        <v>45863</v>
      </c>
      <c r="D33" s="643">
        <v>50500.0</v>
      </c>
      <c r="E33" s="645" t="b">
        <v>1</v>
      </c>
      <c r="F33" s="646" t="str">
        <f t="shared" si="2"/>
        <v>PAGADO</v>
      </c>
      <c r="G33" s="340" t="s">
        <v>2276</v>
      </c>
      <c r="H33" s="646" t="str">
        <f t="shared" si="3"/>
        <v>VENCIDA</v>
      </c>
      <c r="I33" s="647">
        <f t="shared" si="4"/>
        <v>304</v>
      </c>
    </row>
    <row r="34">
      <c r="A34" s="644"/>
      <c r="B34" s="644">
        <v>45865.0</v>
      </c>
      <c r="C34" s="644">
        <f t="shared" si="5"/>
        <v>45865</v>
      </c>
      <c r="D34" s="643">
        <v>153300.0</v>
      </c>
      <c r="E34" s="645" t="b">
        <v>1</v>
      </c>
      <c r="F34" s="646" t="str">
        <f t="shared" si="2"/>
        <v>PAGADO</v>
      </c>
      <c r="G34" s="340" t="s">
        <v>2276</v>
      </c>
      <c r="H34" s="646" t="str">
        <f t="shared" si="3"/>
        <v>VENCIDA</v>
      </c>
      <c r="I34" s="647">
        <f t="shared" si="4"/>
        <v>302</v>
      </c>
    </row>
    <row r="35">
      <c r="A35" s="644"/>
      <c r="B35" s="644">
        <v>45870.0</v>
      </c>
      <c r="C35" s="644">
        <f t="shared" si="5"/>
        <v>45870</v>
      </c>
      <c r="D35" s="643">
        <v>145000.0</v>
      </c>
      <c r="E35" s="645" t="b">
        <v>1</v>
      </c>
      <c r="F35" s="646" t="str">
        <f t="shared" si="2"/>
        <v>PAGADO</v>
      </c>
      <c r="G35" s="340" t="s">
        <v>2276</v>
      </c>
      <c r="H35" s="646" t="str">
        <f t="shared" si="3"/>
        <v>VENCIDA</v>
      </c>
      <c r="I35" s="647">
        <f t="shared" si="4"/>
        <v>297</v>
      </c>
    </row>
    <row r="36">
      <c r="A36" s="644"/>
      <c r="B36" s="644">
        <v>45873.0</v>
      </c>
      <c r="C36" s="644">
        <f t="shared" si="5"/>
        <v>45873</v>
      </c>
      <c r="D36" s="643">
        <v>135800.0</v>
      </c>
      <c r="E36" s="645" t="b">
        <v>1</v>
      </c>
      <c r="F36" s="646" t="str">
        <f t="shared" si="2"/>
        <v>PAGADO</v>
      </c>
      <c r="G36" s="340" t="s">
        <v>2276</v>
      </c>
      <c r="H36" s="646" t="str">
        <f t="shared" si="3"/>
        <v>VENCIDA</v>
      </c>
      <c r="I36" s="647">
        <f t="shared" si="4"/>
        <v>294</v>
      </c>
    </row>
    <row r="37">
      <c r="A37" s="644"/>
      <c r="B37" s="644">
        <v>45877.0</v>
      </c>
      <c r="C37" s="644">
        <f t="shared" si="5"/>
        <v>45877</v>
      </c>
      <c r="D37" s="643">
        <v>84800.0</v>
      </c>
      <c r="E37" s="645" t="b">
        <v>1</v>
      </c>
      <c r="F37" s="646" t="str">
        <f t="shared" si="2"/>
        <v>PAGADO</v>
      </c>
      <c r="G37" s="340" t="s">
        <v>2276</v>
      </c>
      <c r="H37" s="646" t="str">
        <f t="shared" si="3"/>
        <v>VENCIDA</v>
      </c>
      <c r="I37" s="647">
        <f t="shared" si="4"/>
        <v>290</v>
      </c>
    </row>
    <row r="38">
      <c r="A38" s="644"/>
      <c r="B38" s="644">
        <v>45877.0</v>
      </c>
      <c r="C38" s="644">
        <f t="shared" si="5"/>
        <v>45877</v>
      </c>
      <c r="D38" s="643">
        <v>18960.0</v>
      </c>
      <c r="E38" s="645" t="b">
        <v>1</v>
      </c>
      <c r="F38" s="646" t="str">
        <f t="shared" si="2"/>
        <v>PAGADO</v>
      </c>
      <c r="G38" s="340" t="s">
        <v>2278</v>
      </c>
      <c r="H38" s="646" t="str">
        <f t="shared" si="3"/>
        <v>VENCIDA</v>
      </c>
      <c r="I38" s="647">
        <f t="shared" si="4"/>
        <v>290</v>
      </c>
    </row>
    <row r="39">
      <c r="A39" s="644"/>
      <c r="B39" s="644">
        <v>45880.0</v>
      </c>
      <c r="C39" s="644">
        <f t="shared" si="5"/>
        <v>45880</v>
      </c>
      <c r="D39" s="643">
        <v>211600.0</v>
      </c>
      <c r="E39" s="645" t="b">
        <v>1</v>
      </c>
      <c r="F39" s="646" t="str">
        <f t="shared" si="2"/>
        <v>PAGADO</v>
      </c>
      <c r="G39" s="340" t="s">
        <v>2276</v>
      </c>
      <c r="H39" s="646" t="str">
        <f t="shared" si="3"/>
        <v>VENCIDA</v>
      </c>
      <c r="I39" s="647">
        <f t="shared" si="4"/>
        <v>287</v>
      </c>
    </row>
    <row r="40">
      <c r="A40" s="644"/>
      <c r="B40" s="644">
        <v>45884.0</v>
      </c>
      <c r="C40" s="644">
        <f t="shared" si="5"/>
        <v>45884</v>
      </c>
      <c r="D40" s="643">
        <v>48400.0</v>
      </c>
      <c r="E40" s="645" t="b">
        <v>1</v>
      </c>
      <c r="F40" s="646" t="str">
        <f t="shared" si="2"/>
        <v>PAGADO</v>
      </c>
      <c r="G40" s="340" t="s">
        <v>2276</v>
      </c>
      <c r="H40" s="646" t="str">
        <f t="shared" si="3"/>
        <v>VENCIDA</v>
      </c>
      <c r="I40" s="647">
        <f t="shared" si="4"/>
        <v>283</v>
      </c>
    </row>
    <row r="41">
      <c r="A41" s="644"/>
      <c r="B41" s="644">
        <v>45887.0</v>
      </c>
      <c r="C41" s="644">
        <f t="shared" si="5"/>
        <v>45887</v>
      </c>
      <c r="D41" s="643">
        <v>128400.0</v>
      </c>
      <c r="E41" s="645" t="b">
        <v>1</v>
      </c>
      <c r="F41" s="646" t="str">
        <f t="shared" si="2"/>
        <v>PAGADO</v>
      </c>
      <c r="G41" s="340" t="s">
        <v>2276</v>
      </c>
      <c r="H41" s="646" t="str">
        <f t="shared" si="3"/>
        <v>VENCIDA</v>
      </c>
      <c r="I41" s="647">
        <f t="shared" si="4"/>
        <v>280</v>
      </c>
    </row>
    <row r="42">
      <c r="A42" s="644"/>
      <c r="B42" s="644">
        <v>45888.0</v>
      </c>
      <c r="C42" s="644">
        <f t="shared" si="5"/>
        <v>45888</v>
      </c>
      <c r="D42" s="643">
        <v>23500.0</v>
      </c>
      <c r="E42" s="645" t="b">
        <v>1</v>
      </c>
      <c r="F42" s="646" t="str">
        <f t="shared" si="2"/>
        <v>PAGADO</v>
      </c>
      <c r="G42" s="340" t="s">
        <v>2276</v>
      </c>
      <c r="H42" s="646" t="str">
        <f t="shared" si="3"/>
        <v>VENCIDA</v>
      </c>
      <c r="I42" s="647">
        <f t="shared" si="4"/>
        <v>279</v>
      </c>
    </row>
    <row r="43">
      <c r="A43" s="644"/>
      <c r="B43" s="644">
        <v>45894.0</v>
      </c>
      <c r="C43" s="644">
        <f t="shared" si="5"/>
        <v>45894</v>
      </c>
      <c r="D43" s="643">
        <v>162000.0</v>
      </c>
      <c r="E43" s="645" t="b">
        <v>1</v>
      </c>
      <c r="F43" s="646" t="str">
        <f t="shared" si="2"/>
        <v>PAGADO</v>
      </c>
      <c r="G43" s="340" t="s">
        <v>2276</v>
      </c>
      <c r="H43" s="646" t="str">
        <f t="shared" si="3"/>
        <v>VENCIDA</v>
      </c>
      <c r="I43" s="647">
        <f t="shared" si="4"/>
        <v>273</v>
      </c>
    </row>
    <row r="44">
      <c r="A44" s="644"/>
      <c r="B44" s="644">
        <v>45896.0</v>
      </c>
      <c r="C44" s="644">
        <v>45896.0</v>
      </c>
      <c r="D44" s="643">
        <v>90000.0</v>
      </c>
      <c r="E44" s="645" t="b">
        <v>1</v>
      </c>
      <c r="F44" s="646" t="str">
        <f t="shared" si="2"/>
        <v>PAGADO</v>
      </c>
      <c r="G44" s="340" t="s">
        <v>2276</v>
      </c>
      <c r="H44" s="646" t="str">
        <f t="shared" si="3"/>
        <v>VENCIDA</v>
      </c>
      <c r="I44" s="647">
        <f t="shared" si="4"/>
        <v>271</v>
      </c>
    </row>
    <row r="45">
      <c r="A45" s="644"/>
      <c r="B45" s="644">
        <v>45898.0</v>
      </c>
      <c r="C45" s="644">
        <f t="shared" ref="C45:C56" si="6">B45</f>
        <v>45898</v>
      </c>
      <c r="D45" s="643">
        <v>68500.0</v>
      </c>
      <c r="E45" s="645" t="b">
        <v>1</v>
      </c>
      <c r="F45" s="646" t="str">
        <f t="shared" si="2"/>
        <v>PAGADO</v>
      </c>
      <c r="G45" s="340" t="s">
        <v>2276</v>
      </c>
      <c r="H45" s="646" t="str">
        <f t="shared" si="3"/>
        <v>VENCIDA</v>
      </c>
      <c r="I45" s="647">
        <f t="shared" si="4"/>
        <v>269</v>
      </c>
    </row>
    <row r="46">
      <c r="A46" s="644"/>
      <c r="B46" s="644">
        <v>45903.0</v>
      </c>
      <c r="C46" s="644">
        <f t="shared" si="6"/>
        <v>45903</v>
      </c>
      <c r="D46" s="643">
        <v>117500.0</v>
      </c>
      <c r="E46" s="645" t="b">
        <v>1</v>
      </c>
      <c r="F46" s="646" t="str">
        <f t="shared" si="2"/>
        <v>PAGADO</v>
      </c>
      <c r="G46" s="340" t="s">
        <v>2278</v>
      </c>
      <c r="H46" s="646" t="str">
        <f t="shared" si="3"/>
        <v>VENCIDA</v>
      </c>
      <c r="I46" s="647">
        <f t="shared" si="4"/>
        <v>264</v>
      </c>
    </row>
    <row r="47">
      <c r="A47" s="644"/>
      <c r="B47" s="644">
        <v>45908.0</v>
      </c>
      <c r="C47" s="644">
        <f t="shared" si="6"/>
        <v>45908</v>
      </c>
      <c r="D47" s="643">
        <v>251400.0</v>
      </c>
      <c r="E47" s="645" t="b">
        <v>1</v>
      </c>
      <c r="F47" s="646" t="str">
        <f t="shared" si="2"/>
        <v>PAGADO</v>
      </c>
      <c r="G47" s="340" t="s">
        <v>2278</v>
      </c>
      <c r="H47" s="646" t="str">
        <f t="shared" si="3"/>
        <v>VENCIDA</v>
      </c>
      <c r="I47" s="647">
        <f t="shared" si="4"/>
        <v>259</v>
      </c>
    </row>
    <row r="48">
      <c r="A48" s="644"/>
      <c r="B48" s="644">
        <v>45912.0</v>
      </c>
      <c r="C48" s="644">
        <f t="shared" si="6"/>
        <v>45912</v>
      </c>
      <c r="D48" s="643">
        <v>73500.0</v>
      </c>
      <c r="E48" s="645" t="b">
        <v>1</v>
      </c>
      <c r="F48" s="646" t="str">
        <f t="shared" si="2"/>
        <v>PAGADO</v>
      </c>
      <c r="G48" s="340" t="s">
        <v>2276</v>
      </c>
      <c r="H48" s="646" t="str">
        <f t="shared" si="3"/>
        <v>VENCIDA</v>
      </c>
      <c r="I48" s="647">
        <f t="shared" si="4"/>
        <v>255</v>
      </c>
    </row>
    <row r="49">
      <c r="A49" s="644"/>
      <c r="B49" s="644">
        <v>45915.0</v>
      </c>
      <c r="C49" s="644">
        <f t="shared" si="6"/>
        <v>45915</v>
      </c>
      <c r="D49" s="643">
        <v>125500.0</v>
      </c>
      <c r="E49" s="645" t="b">
        <v>1</v>
      </c>
      <c r="F49" s="646" t="str">
        <f t="shared" si="2"/>
        <v>PAGADO</v>
      </c>
      <c r="G49" s="340" t="s">
        <v>2276</v>
      </c>
      <c r="H49" s="646" t="str">
        <f t="shared" si="3"/>
        <v>VENCIDA</v>
      </c>
      <c r="I49" s="647">
        <f t="shared" si="4"/>
        <v>252</v>
      </c>
    </row>
    <row r="50">
      <c r="A50" s="644"/>
      <c r="B50" s="644">
        <v>45919.0</v>
      </c>
      <c r="C50" s="644">
        <f t="shared" si="6"/>
        <v>45919</v>
      </c>
      <c r="D50" s="643">
        <v>46000.0</v>
      </c>
      <c r="E50" s="645" t="b">
        <v>1</v>
      </c>
      <c r="F50" s="646" t="str">
        <f t="shared" si="2"/>
        <v>PAGADO</v>
      </c>
      <c r="G50" s="340" t="s">
        <v>2276</v>
      </c>
      <c r="H50" s="646" t="str">
        <f t="shared" si="3"/>
        <v>VENCIDA</v>
      </c>
      <c r="I50" s="647">
        <f t="shared" si="4"/>
        <v>248</v>
      </c>
    </row>
    <row r="51">
      <c r="A51" s="644"/>
      <c r="B51" s="644">
        <v>45922.0</v>
      </c>
      <c r="C51" s="644">
        <f t="shared" si="6"/>
        <v>45922</v>
      </c>
      <c r="D51" s="643">
        <v>219800.0</v>
      </c>
      <c r="E51" s="645" t="b">
        <v>1</v>
      </c>
      <c r="F51" s="646" t="str">
        <f t="shared" si="2"/>
        <v>PAGADO</v>
      </c>
      <c r="G51" s="340" t="s">
        <v>2276</v>
      </c>
      <c r="H51" s="646" t="str">
        <f t="shared" si="3"/>
        <v>VENCIDA</v>
      </c>
      <c r="I51" s="647">
        <f t="shared" si="4"/>
        <v>245</v>
      </c>
    </row>
    <row r="52">
      <c r="A52" s="644"/>
      <c r="B52" s="644">
        <v>45931.0</v>
      </c>
      <c r="C52" s="644">
        <f t="shared" si="6"/>
        <v>45931</v>
      </c>
      <c r="D52" s="643">
        <v>161900.0</v>
      </c>
      <c r="E52" s="645" t="b">
        <v>1</v>
      </c>
      <c r="F52" s="646" t="str">
        <f t="shared" si="2"/>
        <v>PAGADO</v>
      </c>
      <c r="G52" s="340" t="s">
        <v>2276</v>
      </c>
      <c r="H52" s="646" t="str">
        <f t="shared" si="3"/>
        <v>VENCIDA</v>
      </c>
      <c r="I52" s="647">
        <f t="shared" si="4"/>
        <v>236</v>
      </c>
    </row>
    <row r="53">
      <c r="A53" s="644"/>
      <c r="B53" s="644">
        <v>45933.0</v>
      </c>
      <c r="C53" s="644">
        <f t="shared" si="6"/>
        <v>45933</v>
      </c>
      <c r="D53" s="643">
        <v>21100.0</v>
      </c>
      <c r="E53" s="645" t="b">
        <v>1</v>
      </c>
      <c r="F53" s="646" t="str">
        <f t="shared" si="2"/>
        <v>PAGADO</v>
      </c>
      <c r="G53" s="340" t="s">
        <v>2276</v>
      </c>
      <c r="H53" s="646" t="str">
        <f t="shared" si="3"/>
        <v>VENCIDA</v>
      </c>
      <c r="I53" s="647">
        <f t="shared" si="4"/>
        <v>234</v>
      </c>
    </row>
    <row r="54">
      <c r="A54" s="644"/>
      <c r="B54" s="644">
        <v>45936.0</v>
      </c>
      <c r="C54" s="644">
        <f t="shared" si="6"/>
        <v>45936</v>
      </c>
      <c r="D54" s="643">
        <v>219800.0</v>
      </c>
      <c r="E54" s="645" t="b">
        <v>1</v>
      </c>
      <c r="F54" s="646" t="str">
        <f t="shared" si="2"/>
        <v>PAGADO</v>
      </c>
      <c r="G54" s="340" t="s">
        <v>2276</v>
      </c>
      <c r="H54" s="646" t="str">
        <f t="shared" si="3"/>
        <v>VENCIDA</v>
      </c>
      <c r="I54" s="647">
        <f t="shared" si="4"/>
        <v>231</v>
      </c>
    </row>
    <row r="55">
      <c r="A55" s="644"/>
      <c r="B55" s="644">
        <v>45940.0</v>
      </c>
      <c r="C55" s="644">
        <f t="shared" si="6"/>
        <v>45940</v>
      </c>
      <c r="D55" s="643">
        <v>54000.0</v>
      </c>
      <c r="E55" s="645" t="b">
        <v>1</v>
      </c>
      <c r="F55" s="646" t="str">
        <f t="shared" si="2"/>
        <v>PAGADO</v>
      </c>
      <c r="G55" s="340" t="s">
        <v>2276</v>
      </c>
      <c r="H55" s="646" t="str">
        <f t="shared" si="3"/>
        <v>VENCIDA</v>
      </c>
      <c r="I55" s="647">
        <f t="shared" si="4"/>
        <v>227</v>
      </c>
    </row>
    <row r="56">
      <c r="A56" s="644"/>
      <c r="B56" s="644">
        <v>45943.0</v>
      </c>
      <c r="C56" s="644">
        <f t="shared" si="6"/>
        <v>45943</v>
      </c>
      <c r="D56" s="643">
        <v>176000.0</v>
      </c>
      <c r="E56" s="645" t="b">
        <v>1</v>
      </c>
      <c r="F56" s="646" t="str">
        <f t="shared" si="2"/>
        <v>PAGADO</v>
      </c>
      <c r="G56" s="340" t="s">
        <v>2276</v>
      </c>
      <c r="H56" s="646" t="str">
        <f t="shared" si="3"/>
        <v>VENCIDA</v>
      </c>
      <c r="I56" s="647">
        <f t="shared" si="4"/>
        <v>224</v>
      </c>
    </row>
    <row r="57">
      <c r="A57" s="644"/>
      <c r="B57" s="644">
        <v>45950.0</v>
      </c>
      <c r="C57" s="644"/>
      <c r="D57" s="643">
        <v>174000.0</v>
      </c>
      <c r="E57" s="645" t="b">
        <v>1</v>
      </c>
      <c r="F57" s="646" t="str">
        <f t="shared" si="2"/>
        <v>PAGADO</v>
      </c>
      <c r="G57" s="340" t="s">
        <v>2276</v>
      </c>
      <c r="H57" s="646" t="str">
        <f t="shared" si="3"/>
        <v>VENCIDA</v>
      </c>
      <c r="I57" s="647">
        <f t="shared" si="4"/>
        <v>46167</v>
      </c>
    </row>
    <row r="58">
      <c r="A58" s="644"/>
      <c r="B58" s="644">
        <v>45954.0</v>
      </c>
      <c r="C58" s="644">
        <f t="shared" ref="C58:C88" si="7">B58</f>
        <v>45954</v>
      </c>
      <c r="D58" s="643">
        <v>48000.0</v>
      </c>
      <c r="E58" s="645" t="b">
        <v>1</v>
      </c>
      <c r="F58" s="646" t="str">
        <f t="shared" si="2"/>
        <v>PAGADO</v>
      </c>
      <c r="G58" s="340" t="s">
        <v>2276</v>
      </c>
      <c r="H58" s="646" t="str">
        <f t="shared" si="3"/>
        <v>VENCIDA</v>
      </c>
      <c r="I58" s="647">
        <f t="shared" si="4"/>
        <v>213</v>
      </c>
    </row>
    <row r="59">
      <c r="A59" s="644"/>
      <c r="B59" s="644">
        <v>45957.0</v>
      </c>
      <c r="C59" s="644">
        <f t="shared" si="7"/>
        <v>45957</v>
      </c>
      <c r="D59" s="643">
        <v>164200.0</v>
      </c>
      <c r="E59" s="645" t="b">
        <v>1</v>
      </c>
      <c r="F59" s="646" t="str">
        <f t="shared" si="2"/>
        <v>PAGADO</v>
      </c>
      <c r="G59" s="340" t="s">
        <v>2276</v>
      </c>
      <c r="H59" s="646" t="str">
        <f t="shared" si="3"/>
        <v>VENCIDA</v>
      </c>
      <c r="I59" s="647">
        <f t="shared" si="4"/>
        <v>210</v>
      </c>
    </row>
    <row r="60">
      <c r="A60" s="644"/>
      <c r="B60" s="644">
        <v>45961.0</v>
      </c>
      <c r="C60" s="644">
        <f t="shared" si="7"/>
        <v>45961</v>
      </c>
      <c r="D60" s="643">
        <v>178500.0</v>
      </c>
      <c r="E60" s="645" t="b">
        <v>1</v>
      </c>
      <c r="F60" s="646" t="str">
        <f t="shared" si="2"/>
        <v>PAGADO</v>
      </c>
      <c r="G60" s="340" t="s">
        <v>2276</v>
      </c>
      <c r="H60" s="646" t="str">
        <f t="shared" si="3"/>
        <v>VENCIDA</v>
      </c>
      <c r="I60" s="647">
        <f t="shared" si="4"/>
        <v>206</v>
      </c>
    </row>
    <row r="61">
      <c r="A61" s="644"/>
      <c r="B61" s="644">
        <v>45964.0</v>
      </c>
      <c r="C61" s="644">
        <f t="shared" si="7"/>
        <v>45964</v>
      </c>
      <c r="D61" s="643">
        <v>136000.0</v>
      </c>
      <c r="E61" s="645" t="b">
        <v>1</v>
      </c>
      <c r="F61" s="646" t="str">
        <f t="shared" si="2"/>
        <v>PAGADO</v>
      </c>
      <c r="G61" s="340" t="s">
        <v>2278</v>
      </c>
      <c r="H61" s="646" t="str">
        <f t="shared" si="3"/>
        <v>VENCIDA</v>
      </c>
      <c r="I61" s="647">
        <f t="shared" si="4"/>
        <v>203</v>
      </c>
    </row>
    <row r="62">
      <c r="A62" s="644"/>
      <c r="B62" s="644">
        <v>45971.0</v>
      </c>
      <c r="C62" s="644">
        <f t="shared" si="7"/>
        <v>45971</v>
      </c>
      <c r="D62" s="643">
        <v>142300.0</v>
      </c>
      <c r="E62" s="645" t="b">
        <v>1</v>
      </c>
      <c r="F62" s="646" t="str">
        <f t="shared" si="2"/>
        <v>PAGADO</v>
      </c>
      <c r="G62" s="340" t="s">
        <v>2278</v>
      </c>
      <c r="H62" s="646" t="str">
        <f t="shared" si="3"/>
        <v>VENCIDA</v>
      </c>
      <c r="I62" s="647">
        <f t="shared" si="4"/>
        <v>196</v>
      </c>
    </row>
    <row r="63">
      <c r="A63" s="644"/>
      <c r="B63" s="644">
        <v>45975.0</v>
      </c>
      <c r="C63" s="644">
        <f t="shared" si="7"/>
        <v>45975</v>
      </c>
      <c r="D63" s="643">
        <v>73800.0</v>
      </c>
      <c r="E63" s="645" t="b">
        <v>1</v>
      </c>
      <c r="F63" s="646" t="str">
        <f t="shared" si="2"/>
        <v>PAGADO</v>
      </c>
      <c r="G63" s="340" t="s">
        <v>2276</v>
      </c>
      <c r="H63" s="646" t="str">
        <f t="shared" si="3"/>
        <v>VENCIDA</v>
      </c>
      <c r="I63" s="647">
        <f t="shared" si="4"/>
        <v>192</v>
      </c>
    </row>
    <row r="64">
      <c r="A64" s="644"/>
      <c r="B64" s="644">
        <v>45978.0</v>
      </c>
      <c r="C64" s="644">
        <f t="shared" si="7"/>
        <v>45978</v>
      </c>
      <c r="D64" s="643">
        <v>233000.0</v>
      </c>
      <c r="E64" s="645" t="b">
        <v>1</v>
      </c>
      <c r="F64" s="646" t="str">
        <f t="shared" si="2"/>
        <v>PAGADO</v>
      </c>
      <c r="G64" s="340" t="s">
        <v>2276</v>
      </c>
      <c r="H64" s="646" t="str">
        <f t="shared" si="3"/>
        <v>VENCIDA</v>
      </c>
      <c r="I64" s="647">
        <f t="shared" si="4"/>
        <v>189</v>
      </c>
    </row>
    <row r="65">
      <c r="A65" s="644"/>
      <c r="B65" s="644">
        <v>45981.0</v>
      </c>
      <c r="C65" s="644">
        <f t="shared" si="7"/>
        <v>45981</v>
      </c>
      <c r="D65" s="643">
        <v>69000.0</v>
      </c>
      <c r="E65" s="645" t="b">
        <v>1</v>
      </c>
      <c r="F65" s="646" t="str">
        <f t="shared" si="2"/>
        <v>PAGADO</v>
      </c>
      <c r="G65" s="340" t="s">
        <v>2276</v>
      </c>
      <c r="H65" s="646" t="str">
        <f t="shared" si="3"/>
        <v>VENCIDA</v>
      </c>
      <c r="I65" s="647">
        <f t="shared" si="4"/>
        <v>186</v>
      </c>
    </row>
    <row r="66">
      <c r="A66" s="644"/>
      <c r="B66" s="644"/>
      <c r="C66" s="644" t="str">
        <f t="shared" si="7"/>
        <v/>
      </c>
      <c r="D66" s="643">
        <v>143000.0</v>
      </c>
      <c r="E66" s="645" t="b">
        <v>1</v>
      </c>
      <c r="F66" s="646" t="str">
        <f t="shared" si="2"/>
        <v>PAGADO</v>
      </c>
      <c r="G66" s="340" t="s">
        <v>2276</v>
      </c>
      <c r="H66" s="646" t="str">
        <f t="shared" si="3"/>
        <v>VENCIDA</v>
      </c>
      <c r="I66" s="647">
        <f t="shared" si="4"/>
        <v>46167</v>
      </c>
    </row>
    <row r="67">
      <c r="A67" s="644"/>
      <c r="B67" s="644">
        <v>45989.0</v>
      </c>
      <c r="C67" s="644">
        <f t="shared" si="7"/>
        <v>45989</v>
      </c>
      <c r="D67" s="643">
        <v>38800.0</v>
      </c>
      <c r="E67" s="645" t="b">
        <v>1</v>
      </c>
      <c r="F67" s="646" t="str">
        <f t="shared" si="2"/>
        <v>PAGADO</v>
      </c>
      <c r="G67" s="340" t="s">
        <v>2276</v>
      </c>
      <c r="H67" s="646" t="str">
        <f t="shared" si="3"/>
        <v>VENCIDA</v>
      </c>
      <c r="I67" s="647">
        <f t="shared" si="4"/>
        <v>178</v>
      </c>
    </row>
    <row r="68">
      <c r="A68" s="644"/>
      <c r="B68" s="644">
        <v>45992.0</v>
      </c>
      <c r="C68" s="644">
        <f t="shared" si="7"/>
        <v>45992</v>
      </c>
      <c r="D68" s="643">
        <v>254000.0</v>
      </c>
      <c r="E68" s="645" t="b">
        <v>1</v>
      </c>
      <c r="F68" s="646" t="str">
        <f t="shared" si="2"/>
        <v>PAGADO</v>
      </c>
      <c r="G68" s="340" t="s">
        <v>2276</v>
      </c>
      <c r="H68" s="646" t="str">
        <f t="shared" si="3"/>
        <v>VENCIDA</v>
      </c>
      <c r="I68" s="647">
        <f t="shared" si="4"/>
        <v>175</v>
      </c>
    </row>
    <row r="69">
      <c r="A69" s="644"/>
      <c r="B69" s="644">
        <v>45995.0</v>
      </c>
      <c r="C69" s="644">
        <f t="shared" si="7"/>
        <v>45995</v>
      </c>
      <c r="D69" s="643">
        <v>84300.0</v>
      </c>
      <c r="E69" s="645" t="b">
        <v>1</v>
      </c>
      <c r="F69" s="646" t="str">
        <f t="shared" si="2"/>
        <v>PAGADO</v>
      </c>
      <c r="G69" s="340" t="s">
        <v>2276</v>
      </c>
      <c r="H69" s="646" t="str">
        <f t="shared" si="3"/>
        <v>VENCIDA</v>
      </c>
      <c r="I69" s="647">
        <f t="shared" si="4"/>
        <v>172</v>
      </c>
    </row>
    <row r="70">
      <c r="A70" s="644"/>
      <c r="B70" s="644">
        <v>46000.0</v>
      </c>
      <c r="C70" s="644">
        <f t="shared" si="7"/>
        <v>46000</v>
      </c>
      <c r="D70" s="643">
        <f>123800+2700</f>
        <v>126500</v>
      </c>
      <c r="E70" s="645" t="b">
        <v>1</v>
      </c>
      <c r="F70" s="646" t="str">
        <f t="shared" si="2"/>
        <v>PAGADO</v>
      </c>
      <c r="G70" s="340" t="s">
        <v>2276</v>
      </c>
      <c r="H70" s="646" t="str">
        <f t="shared" si="3"/>
        <v>VENCIDA</v>
      </c>
      <c r="I70" s="647">
        <f t="shared" si="4"/>
        <v>167</v>
      </c>
    </row>
    <row r="71">
      <c r="A71" s="644"/>
      <c r="B71" s="644">
        <v>46003.0</v>
      </c>
      <c r="C71" s="644">
        <f t="shared" si="7"/>
        <v>46003</v>
      </c>
      <c r="D71" s="643">
        <v>122000.0</v>
      </c>
      <c r="E71" s="645" t="b">
        <v>1</v>
      </c>
      <c r="F71" s="646" t="str">
        <f t="shared" si="2"/>
        <v>PAGADO</v>
      </c>
      <c r="G71" s="340" t="s">
        <v>2278</v>
      </c>
      <c r="H71" s="646" t="str">
        <f t="shared" si="3"/>
        <v>VENCIDA</v>
      </c>
      <c r="I71" s="647">
        <f t="shared" si="4"/>
        <v>164</v>
      </c>
    </row>
    <row r="72">
      <c r="A72" s="644"/>
      <c r="B72" s="644">
        <v>46005.0</v>
      </c>
      <c r="C72" s="644">
        <f t="shared" si="7"/>
        <v>46005</v>
      </c>
      <c r="D72" s="643">
        <v>219100.0</v>
      </c>
      <c r="E72" s="645" t="b">
        <v>1</v>
      </c>
      <c r="F72" s="646" t="str">
        <f t="shared" si="2"/>
        <v>PAGADO</v>
      </c>
      <c r="G72" s="340" t="s">
        <v>2278</v>
      </c>
      <c r="H72" s="646" t="str">
        <f t="shared" si="3"/>
        <v>VENCIDA</v>
      </c>
      <c r="I72" s="647">
        <f t="shared" si="4"/>
        <v>162</v>
      </c>
    </row>
    <row r="73">
      <c r="A73" s="644"/>
      <c r="B73" s="644">
        <v>46009.0</v>
      </c>
      <c r="C73" s="644">
        <f t="shared" si="7"/>
        <v>46009</v>
      </c>
      <c r="D73" s="643">
        <v>136500.0</v>
      </c>
      <c r="E73" s="645" t="b">
        <v>1</v>
      </c>
      <c r="F73" s="646" t="str">
        <f t="shared" si="2"/>
        <v>PAGADO</v>
      </c>
      <c r="G73" s="340" t="s">
        <v>2276</v>
      </c>
      <c r="H73" s="646" t="str">
        <f t="shared" si="3"/>
        <v>VENCIDA</v>
      </c>
      <c r="I73" s="647">
        <f t="shared" si="4"/>
        <v>158</v>
      </c>
    </row>
    <row r="74">
      <c r="A74" s="644"/>
      <c r="B74" s="644">
        <v>46013.0</v>
      </c>
      <c r="C74" s="644">
        <f t="shared" si="7"/>
        <v>46013</v>
      </c>
      <c r="D74" s="643">
        <v>113900.0</v>
      </c>
      <c r="E74" s="645" t="b">
        <v>1</v>
      </c>
      <c r="F74" s="646" t="str">
        <f t="shared" si="2"/>
        <v>PAGADO</v>
      </c>
      <c r="G74" s="340" t="s">
        <v>2278</v>
      </c>
      <c r="H74" s="646" t="str">
        <f t="shared" si="3"/>
        <v>VENCIDA</v>
      </c>
      <c r="I74" s="647">
        <f t="shared" si="4"/>
        <v>154</v>
      </c>
    </row>
    <row r="75">
      <c r="A75" s="644"/>
      <c r="B75" s="644">
        <v>46018.0</v>
      </c>
      <c r="C75" s="644">
        <f t="shared" si="7"/>
        <v>46018</v>
      </c>
      <c r="D75" s="643">
        <v>22200.0</v>
      </c>
      <c r="E75" s="645" t="b">
        <v>1</v>
      </c>
      <c r="F75" s="646" t="str">
        <f t="shared" si="2"/>
        <v>PAGADO</v>
      </c>
      <c r="G75" s="340" t="s">
        <v>2276</v>
      </c>
      <c r="H75" s="646" t="str">
        <f t="shared" si="3"/>
        <v>VENCIDA</v>
      </c>
      <c r="I75" s="647">
        <f t="shared" si="4"/>
        <v>149</v>
      </c>
    </row>
    <row r="76">
      <c r="A76" s="644"/>
      <c r="B76" s="644">
        <v>46020.0</v>
      </c>
      <c r="C76" s="644">
        <f t="shared" si="7"/>
        <v>46020</v>
      </c>
      <c r="D76" s="643">
        <v>125800.0</v>
      </c>
      <c r="E76" s="645" t="b">
        <v>1</v>
      </c>
      <c r="F76" s="646" t="str">
        <f t="shared" si="2"/>
        <v>PAGADO</v>
      </c>
      <c r="G76" s="340" t="s">
        <v>2276</v>
      </c>
      <c r="H76" s="646" t="str">
        <f t="shared" si="3"/>
        <v>VENCIDA</v>
      </c>
      <c r="I76" s="647">
        <f t="shared" si="4"/>
        <v>147</v>
      </c>
    </row>
    <row r="77">
      <c r="A77" s="644"/>
      <c r="B77" s="644">
        <v>46025.0</v>
      </c>
      <c r="C77" s="644">
        <f t="shared" si="7"/>
        <v>46025</v>
      </c>
      <c r="D77" s="643">
        <v>58500.0</v>
      </c>
      <c r="E77" s="645" t="b">
        <v>1</v>
      </c>
      <c r="F77" s="646" t="str">
        <f t="shared" si="2"/>
        <v>PAGADO</v>
      </c>
      <c r="G77" s="340" t="s">
        <v>2276</v>
      </c>
      <c r="H77" s="646" t="str">
        <f t="shared" si="3"/>
        <v>VENCIDA</v>
      </c>
      <c r="I77" s="647">
        <f t="shared" si="4"/>
        <v>142</v>
      </c>
    </row>
    <row r="78">
      <c r="A78" s="644"/>
      <c r="B78" s="644">
        <v>46027.0</v>
      </c>
      <c r="C78" s="644">
        <f t="shared" si="7"/>
        <v>46027</v>
      </c>
      <c r="D78" s="643">
        <v>152000.0</v>
      </c>
      <c r="E78" s="645" t="b">
        <v>1</v>
      </c>
      <c r="F78" s="646" t="str">
        <f t="shared" si="2"/>
        <v>PAGADO</v>
      </c>
      <c r="G78" s="340" t="s">
        <v>2276</v>
      </c>
      <c r="H78" s="646" t="str">
        <f t="shared" si="3"/>
        <v>VENCIDA</v>
      </c>
      <c r="I78" s="647">
        <f t="shared" si="4"/>
        <v>140</v>
      </c>
    </row>
    <row r="79">
      <c r="A79" s="644"/>
      <c r="B79" s="644">
        <v>46034.0</v>
      </c>
      <c r="C79" s="644">
        <f t="shared" si="7"/>
        <v>46034</v>
      </c>
      <c r="D79" s="643">
        <v>180200.0</v>
      </c>
      <c r="E79" s="645" t="b">
        <v>1</v>
      </c>
      <c r="F79" s="646" t="str">
        <f t="shared" si="2"/>
        <v>PAGADO</v>
      </c>
      <c r="G79" s="340" t="s">
        <v>2276</v>
      </c>
      <c r="H79" s="646" t="str">
        <f t="shared" si="3"/>
        <v>VENCIDA</v>
      </c>
      <c r="I79" s="647">
        <f t="shared" si="4"/>
        <v>133</v>
      </c>
    </row>
    <row r="80">
      <c r="A80" s="644"/>
      <c r="B80" s="644">
        <v>46037.0</v>
      </c>
      <c r="C80" s="644">
        <f t="shared" si="7"/>
        <v>46037</v>
      </c>
      <c r="D80" s="643">
        <v>74500.0</v>
      </c>
      <c r="E80" s="645" t="b">
        <v>1</v>
      </c>
      <c r="F80" s="646" t="str">
        <f t="shared" si="2"/>
        <v>PAGADO</v>
      </c>
      <c r="G80" s="340" t="s">
        <v>2276</v>
      </c>
      <c r="H80" s="646" t="str">
        <f t="shared" si="3"/>
        <v>VENCIDA</v>
      </c>
      <c r="I80" s="647">
        <f t="shared" si="4"/>
        <v>130</v>
      </c>
    </row>
    <row r="81">
      <c r="A81" s="644"/>
      <c r="B81" s="644">
        <v>46041.0</v>
      </c>
      <c r="C81" s="644">
        <f t="shared" si="7"/>
        <v>46041</v>
      </c>
      <c r="D81" s="643">
        <v>160500.0</v>
      </c>
      <c r="E81" s="645" t="b">
        <v>1</v>
      </c>
      <c r="F81" s="646" t="str">
        <f t="shared" si="2"/>
        <v>PAGADO</v>
      </c>
      <c r="G81" s="340" t="s">
        <v>2276</v>
      </c>
      <c r="H81" s="646" t="str">
        <f t="shared" si="3"/>
        <v>VENCIDA</v>
      </c>
      <c r="I81" s="647">
        <f t="shared" si="4"/>
        <v>126</v>
      </c>
      <c r="J81" s="2" t="s">
        <v>2397</v>
      </c>
    </row>
    <row r="82">
      <c r="A82" s="644"/>
      <c r="B82" s="644">
        <v>46043.0</v>
      </c>
      <c r="C82" s="644">
        <f t="shared" si="7"/>
        <v>46043</v>
      </c>
      <c r="D82" s="643">
        <v>199900.0</v>
      </c>
      <c r="E82" s="645" t="b">
        <v>1</v>
      </c>
      <c r="F82" s="646" t="str">
        <f t="shared" si="2"/>
        <v>PAGADO</v>
      </c>
      <c r="G82" s="340" t="s">
        <v>2276</v>
      </c>
      <c r="H82" s="646" t="str">
        <f t="shared" si="3"/>
        <v>VENCIDA</v>
      </c>
      <c r="I82" s="647">
        <f t="shared" si="4"/>
        <v>124</v>
      </c>
    </row>
    <row r="83">
      <c r="A83" s="644"/>
      <c r="B83" s="644">
        <v>46048.0</v>
      </c>
      <c r="C83" s="644">
        <f t="shared" si="7"/>
        <v>46048</v>
      </c>
      <c r="D83" s="643">
        <v>106600.0</v>
      </c>
      <c r="E83" s="645" t="b">
        <v>1</v>
      </c>
      <c r="F83" s="646" t="str">
        <f t="shared" si="2"/>
        <v>PAGADO</v>
      </c>
      <c r="G83" s="340" t="s">
        <v>2278</v>
      </c>
      <c r="H83" s="646" t="str">
        <f t="shared" si="3"/>
        <v>VENCIDA</v>
      </c>
      <c r="I83" s="647">
        <f t="shared" si="4"/>
        <v>119</v>
      </c>
    </row>
    <row r="84">
      <c r="A84" s="644"/>
      <c r="B84" s="644">
        <v>46052.0</v>
      </c>
      <c r="C84" s="644">
        <f t="shared" si="7"/>
        <v>46052</v>
      </c>
      <c r="D84" s="643">
        <v>76900.0</v>
      </c>
      <c r="E84" s="645" t="b">
        <v>1</v>
      </c>
      <c r="F84" s="646" t="str">
        <f t="shared" si="2"/>
        <v>PAGADO</v>
      </c>
      <c r="G84" s="340" t="s">
        <v>2276</v>
      </c>
      <c r="H84" s="646" t="str">
        <f t="shared" si="3"/>
        <v>VENCIDA</v>
      </c>
      <c r="I84" s="647">
        <f t="shared" si="4"/>
        <v>115</v>
      </c>
    </row>
    <row r="85">
      <c r="A85" s="644"/>
      <c r="B85" s="644">
        <v>46055.0</v>
      </c>
      <c r="C85" s="644">
        <f t="shared" si="7"/>
        <v>46055</v>
      </c>
      <c r="D85" s="643">
        <v>152800.0</v>
      </c>
      <c r="E85" s="645" t="b">
        <v>1</v>
      </c>
      <c r="F85" s="646" t="str">
        <f t="shared" si="2"/>
        <v>PAGADO</v>
      </c>
      <c r="G85" s="340" t="s">
        <v>2276</v>
      </c>
      <c r="H85" s="646" t="str">
        <f t="shared" si="3"/>
        <v>VENCIDA</v>
      </c>
      <c r="I85" s="647">
        <f t="shared" si="4"/>
        <v>112</v>
      </c>
    </row>
    <row r="86">
      <c r="A86" s="644"/>
      <c r="B86" s="644">
        <v>46058.0</v>
      </c>
      <c r="C86" s="644">
        <f t="shared" si="7"/>
        <v>46058</v>
      </c>
      <c r="D86" s="643">
        <v>94800.0</v>
      </c>
      <c r="E86" s="645" t="b">
        <v>1</v>
      </c>
      <c r="F86" s="646" t="str">
        <f t="shared" si="2"/>
        <v>PAGADO</v>
      </c>
      <c r="G86" s="340" t="s">
        <v>2276</v>
      </c>
      <c r="H86" s="646" t="str">
        <f t="shared" si="3"/>
        <v>VENCIDA</v>
      </c>
      <c r="I86" s="647">
        <f t="shared" si="4"/>
        <v>109</v>
      </c>
    </row>
    <row r="87">
      <c r="A87" s="644"/>
      <c r="B87" s="644">
        <v>46060.0</v>
      </c>
      <c r="C87" s="644">
        <f t="shared" si="7"/>
        <v>46060</v>
      </c>
      <c r="D87" s="643">
        <v>15200.0</v>
      </c>
      <c r="E87" s="645" t="b">
        <v>1</v>
      </c>
      <c r="F87" s="646" t="str">
        <f t="shared" si="2"/>
        <v>PAGADO</v>
      </c>
      <c r="G87" s="340" t="s">
        <v>2276</v>
      </c>
      <c r="H87" s="646" t="str">
        <f t="shared" si="3"/>
        <v>VENCIDA</v>
      </c>
      <c r="I87" s="647">
        <f t="shared" si="4"/>
        <v>107</v>
      </c>
    </row>
    <row r="88">
      <c r="A88" s="644"/>
      <c r="B88" s="644">
        <v>46062.0</v>
      </c>
      <c r="C88" s="644">
        <f t="shared" si="7"/>
        <v>46062</v>
      </c>
      <c r="D88" s="643">
        <v>195000.0</v>
      </c>
      <c r="E88" s="645" t="b">
        <v>1</v>
      </c>
      <c r="F88" s="646" t="str">
        <f t="shared" si="2"/>
        <v>PAGADO</v>
      </c>
      <c r="G88" s="340" t="s">
        <v>2276</v>
      </c>
      <c r="H88" s="646" t="str">
        <f t="shared" si="3"/>
        <v>VENCIDA</v>
      </c>
      <c r="I88" s="647">
        <f t="shared" si="4"/>
        <v>105</v>
      </c>
    </row>
    <row r="89">
      <c r="A89" s="644"/>
      <c r="B89" s="644">
        <v>46064.0</v>
      </c>
      <c r="C89" s="644">
        <v>46064.0</v>
      </c>
      <c r="D89" s="643">
        <v>58800.0</v>
      </c>
      <c r="E89" s="645" t="b">
        <v>1</v>
      </c>
      <c r="F89" s="646" t="str">
        <f t="shared" si="2"/>
        <v>PAGADO</v>
      </c>
      <c r="G89" s="340" t="s">
        <v>2276</v>
      </c>
      <c r="H89" s="646" t="str">
        <f t="shared" si="3"/>
        <v>VENCIDA</v>
      </c>
      <c r="I89" s="647">
        <f t="shared" si="4"/>
        <v>103</v>
      </c>
    </row>
    <row r="90">
      <c r="A90" s="644"/>
      <c r="B90" s="644">
        <v>46071.0</v>
      </c>
      <c r="C90" s="644">
        <f t="shared" ref="C90:C132" si="8">B90</f>
        <v>46071</v>
      </c>
      <c r="D90" s="643">
        <v>117100.0</v>
      </c>
      <c r="E90" s="645" t="b">
        <v>1</v>
      </c>
      <c r="F90" s="646" t="str">
        <f t="shared" si="2"/>
        <v>PAGADO</v>
      </c>
      <c r="G90" s="340" t="s">
        <v>2276</v>
      </c>
      <c r="H90" s="646" t="str">
        <f t="shared" si="3"/>
        <v>VENCIDA</v>
      </c>
      <c r="I90" s="647">
        <f t="shared" si="4"/>
        <v>96</v>
      </c>
    </row>
    <row r="91">
      <c r="A91" s="644"/>
      <c r="B91" s="644">
        <v>46075.0</v>
      </c>
      <c r="C91" s="644">
        <f t="shared" si="8"/>
        <v>46075</v>
      </c>
      <c r="D91" s="643">
        <v>196430.0</v>
      </c>
      <c r="E91" s="645" t="b">
        <v>1</v>
      </c>
      <c r="F91" s="646" t="str">
        <f t="shared" si="2"/>
        <v>PAGADO</v>
      </c>
      <c r="G91" s="340" t="s">
        <v>2278</v>
      </c>
      <c r="H91" s="646" t="str">
        <f t="shared" si="3"/>
        <v>VENCIDA</v>
      </c>
      <c r="I91" s="647">
        <f t="shared" si="4"/>
        <v>92</v>
      </c>
    </row>
    <row r="92">
      <c r="A92" s="644"/>
      <c r="B92" s="644">
        <v>46079.0</v>
      </c>
      <c r="C92" s="644">
        <f t="shared" si="8"/>
        <v>46079</v>
      </c>
      <c r="D92" s="643">
        <v>174246.0</v>
      </c>
      <c r="E92" s="645" t="b">
        <v>1</v>
      </c>
      <c r="F92" s="646" t="str">
        <f t="shared" si="2"/>
        <v>PAGADO</v>
      </c>
      <c r="G92" s="340" t="s">
        <v>2278</v>
      </c>
      <c r="H92" s="646" t="str">
        <f t="shared" si="3"/>
        <v>VENCIDA</v>
      </c>
      <c r="I92" s="647">
        <f t="shared" si="4"/>
        <v>88</v>
      </c>
    </row>
    <row r="93">
      <c r="A93" s="644"/>
      <c r="B93" s="644">
        <v>46084.0</v>
      </c>
      <c r="C93" s="644">
        <f t="shared" si="8"/>
        <v>46084</v>
      </c>
      <c r="D93" s="643">
        <v>207600.0</v>
      </c>
      <c r="E93" s="645" t="b">
        <v>1</v>
      </c>
      <c r="F93" s="646" t="str">
        <f t="shared" si="2"/>
        <v>PAGADO</v>
      </c>
      <c r="G93" s="340" t="s">
        <v>2278</v>
      </c>
      <c r="H93" s="646" t="str">
        <f t="shared" si="3"/>
        <v>VENCIDA</v>
      </c>
      <c r="I93" s="647">
        <f t="shared" si="4"/>
        <v>83</v>
      </c>
    </row>
    <row r="94">
      <c r="A94" s="644"/>
      <c r="B94" s="644">
        <v>46097.0</v>
      </c>
      <c r="C94" s="644">
        <f t="shared" si="8"/>
        <v>46097</v>
      </c>
      <c r="D94" s="643">
        <v>128400.0</v>
      </c>
      <c r="E94" s="645" t="b">
        <v>1</v>
      </c>
      <c r="F94" s="646" t="str">
        <f t="shared" si="2"/>
        <v>PAGADO</v>
      </c>
      <c r="G94" s="340" t="s">
        <v>2276</v>
      </c>
      <c r="H94" s="646" t="str">
        <f t="shared" si="3"/>
        <v>VENCIDA</v>
      </c>
      <c r="I94" s="647">
        <f t="shared" si="4"/>
        <v>70</v>
      </c>
    </row>
    <row r="95">
      <c r="A95" s="644"/>
      <c r="B95" s="644">
        <v>46099.0</v>
      </c>
      <c r="C95" s="644">
        <f t="shared" si="8"/>
        <v>46099</v>
      </c>
      <c r="D95" s="643">
        <v>140900.0</v>
      </c>
      <c r="E95" s="645" t="b">
        <v>1</v>
      </c>
      <c r="F95" s="646" t="str">
        <f t="shared" si="2"/>
        <v>PAGADO</v>
      </c>
      <c r="G95" s="340" t="s">
        <v>2276</v>
      </c>
      <c r="H95" s="646" t="str">
        <f t="shared" si="3"/>
        <v>VENCIDA</v>
      </c>
      <c r="I95" s="647">
        <f t="shared" si="4"/>
        <v>68</v>
      </c>
    </row>
    <row r="96">
      <c r="A96" s="644"/>
      <c r="B96" s="644"/>
      <c r="C96" s="644" t="str">
        <f t="shared" si="8"/>
        <v/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46167</v>
      </c>
    </row>
    <row r="97">
      <c r="A97" s="644"/>
      <c r="B97" s="644"/>
      <c r="C97" s="644" t="str">
        <f t="shared" si="8"/>
        <v/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46167</v>
      </c>
    </row>
    <row r="98">
      <c r="A98" s="644"/>
      <c r="B98" s="644"/>
      <c r="C98" s="644" t="str">
        <f t="shared" si="8"/>
        <v/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46167</v>
      </c>
    </row>
    <row r="99">
      <c r="A99" s="644"/>
      <c r="B99" s="644"/>
      <c r="C99" s="644" t="str">
        <f t="shared" si="8"/>
        <v/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46167</v>
      </c>
    </row>
    <row r="100">
      <c r="A100" s="644"/>
      <c r="B100" s="644"/>
      <c r="C100" s="644" t="str">
        <f t="shared" si="8"/>
        <v/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46167</v>
      </c>
    </row>
    <row r="101">
      <c r="A101" s="644"/>
      <c r="B101" s="644"/>
      <c r="C101" s="644" t="str">
        <f t="shared" si="8"/>
        <v/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46167</v>
      </c>
    </row>
    <row r="102">
      <c r="A102" s="644"/>
      <c r="B102" s="644"/>
      <c r="C102" s="644" t="str">
        <f t="shared" si="8"/>
        <v/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46167</v>
      </c>
    </row>
    <row r="103">
      <c r="A103" s="644"/>
      <c r="B103" s="644"/>
      <c r="C103" s="644" t="str">
        <f t="shared" si="8"/>
        <v/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46167</v>
      </c>
    </row>
    <row r="104">
      <c r="A104" s="644"/>
      <c r="B104" s="644"/>
      <c r="C104" s="644" t="str">
        <f t="shared" si="8"/>
        <v/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46167</v>
      </c>
    </row>
    <row r="105">
      <c r="A105" s="644"/>
      <c r="B105" s="644"/>
      <c r="C105" s="644" t="str">
        <f t="shared" si="8"/>
        <v/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46167</v>
      </c>
    </row>
    <row r="106">
      <c r="A106" s="644"/>
      <c r="B106" s="644"/>
      <c r="C106" s="644" t="str">
        <f t="shared" si="8"/>
        <v/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46167</v>
      </c>
    </row>
    <row r="107">
      <c r="A107" s="644"/>
      <c r="B107" s="644"/>
      <c r="C107" s="644" t="str">
        <f t="shared" si="8"/>
        <v/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46167</v>
      </c>
    </row>
    <row r="108">
      <c r="A108" s="644"/>
      <c r="B108" s="644"/>
      <c r="C108" s="644" t="str">
        <f t="shared" si="8"/>
        <v/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46167</v>
      </c>
    </row>
    <row r="109">
      <c r="A109" s="644"/>
      <c r="B109" s="644"/>
      <c r="C109" s="644" t="str">
        <f t="shared" si="8"/>
        <v/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46167</v>
      </c>
    </row>
    <row r="110">
      <c r="A110" s="644"/>
      <c r="B110" s="644"/>
      <c r="C110" s="644" t="str">
        <f t="shared" si="8"/>
        <v/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46167</v>
      </c>
    </row>
    <row r="111">
      <c r="A111" s="644"/>
      <c r="B111" s="644"/>
      <c r="C111" s="644" t="str">
        <f t="shared" si="8"/>
        <v/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46167</v>
      </c>
    </row>
    <row r="112">
      <c r="A112" s="644"/>
      <c r="B112" s="644"/>
      <c r="C112" s="644" t="str">
        <f t="shared" si="8"/>
        <v/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46167</v>
      </c>
    </row>
    <row r="113">
      <c r="A113" s="644"/>
      <c r="B113" s="644"/>
      <c r="C113" s="644" t="str">
        <f t="shared" si="8"/>
        <v/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46167</v>
      </c>
    </row>
    <row r="114">
      <c r="A114" s="644"/>
      <c r="B114" s="644"/>
      <c r="C114" s="644" t="str">
        <f t="shared" si="8"/>
        <v/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46167</v>
      </c>
    </row>
    <row r="115">
      <c r="A115" s="644"/>
      <c r="B115" s="644"/>
      <c r="C115" s="644" t="str">
        <f t="shared" si="8"/>
        <v/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46167</v>
      </c>
    </row>
    <row r="116">
      <c r="A116" s="644"/>
      <c r="B116" s="644"/>
      <c r="C116" s="644" t="str">
        <f t="shared" si="8"/>
        <v/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46167</v>
      </c>
    </row>
    <row r="117">
      <c r="A117" s="644"/>
      <c r="B117" s="644"/>
      <c r="C117" s="644" t="str">
        <f t="shared" si="8"/>
        <v/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46167</v>
      </c>
    </row>
    <row r="118">
      <c r="A118" s="644"/>
      <c r="B118" s="644"/>
      <c r="C118" s="644" t="str">
        <f t="shared" si="8"/>
        <v/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46167</v>
      </c>
    </row>
    <row r="119">
      <c r="A119" s="644"/>
      <c r="B119" s="644"/>
      <c r="C119" s="644" t="str">
        <f t="shared" si="8"/>
        <v/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46167</v>
      </c>
    </row>
    <row r="120">
      <c r="A120" s="644"/>
      <c r="B120" s="644"/>
      <c r="C120" s="644" t="str">
        <f t="shared" si="8"/>
        <v/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46167</v>
      </c>
    </row>
    <row r="121">
      <c r="A121" s="644"/>
      <c r="B121" s="644"/>
      <c r="C121" s="644" t="str">
        <f t="shared" si="8"/>
        <v/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46167</v>
      </c>
    </row>
    <row r="122">
      <c r="A122" s="644"/>
      <c r="B122" s="644"/>
      <c r="C122" s="644" t="str">
        <f t="shared" si="8"/>
        <v/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46167</v>
      </c>
    </row>
    <row r="123">
      <c r="A123" s="644"/>
      <c r="B123" s="644"/>
      <c r="C123" s="644" t="str">
        <f t="shared" si="8"/>
        <v/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46167</v>
      </c>
    </row>
    <row r="124">
      <c r="A124" s="644"/>
      <c r="B124" s="644"/>
      <c r="C124" s="644" t="str">
        <f t="shared" si="8"/>
        <v/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46167</v>
      </c>
    </row>
    <row r="125">
      <c r="A125" s="644"/>
      <c r="B125" s="644"/>
      <c r="C125" s="644" t="str">
        <f t="shared" si="8"/>
        <v/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46167</v>
      </c>
    </row>
    <row r="126">
      <c r="A126" s="644"/>
      <c r="B126" s="644"/>
      <c r="C126" s="644" t="str">
        <f t="shared" si="8"/>
        <v/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46167</v>
      </c>
    </row>
    <row r="127">
      <c r="A127" s="644"/>
      <c r="B127" s="644"/>
      <c r="C127" s="644" t="str">
        <f t="shared" si="8"/>
        <v/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46167</v>
      </c>
    </row>
    <row r="128">
      <c r="A128" s="644"/>
      <c r="B128" s="644"/>
      <c r="C128" s="644" t="str">
        <f t="shared" si="8"/>
        <v/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46167</v>
      </c>
    </row>
    <row r="129">
      <c r="A129" s="644"/>
      <c r="B129" s="644"/>
      <c r="C129" s="644" t="str">
        <f t="shared" si="8"/>
        <v/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46167</v>
      </c>
    </row>
    <row r="130">
      <c r="A130" s="644"/>
      <c r="B130" s="644"/>
      <c r="C130" s="644" t="str">
        <f t="shared" si="8"/>
        <v/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46167</v>
      </c>
    </row>
    <row r="131">
      <c r="A131" s="644"/>
      <c r="B131" s="644"/>
      <c r="C131" s="644" t="str">
        <f t="shared" si="8"/>
        <v/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46167</v>
      </c>
    </row>
    <row r="132">
      <c r="A132" s="644"/>
      <c r="B132" s="644"/>
      <c r="C132" s="644" t="str">
        <f t="shared" si="8"/>
        <v/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46167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10773091</v>
      </c>
    </row>
    <row r="137">
      <c r="C137" s="697" t="s">
        <v>28</v>
      </c>
      <c r="D137" s="3">
        <f>D135+D136</f>
        <v>10773091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2398</v>
      </c>
      <c r="B1" s="636"/>
      <c r="C1" s="636"/>
      <c r="D1" s="636"/>
      <c r="E1" s="636"/>
      <c r="F1" s="636"/>
      <c r="G1" s="636"/>
      <c r="H1" s="636"/>
      <c r="I1" s="252"/>
      <c r="M1" s="765" t="s">
        <v>2393</v>
      </c>
      <c r="N1" s="765"/>
    </row>
    <row r="2">
      <c r="A2" s="766" t="s">
        <v>2399</v>
      </c>
      <c r="B2" s="636"/>
      <c r="C2" s="636"/>
      <c r="D2" s="636"/>
      <c r="E2" s="636"/>
      <c r="F2" s="636"/>
      <c r="G2" s="636"/>
      <c r="H2" s="636"/>
      <c r="I2" s="636"/>
      <c r="M2" s="765"/>
      <c r="N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M3" s="768" t="s">
        <v>29</v>
      </c>
      <c r="N3" s="769">
        <f>D4+D5+D6+D7</f>
        <v>652529.3</v>
      </c>
    </row>
    <row r="4">
      <c r="A4" s="644"/>
      <c r="B4" s="644">
        <v>45664.0</v>
      </c>
      <c r="C4" s="644">
        <f t="shared" ref="C4:C66" si="1">B4+30</f>
        <v>45694</v>
      </c>
      <c r="D4" s="643">
        <v>152448.3</v>
      </c>
      <c r="E4" s="645" t="b">
        <v>1</v>
      </c>
      <c r="F4" s="646" t="str">
        <f t="shared" ref="F4:F133" si="2">IF(E4,"PAGADO","ADEUDA")</f>
        <v>PAGADO</v>
      </c>
      <c r="G4" s="340" t="s">
        <v>2276</v>
      </c>
      <c r="H4" s="646" t="str">
        <f t="shared" ref="H4:H133" si="3">IF(C4&lt;TODAY(),"VENCIDA",IF(C4=TODAY(),"VENCE HOY",IF(C4&gt;TODAY(),"VIGENTE")))</f>
        <v>VENCIDA</v>
      </c>
      <c r="I4" s="647">
        <f t="shared" ref="I4:I5" si="4">TODAY()-C4</f>
        <v>473</v>
      </c>
      <c r="M4" s="768" t="s">
        <v>31</v>
      </c>
      <c r="N4" s="769">
        <f>D8+D9+D10+D11+D12+D13</f>
        <v>970588.41</v>
      </c>
    </row>
    <row r="5">
      <c r="A5" s="644"/>
      <c r="B5" s="644">
        <v>45672.0</v>
      </c>
      <c r="C5" s="644">
        <f t="shared" si="1"/>
        <v>45702</v>
      </c>
      <c r="D5" s="643">
        <v>163904.3</v>
      </c>
      <c r="E5" s="645" t="b">
        <v>1</v>
      </c>
      <c r="F5" s="646" t="str">
        <f t="shared" si="2"/>
        <v>PAGADO</v>
      </c>
      <c r="G5" s="340" t="s">
        <v>2278</v>
      </c>
      <c r="H5" s="646" t="str">
        <f t="shared" si="3"/>
        <v>VENCIDA</v>
      </c>
      <c r="I5" s="647">
        <f t="shared" si="4"/>
        <v>465</v>
      </c>
      <c r="M5" s="768" t="s">
        <v>35</v>
      </c>
      <c r="N5" s="770"/>
    </row>
    <row r="6">
      <c r="A6" s="643">
        <v>143795.0</v>
      </c>
      <c r="B6" s="644">
        <v>45673.0</v>
      </c>
      <c r="C6" s="644">
        <f t="shared" si="1"/>
        <v>45703</v>
      </c>
      <c r="D6" s="643">
        <f>46827-7998.1</f>
        <v>38828.9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/>
      <c r="M6" s="768" t="s">
        <v>37</v>
      </c>
      <c r="N6" s="770"/>
    </row>
    <row r="7">
      <c r="A7" s="644"/>
      <c r="B7" s="644">
        <v>45680.0</v>
      </c>
      <c r="C7" s="644">
        <f t="shared" si="1"/>
        <v>45710</v>
      </c>
      <c r="D7" s="643">
        <v>297347.8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ref="I7:I133" si="5">TODAY()-C7</f>
        <v>457</v>
      </c>
      <c r="M7" s="768" t="s">
        <v>39</v>
      </c>
      <c r="N7" s="770"/>
    </row>
    <row r="8">
      <c r="A8" s="644"/>
      <c r="B8" s="644">
        <v>45694.0</v>
      </c>
      <c r="C8" s="644">
        <f t="shared" si="1"/>
        <v>45724</v>
      </c>
      <c r="D8" s="643">
        <v>155411.0</v>
      </c>
      <c r="E8" s="645" t="b">
        <v>1</v>
      </c>
      <c r="F8" s="646" t="str">
        <f t="shared" si="2"/>
        <v>PAGADO</v>
      </c>
      <c r="G8" s="340" t="s">
        <v>2278</v>
      </c>
      <c r="H8" s="646" t="str">
        <f t="shared" si="3"/>
        <v>VENCIDA</v>
      </c>
      <c r="I8" s="647">
        <f t="shared" si="5"/>
        <v>443</v>
      </c>
      <c r="M8" s="768" t="s">
        <v>41</v>
      </c>
      <c r="N8" s="770"/>
    </row>
    <row r="9">
      <c r="A9" s="643">
        <v>144949.0</v>
      </c>
      <c r="B9" s="644">
        <v>45698.0</v>
      </c>
      <c r="C9" s="644">
        <f t="shared" si="1"/>
        <v>45728</v>
      </c>
      <c r="D9" s="643">
        <v>82746.09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5"/>
        <v>439</v>
      </c>
      <c r="M9" s="768" t="s">
        <v>42</v>
      </c>
      <c r="N9" s="770">
        <f>D35+D36+D37+D38</f>
        <v>630937.01</v>
      </c>
    </row>
    <row r="10">
      <c r="A10" s="643">
        <v>145083.0</v>
      </c>
      <c r="B10" s="644">
        <v>45700.0</v>
      </c>
      <c r="C10" s="644">
        <f t="shared" si="1"/>
        <v>45730</v>
      </c>
      <c r="D10" s="643">
        <v>86939.35</v>
      </c>
      <c r="E10" s="645" t="b">
        <v>1</v>
      </c>
      <c r="F10" s="646" t="str">
        <f t="shared" si="2"/>
        <v>PAGADO</v>
      </c>
      <c r="G10" s="340" t="s">
        <v>2278</v>
      </c>
      <c r="H10" s="646" t="str">
        <f t="shared" si="3"/>
        <v>VENCIDA</v>
      </c>
      <c r="I10" s="647">
        <f t="shared" si="5"/>
        <v>437</v>
      </c>
      <c r="M10" s="768" t="s">
        <v>43</v>
      </c>
      <c r="N10" s="770">
        <f>D39+D40+D41+D42+D43+D44</f>
        <v>1121501.94</v>
      </c>
    </row>
    <row r="11">
      <c r="A11" s="643" t="s">
        <v>2400</v>
      </c>
      <c r="B11" s="644">
        <v>45700.0</v>
      </c>
      <c r="C11" s="644">
        <f t="shared" si="1"/>
        <v>45730</v>
      </c>
      <c r="D11" s="643">
        <v>155562.78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5"/>
        <v>437</v>
      </c>
      <c r="J11" s="2" t="s">
        <v>2401</v>
      </c>
      <c r="M11" s="768" t="s">
        <v>45</v>
      </c>
      <c r="N11" s="770"/>
    </row>
    <row r="12">
      <c r="A12" s="643">
        <v>145412.0</v>
      </c>
      <c r="B12" s="644">
        <v>45707.0</v>
      </c>
      <c r="C12" s="644">
        <f t="shared" si="1"/>
        <v>45737</v>
      </c>
      <c r="D12" s="643">
        <v>226450.17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5"/>
        <v>430</v>
      </c>
      <c r="M12" s="768" t="s">
        <v>49</v>
      </c>
      <c r="N12" s="770"/>
    </row>
    <row r="13">
      <c r="A13" s="643">
        <v>145668.0</v>
      </c>
      <c r="B13" s="644">
        <v>45713.0</v>
      </c>
      <c r="C13" s="644">
        <f t="shared" si="1"/>
        <v>45743</v>
      </c>
      <c r="D13" s="643">
        <v>263479.02</v>
      </c>
      <c r="E13" s="645" t="b">
        <v>1</v>
      </c>
      <c r="F13" s="646" t="str">
        <f t="shared" si="2"/>
        <v>PAGADO</v>
      </c>
      <c r="G13" s="340" t="s">
        <v>2278</v>
      </c>
      <c r="H13" s="646" t="str">
        <f t="shared" si="3"/>
        <v>VENCIDA</v>
      </c>
      <c r="I13" s="647">
        <f t="shared" si="5"/>
        <v>424</v>
      </c>
      <c r="M13" s="768" t="s">
        <v>50</v>
      </c>
      <c r="N13" s="770"/>
    </row>
    <row r="14">
      <c r="A14" s="643">
        <v>146040.0</v>
      </c>
      <c r="B14" s="644">
        <v>45721.0</v>
      </c>
      <c r="C14" s="644">
        <f t="shared" si="1"/>
        <v>45751</v>
      </c>
      <c r="D14" s="643">
        <v>115015.47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>
        <f t="shared" si="5"/>
        <v>416</v>
      </c>
      <c r="J14" s="2" t="s">
        <v>2402</v>
      </c>
      <c r="M14" s="768" t="s">
        <v>51</v>
      </c>
      <c r="N14" s="770">
        <f>SUM(D56:D61)</f>
        <v>807911.41</v>
      </c>
    </row>
    <row r="15">
      <c r="A15" s="643">
        <v>146041.0</v>
      </c>
      <c r="B15" s="644">
        <v>45721.0</v>
      </c>
      <c r="C15" s="644">
        <f t="shared" si="1"/>
        <v>45751</v>
      </c>
      <c r="D15" s="643">
        <v>76244.15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5"/>
        <v>416</v>
      </c>
    </row>
    <row r="16">
      <c r="A16" s="643">
        <v>146426.0</v>
      </c>
      <c r="B16" s="644">
        <v>45728.0</v>
      </c>
      <c r="C16" s="644">
        <f t="shared" si="1"/>
        <v>45758</v>
      </c>
      <c r="D16" s="643">
        <v>126153.57</v>
      </c>
      <c r="E16" s="645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5"/>
        <v>409</v>
      </c>
    </row>
    <row r="17">
      <c r="A17" s="643">
        <v>146821.0</v>
      </c>
      <c r="B17" s="644">
        <v>45736.0</v>
      </c>
      <c r="C17" s="644">
        <f t="shared" si="1"/>
        <v>45766</v>
      </c>
      <c r="D17" s="653">
        <v>143373.86</v>
      </c>
      <c r="E17" s="654" t="b">
        <v>1</v>
      </c>
      <c r="F17" s="646" t="str">
        <f t="shared" si="2"/>
        <v>PAGADO</v>
      </c>
      <c r="G17" s="340" t="s">
        <v>2278</v>
      </c>
      <c r="H17" s="646" t="str">
        <f t="shared" si="3"/>
        <v>VENCIDA</v>
      </c>
      <c r="I17" s="647">
        <f t="shared" si="5"/>
        <v>401</v>
      </c>
    </row>
    <row r="18">
      <c r="A18" s="643">
        <v>146820.0</v>
      </c>
      <c r="B18" s="644">
        <v>45736.0</v>
      </c>
      <c r="C18" s="644">
        <f t="shared" si="1"/>
        <v>45766</v>
      </c>
      <c r="D18" s="653">
        <f>226573.47</f>
        <v>226573.47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5"/>
        <v>401</v>
      </c>
      <c r="J18" s="2" t="s">
        <v>2403</v>
      </c>
    </row>
    <row r="19">
      <c r="A19" s="643">
        <v>147157.0</v>
      </c>
      <c r="B19" s="644">
        <v>45743.0</v>
      </c>
      <c r="C19" s="644">
        <f t="shared" si="1"/>
        <v>45773</v>
      </c>
      <c r="D19" s="643">
        <v>152263.44</v>
      </c>
      <c r="E19" s="654" t="b">
        <v>1</v>
      </c>
      <c r="F19" s="646" t="str">
        <f t="shared" si="2"/>
        <v>PAGADO</v>
      </c>
      <c r="G19" s="340" t="s">
        <v>2278</v>
      </c>
      <c r="H19" s="646" t="str">
        <f t="shared" si="3"/>
        <v>VENCIDA</v>
      </c>
      <c r="I19" s="647">
        <f t="shared" si="5"/>
        <v>394</v>
      </c>
    </row>
    <row r="20">
      <c r="A20" s="643">
        <v>147546.0</v>
      </c>
      <c r="B20" s="644">
        <v>45750.0</v>
      </c>
      <c r="C20" s="644">
        <f t="shared" si="1"/>
        <v>45780</v>
      </c>
      <c r="D20" s="643">
        <v>159055.71</v>
      </c>
      <c r="E20" s="645" t="b">
        <v>1</v>
      </c>
      <c r="F20" s="646" t="str">
        <f t="shared" si="2"/>
        <v>PAGADO</v>
      </c>
      <c r="G20" s="340" t="s">
        <v>2278</v>
      </c>
      <c r="H20" s="646" t="str">
        <f t="shared" si="3"/>
        <v>VENCIDA</v>
      </c>
      <c r="I20" s="647">
        <f t="shared" si="5"/>
        <v>387</v>
      </c>
    </row>
    <row r="21">
      <c r="A21" s="643">
        <v>147547.0</v>
      </c>
      <c r="B21" s="644">
        <v>45750.0</v>
      </c>
      <c r="C21" s="644">
        <f t="shared" si="1"/>
        <v>45780</v>
      </c>
      <c r="D21" s="643">
        <v>126310.15</v>
      </c>
      <c r="E21" s="645" t="b">
        <v>1</v>
      </c>
      <c r="F21" s="646" t="str">
        <f t="shared" si="2"/>
        <v>PAGADO</v>
      </c>
      <c r="G21" s="340" t="s">
        <v>2278</v>
      </c>
      <c r="H21" s="646" t="str">
        <f t="shared" si="3"/>
        <v>VENCIDA</v>
      </c>
      <c r="I21" s="647">
        <f t="shared" si="5"/>
        <v>387</v>
      </c>
    </row>
    <row r="22">
      <c r="A22" s="643">
        <v>148049.0</v>
      </c>
      <c r="B22" s="644">
        <v>45761.0</v>
      </c>
      <c r="C22" s="644">
        <f t="shared" si="1"/>
        <v>45791</v>
      </c>
      <c r="D22" s="643">
        <v>126422.14</v>
      </c>
      <c r="E22" s="645" t="b">
        <v>1</v>
      </c>
      <c r="F22" s="646" t="str">
        <f t="shared" si="2"/>
        <v>PAGADO</v>
      </c>
      <c r="G22" s="340" t="s">
        <v>2278</v>
      </c>
      <c r="H22" s="646" t="str">
        <f t="shared" si="3"/>
        <v>VENCIDA</v>
      </c>
      <c r="I22" s="647">
        <f t="shared" si="5"/>
        <v>376</v>
      </c>
    </row>
    <row r="23">
      <c r="A23" s="643">
        <v>148048.0</v>
      </c>
      <c r="B23" s="644">
        <v>45761.0</v>
      </c>
      <c r="C23" s="644">
        <f t="shared" si="1"/>
        <v>45791</v>
      </c>
      <c r="D23" s="643">
        <v>156197.69</v>
      </c>
      <c r="E23" s="645" t="b">
        <v>1</v>
      </c>
      <c r="F23" s="646" t="str">
        <f t="shared" si="2"/>
        <v>PAGADO</v>
      </c>
      <c r="G23" s="340" t="s">
        <v>2278</v>
      </c>
      <c r="H23" s="646" t="str">
        <f t="shared" si="3"/>
        <v>VENCIDA</v>
      </c>
      <c r="I23" s="647">
        <f t="shared" si="5"/>
        <v>376</v>
      </c>
    </row>
    <row r="24">
      <c r="A24" s="643">
        <v>148427.0</v>
      </c>
      <c r="B24" s="644">
        <v>45769.0</v>
      </c>
      <c r="C24" s="644">
        <f t="shared" si="1"/>
        <v>45799</v>
      </c>
      <c r="D24" s="643">
        <v>159557.26</v>
      </c>
      <c r="E24" s="645" t="b">
        <v>1</v>
      </c>
      <c r="F24" s="646" t="str">
        <f t="shared" si="2"/>
        <v>PAGADO</v>
      </c>
      <c r="G24" s="340" t="s">
        <v>2278</v>
      </c>
      <c r="H24" s="646" t="str">
        <f t="shared" si="3"/>
        <v>VENCIDA</v>
      </c>
      <c r="I24" s="647">
        <f t="shared" si="5"/>
        <v>368</v>
      </c>
    </row>
    <row r="25">
      <c r="A25" s="643">
        <v>148428.0</v>
      </c>
      <c r="B25" s="644">
        <v>45769.0</v>
      </c>
      <c r="C25" s="644">
        <f t="shared" si="1"/>
        <v>45799</v>
      </c>
      <c r="D25" s="643">
        <v>106561.2</v>
      </c>
      <c r="E25" s="645" t="b">
        <v>1</v>
      </c>
      <c r="F25" s="646" t="str">
        <f t="shared" si="2"/>
        <v>PAGADO</v>
      </c>
      <c r="G25" s="340" t="s">
        <v>2278</v>
      </c>
      <c r="H25" s="646" t="str">
        <f t="shared" si="3"/>
        <v>VENCIDA</v>
      </c>
      <c r="I25" s="647">
        <f t="shared" si="5"/>
        <v>368</v>
      </c>
    </row>
    <row r="26">
      <c r="A26" s="643">
        <v>148848.0</v>
      </c>
      <c r="B26" s="644">
        <v>45779.0</v>
      </c>
      <c r="C26" s="644">
        <f t="shared" si="1"/>
        <v>45809</v>
      </c>
      <c r="D26" s="643">
        <v>167278.64</v>
      </c>
      <c r="E26" s="645" t="b">
        <v>1</v>
      </c>
      <c r="F26" s="646" t="str">
        <f t="shared" si="2"/>
        <v>PAGADO</v>
      </c>
      <c r="G26" s="340" t="s">
        <v>2278</v>
      </c>
      <c r="H26" s="646" t="str">
        <f t="shared" si="3"/>
        <v>VENCIDA</v>
      </c>
      <c r="I26" s="647">
        <f t="shared" si="5"/>
        <v>358</v>
      </c>
    </row>
    <row r="27">
      <c r="A27" s="643">
        <v>148849.0</v>
      </c>
      <c r="B27" s="644">
        <v>45779.0</v>
      </c>
      <c r="C27" s="644">
        <f t="shared" si="1"/>
        <v>45809</v>
      </c>
      <c r="D27" s="643">
        <v>87413.36</v>
      </c>
      <c r="E27" s="645" t="b">
        <v>1</v>
      </c>
      <c r="F27" s="646" t="str">
        <f t="shared" si="2"/>
        <v>PAGADO</v>
      </c>
      <c r="G27" s="340" t="s">
        <v>2278</v>
      </c>
      <c r="H27" s="646" t="str">
        <f t="shared" si="3"/>
        <v>VENCIDA</v>
      </c>
      <c r="I27" s="647">
        <f t="shared" si="5"/>
        <v>358</v>
      </c>
    </row>
    <row r="28">
      <c r="A28" s="643">
        <v>149267.0</v>
      </c>
      <c r="B28" s="644">
        <v>45787.0</v>
      </c>
      <c r="C28" s="644">
        <f t="shared" si="1"/>
        <v>45817</v>
      </c>
      <c r="D28" s="643">
        <v>135019.79</v>
      </c>
      <c r="E28" s="645" t="b">
        <v>1</v>
      </c>
      <c r="F28" s="646" t="str">
        <f t="shared" si="2"/>
        <v>PAGADO</v>
      </c>
      <c r="G28" s="340" t="s">
        <v>2278</v>
      </c>
      <c r="H28" s="646" t="str">
        <f t="shared" si="3"/>
        <v>VENCIDA</v>
      </c>
      <c r="I28" s="647">
        <f t="shared" si="5"/>
        <v>350</v>
      </c>
    </row>
    <row r="29">
      <c r="A29" s="643">
        <v>149268.0</v>
      </c>
      <c r="B29" s="644">
        <v>45787.0</v>
      </c>
      <c r="C29" s="644">
        <f t="shared" si="1"/>
        <v>45817</v>
      </c>
      <c r="D29" s="643">
        <v>100705.5</v>
      </c>
      <c r="E29" s="645" t="b">
        <v>1</v>
      </c>
      <c r="F29" s="646" t="str">
        <f t="shared" si="2"/>
        <v>PAGADO</v>
      </c>
      <c r="G29" s="340" t="s">
        <v>2278</v>
      </c>
      <c r="H29" s="646" t="str">
        <f t="shared" si="3"/>
        <v>VENCIDA</v>
      </c>
      <c r="I29" s="647">
        <f t="shared" si="5"/>
        <v>350</v>
      </c>
    </row>
    <row r="30">
      <c r="A30" s="643">
        <v>149434.0</v>
      </c>
      <c r="B30" s="644">
        <v>45790.0</v>
      </c>
      <c r="C30" s="644">
        <f t="shared" si="1"/>
        <v>45820</v>
      </c>
      <c r="D30" s="643">
        <v>173197.11</v>
      </c>
      <c r="E30" s="645" t="b">
        <v>1</v>
      </c>
      <c r="F30" s="646" t="str">
        <f t="shared" si="2"/>
        <v>PAGADO</v>
      </c>
      <c r="G30" s="340" t="s">
        <v>2278</v>
      </c>
      <c r="H30" s="646" t="str">
        <f t="shared" si="3"/>
        <v>VENCIDA</v>
      </c>
      <c r="I30" s="647">
        <f t="shared" si="5"/>
        <v>347</v>
      </c>
    </row>
    <row r="31">
      <c r="A31" s="643">
        <v>149865.0</v>
      </c>
      <c r="B31" s="644">
        <v>45799.0</v>
      </c>
      <c r="C31" s="644">
        <f t="shared" si="1"/>
        <v>45829</v>
      </c>
      <c r="D31" s="643">
        <v>231713.87</v>
      </c>
      <c r="E31" s="645" t="b">
        <v>1</v>
      </c>
      <c r="F31" s="646" t="str">
        <f t="shared" si="2"/>
        <v>PAGADO</v>
      </c>
      <c r="G31" s="340" t="s">
        <v>2278</v>
      </c>
      <c r="H31" s="646" t="str">
        <f t="shared" si="3"/>
        <v>VENCIDA</v>
      </c>
      <c r="I31" s="647">
        <f t="shared" si="5"/>
        <v>338</v>
      </c>
    </row>
    <row r="32">
      <c r="A32" s="643">
        <v>149866.0</v>
      </c>
      <c r="B32" s="644">
        <v>45799.0</v>
      </c>
      <c r="C32" s="644">
        <f t="shared" si="1"/>
        <v>45829</v>
      </c>
      <c r="D32" s="643">
        <v>139001.58</v>
      </c>
      <c r="E32" s="645" t="b">
        <v>1</v>
      </c>
      <c r="F32" s="646" t="str">
        <f t="shared" si="2"/>
        <v>PAGADO</v>
      </c>
      <c r="G32" s="340" t="s">
        <v>2278</v>
      </c>
      <c r="H32" s="646" t="str">
        <f t="shared" si="3"/>
        <v>VENCIDA</v>
      </c>
      <c r="I32" s="647">
        <f t="shared" si="5"/>
        <v>338</v>
      </c>
    </row>
    <row r="33">
      <c r="A33" s="643">
        <v>150301.0</v>
      </c>
      <c r="B33" s="644">
        <v>45807.0</v>
      </c>
      <c r="C33" s="644">
        <f t="shared" si="1"/>
        <v>45837</v>
      </c>
      <c r="D33" s="643">
        <f>141019.49-26187.72</f>
        <v>114831.77</v>
      </c>
      <c r="E33" s="645" t="b">
        <v>1</v>
      </c>
      <c r="F33" s="646" t="str">
        <f t="shared" si="2"/>
        <v>PAGADO</v>
      </c>
      <c r="G33" s="340" t="s">
        <v>2278</v>
      </c>
      <c r="H33" s="646" t="str">
        <f t="shared" si="3"/>
        <v>VENCIDA</v>
      </c>
      <c r="I33" s="647">
        <f t="shared" si="5"/>
        <v>330</v>
      </c>
      <c r="J33" s="2" t="s">
        <v>2404</v>
      </c>
    </row>
    <row r="34">
      <c r="A34" s="643">
        <v>150302.0</v>
      </c>
      <c r="B34" s="644">
        <v>45807.0</v>
      </c>
      <c r="C34" s="644">
        <f t="shared" si="1"/>
        <v>45837</v>
      </c>
      <c r="D34" s="643">
        <v>129281.12</v>
      </c>
      <c r="E34" s="645" t="b">
        <v>1</v>
      </c>
      <c r="F34" s="646" t="str">
        <f t="shared" si="2"/>
        <v>PAGADO</v>
      </c>
      <c r="G34" s="340" t="s">
        <v>2278</v>
      </c>
      <c r="H34" s="646" t="str">
        <f t="shared" si="3"/>
        <v>VENCIDA</v>
      </c>
      <c r="I34" s="647">
        <f t="shared" si="5"/>
        <v>330</v>
      </c>
    </row>
    <row r="35">
      <c r="A35" s="643">
        <v>150741.0</v>
      </c>
      <c r="B35" s="644">
        <v>45817.0</v>
      </c>
      <c r="C35" s="644">
        <f t="shared" si="1"/>
        <v>45847</v>
      </c>
      <c r="D35" s="643">
        <v>153549.78</v>
      </c>
      <c r="E35" s="645" t="b">
        <v>1</v>
      </c>
      <c r="F35" s="646" t="str">
        <f t="shared" si="2"/>
        <v>PAGADO</v>
      </c>
      <c r="G35" s="340" t="s">
        <v>2278</v>
      </c>
      <c r="H35" s="646" t="str">
        <f t="shared" si="3"/>
        <v>VENCIDA</v>
      </c>
      <c r="I35" s="647">
        <f t="shared" si="5"/>
        <v>320</v>
      </c>
    </row>
    <row r="36">
      <c r="A36" s="643">
        <v>150742.0</v>
      </c>
      <c r="B36" s="644">
        <v>45817.0</v>
      </c>
      <c r="C36" s="644">
        <f t="shared" si="1"/>
        <v>45847</v>
      </c>
      <c r="D36" s="643">
        <v>192052.87</v>
      </c>
      <c r="E36" s="645" t="b">
        <v>1</v>
      </c>
      <c r="F36" s="646" t="str">
        <f t="shared" si="2"/>
        <v>PAGADO</v>
      </c>
      <c r="G36" s="340" t="s">
        <v>2278</v>
      </c>
      <c r="H36" s="646" t="str">
        <f t="shared" si="3"/>
        <v>VENCIDA</v>
      </c>
      <c r="I36" s="647">
        <f t="shared" si="5"/>
        <v>320</v>
      </c>
    </row>
    <row r="37">
      <c r="A37" s="643">
        <v>151555.0</v>
      </c>
      <c r="B37" s="644">
        <v>45835.0</v>
      </c>
      <c r="C37" s="644">
        <f t="shared" si="1"/>
        <v>45865</v>
      </c>
      <c r="D37" s="643">
        <v>224731.51</v>
      </c>
      <c r="E37" s="645" t="b">
        <v>1</v>
      </c>
      <c r="F37" s="646" t="str">
        <f t="shared" si="2"/>
        <v>PAGADO</v>
      </c>
      <c r="G37" s="340" t="s">
        <v>2278</v>
      </c>
      <c r="H37" s="646" t="str">
        <f t="shared" si="3"/>
        <v>VENCIDA</v>
      </c>
      <c r="I37" s="647">
        <f t="shared" si="5"/>
        <v>302</v>
      </c>
    </row>
    <row r="38">
      <c r="A38" s="643">
        <v>151585.0</v>
      </c>
      <c r="B38" s="644">
        <v>45835.0</v>
      </c>
      <c r="C38" s="644">
        <f t="shared" si="1"/>
        <v>45865</v>
      </c>
      <c r="D38" s="643">
        <v>60602.85</v>
      </c>
      <c r="E38" s="645" t="b">
        <v>1</v>
      </c>
      <c r="F38" s="646" t="str">
        <f t="shared" si="2"/>
        <v>PAGADO</v>
      </c>
      <c r="G38" s="340" t="s">
        <v>2278</v>
      </c>
      <c r="H38" s="646" t="str">
        <f t="shared" si="3"/>
        <v>VENCIDA</v>
      </c>
      <c r="I38" s="647">
        <f t="shared" si="5"/>
        <v>302</v>
      </c>
    </row>
    <row r="39">
      <c r="A39" s="643">
        <v>151898.0</v>
      </c>
      <c r="B39" s="644">
        <v>45841.0</v>
      </c>
      <c r="C39" s="644">
        <f t="shared" si="1"/>
        <v>45871</v>
      </c>
      <c r="D39" s="643">
        <v>261031.56</v>
      </c>
      <c r="E39" s="645" t="b">
        <v>1</v>
      </c>
      <c r="F39" s="646" t="str">
        <f t="shared" si="2"/>
        <v>PAGADO</v>
      </c>
      <c r="G39" s="340" t="s">
        <v>2278</v>
      </c>
      <c r="H39" s="646" t="str">
        <f t="shared" si="3"/>
        <v>VENCIDA</v>
      </c>
      <c r="I39" s="647">
        <f t="shared" si="5"/>
        <v>296</v>
      </c>
    </row>
    <row r="40">
      <c r="A40" s="643">
        <v>152358.0</v>
      </c>
      <c r="B40" s="644">
        <v>45852.0</v>
      </c>
      <c r="C40" s="644">
        <f t="shared" si="1"/>
        <v>45882</v>
      </c>
      <c r="D40" s="643">
        <v>292454.93</v>
      </c>
      <c r="E40" s="645" t="b">
        <v>1</v>
      </c>
      <c r="F40" s="646" t="str">
        <f t="shared" si="2"/>
        <v>PAGADO</v>
      </c>
      <c r="G40" s="340" t="s">
        <v>2278</v>
      </c>
      <c r="H40" s="646" t="str">
        <f t="shared" si="3"/>
        <v>VENCIDA</v>
      </c>
      <c r="I40" s="647">
        <f t="shared" si="5"/>
        <v>285</v>
      </c>
    </row>
    <row r="41">
      <c r="A41" s="643">
        <v>152731.0</v>
      </c>
      <c r="B41" s="644">
        <v>45859.0</v>
      </c>
      <c r="C41" s="644">
        <f t="shared" si="1"/>
        <v>45889</v>
      </c>
      <c r="D41" s="643">
        <v>187436.14</v>
      </c>
      <c r="E41" s="645" t="b">
        <v>1</v>
      </c>
      <c r="F41" s="646" t="str">
        <f t="shared" si="2"/>
        <v>PAGADO</v>
      </c>
      <c r="G41" s="340" t="s">
        <v>2278</v>
      </c>
      <c r="H41" s="646" t="str">
        <f t="shared" si="3"/>
        <v>VENCIDA</v>
      </c>
      <c r="I41" s="647">
        <f t="shared" si="5"/>
        <v>278</v>
      </c>
    </row>
    <row r="42">
      <c r="A42" s="643">
        <v>152730.0</v>
      </c>
      <c r="B42" s="644">
        <v>45859.0</v>
      </c>
      <c r="C42" s="644">
        <f t="shared" si="1"/>
        <v>45889</v>
      </c>
      <c r="D42" s="643">
        <v>78368.27</v>
      </c>
      <c r="E42" s="645" t="b">
        <v>1</v>
      </c>
      <c r="F42" s="646" t="str">
        <f t="shared" si="2"/>
        <v>PAGADO</v>
      </c>
      <c r="G42" s="340" t="s">
        <v>2278</v>
      </c>
      <c r="H42" s="646" t="str">
        <f t="shared" si="3"/>
        <v>VENCIDA</v>
      </c>
      <c r="I42" s="647">
        <f t="shared" si="5"/>
        <v>278</v>
      </c>
    </row>
    <row r="43">
      <c r="A43" s="643">
        <v>153191.0</v>
      </c>
      <c r="B43" s="644">
        <v>45870.0</v>
      </c>
      <c r="C43" s="644">
        <f t="shared" si="1"/>
        <v>45900</v>
      </c>
      <c r="D43" s="643">
        <v>119030.42</v>
      </c>
      <c r="E43" s="645" t="b">
        <v>1</v>
      </c>
      <c r="F43" s="646" t="str">
        <f t="shared" si="2"/>
        <v>PAGADO</v>
      </c>
      <c r="G43" s="340" t="s">
        <v>2278</v>
      </c>
      <c r="H43" s="646" t="str">
        <f t="shared" si="3"/>
        <v>VENCIDA</v>
      </c>
      <c r="I43" s="647">
        <f t="shared" si="5"/>
        <v>267</v>
      </c>
    </row>
    <row r="44">
      <c r="A44" s="643">
        <v>153192.0</v>
      </c>
      <c r="B44" s="644">
        <v>45870.0</v>
      </c>
      <c r="C44" s="644">
        <f t="shared" si="1"/>
        <v>45900</v>
      </c>
      <c r="D44" s="643">
        <v>183180.62</v>
      </c>
      <c r="E44" s="645" t="b">
        <v>1</v>
      </c>
      <c r="F44" s="646" t="str">
        <f t="shared" si="2"/>
        <v>PAGADO</v>
      </c>
      <c r="G44" s="340" t="s">
        <v>2278</v>
      </c>
      <c r="H44" s="646" t="str">
        <f t="shared" si="3"/>
        <v>VENCIDA</v>
      </c>
      <c r="I44" s="647">
        <f t="shared" si="5"/>
        <v>267</v>
      </c>
    </row>
    <row r="45">
      <c r="A45" s="643">
        <v>153690.0</v>
      </c>
      <c r="B45" s="644">
        <v>45877.0</v>
      </c>
      <c r="C45" s="644">
        <f t="shared" si="1"/>
        <v>45907</v>
      </c>
      <c r="D45" s="643">
        <v>205973.61</v>
      </c>
      <c r="E45" s="645" t="b">
        <v>1</v>
      </c>
      <c r="F45" s="646" t="str">
        <f t="shared" si="2"/>
        <v>PAGADO</v>
      </c>
      <c r="G45" s="340" t="s">
        <v>2278</v>
      </c>
      <c r="H45" s="646" t="str">
        <f t="shared" si="3"/>
        <v>VENCIDA</v>
      </c>
      <c r="I45" s="647">
        <f t="shared" si="5"/>
        <v>260</v>
      </c>
    </row>
    <row r="46">
      <c r="A46" s="643">
        <v>154109.0</v>
      </c>
      <c r="B46" s="644">
        <v>45887.0</v>
      </c>
      <c r="C46" s="644">
        <f t="shared" si="1"/>
        <v>45917</v>
      </c>
      <c r="D46" s="643">
        <v>171251.0</v>
      </c>
      <c r="E46" s="645" t="b">
        <v>1</v>
      </c>
      <c r="F46" s="646" t="str">
        <f t="shared" si="2"/>
        <v>PAGADO</v>
      </c>
      <c r="G46" s="340" t="s">
        <v>2278</v>
      </c>
      <c r="H46" s="646" t="str">
        <f t="shared" si="3"/>
        <v>VENCIDA</v>
      </c>
      <c r="I46" s="647">
        <f t="shared" si="5"/>
        <v>250</v>
      </c>
    </row>
    <row r="47">
      <c r="A47" s="643">
        <v>154829.0</v>
      </c>
      <c r="B47" s="644">
        <v>45901.0</v>
      </c>
      <c r="C47" s="644">
        <f t="shared" si="1"/>
        <v>45931</v>
      </c>
      <c r="D47" s="643">
        <v>220808.21</v>
      </c>
      <c r="E47" s="645" t="b">
        <v>1</v>
      </c>
      <c r="F47" s="646" t="str">
        <f t="shared" si="2"/>
        <v>PAGADO</v>
      </c>
      <c r="G47" s="340" t="s">
        <v>2278</v>
      </c>
      <c r="H47" s="646" t="str">
        <f t="shared" si="3"/>
        <v>VENCIDA</v>
      </c>
      <c r="I47" s="647">
        <f t="shared" si="5"/>
        <v>236</v>
      </c>
    </row>
    <row r="48">
      <c r="A48" s="643">
        <v>155341.0</v>
      </c>
      <c r="B48" s="644">
        <v>45909.0</v>
      </c>
      <c r="C48" s="644">
        <f t="shared" si="1"/>
        <v>45939</v>
      </c>
      <c r="D48" s="643">
        <v>160218.17</v>
      </c>
      <c r="E48" s="645" t="b">
        <v>1</v>
      </c>
      <c r="F48" s="646" t="str">
        <f t="shared" si="2"/>
        <v>PAGADO</v>
      </c>
      <c r="G48" s="340" t="s">
        <v>2278</v>
      </c>
      <c r="H48" s="646" t="str">
        <f t="shared" si="3"/>
        <v>VENCIDA</v>
      </c>
      <c r="I48" s="647">
        <f t="shared" si="5"/>
        <v>228</v>
      </c>
    </row>
    <row r="49">
      <c r="A49" s="643">
        <v>155342.0</v>
      </c>
      <c r="B49" s="644">
        <v>45909.0</v>
      </c>
      <c r="C49" s="644">
        <f t="shared" si="1"/>
        <v>45939</v>
      </c>
      <c r="D49" s="643">
        <v>228961.46</v>
      </c>
      <c r="E49" s="645" t="b">
        <v>1</v>
      </c>
      <c r="F49" s="646" t="str">
        <f t="shared" si="2"/>
        <v>PAGADO</v>
      </c>
      <c r="G49" s="340" t="s">
        <v>2278</v>
      </c>
      <c r="H49" s="646" t="str">
        <f t="shared" si="3"/>
        <v>VENCIDA</v>
      </c>
      <c r="I49" s="647">
        <f t="shared" si="5"/>
        <v>228</v>
      </c>
    </row>
    <row r="50">
      <c r="A50" s="643">
        <v>155898.0</v>
      </c>
      <c r="B50" s="644">
        <v>45922.0</v>
      </c>
      <c r="C50" s="644">
        <f t="shared" si="1"/>
        <v>45952</v>
      </c>
      <c r="D50" s="643">
        <v>252926.42</v>
      </c>
      <c r="E50" s="645" t="b">
        <v>1</v>
      </c>
      <c r="F50" s="646" t="str">
        <f t="shared" si="2"/>
        <v>PAGADO</v>
      </c>
      <c r="G50" s="340" t="s">
        <v>2278</v>
      </c>
      <c r="H50" s="646" t="str">
        <f t="shared" si="3"/>
        <v>VENCIDA</v>
      </c>
      <c r="I50" s="647">
        <f t="shared" si="5"/>
        <v>215</v>
      </c>
    </row>
    <row r="51">
      <c r="A51" s="643">
        <v>156402.0</v>
      </c>
      <c r="B51" s="644">
        <v>45931.0</v>
      </c>
      <c r="C51" s="644">
        <f t="shared" si="1"/>
        <v>45961</v>
      </c>
      <c r="D51" s="643">
        <v>185693.57</v>
      </c>
      <c r="E51" s="645" t="b">
        <v>1</v>
      </c>
      <c r="F51" s="646" t="str">
        <f t="shared" si="2"/>
        <v>PAGADO</v>
      </c>
      <c r="G51" s="340" t="s">
        <v>2278</v>
      </c>
      <c r="H51" s="646" t="str">
        <f t="shared" si="3"/>
        <v>VENCIDA</v>
      </c>
      <c r="I51" s="647">
        <f t="shared" si="5"/>
        <v>206</v>
      </c>
    </row>
    <row r="52">
      <c r="A52" s="643">
        <v>157117.0</v>
      </c>
      <c r="B52" s="644">
        <v>45945.0</v>
      </c>
      <c r="C52" s="644">
        <f t="shared" si="1"/>
        <v>45975</v>
      </c>
      <c r="D52" s="643">
        <v>151120.41</v>
      </c>
      <c r="E52" s="645" t="b">
        <v>1</v>
      </c>
      <c r="F52" s="646" t="str">
        <f t="shared" si="2"/>
        <v>PAGADO</v>
      </c>
      <c r="G52" s="340" t="s">
        <v>2278</v>
      </c>
      <c r="H52" s="646" t="str">
        <f t="shared" si="3"/>
        <v>VENCIDA</v>
      </c>
      <c r="I52" s="647">
        <f t="shared" si="5"/>
        <v>192</v>
      </c>
    </row>
    <row r="53">
      <c r="A53" s="643">
        <v>157116.0</v>
      </c>
      <c r="B53" s="644">
        <v>45945.0</v>
      </c>
      <c r="C53" s="644">
        <f t="shared" si="1"/>
        <v>45975</v>
      </c>
      <c r="D53" s="643">
        <v>99356.73</v>
      </c>
      <c r="E53" s="645" t="b">
        <v>1</v>
      </c>
      <c r="F53" s="646" t="str">
        <f t="shared" si="2"/>
        <v>PAGADO</v>
      </c>
      <c r="G53" s="340" t="s">
        <v>2278</v>
      </c>
      <c r="H53" s="646" t="str">
        <f t="shared" si="3"/>
        <v>VENCIDA</v>
      </c>
      <c r="I53" s="647">
        <f t="shared" si="5"/>
        <v>192</v>
      </c>
    </row>
    <row r="54">
      <c r="A54" s="643">
        <v>157818.0</v>
      </c>
      <c r="B54" s="644">
        <v>45960.0</v>
      </c>
      <c r="C54" s="644">
        <f t="shared" si="1"/>
        <v>45990</v>
      </c>
      <c r="D54" s="643">
        <v>85088.53</v>
      </c>
      <c r="E54" s="645" t="b">
        <v>1</v>
      </c>
      <c r="F54" s="646" t="str">
        <f t="shared" si="2"/>
        <v>PAGADO</v>
      </c>
      <c r="G54" s="340" t="s">
        <v>2278</v>
      </c>
      <c r="H54" s="646" t="str">
        <f t="shared" si="3"/>
        <v>VENCIDA</v>
      </c>
      <c r="I54" s="647">
        <f t="shared" si="5"/>
        <v>177</v>
      </c>
    </row>
    <row r="55">
      <c r="A55" s="643">
        <v>157819.0</v>
      </c>
      <c r="B55" s="644">
        <v>45960.0</v>
      </c>
      <c r="C55" s="644">
        <f t="shared" si="1"/>
        <v>45990</v>
      </c>
      <c r="D55" s="643">
        <v>180773.18</v>
      </c>
      <c r="E55" s="645" t="b">
        <v>1</v>
      </c>
      <c r="F55" s="646" t="str">
        <f t="shared" si="2"/>
        <v>PAGADO</v>
      </c>
      <c r="G55" s="340" t="s">
        <v>2278</v>
      </c>
      <c r="H55" s="646" t="str">
        <f t="shared" si="3"/>
        <v>VENCIDA</v>
      </c>
      <c r="I55" s="647">
        <f t="shared" si="5"/>
        <v>177</v>
      </c>
    </row>
    <row r="56">
      <c r="A56" s="643">
        <v>158419.0</v>
      </c>
      <c r="B56" s="644">
        <v>45971.0</v>
      </c>
      <c r="C56" s="644">
        <f t="shared" si="1"/>
        <v>46001</v>
      </c>
      <c r="D56" s="643">
        <v>159523.73</v>
      </c>
      <c r="E56" s="645" t="b">
        <v>1</v>
      </c>
      <c r="F56" s="646" t="str">
        <f t="shared" si="2"/>
        <v>PAGADO</v>
      </c>
      <c r="G56" s="340" t="s">
        <v>2278</v>
      </c>
      <c r="H56" s="646" t="str">
        <f t="shared" si="3"/>
        <v>VENCIDA</v>
      </c>
      <c r="I56" s="647">
        <f t="shared" si="5"/>
        <v>166</v>
      </c>
    </row>
    <row r="57">
      <c r="A57" s="643">
        <v>158420.0</v>
      </c>
      <c r="B57" s="644">
        <v>45971.0</v>
      </c>
      <c r="C57" s="644">
        <f t="shared" si="1"/>
        <v>46001</v>
      </c>
      <c r="D57" s="643">
        <v>152528.35</v>
      </c>
      <c r="E57" s="645" t="b">
        <v>1</v>
      </c>
      <c r="F57" s="646" t="str">
        <f t="shared" si="2"/>
        <v>PAGADO</v>
      </c>
      <c r="G57" s="340" t="s">
        <v>2278</v>
      </c>
      <c r="H57" s="646" t="str">
        <f t="shared" si="3"/>
        <v>VENCIDA</v>
      </c>
      <c r="I57" s="647">
        <f t="shared" si="5"/>
        <v>166</v>
      </c>
    </row>
    <row r="58">
      <c r="A58" s="643">
        <v>158671.0</v>
      </c>
      <c r="B58" s="644">
        <v>45975.0</v>
      </c>
      <c r="C58" s="644">
        <f t="shared" si="1"/>
        <v>46005</v>
      </c>
      <c r="D58" s="643">
        <v>99602.36</v>
      </c>
      <c r="E58" s="645" t="b">
        <v>1</v>
      </c>
      <c r="F58" s="646" t="str">
        <f t="shared" si="2"/>
        <v>PAGADO</v>
      </c>
      <c r="G58" s="340" t="s">
        <v>2278</v>
      </c>
      <c r="H58" s="646" t="str">
        <f t="shared" si="3"/>
        <v>VENCIDA</v>
      </c>
      <c r="I58" s="647">
        <f t="shared" si="5"/>
        <v>162</v>
      </c>
    </row>
    <row r="59">
      <c r="A59" s="643">
        <v>159033.0</v>
      </c>
      <c r="B59" s="644">
        <v>45982.0</v>
      </c>
      <c r="C59" s="644">
        <f t="shared" si="1"/>
        <v>46012</v>
      </c>
      <c r="D59" s="643">
        <v>180219.82</v>
      </c>
      <c r="E59" s="645" t="b">
        <v>1</v>
      </c>
      <c r="F59" s="646" t="str">
        <f t="shared" si="2"/>
        <v>PAGADO</v>
      </c>
      <c r="G59" s="340" t="s">
        <v>2278</v>
      </c>
      <c r="H59" s="646" t="str">
        <f t="shared" si="3"/>
        <v>VENCIDA</v>
      </c>
      <c r="I59" s="647">
        <f t="shared" si="5"/>
        <v>155</v>
      </c>
    </row>
    <row r="60">
      <c r="A60" s="643">
        <v>159034.0</v>
      </c>
      <c r="B60" s="644">
        <v>45982.0</v>
      </c>
      <c r="C60" s="644">
        <f t="shared" si="1"/>
        <v>46012</v>
      </c>
      <c r="D60" s="643">
        <v>111861.41</v>
      </c>
      <c r="E60" s="645" t="b">
        <v>1</v>
      </c>
      <c r="F60" s="646" t="str">
        <f t="shared" si="2"/>
        <v>PAGADO</v>
      </c>
      <c r="G60" s="340" t="s">
        <v>2278</v>
      </c>
      <c r="H60" s="646" t="str">
        <f t="shared" si="3"/>
        <v>VENCIDA</v>
      </c>
      <c r="I60" s="647">
        <f t="shared" si="5"/>
        <v>155</v>
      </c>
    </row>
    <row r="61">
      <c r="A61" s="643">
        <v>159093.0</v>
      </c>
      <c r="B61" s="644">
        <v>45986.0</v>
      </c>
      <c r="C61" s="644">
        <f t="shared" si="1"/>
        <v>46016</v>
      </c>
      <c r="D61" s="643">
        <v>104175.74</v>
      </c>
      <c r="E61" s="645" t="b">
        <v>1</v>
      </c>
      <c r="F61" s="646" t="str">
        <f t="shared" si="2"/>
        <v>PAGADO</v>
      </c>
      <c r="G61" s="340" t="s">
        <v>2278</v>
      </c>
      <c r="H61" s="646" t="str">
        <f t="shared" si="3"/>
        <v>VENCIDA</v>
      </c>
      <c r="I61" s="647">
        <f t="shared" si="5"/>
        <v>151</v>
      </c>
    </row>
    <row r="62">
      <c r="A62" s="643">
        <v>159803.0</v>
      </c>
      <c r="B62" s="644">
        <v>45997.0</v>
      </c>
      <c r="C62" s="644">
        <f t="shared" si="1"/>
        <v>46027</v>
      </c>
      <c r="D62" s="643">
        <v>201773.35</v>
      </c>
      <c r="E62" s="645" t="b">
        <v>1</v>
      </c>
      <c r="F62" s="646" t="str">
        <f t="shared" si="2"/>
        <v>PAGADO</v>
      </c>
      <c r="G62" s="340" t="s">
        <v>2278</v>
      </c>
      <c r="H62" s="646" t="str">
        <f t="shared" si="3"/>
        <v>VENCIDA</v>
      </c>
      <c r="I62" s="647">
        <f t="shared" si="5"/>
        <v>140</v>
      </c>
    </row>
    <row r="63">
      <c r="A63" s="643">
        <v>159804.0</v>
      </c>
      <c r="B63" s="644">
        <v>45997.0</v>
      </c>
      <c r="C63" s="644">
        <f t="shared" si="1"/>
        <v>46027</v>
      </c>
      <c r="D63" s="643">
        <v>77986.25</v>
      </c>
      <c r="E63" s="645" t="b">
        <v>1</v>
      </c>
      <c r="F63" s="646" t="str">
        <f t="shared" si="2"/>
        <v>PAGADO</v>
      </c>
      <c r="G63" s="340" t="s">
        <v>2278</v>
      </c>
      <c r="H63" s="646" t="str">
        <f t="shared" si="3"/>
        <v>VENCIDA</v>
      </c>
      <c r="I63" s="647">
        <f t="shared" si="5"/>
        <v>140</v>
      </c>
    </row>
    <row r="64">
      <c r="A64" s="643">
        <v>160416.0</v>
      </c>
      <c r="B64" s="644">
        <v>46010.0</v>
      </c>
      <c r="C64" s="644">
        <f t="shared" si="1"/>
        <v>46040</v>
      </c>
      <c r="D64" s="643">
        <v>182675.21</v>
      </c>
      <c r="E64" s="645" t="b">
        <v>1</v>
      </c>
      <c r="F64" s="646" t="str">
        <f t="shared" si="2"/>
        <v>PAGADO</v>
      </c>
      <c r="G64" s="340" t="s">
        <v>2278</v>
      </c>
      <c r="H64" s="646" t="str">
        <f t="shared" si="3"/>
        <v>VENCIDA</v>
      </c>
      <c r="I64" s="647">
        <f t="shared" si="5"/>
        <v>127</v>
      </c>
    </row>
    <row r="65">
      <c r="A65" s="643">
        <v>160417.0</v>
      </c>
      <c r="B65" s="644">
        <v>46010.0</v>
      </c>
      <c r="C65" s="644">
        <f t="shared" si="1"/>
        <v>46040</v>
      </c>
      <c r="D65" s="643">
        <v>98820.03</v>
      </c>
      <c r="E65" s="645" t="b">
        <v>1</v>
      </c>
      <c r="F65" s="646" t="str">
        <f t="shared" si="2"/>
        <v>PAGADO</v>
      </c>
      <c r="G65" s="340" t="s">
        <v>2278</v>
      </c>
      <c r="H65" s="646" t="str">
        <f t="shared" si="3"/>
        <v>VENCIDA</v>
      </c>
      <c r="I65" s="647">
        <f t="shared" si="5"/>
        <v>127</v>
      </c>
    </row>
    <row r="66">
      <c r="A66" s="643">
        <v>160419.0</v>
      </c>
      <c r="B66" s="644">
        <v>46010.0</v>
      </c>
      <c r="C66" s="644">
        <f t="shared" si="1"/>
        <v>46040</v>
      </c>
      <c r="D66" s="643">
        <v>23524.82</v>
      </c>
      <c r="E66" s="645" t="b">
        <v>1</v>
      </c>
      <c r="F66" s="646" t="str">
        <f t="shared" si="2"/>
        <v>PAGADO</v>
      </c>
      <c r="G66" s="340" t="s">
        <v>2278</v>
      </c>
      <c r="H66" s="646" t="str">
        <f t="shared" si="3"/>
        <v>VENCIDA</v>
      </c>
      <c r="I66" s="647">
        <f t="shared" si="5"/>
        <v>127</v>
      </c>
    </row>
    <row r="67">
      <c r="A67" s="774">
        <v>160420.0</v>
      </c>
      <c r="B67" s="775">
        <v>46010.0</v>
      </c>
      <c r="C67" s="774" t="s">
        <v>2405</v>
      </c>
      <c r="D67" s="774">
        <v>39688.0</v>
      </c>
      <c r="E67" s="776" t="b">
        <v>1</v>
      </c>
      <c r="F67" s="646" t="str">
        <f t="shared" si="2"/>
        <v>PAGADO</v>
      </c>
      <c r="G67" s="340" t="s">
        <v>2278</v>
      </c>
      <c r="H67" s="646" t="str">
        <f t="shared" si="3"/>
        <v>VIGENTE</v>
      </c>
      <c r="I67" s="647" t="str">
        <f t="shared" si="5"/>
        <v>#VALUE!</v>
      </c>
    </row>
    <row r="68">
      <c r="A68" s="643">
        <v>160506.0</v>
      </c>
      <c r="B68" s="644">
        <v>46013.0</v>
      </c>
      <c r="C68" s="644">
        <f>B68+30</f>
        <v>46043</v>
      </c>
      <c r="D68" s="643">
        <v>89442.54</v>
      </c>
      <c r="E68" s="645" t="b">
        <v>1</v>
      </c>
      <c r="F68" s="646" t="str">
        <f t="shared" si="2"/>
        <v>PAGADO</v>
      </c>
      <c r="G68" s="340" t="s">
        <v>2278</v>
      </c>
      <c r="H68" s="646" t="str">
        <f t="shared" si="3"/>
        <v>VENCIDA</v>
      </c>
      <c r="I68" s="647">
        <f t="shared" si="5"/>
        <v>124</v>
      </c>
    </row>
    <row r="69">
      <c r="A69" s="774">
        <v>14633.0</v>
      </c>
      <c r="B69" s="774" t="s">
        <v>2406</v>
      </c>
      <c r="C69" s="774" t="s">
        <v>2405</v>
      </c>
      <c r="D69" s="774">
        <v>-39688.0</v>
      </c>
      <c r="E69" s="776" t="b">
        <v>1</v>
      </c>
      <c r="F69" s="646" t="str">
        <f t="shared" si="2"/>
        <v>PAGADO</v>
      </c>
      <c r="G69" s="340" t="s">
        <v>2278</v>
      </c>
      <c r="H69" s="646" t="str">
        <f t="shared" si="3"/>
        <v>VIGENTE</v>
      </c>
      <c r="I69" s="647" t="str">
        <f t="shared" si="5"/>
        <v>#VALUE!</v>
      </c>
    </row>
    <row r="70">
      <c r="A70" s="643">
        <v>161627.0</v>
      </c>
      <c r="B70" s="644">
        <v>46036.0</v>
      </c>
      <c r="C70" s="644">
        <f t="shared" ref="C70:C82" si="6">B70+30</f>
        <v>46066</v>
      </c>
      <c r="D70" s="643">
        <v>146697.31</v>
      </c>
      <c r="E70" s="645" t="b">
        <v>1</v>
      </c>
      <c r="F70" s="646" t="str">
        <f t="shared" si="2"/>
        <v>PAGADO</v>
      </c>
      <c r="G70" s="340" t="s">
        <v>2278</v>
      </c>
      <c r="H70" s="646" t="str">
        <f t="shared" si="3"/>
        <v>VENCIDA</v>
      </c>
      <c r="I70" s="647">
        <f t="shared" si="5"/>
        <v>101</v>
      </c>
    </row>
    <row r="71">
      <c r="A71" s="643">
        <v>161628.0</v>
      </c>
      <c r="B71" s="644">
        <v>46036.0</v>
      </c>
      <c r="C71" s="644">
        <f t="shared" si="6"/>
        <v>46066</v>
      </c>
      <c r="D71" s="643">
        <v>94407.95</v>
      </c>
      <c r="E71" s="645" t="b">
        <v>1</v>
      </c>
      <c r="F71" s="646" t="str">
        <f t="shared" si="2"/>
        <v>PAGADO</v>
      </c>
      <c r="G71" s="340" t="s">
        <v>2278</v>
      </c>
      <c r="H71" s="646" t="str">
        <f t="shared" si="3"/>
        <v>VENCIDA</v>
      </c>
      <c r="I71" s="647">
        <f t="shared" si="5"/>
        <v>101</v>
      </c>
    </row>
    <row r="72">
      <c r="A72" s="643">
        <v>161629.0</v>
      </c>
      <c r="B72" s="644">
        <v>46036.0</v>
      </c>
      <c r="C72" s="644">
        <f t="shared" si="6"/>
        <v>46066</v>
      </c>
      <c r="D72" s="643">
        <v>131186.99</v>
      </c>
      <c r="E72" s="645" t="b">
        <v>1</v>
      </c>
      <c r="F72" s="646" t="str">
        <f t="shared" si="2"/>
        <v>PAGADO</v>
      </c>
      <c r="G72" s="340" t="s">
        <v>2278</v>
      </c>
      <c r="H72" s="646" t="str">
        <f t="shared" si="3"/>
        <v>VENCIDA</v>
      </c>
      <c r="I72" s="647">
        <f t="shared" si="5"/>
        <v>101</v>
      </c>
    </row>
    <row r="73">
      <c r="A73" s="643">
        <v>162256.0</v>
      </c>
      <c r="B73" s="644">
        <v>46050.0</v>
      </c>
      <c r="C73" s="644">
        <f t="shared" si="6"/>
        <v>46080</v>
      </c>
      <c r="D73" s="643">
        <v>235997.19</v>
      </c>
      <c r="E73" s="645" t="b">
        <v>1</v>
      </c>
      <c r="F73" s="646" t="str">
        <f t="shared" si="2"/>
        <v>PAGADO</v>
      </c>
      <c r="G73" s="340" t="s">
        <v>2278</v>
      </c>
      <c r="H73" s="646" t="str">
        <f t="shared" si="3"/>
        <v>VENCIDA</v>
      </c>
      <c r="I73" s="647">
        <f t="shared" si="5"/>
        <v>87</v>
      </c>
    </row>
    <row r="74">
      <c r="A74" s="643">
        <v>162257.0</v>
      </c>
      <c r="B74" s="644">
        <v>46050.0</v>
      </c>
      <c r="C74" s="644">
        <f t="shared" si="6"/>
        <v>46080</v>
      </c>
      <c r="D74" s="643">
        <v>179741.2</v>
      </c>
      <c r="E74" s="645" t="b">
        <v>1</v>
      </c>
      <c r="F74" s="646" t="str">
        <f t="shared" si="2"/>
        <v>PAGADO</v>
      </c>
      <c r="G74" s="340" t="s">
        <v>2278</v>
      </c>
      <c r="H74" s="646" t="str">
        <f t="shared" si="3"/>
        <v>VENCIDA</v>
      </c>
      <c r="I74" s="647">
        <f t="shared" si="5"/>
        <v>87</v>
      </c>
    </row>
    <row r="75">
      <c r="A75" s="643">
        <v>162770.0</v>
      </c>
      <c r="B75" s="644">
        <v>46062.0</v>
      </c>
      <c r="C75" s="644">
        <f t="shared" si="6"/>
        <v>46092</v>
      </c>
      <c r="D75" s="643">
        <v>141510.83</v>
      </c>
      <c r="E75" s="645" t="b">
        <v>1</v>
      </c>
      <c r="F75" s="646" t="str">
        <f t="shared" si="2"/>
        <v>PAGADO</v>
      </c>
      <c r="G75" s="340" t="s">
        <v>2278</v>
      </c>
      <c r="H75" s="646" t="str">
        <f t="shared" si="3"/>
        <v>VENCIDA</v>
      </c>
      <c r="I75" s="647">
        <f t="shared" si="5"/>
        <v>75</v>
      </c>
    </row>
    <row r="76">
      <c r="A76" s="643">
        <v>163480.0</v>
      </c>
      <c r="B76" s="644">
        <v>46076.0</v>
      </c>
      <c r="C76" s="644">
        <f t="shared" si="6"/>
        <v>46106</v>
      </c>
      <c r="D76" s="643">
        <v>204628.75</v>
      </c>
      <c r="E76" s="645" t="b">
        <v>1</v>
      </c>
      <c r="F76" s="646" t="str">
        <f t="shared" si="2"/>
        <v>PAGADO</v>
      </c>
      <c r="G76" s="340" t="s">
        <v>2278</v>
      </c>
      <c r="H76" s="646" t="str">
        <f t="shared" si="3"/>
        <v>VENCIDA</v>
      </c>
      <c r="I76" s="647">
        <f t="shared" si="5"/>
        <v>61</v>
      </c>
    </row>
    <row r="77">
      <c r="A77" s="643">
        <v>163479.0</v>
      </c>
      <c r="B77" s="644">
        <v>46076.0</v>
      </c>
      <c r="C77" s="644">
        <f t="shared" si="6"/>
        <v>46106</v>
      </c>
      <c r="D77" s="643">
        <v>116116.44</v>
      </c>
      <c r="E77" s="645" t="b">
        <v>1</v>
      </c>
      <c r="F77" s="646" t="str">
        <f t="shared" si="2"/>
        <v>PAGADO</v>
      </c>
      <c r="G77" s="340" t="s">
        <v>2278</v>
      </c>
      <c r="H77" s="646" t="str">
        <f t="shared" si="3"/>
        <v>VENCIDA</v>
      </c>
      <c r="I77" s="647">
        <f t="shared" si="5"/>
        <v>61</v>
      </c>
    </row>
    <row r="78">
      <c r="A78" s="643">
        <v>164340.0</v>
      </c>
      <c r="B78" s="644">
        <v>46090.0</v>
      </c>
      <c r="C78" s="644">
        <f t="shared" si="6"/>
        <v>46120</v>
      </c>
      <c r="D78" s="643">
        <v>71123.4</v>
      </c>
      <c r="E78" s="645" t="b">
        <v>1</v>
      </c>
      <c r="F78" s="646" t="str">
        <f t="shared" si="2"/>
        <v>PAGADO</v>
      </c>
      <c r="G78" s="340" t="s">
        <v>2278</v>
      </c>
      <c r="H78" s="646" t="str">
        <f t="shared" si="3"/>
        <v>VENCIDA</v>
      </c>
      <c r="I78" s="647">
        <f t="shared" si="5"/>
        <v>47</v>
      </c>
    </row>
    <row r="79">
      <c r="A79" s="643">
        <v>164339.0</v>
      </c>
      <c r="B79" s="644">
        <v>46090.0</v>
      </c>
      <c r="C79" s="644">
        <f t="shared" si="6"/>
        <v>46120</v>
      </c>
      <c r="D79" s="643">
        <v>180811.87</v>
      </c>
      <c r="E79" s="645" t="b">
        <v>1</v>
      </c>
      <c r="F79" s="646" t="str">
        <f t="shared" si="2"/>
        <v>PAGADO</v>
      </c>
      <c r="G79" s="340" t="s">
        <v>2278</v>
      </c>
      <c r="H79" s="646" t="str">
        <f t="shared" si="3"/>
        <v>VENCIDA</v>
      </c>
      <c r="I79" s="647">
        <f t="shared" si="5"/>
        <v>47</v>
      </c>
    </row>
    <row r="80">
      <c r="A80" s="643">
        <v>165094.0</v>
      </c>
      <c r="B80" s="644">
        <v>46101.0</v>
      </c>
      <c r="C80" s="644">
        <f t="shared" si="6"/>
        <v>46131</v>
      </c>
      <c r="D80" s="643">
        <v>229955.57</v>
      </c>
      <c r="E80" s="645" t="b">
        <v>1</v>
      </c>
      <c r="F80" s="646" t="str">
        <f t="shared" si="2"/>
        <v>PAGADO</v>
      </c>
      <c r="G80" s="340" t="s">
        <v>2278</v>
      </c>
      <c r="H80" s="646" t="str">
        <f t="shared" si="3"/>
        <v>VENCIDA</v>
      </c>
      <c r="I80" s="647">
        <f t="shared" si="5"/>
        <v>36</v>
      </c>
    </row>
    <row r="81">
      <c r="A81" s="643">
        <v>166077.0</v>
      </c>
      <c r="B81" s="644">
        <v>46121.0</v>
      </c>
      <c r="C81" s="644">
        <f t="shared" si="6"/>
        <v>46151</v>
      </c>
      <c r="D81" s="643">
        <v>239632.73</v>
      </c>
      <c r="E81" s="645" t="b">
        <v>1</v>
      </c>
      <c r="F81" s="646" t="str">
        <f t="shared" si="2"/>
        <v>PAGADO</v>
      </c>
      <c r="G81" s="340" t="s">
        <v>2278</v>
      </c>
      <c r="H81" s="646" t="str">
        <f t="shared" si="3"/>
        <v>VENCIDA</v>
      </c>
      <c r="I81" s="647">
        <f t="shared" si="5"/>
        <v>16</v>
      </c>
    </row>
    <row r="82">
      <c r="A82" s="643">
        <v>166078.0</v>
      </c>
      <c r="B82" s="644">
        <v>46121.0</v>
      </c>
      <c r="C82" s="644">
        <f t="shared" si="6"/>
        <v>46151</v>
      </c>
      <c r="D82" s="643">
        <v>69266.05</v>
      </c>
      <c r="E82" s="645" t="b">
        <v>1</v>
      </c>
      <c r="F82" s="646" t="str">
        <f t="shared" si="2"/>
        <v>PAGADO</v>
      </c>
      <c r="G82" s="340" t="s">
        <v>2278</v>
      </c>
      <c r="H82" s="646" t="str">
        <f t="shared" si="3"/>
        <v>VENCIDA</v>
      </c>
      <c r="I82" s="647">
        <f t="shared" si="5"/>
        <v>16</v>
      </c>
    </row>
    <row r="83">
      <c r="A83" s="643">
        <v>167477.0</v>
      </c>
      <c r="B83" s="644">
        <v>46146.0</v>
      </c>
      <c r="C83" s="644">
        <f>B83+7</f>
        <v>46153</v>
      </c>
      <c r="D83" s="643">
        <v>220825.54</v>
      </c>
      <c r="E83" s="645" t="b">
        <v>1</v>
      </c>
      <c r="F83" s="646" t="str">
        <f t="shared" si="2"/>
        <v>PAGADO</v>
      </c>
      <c r="G83" s="340" t="s">
        <v>2278</v>
      </c>
      <c r="H83" s="646" t="str">
        <f t="shared" si="3"/>
        <v>VENCIDA</v>
      </c>
      <c r="I83" s="647">
        <f t="shared" si="5"/>
        <v>14</v>
      </c>
    </row>
    <row r="84">
      <c r="A84" s="644"/>
      <c r="B84" s="644"/>
      <c r="C84" s="644">
        <f t="shared" ref="C84:C133" si="7">B84+30</f>
        <v>30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5"/>
        <v>46137</v>
      </c>
    </row>
    <row r="85">
      <c r="A85" s="644"/>
      <c r="B85" s="644"/>
      <c r="C85" s="644">
        <f t="shared" si="7"/>
        <v>30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5"/>
        <v>46137</v>
      </c>
    </row>
    <row r="86">
      <c r="A86" s="644"/>
      <c r="B86" s="644"/>
      <c r="C86" s="644">
        <f t="shared" si="7"/>
        <v>30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5"/>
        <v>46137</v>
      </c>
    </row>
    <row r="87">
      <c r="A87" s="644"/>
      <c r="B87" s="644"/>
      <c r="C87" s="644">
        <f t="shared" si="7"/>
        <v>30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5"/>
        <v>46137</v>
      </c>
    </row>
    <row r="88">
      <c r="A88" s="644"/>
      <c r="B88" s="644"/>
      <c r="C88" s="644">
        <f t="shared" si="7"/>
        <v>30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5"/>
        <v>46137</v>
      </c>
    </row>
    <row r="89">
      <c r="A89" s="644"/>
      <c r="B89" s="644"/>
      <c r="C89" s="644">
        <f t="shared" si="7"/>
        <v>30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5"/>
        <v>46137</v>
      </c>
    </row>
    <row r="90">
      <c r="A90" s="644"/>
      <c r="B90" s="644"/>
      <c r="C90" s="644">
        <f t="shared" si="7"/>
        <v>30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5"/>
        <v>46137</v>
      </c>
    </row>
    <row r="91">
      <c r="A91" s="644"/>
      <c r="B91" s="644"/>
      <c r="C91" s="644">
        <f t="shared" si="7"/>
        <v>30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5"/>
        <v>46137</v>
      </c>
    </row>
    <row r="92">
      <c r="A92" s="644"/>
      <c r="B92" s="644"/>
      <c r="C92" s="644">
        <f t="shared" si="7"/>
        <v>30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5"/>
        <v>46137</v>
      </c>
    </row>
    <row r="93">
      <c r="A93" s="644"/>
      <c r="B93" s="644"/>
      <c r="C93" s="644">
        <f t="shared" si="7"/>
        <v>30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5"/>
        <v>46137</v>
      </c>
    </row>
    <row r="94">
      <c r="A94" s="644"/>
      <c r="B94" s="644"/>
      <c r="C94" s="644">
        <f t="shared" si="7"/>
        <v>30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5"/>
        <v>46137</v>
      </c>
    </row>
    <row r="95">
      <c r="A95" s="644"/>
      <c r="B95" s="644"/>
      <c r="C95" s="644">
        <f t="shared" si="7"/>
        <v>30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5"/>
        <v>46137</v>
      </c>
    </row>
    <row r="96">
      <c r="A96" s="644"/>
      <c r="B96" s="644"/>
      <c r="C96" s="644">
        <f t="shared" si="7"/>
        <v>30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5"/>
        <v>46137</v>
      </c>
    </row>
    <row r="97">
      <c r="A97" s="644"/>
      <c r="B97" s="644"/>
      <c r="C97" s="644">
        <f t="shared" si="7"/>
        <v>30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5"/>
        <v>46137</v>
      </c>
    </row>
    <row r="98">
      <c r="A98" s="644"/>
      <c r="B98" s="644"/>
      <c r="C98" s="644">
        <f t="shared" si="7"/>
        <v>30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5"/>
        <v>46137</v>
      </c>
    </row>
    <row r="99">
      <c r="A99" s="644"/>
      <c r="B99" s="644"/>
      <c r="C99" s="644">
        <f t="shared" si="7"/>
        <v>30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5"/>
        <v>46137</v>
      </c>
    </row>
    <row r="100">
      <c r="A100" s="644"/>
      <c r="B100" s="644"/>
      <c r="C100" s="644">
        <f t="shared" si="7"/>
        <v>30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5"/>
        <v>46137</v>
      </c>
    </row>
    <row r="101">
      <c r="A101" s="644"/>
      <c r="B101" s="644"/>
      <c r="C101" s="644">
        <f t="shared" si="7"/>
        <v>30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5"/>
        <v>46137</v>
      </c>
    </row>
    <row r="102">
      <c r="A102" s="644"/>
      <c r="B102" s="644"/>
      <c r="C102" s="644">
        <f t="shared" si="7"/>
        <v>30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5"/>
        <v>46137</v>
      </c>
    </row>
    <row r="103">
      <c r="A103" s="644"/>
      <c r="B103" s="644"/>
      <c r="C103" s="644">
        <f t="shared" si="7"/>
        <v>30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5"/>
        <v>46137</v>
      </c>
    </row>
    <row r="104">
      <c r="A104" s="644"/>
      <c r="B104" s="644"/>
      <c r="C104" s="644">
        <f t="shared" si="7"/>
        <v>30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5"/>
        <v>46137</v>
      </c>
    </row>
    <row r="105">
      <c r="A105" s="644"/>
      <c r="B105" s="644"/>
      <c r="C105" s="644">
        <f t="shared" si="7"/>
        <v>30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5"/>
        <v>46137</v>
      </c>
    </row>
    <row r="106">
      <c r="A106" s="644"/>
      <c r="B106" s="644"/>
      <c r="C106" s="644">
        <f t="shared" si="7"/>
        <v>30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5"/>
        <v>46137</v>
      </c>
    </row>
    <row r="107">
      <c r="A107" s="644"/>
      <c r="B107" s="644"/>
      <c r="C107" s="644">
        <f t="shared" si="7"/>
        <v>30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5"/>
        <v>46137</v>
      </c>
    </row>
    <row r="108">
      <c r="A108" s="644"/>
      <c r="B108" s="644"/>
      <c r="C108" s="644">
        <f t="shared" si="7"/>
        <v>30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5"/>
        <v>46137</v>
      </c>
    </row>
    <row r="109">
      <c r="A109" s="644"/>
      <c r="B109" s="644"/>
      <c r="C109" s="644">
        <f t="shared" si="7"/>
        <v>30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5"/>
        <v>46137</v>
      </c>
    </row>
    <row r="110">
      <c r="A110" s="644"/>
      <c r="B110" s="644"/>
      <c r="C110" s="644">
        <f t="shared" si="7"/>
        <v>30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5"/>
        <v>46137</v>
      </c>
    </row>
    <row r="111">
      <c r="A111" s="644"/>
      <c r="B111" s="644"/>
      <c r="C111" s="644">
        <f t="shared" si="7"/>
        <v>30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5"/>
        <v>46137</v>
      </c>
    </row>
    <row r="112">
      <c r="A112" s="644"/>
      <c r="B112" s="644"/>
      <c r="C112" s="644">
        <f t="shared" si="7"/>
        <v>30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5"/>
        <v>46137</v>
      </c>
    </row>
    <row r="113">
      <c r="A113" s="644"/>
      <c r="B113" s="644"/>
      <c r="C113" s="644">
        <f t="shared" si="7"/>
        <v>30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5"/>
        <v>46137</v>
      </c>
    </row>
    <row r="114">
      <c r="A114" s="644"/>
      <c r="B114" s="644"/>
      <c r="C114" s="644">
        <f t="shared" si="7"/>
        <v>30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5"/>
        <v>46137</v>
      </c>
    </row>
    <row r="115">
      <c r="A115" s="644"/>
      <c r="B115" s="644"/>
      <c r="C115" s="644">
        <f t="shared" si="7"/>
        <v>30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5"/>
        <v>46137</v>
      </c>
    </row>
    <row r="116">
      <c r="A116" s="644"/>
      <c r="B116" s="644"/>
      <c r="C116" s="644">
        <f t="shared" si="7"/>
        <v>30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5"/>
        <v>46137</v>
      </c>
    </row>
    <row r="117">
      <c r="A117" s="644"/>
      <c r="B117" s="644"/>
      <c r="C117" s="644">
        <f t="shared" si="7"/>
        <v>30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5"/>
        <v>46137</v>
      </c>
    </row>
    <row r="118">
      <c r="A118" s="644"/>
      <c r="B118" s="644"/>
      <c r="C118" s="644">
        <f t="shared" si="7"/>
        <v>30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5"/>
        <v>46137</v>
      </c>
    </row>
    <row r="119">
      <c r="A119" s="644"/>
      <c r="B119" s="644"/>
      <c r="C119" s="644">
        <f t="shared" si="7"/>
        <v>30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5"/>
        <v>46137</v>
      </c>
    </row>
    <row r="120">
      <c r="A120" s="644"/>
      <c r="B120" s="644"/>
      <c r="C120" s="644">
        <f t="shared" si="7"/>
        <v>30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5"/>
        <v>46137</v>
      </c>
    </row>
    <row r="121">
      <c r="A121" s="644"/>
      <c r="B121" s="644"/>
      <c r="C121" s="644">
        <f t="shared" si="7"/>
        <v>30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5"/>
        <v>46137</v>
      </c>
    </row>
    <row r="122">
      <c r="A122" s="644"/>
      <c r="B122" s="644"/>
      <c r="C122" s="644">
        <f t="shared" si="7"/>
        <v>30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5"/>
        <v>46137</v>
      </c>
    </row>
    <row r="123">
      <c r="A123" s="644"/>
      <c r="B123" s="644"/>
      <c r="C123" s="644">
        <f t="shared" si="7"/>
        <v>30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5"/>
        <v>46137</v>
      </c>
    </row>
    <row r="124">
      <c r="A124" s="644"/>
      <c r="B124" s="644"/>
      <c r="C124" s="644">
        <f t="shared" si="7"/>
        <v>30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5"/>
        <v>46137</v>
      </c>
    </row>
    <row r="125">
      <c r="A125" s="644"/>
      <c r="B125" s="644"/>
      <c r="C125" s="644">
        <f t="shared" si="7"/>
        <v>30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5"/>
        <v>46137</v>
      </c>
    </row>
    <row r="126">
      <c r="A126" s="644"/>
      <c r="B126" s="644"/>
      <c r="C126" s="644">
        <f t="shared" si="7"/>
        <v>30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5"/>
        <v>46137</v>
      </c>
    </row>
    <row r="127">
      <c r="A127" s="644"/>
      <c r="B127" s="644"/>
      <c r="C127" s="644">
        <f t="shared" si="7"/>
        <v>30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5"/>
        <v>46137</v>
      </c>
    </row>
    <row r="128">
      <c r="A128" s="644"/>
      <c r="B128" s="644"/>
      <c r="C128" s="644">
        <f t="shared" si="7"/>
        <v>30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5"/>
        <v>46137</v>
      </c>
    </row>
    <row r="129">
      <c r="A129" s="644"/>
      <c r="B129" s="644"/>
      <c r="C129" s="644">
        <f t="shared" si="7"/>
        <v>30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5"/>
        <v>46137</v>
      </c>
    </row>
    <row r="130">
      <c r="A130" s="644"/>
      <c r="B130" s="644"/>
      <c r="C130" s="644">
        <f t="shared" si="7"/>
        <v>30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5"/>
        <v>46137</v>
      </c>
    </row>
    <row r="131">
      <c r="A131" s="644"/>
      <c r="B131" s="644"/>
      <c r="C131" s="644">
        <f t="shared" si="7"/>
        <v>30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5"/>
        <v>46137</v>
      </c>
    </row>
    <row r="132">
      <c r="A132" s="644"/>
      <c r="B132" s="644"/>
      <c r="C132" s="644">
        <f t="shared" si="7"/>
        <v>30</v>
      </c>
      <c r="D132" s="643"/>
      <c r="E132" s="658" t="b">
        <v>0</v>
      </c>
      <c r="F132" s="646" t="str">
        <f t="shared" si="2"/>
        <v>ADEUDA</v>
      </c>
      <c r="G132" s="340" t="s">
        <v>2278</v>
      </c>
      <c r="H132" s="646" t="str">
        <f t="shared" si="3"/>
        <v>VENCIDA</v>
      </c>
      <c r="I132" s="647">
        <f t="shared" si="5"/>
        <v>46137</v>
      </c>
    </row>
    <row r="133">
      <c r="A133" s="644"/>
      <c r="B133" s="644"/>
      <c r="C133" s="644">
        <f t="shared" si="7"/>
        <v>30</v>
      </c>
      <c r="D133" s="643"/>
      <c r="E133" s="645" t="b">
        <v>0</v>
      </c>
      <c r="F133" s="646" t="str">
        <f t="shared" si="2"/>
        <v>ADEUDA</v>
      </c>
      <c r="G133" s="340" t="s">
        <v>2278</v>
      </c>
      <c r="H133" s="646" t="str">
        <f t="shared" si="3"/>
        <v>VENCIDA</v>
      </c>
      <c r="I133" s="647">
        <f t="shared" si="5"/>
        <v>46137</v>
      </c>
    </row>
    <row r="135">
      <c r="C135" s="771"/>
    </row>
    <row r="136">
      <c r="C136" s="772" t="s">
        <v>55</v>
      </c>
      <c r="D136" s="3">
        <f>SUMIF(F4:F133,C136,D4:D133)</f>
        <v>0</v>
      </c>
    </row>
    <row r="137">
      <c r="C137" s="773" t="s">
        <v>527</v>
      </c>
      <c r="D137" s="3">
        <f>SUMIF(F4:F133,C137,D4:D133)</f>
        <v>12013934.23</v>
      </c>
    </row>
    <row r="138">
      <c r="C138" s="697" t="s">
        <v>28</v>
      </c>
      <c r="D138" s="3">
        <f>D136+D137</f>
        <v>12013934.23</v>
      </c>
    </row>
  </sheetData>
  <mergeCells count="3">
    <mergeCell ref="A1:H1"/>
    <mergeCell ref="A2:I2"/>
    <mergeCell ref="E3:F3"/>
  </mergeCells>
  <conditionalFormatting sqref="F4:F133">
    <cfRule type="expression" dxfId="1" priority="1">
      <formula>F4="PAGADO"</formula>
    </cfRule>
  </conditionalFormatting>
  <conditionalFormatting sqref="F4:F133">
    <cfRule type="expression" dxfId="2" priority="2">
      <formula>F4="ADEUDA"</formula>
    </cfRule>
  </conditionalFormatting>
  <conditionalFormatting sqref="H4:H133">
    <cfRule type="cellIs" dxfId="3" priority="4" operator="equal">
      <formula>"VENCIDA"</formula>
    </cfRule>
  </conditionalFormatting>
  <conditionalFormatting sqref="H4:H133">
    <cfRule type="cellIs" dxfId="4" priority="5" operator="equal">
      <formula>"VIGENTE"</formula>
    </cfRule>
  </conditionalFormatting>
  <conditionalFormatting sqref="H4:H133">
    <cfRule type="cellIs" dxfId="2" priority="6" operator="equal">
      <formula>"VENCE HOY"</formula>
    </cfRule>
  </conditionalFormatting>
  <dataValidations>
    <dataValidation type="list" allowBlank="1" showErrorMessage="1" sqref="G4:G133">
      <formula1>"transferencia,mercado pago,efectivo"</formula1>
    </dataValidation>
  </dataValidations>
  <drawing r:id="rId4"/>
  <legacyDrawing r:id="rId5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2407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>
        <v>1.9600302E7</v>
      </c>
      <c r="B3" s="644">
        <v>45700.0</v>
      </c>
      <c r="C3" s="644">
        <f t="shared" ref="C3:C111" si="1">B3+7</f>
        <v>45707</v>
      </c>
      <c r="D3" s="643">
        <v>55616.2</v>
      </c>
      <c r="E3" s="645" t="b">
        <v>1</v>
      </c>
      <c r="F3" s="646" t="str">
        <f t="shared" ref="F3:F161" si="2">IF(E3,"PAGADO","ADEUDA")</f>
        <v>PAGADO</v>
      </c>
      <c r="G3" s="340" t="s">
        <v>2276</v>
      </c>
      <c r="H3" s="646" t="str">
        <f t="shared" ref="H3:H161" si="3">IF(C3&lt;TODAY(),"VENCIDA",IF(C3=TODAY(),"VENCE HOY",IF(C3&gt;TODAY(),"VIGENTE")))</f>
        <v>VENCIDA</v>
      </c>
      <c r="I3" s="647">
        <f t="shared" ref="I3:I161" si="4">TODAY()-C3</f>
        <v>460</v>
      </c>
      <c r="J3" s="768" t="s">
        <v>31</v>
      </c>
      <c r="K3" s="769">
        <f>D3+D4+D5+D6+D7++D8+D9</f>
        <v>356815.77</v>
      </c>
    </row>
    <row r="4">
      <c r="A4" s="643">
        <v>1.961343E7</v>
      </c>
      <c r="B4" s="644">
        <v>45702.0</v>
      </c>
      <c r="C4" s="644">
        <f t="shared" si="1"/>
        <v>45709</v>
      </c>
      <c r="D4" s="643">
        <v>39228.67</v>
      </c>
      <c r="E4" s="645" t="b">
        <v>1</v>
      </c>
      <c r="F4" s="646" t="str">
        <f t="shared" si="2"/>
        <v>PAGADO</v>
      </c>
      <c r="G4" s="340" t="s">
        <v>2276</v>
      </c>
      <c r="H4" s="646" t="str">
        <f t="shared" si="3"/>
        <v>VENCIDA</v>
      </c>
      <c r="I4" s="647">
        <f t="shared" si="4"/>
        <v>458</v>
      </c>
      <c r="J4" s="768" t="s">
        <v>35</v>
      </c>
      <c r="K4" s="770"/>
    </row>
    <row r="5">
      <c r="A5" s="643">
        <v>1.9623674E7</v>
      </c>
      <c r="B5" s="644">
        <v>45705.0</v>
      </c>
      <c r="C5" s="644">
        <f t="shared" si="1"/>
        <v>45712</v>
      </c>
      <c r="D5" s="643">
        <v>32583.67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455</v>
      </c>
      <c r="J5" s="768" t="s">
        <v>37</v>
      </c>
      <c r="K5" s="770"/>
    </row>
    <row r="6">
      <c r="A6" s="643">
        <v>1.9636878E7</v>
      </c>
      <c r="B6" s="644">
        <v>45707.0</v>
      </c>
      <c r="C6" s="644">
        <f t="shared" si="1"/>
        <v>45714</v>
      </c>
      <c r="D6" s="643">
        <v>39697.54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453</v>
      </c>
      <c r="J6" s="768" t="s">
        <v>39</v>
      </c>
      <c r="K6" s="770"/>
    </row>
    <row r="7">
      <c r="A7" s="643">
        <v>1.96602249E8</v>
      </c>
      <c r="B7" s="644">
        <v>45712.0</v>
      </c>
      <c r="C7" s="644">
        <f t="shared" si="1"/>
        <v>45719</v>
      </c>
      <c r="D7" s="643">
        <v>98028.58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448</v>
      </c>
      <c r="J7" s="768" t="s">
        <v>41</v>
      </c>
      <c r="K7" s="770"/>
    </row>
    <row r="8">
      <c r="A8" s="643">
        <v>1.9679709E7</v>
      </c>
      <c r="B8" s="644">
        <v>45714.0</v>
      </c>
      <c r="C8" s="644">
        <f t="shared" si="1"/>
        <v>45721</v>
      </c>
      <c r="D8" s="643">
        <v>39697.54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446</v>
      </c>
      <c r="J8" s="768" t="s">
        <v>42</v>
      </c>
      <c r="K8" s="770">
        <f>D55+D56+D57+D58+D59+D60+D61+D62+D63+D64</f>
        <v>765110.14</v>
      </c>
    </row>
    <row r="9">
      <c r="A9" s="643">
        <v>1.9686111E7</v>
      </c>
      <c r="B9" s="644">
        <v>45716.0</v>
      </c>
      <c r="C9" s="644">
        <f t="shared" si="1"/>
        <v>45723</v>
      </c>
      <c r="D9" s="643">
        <v>51963.57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444</v>
      </c>
      <c r="J9" s="768" t="s">
        <v>43</v>
      </c>
      <c r="K9" s="770">
        <f>D65+D66+D67+D68+D69+D70+D71+D72+D73+D74+D75+D76+D77</f>
        <v>716198.23</v>
      </c>
    </row>
    <row r="10">
      <c r="A10" s="643">
        <v>1.9702079E7</v>
      </c>
      <c r="B10" s="644">
        <v>45721.0</v>
      </c>
      <c r="C10" s="644">
        <f t="shared" si="1"/>
        <v>45728</v>
      </c>
      <c r="D10" s="643">
        <v>39697.54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439</v>
      </c>
      <c r="J10" s="768" t="s">
        <v>45</v>
      </c>
      <c r="K10" s="770"/>
    </row>
    <row r="11">
      <c r="A11" s="643">
        <v>1.971453E7</v>
      </c>
      <c r="B11" s="644">
        <v>45723.0</v>
      </c>
      <c r="C11" s="644">
        <f t="shared" si="1"/>
        <v>45730</v>
      </c>
      <c r="D11" s="643">
        <v>64752.21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437</v>
      </c>
      <c r="J11" s="768" t="s">
        <v>49</v>
      </c>
      <c r="K11" s="770"/>
    </row>
    <row r="12">
      <c r="A12" s="643">
        <v>1.97246E7</v>
      </c>
      <c r="B12" s="644">
        <v>45726.0</v>
      </c>
      <c r="C12" s="644">
        <f t="shared" si="1"/>
        <v>45733</v>
      </c>
      <c r="D12" s="643">
        <v>39697.54</v>
      </c>
      <c r="E12" s="645" t="b">
        <v>1</v>
      </c>
      <c r="F12" s="646" t="str">
        <f t="shared" si="2"/>
        <v>PAGADO</v>
      </c>
      <c r="G12" s="340" t="s">
        <v>2276</v>
      </c>
      <c r="H12" s="646" t="str">
        <f t="shared" si="3"/>
        <v>VENCIDA</v>
      </c>
      <c r="I12" s="647">
        <f t="shared" si="4"/>
        <v>434</v>
      </c>
      <c r="J12" s="768" t="s">
        <v>50</v>
      </c>
      <c r="K12" s="770"/>
    </row>
    <row r="13">
      <c r="A13" s="643">
        <v>1.97367E7</v>
      </c>
      <c r="B13" s="644">
        <v>45728.0</v>
      </c>
      <c r="C13" s="644">
        <f t="shared" si="1"/>
        <v>45735</v>
      </c>
      <c r="D13" s="643">
        <v>55616.2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432</v>
      </c>
      <c r="J13" s="768" t="s">
        <v>51</v>
      </c>
      <c r="K13" s="770">
        <f>SUM(D113:D123)</f>
        <v>638014.31</v>
      </c>
    </row>
    <row r="14">
      <c r="A14" s="643">
        <v>1.9750906E7</v>
      </c>
      <c r="B14" s="644">
        <v>45730.0</v>
      </c>
      <c r="C14" s="644">
        <f t="shared" si="1"/>
        <v>45737</v>
      </c>
      <c r="D14" s="643">
        <v>39697.54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430</v>
      </c>
    </row>
    <row r="15">
      <c r="A15" s="643">
        <v>1.9761262E7</v>
      </c>
      <c r="B15" s="644">
        <v>45733.0</v>
      </c>
      <c r="C15" s="644">
        <f t="shared" si="1"/>
        <v>45740</v>
      </c>
      <c r="D15" s="643">
        <v>55147.33</v>
      </c>
      <c r="E15" s="654" t="b">
        <v>1</v>
      </c>
      <c r="F15" s="646" t="str">
        <f t="shared" si="2"/>
        <v>PAGADO</v>
      </c>
      <c r="G15" s="340" t="s">
        <v>2276</v>
      </c>
      <c r="H15" s="646" t="str">
        <f t="shared" si="3"/>
        <v>VENCIDA</v>
      </c>
      <c r="I15" s="647">
        <f t="shared" si="4"/>
        <v>427</v>
      </c>
    </row>
    <row r="16">
      <c r="A16" s="643">
        <v>1.9774101E7</v>
      </c>
      <c r="B16" s="644">
        <v>45735.0</v>
      </c>
      <c r="C16" s="644">
        <f t="shared" si="1"/>
        <v>45742</v>
      </c>
      <c r="D16" s="643">
        <v>59546.31</v>
      </c>
      <c r="E16" s="654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4"/>
        <v>425</v>
      </c>
    </row>
    <row r="17">
      <c r="A17" s="643">
        <v>1.9788431E7</v>
      </c>
      <c r="B17" s="644">
        <v>45737.0</v>
      </c>
      <c r="C17" s="644">
        <f t="shared" si="1"/>
        <v>45744</v>
      </c>
      <c r="D17" s="643">
        <v>94844.87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423</v>
      </c>
    </row>
    <row r="18">
      <c r="A18" s="643">
        <v>1.9805103E7</v>
      </c>
      <c r="B18" s="644">
        <v>45742.0</v>
      </c>
      <c r="C18" s="644">
        <f t="shared" si="1"/>
        <v>45749</v>
      </c>
      <c r="D18" s="643">
        <v>39697.54</v>
      </c>
      <c r="E18" s="645" t="b">
        <v>1</v>
      </c>
      <c r="F18" s="646" t="str">
        <f t="shared" si="2"/>
        <v>PAGADO</v>
      </c>
      <c r="G18" s="340" t="s">
        <v>2276</v>
      </c>
      <c r="H18" s="646" t="str">
        <f t="shared" si="3"/>
        <v>VENCIDA</v>
      </c>
      <c r="I18" s="647">
        <f t="shared" si="4"/>
        <v>418</v>
      </c>
    </row>
    <row r="19">
      <c r="A19" s="643">
        <v>1.9819003E7</v>
      </c>
      <c r="B19" s="644">
        <v>45744.0</v>
      </c>
      <c r="C19" s="644">
        <f t="shared" si="1"/>
        <v>45751</v>
      </c>
      <c r="D19" s="643">
        <v>39697.54</v>
      </c>
      <c r="E19" s="645" t="b">
        <v>1</v>
      </c>
      <c r="F19" s="646" t="str">
        <f t="shared" si="2"/>
        <v>PAGADO</v>
      </c>
      <c r="G19" s="340" t="s">
        <v>2276</v>
      </c>
      <c r="H19" s="646" t="str">
        <f t="shared" si="3"/>
        <v>VENCIDA</v>
      </c>
      <c r="I19" s="647">
        <f t="shared" si="4"/>
        <v>416</v>
      </c>
    </row>
    <row r="20">
      <c r="A20" s="643">
        <v>1.9830619E7</v>
      </c>
      <c r="B20" s="644">
        <v>45747.0</v>
      </c>
      <c r="C20" s="644">
        <f t="shared" si="1"/>
        <v>45754</v>
      </c>
      <c r="D20" s="643">
        <v>91661.11</v>
      </c>
      <c r="E20" s="645" t="b">
        <v>1</v>
      </c>
      <c r="F20" s="646" t="str">
        <f t="shared" si="2"/>
        <v>PAGADO</v>
      </c>
      <c r="G20" s="340" t="s">
        <v>2276</v>
      </c>
      <c r="H20" s="646" t="str">
        <f t="shared" si="3"/>
        <v>VENCIDA</v>
      </c>
      <c r="I20" s="647">
        <f t="shared" si="4"/>
        <v>413</v>
      </c>
    </row>
    <row r="21">
      <c r="A21" s="643">
        <v>1.9847303E7</v>
      </c>
      <c r="B21" s="644">
        <v>45751.0</v>
      </c>
      <c r="C21" s="644">
        <f t="shared" si="1"/>
        <v>45758</v>
      </c>
      <c r="D21" s="643">
        <v>40843.97</v>
      </c>
      <c r="E21" s="645" t="b">
        <v>1</v>
      </c>
      <c r="F21" s="646" t="str">
        <f t="shared" si="2"/>
        <v>PAGADO</v>
      </c>
      <c r="G21" s="340" t="s">
        <v>2276</v>
      </c>
      <c r="H21" s="646" t="str">
        <f t="shared" si="3"/>
        <v>VENCIDA</v>
      </c>
      <c r="I21" s="647">
        <f t="shared" si="4"/>
        <v>409</v>
      </c>
    </row>
    <row r="22">
      <c r="A22" s="643">
        <v>1.9857893E7</v>
      </c>
      <c r="B22" s="644">
        <v>45754.0</v>
      </c>
      <c r="C22" s="644">
        <f t="shared" si="1"/>
        <v>45761</v>
      </c>
      <c r="D22" s="643">
        <v>61265.95</v>
      </c>
      <c r="E22" s="645" t="b">
        <v>1</v>
      </c>
      <c r="F22" s="646" t="str">
        <f t="shared" si="2"/>
        <v>PAGADO</v>
      </c>
      <c r="G22" s="340" t="s">
        <v>2276</v>
      </c>
      <c r="H22" s="646" t="str">
        <f t="shared" si="3"/>
        <v>VENCIDA</v>
      </c>
      <c r="I22" s="647">
        <f t="shared" si="4"/>
        <v>406</v>
      </c>
    </row>
    <row r="23">
      <c r="A23" s="643">
        <v>1.9871144E7</v>
      </c>
      <c r="B23" s="644">
        <v>45756.0</v>
      </c>
      <c r="C23" s="644">
        <f t="shared" si="1"/>
        <v>45763</v>
      </c>
      <c r="D23" s="643">
        <v>40361.56</v>
      </c>
      <c r="E23" s="645" t="b">
        <v>1</v>
      </c>
      <c r="F23" s="646" t="str">
        <f t="shared" si="2"/>
        <v>PAGADO</v>
      </c>
      <c r="G23" s="340" t="s">
        <v>2276</v>
      </c>
      <c r="H23" s="646" t="str">
        <f t="shared" si="3"/>
        <v>VENCIDA</v>
      </c>
      <c r="I23" s="647">
        <f t="shared" si="4"/>
        <v>404</v>
      </c>
    </row>
    <row r="24">
      <c r="A24" s="643">
        <v>1.9877825E7</v>
      </c>
      <c r="B24" s="644">
        <v>45757.0</v>
      </c>
      <c r="C24" s="644">
        <f t="shared" si="1"/>
        <v>45764</v>
      </c>
      <c r="D24" s="643">
        <v>67101.1</v>
      </c>
      <c r="E24" s="645" t="b">
        <v>1</v>
      </c>
      <c r="F24" s="646" t="str">
        <f t="shared" si="2"/>
        <v>PAGADO</v>
      </c>
      <c r="G24" s="340" t="s">
        <v>2276</v>
      </c>
      <c r="H24" s="646" t="str">
        <f t="shared" si="3"/>
        <v>VENCIDA</v>
      </c>
      <c r="I24" s="647">
        <f t="shared" si="4"/>
        <v>403</v>
      </c>
    </row>
    <row r="25">
      <c r="A25" s="643">
        <v>1.9889294E7</v>
      </c>
      <c r="B25" s="644">
        <v>45761.0</v>
      </c>
      <c r="C25" s="644">
        <f t="shared" si="1"/>
        <v>45768</v>
      </c>
      <c r="D25" s="643">
        <v>40843.97</v>
      </c>
      <c r="E25" s="645" t="b">
        <v>1</v>
      </c>
      <c r="F25" s="646" t="str">
        <f t="shared" si="2"/>
        <v>PAGADO</v>
      </c>
      <c r="G25" s="340" t="s">
        <v>2276</v>
      </c>
      <c r="H25" s="646" t="str">
        <f t="shared" si="3"/>
        <v>VENCIDA</v>
      </c>
      <c r="I25" s="647">
        <f t="shared" si="4"/>
        <v>399</v>
      </c>
    </row>
    <row r="26">
      <c r="A26" s="643">
        <v>1.9903284E7</v>
      </c>
      <c r="B26" s="644">
        <v>45763.0</v>
      </c>
      <c r="C26" s="644">
        <f t="shared" si="1"/>
        <v>45770</v>
      </c>
      <c r="D26" s="643">
        <v>59946.36</v>
      </c>
      <c r="E26" s="645" t="b">
        <v>1</v>
      </c>
      <c r="F26" s="646" t="str">
        <f t="shared" si="2"/>
        <v>PAGADO</v>
      </c>
      <c r="G26" s="340" t="s">
        <v>2276</v>
      </c>
      <c r="H26" s="646" t="str">
        <f t="shared" si="3"/>
        <v>VENCIDA</v>
      </c>
      <c r="I26" s="647">
        <f t="shared" si="4"/>
        <v>397</v>
      </c>
    </row>
    <row r="27">
      <c r="A27" s="643">
        <v>1.9909869E7</v>
      </c>
      <c r="B27" s="644">
        <v>45764.0</v>
      </c>
      <c r="C27" s="644">
        <f t="shared" si="1"/>
        <v>45771</v>
      </c>
      <c r="D27" s="643">
        <v>81205.52</v>
      </c>
      <c r="E27" s="645" t="b">
        <v>1</v>
      </c>
      <c r="F27" s="646" t="str">
        <f t="shared" si="2"/>
        <v>PAGADO</v>
      </c>
      <c r="G27" s="340" t="s">
        <v>2276</v>
      </c>
      <c r="H27" s="646" t="str">
        <f t="shared" si="3"/>
        <v>VENCIDA</v>
      </c>
      <c r="I27" s="647">
        <f t="shared" si="4"/>
        <v>396</v>
      </c>
    </row>
    <row r="28">
      <c r="A28" s="643">
        <v>1.9920159E7</v>
      </c>
      <c r="B28" s="644">
        <v>45768.0</v>
      </c>
      <c r="C28" s="644">
        <f t="shared" si="1"/>
        <v>45775</v>
      </c>
      <c r="D28" s="643">
        <v>20421.98</v>
      </c>
      <c r="E28" s="645" t="b">
        <v>1</v>
      </c>
      <c r="F28" s="646" t="str">
        <f t="shared" si="2"/>
        <v>PAGADO</v>
      </c>
      <c r="G28" s="340" t="s">
        <v>2276</v>
      </c>
      <c r="H28" s="646" t="str">
        <f t="shared" si="3"/>
        <v>VENCIDA</v>
      </c>
      <c r="I28" s="647">
        <f t="shared" si="4"/>
        <v>392</v>
      </c>
    </row>
    <row r="29">
      <c r="A29" s="643">
        <v>1.9934215E7</v>
      </c>
      <c r="B29" s="644">
        <v>45770.0</v>
      </c>
      <c r="C29" s="644">
        <f t="shared" si="1"/>
        <v>45777</v>
      </c>
      <c r="D29" s="643">
        <v>40843.97</v>
      </c>
      <c r="E29" s="645" t="b">
        <v>1</v>
      </c>
      <c r="F29" s="646" t="str">
        <f t="shared" si="2"/>
        <v>PAGADO</v>
      </c>
      <c r="G29" s="340" t="s">
        <v>2276</v>
      </c>
      <c r="H29" s="646" t="str">
        <f t="shared" si="3"/>
        <v>VENCIDA</v>
      </c>
      <c r="I29" s="647">
        <f t="shared" si="4"/>
        <v>390</v>
      </c>
    </row>
    <row r="30">
      <c r="A30" s="643">
        <v>1.9964962E7</v>
      </c>
      <c r="B30" s="644">
        <v>45776.0</v>
      </c>
      <c r="C30" s="644">
        <f t="shared" si="1"/>
        <v>45783</v>
      </c>
      <c r="D30" s="643">
        <v>53096.46</v>
      </c>
      <c r="E30" s="645" t="b">
        <v>1</v>
      </c>
      <c r="F30" s="646" t="str">
        <f t="shared" si="2"/>
        <v>PAGADO</v>
      </c>
      <c r="G30" s="340" t="s">
        <v>2276</v>
      </c>
      <c r="H30" s="646" t="str">
        <f t="shared" si="3"/>
        <v>VENCIDA</v>
      </c>
      <c r="I30" s="647">
        <f t="shared" si="4"/>
        <v>384</v>
      </c>
    </row>
    <row r="31">
      <c r="A31" s="643">
        <v>1.9972013E7</v>
      </c>
      <c r="B31" s="644">
        <v>45777.0</v>
      </c>
      <c r="C31" s="644">
        <f t="shared" si="1"/>
        <v>45784</v>
      </c>
      <c r="D31" s="643">
        <v>102109.92</v>
      </c>
      <c r="E31" s="645" t="b">
        <v>1</v>
      </c>
      <c r="F31" s="646" t="str">
        <f t="shared" si="2"/>
        <v>PAGADO</v>
      </c>
      <c r="G31" s="340" t="s">
        <v>2276</v>
      </c>
      <c r="H31" s="646" t="str">
        <f t="shared" si="3"/>
        <v>VENCIDA</v>
      </c>
      <c r="I31" s="647">
        <f t="shared" si="4"/>
        <v>383</v>
      </c>
    </row>
    <row r="32">
      <c r="A32" s="643">
        <v>1.9988376E7</v>
      </c>
      <c r="B32" s="644">
        <v>45782.0</v>
      </c>
      <c r="C32" s="644">
        <f t="shared" si="1"/>
        <v>45789</v>
      </c>
      <c r="D32" s="643">
        <v>41873.82</v>
      </c>
      <c r="E32" s="645" t="b">
        <v>1</v>
      </c>
      <c r="F32" s="646" t="str">
        <f t="shared" si="2"/>
        <v>PAGADO</v>
      </c>
      <c r="G32" s="340" t="s">
        <v>2276</v>
      </c>
      <c r="H32" s="646" t="str">
        <f t="shared" si="3"/>
        <v>VENCIDA</v>
      </c>
      <c r="I32" s="647">
        <f t="shared" si="4"/>
        <v>378</v>
      </c>
    </row>
    <row r="33">
      <c r="A33" s="643">
        <v>2.0001271E7</v>
      </c>
      <c r="B33" s="644">
        <v>45784.0</v>
      </c>
      <c r="C33" s="644">
        <f t="shared" si="1"/>
        <v>45791</v>
      </c>
      <c r="D33" s="643">
        <v>41873.82</v>
      </c>
      <c r="E33" s="645" t="b">
        <v>1</v>
      </c>
      <c r="F33" s="646" t="str">
        <f t="shared" si="2"/>
        <v>PAGADO</v>
      </c>
      <c r="G33" s="340" t="s">
        <v>2276</v>
      </c>
      <c r="H33" s="646" t="str">
        <f t="shared" si="3"/>
        <v>VENCIDA</v>
      </c>
      <c r="I33" s="647">
        <f t="shared" si="4"/>
        <v>376</v>
      </c>
    </row>
    <row r="34">
      <c r="A34" s="643">
        <v>2.0013841E7</v>
      </c>
      <c r="B34" s="644">
        <v>45786.0</v>
      </c>
      <c r="C34" s="644">
        <f t="shared" si="1"/>
        <v>45793</v>
      </c>
      <c r="D34" s="643">
        <v>55132.95</v>
      </c>
      <c r="E34" s="645" t="b">
        <v>1</v>
      </c>
      <c r="F34" s="646" t="str">
        <f t="shared" si="2"/>
        <v>PAGADO</v>
      </c>
      <c r="G34" s="340" t="s">
        <v>2276</v>
      </c>
      <c r="H34" s="646" t="str">
        <f t="shared" si="3"/>
        <v>VENCIDA</v>
      </c>
      <c r="I34" s="647">
        <f t="shared" si="4"/>
        <v>374</v>
      </c>
    </row>
    <row r="35">
      <c r="A35" s="643">
        <v>2.0023725E7</v>
      </c>
      <c r="B35" s="644">
        <v>45789.0</v>
      </c>
      <c r="C35" s="644">
        <f t="shared" si="1"/>
        <v>45796</v>
      </c>
      <c r="D35" s="643">
        <v>68781.49</v>
      </c>
      <c r="E35" s="645" t="b">
        <v>1</v>
      </c>
      <c r="F35" s="646" t="str">
        <f t="shared" si="2"/>
        <v>PAGADO</v>
      </c>
      <c r="G35" s="340" t="s">
        <v>2276</v>
      </c>
      <c r="H35" s="646" t="str">
        <f t="shared" si="3"/>
        <v>VENCIDA</v>
      </c>
      <c r="I35" s="647">
        <f t="shared" si="4"/>
        <v>371</v>
      </c>
    </row>
    <row r="36">
      <c r="A36" s="643">
        <v>2.0036642E7</v>
      </c>
      <c r="B36" s="644">
        <v>45791.0</v>
      </c>
      <c r="C36" s="644">
        <f t="shared" si="1"/>
        <v>45798</v>
      </c>
      <c r="D36" s="643">
        <v>62810.71</v>
      </c>
      <c r="E36" s="645" t="b">
        <v>1</v>
      </c>
      <c r="F36" s="646" t="str">
        <f t="shared" si="2"/>
        <v>PAGADO</v>
      </c>
      <c r="G36" s="340" t="s">
        <v>2276</v>
      </c>
      <c r="H36" s="646" t="str">
        <f t="shared" si="3"/>
        <v>VENCIDA</v>
      </c>
      <c r="I36" s="647">
        <f t="shared" si="4"/>
        <v>369</v>
      </c>
    </row>
    <row r="37">
      <c r="A37" s="643">
        <v>2.0049796E7</v>
      </c>
      <c r="B37" s="644">
        <v>45793.0</v>
      </c>
      <c r="C37" s="644">
        <f t="shared" si="1"/>
        <v>45800</v>
      </c>
      <c r="D37" s="643">
        <v>81085.84</v>
      </c>
      <c r="E37" s="645" t="b">
        <v>1</v>
      </c>
      <c r="F37" s="646" t="str">
        <f t="shared" si="2"/>
        <v>PAGADO</v>
      </c>
      <c r="G37" s="340" t="s">
        <v>2276</v>
      </c>
      <c r="H37" s="646" t="str">
        <f t="shared" si="3"/>
        <v>VENCIDA</v>
      </c>
      <c r="I37" s="647">
        <f t="shared" si="4"/>
        <v>367</v>
      </c>
    </row>
    <row r="38">
      <c r="A38" s="643">
        <v>2.0059828E7</v>
      </c>
      <c r="B38" s="644">
        <v>45796.0</v>
      </c>
      <c r="C38" s="644">
        <f t="shared" si="1"/>
        <v>45803</v>
      </c>
      <c r="D38" s="643">
        <v>40012.74</v>
      </c>
      <c r="E38" s="645" t="b">
        <v>1</v>
      </c>
      <c r="F38" s="646" t="str">
        <f t="shared" si="2"/>
        <v>PAGADO</v>
      </c>
      <c r="G38" s="340" t="s">
        <v>2276</v>
      </c>
      <c r="H38" s="646" t="str">
        <f t="shared" si="3"/>
        <v>VENCIDA</v>
      </c>
      <c r="I38" s="647">
        <f t="shared" si="4"/>
        <v>364</v>
      </c>
    </row>
    <row r="39">
      <c r="A39" s="643">
        <v>2.0087185E7</v>
      </c>
      <c r="B39" s="644">
        <v>45799.0</v>
      </c>
      <c r="C39" s="644">
        <f t="shared" si="1"/>
        <v>45806</v>
      </c>
      <c r="D39" s="643">
        <v>80025.5</v>
      </c>
      <c r="E39" s="645" t="b">
        <v>1</v>
      </c>
      <c r="F39" s="646" t="str">
        <f t="shared" si="2"/>
        <v>PAGADO</v>
      </c>
      <c r="G39" s="340" t="s">
        <v>2276</v>
      </c>
      <c r="H39" s="646" t="str">
        <f t="shared" si="3"/>
        <v>VENCIDA</v>
      </c>
      <c r="I39" s="647">
        <f t="shared" si="4"/>
        <v>361</v>
      </c>
    </row>
    <row r="40">
      <c r="A40" s="643">
        <v>2.0097251E7</v>
      </c>
      <c r="B40" s="644">
        <v>45803.0</v>
      </c>
      <c r="C40" s="644">
        <f t="shared" si="1"/>
        <v>45810</v>
      </c>
      <c r="D40" s="643">
        <v>40012.74</v>
      </c>
      <c r="E40" s="645" t="b">
        <v>1</v>
      </c>
      <c r="F40" s="646" t="str">
        <f t="shared" si="2"/>
        <v>PAGADO</v>
      </c>
      <c r="G40" s="340" t="s">
        <v>2276</v>
      </c>
      <c r="H40" s="646" t="str">
        <f t="shared" si="3"/>
        <v>VENCIDA</v>
      </c>
      <c r="I40" s="647">
        <f t="shared" si="4"/>
        <v>357</v>
      </c>
    </row>
    <row r="41">
      <c r="A41" s="643">
        <v>2.0110317E7</v>
      </c>
      <c r="B41" s="644">
        <v>45805.0</v>
      </c>
      <c r="C41" s="644">
        <f t="shared" si="1"/>
        <v>45812</v>
      </c>
      <c r="D41" s="643">
        <v>40012.74</v>
      </c>
      <c r="E41" s="645" t="b">
        <v>1</v>
      </c>
      <c r="F41" s="646" t="str">
        <f t="shared" si="2"/>
        <v>PAGADO</v>
      </c>
      <c r="G41" s="340" t="s">
        <v>2276</v>
      </c>
      <c r="H41" s="646" t="str">
        <f t="shared" si="3"/>
        <v>VENCIDA</v>
      </c>
      <c r="I41" s="647">
        <f t="shared" si="4"/>
        <v>355</v>
      </c>
    </row>
    <row r="42">
      <c r="A42" s="643">
        <v>2.0122943E7</v>
      </c>
      <c r="B42" s="644">
        <v>45807.0</v>
      </c>
      <c r="C42" s="644">
        <f t="shared" si="1"/>
        <v>45814</v>
      </c>
      <c r="D42" s="643">
        <v>41379.24</v>
      </c>
      <c r="E42" s="645" t="b">
        <v>1</v>
      </c>
      <c r="F42" s="646" t="str">
        <f t="shared" si="2"/>
        <v>PAGADO</v>
      </c>
      <c r="G42" s="340" t="s">
        <v>2276</v>
      </c>
      <c r="H42" s="646" t="str">
        <f t="shared" si="3"/>
        <v>VENCIDA</v>
      </c>
      <c r="I42" s="647">
        <f t="shared" si="4"/>
        <v>353</v>
      </c>
    </row>
    <row r="43">
      <c r="A43" s="643">
        <v>2.0132638E7</v>
      </c>
      <c r="B43" s="644">
        <v>45810.0</v>
      </c>
      <c r="C43" s="644">
        <f t="shared" si="1"/>
        <v>45817</v>
      </c>
      <c r="D43" s="643">
        <v>90127.94</v>
      </c>
      <c r="E43" s="645" t="b">
        <v>1</v>
      </c>
      <c r="F43" s="646" t="str">
        <f t="shared" si="2"/>
        <v>PAGADO</v>
      </c>
      <c r="G43" s="340" t="s">
        <v>2276</v>
      </c>
      <c r="H43" s="646" t="str">
        <f t="shared" si="3"/>
        <v>VENCIDA</v>
      </c>
      <c r="I43" s="647">
        <f t="shared" si="4"/>
        <v>350</v>
      </c>
    </row>
    <row r="44">
      <c r="A44" s="643">
        <v>2.0145073E7</v>
      </c>
      <c r="B44" s="644">
        <v>45812.0</v>
      </c>
      <c r="C44" s="644">
        <f t="shared" si="1"/>
        <v>45819</v>
      </c>
      <c r="D44" s="643">
        <v>48443.37</v>
      </c>
      <c r="E44" s="645" t="b">
        <v>1</v>
      </c>
      <c r="F44" s="646" t="str">
        <f t="shared" si="2"/>
        <v>PAGADO</v>
      </c>
      <c r="G44" s="340" t="s">
        <v>2276</v>
      </c>
      <c r="H44" s="646" t="str">
        <f t="shared" si="3"/>
        <v>VENCIDA</v>
      </c>
      <c r="I44" s="647">
        <f t="shared" si="4"/>
        <v>348</v>
      </c>
    </row>
    <row r="45">
      <c r="A45" s="643">
        <v>2.0157117E7</v>
      </c>
      <c r="B45" s="644">
        <v>45814.0</v>
      </c>
      <c r="C45" s="644">
        <f t="shared" si="1"/>
        <v>45821</v>
      </c>
      <c r="D45" s="643">
        <v>100094.25</v>
      </c>
      <c r="E45" s="645" t="b">
        <v>1</v>
      </c>
      <c r="F45" s="646" t="str">
        <f t="shared" si="2"/>
        <v>PAGADO</v>
      </c>
      <c r="G45" s="340" t="s">
        <v>2276</v>
      </c>
      <c r="H45" s="646" t="str">
        <f t="shared" si="3"/>
        <v>VENCIDA</v>
      </c>
      <c r="I45" s="647">
        <f t="shared" si="4"/>
        <v>346</v>
      </c>
    </row>
    <row r="46">
      <c r="A46" s="643">
        <v>2.0166627E7</v>
      </c>
      <c r="B46" s="644">
        <v>45817.0</v>
      </c>
      <c r="C46" s="644">
        <f t="shared" si="1"/>
        <v>45824</v>
      </c>
      <c r="D46" s="643">
        <v>48443.37</v>
      </c>
      <c r="E46" s="645" t="b">
        <v>1</v>
      </c>
      <c r="F46" s="646" t="str">
        <f t="shared" si="2"/>
        <v>PAGADO</v>
      </c>
      <c r="G46" s="340" t="s">
        <v>2276</v>
      </c>
      <c r="H46" s="646" t="str">
        <f t="shared" si="3"/>
        <v>VENCIDA</v>
      </c>
      <c r="I46" s="647">
        <f t="shared" si="4"/>
        <v>343</v>
      </c>
    </row>
    <row r="47">
      <c r="A47" s="643">
        <v>2.0178011E7</v>
      </c>
      <c r="B47" s="644">
        <v>45819.0</v>
      </c>
      <c r="C47" s="644">
        <f t="shared" si="1"/>
        <v>45826</v>
      </c>
      <c r="D47" s="643">
        <v>100657.54</v>
      </c>
      <c r="E47" s="645" t="b">
        <v>1</v>
      </c>
      <c r="F47" s="646" t="str">
        <f t="shared" si="2"/>
        <v>PAGADO</v>
      </c>
      <c r="G47" s="340" t="s">
        <v>2276</v>
      </c>
      <c r="H47" s="646" t="str">
        <f t="shared" si="3"/>
        <v>VENCIDA</v>
      </c>
      <c r="I47" s="647">
        <f t="shared" si="4"/>
        <v>341</v>
      </c>
    </row>
    <row r="48">
      <c r="A48" s="643">
        <v>2.0190328E7</v>
      </c>
      <c r="B48" s="644">
        <v>45821.0</v>
      </c>
      <c r="C48" s="644">
        <f t="shared" si="1"/>
        <v>45828</v>
      </c>
      <c r="D48" s="643">
        <v>83142.79</v>
      </c>
      <c r="E48" s="645" t="b">
        <v>1</v>
      </c>
      <c r="F48" s="646" t="str">
        <f t="shared" si="2"/>
        <v>PAGADO</v>
      </c>
      <c r="G48" s="340" t="s">
        <v>2276</v>
      </c>
      <c r="H48" s="646" t="str">
        <f t="shared" si="3"/>
        <v>VENCIDA</v>
      </c>
      <c r="I48" s="647">
        <f t="shared" si="4"/>
        <v>339</v>
      </c>
    </row>
    <row r="49">
      <c r="A49" s="643">
        <v>2.0205878E7</v>
      </c>
      <c r="B49" s="644">
        <v>45826.0</v>
      </c>
      <c r="C49" s="644">
        <f t="shared" si="1"/>
        <v>45833</v>
      </c>
      <c r="D49" s="643">
        <v>72665.07</v>
      </c>
      <c r="E49" s="645" t="b">
        <v>1</v>
      </c>
      <c r="F49" s="646" t="str">
        <f t="shared" si="2"/>
        <v>PAGADO</v>
      </c>
      <c r="G49" s="340" t="s">
        <v>2276</v>
      </c>
      <c r="H49" s="646" t="str">
        <f t="shared" si="3"/>
        <v>VENCIDA</v>
      </c>
      <c r="I49" s="647">
        <f t="shared" si="4"/>
        <v>334</v>
      </c>
    </row>
    <row r="50">
      <c r="A50" s="643">
        <v>2.0209856E7</v>
      </c>
      <c r="B50" s="644">
        <v>45827.0</v>
      </c>
      <c r="C50" s="644">
        <f t="shared" si="1"/>
        <v>45834</v>
      </c>
      <c r="D50" s="643">
        <v>93057.22</v>
      </c>
      <c r="E50" s="645" t="b">
        <v>1</v>
      </c>
      <c r="F50" s="646" t="str">
        <f t="shared" si="2"/>
        <v>PAGADO</v>
      </c>
      <c r="G50" s="340" t="s">
        <v>2276</v>
      </c>
      <c r="H50" s="646" t="str">
        <f t="shared" si="3"/>
        <v>VENCIDA</v>
      </c>
      <c r="I50" s="647">
        <f t="shared" si="4"/>
        <v>333</v>
      </c>
    </row>
    <row r="51">
      <c r="A51" s="643">
        <v>2.0226218E7</v>
      </c>
      <c r="B51" s="644">
        <v>45831.0</v>
      </c>
      <c r="C51" s="644">
        <f t="shared" si="1"/>
        <v>45838</v>
      </c>
      <c r="D51" s="643">
        <v>72665.07</v>
      </c>
      <c r="E51" s="645" t="b">
        <v>1</v>
      </c>
      <c r="F51" s="646" t="str">
        <f t="shared" si="2"/>
        <v>PAGADO</v>
      </c>
      <c r="G51" s="340" t="s">
        <v>2276</v>
      </c>
      <c r="H51" s="646" t="str">
        <f t="shared" si="3"/>
        <v>VENCIDA</v>
      </c>
      <c r="I51" s="647">
        <f t="shared" si="4"/>
        <v>329</v>
      </c>
    </row>
    <row r="52">
      <c r="A52" s="643">
        <v>238787.0</v>
      </c>
      <c r="B52" s="644">
        <v>45833.0</v>
      </c>
      <c r="C52" s="644">
        <f t="shared" si="1"/>
        <v>45840</v>
      </c>
      <c r="D52" s="643">
        <v>72665.07</v>
      </c>
      <c r="E52" s="645" t="b">
        <v>1</v>
      </c>
      <c r="F52" s="646" t="str">
        <f t="shared" si="2"/>
        <v>PAGADO</v>
      </c>
      <c r="G52" s="340" t="s">
        <v>2276</v>
      </c>
      <c r="H52" s="646" t="str">
        <f t="shared" si="3"/>
        <v>VENCIDA</v>
      </c>
      <c r="I52" s="647">
        <f t="shared" si="4"/>
        <v>327</v>
      </c>
    </row>
    <row r="53">
      <c r="A53" s="643">
        <v>2.0252494E7</v>
      </c>
      <c r="B53" s="644">
        <v>45835.0</v>
      </c>
      <c r="C53" s="644">
        <f t="shared" si="1"/>
        <v>45842</v>
      </c>
      <c r="D53" s="643">
        <v>72665.0</v>
      </c>
      <c r="E53" s="645" t="b">
        <v>1</v>
      </c>
      <c r="F53" s="646" t="str">
        <f t="shared" si="2"/>
        <v>PAGADO</v>
      </c>
      <c r="G53" s="340" t="s">
        <v>2276</v>
      </c>
      <c r="H53" s="646" t="str">
        <f t="shared" si="3"/>
        <v>VENCIDA</v>
      </c>
      <c r="I53" s="647">
        <f t="shared" si="4"/>
        <v>325</v>
      </c>
    </row>
    <row r="54">
      <c r="A54" s="643">
        <v>2.0262025E7</v>
      </c>
      <c r="B54" s="644">
        <v>45837.0</v>
      </c>
      <c r="C54" s="644">
        <f t="shared" si="1"/>
        <v>45844</v>
      </c>
      <c r="D54" s="643">
        <v>65342.97</v>
      </c>
      <c r="E54" s="645" t="b">
        <v>1</v>
      </c>
      <c r="F54" s="646" t="str">
        <f t="shared" si="2"/>
        <v>PAGADO</v>
      </c>
      <c r="G54" s="340" t="s">
        <v>2276</v>
      </c>
      <c r="H54" s="646" t="str">
        <f t="shared" si="3"/>
        <v>VENCIDA</v>
      </c>
      <c r="I54" s="647">
        <f t="shared" si="4"/>
        <v>323</v>
      </c>
    </row>
    <row r="55">
      <c r="A55" s="643">
        <v>556.0</v>
      </c>
      <c r="B55" s="644">
        <v>45840.0</v>
      </c>
      <c r="C55" s="644">
        <f t="shared" si="1"/>
        <v>45847</v>
      </c>
      <c r="D55" s="643">
        <v>55245.3</v>
      </c>
      <c r="E55" s="645" t="b">
        <v>1</v>
      </c>
      <c r="F55" s="646" t="str">
        <f t="shared" si="2"/>
        <v>PAGADO</v>
      </c>
      <c r="G55" s="340" t="s">
        <v>2276</v>
      </c>
      <c r="H55" s="646" t="str">
        <f t="shared" si="3"/>
        <v>VENCIDA</v>
      </c>
      <c r="I55" s="647">
        <f t="shared" si="4"/>
        <v>320</v>
      </c>
    </row>
    <row r="56">
      <c r="A56" s="643">
        <v>25668.0</v>
      </c>
      <c r="B56" s="644">
        <v>45845.0</v>
      </c>
      <c r="C56" s="644">
        <f t="shared" si="1"/>
        <v>45852</v>
      </c>
      <c r="D56" s="643">
        <v>149761.17</v>
      </c>
      <c r="E56" s="645" t="b">
        <v>1</v>
      </c>
      <c r="F56" s="646" t="str">
        <f t="shared" si="2"/>
        <v>PAGADO</v>
      </c>
      <c r="G56" s="340" t="s">
        <v>2276</v>
      </c>
      <c r="H56" s="646" t="str">
        <f t="shared" si="3"/>
        <v>VENCIDA</v>
      </c>
      <c r="I56" s="647">
        <f t="shared" si="4"/>
        <v>315</v>
      </c>
    </row>
    <row r="57">
      <c r="A57" s="643">
        <v>42025.0</v>
      </c>
      <c r="B57" s="644">
        <v>45847.0</v>
      </c>
      <c r="C57" s="644">
        <f t="shared" si="1"/>
        <v>45854</v>
      </c>
      <c r="D57" s="643">
        <v>62491.95</v>
      </c>
      <c r="E57" s="645" t="b">
        <v>1</v>
      </c>
      <c r="F57" s="646" t="str">
        <f t="shared" si="2"/>
        <v>PAGADO</v>
      </c>
      <c r="G57" s="340" t="s">
        <v>2276</v>
      </c>
      <c r="H57" s="646" t="str">
        <f t="shared" si="3"/>
        <v>VENCIDA</v>
      </c>
      <c r="I57" s="647">
        <f t="shared" si="4"/>
        <v>313</v>
      </c>
    </row>
    <row r="58">
      <c r="A58" s="643">
        <v>64040.0</v>
      </c>
      <c r="B58" s="644">
        <v>45852.0</v>
      </c>
      <c r="C58" s="644">
        <f t="shared" si="1"/>
        <v>45859</v>
      </c>
      <c r="D58" s="643">
        <v>83322.59</v>
      </c>
      <c r="E58" s="645" t="b">
        <v>1</v>
      </c>
      <c r="F58" s="646" t="str">
        <f t="shared" si="2"/>
        <v>PAGADO</v>
      </c>
      <c r="G58" s="340" t="s">
        <v>2276</v>
      </c>
      <c r="H58" s="646" t="str">
        <f t="shared" si="3"/>
        <v>VENCIDA</v>
      </c>
      <c r="I58" s="647">
        <f t="shared" si="4"/>
        <v>308</v>
      </c>
    </row>
    <row r="59">
      <c r="A59" s="643">
        <v>80431.0</v>
      </c>
      <c r="B59" s="644">
        <v>45854.0</v>
      </c>
      <c r="C59" s="644">
        <f t="shared" si="1"/>
        <v>45861</v>
      </c>
      <c r="D59" s="643">
        <v>43092.08</v>
      </c>
      <c r="E59" s="645" t="b">
        <v>1</v>
      </c>
      <c r="F59" s="646" t="str">
        <f t="shared" si="2"/>
        <v>PAGADO</v>
      </c>
      <c r="G59" s="340" t="s">
        <v>2276</v>
      </c>
      <c r="H59" s="646" t="str">
        <f t="shared" si="3"/>
        <v>VENCIDA</v>
      </c>
      <c r="I59" s="647">
        <f t="shared" si="4"/>
        <v>306</v>
      </c>
    </row>
    <row r="60">
      <c r="A60" s="643">
        <v>103683.0</v>
      </c>
      <c r="B60" s="644">
        <v>45856.0</v>
      </c>
      <c r="C60" s="644">
        <f t="shared" si="1"/>
        <v>45863</v>
      </c>
      <c r="D60" s="643">
        <v>145359.92</v>
      </c>
      <c r="E60" s="645" t="b">
        <v>1</v>
      </c>
      <c r="F60" s="646" t="str">
        <f t="shared" si="2"/>
        <v>PAGADO</v>
      </c>
      <c r="G60" s="340" t="s">
        <v>2276</v>
      </c>
      <c r="H60" s="646" t="str">
        <f t="shared" si="3"/>
        <v>VENCIDA</v>
      </c>
      <c r="I60" s="647">
        <f t="shared" si="4"/>
        <v>304</v>
      </c>
    </row>
    <row r="61">
      <c r="A61" s="643">
        <v>125162.0</v>
      </c>
      <c r="B61" s="644">
        <v>45861.0</v>
      </c>
      <c r="C61" s="644">
        <f t="shared" si="1"/>
        <v>45868</v>
      </c>
      <c r="D61" s="643">
        <v>66438.58</v>
      </c>
      <c r="E61" s="645" t="b">
        <v>1</v>
      </c>
      <c r="F61" s="646" t="str">
        <f t="shared" si="2"/>
        <v>PAGADO</v>
      </c>
      <c r="G61" s="340" t="s">
        <v>2276</v>
      </c>
      <c r="H61" s="646" t="str">
        <f t="shared" si="3"/>
        <v>VENCIDA</v>
      </c>
      <c r="I61" s="647">
        <f t="shared" si="4"/>
        <v>299</v>
      </c>
    </row>
    <row r="62">
      <c r="A62" s="643">
        <v>140653.0</v>
      </c>
      <c r="B62" s="644">
        <v>45863.0</v>
      </c>
      <c r="C62" s="644">
        <f t="shared" si="1"/>
        <v>45870</v>
      </c>
      <c r="D62" s="643">
        <v>41661.3</v>
      </c>
      <c r="E62" s="645" t="b">
        <v>1</v>
      </c>
      <c r="F62" s="646" t="str">
        <f t="shared" si="2"/>
        <v>PAGADO</v>
      </c>
      <c r="G62" s="340" t="s">
        <v>2276</v>
      </c>
      <c r="H62" s="646" t="str">
        <f t="shared" si="3"/>
        <v>VENCIDA</v>
      </c>
      <c r="I62" s="647">
        <f t="shared" si="4"/>
        <v>297</v>
      </c>
    </row>
    <row r="63">
      <c r="A63" s="643">
        <v>153642.0</v>
      </c>
      <c r="B63" s="644">
        <v>45865.0</v>
      </c>
      <c r="C63" s="644">
        <f t="shared" si="1"/>
        <v>45872</v>
      </c>
      <c r="D63" s="643">
        <v>55245.3</v>
      </c>
      <c r="E63" s="645" t="b">
        <v>1</v>
      </c>
      <c r="F63" s="646" t="str">
        <f t="shared" si="2"/>
        <v>PAGADO</v>
      </c>
      <c r="G63" s="340" t="s">
        <v>2276</v>
      </c>
      <c r="H63" s="646" t="str">
        <f t="shared" si="3"/>
        <v>VENCIDA</v>
      </c>
      <c r="I63" s="647">
        <f t="shared" si="4"/>
        <v>295</v>
      </c>
    </row>
    <row r="64">
      <c r="A64" s="643">
        <v>168507.0</v>
      </c>
      <c r="B64" s="644">
        <v>45868.0</v>
      </c>
      <c r="C64" s="644">
        <f t="shared" si="1"/>
        <v>45875</v>
      </c>
      <c r="D64" s="643">
        <v>62491.95</v>
      </c>
      <c r="E64" s="645" t="b">
        <v>1</v>
      </c>
      <c r="F64" s="646" t="str">
        <f t="shared" si="2"/>
        <v>PAGADO</v>
      </c>
      <c r="G64" s="340" t="s">
        <v>2276</v>
      </c>
      <c r="H64" s="646" t="str">
        <f t="shared" si="3"/>
        <v>VENCIDA</v>
      </c>
      <c r="I64" s="647">
        <f t="shared" si="4"/>
        <v>292</v>
      </c>
    </row>
    <row r="65">
      <c r="A65" s="643">
        <v>184298.0</v>
      </c>
      <c r="B65" s="644">
        <v>45870.0</v>
      </c>
      <c r="C65" s="644">
        <f t="shared" si="1"/>
        <v>45877</v>
      </c>
      <c r="D65" s="643">
        <v>63073.27</v>
      </c>
      <c r="E65" s="645" t="b">
        <v>1</v>
      </c>
      <c r="F65" s="646" t="str">
        <f t="shared" si="2"/>
        <v>PAGADO</v>
      </c>
      <c r="G65" s="340" t="s">
        <v>2276</v>
      </c>
      <c r="H65" s="646" t="str">
        <f t="shared" si="3"/>
        <v>VENCIDA</v>
      </c>
      <c r="I65" s="647">
        <f t="shared" si="4"/>
        <v>290</v>
      </c>
    </row>
    <row r="66">
      <c r="A66" s="643">
        <v>197359.0</v>
      </c>
      <c r="B66" s="644">
        <v>45873.0</v>
      </c>
      <c r="C66" s="644">
        <f t="shared" si="1"/>
        <v>45880</v>
      </c>
      <c r="D66" s="643">
        <v>75781.37</v>
      </c>
      <c r="E66" s="645" t="b">
        <v>1</v>
      </c>
      <c r="F66" s="646" t="str">
        <f t="shared" si="2"/>
        <v>PAGADO</v>
      </c>
      <c r="G66" s="340" t="s">
        <v>2276</v>
      </c>
      <c r="H66" s="646" t="str">
        <f t="shared" si="3"/>
        <v>VENCIDA</v>
      </c>
      <c r="I66" s="647">
        <f t="shared" si="4"/>
        <v>287</v>
      </c>
    </row>
    <row r="67">
      <c r="A67" s="643">
        <v>212610.0</v>
      </c>
      <c r="B67" s="644">
        <v>45875.0</v>
      </c>
      <c r="C67" s="644">
        <f t="shared" si="1"/>
        <v>45882</v>
      </c>
      <c r="D67" s="643">
        <v>65707.24</v>
      </c>
      <c r="E67" s="645" t="b">
        <v>1</v>
      </c>
      <c r="F67" s="646" t="str">
        <f t="shared" si="2"/>
        <v>PAGADO</v>
      </c>
      <c r="G67" s="340" t="s">
        <v>2276</v>
      </c>
      <c r="H67" s="646" t="str">
        <f t="shared" si="3"/>
        <v>VENCIDA</v>
      </c>
      <c r="I67" s="647">
        <f t="shared" si="4"/>
        <v>285</v>
      </c>
    </row>
    <row r="68">
      <c r="A68" s="643">
        <v>229256.0</v>
      </c>
      <c r="B68" s="644">
        <v>45877.0</v>
      </c>
      <c r="C68" s="644">
        <f t="shared" si="1"/>
        <v>45884</v>
      </c>
      <c r="D68" s="643">
        <v>42048.84</v>
      </c>
      <c r="E68" s="645" t="b">
        <v>1</v>
      </c>
      <c r="F68" s="646" t="str">
        <f t="shared" si="2"/>
        <v>PAGADO</v>
      </c>
      <c r="G68" s="340" t="s">
        <v>2276</v>
      </c>
      <c r="H68" s="646" t="str">
        <f t="shared" si="3"/>
        <v>VENCIDA</v>
      </c>
      <c r="I68" s="647">
        <f t="shared" si="4"/>
        <v>283</v>
      </c>
    </row>
    <row r="69">
      <c r="A69" s="643">
        <v>242194.0</v>
      </c>
      <c r="B69" s="644">
        <v>45880.0</v>
      </c>
      <c r="C69" s="644">
        <f t="shared" si="1"/>
        <v>45887</v>
      </c>
      <c r="D69" s="643">
        <v>63073.27</v>
      </c>
      <c r="E69" s="645" t="b">
        <v>1</v>
      </c>
      <c r="F69" s="646" t="str">
        <f t="shared" si="2"/>
        <v>PAGADO</v>
      </c>
      <c r="G69" s="340" t="s">
        <v>2276</v>
      </c>
      <c r="H69" s="646" t="str">
        <f t="shared" si="3"/>
        <v>VENCIDA</v>
      </c>
      <c r="I69" s="647">
        <f t="shared" si="4"/>
        <v>280</v>
      </c>
    </row>
    <row r="70">
      <c r="A70" s="643">
        <v>257601.0</v>
      </c>
      <c r="B70" s="644">
        <v>45882.0</v>
      </c>
      <c r="C70" s="644">
        <f t="shared" si="1"/>
        <v>45889</v>
      </c>
      <c r="D70" s="643">
        <v>42048.84</v>
      </c>
      <c r="E70" s="645" t="b">
        <v>1</v>
      </c>
      <c r="F70" s="646" t="str">
        <f t="shared" si="2"/>
        <v>PAGADO</v>
      </c>
      <c r="G70" s="340" t="s">
        <v>2276</v>
      </c>
      <c r="H70" s="646" t="str">
        <f t="shared" si="3"/>
        <v>VENCIDA</v>
      </c>
      <c r="I70" s="647">
        <f t="shared" si="4"/>
        <v>278</v>
      </c>
    </row>
    <row r="71">
      <c r="A71" s="643">
        <v>274032.0</v>
      </c>
      <c r="B71" s="644">
        <v>45883.0</v>
      </c>
      <c r="C71" s="644">
        <f t="shared" si="1"/>
        <v>45890</v>
      </c>
      <c r="D71" s="643">
        <v>60588.19</v>
      </c>
      <c r="E71" s="645" t="b">
        <v>1</v>
      </c>
      <c r="F71" s="646" t="str">
        <f t="shared" si="2"/>
        <v>PAGADO</v>
      </c>
      <c r="G71" s="340" t="s">
        <v>2276</v>
      </c>
      <c r="H71" s="646" t="str">
        <f t="shared" si="3"/>
        <v>VENCIDA</v>
      </c>
      <c r="I71" s="647">
        <f t="shared" si="4"/>
        <v>277</v>
      </c>
    </row>
    <row r="72">
      <c r="A72" s="643">
        <v>287083.0</v>
      </c>
      <c r="B72" s="644">
        <v>45886.0</v>
      </c>
      <c r="C72" s="644">
        <f t="shared" si="1"/>
        <v>45893</v>
      </c>
      <c r="D72" s="643">
        <v>65707.24</v>
      </c>
      <c r="E72" s="645" t="b">
        <v>1</v>
      </c>
      <c r="F72" s="646" t="str">
        <f t="shared" si="2"/>
        <v>PAGADO</v>
      </c>
      <c r="G72" s="340" t="s">
        <v>2276</v>
      </c>
      <c r="H72" s="646" t="str">
        <f t="shared" si="3"/>
        <v>VENCIDA</v>
      </c>
      <c r="I72" s="647">
        <f t="shared" si="4"/>
        <v>274</v>
      </c>
    </row>
    <row r="73">
      <c r="A73" s="643">
        <v>302205.0</v>
      </c>
      <c r="B73" s="644">
        <v>45889.0</v>
      </c>
      <c r="C73" s="644">
        <f t="shared" si="1"/>
        <v>45896</v>
      </c>
      <c r="D73" s="643">
        <v>42048.84</v>
      </c>
      <c r="E73" s="645" t="b">
        <v>1</v>
      </c>
      <c r="F73" s="646" t="str">
        <f t="shared" si="2"/>
        <v>PAGADO</v>
      </c>
      <c r="G73" s="340" t="s">
        <v>2276</v>
      </c>
      <c r="H73" s="646" t="str">
        <f t="shared" si="3"/>
        <v>VENCIDA</v>
      </c>
      <c r="I73" s="647">
        <f t="shared" si="4"/>
        <v>271</v>
      </c>
    </row>
    <row r="74">
      <c r="A74" s="643">
        <v>318867.0</v>
      </c>
      <c r="B74" s="644">
        <v>45890.0</v>
      </c>
      <c r="C74" s="644">
        <f t="shared" si="1"/>
        <v>45897</v>
      </c>
      <c r="D74" s="643">
        <v>54460.29</v>
      </c>
      <c r="E74" s="645" t="b">
        <v>1</v>
      </c>
      <c r="F74" s="646" t="str">
        <f t="shared" si="2"/>
        <v>PAGADO</v>
      </c>
      <c r="G74" s="340" t="s">
        <v>2276</v>
      </c>
      <c r="H74" s="646" t="str">
        <f t="shared" si="3"/>
        <v>VENCIDA</v>
      </c>
      <c r="I74" s="647">
        <f t="shared" si="4"/>
        <v>270</v>
      </c>
    </row>
    <row r="75">
      <c r="A75" s="643">
        <v>332286.0</v>
      </c>
      <c r="B75" s="644">
        <v>45894.0</v>
      </c>
      <c r="C75" s="644">
        <f t="shared" si="1"/>
        <v>45901</v>
      </c>
      <c r="D75" s="643">
        <v>42048.84</v>
      </c>
      <c r="E75" s="645" t="b">
        <v>1</v>
      </c>
      <c r="F75" s="646" t="str">
        <f t="shared" si="2"/>
        <v>PAGADO</v>
      </c>
      <c r="G75" s="340" t="s">
        <v>2276</v>
      </c>
      <c r="H75" s="646" t="str">
        <f t="shared" si="3"/>
        <v>VENCIDA</v>
      </c>
      <c r="I75" s="647">
        <f t="shared" si="4"/>
        <v>266</v>
      </c>
    </row>
    <row r="76">
      <c r="A76" s="643">
        <v>345439.0</v>
      </c>
      <c r="B76" s="644">
        <v>45895.0</v>
      </c>
      <c r="C76" s="644">
        <f t="shared" si="1"/>
        <v>45902</v>
      </c>
      <c r="D76" s="643">
        <v>57563.16</v>
      </c>
      <c r="E76" s="645" t="b">
        <v>1</v>
      </c>
      <c r="F76" s="646" t="str">
        <f t="shared" si="2"/>
        <v>PAGADO</v>
      </c>
      <c r="G76" s="340" t="s">
        <v>2276</v>
      </c>
      <c r="H76" s="646" t="str">
        <f t="shared" si="3"/>
        <v>VENCIDA</v>
      </c>
      <c r="I76" s="647">
        <f t="shared" si="4"/>
        <v>265</v>
      </c>
    </row>
    <row r="77">
      <c r="A77" s="643">
        <v>362948.0</v>
      </c>
      <c r="B77" s="644">
        <v>45898.0</v>
      </c>
      <c r="C77" s="644">
        <f t="shared" si="1"/>
        <v>45905</v>
      </c>
      <c r="D77" s="643">
        <v>42048.84</v>
      </c>
      <c r="E77" s="645" t="b">
        <v>1</v>
      </c>
      <c r="F77" s="646" t="str">
        <f t="shared" si="2"/>
        <v>PAGADO</v>
      </c>
      <c r="G77" s="340" t="s">
        <v>2276</v>
      </c>
      <c r="H77" s="646" t="str">
        <f t="shared" si="3"/>
        <v>VENCIDA</v>
      </c>
      <c r="I77" s="647">
        <f t="shared" si="4"/>
        <v>262</v>
      </c>
    </row>
    <row r="78">
      <c r="A78" s="643">
        <v>377505.0</v>
      </c>
      <c r="B78" s="644">
        <v>45901.0</v>
      </c>
      <c r="C78" s="644">
        <f t="shared" si="1"/>
        <v>45908</v>
      </c>
      <c r="D78" s="643">
        <v>42048.84</v>
      </c>
      <c r="E78" s="645" t="b">
        <v>1</v>
      </c>
      <c r="F78" s="646" t="str">
        <f t="shared" si="2"/>
        <v>PAGADO</v>
      </c>
      <c r="G78" s="340" t="s">
        <v>2276</v>
      </c>
      <c r="H78" s="646" t="str">
        <f t="shared" si="3"/>
        <v>VENCIDA</v>
      </c>
      <c r="I78" s="647">
        <f t="shared" si="4"/>
        <v>259</v>
      </c>
    </row>
    <row r="79">
      <c r="A79" s="643">
        <v>407392.0</v>
      </c>
      <c r="B79" s="644">
        <v>45904.0</v>
      </c>
      <c r="C79" s="644">
        <f t="shared" si="1"/>
        <v>45911</v>
      </c>
      <c r="D79" s="643">
        <v>42048.84</v>
      </c>
      <c r="E79" s="645" t="b">
        <v>1</v>
      </c>
      <c r="F79" s="646" t="str">
        <f t="shared" si="2"/>
        <v>PAGADO</v>
      </c>
      <c r="G79" s="340" t="s">
        <v>2276</v>
      </c>
      <c r="H79" s="646" t="str">
        <f t="shared" si="3"/>
        <v>VENCIDA</v>
      </c>
      <c r="I79" s="647">
        <f t="shared" si="4"/>
        <v>256</v>
      </c>
    </row>
    <row r="80">
      <c r="A80" s="643">
        <v>392594.0</v>
      </c>
      <c r="B80" s="644">
        <v>45903.0</v>
      </c>
      <c r="C80" s="644">
        <f t="shared" si="1"/>
        <v>45910</v>
      </c>
      <c r="D80" s="643">
        <v>69406.2</v>
      </c>
      <c r="E80" s="645" t="b">
        <v>1</v>
      </c>
      <c r="F80" s="646" t="str">
        <f t="shared" si="2"/>
        <v>PAGADO</v>
      </c>
      <c r="G80" s="340" t="s">
        <v>2276</v>
      </c>
      <c r="H80" s="646" t="str">
        <f t="shared" si="3"/>
        <v>VENCIDA</v>
      </c>
      <c r="I80" s="647">
        <f t="shared" si="4"/>
        <v>257</v>
      </c>
    </row>
    <row r="81">
      <c r="A81" s="643">
        <v>419265.0</v>
      </c>
      <c r="B81" s="644">
        <v>45907.0</v>
      </c>
      <c r="C81" s="644">
        <f t="shared" si="1"/>
        <v>45914</v>
      </c>
      <c r="D81" s="643">
        <v>49516.59</v>
      </c>
      <c r="E81" s="645" t="b">
        <v>1</v>
      </c>
      <c r="F81" s="646" t="str">
        <f t="shared" si="2"/>
        <v>PAGADO</v>
      </c>
      <c r="G81" s="340" t="s">
        <v>2278</v>
      </c>
      <c r="H81" s="646" t="str">
        <f t="shared" si="3"/>
        <v>VENCIDA</v>
      </c>
      <c r="I81" s="647">
        <f t="shared" si="4"/>
        <v>253</v>
      </c>
    </row>
    <row r="82">
      <c r="A82" s="643">
        <v>433783.0</v>
      </c>
      <c r="B82" s="644">
        <v>45909.0</v>
      </c>
      <c r="C82" s="644">
        <f t="shared" si="1"/>
        <v>45916</v>
      </c>
      <c r="D82" s="643">
        <v>73174.98</v>
      </c>
      <c r="E82" s="645" t="b">
        <v>1</v>
      </c>
      <c r="F82" s="646" t="str">
        <f t="shared" si="2"/>
        <v>PAGADO</v>
      </c>
      <c r="G82" s="340" t="s">
        <v>2276</v>
      </c>
      <c r="H82" s="646" t="str">
        <f t="shared" si="3"/>
        <v>VENCIDA</v>
      </c>
      <c r="I82" s="647">
        <f t="shared" si="4"/>
        <v>251</v>
      </c>
    </row>
    <row r="83">
      <c r="A83" s="643">
        <v>448693.0</v>
      </c>
      <c r="B83" s="644">
        <v>45912.0</v>
      </c>
      <c r="C83" s="644">
        <f t="shared" si="1"/>
        <v>45919</v>
      </c>
      <c r="D83" s="643">
        <v>40208.0</v>
      </c>
      <c r="E83" s="645" t="b">
        <v>1</v>
      </c>
      <c r="F83" s="646" t="str">
        <f t="shared" si="2"/>
        <v>PAGADO</v>
      </c>
      <c r="G83" s="340" t="s">
        <v>2276</v>
      </c>
      <c r="H83" s="646" t="str">
        <f t="shared" si="3"/>
        <v>VENCIDA</v>
      </c>
      <c r="I83" s="647">
        <f t="shared" si="4"/>
        <v>248</v>
      </c>
    </row>
    <row r="84">
      <c r="A84" s="643">
        <v>460279.0</v>
      </c>
      <c r="B84" s="644">
        <v>45915.0</v>
      </c>
      <c r="C84" s="644">
        <f t="shared" si="1"/>
        <v>45922</v>
      </c>
      <c r="D84" s="643">
        <v>55722.32</v>
      </c>
      <c r="E84" s="645" t="b">
        <v>1</v>
      </c>
      <c r="F84" s="646" t="str">
        <f t="shared" si="2"/>
        <v>PAGADO</v>
      </c>
      <c r="G84" s="340" t="s">
        <v>2276</v>
      </c>
      <c r="H84" s="646" t="str">
        <f t="shared" si="3"/>
        <v>VENCIDA</v>
      </c>
      <c r="I84" s="647">
        <f t="shared" si="4"/>
        <v>245</v>
      </c>
    </row>
    <row r="85">
      <c r="A85" s="643">
        <v>474780.0</v>
      </c>
      <c r="B85" s="644">
        <v>45917.0</v>
      </c>
      <c r="C85" s="644">
        <f t="shared" si="1"/>
        <v>45924</v>
      </c>
      <c r="D85" s="643">
        <v>40208.0</v>
      </c>
      <c r="E85" s="645" t="b">
        <v>1</v>
      </c>
      <c r="F85" s="646" t="str">
        <f t="shared" si="2"/>
        <v>PAGADO</v>
      </c>
      <c r="G85" s="340" t="s">
        <v>2276</v>
      </c>
      <c r="H85" s="646" t="str">
        <f t="shared" si="3"/>
        <v>VENCIDA</v>
      </c>
      <c r="I85" s="647">
        <f t="shared" si="4"/>
        <v>243</v>
      </c>
    </row>
    <row r="86">
      <c r="A86" s="643">
        <v>492255.0</v>
      </c>
      <c r="B86" s="644">
        <v>45919.0</v>
      </c>
      <c r="C86" s="644">
        <f t="shared" si="1"/>
        <v>45926</v>
      </c>
      <c r="D86" s="643">
        <v>40208.0</v>
      </c>
      <c r="E86" s="645" t="b">
        <v>1</v>
      </c>
      <c r="F86" s="646" t="str">
        <f t="shared" si="2"/>
        <v>PAGADO</v>
      </c>
      <c r="G86" s="340" t="s">
        <v>2276</v>
      </c>
      <c r="H86" s="646" t="str">
        <f t="shared" si="3"/>
        <v>VENCIDA</v>
      </c>
      <c r="I86" s="647">
        <f t="shared" si="4"/>
        <v>241</v>
      </c>
    </row>
    <row r="87">
      <c r="A87" s="643">
        <v>504274.0</v>
      </c>
      <c r="B87" s="644">
        <v>45922.0</v>
      </c>
      <c r="C87" s="644">
        <f t="shared" si="1"/>
        <v>45929</v>
      </c>
      <c r="D87" s="643">
        <v>40208.0</v>
      </c>
      <c r="E87" s="645" t="b">
        <v>1</v>
      </c>
      <c r="F87" s="646" t="str">
        <f t="shared" si="2"/>
        <v>PAGADO</v>
      </c>
      <c r="G87" s="340" t="s">
        <v>2276</v>
      </c>
      <c r="H87" s="646" t="str">
        <f t="shared" si="3"/>
        <v>VENCIDA</v>
      </c>
      <c r="I87" s="647">
        <f t="shared" si="4"/>
        <v>238</v>
      </c>
    </row>
    <row r="88">
      <c r="A88" s="643">
        <v>519060.0</v>
      </c>
      <c r="B88" s="644">
        <v>45923.0</v>
      </c>
      <c r="C88" s="644">
        <f t="shared" si="1"/>
        <v>45930</v>
      </c>
      <c r="D88" s="643">
        <v>63866.39</v>
      </c>
      <c r="E88" s="645" t="b">
        <v>1</v>
      </c>
      <c r="F88" s="646" t="str">
        <f t="shared" si="2"/>
        <v>PAGADO</v>
      </c>
      <c r="G88" s="340" t="s">
        <v>2276</v>
      </c>
      <c r="H88" s="646" t="str">
        <f t="shared" si="3"/>
        <v>VENCIDA</v>
      </c>
      <c r="I88" s="647">
        <f t="shared" si="4"/>
        <v>237</v>
      </c>
    </row>
    <row r="89">
      <c r="A89" s="643">
        <v>536108.0</v>
      </c>
      <c r="B89" s="644">
        <v>45926.0</v>
      </c>
      <c r="C89" s="644">
        <f t="shared" si="1"/>
        <v>45933</v>
      </c>
      <c r="D89" s="643">
        <v>55722.32</v>
      </c>
      <c r="E89" s="645" t="b">
        <v>1</v>
      </c>
      <c r="F89" s="646" t="str">
        <f t="shared" si="2"/>
        <v>PAGADO</v>
      </c>
      <c r="G89" s="340" t="s">
        <v>2276</v>
      </c>
      <c r="H89" s="646" t="str">
        <f t="shared" si="3"/>
        <v>VENCIDA</v>
      </c>
      <c r="I89" s="647">
        <f t="shared" si="4"/>
        <v>234</v>
      </c>
    </row>
    <row r="90">
      <c r="A90" s="643">
        <v>548087.0</v>
      </c>
      <c r="B90" s="644">
        <v>45928.0</v>
      </c>
      <c r="C90" s="644">
        <f t="shared" si="1"/>
        <v>45935</v>
      </c>
      <c r="D90" s="643">
        <v>67565.36</v>
      </c>
      <c r="E90" s="645" t="b">
        <v>1</v>
      </c>
      <c r="F90" s="646" t="str">
        <f t="shared" si="2"/>
        <v>PAGADO</v>
      </c>
      <c r="G90" s="340" t="s">
        <v>2276</v>
      </c>
      <c r="H90" s="646" t="str">
        <f t="shared" si="3"/>
        <v>VENCIDA</v>
      </c>
      <c r="I90" s="647">
        <f t="shared" si="4"/>
        <v>232</v>
      </c>
    </row>
    <row r="91">
      <c r="A91" s="643">
        <v>563223.0</v>
      </c>
      <c r="B91" s="644">
        <v>45930.0</v>
      </c>
      <c r="C91" s="644">
        <f t="shared" si="1"/>
        <v>45937</v>
      </c>
      <c r="D91" s="643">
        <v>56342.93</v>
      </c>
      <c r="E91" s="645" t="b">
        <v>1</v>
      </c>
      <c r="F91" s="646" t="str">
        <f t="shared" si="2"/>
        <v>PAGADO</v>
      </c>
      <c r="G91" s="340" t="s">
        <v>2276</v>
      </c>
      <c r="H91" s="646" t="str">
        <f t="shared" si="3"/>
        <v>VENCIDA</v>
      </c>
      <c r="I91" s="647">
        <f t="shared" si="4"/>
        <v>230</v>
      </c>
    </row>
    <row r="92">
      <c r="A92" s="643">
        <v>580481.0</v>
      </c>
      <c r="B92" s="644">
        <v>45932.0</v>
      </c>
      <c r="C92" s="644">
        <f t="shared" si="1"/>
        <v>45939</v>
      </c>
      <c r="D92" s="643">
        <v>39584.62</v>
      </c>
      <c r="E92" s="645" t="b">
        <v>1</v>
      </c>
      <c r="F92" s="646" t="str">
        <f t="shared" si="2"/>
        <v>PAGADO</v>
      </c>
      <c r="G92" s="340" t="s">
        <v>2276</v>
      </c>
      <c r="H92" s="646" t="str">
        <f t="shared" si="3"/>
        <v>VENCIDA</v>
      </c>
      <c r="I92" s="647">
        <f t="shared" si="4"/>
        <v>228</v>
      </c>
    </row>
    <row r="93">
      <c r="A93" s="643">
        <v>591894.0</v>
      </c>
      <c r="B93" s="644">
        <v>45935.0</v>
      </c>
      <c r="C93" s="644">
        <f t="shared" si="1"/>
        <v>45942</v>
      </c>
      <c r="D93" s="643">
        <v>47129.03</v>
      </c>
      <c r="E93" s="645" t="b">
        <v>1</v>
      </c>
      <c r="F93" s="646" t="str">
        <f t="shared" si="2"/>
        <v>PAGADO</v>
      </c>
      <c r="G93" s="340" t="s">
        <v>2276</v>
      </c>
      <c r="H93" s="646" t="str">
        <f t="shared" si="3"/>
        <v>VENCIDA</v>
      </c>
      <c r="I93" s="647">
        <f t="shared" si="4"/>
        <v>225</v>
      </c>
    </row>
    <row r="94">
      <c r="A94" s="643">
        <v>607632.0</v>
      </c>
      <c r="B94" s="644">
        <v>45937.0</v>
      </c>
      <c r="C94" s="644">
        <f t="shared" si="1"/>
        <v>45944</v>
      </c>
      <c r="D94" s="643">
        <v>23846.17</v>
      </c>
      <c r="E94" s="645" t="b">
        <v>1</v>
      </c>
      <c r="F94" s="646" t="str">
        <f t="shared" si="2"/>
        <v>PAGADO</v>
      </c>
      <c r="G94" s="340" t="s">
        <v>2276</v>
      </c>
      <c r="H94" s="646" t="str">
        <f t="shared" si="3"/>
        <v>VENCIDA</v>
      </c>
      <c r="I94" s="647">
        <f t="shared" si="4"/>
        <v>223</v>
      </c>
    </row>
    <row r="95">
      <c r="A95" s="643">
        <v>622763.0</v>
      </c>
      <c r="B95" s="644">
        <v>45940.0</v>
      </c>
      <c r="C95" s="644">
        <f t="shared" si="1"/>
        <v>45947</v>
      </c>
      <c r="D95" s="643">
        <v>23846.17</v>
      </c>
      <c r="E95" s="645" t="b">
        <v>1</v>
      </c>
      <c r="F95" s="646" t="str">
        <f t="shared" si="2"/>
        <v>PAGADO</v>
      </c>
      <c r="G95" s="340" t="s">
        <v>2276</v>
      </c>
      <c r="H95" s="646" t="str">
        <f t="shared" si="3"/>
        <v>VENCIDA</v>
      </c>
      <c r="I95" s="647">
        <f t="shared" si="4"/>
        <v>220</v>
      </c>
    </row>
    <row r="96">
      <c r="A96" s="643">
        <v>634593.0</v>
      </c>
      <c r="B96" s="644">
        <v>45943.0</v>
      </c>
      <c r="C96" s="644">
        <f t="shared" si="1"/>
        <v>45950</v>
      </c>
      <c r="D96" s="643">
        <v>61823.3</v>
      </c>
      <c r="E96" s="645" t="b">
        <v>1</v>
      </c>
      <c r="F96" s="646" t="str">
        <f t="shared" si="2"/>
        <v>PAGADO</v>
      </c>
      <c r="G96" s="340" t="s">
        <v>2276</v>
      </c>
      <c r="H96" s="646" t="str">
        <f t="shared" si="3"/>
        <v>VENCIDA</v>
      </c>
      <c r="I96" s="647">
        <f t="shared" si="4"/>
        <v>217</v>
      </c>
    </row>
    <row r="97">
      <c r="A97" s="643">
        <v>650598.0</v>
      </c>
      <c r="B97" s="644">
        <v>45945.0</v>
      </c>
      <c r="C97" s="644">
        <f t="shared" si="1"/>
        <v>45952</v>
      </c>
      <c r="D97" s="643">
        <v>39358.53</v>
      </c>
      <c r="E97" s="645" t="b">
        <v>1</v>
      </c>
      <c r="F97" s="646" t="str">
        <f t="shared" si="2"/>
        <v>PAGADO</v>
      </c>
      <c r="G97" s="340" t="s">
        <v>2276</v>
      </c>
      <c r="H97" s="646" t="str">
        <f t="shared" si="3"/>
        <v>VENCIDA</v>
      </c>
      <c r="I97" s="647">
        <f t="shared" si="4"/>
        <v>215</v>
      </c>
    </row>
    <row r="98">
      <c r="A98" s="643">
        <v>667427.0</v>
      </c>
      <c r="B98" s="644">
        <v>45946.0</v>
      </c>
      <c r="C98" s="644">
        <f t="shared" si="1"/>
        <v>45953</v>
      </c>
      <c r="D98" s="643">
        <v>24513.28</v>
      </c>
      <c r="E98" s="645" t="b">
        <v>1</v>
      </c>
      <c r="F98" s="646" t="str">
        <f t="shared" si="2"/>
        <v>PAGADO</v>
      </c>
      <c r="G98" s="340" t="s">
        <v>2276</v>
      </c>
      <c r="H98" s="646" t="str">
        <f t="shared" si="3"/>
        <v>VENCIDA</v>
      </c>
      <c r="I98" s="647">
        <f t="shared" si="4"/>
        <v>214</v>
      </c>
    </row>
    <row r="99">
      <c r="A99" s="643">
        <v>680250.0</v>
      </c>
      <c r="B99" s="644">
        <v>45950.0</v>
      </c>
      <c r="C99" s="644">
        <f t="shared" si="1"/>
        <v>45957</v>
      </c>
      <c r="D99" s="643">
        <v>24513.28</v>
      </c>
      <c r="E99" s="645" t="b">
        <v>1</v>
      </c>
      <c r="F99" s="646" t="str">
        <f t="shared" si="2"/>
        <v>PAGADO</v>
      </c>
      <c r="G99" s="340" t="s">
        <v>2276</v>
      </c>
      <c r="H99" s="646" t="str">
        <f t="shared" si="3"/>
        <v>VENCIDA</v>
      </c>
      <c r="I99" s="647">
        <f t="shared" si="4"/>
        <v>210</v>
      </c>
    </row>
    <row r="100">
      <c r="A100" s="643">
        <v>695971.0</v>
      </c>
      <c r="B100" s="644">
        <v>45951.0</v>
      </c>
      <c r="C100" s="644">
        <f t="shared" si="1"/>
        <v>45958</v>
      </c>
      <c r="D100" s="643">
        <v>44123.92</v>
      </c>
      <c r="E100" s="645" t="b">
        <v>1</v>
      </c>
      <c r="F100" s="646" t="str">
        <f t="shared" si="2"/>
        <v>PAGADO</v>
      </c>
      <c r="G100" s="340" t="s">
        <v>2276</v>
      </c>
      <c r="H100" s="646" t="str">
        <f t="shared" si="3"/>
        <v>VENCIDA</v>
      </c>
      <c r="I100" s="647">
        <f t="shared" si="4"/>
        <v>209</v>
      </c>
    </row>
    <row r="101">
      <c r="A101" s="643">
        <v>712991.0</v>
      </c>
      <c r="B101" s="644">
        <v>45954.0</v>
      </c>
      <c r="C101" s="644">
        <f t="shared" si="1"/>
        <v>45961</v>
      </c>
      <c r="D101" s="643">
        <v>102119.42</v>
      </c>
      <c r="E101" s="645" t="b">
        <v>1</v>
      </c>
      <c r="F101" s="646" t="str">
        <f t="shared" si="2"/>
        <v>PAGADO</v>
      </c>
      <c r="G101" s="340" t="s">
        <v>2276</v>
      </c>
      <c r="H101" s="646" t="str">
        <f t="shared" si="3"/>
        <v>VENCIDA</v>
      </c>
      <c r="I101" s="647">
        <f t="shared" si="4"/>
        <v>206</v>
      </c>
    </row>
    <row r="102">
      <c r="A102" s="643">
        <v>725757.0</v>
      </c>
      <c r="B102" s="644">
        <v>45957.0</v>
      </c>
      <c r="C102" s="644">
        <f t="shared" si="1"/>
        <v>45964</v>
      </c>
      <c r="D102" s="643">
        <v>68058.15</v>
      </c>
      <c r="E102" s="645" t="b">
        <v>1</v>
      </c>
      <c r="F102" s="646" t="str">
        <f t="shared" si="2"/>
        <v>PAGADO</v>
      </c>
      <c r="G102" s="340" t="s">
        <v>2276</v>
      </c>
      <c r="H102" s="646" t="str">
        <f t="shared" si="3"/>
        <v>VENCIDA</v>
      </c>
      <c r="I102" s="647">
        <f t="shared" si="4"/>
        <v>203</v>
      </c>
    </row>
    <row r="103">
      <c r="A103" s="643">
        <v>741526.0</v>
      </c>
      <c r="B103" s="644">
        <v>45961.0</v>
      </c>
      <c r="C103" s="644">
        <f t="shared" si="1"/>
        <v>45968</v>
      </c>
      <c r="D103" s="643">
        <v>56282.85</v>
      </c>
      <c r="E103" s="645" t="b">
        <v>1</v>
      </c>
      <c r="F103" s="646" t="str">
        <f t="shared" si="2"/>
        <v>PAGADO</v>
      </c>
      <c r="G103" s="340" t="s">
        <v>2276</v>
      </c>
      <c r="H103" s="646" t="str">
        <f t="shared" si="3"/>
        <v>VENCIDA</v>
      </c>
      <c r="I103" s="647">
        <f t="shared" si="4"/>
        <v>199</v>
      </c>
    </row>
    <row r="104">
      <c r="A104" s="643">
        <v>770429.0</v>
      </c>
      <c r="B104" s="644">
        <v>45964.0</v>
      </c>
      <c r="C104" s="644">
        <f t="shared" si="1"/>
        <v>45971</v>
      </c>
      <c r="D104" s="643">
        <v>83345.17</v>
      </c>
      <c r="E104" s="645" t="b">
        <v>1</v>
      </c>
      <c r="F104" s="646" t="str">
        <f t="shared" si="2"/>
        <v>PAGADO</v>
      </c>
      <c r="G104" s="340" t="s">
        <v>2276</v>
      </c>
      <c r="H104" s="646" t="str">
        <f t="shared" si="3"/>
        <v>VENCIDA</v>
      </c>
      <c r="I104" s="647">
        <f t="shared" si="4"/>
        <v>196</v>
      </c>
    </row>
    <row r="105">
      <c r="A105" s="643">
        <v>785457.0</v>
      </c>
      <c r="B105" s="644">
        <v>45965.0</v>
      </c>
      <c r="C105" s="644">
        <f t="shared" si="1"/>
        <v>45972</v>
      </c>
      <c r="D105" s="643">
        <v>49026.58</v>
      </c>
      <c r="E105" s="645" t="b">
        <v>1</v>
      </c>
      <c r="F105" s="646" t="str">
        <f t="shared" si="2"/>
        <v>PAGADO</v>
      </c>
      <c r="G105" s="340" t="s">
        <v>2276</v>
      </c>
      <c r="H105" s="646" t="str">
        <f t="shared" si="3"/>
        <v>VENCIDA</v>
      </c>
      <c r="I105" s="647">
        <f t="shared" si="4"/>
        <v>195</v>
      </c>
    </row>
    <row r="106">
      <c r="A106" s="643">
        <v>821075.0</v>
      </c>
      <c r="B106" s="644">
        <v>45972.0</v>
      </c>
      <c r="C106" s="644">
        <f t="shared" si="1"/>
        <v>45979</v>
      </c>
      <c r="D106" s="643">
        <v>41672.58</v>
      </c>
      <c r="E106" s="645" t="b">
        <v>1</v>
      </c>
      <c r="F106" s="646" t="str">
        <f t="shared" si="2"/>
        <v>PAGADO</v>
      </c>
      <c r="G106" s="340" t="s">
        <v>2276</v>
      </c>
      <c r="H106" s="646" t="str">
        <f t="shared" si="3"/>
        <v>VENCIDA</v>
      </c>
      <c r="I106" s="647">
        <f t="shared" si="4"/>
        <v>188</v>
      </c>
    </row>
    <row r="107">
      <c r="A107" s="643">
        <v>829372.0</v>
      </c>
      <c r="B107" s="644">
        <v>45973.0</v>
      </c>
      <c r="C107" s="644">
        <f t="shared" si="1"/>
        <v>45980</v>
      </c>
      <c r="D107" s="643">
        <v>41672.58</v>
      </c>
      <c r="E107" s="645" t="b">
        <v>1</v>
      </c>
      <c r="F107" s="646" t="str">
        <f t="shared" si="2"/>
        <v>PAGADO</v>
      </c>
      <c r="G107" s="340" t="s">
        <v>2276</v>
      </c>
      <c r="H107" s="646" t="str">
        <f t="shared" si="3"/>
        <v>VENCIDA</v>
      </c>
      <c r="I107" s="647">
        <f t="shared" si="4"/>
        <v>187</v>
      </c>
    </row>
    <row r="108">
      <c r="A108" s="643">
        <v>846457.0</v>
      </c>
      <c r="B108" s="644">
        <v>45975.0</v>
      </c>
      <c r="C108" s="644">
        <f t="shared" si="1"/>
        <v>45982</v>
      </c>
      <c r="D108" s="643">
        <v>41672.58</v>
      </c>
      <c r="E108" s="645" t="b">
        <v>1</v>
      </c>
      <c r="F108" s="646" t="str">
        <f t="shared" si="2"/>
        <v>PAGADO</v>
      </c>
      <c r="G108" s="340" t="s">
        <v>2276</v>
      </c>
      <c r="H108" s="646" t="str">
        <f t="shared" si="3"/>
        <v>VENCIDA</v>
      </c>
      <c r="I108" s="647">
        <f t="shared" si="4"/>
        <v>185</v>
      </c>
    </row>
    <row r="109">
      <c r="A109" s="643">
        <v>859145.0</v>
      </c>
      <c r="B109" s="644">
        <v>45977.0</v>
      </c>
      <c r="C109" s="644">
        <f t="shared" si="1"/>
        <v>45984</v>
      </c>
      <c r="D109" s="643">
        <v>81491.6</v>
      </c>
      <c r="E109" s="645" t="b">
        <v>1</v>
      </c>
      <c r="F109" s="646" t="str">
        <f t="shared" si="2"/>
        <v>PAGADO</v>
      </c>
      <c r="G109" s="340" t="s">
        <v>2276</v>
      </c>
      <c r="H109" s="646" t="str">
        <f t="shared" si="3"/>
        <v>VENCIDA</v>
      </c>
      <c r="I109" s="647">
        <f t="shared" si="4"/>
        <v>183</v>
      </c>
    </row>
    <row r="110">
      <c r="A110" s="643">
        <v>874513.0</v>
      </c>
      <c r="B110" s="644">
        <v>45980.0</v>
      </c>
      <c r="C110" s="644">
        <f t="shared" si="1"/>
        <v>45987</v>
      </c>
      <c r="D110" s="643">
        <v>67088.23</v>
      </c>
      <c r="E110" s="645" t="b">
        <v>1</v>
      </c>
      <c r="F110" s="646" t="str">
        <f t="shared" si="2"/>
        <v>PAGADO</v>
      </c>
      <c r="G110" s="340" t="s">
        <v>2276</v>
      </c>
      <c r="H110" s="646" t="str">
        <f t="shared" si="3"/>
        <v>VENCIDA</v>
      </c>
      <c r="I110" s="647">
        <f t="shared" si="4"/>
        <v>180</v>
      </c>
    </row>
    <row r="111">
      <c r="A111" s="643">
        <v>890864.0</v>
      </c>
      <c r="B111" s="644">
        <v>45981.0</v>
      </c>
      <c r="C111" s="644">
        <f t="shared" si="1"/>
        <v>45988</v>
      </c>
      <c r="D111" s="643">
        <v>41672.58</v>
      </c>
      <c r="E111" s="645" t="b">
        <v>1</v>
      </c>
      <c r="F111" s="646" t="str">
        <f t="shared" si="2"/>
        <v>PAGADO</v>
      </c>
      <c r="G111" s="340" t="s">
        <v>2276</v>
      </c>
      <c r="H111" s="646" t="str">
        <f t="shared" si="3"/>
        <v>VENCIDA</v>
      </c>
      <c r="I111" s="647">
        <f t="shared" si="4"/>
        <v>179</v>
      </c>
    </row>
    <row r="112">
      <c r="A112" s="643">
        <v>9410205.0</v>
      </c>
      <c r="B112" s="644">
        <v>46351.0</v>
      </c>
      <c r="C112" s="644"/>
      <c r="D112" s="643">
        <v>62508.88</v>
      </c>
      <c r="E112" s="645" t="b">
        <v>1</v>
      </c>
      <c r="F112" s="646" t="str">
        <f t="shared" si="2"/>
        <v>PAGADO</v>
      </c>
      <c r="G112" s="340" t="s">
        <v>2276</v>
      </c>
      <c r="H112" s="646" t="str">
        <f t="shared" si="3"/>
        <v>VENCIDA</v>
      </c>
      <c r="I112" s="647">
        <f t="shared" si="4"/>
        <v>46167</v>
      </c>
    </row>
    <row r="113">
      <c r="A113" s="643">
        <v>927867.0</v>
      </c>
      <c r="B113" s="644">
        <v>45989.0</v>
      </c>
      <c r="C113" s="644">
        <f t="shared" ref="C113:C145" si="5">B113+7</f>
        <v>45996</v>
      </c>
      <c r="D113" s="643">
        <v>86443.11</v>
      </c>
      <c r="E113" s="645" t="b">
        <v>1</v>
      </c>
      <c r="F113" s="646" t="str">
        <f t="shared" si="2"/>
        <v>PAGADO</v>
      </c>
      <c r="G113" s="340" t="s">
        <v>2276</v>
      </c>
      <c r="H113" s="646" t="str">
        <f t="shared" si="3"/>
        <v>VENCIDA</v>
      </c>
      <c r="I113" s="647">
        <f t="shared" si="4"/>
        <v>171</v>
      </c>
    </row>
    <row r="114">
      <c r="A114" s="643">
        <v>940359.0</v>
      </c>
      <c r="B114" s="644">
        <v>45992.0</v>
      </c>
      <c r="C114" s="644">
        <f t="shared" si="5"/>
        <v>45999</v>
      </c>
      <c r="D114" s="643">
        <v>49026.58</v>
      </c>
      <c r="E114" s="645" t="b">
        <v>1</v>
      </c>
      <c r="F114" s="646" t="str">
        <f t="shared" si="2"/>
        <v>PAGADO</v>
      </c>
      <c r="G114" s="340" t="s">
        <v>2276</v>
      </c>
      <c r="H114" s="646" t="str">
        <f t="shared" si="3"/>
        <v>VENCIDA</v>
      </c>
      <c r="I114" s="647">
        <f t="shared" si="4"/>
        <v>168</v>
      </c>
    </row>
    <row r="115">
      <c r="A115" s="643">
        <v>948432.0</v>
      </c>
      <c r="B115" s="644">
        <v>45993.0</v>
      </c>
      <c r="C115" s="644">
        <f t="shared" si="5"/>
        <v>46000</v>
      </c>
      <c r="D115" s="643">
        <v>49026.58</v>
      </c>
      <c r="E115" s="645" t="b">
        <v>1</v>
      </c>
      <c r="F115" s="646" t="str">
        <f t="shared" si="2"/>
        <v>PAGADO</v>
      </c>
      <c r="G115" s="340" t="s">
        <v>2278</v>
      </c>
      <c r="H115" s="646" t="str">
        <f t="shared" si="3"/>
        <v>VENCIDA</v>
      </c>
      <c r="I115" s="647">
        <f t="shared" si="4"/>
        <v>167</v>
      </c>
    </row>
    <row r="116">
      <c r="A116" s="643">
        <v>991917.0</v>
      </c>
      <c r="B116" s="644">
        <v>46001.0</v>
      </c>
      <c r="C116" s="644">
        <f t="shared" si="5"/>
        <v>46008</v>
      </c>
      <c r="D116" s="643">
        <v>74284.21</v>
      </c>
      <c r="E116" s="645" t="b">
        <v>1</v>
      </c>
      <c r="F116" s="646" t="str">
        <f t="shared" si="2"/>
        <v>PAGADO</v>
      </c>
      <c r="G116" s="340" t="s">
        <v>2276</v>
      </c>
      <c r="H116" s="646" t="str">
        <f t="shared" si="3"/>
        <v>VENCIDA</v>
      </c>
      <c r="I116" s="647">
        <f t="shared" si="4"/>
        <v>159</v>
      </c>
    </row>
    <row r="117">
      <c r="A117" s="643">
        <v>971829.0</v>
      </c>
      <c r="B117" s="644">
        <v>45996.0</v>
      </c>
      <c r="C117" s="644">
        <f t="shared" si="5"/>
        <v>46003</v>
      </c>
      <c r="D117" s="643">
        <v>62508.88</v>
      </c>
      <c r="E117" s="645" t="b">
        <v>1</v>
      </c>
      <c r="F117" s="646" t="str">
        <f t="shared" si="2"/>
        <v>PAGADO</v>
      </c>
      <c r="G117" s="340" t="s">
        <v>2276</v>
      </c>
      <c r="H117" s="646" t="str">
        <f t="shared" si="3"/>
        <v>VENCIDA</v>
      </c>
      <c r="I117" s="647">
        <f t="shared" si="4"/>
        <v>164</v>
      </c>
    </row>
    <row r="118">
      <c r="A118" s="643">
        <v>955694.0</v>
      </c>
      <c r="B118" s="644">
        <v>45994.0</v>
      </c>
      <c r="C118" s="644">
        <f t="shared" si="5"/>
        <v>46001</v>
      </c>
      <c r="D118" s="643">
        <v>41672.58</v>
      </c>
      <c r="E118" s="645" t="b">
        <v>1</v>
      </c>
      <c r="F118" s="646" t="str">
        <f t="shared" si="2"/>
        <v>PAGADO</v>
      </c>
      <c r="G118" s="340" t="s">
        <v>2276</v>
      </c>
      <c r="H118" s="646" t="str">
        <f t="shared" si="3"/>
        <v>VENCIDA</v>
      </c>
      <c r="I118" s="647">
        <f t="shared" si="4"/>
        <v>166</v>
      </c>
    </row>
    <row r="119">
      <c r="A119" s="643">
        <v>1055991.0</v>
      </c>
      <c r="B119" s="644">
        <v>46010.0</v>
      </c>
      <c r="C119" s="644">
        <f t="shared" si="5"/>
        <v>46017</v>
      </c>
      <c r="D119" s="643">
        <v>41672.58</v>
      </c>
      <c r="E119" s="645" t="b">
        <v>1</v>
      </c>
      <c r="F119" s="646" t="str">
        <f t="shared" si="2"/>
        <v>PAGADO</v>
      </c>
      <c r="G119" s="340" t="s">
        <v>2276</v>
      </c>
      <c r="H119" s="646" t="str">
        <f t="shared" si="3"/>
        <v>VENCIDA</v>
      </c>
      <c r="I119" s="647">
        <f t="shared" si="4"/>
        <v>150</v>
      </c>
    </row>
    <row r="120">
      <c r="A120" s="643">
        <v>1069233.0</v>
      </c>
      <c r="B120" s="644">
        <v>46013.0</v>
      </c>
      <c r="C120" s="644">
        <f t="shared" si="5"/>
        <v>46020</v>
      </c>
      <c r="D120" s="643">
        <v>68155.65</v>
      </c>
      <c r="E120" s="645" t="b">
        <v>1</v>
      </c>
      <c r="F120" s="646" t="str">
        <f t="shared" si="2"/>
        <v>PAGADO</v>
      </c>
      <c r="G120" s="340" t="s">
        <v>2276</v>
      </c>
      <c r="H120" s="646" t="str">
        <f t="shared" si="3"/>
        <v>VENCIDA</v>
      </c>
      <c r="I120" s="647">
        <f t="shared" si="4"/>
        <v>147</v>
      </c>
    </row>
    <row r="121">
      <c r="A121" s="643">
        <v>1085844.0</v>
      </c>
      <c r="B121" s="644">
        <v>46015.0</v>
      </c>
      <c r="C121" s="644">
        <f t="shared" si="5"/>
        <v>46022</v>
      </c>
      <c r="D121" s="643">
        <v>81878.98</v>
      </c>
      <c r="E121" s="645" t="b">
        <v>1</v>
      </c>
      <c r="F121" s="646" t="str">
        <f t="shared" si="2"/>
        <v>PAGADO</v>
      </c>
      <c r="G121" s="340" t="s">
        <v>2276</v>
      </c>
      <c r="H121" s="646" t="str">
        <f t="shared" si="3"/>
        <v>VENCIDA</v>
      </c>
      <c r="I121" s="647">
        <f t="shared" si="4"/>
        <v>145</v>
      </c>
    </row>
    <row r="122">
      <c r="A122" s="643">
        <v>1092246.0</v>
      </c>
      <c r="B122" s="644">
        <v>46017.0</v>
      </c>
      <c r="C122" s="644">
        <f t="shared" si="5"/>
        <v>46024</v>
      </c>
      <c r="D122" s="643">
        <v>41672.58</v>
      </c>
      <c r="E122" s="645" t="b">
        <v>1</v>
      </c>
      <c r="F122" s="646" t="str">
        <f t="shared" si="2"/>
        <v>PAGADO</v>
      </c>
      <c r="G122" s="340" t="s">
        <v>2276</v>
      </c>
      <c r="H122" s="646" t="str">
        <f t="shared" si="3"/>
        <v>VENCIDA</v>
      </c>
      <c r="I122" s="647">
        <f t="shared" si="4"/>
        <v>143</v>
      </c>
    </row>
    <row r="123">
      <c r="A123" s="643">
        <v>1.101104011E9</v>
      </c>
      <c r="B123" s="644">
        <v>46020.0</v>
      </c>
      <c r="C123" s="644">
        <f t="shared" si="5"/>
        <v>46027</v>
      </c>
      <c r="D123" s="643">
        <v>41672.58</v>
      </c>
      <c r="E123" s="645" t="b">
        <v>1</v>
      </c>
      <c r="F123" s="646" t="str">
        <f t="shared" si="2"/>
        <v>PAGADO</v>
      </c>
      <c r="G123" s="340" t="s">
        <v>2276</v>
      </c>
      <c r="H123" s="646" t="str">
        <f t="shared" si="3"/>
        <v>VENCIDA</v>
      </c>
      <c r="I123" s="647">
        <f t="shared" si="4"/>
        <v>140</v>
      </c>
    </row>
    <row r="124">
      <c r="A124" s="643">
        <v>1125331.0</v>
      </c>
      <c r="B124" s="644">
        <v>46024.0</v>
      </c>
      <c r="C124" s="644">
        <f t="shared" si="5"/>
        <v>46031</v>
      </c>
      <c r="D124" s="643">
        <v>22334.83</v>
      </c>
      <c r="E124" s="645" t="b">
        <v>1</v>
      </c>
      <c r="F124" s="646" t="str">
        <f t="shared" si="2"/>
        <v>PAGADO</v>
      </c>
      <c r="G124" s="340" t="s">
        <v>2276</v>
      </c>
      <c r="H124" s="646" t="str">
        <f t="shared" si="3"/>
        <v>VENCIDA</v>
      </c>
      <c r="I124" s="647">
        <f t="shared" si="4"/>
        <v>136</v>
      </c>
    </row>
    <row r="125">
      <c r="A125" s="643">
        <v>1135698.0</v>
      </c>
      <c r="B125" s="644">
        <v>46027.0</v>
      </c>
      <c r="C125" s="644">
        <f t="shared" si="5"/>
        <v>46034</v>
      </c>
      <c r="D125" s="643">
        <v>42722.3</v>
      </c>
      <c r="E125" s="645" t="b">
        <v>1</v>
      </c>
      <c r="F125" s="646" t="str">
        <f t="shared" si="2"/>
        <v>PAGADO</v>
      </c>
      <c r="G125" s="340" t="s">
        <v>2276</v>
      </c>
      <c r="H125" s="646" t="str">
        <f t="shared" si="3"/>
        <v>VENCIDA</v>
      </c>
      <c r="I125" s="647">
        <f t="shared" si="4"/>
        <v>133</v>
      </c>
    </row>
    <row r="126">
      <c r="A126" s="643">
        <v>1150352.0</v>
      </c>
      <c r="B126" s="644">
        <v>46029.0</v>
      </c>
      <c r="C126" s="644">
        <f t="shared" si="5"/>
        <v>46036</v>
      </c>
      <c r="D126" s="643">
        <v>21361.14</v>
      </c>
      <c r="E126" s="645" t="b">
        <v>1</v>
      </c>
      <c r="F126" s="646" t="str">
        <f t="shared" si="2"/>
        <v>PAGADO</v>
      </c>
      <c r="G126" s="340" t="s">
        <v>2276</v>
      </c>
      <c r="H126" s="646" t="str">
        <f t="shared" si="3"/>
        <v>VENCIDA</v>
      </c>
      <c r="I126" s="647">
        <f t="shared" si="4"/>
        <v>131</v>
      </c>
    </row>
    <row r="127">
      <c r="A127" s="643">
        <v>1165475.0</v>
      </c>
      <c r="B127" s="644">
        <v>46031.0</v>
      </c>
      <c r="C127" s="644">
        <f t="shared" si="5"/>
        <v>46038</v>
      </c>
      <c r="D127" s="643">
        <v>21361.14</v>
      </c>
      <c r="E127" s="645" t="b">
        <v>1</v>
      </c>
      <c r="F127" s="646" t="str">
        <f t="shared" si="2"/>
        <v>PAGADO</v>
      </c>
      <c r="G127" s="340" t="s">
        <v>2276</v>
      </c>
      <c r="H127" s="646" t="str">
        <f t="shared" si="3"/>
        <v>VENCIDA</v>
      </c>
      <c r="I127" s="647">
        <f t="shared" si="4"/>
        <v>129</v>
      </c>
    </row>
    <row r="128">
      <c r="A128" s="643">
        <v>1176629.0</v>
      </c>
      <c r="B128" s="644">
        <v>46034.0</v>
      </c>
      <c r="C128" s="644">
        <f t="shared" si="5"/>
        <v>46041</v>
      </c>
      <c r="D128" s="643">
        <v>69777.41</v>
      </c>
      <c r="E128" s="645" t="b">
        <v>1</v>
      </c>
      <c r="F128" s="646" t="str">
        <f t="shared" si="2"/>
        <v>PAGADO</v>
      </c>
      <c r="G128" s="340" t="s">
        <v>2276</v>
      </c>
      <c r="H128" s="646" t="str">
        <f t="shared" si="3"/>
        <v>VENCIDA</v>
      </c>
      <c r="I128" s="647">
        <f t="shared" si="4"/>
        <v>126</v>
      </c>
    </row>
    <row r="129">
      <c r="A129" s="643">
        <v>1198972.0</v>
      </c>
      <c r="B129" s="644">
        <v>46037.0</v>
      </c>
      <c r="C129" s="644">
        <f t="shared" si="5"/>
        <v>46044</v>
      </c>
      <c r="D129" s="643">
        <v>84939.99</v>
      </c>
      <c r="E129" s="645" t="b">
        <v>1</v>
      </c>
      <c r="F129" s="646" t="str">
        <f t="shared" si="2"/>
        <v>PAGADO</v>
      </c>
      <c r="G129" s="340" t="s">
        <v>2276</v>
      </c>
      <c r="H129" s="646" t="str">
        <f t="shared" si="3"/>
        <v>VENCIDA</v>
      </c>
      <c r="I129" s="647">
        <f t="shared" si="4"/>
        <v>123</v>
      </c>
    </row>
    <row r="130">
      <c r="A130" s="643">
        <v>1219785.0</v>
      </c>
      <c r="B130" s="644">
        <v>46041.0</v>
      </c>
      <c r="C130" s="644">
        <f t="shared" si="5"/>
        <v>46048</v>
      </c>
      <c r="D130" s="643">
        <v>21361.14</v>
      </c>
      <c r="E130" s="645" t="b">
        <v>1</v>
      </c>
      <c r="F130" s="646" t="str">
        <f t="shared" si="2"/>
        <v>PAGADO</v>
      </c>
      <c r="G130" s="340" t="s">
        <v>2276</v>
      </c>
      <c r="H130" s="646" t="str">
        <f t="shared" si="3"/>
        <v>VENCIDA</v>
      </c>
      <c r="I130" s="647">
        <f t="shared" si="4"/>
        <v>119</v>
      </c>
    </row>
    <row r="131">
      <c r="A131" s="643">
        <v>1233556.0</v>
      </c>
      <c r="B131" s="644">
        <v>46043.0</v>
      </c>
      <c r="C131" s="644">
        <f t="shared" si="5"/>
        <v>46050</v>
      </c>
      <c r="D131" s="643">
        <v>62584.6</v>
      </c>
      <c r="E131" s="645" t="b">
        <v>1</v>
      </c>
      <c r="F131" s="646" t="str">
        <f t="shared" si="2"/>
        <v>PAGADO</v>
      </c>
      <c r="G131" s="340" t="s">
        <v>2276</v>
      </c>
      <c r="H131" s="646" t="str">
        <f t="shared" si="3"/>
        <v>VENCIDA</v>
      </c>
      <c r="I131" s="647">
        <f t="shared" si="4"/>
        <v>117</v>
      </c>
    </row>
    <row r="132">
      <c r="A132" s="643">
        <v>1249357.0</v>
      </c>
      <c r="B132" s="644">
        <v>46044.0</v>
      </c>
      <c r="C132" s="644">
        <f t="shared" si="5"/>
        <v>46051</v>
      </c>
      <c r="D132" s="643">
        <v>42217.7</v>
      </c>
      <c r="E132" s="645" t="b">
        <v>1</v>
      </c>
      <c r="F132" s="646" t="str">
        <f t="shared" si="2"/>
        <v>PAGADO</v>
      </c>
      <c r="G132" s="340" t="s">
        <v>2287</v>
      </c>
      <c r="H132" s="646" t="str">
        <f t="shared" si="3"/>
        <v>VENCIDA</v>
      </c>
      <c r="I132" s="647">
        <f t="shared" si="4"/>
        <v>116</v>
      </c>
    </row>
    <row r="133">
      <c r="A133" s="643">
        <v>1276997.0</v>
      </c>
      <c r="B133" s="644">
        <v>46050.0</v>
      </c>
      <c r="C133" s="644">
        <f t="shared" si="5"/>
        <v>46057</v>
      </c>
      <c r="D133" s="643">
        <v>42722.3</v>
      </c>
      <c r="E133" s="645" t="b">
        <v>1</v>
      </c>
      <c r="F133" s="646" t="str">
        <f t="shared" si="2"/>
        <v>PAGADO</v>
      </c>
      <c r="G133" s="340" t="s">
        <v>2287</v>
      </c>
      <c r="H133" s="646" t="str">
        <f t="shared" si="3"/>
        <v>VENCIDA</v>
      </c>
      <c r="I133" s="647">
        <f t="shared" si="4"/>
        <v>110</v>
      </c>
    </row>
    <row r="134">
      <c r="A134" s="643">
        <v>1293491.0</v>
      </c>
      <c r="B134" s="644">
        <v>46052.0</v>
      </c>
      <c r="C134" s="644">
        <f t="shared" si="5"/>
        <v>46059</v>
      </c>
      <c r="D134" s="643">
        <v>21361.14</v>
      </c>
      <c r="E134" s="645" t="b">
        <v>1</v>
      </c>
      <c r="F134" s="646" t="str">
        <f t="shared" si="2"/>
        <v>PAGADO</v>
      </c>
      <c r="G134" s="340" t="s">
        <v>2287</v>
      </c>
      <c r="H134" s="646" t="str">
        <f t="shared" si="3"/>
        <v>VENCIDA</v>
      </c>
      <c r="I134" s="647">
        <f t="shared" si="4"/>
        <v>108</v>
      </c>
    </row>
    <row r="135">
      <c r="A135" s="643">
        <v>1306233.0</v>
      </c>
      <c r="B135" s="644">
        <v>46055.0</v>
      </c>
      <c r="C135" s="644">
        <f t="shared" si="5"/>
        <v>46062</v>
      </c>
      <c r="D135" s="643">
        <v>44079.01</v>
      </c>
      <c r="E135" s="645" t="b">
        <v>1</v>
      </c>
      <c r="F135" s="646" t="str">
        <f t="shared" si="2"/>
        <v>PAGADO</v>
      </c>
      <c r="G135" s="340" t="s">
        <v>2276</v>
      </c>
      <c r="H135" s="646" t="str">
        <f t="shared" si="3"/>
        <v>VENCIDA</v>
      </c>
      <c r="I135" s="647">
        <f t="shared" si="4"/>
        <v>105</v>
      </c>
    </row>
    <row r="136">
      <c r="A136" s="643">
        <v>1321073.0</v>
      </c>
      <c r="B136" s="644">
        <v>46057.0</v>
      </c>
      <c r="C136" s="644">
        <f t="shared" si="5"/>
        <v>46064</v>
      </c>
      <c r="D136" s="643">
        <v>38868.85</v>
      </c>
      <c r="E136" s="645" t="b">
        <v>1</v>
      </c>
      <c r="F136" s="646" t="str">
        <f t="shared" si="2"/>
        <v>PAGADO</v>
      </c>
      <c r="G136" s="340" t="s">
        <v>2276</v>
      </c>
      <c r="H136" s="646" t="str">
        <f t="shared" si="3"/>
        <v>VENCIDA</v>
      </c>
      <c r="I136" s="647">
        <f t="shared" si="4"/>
        <v>103</v>
      </c>
    </row>
    <row r="137">
      <c r="A137" s="643">
        <v>1336595.0</v>
      </c>
      <c r="B137" s="644">
        <v>46059.0</v>
      </c>
      <c r="C137" s="644">
        <f t="shared" si="5"/>
        <v>46066</v>
      </c>
      <c r="D137" s="643">
        <v>50649.29</v>
      </c>
      <c r="E137" s="645" t="b">
        <v>1</v>
      </c>
      <c r="F137" s="646" t="str">
        <f t="shared" si="2"/>
        <v>PAGADO</v>
      </c>
      <c r="G137" s="340" t="s">
        <v>2276</v>
      </c>
      <c r="H137" s="646" t="str">
        <f t="shared" si="3"/>
        <v>VENCIDA</v>
      </c>
      <c r="I137" s="647">
        <f t="shared" si="4"/>
        <v>101</v>
      </c>
    </row>
    <row r="138">
      <c r="A138" s="643">
        <v>1348278.0</v>
      </c>
      <c r="B138" s="644">
        <v>46062.0</v>
      </c>
      <c r="C138" s="644">
        <f t="shared" si="5"/>
        <v>46069</v>
      </c>
      <c r="D138" s="643">
        <v>82342.49</v>
      </c>
      <c r="E138" s="645" t="b">
        <v>1</v>
      </c>
      <c r="F138" s="646" t="str">
        <f t="shared" si="2"/>
        <v>PAGADO</v>
      </c>
      <c r="G138" s="340" t="s">
        <v>2276</v>
      </c>
      <c r="H138" s="646" t="str">
        <f t="shared" si="3"/>
        <v>VENCIDA</v>
      </c>
      <c r="I138" s="647">
        <f t="shared" si="4"/>
        <v>98</v>
      </c>
    </row>
    <row r="139">
      <c r="A139" s="643">
        <v>1363459.0</v>
      </c>
      <c r="B139" s="644">
        <v>46064.0</v>
      </c>
      <c r="C139" s="644">
        <f t="shared" si="5"/>
        <v>46071</v>
      </c>
      <c r="D139" s="643">
        <v>44079.01</v>
      </c>
      <c r="E139" s="645" t="b">
        <v>1</v>
      </c>
      <c r="F139" s="646" t="str">
        <f t="shared" si="2"/>
        <v>PAGADO</v>
      </c>
      <c r="G139" s="340" t="s">
        <v>2276</v>
      </c>
      <c r="H139" s="646" t="str">
        <f t="shared" si="3"/>
        <v>VENCIDA</v>
      </c>
      <c r="I139" s="647">
        <f t="shared" si="4"/>
        <v>96</v>
      </c>
    </row>
    <row r="140">
      <c r="A140" s="643">
        <v>1379030.0</v>
      </c>
      <c r="B140" s="644">
        <v>46066.0</v>
      </c>
      <c r="C140" s="644">
        <f t="shared" si="5"/>
        <v>46073</v>
      </c>
      <c r="D140" s="643">
        <v>44079.0</v>
      </c>
      <c r="E140" s="645" t="b">
        <v>1</v>
      </c>
      <c r="F140" s="646" t="str">
        <f t="shared" si="2"/>
        <v>PAGADO</v>
      </c>
      <c r="G140" s="340" t="s">
        <v>2276</v>
      </c>
      <c r="H140" s="646" t="str">
        <f t="shared" si="3"/>
        <v>VENCIDA</v>
      </c>
      <c r="I140" s="647">
        <f t="shared" si="4"/>
        <v>94</v>
      </c>
    </row>
    <row r="141">
      <c r="A141" s="643">
        <v>1397893.0</v>
      </c>
      <c r="B141" s="644">
        <v>46070.0</v>
      </c>
      <c r="C141" s="644">
        <f t="shared" si="5"/>
        <v>46077</v>
      </c>
      <c r="D141" s="643">
        <v>68118.5</v>
      </c>
      <c r="E141" s="645" t="b">
        <v>1</v>
      </c>
      <c r="F141" s="646" t="str">
        <f t="shared" si="2"/>
        <v>PAGADO</v>
      </c>
      <c r="G141" s="340" t="s">
        <v>2276</v>
      </c>
      <c r="H141" s="646" t="str">
        <f t="shared" si="3"/>
        <v>VENCIDA</v>
      </c>
      <c r="I141" s="647">
        <f t="shared" si="4"/>
        <v>90</v>
      </c>
    </row>
    <row r="142">
      <c r="A142" s="643">
        <v>376620.0</v>
      </c>
      <c r="B142" s="644">
        <v>46076.0</v>
      </c>
      <c r="C142" s="644">
        <f t="shared" si="5"/>
        <v>46083</v>
      </c>
      <c r="D142" s="643">
        <v>50649.29</v>
      </c>
      <c r="E142" s="645" t="b">
        <v>1</v>
      </c>
      <c r="F142" s="646" t="str">
        <f t="shared" si="2"/>
        <v>PAGADO</v>
      </c>
      <c r="G142" s="340" t="s">
        <v>2287</v>
      </c>
      <c r="H142" s="646" t="str">
        <f t="shared" si="3"/>
        <v>VENCIDA</v>
      </c>
      <c r="I142" s="647">
        <f t="shared" si="4"/>
        <v>84</v>
      </c>
    </row>
    <row r="143">
      <c r="A143" s="643">
        <v>1454221.0</v>
      </c>
      <c r="B143" s="644">
        <v>46080.0</v>
      </c>
      <c r="C143" s="644">
        <f t="shared" si="5"/>
        <v>46087</v>
      </c>
      <c r="D143" s="643">
        <v>70562.0</v>
      </c>
      <c r="E143" s="645" t="b">
        <v>1</v>
      </c>
      <c r="F143" s="646" t="str">
        <f t="shared" si="2"/>
        <v>PAGADO</v>
      </c>
      <c r="G143" s="340" t="s">
        <v>2287</v>
      </c>
      <c r="H143" s="646" t="str">
        <f t="shared" si="3"/>
        <v>VENCIDA</v>
      </c>
      <c r="I143" s="647">
        <f t="shared" si="4"/>
        <v>80</v>
      </c>
    </row>
    <row r="144">
      <c r="A144" s="643">
        <v>1490494.0</v>
      </c>
      <c r="B144" s="644">
        <v>46086.0</v>
      </c>
      <c r="C144" s="644">
        <f t="shared" si="5"/>
        <v>46093</v>
      </c>
      <c r="D144" s="643">
        <v>46129.2</v>
      </c>
      <c r="E144" s="645" t="b">
        <v>1</v>
      </c>
      <c r="F144" s="646" t="str">
        <f t="shared" si="2"/>
        <v>PAGADO</v>
      </c>
      <c r="G144" s="340" t="s">
        <v>2276</v>
      </c>
      <c r="H144" s="646" t="str">
        <f t="shared" si="3"/>
        <v>VENCIDA</v>
      </c>
      <c r="I144" s="647">
        <f t="shared" si="4"/>
        <v>74</v>
      </c>
    </row>
    <row r="145">
      <c r="A145" s="643">
        <v>1499223.0</v>
      </c>
      <c r="B145" s="644">
        <v>46087.0</v>
      </c>
      <c r="C145" s="644">
        <f t="shared" si="5"/>
        <v>46094</v>
      </c>
      <c r="D145" s="643">
        <v>46129.2</v>
      </c>
      <c r="E145" s="645" t="b">
        <v>1</v>
      </c>
      <c r="F145" s="646" t="str">
        <f t="shared" si="2"/>
        <v>PAGADO</v>
      </c>
      <c r="G145" s="340" t="s">
        <v>2276</v>
      </c>
      <c r="H145" s="646" t="str">
        <f t="shared" si="3"/>
        <v>VENCIDA</v>
      </c>
      <c r="I145" s="647">
        <f t="shared" si="4"/>
        <v>73</v>
      </c>
    </row>
    <row r="146">
      <c r="A146" s="643">
        <v>1527021.0</v>
      </c>
      <c r="B146" s="644">
        <v>46092.0</v>
      </c>
      <c r="C146" s="644"/>
      <c r="D146" s="643">
        <v>46129.2</v>
      </c>
      <c r="E146" s="645" t="b">
        <v>1</v>
      </c>
      <c r="F146" s="646" t="str">
        <f t="shared" si="2"/>
        <v>PAGADO</v>
      </c>
      <c r="G146" s="340" t="s">
        <v>2276</v>
      </c>
      <c r="H146" s="646" t="str">
        <f t="shared" si="3"/>
        <v>VENCIDA</v>
      </c>
      <c r="I146" s="647">
        <f t="shared" si="4"/>
        <v>46167</v>
      </c>
    </row>
    <row r="147">
      <c r="A147" s="643">
        <v>1543465.0</v>
      </c>
      <c r="B147" s="644">
        <v>46094.0</v>
      </c>
      <c r="C147" s="644"/>
      <c r="D147" s="643">
        <v>71151.16</v>
      </c>
      <c r="E147" s="645" t="b">
        <v>1</v>
      </c>
      <c r="F147" s="646" t="str">
        <f t="shared" si="2"/>
        <v>PAGADO</v>
      </c>
      <c r="G147" s="340" t="s">
        <v>2276</v>
      </c>
      <c r="H147" s="646" t="str">
        <f t="shared" si="3"/>
        <v>VENCIDA</v>
      </c>
      <c r="I147" s="647">
        <f t="shared" si="4"/>
        <v>46167</v>
      </c>
    </row>
    <row r="148">
      <c r="A148" s="643">
        <v>1602631.0</v>
      </c>
      <c r="B148" s="644">
        <v>46104.0</v>
      </c>
      <c r="C148" s="644"/>
      <c r="D148" s="643">
        <v>82783.8</v>
      </c>
      <c r="E148" s="645" t="b">
        <v>1</v>
      </c>
      <c r="F148" s="646" t="str">
        <f t="shared" si="2"/>
        <v>PAGADO</v>
      </c>
      <c r="G148" s="340" t="s">
        <v>2276</v>
      </c>
      <c r="H148" s="646" t="str">
        <f t="shared" si="3"/>
        <v>VENCIDA</v>
      </c>
      <c r="I148" s="647">
        <f t="shared" si="4"/>
        <v>46167</v>
      </c>
    </row>
    <row r="149">
      <c r="A149" s="643">
        <v>1640694.0</v>
      </c>
      <c r="B149" s="644">
        <v>46111.0</v>
      </c>
      <c r="C149" s="644">
        <f t="shared" ref="C149:C161" si="6">B149+7</f>
        <v>46118</v>
      </c>
      <c r="D149" s="643">
        <v>47528.22</v>
      </c>
      <c r="E149" s="645" t="b">
        <v>1</v>
      </c>
      <c r="F149" s="646" t="str">
        <f t="shared" si="2"/>
        <v>PAGADO</v>
      </c>
      <c r="G149" s="340" t="s">
        <v>2276</v>
      </c>
      <c r="H149" s="646" t="str">
        <f t="shared" si="3"/>
        <v>VENCIDA</v>
      </c>
      <c r="I149" s="647">
        <f t="shared" si="4"/>
        <v>49</v>
      </c>
    </row>
    <row r="150">
      <c r="A150" s="643">
        <v>1649524.0</v>
      </c>
      <c r="B150" s="644">
        <v>46112.0</v>
      </c>
      <c r="C150" s="644">
        <f t="shared" si="6"/>
        <v>46119</v>
      </c>
      <c r="D150" s="643">
        <v>93333.74</v>
      </c>
      <c r="E150" s="645" t="b">
        <v>1</v>
      </c>
      <c r="F150" s="646" t="str">
        <f t="shared" si="2"/>
        <v>PAGADO</v>
      </c>
      <c r="G150" s="340" t="s">
        <v>2278</v>
      </c>
      <c r="H150" s="646" t="str">
        <f t="shared" si="3"/>
        <v>VENCIDA</v>
      </c>
      <c r="I150" s="647">
        <f t="shared" si="4"/>
        <v>48</v>
      </c>
    </row>
    <row r="151">
      <c r="A151" s="643">
        <v>1658592.0</v>
      </c>
      <c r="B151" s="644">
        <v>46113.0</v>
      </c>
      <c r="C151" s="644">
        <f t="shared" si="6"/>
        <v>46120</v>
      </c>
      <c r="D151" s="643">
        <v>97551.36</v>
      </c>
      <c r="E151" s="645" t="b">
        <v>1</v>
      </c>
      <c r="F151" s="646" t="str">
        <f t="shared" si="2"/>
        <v>PAGADO</v>
      </c>
      <c r="G151" s="340" t="s">
        <v>2276</v>
      </c>
      <c r="H151" s="646" t="str">
        <f t="shared" si="3"/>
        <v>VENCIDA</v>
      </c>
      <c r="I151" s="647">
        <f t="shared" si="4"/>
        <v>47</v>
      </c>
    </row>
    <row r="152">
      <c r="A152" s="643">
        <v>1677508.0</v>
      </c>
      <c r="B152" s="643">
        <v>5.0</v>
      </c>
      <c r="C152" s="644">
        <f t="shared" si="6"/>
        <v>12</v>
      </c>
      <c r="D152" s="643">
        <v>74024.27</v>
      </c>
      <c r="E152" s="645" t="b">
        <v>1</v>
      </c>
      <c r="F152" s="646" t="str">
        <f t="shared" si="2"/>
        <v>PAGADO</v>
      </c>
      <c r="G152" s="340" t="s">
        <v>2278</v>
      </c>
      <c r="H152" s="646" t="str">
        <f t="shared" si="3"/>
        <v>VENCIDA</v>
      </c>
      <c r="I152" s="647">
        <f t="shared" si="4"/>
        <v>46155</v>
      </c>
    </row>
    <row r="153">
      <c r="A153" s="643">
        <v>1694441.0</v>
      </c>
      <c r="B153" s="644">
        <v>46120.0</v>
      </c>
      <c r="C153" s="644">
        <f t="shared" si="6"/>
        <v>46127</v>
      </c>
      <c r="D153" s="643">
        <v>49349.51</v>
      </c>
      <c r="E153" s="645" t="b">
        <v>1</v>
      </c>
      <c r="F153" s="646" t="str">
        <f t="shared" si="2"/>
        <v>PAGADO</v>
      </c>
      <c r="G153" s="340" t="s">
        <v>2278</v>
      </c>
      <c r="H153" s="646" t="str">
        <f t="shared" si="3"/>
        <v>VENCIDA</v>
      </c>
      <c r="I153" s="647">
        <f t="shared" si="4"/>
        <v>40</v>
      </c>
    </row>
    <row r="154">
      <c r="A154" s="643">
        <v>1730466.0</v>
      </c>
      <c r="B154" s="644">
        <v>46125.0</v>
      </c>
      <c r="C154" s="644">
        <f t="shared" si="6"/>
        <v>46132</v>
      </c>
      <c r="D154" s="643">
        <v>74024.27</v>
      </c>
      <c r="E154" s="645" t="b">
        <v>1</v>
      </c>
      <c r="F154" s="646" t="str">
        <f t="shared" si="2"/>
        <v>PAGADO</v>
      </c>
      <c r="G154" s="340" t="s">
        <v>2278</v>
      </c>
      <c r="H154" s="646" t="str">
        <f t="shared" si="3"/>
        <v>VENCIDA</v>
      </c>
      <c r="I154" s="647">
        <f t="shared" si="4"/>
        <v>35</v>
      </c>
    </row>
    <row r="155">
      <c r="A155" s="643">
        <v>1756108.0</v>
      </c>
      <c r="B155" s="644">
        <v>46129.0</v>
      </c>
      <c r="C155" s="644">
        <f t="shared" si="6"/>
        <v>46136</v>
      </c>
      <c r="D155" s="643">
        <v>49349.51</v>
      </c>
      <c r="E155" s="645" t="b">
        <v>1</v>
      </c>
      <c r="F155" s="646" t="str">
        <f t="shared" si="2"/>
        <v>PAGADO</v>
      </c>
      <c r="G155" s="340" t="s">
        <v>2278</v>
      </c>
      <c r="H155" s="646" t="str">
        <f t="shared" si="3"/>
        <v>VENCIDA</v>
      </c>
      <c r="I155" s="647">
        <f t="shared" si="4"/>
        <v>31</v>
      </c>
    </row>
    <row r="156">
      <c r="A156" s="643">
        <v>1767530.0</v>
      </c>
      <c r="B156" s="644">
        <v>46132.0</v>
      </c>
      <c r="C156" s="644">
        <f t="shared" si="6"/>
        <v>46139</v>
      </c>
      <c r="D156" s="643">
        <v>49349.51</v>
      </c>
      <c r="E156" s="645" t="b">
        <v>1</v>
      </c>
      <c r="F156" s="646" t="str">
        <f t="shared" si="2"/>
        <v>PAGADO</v>
      </c>
      <c r="G156" s="340" t="s">
        <v>2278</v>
      </c>
      <c r="H156" s="646" t="str">
        <f t="shared" si="3"/>
        <v>VENCIDA</v>
      </c>
      <c r="I156" s="647">
        <f t="shared" si="4"/>
        <v>28</v>
      </c>
    </row>
    <row r="157">
      <c r="A157" s="643">
        <v>1783563.0</v>
      </c>
      <c r="B157" s="644">
        <v>46133.0</v>
      </c>
      <c r="C157" s="644">
        <f t="shared" si="6"/>
        <v>46140</v>
      </c>
      <c r="D157" s="643">
        <v>28648.63</v>
      </c>
      <c r="E157" s="645" t="b">
        <v>1</v>
      </c>
      <c r="F157" s="646" t="str">
        <f t="shared" si="2"/>
        <v>PAGADO</v>
      </c>
      <c r="G157" s="340" t="s">
        <v>2278</v>
      </c>
      <c r="H157" s="646" t="str">
        <f t="shared" si="3"/>
        <v>VENCIDA</v>
      </c>
      <c r="I157" s="647">
        <f t="shared" si="4"/>
        <v>27</v>
      </c>
    </row>
    <row r="158">
      <c r="A158" s="643">
        <v>1799743.0</v>
      </c>
      <c r="B158" s="644">
        <v>46135.0</v>
      </c>
      <c r="C158" s="644">
        <f t="shared" si="6"/>
        <v>46142</v>
      </c>
      <c r="D158" s="643">
        <v>53017.05</v>
      </c>
      <c r="E158" s="645" t="b">
        <v>1</v>
      </c>
      <c r="F158" s="646" t="str">
        <f t="shared" si="2"/>
        <v>PAGADO</v>
      </c>
      <c r="G158" s="340" t="s">
        <v>2278</v>
      </c>
      <c r="H158" s="646" t="str">
        <f t="shared" si="3"/>
        <v>VENCIDA</v>
      </c>
      <c r="I158" s="647">
        <f t="shared" si="4"/>
        <v>25</v>
      </c>
    </row>
    <row r="159">
      <c r="A159" s="643">
        <v>1812603.0</v>
      </c>
      <c r="B159" s="644">
        <v>46138.0</v>
      </c>
      <c r="C159" s="644">
        <f t="shared" si="6"/>
        <v>46145</v>
      </c>
      <c r="D159" s="643">
        <v>53640.78</v>
      </c>
      <c r="E159" s="645" t="b">
        <v>1</v>
      </c>
      <c r="F159" s="646" t="str">
        <f t="shared" si="2"/>
        <v>PAGADO</v>
      </c>
      <c r="G159" s="340" t="s">
        <v>2278</v>
      </c>
      <c r="H159" s="646" t="str">
        <f t="shared" si="3"/>
        <v>VENCIDA</v>
      </c>
      <c r="I159" s="647">
        <f t="shared" si="4"/>
        <v>22</v>
      </c>
    </row>
    <row r="160">
      <c r="A160" s="644"/>
      <c r="B160" s="644"/>
      <c r="C160" s="644">
        <f t="shared" si="6"/>
        <v>7</v>
      </c>
      <c r="D160" s="643"/>
      <c r="E160" s="645" t="b">
        <v>0</v>
      </c>
      <c r="F160" s="646" t="str">
        <f t="shared" si="2"/>
        <v>ADEUDA</v>
      </c>
      <c r="G160" s="340" t="s">
        <v>2278</v>
      </c>
      <c r="H160" s="646" t="str">
        <f t="shared" si="3"/>
        <v>VENCIDA</v>
      </c>
      <c r="I160" s="647">
        <f t="shared" si="4"/>
        <v>46160</v>
      </c>
    </row>
    <row r="161">
      <c r="A161" s="644"/>
      <c r="B161" s="644"/>
      <c r="C161" s="644">
        <f t="shared" si="6"/>
        <v>7</v>
      </c>
      <c r="D161" s="643"/>
      <c r="E161" s="645" t="b">
        <v>0</v>
      </c>
      <c r="F161" s="646" t="str">
        <f t="shared" si="2"/>
        <v>ADEUDA</v>
      </c>
      <c r="G161" s="340" t="s">
        <v>2278</v>
      </c>
      <c r="H161" s="646" t="str">
        <f t="shared" si="3"/>
        <v>VENCIDA</v>
      </c>
      <c r="I161" s="647">
        <f t="shared" si="4"/>
        <v>46160</v>
      </c>
    </row>
    <row r="163">
      <c r="C163" s="771"/>
    </row>
    <row r="164">
      <c r="C164" s="772" t="s">
        <v>55</v>
      </c>
      <c r="D164" s="3">
        <f>SUMIF(F3:F151,C164,D3:D151)</f>
        <v>0</v>
      </c>
    </row>
    <row r="165">
      <c r="C165" s="773" t="s">
        <v>527</v>
      </c>
      <c r="D165" s="3">
        <f>SUMIF(F3:F151,C165,D3:D151)</f>
        <v>8495709.47</v>
      </c>
    </row>
    <row r="166">
      <c r="C166" s="697" t="s">
        <v>28</v>
      </c>
      <c r="D166" s="3">
        <f>D164+D165</f>
        <v>8495709.47</v>
      </c>
    </row>
  </sheetData>
  <mergeCells count="2">
    <mergeCell ref="A1:H1"/>
    <mergeCell ref="E2:F2"/>
  </mergeCells>
  <conditionalFormatting sqref="F3:F161">
    <cfRule type="expression" dxfId="1" priority="1">
      <formula>F3="PAGADO"</formula>
    </cfRule>
  </conditionalFormatting>
  <conditionalFormatting sqref="F3:F161">
    <cfRule type="expression" dxfId="2" priority="2">
      <formula>F3="ADEUDA"</formula>
    </cfRule>
  </conditionalFormatting>
  <conditionalFormatting sqref="H3:H161">
    <cfRule type="cellIs" dxfId="3" priority="3" operator="equal">
      <formula>"VENCIDA"</formula>
    </cfRule>
  </conditionalFormatting>
  <conditionalFormatting sqref="H3:H161">
    <cfRule type="cellIs" dxfId="4" priority="4" operator="equal">
      <formula>"VIGENTE"</formula>
    </cfRule>
  </conditionalFormatting>
  <conditionalFormatting sqref="H3:H161">
    <cfRule type="cellIs" dxfId="2" priority="5" operator="equal">
      <formula>"VENCE HOY"</formula>
    </cfRule>
  </conditionalFormatting>
  <dataValidations>
    <dataValidation type="list" allowBlank="1" showErrorMessage="1" sqref="G3:G161">
      <formula1>"transferencia,mercado pago,efectivo"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2408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2409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45693.0</v>
      </c>
      <c r="C4" s="644">
        <f t="shared" ref="C4:C25" si="1">B4+15</f>
        <v>45708</v>
      </c>
      <c r="D4" s="643">
        <v>119615.72</v>
      </c>
      <c r="E4" s="645" t="b">
        <v>1</v>
      </c>
      <c r="F4" s="646" t="str">
        <f t="shared" ref="F4:F134" si="2">IF(E4,"PAGADO","ADEUDA")</f>
        <v>PAGADO</v>
      </c>
      <c r="G4" s="340" t="s">
        <v>2278</v>
      </c>
      <c r="H4" s="646" t="str">
        <f t="shared" ref="H4:H134" si="3">IF(C4&lt;TODAY(),"VENCIDA",IF(C4=TODAY(),"VENCE HOY",IF(C4&gt;TODAY(),"VIGENTE")))</f>
        <v>VENCIDA</v>
      </c>
      <c r="I4" s="647">
        <f t="shared" ref="I4:I12" si="4">TODAY()-C4</f>
        <v>459</v>
      </c>
      <c r="J4" s="768" t="s">
        <v>31</v>
      </c>
      <c r="K4" s="769">
        <f>D4+D5+D6+D7</f>
        <v>317773.85</v>
      </c>
    </row>
    <row r="5">
      <c r="A5" s="643">
        <v>28139.0</v>
      </c>
      <c r="B5" s="644">
        <v>45699.0</v>
      </c>
      <c r="C5" s="644">
        <f t="shared" si="1"/>
        <v>45714</v>
      </c>
      <c r="D5" s="643">
        <v>72541.36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453</v>
      </c>
      <c r="J5" s="768" t="s">
        <v>35</v>
      </c>
      <c r="K5" s="770"/>
    </row>
    <row r="6">
      <c r="A6" s="643">
        <v>28225.0</v>
      </c>
      <c r="B6" s="644">
        <v>45706.0</v>
      </c>
      <c r="C6" s="644">
        <f t="shared" si="1"/>
        <v>45721</v>
      </c>
      <c r="D6" s="643">
        <v>68873.31</v>
      </c>
      <c r="E6" s="645" t="b">
        <v>1</v>
      </c>
      <c r="F6" s="646" t="str">
        <f t="shared" si="2"/>
        <v>PAGADO</v>
      </c>
      <c r="G6" s="340" t="s">
        <v>2278</v>
      </c>
      <c r="H6" s="646" t="str">
        <f t="shared" si="3"/>
        <v>VENCIDA</v>
      </c>
      <c r="I6" s="647">
        <f t="shared" si="4"/>
        <v>446</v>
      </c>
      <c r="J6" s="768" t="s">
        <v>37</v>
      </c>
      <c r="K6" s="770"/>
    </row>
    <row r="7">
      <c r="A7" s="643">
        <v>28352.0</v>
      </c>
      <c r="B7" s="644">
        <v>45716.0</v>
      </c>
      <c r="C7" s="644">
        <f t="shared" si="1"/>
        <v>45731</v>
      </c>
      <c r="D7" s="643">
        <v>56743.46</v>
      </c>
      <c r="E7" s="645" t="b">
        <v>1</v>
      </c>
      <c r="F7" s="646" t="str">
        <f t="shared" si="2"/>
        <v>PAGADO</v>
      </c>
      <c r="G7" s="340" t="s">
        <v>2278</v>
      </c>
      <c r="H7" s="646" t="str">
        <f t="shared" si="3"/>
        <v>VENCIDA</v>
      </c>
      <c r="I7" s="647">
        <f t="shared" si="4"/>
        <v>436</v>
      </c>
      <c r="J7" s="768" t="s">
        <v>39</v>
      </c>
      <c r="K7" s="770"/>
    </row>
    <row r="8">
      <c r="A8" s="643">
        <v>28496.0</v>
      </c>
      <c r="B8" s="644">
        <v>45730.0</v>
      </c>
      <c r="C8" s="644">
        <f t="shared" si="1"/>
        <v>45745</v>
      </c>
      <c r="D8" s="643">
        <v>43258.66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422</v>
      </c>
      <c r="J8" s="768" t="s">
        <v>41</v>
      </c>
      <c r="K8" s="770"/>
    </row>
    <row r="9">
      <c r="A9" s="643">
        <v>28531.0</v>
      </c>
      <c r="B9" s="644">
        <v>45735.0</v>
      </c>
      <c r="C9" s="644">
        <f t="shared" si="1"/>
        <v>45750</v>
      </c>
      <c r="D9" s="643">
        <v>122873.77</v>
      </c>
      <c r="E9" s="645" t="b">
        <v>1</v>
      </c>
      <c r="F9" s="646" t="str">
        <f t="shared" si="2"/>
        <v>PAGADO</v>
      </c>
      <c r="G9" s="340" t="s">
        <v>2278</v>
      </c>
      <c r="H9" s="646" t="str">
        <f t="shared" si="3"/>
        <v>VENCIDA</v>
      </c>
      <c r="I9" s="647">
        <f t="shared" si="4"/>
        <v>417</v>
      </c>
      <c r="J9" s="768" t="s">
        <v>42</v>
      </c>
      <c r="K9" s="770">
        <f>D22+D23+D24+D25</f>
        <v>954343.31</v>
      </c>
    </row>
    <row r="10">
      <c r="A10" s="643">
        <v>28661.0</v>
      </c>
      <c r="B10" s="644">
        <v>45744.0</v>
      </c>
      <c r="C10" s="644">
        <f t="shared" si="1"/>
        <v>45759</v>
      </c>
      <c r="D10" s="643">
        <v>60784.51</v>
      </c>
      <c r="E10" s="645" t="b">
        <v>1</v>
      </c>
      <c r="F10" s="646" t="str">
        <f t="shared" si="2"/>
        <v>PAGADO</v>
      </c>
      <c r="G10" s="340" t="s">
        <v>2278</v>
      </c>
      <c r="H10" s="646" t="str">
        <f t="shared" si="3"/>
        <v>VENCIDA</v>
      </c>
      <c r="I10" s="647">
        <f t="shared" si="4"/>
        <v>408</v>
      </c>
      <c r="J10" s="768" t="s">
        <v>43</v>
      </c>
      <c r="K10" s="770">
        <f>D26+D27</f>
        <v>125390.94</v>
      </c>
    </row>
    <row r="11">
      <c r="A11" s="643">
        <v>28763.0</v>
      </c>
      <c r="B11" s="644">
        <v>45755.0</v>
      </c>
      <c r="C11" s="644">
        <f t="shared" si="1"/>
        <v>45770</v>
      </c>
      <c r="D11" s="643">
        <v>151139.56</v>
      </c>
      <c r="E11" s="645" t="b">
        <v>1</v>
      </c>
      <c r="F11" s="646" t="str">
        <f t="shared" si="2"/>
        <v>PAGADO</v>
      </c>
      <c r="G11" s="340" t="s">
        <v>2278</v>
      </c>
      <c r="H11" s="646" t="str">
        <f t="shared" si="3"/>
        <v>VENCIDA</v>
      </c>
      <c r="I11" s="647">
        <f t="shared" si="4"/>
        <v>397</v>
      </c>
      <c r="J11" s="768" t="s">
        <v>45</v>
      </c>
      <c r="K11" s="770"/>
    </row>
    <row r="12">
      <c r="A12" s="643">
        <v>28825.0</v>
      </c>
      <c r="B12" s="644">
        <v>45761.0</v>
      </c>
      <c r="C12" s="644">
        <f t="shared" si="1"/>
        <v>45776</v>
      </c>
      <c r="D12" s="643">
        <v>73776.59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4"/>
        <v>391</v>
      </c>
      <c r="J12" s="768" t="s">
        <v>49</v>
      </c>
      <c r="K12" s="770"/>
    </row>
    <row r="13">
      <c r="A13" s="643">
        <v>28863.0</v>
      </c>
      <c r="B13" s="644">
        <v>45763.0</v>
      </c>
      <c r="C13" s="644">
        <f t="shared" si="1"/>
        <v>45778</v>
      </c>
      <c r="D13" s="643">
        <v>16441.77</v>
      </c>
      <c r="E13" s="645" t="b">
        <v>1</v>
      </c>
      <c r="F13" s="646" t="str">
        <f t="shared" si="2"/>
        <v>PAGADO</v>
      </c>
      <c r="G13" s="340" t="s">
        <v>2278</v>
      </c>
      <c r="H13" s="646" t="str">
        <f t="shared" si="3"/>
        <v>VENCIDA</v>
      </c>
      <c r="I13" s="647"/>
      <c r="J13" s="768"/>
      <c r="K13" s="770"/>
    </row>
    <row r="14">
      <c r="A14" s="643">
        <v>28864.0</v>
      </c>
      <c r="B14" s="644">
        <v>45763.0</v>
      </c>
      <c r="C14" s="644">
        <f t="shared" si="1"/>
        <v>45778</v>
      </c>
      <c r="D14" s="643">
        <v>2612.81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/>
      <c r="J14" s="768"/>
      <c r="K14" s="770"/>
    </row>
    <row r="15">
      <c r="A15" s="643">
        <v>28988.0</v>
      </c>
      <c r="B15" s="644">
        <v>45775.0</v>
      </c>
      <c r="C15" s="644">
        <f t="shared" si="1"/>
        <v>45790</v>
      </c>
      <c r="D15" s="643">
        <v>227075.27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ref="I15:I134" si="5">TODAY()-C15</f>
        <v>377</v>
      </c>
      <c r="J15" s="768" t="s">
        <v>50</v>
      </c>
      <c r="K15" s="770"/>
    </row>
    <row r="16">
      <c r="A16" s="643">
        <v>29070.0</v>
      </c>
      <c r="B16" s="644">
        <v>45783.0</v>
      </c>
      <c r="C16" s="644">
        <f t="shared" si="1"/>
        <v>45798</v>
      </c>
      <c r="D16" s="643">
        <v>35778.44</v>
      </c>
      <c r="E16" s="645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5"/>
        <v>369</v>
      </c>
      <c r="J16" s="768" t="s">
        <v>51</v>
      </c>
      <c r="K16" s="770">
        <f>SUM(D35:D37)</f>
        <v>537998.36</v>
      </c>
    </row>
    <row r="17">
      <c r="A17" s="643">
        <v>29166.0</v>
      </c>
      <c r="B17" s="644">
        <v>45790.0</v>
      </c>
      <c r="C17" s="644">
        <f t="shared" si="1"/>
        <v>45805</v>
      </c>
      <c r="D17" s="643">
        <v>93949.52</v>
      </c>
      <c r="E17" s="645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5"/>
        <v>362</v>
      </c>
    </row>
    <row r="18">
      <c r="A18" s="643">
        <v>29253.0</v>
      </c>
      <c r="B18" s="644">
        <v>45797.0</v>
      </c>
      <c r="C18" s="644">
        <f t="shared" si="1"/>
        <v>45812</v>
      </c>
      <c r="D18" s="643">
        <v>56202.79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5"/>
        <v>355</v>
      </c>
    </row>
    <row r="19">
      <c r="A19" s="643">
        <v>29345.0</v>
      </c>
      <c r="B19" s="644">
        <v>45804.0</v>
      </c>
      <c r="C19" s="644">
        <f t="shared" si="1"/>
        <v>45819</v>
      </c>
      <c r="D19" s="643">
        <v>185019.49</v>
      </c>
      <c r="E19" s="654" t="b">
        <v>1</v>
      </c>
      <c r="F19" s="646" t="str">
        <f t="shared" si="2"/>
        <v>PAGADO</v>
      </c>
      <c r="G19" s="340" t="s">
        <v>2278</v>
      </c>
      <c r="H19" s="646" t="str">
        <f t="shared" si="3"/>
        <v>VENCIDA</v>
      </c>
      <c r="I19" s="647">
        <f t="shared" si="5"/>
        <v>348</v>
      </c>
    </row>
    <row r="20">
      <c r="A20" s="643">
        <v>29445.0</v>
      </c>
      <c r="B20" s="644">
        <v>45811.0</v>
      </c>
      <c r="C20" s="644">
        <f t="shared" si="1"/>
        <v>45826</v>
      </c>
      <c r="D20" s="643">
        <v>117482.0</v>
      </c>
      <c r="E20" s="654" t="b">
        <v>1</v>
      </c>
      <c r="F20" s="646" t="str">
        <f t="shared" si="2"/>
        <v>PAGADO</v>
      </c>
      <c r="G20" s="340" t="s">
        <v>2278</v>
      </c>
      <c r="H20" s="646" t="str">
        <f t="shared" si="3"/>
        <v>VENCIDA</v>
      </c>
      <c r="I20" s="647">
        <f t="shared" si="5"/>
        <v>341</v>
      </c>
    </row>
    <row r="21">
      <c r="A21" s="643">
        <v>29523.0</v>
      </c>
      <c r="B21" s="644">
        <v>45818.0</v>
      </c>
      <c r="C21" s="644">
        <f t="shared" si="1"/>
        <v>45833</v>
      </c>
      <c r="D21" s="643">
        <v>178237.67</v>
      </c>
      <c r="E21" s="645" t="b">
        <v>1</v>
      </c>
      <c r="F21" s="646" t="str">
        <f t="shared" si="2"/>
        <v>PAGADO</v>
      </c>
      <c r="G21" s="340" t="s">
        <v>2278</v>
      </c>
      <c r="H21" s="646" t="str">
        <f t="shared" si="3"/>
        <v>VENCIDA</v>
      </c>
      <c r="I21" s="647">
        <f t="shared" si="5"/>
        <v>334</v>
      </c>
    </row>
    <row r="22">
      <c r="A22" s="643">
        <v>29593.0</v>
      </c>
      <c r="B22" s="644">
        <v>45825.0</v>
      </c>
      <c r="C22" s="644">
        <f t="shared" si="1"/>
        <v>45840</v>
      </c>
      <c r="D22" s="643">
        <v>131689.29</v>
      </c>
      <c r="E22" s="645" t="b">
        <v>1</v>
      </c>
      <c r="F22" s="646" t="str">
        <f t="shared" si="2"/>
        <v>PAGADO</v>
      </c>
      <c r="G22" s="340" t="s">
        <v>2278</v>
      </c>
      <c r="H22" s="646" t="str">
        <f t="shared" si="3"/>
        <v>VENCIDA</v>
      </c>
      <c r="I22" s="647">
        <f t="shared" si="5"/>
        <v>327</v>
      </c>
    </row>
    <row r="23">
      <c r="A23" s="643">
        <v>29733.0</v>
      </c>
      <c r="B23" s="644">
        <v>45838.0</v>
      </c>
      <c r="C23" s="644">
        <f t="shared" si="1"/>
        <v>45853</v>
      </c>
      <c r="D23" s="643">
        <v>54206.11</v>
      </c>
      <c r="E23" s="645" t="b">
        <v>1</v>
      </c>
      <c r="F23" s="646" t="str">
        <f t="shared" si="2"/>
        <v>PAGADO</v>
      </c>
      <c r="G23" s="340" t="s">
        <v>2276</v>
      </c>
      <c r="H23" s="646" t="str">
        <f t="shared" si="3"/>
        <v>VENCIDA</v>
      </c>
      <c r="I23" s="647">
        <f t="shared" si="5"/>
        <v>314</v>
      </c>
    </row>
    <row r="24">
      <c r="A24" s="643">
        <v>29758.0</v>
      </c>
      <c r="B24" s="644">
        <v>45839.0</v>
      </c>
      <c r="C24" s="644">
        <f t="shared" si="1"/>
        <v>45854</v>
      </c>
      <c r="D24" s="643">
        <v>241983.27</v>
      </c>
      <c r="E24" s="645" t="b">
        <v>1</v>
      </c>
      <c r="F24" s="646" t="str">
        <f t="shared" si="2"/>
        <v>PAGADO</v>
      </c>
      <c r="G24" s="340" t="s">
        <v>2278</v>
      </c>
      <c r="H24" s="646" t="str">
        <f t="shared" si="3"/>
        <v>VENCIDA</v>
      </c>
      <c r="I24" s="647">
        <f t="shared" si="5"/>
        <v>313</v>
      </c>
      <c r="J24" s="2" t="s">
        <v>2410</v>
      </c>
    </row>
    <row r="25">
      <c r="A25" s="643">
        <v>29939.0</v>
      </c>
      <c r="B25" s="644">
        <v>45854.0</v>
      </c>
      <c r="C25" s="644">
        <f t="shared" si="1"/>
        <v>45869</v>
      </c>
      <c r="D25" s="643">
        <v>526464.64</v>
      </c>
      <c r="E25" s="645" t="b">
        <v>1</v>
      </c>
      <c r="F25" s="646" t="str">
        <f t="shared" si="2"/>
        <v>PAGADO</v>
      </c>
      <c r="G25" s="340" t="s">
        <v>2276</v>
      </c>
      <c r="H25" s="646" t="str">
        <f t="shared" si="3"/>
        <v>VENCIDA</v>
      </c>
      <c r="I25" s="647">
        <f t="shared" si="5"/>
        <v>298</v>
      </c>
    </row>
    <row r="26">
      <c r="A26" s="643">
        <v>30123.0</v>
      </c>
      <c r="B26" s="644">
        <v>45875.0</v>
      </c>
      <c r="C26" s="644"/>
      <c r="D26" s="643">
        <v>66790.33</v>
      </c>
      <c r="E26" s="645" t="b">
        <v>1</v>
      </c>
      <c r="F26" s="646" t="str">
        <f t="shared" si="2"/>
        <v>PAGADO</v>
      </c>
      <c r="G26" s="340" t="s">
        <v>2276</v>
      </c>
      <c r="H26" s="646" t="str">
        <f t="shared" si="3"/>
        <v>VENCIDA</v>
      </c>
      <c r="I26" s="647">
        <f t="shared" si="5"/>
        <v>46167</v>
      </c>
    </row>
    <row r="27">
      <c r="A27" s="643">
        <v>30234.0</v>
      </c>
      <c r="B27" s="644">
        <v>45883.0</v>
      </c>
      <c r="C27" s="644">
        <f t="shared" ref="C27:C47" si="6">B27+15</f>
        <v>45898</v>
      </c>
      <c r="D27" s="643">
        <v>58600.61</v>
      </c>
      <c r="E27" s="645" t="b">
        <v>1</v>
      </c>
      <c r="F27" s="646" t="str">
        <f t="shared" si="2"/>
        <v>PAGADO</v>
      </c>
      <c r="G27" s="340" t="s">
        <v>2276</v>
      </c>
      <c r="H27" s="646" t="str">
        <f t="shared" si="3"/>
        <v>VENCIDA</v>
      </c>
      <c r="I27" s="647">
        <f t="shared" si="5"/>
        <v>269</v>
      </c>
    </row>
    <row r="28">
      <c r="A28" s="643">
        <v>30362.0</v>
      </c>
      <c r="B28" s="644">
        <v>45895.0</v>
      </c>
      <c r="C28" s="644">
        <f t="shared" si="6"/>
        <v>45910</v>
      </c>
      <c r="D28" s="643">
        <v>376632.42</v>
      </c>
      <c r="E28" s="645" t="b">
        <v>1</v>
      </c>
      <c r="F28" s="646" t="str">
        <f t="shared" si="2"/>
        <v>PAGADO</v>
      </c>
      <c r="G28" s="340" t="s">
        <v>2278</v>
      </c>
      <c r="H28" s="646" t="str">
        <f t="shared" si="3"/>
        <v>VENCIDA</v>
      </c>
      <c r="I28" s="647">
        <f t="shared" si="5"/>
        <v>257</v>
      </c>
    </row>
    <row r="29">
      <c r="A29" s="643">
        <v>30627.0</v>
      </c>
      <c r="B29" s="644">
        <v>45917.0</v>
      </c>
      <c r="C29" s="644">
        <f t="shared" si="6"/>
        <v>45932</v>
      </c>
      <c r="D29" s="643">
        <v>522491.23</v>
      </c>
      <c r="E29" s="645" t="b">
        <v>1</v>
      </c>
      <c r="F29" s="646" t="str">
        <f t="shared" si="2"/>
        <v>PAGADO</v>
      </c>
      <c r="G29" s="340" t="s">
        <v>2278</v>
      </c>
      <c r="H29" s="646" t="str">
        <f t="shared" si="3"/>
        <v>VENCIDA</v>
      </c>
      <c r="I29" s="647">
        <f t="shared" si="5"/>
        <v>235</v>
      </c>
    </row>
    <row r="30">
      <c r="A30" s="643">
        <v>30879.0</v>
      </c>
      <c r="B30" s="644">
        <v>45936.0</v>
      </c>
      <c r="C30" s="644">
        <f t="shared" si="6"/>
        <v>45951</v>
      </c>
      <c r="D30" s="643">
        <v>208664.78</v>
      </c>
      <c r="E30" s="645" t="b">
        <v>1</v>
      </c>
      <c r="F30" s="646" t="str">
        <f t="shared" si="2"/>
        <v>PAGADO</v>
      </c>
      <c r="G30" s="340" t="s">
        <v>2278</v>
      </c>
      <c r="H30" s="646" t="str">
        <f t="shared" si="3"/>
        <v>VENCIDA</v>
      </c>
      <c r="I30" s="647">
        <f t="shared" si="5"/>
        <v>216</v>
      </c>
    </row>
    <row r="31">
      <c r="A31" s="643">
        <v>31081.0</v>
      </c>
      <c r="B31" s="644">
        <v>45952.0</v>
      </c>
      <c r="C31" s="644">
        <f t="shared" si="6"/>
        <v>45967</v>
      </c>
      <c r="D31" s="643">
        <v>111478.12</v>
      </c>
      <c r="E31" s="645" t="b">
        <v>1</v>
      </c>
      <c r="F31" s="646" t="str">
        <f t="shared" si="2"/>
        <v>PAGADO</v>
      </c>
      <c r="G31" s="340" t="s">
        <v>2278</v>
      </c>
      <c r="H31" s="646" t="str">
        <f t="shared" si="3"/>
        <v>VENCIDA</v>
      </c>
      <c r="I31" s="647">
        <f t="shared" si="5"/>
        <v>200</v>
      </c>
    </row>
    <row r="32">
      <c r="A32" s="643">
        <v>31062.0</v>
      </c>
      <c r="B32" s="644">
        <v>45951.0</v>
      </c>
      <c r="C32" s="644">
        <f t="shared" si="6"/>
        <v>45966</v>
      </c>
      <c r="D32" s="643">
        <v>164409.42</v>
      </c>
      <c r="E32" s="645" t="b">
        <v>1</v>
      </c>
      <c r="F32" s="646" t="str">
        <f t="shared" si="2"/>
        <v>PAGADO</v>
      </c>
      <c r="G32" s="340" t="s">
        <v>2278</v>
      </c>
      <c r="H32" s="646" t="str">
        <f t="shared" si="3"/>
        <v>VENCIDA</v>
      </c>
      <c r="I32" s="647">
        <f t="shared" si="5"/>
        <v>201</v>
      </c>
    </row>
    <row r="33">
      <c r="A33" s="643">
        <v>31232.0</v>
      </c>
      <c r="B33" s="644">
        <v>45965.0</v>
      </c>
      <c r="C33" s="644">
        <f t="shared" si="6"/>
        <v>45980</v>
      </c>
      <c r="D33" s="643">
        <v>252919.5</v>
      </c>
      <c r="E33" s="645" t="b">
        <v>1</v>
      </c>
      <c r="F33" s="646" t="str">
        <f t="shared" si="2"/>
        <v>PAGADO</v>
      </c>
      <c r="G33" s="340" t="s">
        <v>2278</v>
      </c>
      <c r="H33" s="646" t="str">
        <f t="shared" si="3"/>
        <v>VENCIDA</v>
      </c>
      <c r="I33" s="647">
        <f t="shared" si="5"/>
        <v>187</v>
      </c>
    </row>
    <row r="34">
      <c r="A34" s="643">
        <v>31419.0</v>
      </c>
      <c r="B34" s="644">
        <v>45979.0</v>
      </c>
      <c r="C34" s="644">
        <f t="shared" si="6"/>
        <v>45994</v>
      </c>
      <c r="D34" s="643">
        <v>251255.25</v>
      </c>
      <c r="E34" s="645" t="b">
        <v>1</v>
      </c>
      <c r="F34" s="646" t="str">
        <f t="shared" si="2"/>
        <v>PAGADO</v>
      </c>
      <c r="G34" s="340" t="s">
        <v>2278</v>
      </c>
      <c r="H34" s="646" t="str">
        <f t="shared" si="3"/>
        <v>VENCIDA</v>
      </c>
      <c r="I34" s="647">
        <f t="shared" si="5"/>
        <v>173</v>
      </c>
    </row>
    <row r="35">
      <c r="A35" s="643">
        <v>31590.0</v>
      </c>
      <c r="B35" s="644">
        <v>45993.0</v>
      </c>
      <c r="C35" s="644">
        <f t="shared" si="6"/>
        <v>46008</v>
      </c>
      <c r="D35" s="643">
        <v>349864.47</v>
      </c>
      <c r="E35" s="645" t="b">
        <v>1</v>
      </c>
      <c r="F35" s="646" t="str">
        <f t="shared" si="2"/>
        <v>PAGADO</v>
      </c>
      <c r="G35" s="340" t="s">
        <v>2276</v>
      </c>
      <c r="H35" s="646" t="str">
        <f t="shared" si="3"/>
        <v>VENCIDA</v>
      </c>
      <c r="I35" s="647">
        <f t="shared" si="5"/>
        <v>159</v>
      </c>
    </row>
    <row r="36">
      <c r="A36" s="643">
        <v>31761.0</v>
      </c>
      <c r="B36" s="644">
        <v>46007.0</v>
      </c>
      <c r="C36" s="644">
        <f t="shared" si="6"/>
        <v>46022</v>
      </c>
      <c r="D36" s="643">
        <v>172207.26</v>
      </c>
      <c r="E36" s="645" t="b">
        <v>1</v>
      </c>
      <c r="F36" s="646" t="str">
        <f t="shared" si="2"/>
        <v>PAGADO</v>
      </c>
      <c r="G36" s="340" t="s">
        <v>2278</v>
      </c>
      <c r="H36" s="646" t="str">
        <f t="shared" si="3"/>
        <v>VENCIDA</v>
      </c>
      <c r="I36" s="647">
        <f t="shared" si="5"/>
        <v>145</v>
      </c>
    </row>
    <row r="37">
      <c r="A37" s="643">
        <v>31781.0</v>
      </c>
      <c r="B37" s="644">
        <v>46008.0</v>
      </c>
      <c r="C37" s="644">
        <f t="shared" si="6"/>
        <v>46023</v>
      </c>
      <c r="D37" s="643">
        <v>15926.63</v>
      </c>
      <c r="E37" s="645" t="b">
        <v>1</v>
      </c>
      <c r="F37" s="646" t="str">
        <f t="shared" si="2"/>
        <v>PAGADO</v>
      </c>
      <c r="G37" s="340" t="s">
        <v>2278</v>
      </c>
      <c r="H37" s="646" t="str">
        <f t="shared" si="3"/>
        <v>VENCIDA</v>
      </c>
      <c r="I37" s="647">
        <f t="shared" si="5"/>
        <v>144</v>
      </c>
    </row>
    <row r="38">
      <c r="A38" s="643" t="s">
        <v>2411</v>
      </c>
      <c r="B38" s="644">
        <v>46008.0</v>
      </c>
      <c r="C38" s="644">
        <f t="shared" si="6"/>
        <v>46023</v>
      </c>
      <c r="D38" s="643">
        <v>-12453.4</v>
      </c>
      <c r="E38" s="645" t="b">
        <v>1</v>
      </c>
      <c r="F38" s="646" t="str">
        <f t="shared" si="2"/>
        <v>PAGADO</v>
      </c>
      <c r="G38" s="340" t="s">
        <v>2278</v>
      </c>
      <c r="H38" s="646" t="str">
        <f t="shared" si="3"/>
        <v>VENCIDA</v>
      </c>
      <c r="I38" s="647">
        <f t="shared" si="5"/>
        <v>144</v>
      </c>
      <c r="J38" s="2" t="s">
        <v>2412</v>
      </c>
    </row>
    <row r="39">
      <c r="A39" s="643">
        <v>31977.0</v>
      </c>
      <c r="B39" s="644">
        <v>46028.0</v>
      </c>
      <c r="C39" s="644">
        <f t="shared" si="6"/>
        <v>46043</v>
      </c>
      <c r="D39" s="643">
        <v>257289.02</v>
      </c>
      <c r="E39" s="645" t="b">
        <v>1</v>
      </c>
      <c r="F39" s="646" t="str">
        <f t="shared" si="2"/>
        <v>PAGADO</v>
      </c>
      <c r="G39" s="340" t="s">
        <v>2278</v>
      </c>
      <c r="H39" s="646" t="str">
        <f t="shared" si="3"/>
        <v>VENCIDA</v>
      </c>
      <c r="I39" s="647">
        <f t="shared" si="5"/>
        <v>124</v>
      </c>
    </row>
    <row r="40">
      <c r="A40" s="643">
        <v>32166.0</v>
      </c>
      <c r="B40" s="644">
        <v>46056.0</v>
      </c>
      <c r="C40" s="644">
        <f t="shared" si="6"/>
        <v>46071</v>
      </c>
      <c r="D40" s="643">
        <v>480701.71</v>
      </c>
      <c r="E40" s="645" t="b">
        <v>1</v>
      </c>
      <c r="F40" s="646" t="str">
        <f t="shared" si="2"/>
        <v>PAGADO</v>
      </c>
      <c r="G40" s="340" t="s">
        <v>2278</v>
      </c>
      <c r="H40" s="646" t="str">
        <f t="shared" si="3"/>
        <v>VENCIDA</v>
      </c>
      <c r="I40" s="647">
        <f t="shared" si="5"/>
        <v>96</v>
      </c>
    </row>
    <row r="41">
      <c r="A41" s="644"/>
      <c r="B41" s="644">
        <v>46064.0</v>
      </c>
      <c r="C41" s="644">
        <f t="shared" si="6"/>
        <v>46079</v>
      </c>
      <c r="D41" s="643">
        <v>11388.08</v>
      </c>
      <c r="E41" s="645" t="b">
        <v>1</v>
      </c>
      <c r="F41" s="646" t="str">
        <f t="shared" si="2"/>
        <v>PAGADO</v>
      </c>
      <c r="G41" s="340" t="s">
        <v>2276</v>
      </c>
      <c r="H41" s="646" t="str">
        <f t="shared" si="3"/>
        <v>VENCIDA</v>
      </c>
      <c r="I41" s="647">
        <f t="shared" si="5"/>
        <v>88</v>
      </c>
    </row>
    <row r="42">
      <c r="A42" s="643">
        <v>32393.0</v>
      </c>
      <c r="B42" s="644">
        <v>46077.0</v>
      </c>
      <c r="C42" s="644">
        <f t="shared" si="6"/>
        <v>46092</v>
      </c>
      <c r="D42" s="643">
        <v>241785.66</v>
      </c>
      <c r="E42" s="645" t="b">
        <v>1</v>
      </c>
      <c r="F42" s="646" t="str">
        <f t="shared" si="2"/>
        <v>PAGADO</v>
      </c>
      <c r="G42" s="340" t="s">
        <v>2278</v>
      </c>
      <c r="H42" s="646" t="str">
        <f t="shared" si="3"/>
        <v>VENCIDA</v>
      </c>
      <c r="I42" s="647">
        <f t="shared" si="5"/>
        <v>75</v>
      </c>
    </row>
    <row r="43">
      <c r="A43" s="643">
        <v>32409.0</v>
      </c>
      <c r="B43" s="644">
        <v>46078.0</v>
      </c>
      <c r="C43" s="644">
        <f t="shared" si="6"/>
        <v>46093</v>
      </c>
      <c r="D43" s="643">
        <v>75067.92</v>
      </c>
      <c r="E43" s="645" t="b">
        <v>1</v>
      </c>
      <c r="F43" s="646" t="str">
        <f t="shared" si="2"/>
        <v>PAGADO</v>
      </c>
      <c r="G43" s="340" t="s">
        <v>2278</v>
      </c>
      <c r="H43" s="646" t="str">
        <f t="shared" si="3"/>
        <v>VENCIDA</v>
      </c>
      <c r="I43" s="647">
        <f t="shared" si="5"/>
        <v>74</v>
      </c>
    </row>
    <row r="44">
      <c r="A44" s="643">
        <v>32559.0</v>
      </c>
      <c r="B44" s="644">
        <v>46091.0</v>
      </c>
      <c r="C44" s="644">
        <f t="shared" si="6"/>
        <v>46106</v>
      </c>
      <c r="D44" s="643">
        <v>37095.04</v>
      </c>
      <c r="E44" s="645" t="b">
        <v>1</v>
      </c>
      <c r="F44" s="646" t="str">
        <f t="shared" si="2"/>
        <v>PAGADO</v>
      </c>
      <c r="G44" s="340" t="s">
        <v>2278</v>
      </c>
      <c r="H44" s="646" t="str">
        <f t="shared" si="3"/>
        <v>VENCIDA</v>
      </c>
      <c r="I44" s="647">
        <f t="shared" si="5"/>
        <v>61</v>
      </c>
    </row>
    <row r="45">
      <c r="A45" s="643">
        <v>32570.0</v>
      </c>
      <c r="B45" s="644">
        <v>46091.0</v>
      </c>
      <c r="C45" s="644">
        <f t="shared" si="6"/>
        <v>46106</v>
      </c>
      <c r="D45" s="643">
        <v>366963.45</v>
      </c>
      <c r="E45" s="645" t="b">
        <v>1</v>
      </c>
      <c r="F45" s="646" t="str">
        <f t="shared" si="2"/>
        <v>PAGADO</v>
      </c>
      <c r="G45" s="340" t="s">
        <v>2278</v>
      </c>
      <c r="H45" s="646" t="str">
        <f t="shared" si="3"/>
        <v>VENCIDA</v>
      </c>
      <c r="I45" s="647">
        <f t="shared" si="5"/>
        <v>61</v>
      </c>
    </row>
    <row r="46">
      <c r="A46" s="643">
        <v>32661.0</v>
      </c>
      <c r="B46" s="644">
        <v>46098.0</v>
      </c>
      <c r="C46" s="644">
        <f t="shared" si="6"/>
        <v>46113</v>
      </c>
      <c r="D46" s="643">
        <v>71727.92</v>
      </c>
      <c r="E46" s="645" t="b">
        <v>1</v>
      </c>
      <c r="F46" s="646" t="str">
        <f t="shared" si="2"/>
        <v>PAGADO</v>
      </c>
      <c r="G46" s="340" t="s">
        <v>2278</v>
      </c>
      <c r="H46" s="646" t="str">
        <f t="shared" si="3"/>
        <v>VENCIDA</v>
      </c>
      <c r="I46" s="647">
        <f t="shared" si="5"/>
        <v>54</v>
      </c>
    </row>
    <row r="47">
      <c r="A47" s="643">
        <v>32921.0</v>
      </c>
      <c r="B47" s="644">
        <v>46120.0</v>
      </c>
      <c r="C47" s="644">
        <f t="shared" si="6"/>
        <v>46135</v>
      </c>
      <c r="D47" s="643">
        <v>612795.7</v>
      </c>
      <c r="E47" s="645" t="b">
        <v>1</v>
      </c>
      <c r="F47" s="646" t="str">
        <f t="shared" si="2"/>
        <v>PAGADO</v>
      </c>
      <c r="G47" s="340" t="s">
        <v>2278</v>
      </c>
      <c r="H47" s="646" t="str">
        <f t="shared" si="3"/>
        <v>VENCIDA</v>
      </c>
      <c r="I47" s="647">
        <f t="shared" si="5"/>
        <v>32</v>
      </c>
    </row>
    <row r="48">
      <c r="A48" s="643">
        <v>33205.0</v>
      </c>
      <c r="B48" s="644">
        <v>46141.0</v>
      </c>
      <c r="C48" s="644">
        <f>B48+6</f>
        <v>46147</v>
      </c>
      <c r="D48" s="643">
        <v>245145.72</v>
      </c>
      <c r="E48" s="645" t="b">
        <v>1</v>
      </c>
      <c r="F48" s="646" t="str">
        <f t="shared" si="2"/>
        <v>PAGADO</v>
      </c>
      <c r="G48" s="340" t="s">
        <v>2278</v>
      </c>
      <c r="H48" s="646" t="str">
        <f t="shared" si="3"/>
        <v>VENCIDA</v>
      </c>
      <c r="I48" s="647">
        <f t="shared" si="5"/>
        <v>20</v>
      </c>
    </row>
    <row r="49">
      <c r="A49" s="644"/>
      <c r="B49" s="644"/>
      <c r="C49" s="644">
        <f t="shared" ref="C49:C134" si="7">B49+15</f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5"/>
        <v>46152</v>
      </c>
    </row>
    <row r="50">
      <c r="A50" s="644"/>
      <c r="B50" s="644"/>
      <c r="C50" s="644">
        <f t="shared" si="7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5"/>
        <v>46152</v>
      </c>
    </row>
    <row r="51">
      <c r="A51" s="644"/>
      <c r="B51" s="644"/>
      <c r="C51" s="644">
        <f t="shared" si="7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5"/>
        <v>46152</v>
      </c>
    </row>
    <row r="52">
      <c r="A52" s="644"/>
      <c r="B52" s="644"/>
      <c r="C52" s="644">
        <f t="shared" si="7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5"/>
        <v>46152</v>
      </c>
    </row>
    <row r="53">
      <c r="A53" s="644"/>
      <c r="B53" s="644"/>
      <c r="C53" s="644">
        <f t="shared" si="7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5"/>
        <v>46152</v>
      </c>
    </row>
    <row r="54">
      <c r="A54" s="644"/>
      <c r="B54" s="644"/>
      <c r="C54" s="644">
        <f t="shared" si="7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5"/>
        <v>46152</v>
      </c>
    </row>
    <row r="55">
      <c r="A55" s="644"/>
      <c r="B55" s="644"/>
      <c r="C55" s="644">
        <f t="shared" si="7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5"/>
        <v>46152</v>
      </c>
    </row>
    <row r="56">
      <c r="A56" s="644"/>
      <c r="B56" s="644"/>
      <c r="C56" s="644">
        <f t="shared" si="7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5"/>
        <v>46152</v>
      </c>
    </row>
    <row r="57">
      <c r="A57" s="644"/>
      <c r="B57" s="644"/>
      <c r="C57" s="644">
        <f t="shared" si="7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5"/>
        <v>46152</v>
      </c>
    </row>
    <row r="58">
      <c r="A58" s="644"/>
      <c r="B58" s="644"/>
      <c r="C58" s="644">
        <f t="shared" si="7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5"/>
        <v>46152</v>
      </c>
    </row>
    <row r="59">
      <c r="A59" s="644"/>
      <c r="B59" s="644"/>
      <c r="C59" s="644">
        <f t="shared" si="7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5"/>
        <v>46152</v>
      </c>
    </row>
    <row r="60">
      <c r="A60" s="644"/>
      <c r="B60" s="644"/>
      <c r="C60" s="644">
        <f t="shared" si="7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5"/>
        <v>46152</v>
      </c>
    </row>
    <row r="61">
      <c r="A61" s="644"/>
      <c r="B61" s="644"/>
      <c r="C61" s="644">
        <f t="shared" si="7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5"/>
        <v>46152</v>
      </c>
    </row>
    <row r="62">
      <c r="A62" s="644"/>
      <c r="B62" s="644"/>
      <c r="C62" s="644">
        <f t="shared" si="7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5"/>
        <v>46152</v>
      </c>
    </row>
    <row r="63">
      <c r="A63" s="644"/>
      <c r="B63" s="644"/>
      <c r="C63" s="644">
        <f t="shared" si="7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5"/>
        <v>46152</v>
      </c>
    </row>
    <row r="64">
      <c r="A64" s="644"/>
      <c r="B64" s="644"/>
      <c r="C64" s="644">
        <f t="shared" si="7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5"/>
        <v>46152</v>
      </c>
    </row>
    <row r="65">
      <c r="A65" s="644"/>
      <c r="B65" s="644"/>
      <c r="C65" s="644">
        <f t="shared" si="7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5"/>
        <v>46152</v>
      </c>
    </row>
    <row r="66">
      <c r="A66" s="644"/>
      <c r="B66" s="644"/>
      <c r="C66" s="644">
        <f t="shared" si="7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5"/>
        <v>46152</v>
      </c>
    </row>
    <row r="67">
      <c r="A67" s="644"/>
      <c r="B67" s="644"/>
      <c r="C67" s="644">
        <f t="shared" si="7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5"/>
        <v>46152</v>
      </c>
    </row>
    <row r="68">
      <c r="A68" s="644"/>
      <c r="B68" s="644"/>
      <c r="C68" s="644">
        <f t="shared" si="7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5"/>
        <v>46152</v>
      </c>
    </row>
    <row r="69">
      <c r="A69" s="644"/>
      <c r="B69" s="644"/>
      <c r="C69" s="644">
        <f t="shared" si="7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5"/>
        <v>46152</v>
      </c>
    </row>
    <row r="70">
      <c r="A70" s="644"/>
      <c r="B70" s="644"/>
      <c r="C70" s="644">
        <f t="shared" si="7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5"/>
        <v>46152</v>
      </c>
    </row>
    <row r="71">
      <c r="A71" s="644"/>
      <c r="B71" s="644"/>
      <c r="C71" s="644">
        <f t="shared" si="7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5"/>
        <v>46152</v>
      </c>
    </row>
    <row r="72">
      <c r="A72" s="644"/>
      <c r="B72" s="644"/>
      <c r="C72" s="644">
        <f t="shared" si="7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5"/>
        <v>46152</v>
      </c>
    </row>
    <row r="73">
      <c r="A73" s="644"/>
      <c r="B73" s="644"/>
      <c r="C73" s="644">
        <f t="shared" si="7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5"/>
        <v>46152</v>
      </c>
    </row>
    <row r="74">
      <c r="A74" s="644"/>
      <c r="B74" s="644"/>
      <c r="C74" s="644">
        <f t="shared" si="7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5"/>
        <v>46152</v>
      </c>
    </row>
    <row r="75">
      <c r="A75" s="644"/>
      <c r="B75" s="644"/>
      <c r="C75" s="644">
        <f t="shared" si="7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5"/>
        <v>46152</v>
      </c>
    </row>
    <row r="76">
      <c r="A76" s="644"/>
      <c r="B76" s="644"/>
      <c r="C76" s="644">
        <f t="shared" si="7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5"/>
        <v>46152</v>
      </c>
    </row>
    <row r="77">
      <c r="A77" s="644"/>
      <c r="B77" s="644"/>
      <c r="C77" s="644">
        <f t="shared" si="7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5"/>
        <v>46152</v>
      </c>
    </row>
    <row r="78">
      <c r="A78" s="644"/>
      <c r="B78" s="644"/>
      <c r="C78" s="644">
        <f t="shared" si="7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5"/>
        <v>46152</v>
      </c>
    </row>
    <row r="79">
      <c r="A79" s="644"/>
      <c r="B79" s="644"/>
      <c r="C79" s="644">
        <f t="shared" si="7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5"/>
        <v>46152</v>
      </c>
    </row>
    <row r="80">
      <c r="A80" s="644"/>
      <c r="B80" s="644"/>
      <c r="C80" s="644">
        <f t="shared" si="7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5"/>
        <v>46152</v>
      </c>
    </row>
    <row r="81">
      <c r="A81" s="644"/>
      <c r="B81" s="644"/>
      <c r="C81" s="644">
        <f t="shared" si="7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5"/>
        <v>46152</v>
      </c>
    </row>
    <row r="82">
      <c r="A82" s="644"/>
      <c r="B82" s="644"/>
      <c r="C82" s="644">
        <f t="shared" si="7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5"/>
        <v>46152</v>
      </c>
    </row>
    <row r="83">
      <c r="A83" s="644"/>
      <c r="B83" s="644"/>
      <c r="C83" s="644">
        <f t="shared" si="7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5"/>
        <v>46152</v>
      </c>
    </row>
    <row r="84">
      <c r="A84" s="644"/>
      <c r="B84" s="644"/>
      <c r="C84" s="644">
        <f t="shared" si="7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5"/>
        <v>46152</v>
      </c>
    </row>
    <row r="85">
      <c r="A85" s="644"/>
      <c r="B85" s="644"/>
      <c r="C85" s="644">
        <f t="shared" si="7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5"/>
        <v>46152</v>
      </c>
    </row>
    <row r="86">
      <c r="A86" s="644"/>
      <c r="B86" s="644"/>
      <c r="C86" s="644">
        <f t="shared" si="7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5"/>
        <v>46152</v>
      </c>
    </row>
    <row r="87">
      <c r="A87" s="644"/>
      <c r="B87" s="644"/>
      <c r="C87" s="644">
        <f t="shared" si="7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5"/>
        <v>46152</v>
      </c>
    </row>
    <row r="88">
      <c r="A88" s="644"/>
      <c r="B88" s="644"/>
      <c r="C88" s="644">
        <f t="shared" si="7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5"/>
        <v>46152</v>
      </c>
    </row>
    <row r="89">
      <c r="A89" s="644"/>
      <c r="B89" s="644"/>
      <c r="C89" s="644">
        <f t="shared" si="7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5"/>
        <v>46152</v>
      </c>
    </row>
    <row r="90">
      <c r="A90" s="644"/>
      <c r="B90" s="644"/>
      <c r="C90" s="644">
        <f t="shared" si="7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5"/>
        <v>46152</v>
      </c>
    </row>
    <row r="91">
      <c r="A91" s="644"/>
      <c r="B91" s="644"/>
      <c r="C91" s="644">
        <f t="shared" si="7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5"/>
        <v>46152</v>
      </c>
    </row>
    <row r="92">
      <c r="A92" s="644"/>
      <c r="B92" s="644"/>
      <c r="C92" s="644">
        <f t="shared" si="7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5"/>
        <v>46152</v>
      </c>
    </row>
    <row r="93">
      <c r="A93" s="644"/>
      <c r="B93" s="644"/>
      <c r="C93" s="644">
        <f t="shared" si="7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5"/>
        <v>46152</v>
      </c>
    </row>
    <row r="94">
      <c r="A94" s="644"/>
      <c r="B94" s="644"/>
      <c r="C94" s="644">
        <f t="shared" si="7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5"/>
        <v>46152</v>
      </c>
    </row>
    <row r="95">
      <c r="A95" s="644"/>
      <c r="B95" s="644"/>
      <c r="C95" s="644">
        <f t="shared" si="7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5"/>
        <v>46152</v>
      </c>
    </row>
    <row r="96">
      <c r="A96" s="644"/>
      <c r="B96" s="644"/>
      <c r="C96" s="644">
        <f t="shared" si="7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5"/>
        <v>46152</v>
      </c>
    </row>
    <row r="97">
      <c r="A97" s="644"/>
      <c r="B97" s="644"/>
      <c r="C97" s="644">
        <f t="shared" si="7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5"/>
        <v>46152</v>
      </c>
    </row>
    <row r="98">
      <c r="A98" s="644"/>
      <c r="B98" s="644"/>
      <c r="C98" s="644">
        <f t="shared" si="7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5"/>
        <v>46152</v>
      </c>
    </row>
    <row r="99">
      <c r="A99" s="644"/>
      <c r="B99" s="644"/>
      <c r="C99" s="644">
        <f t="shared" si="7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5"/>
        <v>46152</v>
      </c>
    </row>
    <row r="100">
      <c r="A100" s="644"/>
      <c r="B100" s="644"/>
      <c r="C100" s="644">
        <f t="shared" si="7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5"/>
        <v>46152</v>
      </c>
    </row>
    <row r="101">
      <c r="A101" s="644"/>
      <c r="B101" s="644"/>
      <c r="C101" s="644">
        <f t="shared" si="7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5"/>
        <v>46152</v>
      </c>
    </row>
    <row r="102">
      <c r="A102" s="644"/>
      <c r="B102" s="644"/>
      <c r="C102" s="644">
        <f t="shared" si="7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5"/>
        <v>46152</v>
      </c>
    </row>
    <row r="103">
      <c r="A103" s="644"/>
      <c r="B103" s="644"/>
      <c r="C103" s="644">
        <f t="shared" si="7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5"/>
        <v>46152</v>
      </c>
    </row>
    <row r="104">
      <c r="A104" s="644"/>
      <c r="B104" s="644"/>
      <c r="C104" s="644">
        <f t="shared" si="7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5"/>
        <v>46152</v>
      </c>
    </row>
    <row r="105">
      <c r="A105" s="644"/>
      <c r="B105" s="644"/>
      <c r="C105" s="644">
        <f t="shared" si="7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5"/>
        <v>46152</v>
      </c>
    </row>
    <row r="106">
      <c r="A106" s="644"/>
      <c r="B106" s="644"/>
      <c r="C106" s="644">
        <f t="shared" si="7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5"/>
        <v>46152</v>
      </c>
    </row>
    <row r="107">
      <c r="A107" s="644"/>
      <c r="B107" s="644"/>
      <c r="C107" s="644">
        <f t="shared" si="7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5"/>
        <v>46152</v>
      </c>
    </row>
    <row r="108">
      <c r="A108" s="644"/>
      <c r="B108" s="644"/>
      <c r="C108" s="644">
        <f t="shared" si="7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5"/>
        <v>46152</v>
      </c>
    </row>
    <row r="109">
      <c r="A109" s="644"/>
      <c r="B109" s="644"/>
      <c r="C109" s="644">
        <f t="shared" si="7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5"/>
        <v>46152</v>
      </c>
    </row>
    <row r="110">
      <c r="A110" s="644"/>
      <c r="B110" s="644"/>
      <c r="C110" s="644">
        <f t="shared" si="7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5"/>
        <v>46152</v>
      </c>
    </row>
    <row r="111">
      <c r="A111" s="644"/>
      <c r="B111" s="644"/>
      <c r="C111" s="644">
        <f t="shared" si="7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5"/>
        <v>46152</v>
      </c>
    </row>
    <row r="112">
      <c r="A112" s="644"/>
      <c r="B112" s="644"/>
      <c r="C112" s="644">
        <f t="shared" si="7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5"/>
        <v>46152</v>
      </c>
    </row>
    <row r="113">
      <c r="A113" s="644"/>
      <c r="B113" s="644"/>
      <c r="C113" s="644">
        <f t="shared" si="7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5"/>
        <v>46152</v>
      </c>
    </row>
    <row r="114">
      <c r="A114" s="644"/>
      <c r="B114" s="644"/>
      <c r="C114" s="644">
        <f t="shared" si="7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5"/>
        <v>46152</v>
      </c>
    </row>
    <row r="115">
      <c r="A115" s="644"/>
      <c r="B115" s="644"/>
      <c r="C115" s="644">
        <f t="shared" si="7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5"/>
        <v>46152</v>
      </c>
    </row>
    <row r="116">
      <c r="A116" s="644"/>
      <c r="B116" s="644"/>
      <c r="C116" s="644">
        <f t="shared" si="7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5"/>
        <v>46152</v>
      </c>
    </row>
    <row r="117">
      <c r="A117" s="644"/>
      <c r="B117" s="644"/>
      <c r="C117" s="644">
        <f t="shared" si="7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5"/>
        <v>46152</v>
      </c>
    </row>
    <row r="118">
      <c r="A118" s="644"/>
      <c r="B118" s="644"/>
      <c r="C118" s="644">
        <f t="shared" si="7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5"/>
        <v>46152</v>
      </c>
    </row>
    <row r="119">
      <c r="A119" s="644"/>
      <c r="B119" s="644"/>
      <c r="C119" s="644">
        <f t="shared" si="7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5"/>
        <v>46152</v>
      </c>
    </row>
    <row r="120">
      <c r="A120" s="644"/>
      <c r="B120" s="644"/>
      <c r="C120" s="644">
        <f t="shared" si="7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5"/>
        <v>46152</v>
      </c>
    </row>
    <row r="121">
      <c r="A121" s="644"/>
      <c r="B121" s="644"/>
      <c r="C121" s="644">
        <f t="shared" si="7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5"/>
        <v>46152</v>
      </c>
    </row>
    <row r="122">
      <c r="A122" s="644"/>
      <c r="B122" s="644"/>
      <c r="C122" s="644">
        <f t="shared" si="7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5"/>
        <v>46152</v>
      </c>
    </row>
    <row r="123">
      <c r="A123" s="644"/>
      <c r="B123" s="644"/>
      <c r="C123" s="644">
        <f t="shared" si="7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5"/>
        <v>46152</v>
      </c>
    </row>
    <row r="124">
      <c r="A124" s="644"/>
      <c r="B124" s="644"/>
      <c r="C124" s="644">
        <f t="shared" si="7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5"/>
        <v>46152</v>
      </c>
    </row>
    <row r="125">
      <c r="A125" s="644"/>
      <c r="B125" s="644"/>
      <c r="C125" s="644">
        <f t="shared" si="7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5"/>
        <v>46152</v>
      </c>
    </row>
    <row r="126">
      <c r="A126" s="644"/>
      <c r="B126" s="644"/>
      <c r="C126" s="644">
        <f t="shared" si="7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5"/>
        <v>46152</v>
      </c>
    </row>
    <row r="127">
      <c r="A127" s="644"/>
      <c r="B127" s="644"/>
      <c r="C127" s="644">
        <f t="shared" si="7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5"/>
        <v>46152</v>
      </c>
    </row>
    <row r="128">
      <c r="A128" s="644"/>
      <c r="B128" s="644"/>
      <c r="C128" s="644">
        <f t="shared" si="7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5"/>
        <v>46152</v>
      </c>
    </row>
    <row r="129">
      <c r="A129" s="644"/>
      <c r="B129" s="644"/>
      <c r="C129" s="644">
        <f t="shared" si="7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5"/>
        <v>46152</v>
      </c>
    </row>
    <row r="130">
      <c r="A130" s="644"/>
      <c r="B130" s="644"/>
      <c r="C130" s="644">
        <f t="shared" si="7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5"/>
        <v>46152</v>
      </c>
    </row>
    <row r="131">
      <c r="A131" s="644"/>
      <c r="B131" s="644"/>
      <c r="C131" s="644">
        <f t="shared" si="7"/>
        <v>15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5"/>
        <v>46152</v>
      </c>
    </row>
    <row r="132">
      <c r="A132" s="644"/>
      <c r="B132" s="644"/>
      <c r="C132" s="644">
        <f t="shared" si="7"/>
        <v>15</v>
      </c>
      <c r="D132" s="643"/>
      <c r="E132" s="658" t="b">
        <v>0</v>
      </c>
      <c r="F132" s="646" t="str">
        <f t="shared" si="2"/>
        <v>ADEUDA</v>
      </c>
      <c r="G132" s="340" t="s">
        <v>2278</v>
      </c>
      <c r="H132" s="646" t="str">
        <f t="shared" si="3"/>
        <v>VENCIDA</v>
      </c>
      <c r="I132" s="647">
        <f t="shared" si="5"/>
        <v>46152</v>
      </c>
    </row>
    <row r="133">
      <c r="A133" s="644"/>
      <c r="B133" s="644"/>
      <c r="C133" s="644">
        <f t="shared" si="7"/>
        <v>15</v>
      </c>
      <c r="D133" s="643"/>
      <c r="E133" s="658" t="b">
        <v>0</v>
      </c>
      <c r="F133" s="646" t="str">
        <f t="shared" si="2"/>
        <v>ADEUDA</v>
      </c>
      <c r="G133" s="340" t="s">
        <v>2278</v>
      </c>
      <c r="H133" s="646" t="str">
        <f t="shared" si="3"/>
        <v>VENCIDA</v>
      </c>
      <c r="I133" s="647">
        <f t="shared" si="5"/>
        <v>46152</v>
      </c>
    </row>
    <row r="134">
      <c r="A134" s="644"/>
      <c r="B134" s="644"/>
      <c r="C134" s="644">
        <f t="shared" si="7"/>
        <v>15</v>
      </c>
      <c r="D134" s="643"/>
      <c r="E134" s="645" t="b">
        <v>1</v>
      </c>
      <c r="F134" s="646" t="str">
        <f t="shared" si="2"/>
        <v>PAGADO</v>
      </c>
      <c r="G134" s="340" t="s">
        <v>2278</v>
      </c>
      <c r="H134" s="646" t="str">
        <f t="shared" si="3"/>
        <v>VENCIDA</v>
      </c>
      <c r="I134" s="647">
        <f t="shared" si="5"/>
        <v>46152</v>
      </c>
    </row>
    <row r="136">
      <c r="C136" s="771"/>
    </row>
    <row r="137">
      <c r="C137" s="772" t="s">
        <v>55</v>
      </c>
      <c r="D137" s="3">
        <f>SUMIF(F4:F134,C137,D4:D134)</f>
        <v>0</v>
      </c>
    </row>
    <row r="138">
      <c r="C138" s="773" t="s">
        <v>527</v>
      </c>
      <c r="D138" s="3">
        <f>SUMIF(F4:F134,C138,D4:D134)</f>
        <v>7575496.85</v>
      </c>
    </row>
    <row r="139">
      <c r="C139" s="697" t="s">
        <v>28</v>
      </c>
      <c r="D139" s="3">
        <f>D137+D138</f>
        <v>7575496.85</v>
      </c>
    </row>
  </sheetData>
  <mergeCells count="3">
    <mergeCell ref="A1:H1"/>
    <mergeCell ref="A2:I2"/>
    <mergeCell ref="E3:F3"/>
  </mergeCells>
  <conditionalFormatting sqref="F4:F134">
    <cfRule type="expression" dxfId="1" priority="1">
      <formula>F4="PAGADO"</formula>
    </cfRule>
  </conditionalFormatting>
  <conditionalFormatting sqref="F4:F134">
    <cfRule type="expression" dxfId="2" priority="2">
      <formula>F4="ADEUDA"</formula>
    </cfRule>
  </conditionalFormatting>
  <conditionalFormatting sqref="H4:H134">
    <cfRule type="cellIs" dxfId="3" priority="3" operator="equal">
      <formula>"VENCIDA"</formula>
    </cfRule>
  </conditionalFormatting>
  <conditionalFormatting sqref="H4:H134">
    <cfRule type="cellIs" dxfId="4" priority="4" operator="equal">
      <formula>"VIGENTE"</formula>
    </cfRule>
  </conditionalFormatting>
  <conditionalFormatting sqref="H4:H134">
    <cfRule type="cellIs" dxfId="2" priority="5" operator="equal">
      <formula>"VENCE HOY"</formula>
    </cfRule>
  </conditionalFormatting>
  <dataValidations>
    <dataValidation type="list" allowBlank="1" showErrorMessage="1" sqref="G4:G134">
      <formula1>"transferencia,mercado pago,efectivo"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2413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2414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>
        <f>D4</f>
        <v>107570</v>
      </c>
    </row>
    <row r="4">
      <c r="A4" s="643">
        <v>5517.0</v>
      </c>
      <c r="B4" s="644">
        <v>45686.0</v>
      </c>
      <c r="C4" s="644">
        <f t="shared" ref="C4:C19" si="1">B4+15</f>
        <v>45701</v>
      </c>
      <c r="D4" s="643">
        <v>107570.0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466</v>
      </c>
      <c r="J4" s="768" t="s">
        <v>31</v>
      </c>
      <c r="K4" s="769">
        <f>D5+D6</f>
        <v>170910</v>
      </c>
    </row>
    <row r="5">
      <c r="A5" s="643">
        <v>5602.0</v>
      </c>
      <c r="B5" s="644">
        <v>45706.0</v>
      </c>
      <c r="C5" s="644">
        <f t="shared" si="1"/>
        <v>45721</v>
      </c>
      <c r="D5" s="643">
        <v>158310.0</v>
      </c>
      <c r="E5" s="645" t="b">
        <v>1</v>
      </c>
      <c r="F5" s="646" t="str">
        <f t="shared" si="2"/>
        <v>PAGADO</v>
      </c>
      <c r="G5" s="340" t="s">
        <v>2278</v>
      </c>
      <c r="H5" s="646" t="str">
        <f t="shared" si="3"/>
        <v>VENCIDA</v>
      </c>
      <c r="I5" s="647">
        <f t="shared" si="4"/>
        <v>446</v>
      </c>
      <c r="J5" s="768" t="s">
        <v>35</v>
      </c>
      <c r="K5" s="770"/>
    </row>
    <row r="6">
      <c r="A6" s="643">
        <v>5605.0</v>
      </c>
      <c r="B6" s="644">
        <v>45706.0</v>
      </c>
      <c r="C6" s="644">
        <f t="shared" si="1"/>
        <v>45721</v>
      </c>
      <c r="D6" s="643">
        <v>12600.0</v>
      </c>
      <c r="E6" s="645" t="b">
        <v>1</v>
      </c>
      <c r="F6" s="646" t="str">
        <f t="shared" si="2"/>
        <v>PAGADO</v>
      </c>
      <c r="G6" s="340" t="s">
        <v>2278</v>
      </c>
      <c r="H6" s="646" t="str">
        <f t="shared" si="3"/>
        <v>VENCIDA</v>
      </c>
      <c r="I6" s="647">
        <f t="shared" si="4"/>
        <v>446</v>
      </c>
      <c r="J6" s="768" t="s">
        <v>37</v>
      </c>
      <c r="K6" s="770"/>
    </row>
    <row r="7">
      <c r="A7" s="643">
        <v>5740.0</v>
      </c>
      <c r="B7" s="644">
        <v>45741.0</v>
      </c>
      <c r="C7" s="644">
        <f t="shared" si="1"/>
        <v>45756</v>
      </c>
      <c r="D7" s="643">
        <v>150200.0</v>
      </c>
      <c r="E7" s="645" t="b">
        <v>1</v>
      </c>
      <c r="F7" s="646" t="str">
        <f t="shared" si="2"/>
        <v>PAGADO</v>
      </c>
      <c r="G7" s="340" t="s">
        <v>2278</v>
      </c>
      <c r="H7" s="646" t="str">
        <f t="shared" si="3"/>
        <v>VENCIDA</v>
      </c>
      <c r="I7" s="647">
        <f t="shared" si="4"/>
        <v>411</v>
      </c>
      <c r="J7" s="768" t="s">
        <v>39</v>
      </c>
      <c r="K7" s="770"/>
    </row>
    <row r="8">
      <c r="A8" s="643">
        <v>5834.0</v>
      </c>
      <c r="B8" s="644">
        <v>45764.0</v>
      </c>
      <c r="C8" s="644">
        <f t="shared" si="1"/>
        <v>45779</v>
      </c>
      <c r="D8" s="643">
        <v>129140.0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388</v>
      </c>
      <c r="J8" s="768" t="s">
        <v>41</v>
      </c>
      <c r="K8" s="770"/>
    </row>
    <row r="9">
      <c r="A9" s="643">
        <v>5938.0</v>
      </c>
      <c r="B9" s="644">
        <v>45791.0</v>
      </c>
      <c r="C9" s="644">
        <f t="shared" si="1"/>
        <v>45806</v>
      </c>
      <c r="D9" s="643">
        <v>113860.0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361</v>
      </c>
      <c r="J9" s="768" t="s">
        <v>42</v>
      </c>
      <c r="K9" s="770">
        <f>D12+D13</f>
        <v>211400</v>
      </c>
    </row>
    <row r="10">
      <c r="A10" s="643">
        <v>5949.0</v>
      </c>
      <c r="B10" s="644">
        <v>45791.0</v>
      </c>
      <c r="C10" s="644">
        <f t="shared" si="1"/>
        <v>45806</v>
      </c>
      <c r="D10" s="643">
        <v>3400.0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361</v>
      </c>
      <c r="J10" s="768" t="s">
        <v>43</v>
      </c>
      <c r="K10" s="770">
        <f>D14+D15</f>
        <v>220310</v>
      </c>
    </row>
    <row r="11">
      <c r="A11" s="643">
        <v>6025.0</v>
      </c>
      <c r="B11" s="644">
        <v>45810.0</v>
      </c>
      <c r="C11" s="644">
        <f t="shared" si="1"/>
        <v>45825</v>
      </c>
      <c r="D11" s="643">
        <v>146050.0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342</v>
      </c>
      <c r="J11" s="768" t="s">
        <v>45</v>
      </c>
      <c r="K11" s="770"/>
    </row>
    <row r="12">
      <c r="A12" s="643">
        <v>6097.0</v>
      </c>
      <c r="B12" s="644">
        <v>45826.0</v>
      </c>
      <c r="C12" s="644">
        <f t="shared" si="1"/>
        <v>45841</v>
      </c>
      <c r="D12" s="643">
        <v>106200.0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4"/>
        <v>326</v>
      </c>
      <c r="J12" s="768" t="s">
        <v>49</v>
      </c>
      <c r="K12" s="770"/>
    </row>
    <row r="13">
      <c r="A13" s="643">
        <v>6177.0</v>
      </c>
      <c r="B13" s="644">
        <v>45845.0</v>
      </c>
      <c r="C13" s="644">
        <f t="shared" si="1"/>
        <v>45860</v>
      </c>
      <c r="D13" s="643">
        <v>105200.0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307</v>
      </c>
      <c r="J13" s="768" t="s">
        <v>50</v>
      </c>
      <c r="K13" s="770"/>
    </row>
    <row r="14">
      <c r="A14" s="643">
        <v>6268.0</v>
      </c>
      <c r="B14" s="644">
        <v>45866.0</v>
      </c>
      <c r="C14" s="644">
        <f t="shared" si="1"/>
        <v>45881</v>
      </c>
      <c r="D14" s="643">
        <v>29690.0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>
        <f t="shared" si="4"/>
        <v>286</v>
      </c>
      <c r="J14" s="768" t="s">
        <v>51</v>
      </c>
      <c r="K14" s="770">
        <f>SUM(D20)</f>
        <v>172370</v>
      </c>
    </row>
    <row r="15">
      <c r="A15" s="643">
        <v>6305.0</v>
      </c>
      <c r="B15" s="644">
        <v>45875.0</v>
      </c>
      <c r="C15" s="644">
        <f t="shared" si="1"/>
        <v>45890</v>
      </c>
      <c r="D15" s="643">
        <v>190620.0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4"/>
        <v>277</v>
      </c>
    </row>
    <row r="16">
      <c r="A16" s="643">
        <v>6448.0</v>
      </c>
      <c r="B16" s="644">
        <v>45905.0</v>
      </c>
      <c r="C16" s="644">
        <f t="shared" si="1"/>
        <v>45920</v>
      </c>
      <c r="D16" s="643">
        <v>159810.0</v>
      </c>
      <c r="E16" s="654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4"/>
        <v>247</v>
      </c>
    </row>
    <row r="17">
      <c r="A17" s="643">
        <v>6560.0</v>
      </c>
      <c r="B17" s="644">
        <v>45931.0</v>
      </c>
      <c r="C17" s="644">
        <f t="shared" si="1"/>
        <v>45946</v>
      </c>
      <c r="D17" s="643">
        <v>205190.0</v>
      </c>
      <c r="E17" s="654" t="b">
        <v>1</v>
      </c>
      <c r="F17" s="646" t="str">
        <f t="shared" si="2"/>
        <v>PAGADO</v>
      </c>
      <c r="G17" s="340" t="s">
        <v>2278</v>
      </c>
      <c r="H17" s="646" t="str">
        <f t="shared" si="3"/>
        <v>VENCIDA</v>
      </c>
      <c r="I17" s="647">
        <f t="shared" si="4"/>
        <v>221</v>
      </c>
    </row>
    <row r="18">
      <c r="A18" s="643">
        <v>6714.0</v>
      </c>
      <c r="B18" s="644">
        <v>45959.0</v>
      </c>
      <c r="C18" s="644">
        <f t="shared" si="1"/>
        <v>45974</v>
      </c>
      <c r="D18" s="643">
        <v>147380.0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4"/>
        <v>193</v>
      </c>
    </row>
    <row r="19">
      <c r="A19" s="643">
        <v>6799.0</v>
      </c>
      <c r="B19" s="644">
        <v>45978.0</v>
      </c>
      <c r="C19" s="644">
        <f t="shared" si="1"/>
        <v>45993</v>
      </c>
      <c r="D19" s="643">
        <v>130560.0</v>
      </c>
      <c r="E19" s="645" t="b">
        <v>1</v>
      </c>
      <c r="F19" s="646" t="str">
        <f t="shared" si="2"/>
        <v>PAGADO</v>
      </c>
      <c r="G19" s="340" t="s">
        <v>2278</v>
      </c>
      <c r="H19" s="646" t="str">
        <f t="shared" si="3"/>
        <v>VENCIDA</v>
      </c>
      <c r="I19" s="647">
        <f t="shared" si="4"/>
        <v>174</v>
      </c>
    </row>
    <row r="20">
      <c r="A20" s="643">
        <v>6895.0</v>
      </c>
      <c r="B20" s="644">
        <v>46000.0</v>
      </c>
      <c r="C20" s="644">
        <f>B20+7</f>
        <v>46007</v>
      </c>
      <c r="D20" s="643">
        <v>172370.0</v>
      </c>
      <c r="E20" s="645" t="b">
        <v>1</v>
      </c>
      <c r="F20" s="646" t="str">
        <f t="shared" si="2"/>
        <v>PAGADO</v>
      </c>
      <c r="G20" s="340" t="s">
        <v>2278</v>
      </c>
      <c r="H20" s="646" t="str">
        <f t="shared" si="3"/>
        <v>VENCIDA</v>
      </c>
      <c r="I20" s="647">
        <f t="shared" si="4"/>
        <v>160</v>
      </c>
    </row>
    <row r="21">
      <c r="A21" s="643">
        <v>6994.0</v>
      </c>
      <c r="B21" s="644">
        <v>46027.0</v>
      </c>
      <c r="C21" s="644">
        <f>B21+7</f>
        <v>46034</v>
      </c>
      <c r="D21" s="643">
        <v>197100.0</v>
      </c>
      <c r="E21" s="645" t="b">
        <v>1</v>
      </c>
      <c r="F21" s="646" t="str">
        <f t="shared" si="2"/>
        <v>PAGADO</v>
      </c>
      <c r="G21" s="340" t="s">
        <v>2278</v>
      </c>
      <c r="H21" s="646" t="str">
        <f t="shared" si="3"/>
        <v>VENCIDA</v>
      </c>
      <c r="I21" s="647">
        <f t="shared" si="4"/>
        <v>133</v>
      </c>
    </row>
    <row r="22">
      <c r="A22" s="643">
        <v>7091.0</v>
      </c>
      <c r="B22" s="644">
        <v>46042.0</v>
      </c>
      <c r="C22" s="644">
        <f t="shared" ref="C22:C26" si="5">B22+15</f>
        <v>46057</v>
      </c>
      <c r="D22" s="643">
        <v>128780.0</v>
      </c>
      <c r="E22" s="645" t="b">
        <v>1</v>
      </c>
      <c r="F22" s="646" t="str">
        <f t="shared" si="2"/>
        <v>PAGADO</v>
      </c>
      <c r="G22" s="340" t="s">
        <v>2278</v>
      </c>
      <c r="H22" s="646" t="str">
        <f t="shared" si="3"/>
        <v>VENCIDA</v>
      </c>
      <c r="I22" s="647">
        <f t="shared" si="4"/>
        <v>110</v>
      </c>
    </row>
    <row r="23">
      <c r="A23" s="643">
        <v>7164.0</v>
      </c>
      <c r="B23" s="644">
        <v>46057.0</v>
      </c>
      <c r="C23" s="644">
        <f t="shared" si="5"/>
        <v>46072</v>
      </c>
      <c r="D23" s="643">
        <v>9180.0</v>
      </c>
      <c r="E23" s="645" t="b">
        <v>1</v>
      </c>
      <c r="F23" s="646" t="str">
        <f t="shared" si="2"/>
        <v>PAGADO</v>
      </c>
      <c r="G23" s="340" t="s">
        <v>2278</v>
      </c>
      <c r="H23" s="646" t="str">
        <f t="shared" si="3"/>
        <v>VENCIDA</v>
      </c>
      <c r="I23" s="647">
        <f t="shared" si="4"/>
        <v>95</v>
      </c>
    </row>
    <row r="24">
      <c r="A24" s="643">
        <v>7227.0</v>
      </c>
      <c r="B24" s="644">
        <v>46071.0</v>
      </c>
      <c r="C24" s="644">
        <f t="shared" si="5"/>
        <v>46086</v>
      </c>
      <c r="D24" s="643">
        <v>176710.0</v>
      </c>
      <c r="E24" s="645" t="b">
        <v>1</v>
      </c>
      <c r="F24" s="646" t="str">
        <f t="shared" si="2"/>
        <v>PAGADO</v>
      </c>
      <c r="G24" s="340" t="s">
        <v>2278</v>
      </c>
      <c r="H24" s="646" t="str">
        <f t="shared" si="3"/>
        <v>VENCIDA</v>
      </c>
      <c r="I24" s="647">
        <f t="shared" si="4"/>
        <v>81</v>
      </c>
    </row>
    <row r="25">
      <c r="A25" s="643">
        <v>7328.0</v>
      </c>
      <c r="B25" s="644">
        <v>46092.0</v>
      </c>
      <c r="C25" s="644">
        <f t="shared" si="5"/>
        <v>46107</v>
      </c>
      <c r="D25" s="643">
        <v>107090.0</v>
      </c>
      <c r="E25" s="645" t="b">
        <v>1</v>
      </c>
      <c r="F25" s="646" t="str">
        <f t="shared" si="2"/>
        <v>PAGADO</v>
      </c>
      <c r="G25" s="340" t="s">
        <v>2278</v>
      </c>
      <c r="H25" s="646" t="str">
        <f t="shared" si="3"/>
        <v>VENCIDA</v>
      </c>
      <c r="I25" s="647">
        <f t="shared" si="4"/>
        <v>60</v>
      </c>
    </row>
    <row r="26">
      <c r="A26" s="643">
        <v>7412.0</v>
      </c>
      <c r="B26" s="644">
        <v>46113.0</v>
      </c>
      <c r="C26" s="644">
        <f t="shared" si="5"/>
        <v>46128</v>
      </c>
      <c r="D26" s="643">
        <v>108680.0</v>
      </c>
      <c r="E26" s="645" t="b">
        <v>1</v>
      </c>
      <c r="F26" s="646" t="str">
        <f t="shared" si="2"/>
        <v>PAGADO</v>
      </c>
      <c r="G26" s="340" t="s">
        <v>2278</v>
      </c>
      <c r="H26" s="646" t="str">
        <f t="shared" si="3"/>
        <v>VENCIDA</v>
      </c>
      <c r="I26" s="647">
        <f t="shared" si="4"/>
        <v>39</v>
      </c>
    </row>
    <row r="27">
      <c r="A27" s="643">
        <v>7537.0</v>
      </c>
      <c r="B27" s="644">
        <v>46140.0</v>
      </c>
      <c r="C27" s="644">
        <f>B27+7</f>
        <v>46147</v>
      </c>
      <c r="D27" s="643">
        <v>118110.0</v>
      </c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20</v>
      </c>
    </row>
    <row r="28">
      <c r="A28" s="644"/>
      <c r="B28" s="644"/>
      <c r="C28" s="644">
        <f t="shared" ref="C28:C132" si="6">B28+15</f>
        <v>15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46152</v>
      </c>
    </row>
    <row r="29">
      <c r="A29" s="644"/>
      <c r="B29" s="644"/>
      <c r="C29" s="644">
        <f t="shared" si="6"/>
        <v>15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46152</v>
      </c>
    </row>
    <row r="30">
      <c r="A30" s="644"/>
      <c r="B30" s="644"/>
      <c r="C30" s="644">
        <f t="shared" si="6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46152</v>
      </c>
    </row>
    <row r="31">
      <c r="A31" s="644"/>
      <c r="B31" s="644"/>
      <c r="C31" s="644">
        <f t="shared" si="6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46152</v>
      </c>
    </row>
    <row r="32">
      <c r="A32" s="644"/>
      <c r="B32" s="644"/>
      <c r="C32" s="644">
        <f t="shared" si="6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46152</v>
      </c>
    </row>
    <row r="33">
      <c r="A33" s="644"/>
      <c r="B33" s="644"/>
      <c r="C33" s="644">
        <f t="shared" si="6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46152</v>
      </c>
    </row>
    <row r="34">
      <c r="A34" s="644"/>
      <c r="B34" s="644"/>
      <c r="C34" s="644">
        <f t="shared" si="6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46152</v>
      </c>
    </row>
    <row r="35">
      <c r="A35" s="644"/>
      <c r="B35" s="644"/>
      <c r="C35" s="644">
        <f t="shared" si="6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46152</v>
      </c>
    </row>
    <row r="36">
      <c r="A36" s="644"/>
      <c r="B36" s="644"/>
      <c r="C36" s="644">
        <f t="shared" si="6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46152</v>
      </c>
    </row>
    <row r="37">
      <c r="A37" s="644"/>
      <c r="B37" s="644"/>
      <c r="C37" s="644">
        <f t="shared" si="6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46152</v>
      </c>
    </row>
    <row r="38">
      <c r="A38" s="644"/>
      <c r="B38" s="644"/>
      <c r="C38" s="644">
        <f t="shared" si="6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46152</v>
      </c>
    </row>
    <row r="39">
      <c r="A39" s="644"/>
      <c r="B39" s="644"/>
      <c r="C39" s="644">
        <f t="shared" si="6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46152</v>
      </c>
    </row>
    <row r="40">
      <c r="A40" s="644"/>
      <c r="B40" s="644"/>
      <c r="C40" s="644">
        <f t="shared" si="6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46152</v>
      </c>
    </row>
    <row r="41">
      <c r="A41" s="644"/>
      <c r="B41" s="644"/>
      <c r="C41" s="644">
        <f t="shared" si="6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46152</v>
      </c>
    </row>
    <row r="42">
      <c r="A42" s="644"/>
      <c r="B42" s="644"/>
      <c r="C42" s="644">
        <f t="shared" si="6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46152</v>
      </c>
    </row>
    <row r="43">
      <c r="A43" s="644"/>
      <c r="B43" s="644"/>
      <c r="C43" s="644">
        <f t="shared" si="6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46152</v>
      </c>
    </row>
    <row r="44">
      <c r="A44" s="644"/>
      <c r="B44" s="644"/>
      <c r="C44" s="644">
        <f t="shared" si="6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46152</v>
      </c>
    </row>
    <row r="45">
      <c r="A45" s="644"/>
      <c r="B45" s="644"/>
      <c r="C45" s="644">
        <f t="shared" si="6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46152</v>
      </c>
    </row>
    <row r="46">
      <c r="A46" s="644"/>
      <c r="B46" s="644"/>
      <c r="C46" s="644">
        <f t="shared" si="6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46152</v>
      </c>
    </row>
    <row r="47">
      <c r="A47" s="644"/>
      <c r="B47" s="644"/>
      <c r="C47" s="644">
        <f t="shared" si="6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46152</v>
      </c>
    </row>
    <row r="48">
      <c r="A48" s="644"/>
      <c r="B48" s="644"/>
      <c r="C48" s="644">
        <f t="shared" si="6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46152</v>
      </c>
    </row>
    <row r="49">
      <c r="A49" s="644"/>
      <c r="B49" s="644"/>
      <c r="C49" s="644">
        <f t="shared" si="6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46152</v>
      </c>
    </row>
    <row r="50">
      <c r="A50" s="644"/>
      <c r="B50" s="644"/>
      <c r="C50" s="644">
        <f t="shared" si="6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46152</v>
      </c>
    </row>
    <row r="51">
      <c r="A51" s="644"/>
      <c r="B51" s="644"/>
      <c r="C51" s="644">
        <f t="shared" si="6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46152</v>
      </c>
    </row>
    <row r="52">
      <c r="A52" s="644"/>
      <c r="B52" s="644"/>
      <c r="C52" s="644">
        <f t="shared" si="6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46152</v>
      </c>
    </row>
    <row r="53">
      <c r="A53" s="644"/>
      <c r="B53" s="644"/>
      <c r="C53" s="644">
        <f t="shared" si="6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46152</v>
      </c>
    </row>
    <row r="54">
      <c r="A54" s="644"/>
      <c r="B54" s="644"/>
      <c r="C54" s="644">
        <f t="shared" si="6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46152</v>
      </c>
    </row>
    <row r="55">
      <c r="A55" s="644"/>
      <c r="B55" s="644"/>
      <c r="C55" s="644">
        <f t="shared" si="6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46152</v>
      </c>
    </row>
    <row r="56">
      <c r="A56" s="644"/>
      <c r="B56" s="644"/>
      <c r="C56" s="644">
        <f t="shared" si="6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46152</v>
      </c>
    </row>
    <row r="57">
      <c r="A57" s="644"/>
      <c r="B57" s="644"/>
      <c r="C57" s="644">
        <f t="shared" si="6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46152</v>
      </c>
    </row>
    <row r="58">
      <c r="A58" s="644"/>
      <c r="B58" s="644"/>
      <c r="C58" s="644">
        <f t="shared" si="6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46152</v>
      </c>
    </row>
    <row r="59">
      <c r="A59" s="644"/>
      <c r="B59" s="644"/>
      <c r="C59" s="644">
        <f t="shared" si="6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46152</v>
      </c>
    </row>
    <row r="60">
      <c r="A60" s="644"/>
      <c r="B60" s="644"/>
      <c r="C60" s="644">
        <f t="shared" si="6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46152</v>
      </c>
    </row>
    <row r="61">
      <c r="A61" s="644"/>
      <c r="B61" s="644"/>
      <c r="C61" s="644">
        <f t="shared" si="6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46152</v>
      </c>
    </row>
    <row r="62">
      <c r="A62" s="644"/>
      <c r="B62" s="644"/>
      <c r="C62" s="644">
        <f t="shared" si="6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46152</v>
      </c>
    </row>
    <row r="63">
      <c r="A63" s="644"/>
      <c r="B63" s="644"/>
      <c r="C63" s="644">
        <f t="shared" si="6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46152</v>
      </c>
    </row>
    <row r="64">
      <c r="A64" s="644"/>
      <c r="B64" s="644"/>
      <c r="C64" s="644">
        <f t="shared" si="6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46152</v>
      </c>
    </row>
    <row r="65">
      <c r="A65" s="644"/>
      <c r="B65" s="644"/>
      <c r="C65" s="644">
        <f t="shared" si="6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46152</v>
      </c>
    </row>
    <row r="66">
      <c r="A66" s="644"/>
      <c r="B66" s="644"/>
      <c r="C66" s="644">
        <f t="shared" si="6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46152</v>
      </c>
    </row>
    <row r="67">
      <c r="A67" s="644"/>
      <c r="B67" s="644"/>
      <c r="C67" s="644">
        <f t="shared" si="6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46152</v>
      </c>
    </row>
    <row r="68">
      <c r="A68" s="644"/>
      <c r="B68" s="644"/>
      <c r="C68" s="644">
        <f t="shared" si="6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46152</v>
      </c>
    </row>
    <row r="69">
      <c r="A69" s="644"/>
      <c r="B69" s="644"/>
      <c r="C69" s="644">
        <f t="shared" si="6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46152</v>
      </c>
    </row>
    <row r="70">
      <c r="A70" s="644"/>
      <c r="B70" s="644"/>
      <c r="C70" s="644">
        <f t="shared" si="6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46152</v>
      </c>
    </row>
    <row r="71">
      <c r="A71" s="644"/>
      <c r="B71" s="644"/>
      <c r="C71" s="644">
        <f t="shared" si="6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46152</v>
      </c>
    </row>
    <row r="72">
      <c r="A72" s="644"/>
      <c r="B72" s="644"/>
      <c r="C72" s="644">
        <f t="shared" si="6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46152</v>
      </c>
    </row>
    <row r="73">
      <c r="A73" s="644"/>
      <c r="B73" s="644"/>
      <c r="C73" s="644">
        <f t="shared" si="6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46152</v>
      </c>
    </row>
    <row r="74">
      <c r="A74" s="644"/>
      <c r="B74" s="644"/>
      <c r="C74" s="644">
        <f t="shared" si="6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46152</v>
      </c>
    </row>
    <row r="75">
      <c r="A75" s="644"/>
      <c r="B75" s="644"/>
      <c r="C75" s="644">
        <f t="shared" si="6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46152</v>
      </c>
    </row>
    <row r="76">
      <c r="A76" s="644"/>
      <c r="B76" s="644"/>
      <c r="C76" s="644">
        <f t="shared" si="6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46152</v>
      </c>
    </row>
    <row r="77">
      <c r="A77" s="644"/>
      <c r="B77" s="644"/>
      <c r="C77" s="644">
        <f t="shared" si="6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46152</v>
      </c>
    </row>
    <row r="78">
      <c r="A78" s="644"/>
      <c r="B78" s="644"/>
      <c r="C78" s="644">
        <f t="shared" si="6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46152</v>
      </c>
    </row>
    <row r="79">
      <c r="A79" s="644"/>
      <c r="B79" s="644"/>
      <c r="C79" s="644">
        <f t="shared" si="6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46152</v>
      </c>
    </row>
    <row r="80">
      <c r="A80" s="644"/>
      <c r="B80" s="644"/>
      <c r="C80" s="644">
        <f t="shared" si="6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46152</v>
      </c>
    </row>
    <row r="81">
      <c r="A81" s="644"/>
      <c r="B81" s="644"/>
      <c r="C81" s="644">
        <f t="shared" si="6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46152</v>
      </c>
    </row>
    <row r="82">
      <c r="A82" s="644"/>
      <c r="B82" s="644"/>
      <c r="C82" s="644">
        <f t="shared" si="6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46152</v>
      </c>
    </row>
    <row r="83">
      <c r="A83" s="644"/>
      <c r="B83" s="644"/>
      <c r="C83" s="644">
        <f t="shared" si="6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46152</v>
      </c>
    </row>
    <row r="84">
      <c r="A84" s="644"/>
      <c r="B84" s="644"/>
      <c r="C84" s="644">
        <f t="shared" si="6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46152</v>
      </c>
    </row>
    <row r="85">
      <c r="A85" s="644"/>
      <c r="B85" s="644"/>
      <c r="C85" s="644">
        <f t="shared" si="6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46152</v>
      </c>
    </row>
    <row r="86">
      <c r="A86" s="644"/>
      <c r="B86" s="644"/>
      <c r="C86" s="644">
        <f t="shared" si="6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46152</v>
      </c>
    </row>
    <row r="87">
      <c r="A87" s="644"/>
      <c r="B87" s="644"/>
      <c r="C87" s="644">
        <f t="shared" si="6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46152</v>
      </c>
    </row>
    <row r="88">
      <c r="A88" s="644"/>
      <c r="B88" s="644"/>
      <c r="C88" s="644">
        <f t="shared" si="6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46152</v>
      </c>
    </row>
    <row r="89">
      <c r="A89" s="644"/>
      <c r="B89" s="644"/>
      <c r="C89" s="644">
        <f t="shared" si="6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46152</v>
      </c>
    </row>
    <row r="90">
      <c r="A90" s="644"/>
      <c r="B90" s="644"/>
      <c r="C90" s="644">
        <f t="shared" si="6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46152</v>
      </c>
    </row>
    <row r="91">
      <c r="A91" s="644"/>
      <c r="B91" s="644"/>
      <c r="C91" s="644">
        <f t="shared" si="6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46152</v>
      </c>
    </row>
    <row r="92">
      <c r="A92" s="644"/>
      <c r="B92" s="644"/>
      <c r="C92" s="644">
        <f t="shared" si="6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46152</v>
      </c>
    </row>
    <row r="93">
      <c r="A93" s="644"/>
      <c r="B93" s="644"/>
      <c r="C93" s="644">
        <f t="shared" si="6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46152</v>
      </c>
    </row>
    <row r="94">
      <c r="A94" s="644"/>
      <c r="B94" s="644"/>
      <c r="C94" s="644">
        <f t="shared" si="6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46152</v>
      </c>
    </row>
    <row r="95">
      <c r="A95" s="644"/>
      <c r="B95" s="644"/>
      <c r="C95" s="644">
        <f t="shared" si="6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46152</v>
      </c>
    </row>
    <row r="96">
      <c r="A96" s="644"/>
      <c r="B96" s="644"/>
      <c r="C96" s="644">
        <f t="shared" si="6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46152</v>
      </c>
    </row>
    <row r="97">
      <c r="A97" s="644"/>
      <c r="B97" s="644"/>
      <c r="C97" s="644">
        <f t="shared" si="6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46152</v>
      </c>
    </row>
    <row r="98">
      <c r="A98" s="644"/>
      <c r="B98" s="644"/>
      <c r="C98" s="644">
        <f t="shared" si="6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46152</v>
      </c>
    </row>
    <row r="99">
      <c r="A99" s="644"/>
      <c r="B99" s="644"/>
      <c r="C99" s="644">
        <f t="shared" si="6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46152</v>
      </c>
    </row>
    <row r="100">
      <c r="A100" s="644"/>
      <c r="B100" s="644"/>
      <c r="C100" s="644">
        <f t="shared" si="6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46152</v>
      </c>
    </row>
    <row r="101">
      <c r="A101" s="644"/>
      <c r="B101" s="644"/>
      <c r="C101" s="644">
        <f t="shared" si="6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46152</v>
      </c>
    </row>
    <row r="102">
      <c r="A102" s="644"/>
      <c r="B102" s="644"/>
      <c r="C102" s="644">
        <f t="shared" si="6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46152</v>
      </c>
    </row>
    <row r="103">
      <c r="A103" s="644"/>
      <c r="B103" s="644"/>
      <c r="C103" s="644">
        <f t="shared" si="6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46152</v>
      </c>
    </row>
    <row r="104">
      <c r="A104" s="644"/>
      <c r="B104" s="644"/>
      <c r="C104" s="644">
        <f t="shared" si="6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46152</v>
      </c>
    </row>
    <row r="105">
      <c r="A105" s="644"/>
      <c r="B105" s="644"/>
      <c r="C105" s="644">
        <f t="shared" si="6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46152</v>
      </c>
    </row>
    <row r="106">
      <c r="A106" s="644"/>
      <c r="B106" s="644"/>
      <c r="C106" s="644">
        <f t="shared" si="6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46152</v>
      </c>
    </row>
    <row r="107">
      <c r="A107" s="644"/>
      <c r="B107" s="644"/>
      <c r="C107" s="644">
        <f t="shared" si="6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46152</v>
      </c>
    </row>
    <row r="108">
      <c r="A108" s="644"/>
      <c r="B108" s="644"/>
      <c r="C108" s="644">
        <f t="shared" si="6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46152</v>
      </c>
    </row>
    <row r="109">
      <c r="A109" s="644"/>
      <c r="B109" s="644"/>
      <c r="C109" s="644">
        <f t="shared" si="6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46152</v>
      </c>
    </row>
    <row r="110">
      <c r="A110" s="644"/>
      <c r="B110" s="644"/>
      <c r="C110" s="644">
        <f t="shared" si="6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46152</v>
      </c>
    </row>
    <row r="111">
      <c r="A111" s="644"/>
      <c r="B111" s="644"/>
      <c r="C111" s="644">
        <f t="shared" si="6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46152</v>
      </c>
    </row>
    <row r="112">
      <c r="A112" s="644"/>
      <c r="B112" s="644"/>
      <c r="C112" s="644">
        <f t="shared" si="6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46152</v>
      </c>
    </row>
    <row r="113">
      <c r="A113" s="644"/>
      <c r="B113" s="644"/>
      <c r="C113" s="644">
        <f t="shared" si="6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46152</v>
      </c>
    </row>
    <row r="114">
      <c r="A114" s="644"/>
      <c r="B114" s="644"/>
      <c r="C114" s="644">
        <f t="shared" si="6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46152</v>
      </c>
    </row>
    <row r="115">
      <c r="A115" s="644"/>
      <c r="B115" s="644"/>
      <c r="C115" s="644">
        <f t="shared" si="6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46152</v>
      </c>
    </row>
    <row r="116">
      <c r="A116" s="644"/>
      <c r="B116" s="644"/>
      <c r="C116" s="644">
        <f t="shared" si="6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46152</v>
      </c>
    </row>
    <row r="117">
      <c r="A117" s="644"/>
      <c r="B117" s="644"/>
      <c r="C117" s="644">
        <f t="shared" si="6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46152</v>
      </c>
    </row>
    <row r="118">
      <c r="A118" s="644"/>
      <c r="B118" s="644"/>
      <c r="C118" s="644">
        <f t="shared" si="6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46152</v>
      </c>
    </row>
    <row r="119">
      <c r="A119" s="644"/>
      <c r="B119" s="644"/>
      <c r="C119" s="644">
        <f t="shared" si="6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46152</v>
      </c>
    </row>
    <row r="120">
      <c r="A120" s="644"/>
      <c r="B120" s="644"/>
      <c r="C120" s="644">
        <f t="shared" si="6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46152</v>
      </c>
    </row>
    <row r="121">
      <c r="A121" s="644"/>
      <c r="B121" s="644"/>
      <c r="C121" s="644">
        <f t="shared" si="6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46152</v>
      </c>
    </row>
    <row r="122">
      <c r="A122" s="644"/>
      <c r="B122" s="644"/>
      <c r="C122" s="644">
        <f t="shared" si="6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46152</v>
      </c>
    </row>
    <row r="123">
      <c r="A123" s="644"/>
      <c r="B123" s="644"/>
      <c r="C123" s="644">
        <f t="shared" si="6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46152</v>
      </c>
    </row>
    <row r="124">
      <c r="A124" s="644"/>
      <c r="B124" s="644"/>
      <c r="C124" s="644">
        <f t="shared" si="6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46152</v>
      </c>
    </row>
    <row r="125">
      <c r="A125" s="644"/>
      <c r="B125" s="644"/>
      <c r="C125" s="644">
        <f t="shared" si="6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46152</v>
      </c>
    </row>
    <row r="126">
      <c r="A126" s="644"/>
      <c r="B126" s="644"/>
      <c r="C126" s="644">
        <f t="shared" si="6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46152</v>
      </c>
    </row>
    <row r="127">
      <c r="A127" s="644"/>
      <c r="B127" s="644"/>
      <c r="C127" s="644">
        <f t="shared" si="6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46152</v>
      </c>
    </row>
    <row r="128">
      <c r="A128" s="644"/>
      <c r="B128" s="644"/>
      <c r="C128" s="644">
        <f t="shared" si="6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46152</v>
      </c>
    </row>
    <row r="129">
      <c r="A129" s="644"/>
      <c r="B129" s="644"/>
      <c r="C129" s="644">
        <f t="shared" si="6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46152</v>
      </c>
    </row>
    <row r="130">
      <c r="A130" s="644"/>
      <c r="B130" s="644"/>
      <c r="C130" s="644">
        <f t="shared" si="6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46152</v>
      </c>
    </row>
    <row r="131">
      <c r="A131" s="644"/>
      <c r="B131" s="644"/>
      <c r="C131" s="644">
        <f t="shared" si="6"/>
        <v>15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46152</v>
      </c>
    </row>
    <row r="132">
      <c r="A132" s="644"/>
      <c r="B132" s="644"/>
      <c r="C132" s="644">
        <f t="shared" si="6"/>
        <v>15</v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46152</v>
      </c>
    </row>
    <row r="134">
      <c r="C134" s="771"/>
    </row>
    <row r="135">
      <c r="C135" s="772" t="s">
        <v>55</v>
      </c>
      <c r="D135" s="3">
        <f>SUMIF(F4:F132,C135,D4:D132)</f>
        <v>118110</v>
      </c>
    </row>
    <row r="136">
      <c r="C136" s="773" t="s">
        <v>527</v>
      </c>
      <c r="D136" s="3">
        <f>SUMIF(F4:F132,C136,D4:D132)</f>
        <v>2795690</v>
      </c>
    </row>
    <row r="137">
      <c r="C137" s="697" t="s">
        <v>28</v>
      </c>
      <c r="D137" s="3">
        <f>D135+D136</f>
        <v>2913800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2415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2416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>
        <v>143.0</v>
      </c>
      <c r="B4" s="644">
        <v>45699.0</v>
      </c>
      <c r="C4" s="644">
        <f t="shared" ref="C4:C132" si="1">B4+15</f>
        <v>45714</v>
      </c>
      <c r="D4" s="643">
        <v>84251.97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453</v>
      </c>
      <c r="J4" s="768" t="s">
        <v>31</v>
      </c>
      <c r="K4" s="769">
        <f>D4+D5+D6</f>
        <v>363341.79</v>
      </c>
    </row>
    <row r="5">
      <c r="A5" s="643">
        <v>153.0</v>
      </c>
      <c r="B5" s="644">
        <v>45706.0</v>
      </c>
      <c r="C5" s="644">
        <f t="shared" si="1"/>
        <v>45721</v>
      </c>
      <c r="D5" s="643">
        <v>125888.4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446</v>
      </c>
      <c r="J5" s="768" t="s">
        <v>35</v>
      </c>
      <c r="K5" s="770"/>
    </row>
    <row r="6">
      <c r="A6" s="643">
        <v>159.0</v>
      </c>
      <c r="B6" s="644">
        <v>45716.0</v>
      </c>
      <c r="C6" s="644">
        <f t="shared" si="1"/>
        <v>45731</v>
      </c>
      <c r="D6" s="643">
        <v>153201.42</v>
      </c>
      <c r="E6" s="645" t="b">
        <v>1</v>
      </c>
      <c r="F6" s="646" t="str">
        <f t="shared" si="2"/>
        <v>PAGADO</v>
      </c>
      <c r="G6" s="340" t="s">
        <v>2278</v>
      </c>
      <c r="H6" s="646" t="str">
        <f t="shared" si="3"/>
        <v>VENCIDA</v>
      </c>
      <c r="I6" s="647">
        <f t="shared" si="4"/>
        <v>436</v>
      </c>
      <c r="J6" s="768" t="s">
        <v>37</v>
      </c>
      <c r="K6" s="770"/>
    </row>
    <row r="7">
      <c r="A7" s="643">
        <v>166.0</v>
      </c>
      <c r="B7" s="644">
        <v>45728.0</v>
      </c>
      <c r="C7" s="644">
        <f t="shared" si="1"/>
        <v>45743</v>
      </c>
      <c r="D7" s="643">
        <v>127703.88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424</v>
      </c>
      <c r="J7" s="768" t="s">
        <v>39</v>
      </c>
      <c r="K7" s="770"/>
    </row>
    <row r="8">
      <c r="A8" s="643">
        <v>174.0</v>
      </c>
      <c r="B8" s="644">
        <v>45742.0</v>
      </c>
      <c r="C8" s="644">
        <f t="shared" si="1"/>
        <v>45757</v>
      </c>
      <c r="D8" s="643">
        <v>163301.38</v>
      </c>
      <c r="E8" s="645" t="b">
        <v>1</v>
      </c>
      <c r="F8" s="646" t="str">
        <f t="shared" si="2"/>
        <v>PAGADO</v>
      </c>
      <c r="G8" s="340" t="s">
        <v>2278</v>
      </c>
      <c r="H8" s="646" t="str">
        <f t="shared" si="3"/>
        <v>VENCIDA</v>
      </c>
      <c r="I8" s="647">
        <f t="shared" si="4"/>
        <v>410</v>
      </c>
      <c r="J8" s="768" t="s">
        <v>41</v>
      </c>
      <c r="K8" s="770"/>
    </row>
    <row r="9">
      <c r="A9" s="643">
        <v>182.0</v>
      </c>
      <c r="B9" s="644">
        <v>45755.0</v>
      </c>
      <c r="C9" s="644">
        <f t="shared" si="1"/>
        <v>45770</v>
      </c>
      <c r="D9" s="643">
        <v>144636.06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397</v>
      </c>
      <c r="J9" s="768" t="s">
        <v>42</v>
      </c>
      <c r="K9" s="770">
        <f>D14</f>
        <v>192739.1</v>
      </c>
      <c r="L9" s="2" t="s">
        <v>2417</v>
      </c>
    </row>
    <row r="10">
      <c r="A10" s="643">
        <v>202.0</v>
      </c>
      <c r="B10" s="644">
        <v>45775.0</v>
      </c>
      <c r="C10" s="644">
        <f t="shared" si="1"/>
        <v>45790</v>
      </c>
      <c r="D10" s="643">
        <v>124021.72</v>
      </c>
      <c r="E10" s="645" t="b">
        <v>1</v>
      </c>
      <c r="F10" s="646" t="str">
        <f t="shared" si="2"/>
        <v>PAGADO</v>
      </c>
      <c r="G10" s="340" t="s">
        <v>2278</v>
      </c>
      <c r="H10" s="646" t="str">
        <f t="shared" si="3"/>
        <v>VENCIDA</v>
      </c>
      <c r="I10" s="647">
        <f t="shared" si="4"/>
        <v>377</v>
      </c>
      <c r="J10" s="768" t="s">
        <v>43</v>
      </c>
      <c r="K10" s="770">
        <f>D15+D16</f>
        <v>143400</v>
      </c>
    </row>
    <row r="11">
      <c r="A11" s="643">
        <v>207.0</v>
      </c>
      <c r="B11" s="644">
        <v>45784.0</v>
      </c>
      <c r="C11" s="644">
        <f t="shared" si="1"/>
        <v>45799</v>
      </c>
      <c r="D11" s="643">
        <v>151546.4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368</v>
      </c>
      <c r="J11" s="768" t="s">
        <v>45</v>
      </c>
      <c r="K11" s="770"/>
    </row>
    <row r="12">
      <c r="A12" s="643" t="s">
        <v>2418</v>
      </c>
      <c r="B12" s="644">
        <v>45818.0</v>
      </c>
      <c r="C12" s="644">
        <f t="shared" si="1"/>
        <v>45833</v>
      </c>
      <c r="D12" s="643">
        <v>159578.9</v>
      </c>
      <c r="E12" s="645" t="b">
        <v>1</v>
      </c>
      <c r="F12" s="646" t="str">
        <f t="shared" si="2"/>
        <v>PAGADO</v>
      </c>
      <c r="G12" s="340" t="s">
        <v>2276</v>
      </c>
      <c r="H12" s="646" t="str">
        <f t="shared" si="3"/>
        <v>VENCIDA</v>
      </c>
      <c r="I12" s="647">
        <f t="shared" si="4"/>
        <v>334</v>
      </c>
      <c r="J12" s="768" t="s">
        <v>49</v>
      </c>
      <c r="K12" s="770"/>
    </row>
    <row r="13">
      <c r="A13" s="643">
        <v>234.0</v>
      </c>
      <c r="B13" s="644">
        <v>45831.0</v>
      </c>
      <c r="C13" s="644">
        <f t="shared" si="1"/>
        <v>45846</v>
      </c>
      <c r="D13" s="643">
        <v>187424.89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321</v>
      </c>
      <c r="J13" s="768" t="s">
        <v>50</v>
      </c>
      <c r="K13" s="770"/>
    </row>
    <row r="14">
      <c r="A14" s="643">
        <v>244.0</v>
      </c>
      <c r="B14" s="644">
        <v>45841.0</v>
      </c>
      <c r="C14" s="644">
        <f t="shared" si="1"/>
        <v>45856</v>
      </c>
      <c r="D14" s="643">
        <v>192739.1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311</v>
      </c>
      <c r="J14" s="768" t="s">
        <v>51</v>
      </c>
      <c r="K14" s="770"/>
    </row>
    <row r="15">
      <c r="A15" s="643" t="s">
        <v>2418</v>
      </c>
      <c r="B15" s="644">
        <v>45890.0</v>
      </c>
      <c r="C15" s="644">
        <f t="shared" si="1"/>
        <v>45905</v>
      </c>
      <c r="D15" s="643">
        <v>59360.0</v>
      </c>
      <c r="E15" s="645" t="b">
        <v>1</v>
      </c>
      <c r="F15" s="646" t="str">
        <f t="shared" si="2"/>
        <v>PAGADO</v>
      </c>
      <c r="G15" s="340" t="s">
        <v>2276</v>
      </c>
      <c r="H15" s="646" t="str">
        <f t="shared" si="3"/>
        <v>VENCIDA</v>
      </c>
      <c r="I15" s="647">
        <f t="shared" si="4"/>
        <v>262</v>
      </c>
    </row>
    <row r="16">
      <c r="A16" s="643" t="s">
        <v>2418</v>
      </c>
      <c r="B16" s="644">
        <v>45896.0</v>
      </c>
      <c r="C16" s="644">
        <f t="shared" si="1"/>
        <v>45911</v>
      </c>
      <c r="D16" s="643">
        <v>84040.0</v>
      </c>
      <c r="E16" s="654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4"/>
        <v>256</v>
      </c>
    </row>
    <row r="17">
      <c r="A17" s="643" t="s">
        <v>2418</v>
      </c>
      <c r="B17" s="644">
        <v>45905.0</v>
      </c>
      <c r="C17" s="644">
        <f t="shared" si="1"/>
        <v>45920</v>
      </c>
      <c r="D17" s="643">
        <v>112040.0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247</v>
      </c>
    </row>
    <row r="18">
      <c r="A18" s="643" t="s">
        <v>2418</v>
      </c>
      <c r="B18" s="644">
        <v>45912.0</v>
      </c>
      <c r="C18" s="644">
        <f t="shared" si="1"/>
        <v>45927</v>
      </c>
      <c r="D18" s="643">
        <v>105600.0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4"/>
        <v>240</v>
      </c>
    </row>
    <row r="19">
      <c r="A19" s="643" t="s">
        <v>2418</v>
      </c>
      <c r="B19" s="644">
        <v>45923.0</v>
      </c>
      <c r="C19" s="644">
        <f t="shared" si="1"/>
        <v>45938</v>
      </c>
      <c r="D19" s="643">
        <v>105600.0</v>
      </c>
      <c r="E19" s="645" t="b">
        <v>1</v>
      </c>
      <c r="F19" s="646" t="str">
        <f t="shared" si="2"/>
        <v>PAGADO</v>
      </c>
      <c r="G19" s="340" t="s">
        <v>2276</v>
      </c>
      <c r="H19" s="646" t="str">
        <f t="shared" si="3"/>
        <v>VENCIDA</v>
      </c>
      <c r="I19" s="647">
        <f t="shared" si="4"/>
        <v>229</v>
      </c>
    </row>
    <row r="20">
      <c r="A20" s="643" t="s">
        <v>2418</v>
      </c>
      <c r="B20" s="644">
        <v>45930.0</v>
      </c>
      <c r="C20" s="644">
        <f t="shared" si="1"/>
        <v>45945</v>
      </c>
      <c r="D20" s="643">
        <v>113600.0</v>
      </c>
      <c r="E20" s="645" t="b">
        <v>1</v>
      </c>
      <c r="F20" s="646" t="str">
        <f t="shared" si="2"/>
        <v>PAGADO</v>
      </c>
      <c r="G20" s="340" t="s">
        <v>2276</v>
      </c>
      <c r="H20" s="646" t="str">
        <f t="shared" si="3"/>
        <v>VENCIDA</v>
      </c>
      <c r="I20" s="647">
        <f t="shared" si="4"/>
        <v>222</v>
      </c>
    </row>
    <row r="21">
      <c r="A21" s="644"/>
      <c r="B21" s="644"/>
      <c r="C21" s="644">
        <f t="shared" si="1"/>
        <v>15</v>
      </c>
      <c r="D21" s="643"/>
      <c r="E21" s="658" t="b">
        <v>0</v>
      </c>
      <c r="F21" s="646" t="str">
        <f t="shared" si="2"/>
        <v>ADEUDA</v>
      </c>
      <c r="G21" s="340" t="s">
        <v>2278</v>
      </c>
      <c r="H21" s="646" t="str">
        <f t="shared" si="3"/>
        <v>VENCIDA</v>
      </c>
      <c r="I21" s="647">
        <f t="shared" si="4"/>
        <v>46152</v>
      </c>
    </row>
    <row r="22">
      <c r="A22" s="644"/>
      <c r="B22" s="644"/>
      <c r="C22" s="644">
        <f t="shared" si="1"/>
        <v>15</v>
      </c>
      <c r="D22" s="643"/>
      <c r="E22" s="658" t="b">
        <v>0</v>
      </c>
      <c r="F22" s="646" t="str">
        <f t="shared" si="2"/>
        <v>ADEUDA</v>
      </c>
      <c r="G22" s="340" t="s">
        <v>2278</v>
      </c>
      <c r="H22" s="646" t="str">
        <f t="shared" si="3"/>
        <v>VENCIDA</v>
      </c>
      <c r="I22" s="647">
        <f t="shared" si="4"/>
        <v>46152</v>
      </c>
    </row>
    <row r="23">
      <c r="A23" s="644"/>
      <c r="B23" s="644"/>
      <c r="C23" s="644">
        <f t="shared" si="1"/>
        <v>15</v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4"/>
        <v>46152</v>
      </c>
    </row>
    <row r="24">
      <c r="A24" s="644"/>
      <c r="B24" s="644"/>
      <c r="C24" s="644">
        <f t="shared" si="1"/>
        <v>15</v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4"/>
        <v>46152</v>
      </c>
    </row>
    <row r="25">
      <c r="A25" s="644"/>
      <c r="B25" s="644"/>
      <c r="C25" s="644">
        <f t="shared" si="1"/>
        <v>15</v>
      </c>
      <c r="D25" s="643"/>
      <c r="E25" s="658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4"/>
        <v>46152</v>
      </c>
    </row>
    <row r="26">
      <c r="A26" s="644"/>
      <c r="B26" s="644"/>
      <c r="C26" s="644">
        <f t="shared" si="1"/>
        <v>15</v>
      </c>
      <c r="D26" s="643"/>
      <c r="E26" s="658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4"/>
        <v>46152</v>
      </c>
    </row>
    <row r="27">
      <c r="A27" s="644"/>
      <c r="B27" s="644"/>
      <c r="C27" s="644">
        <f t="shared" si="1"/>
        <v>15</v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46152</v>
      </c>
    </row>
    <row r="28">
      <c r="A28" s="644"/>
      <c r="B28" s="644"/>
      <c r="C28" s="644">
        <f t="shared" si="1"/>
        <v>15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46152</v>
      </c>
    </row>
    <row r="29">
      <c r="A29" s="644"/>
      <c r="B29" s="644"/>
      <c r="C29" s="644">
        <f t="shared" si="1"/>
        <v>15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46152</v>
      </c>
    </row>
    <row r="30">
      <c r="A30" s="644"/>
      <c r="B30" s="644"/>
      <c r="C30" s="644">
        <f t="shared" si="1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46152</v>
      </c>
    </row>
    <row r="31">
      <c r="A31" s="644"/>
      <c r="B31" s="644"/>
      <c r="C31" s="644">
        <f t="shared" si="1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46152</v>
      </c>
    </row>
    <row r="32">
      <c r="A32" s="644"/>
      <c r="B32" s="644"/>
      <c r="C32" s="644">
        <f t="shared" si="1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46152</v>
      </c>
    </row>
    <row r="33">
      <c r="A33" s="644"/>
      <c r="B33" s="644"/>
      <c r="C33" s="644">
        <f t="shared" si="1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46152</v>
      </c>
    </row>
    <row r="34">
      <c r="A34" s="644"/>
      <c r="B34" s="644"/>
      <c r="C34" s="644">
        <f t="shared" si="1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46152</v>
      </c>
    </row>
    <row r="35">
      <c r="A35" s="644"/>
      <c r="B35" s="644"/>
      <c r="C35" s="644">
        <f t="shared" si="1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46152</v>
      </c>
    </row>
    <row r="36">
      <c r="A36" s="644"/>
      <c r="B36" s="644"/>
      <c r="C36" s="644">
        <f t="shared" si="1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46152</v>
      </c>
    </row>
    <row r="37">
      <c r="A37" s="644"/>
      <c r="B37" s="644"/>
      <c r="C37" s="644">
        <f t="shared" si="1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46152</v>
      </c>
    </row>
    <row r="38">
      <c r="A38" s="644"/>
      <c r="B38" s="644"/>
      <c r="C38" s="644">
        <f t="shared" si="1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46152</v>
      </c>
    </row>
    <row r="39">
      <c r="A39" s="644"/>
      <c r="B39" s="644"/>
      <c r="C39" s="644">
        <f t="shared" si="1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46152</v>
      </c>
    </row>
    <row r="40">
      <c r="A40" s="644"/>
      <c r="B40" s="644"/>
      <c r="C40" s="644">
        <f t="shared" si="1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46152</v>
      </c>
    </row>
    <row r="41">
      <c r="A41" s="644"/>
      <c r="B41" s="644"/>
      <c r="C41" s="644">
        <f t="shared" si="1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46152</v>
      </c>
    </row>
    <row r="42">
      <c r="A42" s="644"/>
      <c r="B42" s="644"/>
      <c r="C42" s="644">
        <f t="shared" si="1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46152</v>
      </c>
    </row>
    <row r="43">
      <c r="A43" s="644"/>
      <c r="B43" s="644"/>
      <c r="C43" s="644">
        <f t="shared" si="1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46152</v>
      </c>
    </row>
    <row r="44">
      <c r="A44" s="644"/>
      <c r="B44" s="644"/>
      <c r="C44" s="644">
        <f t="shared" si="1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46152</v>
      </c>
    </row>
    <row r="45">
      <c r="A45" s="644"/>
      <c r="B45" s="644"/>
      <c r="C45" s="644">
        <f t="shared" si="1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46152</v>
      </c>
    </row>
    <row r="46">
      <c r="A46" s="644"/>
      <c r="B46" s="644"/>
      <c r="C46" s="644">
        <f t="shared" si="1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46152</v>
      </c>
    </row>
    <row r="47">
      <c r="A47" s="644"/>
      <c r="B47" s="644"/>
      <c r="C47" s="644">
        <f t="shared" si="1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46152</v>
      </c>
    </row>
    <row r="48">
      <c r="A48" s="644"/>
      <c r="B48" s="644"/>
      <c r="C48" s="644">
        <f t="shared" si="1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46152</v>
      </c>
    </row>
    <row r="49">
      <c r="A49" s="644"/>
      <c r="B49" s="644"/>
      <c r="C49" s="644">
        <f t="shared" si="1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46152</v>
      </c>
    </row>
    <row r="50">
      <c r="A50" s="644"/>
      <c r="B50" s="644"/>
      <c r="C50" s="644">
        <f t="shared" si="1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46152</v>
      </c>
    </row>
    <row r="51">
      <c r="A51" s="644"/>
      <c r="B51" s="644"/>
      <c r="C51" s="644">
        <f t="shared" si="1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46152</v>
      </c>
    </row>
    <row r="52">
      <c r="A52" s="644"/>
      <c r="B52" s="644"/>
      <c r="C52" s="644">
        <f t="shared" si="1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46152</v>
      </c>
    </row>
    <row r="53">
      <c r="A53" s="644"/>
      <c r="B53" s="644"/>
      <c r="C53" s="644">
        <f t="shared" si="1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46152</v>
      </c>
    </row>
    <row r="54">
      <c r="A54" s="644"/>
      <c r="B54" s="644"/>
      <c r="C54" s="644">
        <f t="shared" si="1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46152</v>
      </c>
    </row>
    <row r="55">
      <c r="A55" s="644"/>
      <c r="B55" s="644"/>
      <c r="C55" s="644">
        <f t="shared" si="1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46152</v>
      </c>
    </row>
    <row r="56">
      <c r="A56" s="644"/>
      <c r="B56" s="644"/>
      <c r="C56" s="644">
        <f t="shared" si="1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46152</v>
      </c>
    </row>
    <row r="57">
      <c r="A57" s="644"/>
      <c r="B57" s="644"/>
      <c r="C57" s="644">
        <f t="shared" si="1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46152</v>
      </c>
    </row>
    <row r="58">
      <c r="A58" s="644"/>
      <c r="B58" s="644"/>
      <c r="C58" s="644">
        <f t="shared" si="1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46152</v>
      </c>
    </row>
    <row r="59">
      <c r="A59" s="644"/>
      <c r="B59" s="644"/>
      <c r="C59" s="644">
        <f t="shared" si="1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46152</v>
      </c>
    </row>
    <row r="60">
      <c r="A60" s="644"/>
      <c r="B60" s="644"/>
      <c r="C60" s="644">
        <f t="shared" si="1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46152</v>
      </c>
    </row>
    <row r="61">
      <c r="A61" s="644"/>
      <c r="B61" s="644"/>
      <c r="C61" s="644">
        <f t="shared" si="1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46152</v>
      </c>
    </row>
    <row r="62">
      <c r="A62" s="644"/>
      <c r="B62" s="644"/>
      <c r="C62" s="644">
        <f t="shared" si="1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46152</v>
      </c>
    </row>
    <row r="63">
      <c r="A63" s="644"/>
      <c r="B63" s="644"/>
      <c r="C63" s="644">
        <f t="shared" si="1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46152</v>
      </c>
    </row>
    <row r="64">
      <c r="A64" s="644"/>
      <c r="B64" s="644"/>
      <c r="C64" s="644">
        <f t="shared" si="1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46152</v>
      </c>
    </row>
    <row r="65">
      <c r="A65" s="644"/>
      <c r="B65" s="644"/>
      <c r="C65" s="644">
        <f t="shared" si="1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46152</v>
      </c>
    </row>
    <row r="66">
      <c r="A66" s="644"/>
      <c r="B66" s="644"/>
      <c r="C66" s="644">
        <f t="shared" si="1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46152</v>
      </c>
    </row>
    <row r="67">
      <c r="A67" s="644"/>
      <c r="B67" s="644"/>
      <c r="C67" s="644">
        <f t="shared" si="1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46152</v>
      </c>
    </row>
    <row r="68">
      <c r="A68" s="644"/>
      <c r="B68" s="644"/>
      <c r="C68" s="644">
        <f t="shared" si="1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46152</v>
      </c>
    </row>
    <row r="69">
      <c r="A69" s="644"/>
      <c r="B69" s="644"/>
      <c r="C69" s="644">
        <f t="shared" si="1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46152</v>
      </c>
    </row>
    <row r="70">
      <c r="A70" s="644"/>
      <c r="B70" s="644"/>
      <c r="C70" s="644">
        <f t="shared" si="1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46152</v>
      </c>
    </row>
    <row r="71">
      <c r="A71" s="644"/>
      <c r="B71" s="644"/>
      <c r="C71" s="644">
        <f t="shared" si="1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46152</v>
      </c>
    </row>
    <row r="72">
      <c r="A72" s="644"/>
      <c r="B72" s="644"/>
      <c r="C72" s="644">
        <f t="shared" si="1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46152</v>
      </c>
    </row>
    <row r="73">
      <c r="A73" s="644"/>
      <c r="B73" s="644"/>
      <c r="C73" s="644">
        <f t="shared" si="1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46152</v>
      </c>
    </row>
    <row r="74">
      <c r="A74" s="644"/>
      <c r="B74" s="644"/>
      <c r="C74" s="644">
        <f t="shared" si="1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46152</v>
      </c>
    </row>
    <row r="75">
      <c r="A75" s="644"/>
      <c r="B75" s="644"/>
      <c r="C75" s="644">
        <f t="shared" si="1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46152</v>
      </c>
    </row>
    <row r="76">
      <c r="A76" s="644"/>
      <c r="B76" s="644"/>
      <c r="C76" s="644">
        <f t="shared" si="1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46152</v>
      </c>
    </row>
    <row r="77">
      <c r="A77" s="644"/>
      <c r="B77" s="644"/>
      <c r="C77" s="644">
        <f t="shared" si="1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46152</v>
      </c>
    </row>
    <row r="78">
      <c r="A78" s="644"/>
      <c r="B78" s="644"/>
      <c r="C78" s="644">
        <f t="shared" si="1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46152</v>
      </c>
    </row>
    <row r="79">
      <c r="A79" s="644"/>
      <c r="B79" s="644"/>
      <c r="C79" s="644">
        <f t="shared" si="1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46152</v>
      </c>
    </row>
    <row r="80">
      <c r="A80" s="644"/>
      <c r="B80" s="644"/>
      <c r="C80" s="644">
        <f t="shared" si="1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46152</v>
      </c>
    </row>
    <row r="81">
      <c r="A81" s="644"/>
      <c r="B81" s="644"/>
      <c r="C81" s="644">
        <f t="shared" si="1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46152</v>
      </c>
    </row>
    <row r="82">
      <c r="A82" s="644"/>
      <c r="B82" s="644"/>
      <c r="C82" s="644">
        <f t="shared" si="1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46152</v>
      </c>
    </row>
    <row r="83">
      <c r="A83" s="644"/>
      <c r="B83" s="644"/>
      <c r="C83" s="644">
        <f t="shared" si="1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46152</v>
      </c>
    </row>
    <row r="84">
      <c r="A84" s="644"/>
      <c r="B84" s="644"/>
      <c r="C84" s="644">
        <f t="shared" si="1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46152</v>
      </c>
    </row>
    <row r="85">
      <c r="A85" s="644"/>
      <c r="B85" s="644"/>
      <c r="C85" s="644">
        <f t="shared" si="1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46152</v>
      </c>
    </row>
    <row r="86">
      <c r="A86" s="644"/>
      <c r="B86" s="644"/>
      <c r="C86" s="644">
        <f t="shared" si="1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46152</v>
      </c>
    </row>
    <row r="87">
      <c r="A87" s="644"/>
      <c r="B87" s="644"/>
      <c r="C87" s="644">
        <f t="shared" si="1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46152</v>
      </c>
    </row>
    <row r="88">
      <c r="A88" s="644"/>
      <c r="B88" s="644"/>
      <c r="C88" s="644">
        <f t="shared" si="1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46152</v>
      </c>
    </row>
    <row r="89">
      <c r="A89" s="644"/>
      <c r="B89" s="644"/>
      <c r="C89" s="644">
        <f t="shared" si="1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46152</v>
      </c>
    </row>
    <row r="90">
      <c r="A90" s="644"/>
      <c r="B90" s="644"/>
      <c r="C90" s="644">
        <f t="shared" si="1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46152</v>
      </c>
    </row>
    <row r="91">
      <c r="A91" s="644"/>
      <c r="B91" s="644"/>
      <c r="C91" s="644">
        <f t="shared" si="1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46152</v>
      </c>
    </row>
    <row r="92">
      <c r="A92" s="644"/>
      <c r="B92" s="644"/>
      <c r="C92" s="644">
        <f t="shared" si="1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46152</v>
      </c>
    </row>
    <row r="93">
      <c r="A93" s="644"/>
      <c r="B93" s="644"/>
      <c r="C93" s="644">
        <f t="shared" si="1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46152</v>
      </c>
    </row>
    <row r="94">
      <c r="A94" s="644"/>
      <c r="B94" s="644"/>
      <c r="C94" s="644">
        <f t="shared" si="1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46152</v>
      </c>
    </row>
    <row r="95">
      <c r="A95" s="644"/>
      <c r="B95" s="644"/>
      <c r="C95" s="644">
        <f t="shared" si="1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46152</v>
      </c>
    </row>
    <row r="96">
      <c r="A96" s="644"/>
      <c r="B96" s="644"/>
      <c r="C96" s="644">
        <f t="shared" si="1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46152</v>
      </c>
    </row>
    <row r="97">
      <c r="A97" s="644"/>
      <c r="B97" s="644"/>
      <c r="C97" s="644">
        <f t="shared" si="1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46152</v>
      </c>
    </row>
    <row r="98">
      <c r="A98" s="644"/>
      <c r="B98" s="644"/>
      <c r="C98" s="644">
        <f t="shared" si="1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46152</v>
      </c>
    </row>
    <row r="99">
      <c r="A99" s="644"/>
      <c r="B99" s="644"/>
      <c r="C99" s="644">
        <f t="shared" si="1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46152</v>
      </c>
    </row>
    <row r="100">
      <c r="A100" s="644"/>
      <c r="B100" s="644"/>
      <c r="C100" s="644">
        <f t="shared" si="1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46152</v>
      </c>
    </row>
    <row r="101">
      <c r="A101" s="644"/>
      <c r="B101" s="644"/>
      <c r="C101" s="644">
        <f t="shared" si="1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46152</v>
      </c>
    </row>
    <row r="102">
      <c r="A102" s="644"/>
      <c r="B102" s="644"/>
      <c r="C102" s="644">
        <f t="shared" si="1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46152</v>
      </c>
    </row>
    <row r="103">
      <c r="A103" s="644"/>
      <c r="B103" s="644"/>
      <c r="C103" s="644">
        <f t="shared" si="1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46152</v>
      </c>
    </row>
    <row r="104">
      <c r="A104" s="644"/>
      <c r="B104" s="644"/>
      <c r="C104" s="644">
        <f t="shared" si="1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46152</v>
      </c>
    </row>
    <row r="105">
      <c r="A105" s="644"/>
      <c r="B105" s="644"/>
      <c r="C105" s="644">
        <f t="shared" si="1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46152</v>
      </c>
    </row>
    <row r="106">
      <c r="A106" s="644"/>
      <c r="B106" s="644"/>
      <c r="C106" s="644">
        <f t="shared" si="1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46152</v>
      </c>
    </row>
    <row r="107">
      <c r="A107" s="644"/>
      <c r="B107" s="644"/>
      <c r="C107" s="644">
        <f t="shared" si="1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46152</v>
      </c>
    </row>
    <row r="108">
      <c r="A108" s="644"/>
      <c r="B108" s="644"/>
      <c r="C108" s="644">
        <f t="shared" si="1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46152</v>
      </c>
    </row>
    <row r="109">
      <c r="A109" s="644"/>
      <c r="B109" s="644"/>
      <c r="C109" s="644">
        <f t="shared" si="1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46152</v>
      </c>
    </row>
    <row r="110">
      <c r="A110" s="644"/>
      <c r="B110" s="644"/>
      <c r="C110" s="644">
        <f t="shared" si="1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46152</v>
      </c>
    </row>
    <row r="111">
      <c r="A111" s="644"/>
      <c r="B111" s="644"/>
      <c r="C111" s="644">
        <f t="shared" si="1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46152</v>
      </c>
    </row>
    <row r="112">
      <c r="A112" s="644"/>
      <c r="B112" s="644"/>
      <c r="C112" s="644">
        <f t="shared" si="1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46152</v>
      </c>
    </row>
    <row r="113">
      <c r="A113" s="644"/>
      <c r="B113" s="644"/>
      <c r="C113" s="644">
        <f t="shared" si="1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46152</v>
      </c>
    </row>
    <row r="114">
      <c r="A114" s="644"/>
      <c r="B114" s="644"/>
      <c r="C114" s="644">
        <f t="shared" si="1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46152</v>
      </c>
    </row>
    <row r="115">
      <c r="A115" s="644"/>
      <c r="B115" s="644"/>
      <c r="C115" s="644">
        <f t="shared" si="1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46152</v>
      </c>
    </row>
    <row r="116">
      <c r="A116" s="644"/>
      <c r="B116" s="644"/>
      <c r="C116" s="644">
        <f t="shared" si="1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46152</v>
      </c>
    </row>
    <row r="117">
      <c r="A117" s="644"/>
      <c r="B117" s="644"/>
      <c r="C117" s="644">
        <f t="shared" si="1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46152</v>
      </c>
    </row>
    <row r="118">
      <c r="A118" s="644"/>
      <c r="B118" s="644"/>
      <c r="C118" s="644">
        <f t="shared" si="1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46152</v>
      </c>
    </row>
    <row r="119">
      <c r="A119" s="644"/>
      <c r="B119" s="644"/>
      <c r="C119" s="644">
        <f t="shared" si="1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46152</v>
      </c>
    </row>
    <row r="120">
      <c r="A120" s="644"/>
      <c r="B120" s="644"/>
      <c r="C120" s="644">
        <f t="shared" si="1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46152</v>
      </c>
    </row>
    <row r="121">
      <c r="A121" s="644"/>
      <c r="B121" s="644"/>
      <c r="C121" s="644">
        <f t="shared" si="1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46152</v>
      </c>
    </row>
    <row r="122">
      <c r="A122" s="644"/>
      <c r="B122" s="644"/>
      <c r="C122" s="644">
        <f t="shared" si="1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46152</v>
      </c>
    </row>
    <row r="123">
      <c r="A123" s="644"/>
      <c r="B123" s="644"/>
      <c r="C123" s="644">
        <f t="shared" si="1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46152</v>
      </c>
    </row>
    <row r="124">
      <c r="A124" s="644"/>
      <c r="B124" s="644"/>
      <c r="C124" s="644">
        <f t="shared" si="1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46152</v>
      </c>
    </row>
    <row r="125">
      <c r="A125" s="644"/>
      <c r="B125" s="644"/>
      <c r="C125" s="644">
        <f t="shared" si="1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46152</v>
      </c>
    </row>
    <row r="126">
      <c r="A126" s="644"/>
      <c r="B126" s="644"/>
      <c r="C126" s="644">
        <f t="shared" si="1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46152</v>
      </c>
    </row>
    <row r="127">
      <c r="A127" s="644"/>
      <c r="B127" s="644"/>
      <c r="C127" s="644">
        <f t="shared" si="1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46152</v>
      </c>
    </row>
    <row r="128">
      <c r="A128" s="644"/>
      <c r="B128" s="644"/>
      <c r="C128" s="644">
        <f t="shared" si="1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46152</v>
      </c>
    </row>
    <row r="129">
      <c r="A129" s="644"/>
      <c r="B129" s="644"/>
      <c r="C129" s="644">
        <f t="shared" si="1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46152</v>
      </c>
    </row>
    <row r="130">
      <c r="A130" s="644"/>
      <c r="B130" s="644"/>
      <c r="C130" s="644">
        <f t="shared" si="1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46152</v>
      </c>
    </row>
    <row r="131">
      <c r="A131" s="644"/>
      <c r="B131" s="644"/>
      <c r="C131" s="644">
        <f t="shared" si="1"/>
        <v>15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46152</v>
      </c>
    </row>
    <row r="132">
      <c r="A132" s="644"/>
      <c r="B132" s="644"/>
      <c r="C132" s="644">
        <f t="shared" si="1"/>
        <v>15</v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46152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2194534.12</v>
      </c>
    </row>
    <row r="137">
      <c r="C137" s="697" t="s">
        <v>28</v>
      </c>
      <c r="D137" s="3">
        <f>D135+D136</f>
        <v>2194534.12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2419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/>
      <c r="B3" s="644">
        <v>45793.0</v>
      </c>
      <c r="C3" s="644">
        <f t="shared" ref="C3:C7" si="1">B3+15</f>
        <v>45808</v>
      </c>
      <c r="D3" s="643">
        <v>184501.49</v>
      </c>
      <c r="E3" s="645" t="b">
        <v>1</v>
      </c>
      <c r="F3" s="646" t="str">
        <f t="shared" ref="F3:F131" si="2">IF(E3,"PAGADO","ADEUDA")</f>
        <v>PAGADO</v>
      </c>
      <c r="G3" s="340" t="s">
        <v>2276</v>
      </c>
      <c r="H3" s="646" t="str">
        <f t="shared" ref="H3:H131" si="3">IF(C3&lt;TODAY(),"VENCIDA",IF(C3=TODAY(),"VENCE HOY",IF(C3&gt;TODAY(),"VIGENTE")))</f>
        <v>VENCIDA</v>
      </c>
      <c r="I3" s="647">
        <f t="shared" ref="I3:I131" si="4">TODAY()-C3</f>
        <v>359</v>
      </c>
      <c r="J3" s="768" t="s">
        <v>31</v>
      </c>
      <c r="K3" s="769"/>
    </row>
    <row r="4">
      <c r="A4" s="643"/>
      <c r="B4" s="644">
        <v>45810.0</v>
      </c>
      <c r="C4" s="644">
        <f t="shared" si="1"/>
        <v>45825</v>
      </c>
      <c r="D4" s="643">
        <v>250243.0</v>
      </c>
      <c r="E4" s="645" t="b">
        <v>1</v>
      </c>
      <c r="F4" s="646" t="str">
        <f t="shared" si="2"/>
        <v>PAGADO</v>
      </c>
      <c r="G4" s="340" t="s">
        <v>2276</v>
      </c>
      <c r="H4" s="646" t="str">
        <f t="shared" si="3"/>
        <v>VENCIDA</v>
      </c>
      <c r="I4" s="647">
        <f t="shared" si="4"/>
        <v>342</v>
      </c>
      <c r="J4" s="768" t="s">
        <v>35</v>
      </c>
      <c r="K4" s="770"/>
    </row>
    <row r="5">
      <c r="A5" s="643"/>
      <c r="B5" s="644">
        <v>45852.0</v>
      </c>
      <c r="C5" s="644">
        <f t="shared" si="1"/>
        <v>45867</v>
      </c>
      <c r="D5" s="643">
        <v>243621.32</v>
      </c>
      <c r="E5" s="645" t="b">
        <v>1</v>
      </c>
      <c r="F5" s="646" t="str">
        <f t="shared" si="2"/>
        <v>PAGADO</v>
      </c>
      <c r="G5" s="340" t="s">
        <v>2278</v>
      </c>
      <c r="H5" s="646" t="str">
        <f t="shared" si="3"/>
        <v>VENCIDA</v>
      </c>
      <c r="I5" s="647">
        <f t="shared" si="4"/>
        <v>300</v>
      </c>
      <c r="J5" s="768" t="s">
        <v>37</v>
      </c>
      <c r="K5" s="770"/>
    </row>
    <row r="6">
      <c r="A6" s="643"/>
      <c r="B6" s="644">
        <v>45862.0</v>
      </c>
      <c r="C6" s="644">
        <f t="shared" si="1"/>
        <v>45877</v>
      </c>
      <c r="D6" s="643">
        <v>77435.73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290</v>
      </c>
      <c r="J6" s="768" t="s">
        <v>39</v>
      </c>
      <c r="K6" s="770"/>
    </row>
    <row r="7">
      <c r="A7" s="643"/>
      <c r="B7" s="644">
        <v>45869.0</v>
      </c>
      <c r="C7" s="644">
        <f t="shared" si="1"/>
        <v>45884</v>
      </c>
      <c r="D7" s="643">
        <v>88496.96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283</v>
      </c>
      <c r="J7" s="768" t="s">
        <v>41</v>
      </c>
      <c r="K7" s="770"/>
    </row>
    <row r="8">
      <c r="A8" s="643">
        <v>8200049.0</v>
      </c>
      <c r="B8" s="644">
        <v>45876.0</v>
      </c>
      <c r="C8" s="644">
        <f t="shared" ref="C8:C23" si="5">B8</f>
        <v>45876</v>
      </c>
      <c r="D8" s="643">
        <v>127421.96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291</v>
      </c>
      <c r="J8" s="768" t="s">
        <v>42</v>
      </c>
      <c r="K8" s="770">
        <f>D5+D6+D7</f>
        <v>409554.01</v>
      </c>
    </row>
    <row r="9">
      <c r="A9" s="643">
        <v>8214149.0</v>
      </c>
      <c r="B9" s="644">
        <v>45883.0</v>
      </c>
      <c r="C9" s="644">
        <f t="shared" si="5"/>
        <v>45883</v>
      </c>
      <c r="D9" s="643">
        <v>130016.55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284</v>
      </c>
      <c r="J9" s="768" t="s">
        <v>43</v>
      </c>
      <c r="K9" s="770">
        <f>D8+D9</f>
        <v>257438.51</v>
      </c>
    </row>
    <row r="10">
      <c r="A10" s="643">
        <v>8347765.0</v>
      </c>
      <c r="B10" s="644">
        <v>45941.0</v>
      </c>
      <c r="C10" s="644">
        <f t="shared" si="5"/>
        <v>45941</v>
      </c>
      <c r="D10" s="643">
        <v>178181.0</v>
      </c>
      <c r="E10" s="645" t="b">
        <v>1</v>
      </c>
      <c r="F10" s="646" t="str">
        <f t="shared" si="2"/>
        <v>PAGADO</v>
      </c>
      <c r="G10" s="340" t="s">
        <v>2278</v>
      </c>
      <c r="H10" s="646" t="str">
        <f t="shared" si="3"/>
        <v>VENCIDA</v>
      </c>
      <c r="I10" s="647">
        <f t="shared" si="4"/>
        <v>226</v>
      </c>
      <c r="J10" s="768" t="s">
        <v>45</v>
      </c>
      <c r="K10" s="770"/>
    </row>
    <row r="11">
      <c r="A11" s="643">
        <v>8355933.0</v>
      </c>
      <c r="B11" s="644">
        <v>45947.0</v>
      </c>
      <c r="C11" s="644">
        <f t="shared" si="5"/>
        <v>45947</v>
      </c>
      <c r="D11" s="643">
        <v>172663.21</v>
      </c>
      <c r="E11" s="645" t="b">
        <v>1</v>
      </c>
      <c r="F11" s="646" t="str">
        <f t="shared" si="2"/>
        <v>PAGADO</v>
      </c>
      <c r="G11" s="340" t="s">
        <v>2278</v>
      </c>
      <c r="H11" s="646" t="str">
        <f t="shared" si="3"/>
        <v>VENCIDA</v>
      </c>
      <c r="I11" s="647">
        <f t="shared" si="4"/>
        <v>220</v>
      </c>
      <c r="J11" s="768" t="s">
        <v>49</v>
      </c>
      <c r="K11" s="770"/>
    </row>
    <row r="12">
      <c r="A12" s="643">
        <v>8376036.0</v>
      </c>
      <c r="B12" s="644">
        <v>45959.0</v>
      </c>
      <c r="C12" s="644">
        <f t="shared" si="5"/>
        <v>45959</v>
      </c>
      <c r="D12" s="643">
        <v>198768.22</v>
      </c>
      <c r="E12" s="645" t="b">
        <v>1</v>
      </c>
      <c r="F12" s="646" t="str">
        <f t="shared" si="2"/>
        <v>PAGADO</v>
      </c>
      <c r="G12" s="340" t="s">
        <v>2276</v>
      </c>
      <c r="H12" s="646" t="str">
        <f t="shared" si="3"/>
        <v>VENCIDA</v>
      </c>
      <c r="I12" s="647">
        <f t="shared" si="4"/>
        <v>208</v>
      </c>
      <c r="J12" s="768" t="s">
        <v>50</v>
      </c>
      <c r="K12" s="770"/>
    </row>
    <row r="13">
      <c r="A13" s="643">
        <v>8398304.0</v>
      </c>
      <c r="B13" s="644">
        <v>45968.0</v>
      </c>
      <c r="C13" s="644">
        <f t="shared" si="5"/>
        <v>45968</v>
      </c>
      <c r="D13" s="643">
        <v>156636.9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199</v>
      </c>
      <c r="J13" s="768" t="s">
        <v>51</v>
      </c>
      <c r="K13" s="770"/>
    </row>
    <row r="14">
      <c r="A14" s="643">
        <v>8404879.0</v>
      </c>
      <c r="B14" s="644">
        <v>45972.0</v>
      </c>
      <c r="C14" s="644">
        <f t="shared" si="5"/>
        <v>45972</v>
      </c>
      <c r="D14" s="643">
        <v>169786.55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195</v>
      </c>
    </row>
    <row r="15">
      <c r="A15" s="643">
        <v>8417989.0</v>
      </c>
      <c r="B15" s="644">
        <v>45978.0</v>
      </c>
      <c r="C15" s="644">
        <f t="shared" si="5"/>
        <v>45978</v>
      </c>
      <c r="D15" s="643">
        <v>134725.27</v>
      </c>
      <c r="E15" s="654" t="b">
        <v>1</v>
      </c>
      <c r="F15" s="646" t="str">
        <f t="shared" si="2"/>
        <v>PAGADO</v>
      </c>
      <c r="G15" s="340" t="s">
        <v>2276</v>
      </c>
      <c r="H15" s="646" t="str">
        <f t="shared" si="3"/>
        <v>VENCIDA</v>
      </c>
      <c r="I15" s="647">
        <f t="shared" si="4"/>
        <v>189</v>
      </c>
    </row>
    <row r="16">
      <c r="A16" s="643">
        <v>8426572.0</v>
      </c>
      <c r="B16" s="644">
        <v>45981.0</v>
      </c>
      <c r="C16" s="644">
        <f t="shared" si="5"/>
        <v>45981</v>
      </c>
      <c r="D16" s="643">
        <v>160391.19</v>
      </c>
      <c r="E16" s="654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4"/>
        <v>186</v>
      </c>
    </row>
    <row r="17">
      <c r="A17" s="643">
        <v>8431315.0</v>
      </c>
      <c r="B17" s="644">
        <v>45983.0</v>
      </c>
      <c r="C17" s="644">
        <f t="shared" si="5"/>
        <v>45983</v>
      </c>
      <c r="D17" s="643">
        <v>131731.99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184</v>
      </c>
    </row>
    <row r="18">
      <c r="A18" s="643">
        <v>854534.0</v>
      </c>
      <c r="B18" s="644">
        <v>46037.0</v>
      </c>
      <c r="C18" s="644">
        <f t="shared" si="5"/>
        <v>46037</v>
      </c>
      <c r="D18" s="643">
        <v>157633.26</v>
      </c>
      <c r="E18" s="645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4"/>
        <v>130</v>
      </c>
    </row>
    <row r="19">
      <c r="A19" s="643">
        <v>8575723.0</v>
      </c>
      <c r="B19" s="644">
        <v>46051.0</v>
      </c>
      <c r="C19" s="644">
        <f t="shared" si="5"/>
        <v>46051</v>
      </c>
      <c r="D19" s="643">
        <v>174312.29</v>
      </c>
      <c r="E19" s="645" t="b">
        <v>1</v>
      </c>
      <c r="F19" s="646" t="str">
        <f t="shared" si="2"/>
        <v>PAGADO</v>
      </c>
      <c r="G19" s="340" t="s">
        <v>2278</v>
      </c>
      <c r="H19" s="646" t="str">
        <f t="shared" si="3"/>
        <v>VENCIDA</v>
      </c>
      <c r="I19" s="647">
        <f t="shared" si="4"/>
        <v>116</v>
      </c>
    </row>
    <row r="20">
      <c r="A20" s="643">
        <v>8592070.0</v>
      </c>
      <c r="B20" s="644">
        <v>46058.0</v>
      </c>
      <c r="C20" s="644">
        <f t="shared" si="5"/>
        <v>46058</v>
      </c>
      <c r="D20" s="643">
        <v>297212.63</v>
      </c>
      <c r="E20" s="645" t="b">
        <v>1</v>
      </c>
      <c r="F20" s="646" t="str">
        <f t="shared" si="2"/>
        <v>PAGADO</v>
      </c>
      <c r="G20" s="340" t="s">
        <v>2278</v>
      </c>
      <c r="H20" s="646" t="str">
        <f t="shared" si="3"/>
        <v>VENCIDA</v>
      </c>
      <c r="I20" s="647">
        <f t="shared" si="4"/>
        <v>109</v>
      </c>
    </row>
    <row r="21">
      <c r="A21" s="643">
        <v>8658451.0</v>
      </c>
      <c r="B21" s="644">
        <v>46092.0</v>
      </c>
      <c r="C21" s="644">
        <f t="shared" si="5"/>
        <v>46092</v>
      </c>
      <c r="D21" s="643">
        <v>89110.8</v>
      </c>
      <c r="E21" s="645" t="b">
        <v>1</v>
      </c>
      <c r="F21" s="646" t="str">
        <f t="shared" si="2"/>
        <v>PAGADO</v>
      </c>
      <c r="G21" s="340" t="s">
        <v>2287</v>
      </c>
      <c r="H21" s="646" t="str">
        <f t="shared" si="3"/>
        <v>VENCIDA</v>
      </c>
      <c r="I21" s="647">
        <f t="shared" si="4"/>
        <v>75</v>
      </c>
    </row>
    <row r="22">
      <c r="A22" s="643">
        <v>8711829.0</v>
      </c>
      <c r="B22" s="644">
        <v>46120.0</v>
      </c>
      <c r="C22" s="644">
        <f t="shared" si="5"/>
        <v>46120</v>
      </c>
      <c r="D22" s="643">
        <v>93388.12</v>
      </c>
      <c r="E22" s="645" t="b">
        <v>1</v>
      </c>
      <c r="F22" s="646" t="str">
        <f t="shared" si="2"/>
        <v>PAGADO</v>
      </c>
      <c r="G22" s="340" t="s">
        <v>2278</v>
      </c>
      <c r="H22" s="646" t="str">
        <f t="shared" si="3"/>
        <v>VENCIDA</v>
      </c>
      <c r="I22" s="647">
        <f t="shared" si="4"/>
        <v>47</v>
      </c>
    </row>
    <row r="23">
      <c r="A23" s="644"/>
      <c r="B23" s="644"/>
      <c r="C23" s="644" t="str">
        <f t="shared" si="5"/>
        <v/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4"/>
        <v>46167</v>
      </c>
    </row>
    <row r="24">
      <c r="A24" s="644"/>
      <c r="B24" s="644"/>
      <c r="C24" s="644">
        <f t="shared" ref="C24:C131" si="6">B24+15</f>
        <v>15</v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4"/>
        <v>46152</v>
      </c>
    </row>
    <row r="25">
      <c r="A25" s="644"/>
      <c r="B25" s="644"/>
      <c r="C25" s="644">
        <f t="shared" si="6"/>
        <v>15</v>
      </c>
      <c r="D25" s="643"/>
      <c r="E25" s="658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4"/>
        <v>46152</v>
      </c>
    </row>
    <row r="26">
      <c r="A26" s="644"/>
      <c r="B26" s="644"/>
      <c r="C26" s="644">
        <f t="shared" si="6"/>
        <v>15</v>
      </c>
      <c r="D26" s="643"/>
      <c r="E26" s="658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4"/>
        <v>46152</v>
      </c>
    </row>
    <row r="27">
      <c r="A27" s="644"/>
      <c r="B27" s="644"/>
      <c r="C27" s="644">
        <f t="shared" si="6"/>
        <v>15</v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46152</v>
      </c>
    </row>
    <row r="28">
      <c r="A28" s="644"/>
      <c r="B28" s="644"/>
      <c r="C28" s="644">
        <f t="shared" si="6"/>
        <v>15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46152</v>
      </c>
    </row>
    <row r="29">
      <c r="A29" s="644"/>
      <c r="B29" s="644"/>
      <c r="C29" s="644">
        <f t="shared" si="6"/>
        <v>15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46152</v>
      </c>
    </row>
    <row r="30">
      <c r="A30" s="644"/>
      <c r="B30" s="644"/>
      <c r="C30" s="644">
        <f t="shared" si="6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46152</v>
      </c>
    </row>
    <row r="31">
      <c r="A31" s="644"/>
      <c r="B31" s="644"/>
      <c r="C31" s="644">
        <f t="shared" si="6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46152</v>
      </c>
    </row>
    <row r="32">
      <c r="A32" s="644"/>
      <c r="B32" s="644"/>
      <c r="C32" s="644">
        <f t="shared" si="6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46152</v>
      </c>
    </row>
    <row r="33">
      <c r="A33" s="644"/>
      <c r="B33" s="644"/>
      <c r="C33" s="644">
        <f t="shared" si="6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46152</v>
      </c>
    </row>
    <row r="34">
      <c r="A34" s="644"/>
      <c r="B34" s="644"/>
      <c r="C34" s="644">
        <f t="shared" si="6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46152</v>
      </c>
    </row>
    <row r="35">
      <c r="A35" s="644"/>
      <c r="B35" s="644"/>
      <c r="C35" s="644">
        <f t="shared" si="6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46152</v>
      </c>
    </row>
    <row r="36">
      <c r="A36" s="644"/>
      <c r="B36" s="644"/>
      <c r="C36" s="644">
        <f t="shared" si="6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46152</v>
      </c>
    </row>
    <row r="37">
      <c r="A37" s="644"/>
      <c r="B37" s="644"/>
      <c r="C37" s="644">
        <f t="shared" si="6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46152</v>
      </c>
    </row>
    <row r="38">
      <c r="A38" s="644"/>
      <c r="B38" s="644"/>
      <c r="C38" s="644">
        <f t="shared" si="6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46152</v>
      </c>
    </row>
    <row r="39">
      <c r="A39" s="644"/>
      <c r="B39" s="644"/>
      <c r="C39" s="644">
        <f t="shared" si="6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46152</v>
      </c>
    </row>
    <row r="40">
      <c r="A40" s="644"/>
      <c r="B40" s="644"/>
      <c r="C40" s="644">
        <f t="shared" si="6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46152</v>
      </c>
    </row>
    <row r="41">
      <c r="A41" s="644"/>
      <c r="B41" s="644"/>
      <c r="C41" s="644">
        <f t="shared" si="6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46152</v>
      </c>
    </row>
    <row r="42">
      <c r="A42" s="644"/>
      <c r="B42" s="644"/>
      <c r="C42" s="644">
        <f t="shared" si="6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46152</v>
      </c>
    </row>
    <row r="43">
      <c r="A43" s="644"/>
      <c r="B43" s="644"/>
      <c r="C43" s="644">
        <f t="shared" si="6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46152</v>
      </c>
    </row>
    <row r="44">
      <c r="A44" s="644"/>
      <c r="B44" s="644"/>
      <c r="C44" s="644">
        <f t="shared" si="6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46152</v>
      </c>
    </row>
    <row r="45">
      <c r="A45" s="644"/>
      <c r="B45" s="644"/>
      <c r="C45" s="644">
        <f t="shared" si="6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46152</v>
      </c>
    </row>
    <row r="46">
      <c r="A46" s="644"/>
      <c r="B46" s="644"/>
      <c r="C46" s="644">
        <f t="shared" si="6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46152</v>
      </c>
    </row>
    <row r="47">
      <c r="A47" s="644"/>
      <c r="B47" s="644"/>
      <c r="C47" s="644">
        <f t="shared" si="6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46152</v>
      </c>
    </row>
    <row r="48">
      <c r="A48" s="644"/>
      <c r="B48" s="644"/>
      <c r="C48" s="644">
        <f t="shared" si="6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46152</v>
      </c>
    </row>
    <row r="49">
      <c r="A49" s="644"/>
      <c r="B49" s="644"/>
      <c r="C49" s="644">
        <f t="shared" si="6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46152</v>
      </c>
    </row>
    <row r="50">
      <c r="A50" s="644"/>
      <c r="B50" s="644"/>
      <c r="C50" s="644">
        <f t="shared" si="6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46152</v>
      </c>
    </row>
    <row r="51">
      <c r="A51" s="644"/>
      <c r="B51" s="644"/>
      <c r="C51" s="644">
        <f t="shared" si="6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46152</v>
      </c>
    </row>
    <row r="52">
      <c r="A52" s="644"/>
      <c r="B52" s="644"/>
      <c r="C52" s="644">
        <f t="shared" si="6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46152</v>
      </c>
    </row>
    <row r="53">
      <c r="A53" s="644"/>
      <c r="B53" s="644"/>
      <c r="C53" s="644">
        <f t="shared" si="6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46152</v>
      </c>
    </row>
    <row r="54">
      <c r="A54" s="644"/>
      <c r="B54" s="644"/>
      <c r="C54" s="644">
        <f t="shared" si="6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46152</v>
      </c>
    </row>
    <row r="55">
      <c r="A55" s="644"/>
      <c r="B55" s="644"/>
      <c r="C55" s="644">
        <f t="shared" si="6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46152</v>
      </c>
    </row>
    <row r="56">
      <c r="A56" s="644"/>
      <c r="B56" s="644"/>
      <c r="C56" s="644">
        <f t="shared" si="6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46152</v>
      </c>
    </row>
    <row r="57">
      <c r="A57" s="644"/>
      <c r="B57" s="644"/>
      <c r="C57" s="644">
        <f t="shared" si="6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46152</v>
      </c>
    </row>
    <row r="58">
      <c r="A58" s="644"/>
      <c r="B58" s="644"/>
      <c r="C58" s="644">
        <f t="shared" si="6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46152</v>
      </c>
    </row>
    <row r="59">
      <c r="A59" s="644"/>
      <c r="B59" s="644"/>
      <c r="C59" s="644">
        <f t="shared" si="6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46152</v>
      </c>
    </row>
    <row r="60">
      <c r="A60" s="644"/>
      <c r="B60" s="644"/>
      <c r="C60" s="644">
        <f t="shared" si="6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46152</v>
      </c>
    </row>
    <row r="61">
      <c r="A61" s="644"/>
      <c r="B61" s="644"/>
      <c r="C61" s="644">
        <f t="shared" si="6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46152</v>
      </c>
    </row>
    <row r="62">
      <c r="A62" s="644"/>
      <c r="B62" s="644"/>
      <c r="C62" s="644">
        <f t="shared" si="6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46152</v>
      </c>
    </row>
    <row r="63">
      <c r="A63" s="644"/>
      <c r="B63" s="644"/>
      <c r="C63" s="644">
        <f t="shared" si="6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46152</v>
      </c>
    </row>
    <row r="64">
      <c r="A64" s="644"/>
      <c r="B64" s="644"/>
      <c r="C64" s="644">
        <f t="shared" si="6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46152</v>
      </c>
    </row>
    <row r="65">
      <c r="A65" s="644"/>
      <c r="B65" s="644"/>
      <c r="C65" s="644">
        <f t="shared" si="6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46152</v>
      </c>
    </row>
    <row r="66">
      <c r="A66" s="644"/>
      <c r="B66" s="644"/>
      <c r="C66" s="644">
        <f t="shared" si="6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46152</v>
      </c>
    </row>
    <row r="67">
      <c r="A67" s="644"/>
      <c r="B67" s="644"/>
      <c r="C67" s="644">
        <f t="shared" si="6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46152</v>
      </c>
    </row>
    <row r="68">
      <c r="A68" s="644"/>
      <c r="B68" s="644"/>
      <c r="C68" s="644">
        <f t="shared" si="6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46152</v>
      </c>
    </row>
    <row r="69">
      <c r="A69" s="644"/>
      <c r="B69" s="644"/>
      <c r="C69" s="644">
        <f t="shared" si="6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46152</v>
      </c>
    </row>
    <row r="70">
      <c r="A70" s="644"/>
      <c r="B70" s="644"/>
      <c r="C70" s="644">
        <f t="shared" si="6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46152</v>
      </c>
    </row>
    <row r="71">
      <c r="A71" s="644"/>
      <c r="B71" s="644"/>
      <c r="C71" s="644">
        <f t="shared" si="6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46152</v>
      </c>
    </row>
    <row r="72">
      <c r="A72" s="644"/>
      <c r="B72" s="644"/>
      <c r="C72" s="644">
        <f t="shared" si="6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46152</v>
      </c>
    </row>
    <row r="73">
      <c r="A73" s="644"/>
      <c r="B73" s="644"/>
      <c r="C73" s="644">
        <f t="shared" si="6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46152</v>
      </c>
    </row>
    <row r="74">
      <c r="A74" s="644"/>
      <c r="B74" s="644"/>
      <c r="C74" s="644">
        <f t="shared" si="6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46152</v>
      </c>
    </row>
    <row r="75">
      <c r="A75" s="644"/>
      <c r="B75" s="644"/>
      <c r="C75" s="644">
        <f t="shared" si="6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46152</v>
      </c>
    </row>
    <row r="76">
      <c r="A76" s="644"/>
      <c r="B76" s="644"/>
      <c r="C76" s="644">
        <f t="shared" si="6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46152</v>
      </c>
    </row>
    <row r="77">
      <c r="A77" s="644"/>
      <c r="B77" s="644"/>
      <c r="C77" s="644">
        <f t="shared" si="6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46152</v>
      </c>
    </row>
    <row r="78">
      <c r="A78" s="644"/>
      <c r="B78" s="644"/>
      <c r="C78" s="644">
        <f t="shared" si="6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46152</v>
      </c>
    </row>
    <row r="79">
      <c r="A79" s="644"/>
      <c r="B79" s="644"/>
      <c r="C79" s="644">
        <f t="shared" si="6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46152</v>
      </c>
    </row>
    <row r="80">
      <c r="A80" s="644"/>
      <c r="B80" s="644"/>
      <c r="C80" s="644">
        <f t="shared" si="6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46152</v>
      </c>
    </row>
    <row r="81">
      <c r="A81" s="644"/>
      <c r="B81" s="644"/>
      <c r="C81" s="644">
        <f t="shared" si="6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46152</v>
      </c>
    </row>
    <row r="82">
      <c r="A82" s="644"/>
      <c r="B82" s="644"/>
      <c r="C82" s="644">
        <f t="shared" si="6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46152</v>
      </c>
    </row>
    <row r="83">
      <c r="A83" s="644"/>
      <c r="B83" s="644"/>
      <c r="C83" s="644">
        <f t="shared" si="6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46152</v>
      </c>
    </row>
    <row r="84">
      <c r="A84" s="644"/>
      <c r="B84" s="644"/>
      <c r="C84" s="644">
        <f t="shared" si="6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46152</v>
      </c>
    </row>
    <row r="85">
      <c r="A85" s="644"/>
      <c r="B85" s="644"/>
      <c r="C85" s="644">
        <f t="shared" si="6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46152</v>
      </c>
    </row>
    <row r="86">
      <c r="A86" s="644"/>
      <c r="B86" s="644"/>
      <c r="C86" s="644">
        <f t="shared" si="6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46152</v>
      </c>
    </row>
    <row r="87">
      <c r="A87" s="644"/>
      <c r="B87" s="644"/>
      <c r="C87" s="644">
        <f t="shared" si="6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46152</v>
      </c>
    </row>
    <row r="88">
      <c r="A88" s="644"/>
      <c r="B88" s="644"/>
      <c r="C88" s="644">
        <f t="shared" si="6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46152</v>
      </c>
    </row>
    <row r="89">
      <c r="A89" s="644"/>
      <c r="B89" s="644"/>
      <c r="C89" s="644">
        <f t="shared" si="6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46152</v>
      </c>
    </row>
    <row r="90">
      <c r="A90" s="644"/>
      <c r="B90" s="644"/>
      <c r="C90" s="644">
        <f t="shared" si="6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46152</v>
      </c>
    </row>
    <row r="91">
      <c r="A91" s="644"/>
      <c r="B91" s="644"/>
      <c r="C91" s="644">
        <f t="shared" si="6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46152</v>
      </c>
    </row>
    <row r="92">
      <c r="A92" s="644"/>
      <c r="B92" s="644"/>
      <c r="C92" s="644">
        <f t="shared" si="6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46152</v>
      </c>
    </row>
    <row r="93">
      <c r="A93" s="644"/>
      <c r="B93" s="644"/>
      <c r="C93" s="644">
        <f t="shared" si="6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46152</v>
      </c>
    </row>
    <row r="94">
      <c r="A94" s="644"/>
      <c r="B94" s="644"/>
      <c r="C94" s="644">
        <f t="shared" si="6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46152</v>
      </c>
    </row>
    <row r="95">
      <c r="A95" s="644"/>
      <c r="B95" s="644"/>
      <c r="C95" s="644">
        <f t="shared" si="6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46152</v>
      </c>
    </row>
    <row r="96">
      <c r="A96" s="644"/>
      <c r="B96" s="644"/>
      <c r="C96" s="644">
        <f t="shared" si="6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46152</v>
      </c>
    </row>
    <row r="97">
      <c r="A97" s="644"/>
      <c r="B97" s="644"/>
      <c r="C97" s="644">
        <f t="shared" si="6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46152</v>
      </c>
    </row>
    <row r="98">
      <c r="A98" s="644"/>
      <c r="B98" s="644"/>
      <c r="C98" s="644">
        <f t="shared" si="6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46152</v>
      </c>
    </row>
    <row r="99">
      <c r="A99" s="644"/>
      <c r="B99" s="644"/>
      <c r="C99" s="644">
        <f t="shared" si="6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46152</v>
      </c>
    </row>
    <row r="100">
      <c r="A100" s="644"/>
      <c r="B100" s="644"/>
      <c r="C100" s="644">
        <f t="shared" si="6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46152</v>
      </c>
    </row>
    <row r="101">
      <c r="A101" s="644"/>
      <c r="B101" s="644"/>
      <c r="C101" s="644">
        <f t="shared" si="6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46152</v>
      </c>
    </row>
    <row r="102">
      <c r="A102" s="644"/>
      <c r="B102" s="644"/>
      <c r="C102" s="644">
        <f t="shared" si="6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46152</v>
      </c>
    </row>
    <row r="103">
      <c r="A103" s="644"/>
      <c r="B103" s="644"/>
      <c r="C103" s="644">
        <f t="shared" si="6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46152</v>
      </c>
    </row>
    <row r="104">
      <c r="A104" s="644"/>
      <c r="B104" s="644"/>
      <c r="C104" s="644">
        <f t="shared" si="6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46152</v>
      </c>
    </row>
    <row r="105">
      <c r="A105" s="644"/>
      <c r="B105" s="644"/>
      <c r="C105" s="644">
        <f t="shared" si="6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46152</v>
      </c>
    </row>
    <row r="106">
      <c r="A106" s="644"/>
      <c r="B106" s="644"/>
      <c r="C106" s="644">
        <f t="shared" si="6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46152</v>
      </c>
    </row>
    <row r="107">
      <c r="A107" s="644"/>
      <c r="B107" s="644"/>
      <c r="C107" s="644">
        <f t="shared" si="6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46152</v>
      </c>
    </row>
    <row r="108">
      <c r="A108" s="644"/>
      <c r="B108" s="644"/>
      <c r="C108" s="644">
        <f t="shared" si="6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46152</v>
      </c>
    </row>
    <row r="109">
      <c r="A109" s="644"/>
      <c r="B109" s="644"/>
      <c r="C109" s="644">
        <f t="shared" si="6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46152</v>
      </c>
    </row>
    <row r="110">
      <c r="A110" s="644"/>
      <c r="B110" s="644"/>
      <c r="C110" s="644">
        <f t="shared" si="6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46152</v>
      </c>
    </row>
    <row r="111">
      <c r="A111" s="644"/>
      <c r="B111" s="644"/>
      <c r="C111" s="644">
        <f t="shared" si="6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46152</v>
      </c>
    </row>
    <row r="112">
      <c r="A112" s="644"/>
      <c r="B112" s="644"/>
      <c r="C112" s="644">
        <f t="shared" si="6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46152</v>
      </c>
    </row>
    <row r="113">
      <c r="A113" s="644"/>
      <c r="B113" s="644"/>
      <c r="C113" s="644">
        <f t="shared" si="6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46152</v>
      </c>
    </row>
    <row r="114">
      <c r="A114" s="644"/>
      <c r="B114" s="644"/>
      <c r="C114" s="644">
        <f t="shared" si="6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46152</v>
      </c>
    </row>
    <row r="115">
      <c r="A115" s="644"/>
      <c r="B115" s="644"/>
      <c r="C115" s="644">
        <f t="shared" si="6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46152</v>
      </c>
    </row>
    <row r="116">
      <c r="A116" s="644"/>
      <c r="B116" s="644"/>
      <c r="C116" s="644">
        <f t="shared" si="6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46152</v>
      </c>
    </row>
    <row r="117">
      <c r="A117" s="644"/>
      <c r="B117" s="644"/>
      <c r="C117" s="644">
        <f t="shared" si="6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46152</v>
      </c>
    </row>
    <row r="118">
      <c r="A118" s="644"/>
      <c r="B118" s="644"/>
      <c r="C118" s="644">
        <f t="shared" si="6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46152</v>
      </c>
    </row>
    <row r="119">
      <c r="A119" s="644"/>
      <c r="B119" s="644"/>
      <c r="C119" s="644">
        <f t="shared" si="6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46152</v>
      </c>
    </row>
    <row r="120">
      <c r="A120" s="644"/>
      <c r="B120" s="644"/>
      <c r="C120" s="644">
        <f t="shared" si="6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46152</v>
      </c>
    </row>
    <row r="121">
      <c r="A121" s="644"/>
      <c r="B121" s="644"/>
      <c r="C121" s="644">
        <f t="shared" si="6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46152</v>
      </c>
    </row>
    <row r="122">
      <c r="A122" s="644"/>
      <c r="B122" s="644"/>
      <c r="C122" s="644">
        <f t="shared" si="6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46152</v>
      </c>
    </row>
    <row r="123">
      <c r="A123" s="644"/>
      <c r="B123" s="644"/>
      <c r="C123" s="644">
        <f t="shared" si="6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46152</v>
      </c>
    </row>
    <row r="124">
      <c r="A124" s="644"/>
      <c r="B124" s="644"/>
      <c r="C124" s="644">
        <f t="shared" si="6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46152</v>
      </c>
    </row>
    <row r="125">
      <c r="A125" s="644"/>
      <c r="B125" s="644"/>
      <c r="C125" s="644">
        <f t="shared" si="6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46152</v>
      </c>
    </row>
    <row r="126">
      <c r="A126" s="644"/>
      <c r="B126" s="644"/>
      <c r="C126" s="644">
        <f t="shared" si="6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46152</v>
      </c>
    </row>
    <row r="127">
      <c r="A127" s="644"/>
      <c r="B127" s="644"/>
      <c r="C127" s="644">
        <f t="shared" si="6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46152</v>
      </c>
    </row>
    <row r="128">
      <c r="A128" s="644"/>
      <c r="B128" s="644"/>
      <c r="C128" s="644">
        <f t="shared" si="6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46152</v>
      </c>
    </row>
    <row r="129">
      <c r="A129" s="644"/>
      <c r="B129" s="644"/>
      <c r="C129" s="644">
        <f t="shared" si="6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46152</v>
      </c>
    </row>
    <row r="130">
      <c r="A130" s="644"/>
      <c r="B130" s="644"/>
      <c r="C130" s="644">
        <f t="shared" si="6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46152</v>
      </c>
    </row>
    <row r="131">
      <c r="A131" s="644"/>
      <c r="B131" s="644"/>
      <c r="C131" s="644">
        <f t="shared" si="6"/>
        <v>15</v>
      </c>
      <c r="D131" s="643"/>
      <c r="E131" s="645" t="b">
        <v>1</v>
      </c>
      <c r="F131" s="646" t="str">
        <f t="shared" si="2"/>
        <v>PAGADO</v>
      </c>
      <c r="G131" s="340" t="s">
        <v>2278</v>
      </c>
      <c r="H131" s="646" t="str">
        <f t="shared" si="3"/>
        <v>VENCIDA</v>
      </c>
      <c r="I131" s="647">
        <f t="shared" si="4"/>
        <v>46152</v>
      </c>
    </row>
    <row r="133">
      <c r="C133" s="771"/>
    </row>
    <row r="134">
      <c r="C134" s="772" t="s">
        <v>55</v>
      </c>
      <c r="D134" s="3">
        <f>SUMIF(F3:F131,C134,D3:D131)</f>
        <v>0</v>
      </c>
    </row>
    <row r="135">
      <c r="C135" s="773" t="s">
        <v>527</v>
      </c>
      <c r="D135" s="3">
        <f>SUMIF(F3:F131,C135,D3:D131)</f>
        <v>3216278.44</v>
      </c>
    </row>
    <row r="136">
      <c r="C136" s="697" t="s">
        <v>28</v>
      </c>
      <c r="D136" s="3">
        <f>D134+D135</f>
        <v>3216278.44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2420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 t="s">
        <v>2420</v>
      </c>
      <c r="B3" s="644">
        <v>46002.0</v>
      </c>
      <c r="C3" s="644"/>
      <c r="D3" s="643">
        <v>246900.0</v>
      </c>
      <c r="E3" s="645" t="b">
        <v>1</v>
      </c>
      <c r="F3" s="646" t="str">
        <f t="shared" ref="F3:F131" si="1">IF(E3,"PAGADO","ADEUDA")</f>
        <v>PAGADO</v>
      </c>
      <c r="G3" s="340" t="s">
        <v>2276</v>
      </c>
      <c r="H3" s="646" t="str">
        <f t="shared" ref="H3:H131" si="2">IF(C3&lt;TODAY(),"VENCIDA",IF(C3=TODAY(),"VENCE HOY",IF(C3&gt;TODAY(),"VIGENTE")))</f>
        <v>VENCIDA</v>
      </c>
      <c r="I3" s="647">
        <f t="shared" ref="I3:I131" si="3">TODAY()-C3</f>
        <v>46167</v>
      </c>
      <c r="J3" s="768" t="s">
        <v>31</v>
      </c>
      <c r="K3" s="769"/>
    </row>
    <row r="4">
      <c r="A4" s="643" t="s">
        <v>2420</v>
      </c>
      <c r="B4" s="644">
        <v>46010.0</v>
      </c>
      <c r="C4" s="644"/>
      <c r="D4" s="643">
        <v>152300.0</v>
      </c>
      <c r="E4" s="645" t="b">
        <v>1</v>
      </c>
      <c r="F4" s="646" t="str">
        <f t="shared" si="1"/>
        <v>PAGADO</v>
      </c>
      <c r="G4" s="340" t="s">
        <v>2276</v>
      </c>
      <c r="H4" s="646" t="str">
        <f t="shared" si="2"/>
        <v>VENCIDA</v>
      </c>
      <c r="I4" s="647">
        <f t="shared" si="3"/>
        <v>46167</v>
      </c>
      <c r="J4" s="768" t="s">
        <v>35</v>
      </c>
      <c r="K4" s="770"/>
    </row>
    <row r="5">
      <c r="A5" s="643" t="s">
        <v>2420</v>
      </c>
      <c r="B5" s="644">
        <v>46027.0</v>
      </c>
      <c r="C5" s="644"/>
      <c r="D5" s="643">
        <v>134700.0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J5" s="768" t="s">
        <v>37</v>
      </c>
      <c r="K5" s="770"/>
    </row>
    <row r="6">
      <c r="A6" s="643" t="s">
        <v>2420</v>
      </c>
      <c r="B6" s="644">
        <v>46031.0</v>
      </c>
      <c r="C6" s="644"/>
      <c r="D6" s="643">
        <v>122000.0</v>
      </c>
      <c r="E6" s="645" t="b">
        <v>1</v>
      </c>
      <c r="F6" s="646" t="str">
        <f t="shared" si="1"/>
        <v>PAGADO</v>
      </c>
      <c r="G6" s="340" t="s">
        <v>2276</v>
      </c>
      <c r="H6" s="646" t="str">
        <f t="shared" si="2"/>
        <v>VENCIDA</v>
      </c>
      <c r="I6" s="647">
        <f t="shared" si="3"/>
        <v>46167</v>
      </c>
      <c r="J6" s="768" t="s">
        <v>39</v>
      </c>
      <c r="K6" s="770"/>
    </row>
    <row r="7">
      <c r="A7" s="643" t="s">
        <v>2420</v>
      </c>
      <c r="B7" s="644">
        <v>46076.0</v>
      </c>
      <c r="C7" s="644"/>
      <c r="D7" s="643">
        <v>123600.0</v>
      </c>
      <c r="E7" s="645" t="b">
        <v>1</v>
      </c>
      <c r="F7" s="646" t="str">
        <f t="shared" si="1"/>
        <v>PAGADO</v>
      </c>
      <c r="G7" s="340" t="s">
        <v>2278</v>
      </c>
      <c r="H7" s="646" t="str">
        <f t="shared" si="2"/>
        <v>VENCIDA</v>
      </c>
      <c r="I7" s="647">
        <f t="shared" si="3"/>
        <v>46167</v>
      </c>
      <c r="J7" s="768" t="s">
        <v>41</v>
      </c>
      <c r="K7" s="770"/>
    </row>
    <row r="8">
      <c r="A8" s="643" t="s">
        <v>2420</v>
      </c>
      <c r="B8" s="644">
        <v>46077.0</v>
      </c>
      <c r="C8" s="644"/>
      <c r="D8" s="643">
        <v>93300.0</v>
      </c>
      <c r="E8" s="645" t="b">
        <v>0</v>
      </c>
      <c r="F8" s="646" t="str">
        <f t="shared" si="1"/>
        <v>ADEUDA</v>
      </c>
      <c r="G8" s="340" t="s">
        <v>2276</v>
      </c>
      <c r="H8" s="646" t="str">
        <f t="shared" si="2"/>
        <v>VENCIDA</v>
      </c>
      <c r="I8" s="647">
        <f t="shared" si="3"/>
        <v>46167</v>
      </c>
      <c r="J8" s="768" t="s">
        <v>42</v>
      </c>
      <c r="K8" s="770">
        <f>D5+D6+D7</f>
        <v>380300</v>
      </c>
    </row>
    <row r="9">
      <c r="A9" s="643" t="s">
        <v>2420</v>
      </c>
      <c r="B9" s="644">
        <v>46084.0</v>
      </c>
      <c r="C9" s="644"/>
      <c r="D9" s="643">
        <v>135300.0</v>
      </c>
      <c r="E9" s="645" t="b">
        <v>1</v>
      </c>
      <c r="F9" s="646" t="str">
        <f t="shared" si="1"/>
        <v>PAGADO</v>
      </c>
      <c r="G9" s="340" t="s">
        <v>2287</v>
      </c>
      <c r="H9" s="646" t="str">
        <f t="shared" si="2"/>
        <v>VENCIDA</v>
      </c>
      <c r="I9" s="647">
        <f t="shared" si="3"/>
        <v>46167</v>
      </c>
      <c r="J9" s="768" t="s">
        <v>43</v>
      </c>
      <c r="K9" s="770">
        <f>D8+D9</f>
        <v>228600</v>
      </c>
    </row>
    <row r="10">
      <c r="A10" s="643" t="s">
        <v>2420</v>
      </c>
      <c r="B10" s="644"/>
      <c r="C10" s="644"/>
      <c r="D10" s="643">
        <v>226900.0</v>
      </c>
      <c r="E10" s="645" t="b">
        <v>1</v>
      </c>
      <c r="F10" s="646" t="str">
        <f t="shared" si="1"/>
        <v>PAGADO</v>
      </c>
      <c r="G10" s="340" t="s">
        <v>2276</v>
      </c>
      <c r="H10" s="646" t="str">
        <f t="shared" si="2"/>
        <v>VENCIDA</v>
      </c>
      <c r="I10" s="647">
        <f t="shared" si="3"/>
        <v>46167</v>
      </c>
      <c r="J10" s="768" t="s">
        <v>45</v>
      </c>
      <c r="K10" s="770"/>
    </row>
    <row r="11">
      <c r="A11" s="643" t="s">
        <v>2420</v>
      </c>
      <c r="B11" s="644">
        <v>46111.0</v>
      </c>
      <c r="C11" s="644"/>
      <c r="D11" s="643">
        <v>44500.0</v>
      </c>
      <c r="E11" s="645" t="b">
        <v>1</v>
      </c>
      <c r="F11" s="646" t="str">
        <f t="shared" si="1"/>
        <v>PAGADO</v>
      </c>
      <c r="G11" s="340" t="s">
        <v>2276</v>
      </c>
      <c r="H11" s="646" t="str">
        <f t="shared" si="2"/>
        <v>VENCIDA</v>
      </c>
      <c r="I11" s="647">
        <f t="shared" si="3"/>
        <v>46167</v>
      </c>
      <c r="J11" s="768" t="s">
        <v>49</v>
      </c>
      <c r="K11" s="770"/>
    </row>
    <row r="12">
      <c r="A12" s="643" t="s">
        <v>2420</v>
      </c>
      <c r="B12" s="644">
        <v>46119.0</v>
      </c>
      <c r="C12" s="644"/>
      <c r="D12" s="643">
        <v>101900.0</v>
      </c>
      <c r="E12" s="645" t="b">
        <v>1</v>
      </c>
      <c r="F12" s="646" t="str">
        <f t="shared" si="1"/>
        <v>PAGADO</v>
      </c>
      <c r="G12" s="340" t="s">
        <v>2287</v>
      </c>
      <c r="H12" s="646" t="str">
        <f t="shared" si="2"/>
        <v>VENCIDA</v>
      </c>
      <c r="I12" s="647">
        <f t="shared" si="3"/>
        <v>46167</v>
      </c>
      <c r="J12" s="768" t="s">
        <v>50</v>
      </c>
      <c r="K12" s="770"/>
    </row>
    <row r="13">
      <c r="A13" s="643"/>
      <c r="B13" s="644"/>
      <c r="C13" s="644"/>
      <c r="D13" s="643"/>
      <c r="E13" s="645" t="b">
        <v>0</v>
      </c>
      <c r="F13" s="646" t="str">
        <f t="shared" si="1"/>
        <v>ADEUDA</v>
      </c>
      <c r="G13" s="340" t="s">
        <v>2276</v>
      </c>
      <c r="H13" s="646" t="str">
        <f t="shared" si="2"/>
        <v>VENCIDA</v>
      </c>
      <c r="I13" s="647">
        <f t="shared" si="3"/>
        <v>46167</v>
      </c>
      <c r="J13" s="768" t="s">
        <v>51</v>
      </c>
      <c r="K13" s="770">
        <f>SUM(D3:D4)</f>
        <v>399200</v>
      </c>
    </row>
    <row r="14">
      <c r="A14" s="643"/>
      <c r="B14" s="644"/>
      <c r="C14" s="644"/>
      <c r="D14" s="643"/>
      <c r="E14" s="645" t="b">
        <v>0</v>
      </c>
      <c r="F14" s="646" t="str">
        <f t="shared" si="1"/>
        <v>ADEUDA</v>
      </c>
      <c r="G14" s="340" t="s">
        <v>2276</v>
      </c>
      <c r="H14" s="646" t="str">
        <f t="shared" si="2"/>
        <v>VENCIDA</v>
      </c>
      <c r="I14" s="647">
        <f t="shared" si="3"/>
        <v>46167</v>
      </c>
    </row>
    <row r="15">
      <c r="A15" s="643"/>
      <c r="B15" s="644"/>
      <c r="C15" s="644"/>
      <c r="D15" s="643"/>
      <c r="E15" s="654" t="b">
        <v>0</v>
      </c>
      <c r="F15" s="646" t="str">
        <f t="shared" si="1"/>
        <v>ADEUDA</v>
      </c>
      <c r="G15" s="340" t="s">
        <v>2276</v>
      </c>
      <c r="H15" s="646" t="str">
        <f t="shared" si="2"/>
        <v>VENCIDA</v>
      </c>
      <c r="I15" s="647">
        <f t="shared" si="3"/>
        <v>46167</v>
      </c>
    </row>
    <row r="16">
      <c r="A16" s="643"/>
      <c r="B16" s="644"/>
      <c r="C16" s="644"/>
      <c r="D16" s="643"/>
      <c r="E16" s="654" t="b">
        <v>0</v>
      </c>
      <c r="F16" s="646" t="str">
        <f t="shared" si="1"/>
        <v>ADEUDA</v>
      </c>
      <c r="G16" s="340" t="s">
        <v>2276</v>
      </c>
      <c r="H16" s="646" t="str">
        <f t="shared" si="2"/>
        <v>VENCIDA</v>
      </c>
      <c r="I16" s="647">
        <f t="shared" si="3"/>
        <v>46167</v>
      </c>
    </row>
    <row r="17">
      <c r="A17" s="643"/>
      <c r="B17" s="644"/>
      <c r="C17" s="644"/>
      <c r="D17" s="643"/>
      <c r="E17" s="654" t="b">
        <v>0</v>
      </c>
      <c r="F17" s="646" t="str">
        <f t="shared" si="1"/>
        <v>ADEUDA</v>
      </c>
      <c r="G17" s="340" t="s">
        <v>2276</v>
      </c>
      <c r="H17" s="646" t="str">
        <f t="shared" si="2"/>
        <v>VENCIDA</v>
      </c>
      <c r="I17" s="647">
        <f t="shared" si="3"/>
        <v>46167</v>
      </c>
    </row>
    <row r="18">
      <c r="A18" s="644"/>
      <c r="B18" s="644"/>
      <c r="C18" s="644" t="str">
        <f t="shared" ref="C18:C23" si="4">B18</f>
        <v/>
      </c>
      <c r="D18" s="643"/>
      <c r="E18" s="658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4"/>
      <c r="B19" s="644"/>
      <c r="C19" s="644" t="str">
        <f t="shared" si="4"/>
        <v/>
      </c>
      <c r="D19" s="643"/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/>
      <c r="C20" s="644" t="str">
        <f t="shared" si="4"/>
        <v/>
      </c>
      <c r="D20" s="643"/>
      <c r="E20" s="658" t="b">
        <v>0</v>
      </c>
      <c r="F20" s="646" t="str">
        <f t="shared" si="1"/>
        <v>ADEUDA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/>
      <c r="C21" s="644" t="str">
        <f t="shared" si="4"/>
        <v/>
      </c>
      <c r="D21" s="643"/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/>
      <c r="C22" s="644" t="str">
        <f t="shared" si="4"/>
        <v/>
      </c>
      <c r="D22" s="643"/>
      <c r="E22" s="658" t="b">
        <v>0</v>
      </c>
      <c r="F22" s="646" t="str">
        <f t="shared" si="1"/>
        <v>ADEUDA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>
        <f t="shared" ref="C24:C131" si="5">B24+15</f>
        <v>15</v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46152</v>
      </c>
    </row>
    <row r="25">
      <c r="A25" s="644"/>
      <c r="B25" s="644"/>
      <c r="C25" s="644">
        <f t="shared" si="5"/>
        <v>15</v>
      </c>
      <c r="D25" s="643"/>
      <c r="E25" s="658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46152</v>
      </c>
    </row>
    <row r="26">
      <c r="A26" s="644"/>
      <c r="B26" s="644"/>
      <c r="C26" s="644">
        <f t="shared" si="5"/>
        <v>15</v>
      </c>
      <c r="D26" s="643"/>
      <c r="E26" s="658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46152</v>
      </c>
    </row>
    <row r="27">
      <c r="A27" s="644"/>
      <c r="B27" s="644"/>
      <c r="C27" s="644">
        <f t="shared" si="5"/>
        <v>15</v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46152</v>
      </c>
    </row>
    <row r="28">
      <c r="A28" s="644"/>
      <c r="B28" s="644"/>
      <c r="C28" s="644">
        <f t="shared" si="5"/>
        <v>15</v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46152</v>
      </c>
    </row>
    <row r="29">
      <c r="A29" s="644"/>
      <c r="B29" s="644"/>
      <c r="C29" s="644">
        <f t="shared" si="5"/>
        <v>15</v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46152</v>
      </c>
    </row>
    <row r="30">
      <c r="A30" s="644"/>
      <c r="B30" s="644"/>
      <c r="C30" s="644">
        <f t="shared" si="5"/>
        <v>15</v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46152</v>
      </c>
    </row>
    <row r="31">
      <c r="A31" s="644"/>
      <c r="B31" s="644"/>
      <c r="C31" s="644">
        <f t="shared" si="5"/>
        <v>15</v>
      </c>
      <c r="D31" s="643"/>
      <c r="E31" s="658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46152</v>
      </c>
    </row>
    <row r="32">
      <c r="A32" s="644"/>
      <c r="B32" s="644"/>
      <c r="C32" s="644">
        <f t="shared" si="5"/>
        <v>15</v>
      </c>
      <c r="D32" s="643"/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46152</v>
      </c>
    </row>
    <row r="33">
      <c r="A33" s="644"/>
      <c r="B33" s="644"/>
      <c r="C33" s="644">
        <f t="shared" si="5"/>
        <v>15</v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46152</v>
      </c>
    </row>
    <row r="34">
      <c r="A34" s="644"/>
      <c r="B34" s="644"/>
      <c r="C34" s="644">
        <f t="shared" si="5"/>
        <v>15</v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46152</v>
      </c>
    </row>
    <row r="35">
      <c r="A35" s="644"/>
      <c r="B35" s="644"/>
      <c r="C35" s="644">
        <f t="shared" si="5"/>
        <v>15</v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46152</v>
      </c>
    </row>
    <row r="36">
      <c r="A36" s="644"/>
      <c r="B36" s="644"/>
      <c r="C36" s="644">
        <f t="shared" si="5"/>
        <v>15</v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46152</v>
      </c>
    </row>
    <row r="37">
      <c r="A37" s="644"/>
      <c r="B37" s="644"/>
      <c r="C37" s="644">
        <f t="shared" si="5"/>
        <v>15</v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46152</v>
      </c>
    </row>
    <row r="38">
      <c r="A38" s="644"/>
      <c r="B38" s="644"/>
      <c r="C38" s="644">
        <f t="shared" si="5"/>
        <v>15</v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46152</v>
      </c>
    </row>
    <row r="39">
      <c r="A39" s="644"/>
      <c r="B39" s="644"/>
      <c r="C39" s="644">
        <f t="shared" si="5"/>
        <v>15</v>
      </c>
      <c r="D39" s="643"/>
      <c r="E39" s="658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46152</v>
      </c>
    </row>
    <row r="40">
      <c r="A40" s="644"/>
      <c r="B40" s="644"/>
      <c r="C40" s="644">
        <f t="shared" si="5"/>
        <v>15</v>
      </c>
      <c r="D40" s="643"/>
      <c r="E40" s="658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46152</v>
      </c>
    </row>
    <row r="41">
      <c r="A41" s="644"/>
      <c r="B41" s="644"/>
      <c r="C41" s="644">
        <f t="shared" si="5"/>
        <v>15</v>
      </c>
      <c r="D41" s="643"/>
      <c r="E41" s="658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46152</v>
      </c>
    </row>
    <row r="42">
      <c r="A42" s="644"/>
      <c r="B42" s="644"/>
      <c r="C42" s="644">
        <f t="shared" si="5"/>
        <v>15</v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46152</v>
      </c>
    </row>
    <row r="43">
      <c r="A43" s="644"/>
      <c r="B43" s="644"/>
      <c r="C43" s="644">
        <f t="shared" si="5"/>
        <v>15</v>
      </c>
      <c r="D43" s="643"/>
      <c r="E43" s="658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46152</v>
      </c>
    </row>
    <row r="44">
      <c r="A44" s="644"/>
      <c r="B44" s="644"/>
      <c r="C44" s="644">
        <f t="shared" si="5"/>
        <v>15</v>
      </c>
      <c r="D44" s="643"/>
      <c r="E44" s="658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46152</v>
      </c>
    </row>
    <row r="45">
      <c r="A45" s="644"/>
      <c r="B45" s="644"/>
      <c r="C45" s="644">
        <f t="shared" si="5"/>
        <v>15</v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46152</v>
      </c>
    </row>
    <row r="46">
      <c r="A46" s="644"/>
      <c r="B46" s="644"/>
      <c r="C46" s="644">
        <f t="shared" si="5"/>
        <v>15</v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46152</v>
      </c>
    </row>
    <row r="47">
      <c r="A47" s="644"/>
      <c r="B47" s="644"/>
      <c r="C47" s="644">
        <f t="shared" si="5"/>
        <v>15</v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46152</v>
      </c>
    </row>
    <row r="48">
      <c r="A48" s="644"/>
      <c r="B48" s="644"/>
      <c r="C48" s="644">
        <f t="shared" si="5"/>
        <v>15</v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46152</v>
      </c>
    </row>
    <row r="49">
      <c r="A49" s="644"/>
      <c r="B49" s="644"/>
      <c r="C49" s="644">
        <f t="shared" si="5"/>
        <v>15</v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46152</v>
      </c>
    </row>
    <row r="50">
      <c r="A50" s="644"/>
      <c r="B50" s="644"/>
      <c r="C50" s="644">
        <f t="shared" si="5"/>
        <v>15</v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46152</v>
      </c>
    </row>
    <row r="51">
      <c r="A51" s="644"/>
      <c r="B51" s="644"/>
      <c r="C51" s="644">
        <f t="shared" si="5"/>
        <v>15</v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46152</v>
      </c>
    </row>
    <row r="52">
      <c r="A52" s="644"/>
      <c r="B52" s="644"/>
      <c r="C52" s="644">
        <f t="shared" si="5"/>
        <v>15</v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46152</v>
      </c>
    </row>
    <row r="53">
      <c r="A53" s="644"/>
      <c r="B53" s="644"/>
      <c r="C53" s="644">
        <f t="shared" si="5"/>
        <v>15</v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46152</v>
      </c>
    </row>
    <row r="54">
      <c r="A54" s="644"/>
      <c r="B54" s="644"/>
      <c r="C54" s="644">
        <f t="shared" si="5"/>
        <v>15</v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46152</v>
      </c>
    </row>
    <row r="55">
      <c r="A55" s="644"/>
      <c r="B55" s="644"/>
      <c r="C55" s="644">
        <f t="shared" si="5"/>
        <v>15</v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46152</v>
      </c>
    </row>
    <row r="56">
      <c r="A56" s="644"/>
      <c r="B56" s="644"/>
      <c r="C56" s="644">
        <f t="shared" si="5"/>
        <v>15</v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46152</v>
      </c>
    </row>
    <row r="57">
      <c r="A57" s="644"/>
      <c r="B57" s="644"/>
      <c r="C57" s="644">
        <f t="shared" si="5"/>
        <v>15</v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46152</v>
      </c>
    </row>
    <row r="58">
      <c r="A58" s="644"/>
      <c r="B58" s="644"/>
      <c r="C58" s="644">
        <f t="shared" si="5"/>
        <v>15</v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46152</v>
      </c>
    </row>
    <row r="59">
      <c r="A59" s="644"/>
      <c r="B59" s="644"/>
      <c r="C59" s="644">
        <f t="shared" si="5"/>
        <v>15</v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46152</v>
      </c>
    </row>
    <row r="60">
      <c r="A60" s="644"/>
      <c r="B60" s="644"/>
      <c r="C60" s="644">
        <f t="shared" si="5"/>
        <v>15</v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46152</v>
      </c>
    </row>
    <row r="61">
      <c r="A61" s="644"/>
      <c r="B61" s="644"/>
      <c r="C61" s="644">
        <f t="shared" si="5"/>
        <v>15</v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46152</v>
      </c>
    </row>
    <row r="62">
      <c r="A62" s="644"/>
      <c r="B62" s="644"/>
      <c r="C62" s="644">
        <f t="shared" si="5"/>
        <v>15</v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46152</v>
      </c>
    </row>
    <row r="63">
      <c r="A63" s="644"/>
      <c r="B63" s="644"/>
      <c r="C63" s="644">
        <f t="shared" si="5"/>
        <v>15</v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46152</v>
      </c>
    </row>
    <row r="64">
      <c r="A64" s="644"/>
      <c r="B64" s="644"/>
      <c r="C64" s="644">
        <f t="shared" si="5"/>
        <v>15</v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46152</v>
      </c>
    </row>
    <row r="65">
      <c r="A65" s="644"/>
      <c r="B65" s="644"/>
      <c r="C65" s="644">
        <f t="shared" si="5"/>
        <v>15</v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46152</v>
      </c>
    </row>
    <row r="66">
      <c r="A66" s="644"/>
      <c r="B66" s="644"/>
      <c r="C66" s="644">
        <f t="shared" si="5"/>
        <v>15</v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46152</v>
      </c>
    </row>
    <row r="67">
      <c r="A67" s="644"/>
      <c r="B67" s="644"/>
      <c r="C67" s="644">
        <f t="shared" si="5"/>
        <v>15</v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46152</v>
      </c>
    </row>
    <row r="68">
      <c r="A68" s="644"/>
      <c r="B68" s="644"/>
      <c r="C68" s="644">
        <f t="shared" si="5"/>
        <v>15</v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46152</v>
      </c>
    </row>
    <row r="69">
      <c r="A69" s="644"/>
      <c r="B69" s="644"/>
      <c r="C69" s="644">
        <f t="shared" si="5"/>
        <v>15</v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46152</v>
      </c>
    </row>
    <row r="70">
      <c r="A70" s="644"/>
      <c r="B70" s="644"/>
      <c r="C70" s="644">
        <f t="shared" si="5"/>
        <v>15</v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46152</v>
      </c>
    </row>
    <row r="71">
      <c r="A71" s="644"/>
      <c r="B71" s="644"/>
      <c r="C71" s="644">
        <f t="shared" si="5"/>
        <v>15</v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46152</v>
      </c>
    </row>
    <row r="72">
      <c r="A72" s="644"/>
      <c r="B72" s="644"/>
      <c r="C72" s="644">
        <f t="shared" si="5"/>
        <v>15</v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46152</v>
      </c>
    </row>
    <row r="73">
      <c r="A73" s="644"/>
      <c r="B73" s="644"/>
      <c r="C73" s="644">
        <f t="shared" si="5"/>
        <v>15</v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46152</v>
      </c>
    </row>
    <row r="74">
      <c r="A74" s="644"/>
      <c r="B74" s="644"/>
      <c r="C74" s="644">
        <f t="shared" si="5"/>
        <v>15</v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46152</v>
      </c>
    </row>
    <row r="75">
      <c r="A75" s="644"/>
      <c r="B75" s="644"/>
      <c r="C75" s="644">
        <f t="shared" si="5"/>
        <v>15</v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46152</v>
      </c>
    </row>
    <row r="76">
      <c r="A76" s="644"/>
      <c r="B76" s="644"/>
      <c r="C76" s="644">
        <f t="shared" si="5"/>
        <v>15</v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46152</v>
      </c>
    </row>
    <row r="77">
      <c r="A77" s="644"/>
      <c r="B77" s="644"/>
      <c r="C77" s="644">
        <f t="shared" si="5"/>
        <v>15</v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46152</v>
      </c>
    </row>
    <row r="78">
      <c r="A78" s="644"/>
      <c r="B78" s="644"/>
      <c r="C78" s="644">
        <f t="shared" si="5"/>
        <v>15</v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46152</v>
      </c>
    </row>
    <row r="79">
      <c r="A79" s="644"/>
      <c r="B79" s="644"/>
      <c r="C79" s="644">
        <f t="shared" si="5"/>
        <v>15</v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46152</v>
      </c>
    </row>
    <row r="80">
      <c r="A80" s="644"/>
      <c r="B80" s="644"/>
      <c r="C80" s="644">
        <f t="shared" si="5"/>
        <v>15</v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46152</v>
      </c>
    </row>
    <row r="81">
      <c r="A81" s="644"/>
      <c r="B81" s="644"/>
      <c r="C81" s="644">
        <f t="shared" si="5"/>
        <v>15</v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46152</v>
      </c>
    </row>
    <row r="82">
      <c r="A82" s="644"/>
      <c r="B82" s="644"/>
      <c r="C82" s="644">
        <f t="shared" si="5"/>
        <v>15</v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46152</v>
      </c>
    </row>
    <row r="83">
      <c r="A83" s="644"/>
      <c r="B83" s="644"/>
      <c r="C83" s="644">
        <f t="shared" si="5"/>
        <v>15</v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46152</v>
      </c>
    </row>
    <row r="84">
      <c r="A84" s="644"/>
      <c r="B84" s="644"/>
      <c r="C84" s="644">
        <f t="shared" si="5"/>
        <v>15</v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46152</v>
      </c>
    </row>
    <row r="85">
      <c r="A85" s="644"/>
      <c r="B85" s="644"/>
      <c r="C85" s="644">
        <f t="shared" si="5"/>
        <v>15</v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46152</v>
      </c>
    </row>
    <row r="86">
      <c r="A86" s="644"/>
      <c r="B86" s="644"/>
      <c r="C86" s="644">
        <f t="shared" si="5"/>
        <v>15</v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46152</v>
      </c>
    </row>
    <row r="87">
      <c r="A87" s="644"/>
      <c r="B87" s="644"/>
      <c r="C87" s="644">
        <f t="shared" si="5"/>
        <v>15</v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46152</v>
      </c>
    </row>
    <row r="88">
      <c r="A88" s="644"/>
      <c r="B88" s="644"/>
      <c r="C88" s="644">
        <f t="shared" si="5"/>
        <v>15</v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46152</v>
      </c>
    </row>
    <row r="89">
      <c r="A89" s="644"/>
      <c r="B89" s="644"/>
      <c r="C89" s="644">
        <f t="shared" si="5"/>
        <v>15</v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46152</v>
      </c>
    </row>
    <row r="90">
      <c r="A90" s="644"/>
      <c r="B90" s="644"/>
      <c r="C90" s="644">
        <f t="shared" si="5"/>
        <v>15</v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46152</v>
      </c>
    </row>
    <row r="91">
      <c r="A91" s="644"/>
      <c r="B91" s="644"/>
      <c r="C91" s="644">
        <f t="shared" si="5"/>
        <v>15</v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46152</v>
      </c>
    </row>
    <row r="92">
      <c r="A92" s="644"/>
      <c r="B92" s="644"/>
      <c r="C92" s="644">
        <f t="shared" si="5"/>
        <v>15</v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46152</v>
      </c>
    </row>
    <row r="93">
      <c r="A93" s="644"/>
      <c r="B93" s="644"/>
      <c r="C93" s="644">
        <f t="shared" si="5"/>
        <v>15</v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46152</v>
      </c>
    </row>
    <row r="94">
      <c r="A94" s="644"/>
      <c r="B94" s="644"/>
      <c r="C94" s="644">
        <f t="shared" si="5"/>
        <v>15</v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46152</v>
      </c>
    </row>
    <row r="95">
      <c r="A95" s="644"/>
      <c r="B95" s="644"/>
      <c r="C95" s="644">
        <f t="shared" si="5"/>
        <v>15</v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46152</v>
      </c>
    </row>
    <row r="96">
      <c r="A96" s="644"/>
      <c r="B96" s="644"/>
      <c r="C96" s="644">
        <f t="shared" si="5"/>
        <v>15</v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46152</v>
      </c>
    </row>
    <row r="97">
      <c r="A97" s="644"/>
      <c r="B97" s="644"/>
      <c r="C97" s="644">
        <f t="shared" si="5"/>
        <v>15</v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46152</v>
      </c>
    </row>
    <row r="98">
      <c r="A98" s="644"/>
      <c r="B98" s="644"/>
      <c r="C98" s="644">
        <f t="shared" si="5"/>
        <v>15</v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46152</v>
      </c>
    </row>
    <row r="99">
      <c r="A99" s="644"/>
      <c r="B99" s="644"/>
      <c r="C99" s="644">
        <f t="shared" si="5"/>
        <v>15</v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46152</v>
      </c>
    </row>
    <row r="100">
      <c r="A100" s="644"/>
      <c r="B100" s="644"/>
      <c r="C100" s="644">
        <f t="shared" si="5"/>
        <v>15</v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46152</v>
      </c>
    </row>
    <row r="101">
      <c r="A101" s="644"/>
      <c r="B101" s="644"/>
      <c r="C101" s="644">
        <f t="shared" si="5"/>
        <v>15</v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46152</v>
      </c>
    </row>
    <row r="102">
      <c r="A102" s="644"/>
      <c r="B102" s="644"/>
      <c r="C102" s="644">
        <f t="shared" si="5"/>
        <v>15</v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46152</v>
      </c>
    </row>
    <row r="103">
      <c r="A103" s="644"/>
      <c r="B103" s="644"/>
      <c r="C103" s="644">
        <f t="shared" si="5"/>
        <v>15</v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46152</v>
      </c>
    </row>
    <row r="104">
      <c r="A104" s="644"/>
      <c r="B104" s="644"/>
      <c r="C104" s="644">
        <f t="shared" si="5"/>
        <v>15</v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46152</v>
      </c>
    </row>
    <row r="105">
      <c r="A105" s="644"/>
      <c r="B105" s="644"/>
      <c r="C105" s="644">
        <f t="shared" si="5"/>
        <v>15</v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46152</v>
      </c>
    </row>
    <row r="106">
      <c r="A106" s="644"/>
      <c r="B106" s="644"/>
      <c r="C106" s="644">
        <f t="shared" si="5"/>
        <v>15</v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46152</v>
      </c>
    </row>
    <row r="107">
      <c r="A107" s="644"/>
      <c r="B107" s="644"/>
      <c r="C107" s="644">
        <f t="shared" si="5"/>
        <v>15</v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46152</v>
      </c>
    </row>
    <row r="108">
      <c r="A108" s="644"/>
      <c r="B108" s="644"/>
      <c r="C108" s="644">
        <f t="shared" si="5"/>
        <v>15</v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46152</v>
      </c>
    </row>
    <row r="109">
      <c r="A109" s="644"/>
      <c r="B109" s="644"/>
      <c r="C109" s="644">
        <f t="shared" si="5"/>
        <v>15</v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46152</v>
      </c>
    </row>
    <row r="110">
      <c r="A110" s="644"/>
      <c r="B110" s="644"/>
      <c r="C110" s="644">
        <f t="shared" si="5"/>
        <v>15</v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46152</v>
      </c>
    </row>
    <row r="111">
      <c r="A111" s="644"/>
      <c r="B111" s="644"/>
      <c r="C111" s="644">
        <f t="shared" si="5"/>
        <v>15</v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46152</v>
      </c>
    </row>
    <row r="112">
      <c r="A112" s="644"/>
      <c r="B112" s="644"/>
      <c r="C112" s="644">
        <f t="shared" si="5"/>
        <v>15</v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46152</v>
      </c>
    </row>
    <row r="113">
      <c r="A113" s="644"/>
      <c r="B113" s="644"/>
      <c r="C113" s="644">
        <f t="shared" si="5"/>
        <v>15</v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46152</v>
      </c>
    </row>
    <row r="114">
      <c r="A114" s="644"/>
      <c r="B114" s="644"/>
      <c r="C114" s="644">
        <f t="shared" si="5"/>
        <v>15</v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46152</v>
      </c>
    </row>
    <row r="115">
      <c r="A115" s="644"/>
      <c r="B115" s="644"/>
      <c r="C115" s="644">
        <f t="shared" si="5"/>
        <v>15</v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46152</v>
      </c>
    </row>
    <row r="116">
      <c r="A116" s="644"/>
      <c r="B116" s="644"/>
      <c r="C116" s="644">
        <f t="shared" si="5"/>
        <v>15</v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46152</v>
      </c>
    </row>
    <row r="117">
      <c r="A117" s="644"/>
      <c r="B117" s="644"/>
      <c r="C117" s="644">
        <f t="shared" si="5"/>
        <v>15</v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46152</v>
      </c>
    </row>
    <row r="118">
      <c r="A118" s="644"/>
      <c r="B118" s="644"/>
      <c r="C118" s="644">
        <f t="shared" si="5"/>
        <v>15</v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46152</v>
      </c>
    </row>
    <row r="119">
      <c r="A119" s="644"/>
      <c r="B119" s="644"/>
      <c r="C119" s="644">
        <f t="shared" si="5"/>
        <v>15</v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46152</v>
      </c>
    </row>
    <row r="120">
      <c r="A120" s="644"/>
      <c r="B120" s="644"/>
      <c r="C120" s="644">
        <f t="shared" si="5"/>
        <v>15</v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46152</v>
      </c>
    </row>
    <row r="121">
      <c r="A121" s="644"/>
      <c r="B121" s="644"/>
      <c r="C121" s="644">
        <f t="shared" si="5"/>
        <v>15</v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46152</v>
      </c>
    </row>
    <row r="122">
      <c r="A122" s="644"/>
      <c r="B122" s="644"/>
      <c r="C122" s="644">
        <f t="shared" si="5"/>
        <v>15</v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46152</v>
      </c>
    </row>
    <row r="123">
      <c r="A123" s="644"/>
      <c r="B123" s="644"/>
      <c r="C123" s="644">
        <f t="shared" si="5"/>
        <v>15</v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46152</v>
      </c>
    </row>
    <row r="124">
      <c r="A124" s="644"/>
      <c r="B124" s="644"/>
      <c r="C124" s="644">
        <f t="shared" si="5"/>
        <v>15</v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46152</v>
      </c>
    </row>
    <row r="125">
      <c r="A125" s="644"/>
      <c r="B125" s="644"/>
      <c r="C125" s="644">
        <f t="shared" si="5"/>
        <v>15</v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46152</v>
      </c>
    </row>
    <row r="126">
      <c r="A126" s="644"/>
      <c r="B126" s="644"/>
      <c r="C126" s="644">
        <f t="shared" si="5"/>
        <v>15</v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46152</v>
      </c>
    </row>
    <row r="127">
      <c r="A127" s="644"/>
      <c r="B127" s="644"/>
      <c r="C127" s="644">
        <f t="shared" si="5"/>
        <v>15</v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46152</v>
      </c>
    </row>
    <row r="128">
      <c r="A128" s="644"/>
      <c r="B128" s="644"/>
      <c r="C128" s="644">
        <f t="shared" si="5"/>
        <v>15</v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46152</v>
      </c>
    </row>
    <row r="129">
      <c r="A129" s="644"/>
      <c r="B129" s="644"/>
      <c r="C129" s="644">
        <f t="shared" si="5"/>
        <v>15</v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46152</v>
      </c>
    </row>
    <row r="130">
      <c r="A130" s="644"/>
      <c r="B130" s="644"/>
      <c r="C130" s="644">
        <f t="shared" si="5"/>
        <v>15</v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46152</v>
      </c>
    </row>
    <row r="131">
      <c r="A131" s="644"/>
      <c r="B131" s="644"/>
      <c r="C131" s="644">
        <f t="shared" si="5"/>
        <v>15</v>
      </c>
      <c r="D131" s="643"/>
      <c r="E131" s="645" t="b">
        <v>1</v>
      </c>
      <c r="F131" s="646" t="str">
        <f t="shared" si="1"/>
        <v>PAGADO</v>
      </c>
      <c r="G131" s="340" t="s">
        <v>2278</v>
      </c>
      <c r="H131" s="646" t="str">
        <f t="shared" si="2"/>
        <v>VENCIDA</v>
      </c>
      <c r="I131" s="647">
        <f t="shared" si="3"/>
        <v>46152</v>
      </c>
    </row>
    <row r="133">
      <c r="C133" s="771"/>
    </row>
    <row r="134">
      <c r="C134" s="772" t="s">
        <v>55</v>
      </c>
      <c r="D134" s="3">
        <f>SUMIF(F3:F131,C134,D3:D131)</f>
        <v>93300</v>
      </c>
    </row>
    <row r="135">
      <c r="C135" s="773" t="s">
        <v>527</v>
      </c>
      <c r="D135" s="3">
        <f>SUMIF(F3:F131,C135,D3:D131)</f>
        <v>1288100</v>
      </c>
    </row>
    <row r="136">
      <c r="C136" s="697" t="s">
        <v>28</v>
      </c>
      <c r="D136" s="3">
        <f>D134+D135</f>
        <v>1381400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777" t="s">
        <v>2421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2422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45821.0</v>
      </c>
      <c r="C4" s="644">
        <f>B4</f>
        <v>45821</v>
      </c>
      <c r="D4" s="643">
        <v>108000.0</v>
      </c>
      <c r="E4" s="645" t="b">
        <v>1</v>
      </c>
      <c r="F4" s="646" t="str">
        <f t="shared" ref="F4:F132" si="1">IF(E4,"PAGADO","ADEUDA")</f>
        <v>PAGADO</v>
      </c>
      <c r="G4" s="340" t="s">
        <v>2276</v>
      </c>
      <c r="H4" s="646" t="str">
        <f t="shared" ref="H4:H132" si="2">IF(C4&lt;TODAY(),"VENCIDA",IF(C4=TODAY(),"VENCE HOY",IF(C4&gt;TODAY(),"VIGENTE")))</f>
        <v>VENCIDA</v>
      </c>
      <c r="I4" s="647">
        <f t="shared" ref="I4:I132" si="3">TODAY()-C4</f>
        <v>346</v>
      </c>
      <c r="J4" s="768" t="s">
        <v>31</v>
      </c>
      <c r="K4" s="769">
        <f>D5+D6+D7+D8</f>
        <v>442000</v>
      </c>
    </row>
    <row r="5">
      <c r="A5" s="643"/>
      <c r="B5" s="644">
        <v>45831.0</v>
      </c>
      <c r="C5" s="644"/>
      <c r="D5" s="643">
        <v>108000.0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J5" s="768" t="s">
        <v>35</v>
      </c>
      <c r="K5" s="770">
        <f>D9+D10+D11+D12</f>
        <v>444000</v>
      </c>
    </row>
    <row r="6">
      <c r="A6" s="643"/>
      <c r="B6" s="644">
        <v>45836.0</v>
      </c>
      <c r="C6" s="644">
        <v>45836.0</v>
      </c>
      <c r="D6" s="643">
        <v>108000.0</v>
      </c>
      <c r="E6" s="645" t="b">
        <v>1</v>
      </c>
      <c r="F6" s="646" t="str">
        <f t="shared" si="1"/>
        <v>PAGADO</v>
      </c>
      <c r="G6" s="340" t="s">
        <v>2278</v>
      </c>
      <c r="H6" s="646" t="str">
        <f t="shared" si="2"/>
        <v>VENCIDA</v>
      </c>
      <c r="I6" s="647">
        <f t="shared" si="3"/>
        <v>331</v>
      </c>
      <c r="J6" s="768" t="s">
        <v>37</v>
      </c>
      <c r="K6" s="770">
        <f>D13+D14+D15+D16+D17</f>
        <v>519000</v>
      </c>
    </row>
    <row r="7">
      <c r="A7" s="643"/>
      <c r="B7" s="644">
        <v>45841.0</v>
      </c>
      <c r="C7" s="644"/>
      <c r="D7" s="643">
        <v>113000.0</v>
      </c>
      <c r="E7" s="645" t="b">
        <v>1</v>
      </c>
      <c r="F7" s="646" t="str">
        <f t="shared" si="1"/>
        <v>PAGADO</v>
      </c>
      <c r="G7" s="340" t="s">
        <v>2278</v>
      </c>
      <c r="H7" s="646" t="str">
        <f t="shared" si="2"/>
        <v>VENCIDA</v>
      </c>
      <c r="I7" s="647">
        <f t="shared" si="3"/>
        <v>46167</v>
      </c>
      <c r="J7" s="768" t="s">
        <v>39</v>
      </c>
      <c r="K7" s="770"/>
    </row>
    <row r="8">
      <c r="A8" s="643"/>
      <c r="B8" s="644">
        <v>45845.0</v>
      </c>
      <c r="C8" s="644"/>
      <c r="D8" s="643">
        <v>113000.0</v>
      </c>
      <c r="E8" s="645" t="b">
        <v>1</v>
      </c>
      <c r="F8" s="646" t="str">
        <f t="shared" si="1"/>
        <v>PAGADO</v>
      </c>
      <c r="G8" s="340" t="s">
        <v>2278</v>
      </c>
      <c r="H8" s="646" t="str">
        <f t="shared" si="2"/>
        <v>VENCIDA</v>
      </c>
      <c r="I8" s="647">
        <f t="shared" si="3"/>
        <v>46167</v>
      </c>
      <c r="J8" s="768" t="s">
        <v>41</v>
      </c>
      <c r="K8" s="770"/>
    </row>
    <row r="9">
      <c r="A9" s="643">
        <v>1102.0</v>
      </c>
      <c r="B9" s="644">
        <v>45850.0</v>
      </c>
      <c r="C9" s="644"/>
      <c r="D9" s="643">
        <v>113000.0</v>
      </c>
      <c r="E9" s="645" t="b">
        <v>1</v>
      </c>
      <c r="F9" s="646" t="str">
        <f t="shared" si="1"/>
        <v>PAGADO</v>
      </c>
      <c r="G9" s="340" t="s">
        <v>2276</v>
      </c>
      <c r="H9" s="646" t="str">
        <f t="shared" si="2"/>
        <v>VENCIDA</v>
      </c>
      <c r="I9" s="647">
        <f t="shared" si="3"/>
        <v>46167</v>
      </c>
      <c r="J9" s="768" t="s">
        <v>42</v>
      </c>
      <c r="K9" s="770">
        <f>D7+D8+D9+D10+D11+D12</f>
        <v>670000</v>
      </c>
    </row>
    <row r="10">
      <c r="A10" s="643"/>
      <c r="B10" s="644">
        <v>45855.0</v>
      </c>
      <c r="C10" s="644"/>
      <c r="D10" s="643">
        <v>113000.0</v>
      </c>
      <c r="E10" s="645" t="b">
        <v>1</v>
      </c>
      <c r="F10" s="646" t="str">
        <f t="shared" si="1"/>
        <v>PAGADO</v>
      </c>
      <c r="G10" s="340" t="s">
        <v>2278</v>
      </c>
      <c r="H10" s="646" t="str">
        <f t="shared" si="2"/>
        <v>VENCIDA</v>
      </c>
      <c r="I10" s="647">
        <f t="shared" si="3"/>
        <v>46167</v>
      </c>
      <c r="J10" s="768" t="s">
        <v>43</v>
      </c>
      <c r="K10" s="770">
        <f>D13+D14+D15+D16+D17+D18</f>
        <v>619000</v>
      </c>
    </row>
    <row r="11">
      <c r="A11" s="643">
        <v>1137.0</v>
      </c>
      <c r="B11" s="644">
        <v>45861.0</v>
      </c>
      <c r="C11" s="644"/>
      <c r="D11" s="643">
        <v>110000.0</v>
      </c>
      <c r="E11" s="645" t="b">
        <v>1</v>
      </c>
      <c r="F11" s="646" t="str">
        <f t="shared" si="1"/>
        <v>PAGADO</v>
      </c>
      <c r="G11" s="340" t="s">
        <v>2278</v>
      </c>
      <c r="H11" s="646" t="str">
        <f t="shared" si="2"/>
        <v>VENCIDA</v>
      </c>
      <c r="I11" s="647">
        <f t="shared" si="3"/>
        <v>46167</v>
      </c>
      <c r="J11" s="768" t="s">
        <v>45</v>
      </c>
      <c r="K11" s="770"/>
    </row>
    <row r="12">
      <c r="A12" s="643">
        <v>1149.0</v>
      </c>
      <c r="B12" s="644">
        <v>45866.0</v>
      </c>
      <c r="C12" s="644"/>
      <c r="D12" s="643">
        <v>108000.0</v>
      </c>
      <c r="E12" s="645" t="b">
        <v>1</v>
      </c>
      <c r="F12" s="646" t="str">
        <f t="shared" si="1"/>
        <v>PAGADO</v>
      </c>
      <c r="G12" s="340" t="s">
        <v>2276</v>
      </c>
      <c r="H12" s="646" t="str">
        <f t="shared" si="2"/>
        <v>VENCIDA</v>
      </c>
      <c r="I12" s="647">
        <f t="shared" si="3"/>
        <v>46167</v>
      </c>
      <c r="J12" s="768" t="s">
        <v>49</v>
      </c>
      <c r="K12" s="770"/>
    </row>
    <row r="13">
      <c r="A13" s="643">
        <v>1168.0</v>
      </c>
      <c r="B13" s="644">
        <v>45873.0</v>
      </c>
      <c r="C13" s="644"/>
      <c r="D13" s="643">
        <v>105000.0</v>
      </c>
      <c r="E13" s="645" t="b">
        <v>1</v>
      </c>
      <c r="F13" s="646" t="str">
        <f t="shared" si="1"/>
        <v>PAGADO</v>
      </c>
      <c r="G13" s="340" t="s">
        <v>2276</v>
      </c>
      <c r="H13" s="646" t="str">
        <f t="shared" si="2"/>
        <v>VENCIDA</v>
      </c>
      <c r="I13" s="647">
        <f t="shared" si="3"/>
        <v>46167</v>
      </c>
      <c r="J13" s="768" t="s">
        <v>50</v>
      </c>
      <c r="K13" s="770"/>
    </row>
    <row r="14">
      <c r="A14" s="643"/>
      <c r="B14" s="644">
        <v>45877.0</v>
      </c>
      <c r="C14" s="644"/>
      <c r="D14" s="643">
        <v>105000.0</v>
      </c>
      <c r="E14" s="645" t="b">
        <v>1</v>
      </c>
      <c r="F14" s="646" t="str">
        <f t="shared" si="1"/>
        <v>PAGADO</v>
      </c>
      <c r="G14" s="340" t="s">
        <v>2278</v>
      </c>
      <c r="H14" s="646" t="str">
        <f t="shared" si="2"/>
        <v>VENCIDA</v>
      </c>
      <c r="I14" s="647">
        <f t="shared" si="3"/>
        <v>46167</v>
      </c>
      <c r="J14" s="768" t="s">
        <v>51</v>
      </c>
      <c r="K14" s="770">
        <f>SUM(D38:D42)</f>
        <v>870000</v>
      </c>
    </row>
    <row r="15">
      <c r="A15" s="643">
        <v>4589.0</v>
      </c>
      <c r="B15" s="644">
        <v>45881.0</v>
      </c>
      <c r="C15" s="644"/>
      <c r="D15" s="643">
        <v>105000.0</v>
      </c>
      <c r="E15" s="645" t="b">
        <v>1</v>
      </c>
      <c r="F15" s="646" t="str">
        <f t="shared" si="1"/>
        <v>PAGADO</v>
      </c>
      <c r="G15" s="340" t="s">
        <v>2278</v>
      </c>
      <c r="H15" s="646" t="str">
        <f t="shared" si="2"/>
        <v>VENCIDA</v>
      </c>
      <c r="I15" s="647">
        <f t="shared" si="3"/>
        <v>46167</v>
      </c>
    </row>
    <row r="16">
      <c r="A16" s="643">
        <v>4603.0</v>
      </c>
      <c r="B16" s="644">
        <v>45887.0</v>
      </c>
      <c r="C16" s="644"/>
      <c r="D16" s="643">
        <v>102000.0</v>
      </c>
      <c r="E16" s="654" t="b">
        <v>1</v>
      </c>
      <c r="F16" s="646" t="str">
        <f t="shared" si="1"/>
        <v>PAGADO</v>
      </c>
      <c r="G16" s="340" t="s">
        <v>2278</v>
      </c>
      <c r="H16" s="646" t="str">
        <f t="shared" si="2"/>
        <v>VENCIDA</v>
      </c>
      <c r="I16" s="647">
        <f t="shared" si="3"/>
        <v>46167</v>
      </c>
    </row>
    <row r="17">
      <c r="A17" s="643">
        <v>4625.0</v>
      </c>
      <c r="B17" s="644">
        <v>45894.0</v>
      </c>
      <c r="C17" s="644"/>
      <c r="D17" s="643">
        <v>102000.0</v>
      </c>
      <c r="E17" s="654" t="b">
        <v>1</v>
      </c>
      <c r="F17" s="646" t="str">
        <f t="shared" si="1"/>
        <v>PAGADO</v>
      </c>
      <c r="G17" s="340" t="s">
        <v>2278</v>
      </c>
      <c r="H17" s="646" t="str">
        <f t="shared" si="2"/>
        <v>VENCIDA</v>
      </c>
      <c r="I17" s="647">
        <f t="shared" si="3"/>
        <v>46167</v>
      </c>
    </row>
    <row r="18">
      <c r="A18" s="643">
        <v>4643.0</v>
      </c>
      <c r="B18" s="644">
        <v>45898.0</v>
      </c>
      <c r="C18" s="644"/>
      <c r="D18" s="643">
        <v>100000.0</v>
      </c>
      <c r="E18" s="654" t="b">
        <v>1</v>
      </c>
      <c r="F18" s="646" t="str">
        <f t="shared" si="1"/>
        <v>PAGADO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3">
        <v>4662.0</v>
      </c>
      <c r="B19" s="644">
        <v>45904.0</v>
      </c>
      <c r="C19" s="644"/>
      <c r="D19" s="643">
        <v>100000.0</v>
      </c>
      <c r="E19" s="645" t="b">
        <v>1</v>
      </c>
      <c r="F19" s="646" t="str">
        <f t="shared" si="1"/>
        <v>PAGADO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3">
        <v>4701.0</v>
      </c>
      <c r="B20" s="644">
        <v>45908.0</v>
      </c>
      <c r="C20" s="644"/>
      <c r="D20" s="643">
        <v>100000.0</v>
      </c>
      <c r="E20" s="645" t="b">
        <v>1</v>
      </c>
      <c r="F20" s="646" t="str">
        <f t="shared" si="1"/>
        <v>PAGADO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3">
        <v>4689.0</v>
      </c>
      <c r="B21" s="644">
        <v>45915.0</v>
      </c>
      <c r="C21" s="644"/>
      <c r="D21" s="643">
        <v>100000.0</v>
      </c>
      <c r="E21" s="645" t="b">
        <v>1</v>
      </c>
      <c r="F21" s="646" t="str">
        <f t="shared" si="1"/>
        <v>PAGADO</v>
      </c>
      <c r="G21" s="340" t="s">
        <v>2276</v>
      </c>
      <c r="H21" s="646" t="str">
        <f t="shared" si="2"/>
        <v>VENCIDA</v>
      </c>
      <c r="I21" s="647">
        <f t="shared" si="3"/>
        <v>46167</v>
      </c>
    </row>
    <row r="22">
      <c r="A22" s="643">
        <v>4702.0</v>
      </c>
      <c r="B22" s="644">
        <v>45919.0</v>
      </c>
      <c r="C22" s="644"/>
      <c r="D22" s="643">
        <v>100000.0</v>
      </c>
      <c r="E22" s="645" t="b">
        <v>1</v>
      </c>
      <c r="F22" s="646" t="str">
        <f t="shared" si="1"/>
        <v>PAGADO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3">
        <v>4747.0</v>
      </c>
      <c r="B23" s="644">
        <v>45925.0</v>
      </c>
      <c r="C23" s="644"/>
      <c r="D23" s="643">
        <v>100000.0</v>
      </c>
      <c r="E23" s="645" t="b">
        <v>1</v>
      </c>
      <c r="F23" s="646" t="str">
        <f t="shared" si="1"/>
        <v>PAGADO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3">
        <v>4754.0</v>
      </c>
      <c r="B24" s="644">
        <v>45931.0</v>
      </c>
      <c r="C24" s="644"/>
      <c r="D24" s="643">
        <v>100000.0</v>
      </c>
      <c r="E24" s="645" t="b">
        <v>1</v>
      </c>
      <c r="F24" s="646" t="str">
        <f t="shared" si="1"/>
        <v>PAGADO</v>
      </c>
      <c r="G24" s="340" t="s">
        <v>2276</v>
      </c>
      <c r="H24" s="646" t="str">
        <f t="shared" si="2"/>
        <v>VENCIDA</v>
      </c>
      <c r="I24" s="647">
        <f t="shared" si="3"/>
        <v>46167</v>
      </c>
    </row>
    <row r="25">
      <c r="A25" s="643" t="s">
        <v>2423</v>
      </c>
      <c r="B25" s="644">
        <v>45936.0</v>
      </c>
      <c r="C25" s="644"/>
      <c r="D25" s="643">
        <v>100000.0</v>
      </c>
      <c r="E25" s="645" t="b">
        <v>1</v>
      </c>
      <c r="F25" s="646" t="str">
        <f t="shared" si="1"/>
        <v>PAGADO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3">
        <v>4793.0</v>
      </c>
      <c r="B26" s="644">
        <v>45939.0</v>
      </c>
      <c r="C26" s="644"/>
      <c r="D26" s="643">
        <v>100000.0</v>
      </c>
      <c r="E26" s="645" t="b">
        <v>1</v>
      </c>
      <c r="F26" s="646" t="str">
        <f t="shared" si="1"/>
        <v>PAGADO</v>
      </c>
      <c r="G26" s="340" t="s">
        <v>2276</v>
      </c>
      <c r="H26" s="646" t="str">
        <f t="shared" si="2"/>
        <v>VENCIDA</v>
      </c>
      <c r="I26" s="647">
        <f t="shared" si="3"/>
        <v>46167</v>
      </c>
    </row>
    <row r="27">
      <c r="A27" s="643">
        <v>4808.0</v>
      </c>
      <c r="B27" s="644">
        <v>45946.0</v>
      </c>
      <c r="C27" s="644"/>
      <c r="D27" s="643">
        <v>100000.0</v>
      </c>
      <c r="E27" s="645" t="b">
        <v>1</v>
      </c>
      <c r="F27" s="646" t="str">
        <f t="shared" si="1"/>
        <v>PAGADO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3">
        <v>4812.0</v>
      </c>
      <c r="B28" s="644">
        <v>45951.0</v>
      </c>
      <c r="C28" s="644">
        <f t="shared" ref="C28:C40" si="4">B28+15</f>
        <v>45966</v>
      </c>
      <c r="D28" s="643">
        <v>105000.0</v>
      </c>
      <c r="E28" s="645" t="b">
        <v>1</v>
      </c>
      <c r="F28" s="646" t="str">
        <f t="shared" si="1"/>
        <v>PAGADO</v>
      </c>
      <c r="G28" s="340" t="s">
        <v>2278</v>
      </c>
      <c r="H28" s="646" t="str">
        <f t="shared" si="2"/>
        <v>VENCIDA</v>
      </c>
      <c r="I28" s="647">
        <f t="shared" si="3"/>
        <v>201</v>
      </c>
    </row>
    <row r="29">
      <c r="A29" s="643">
        <v>4812.0</v>
      </c>
      <c r="B29" s="644">
        <v>45955.0</v>
      </c>
      <c r="C29" s="644">
        <f t="shared" si="4"/>
        <v>45970</v>
      </c>
      <c r="D29" s="643">
        <v>110000.0</v>
      </c>
      <c r="E29" s="645" t="b">
        <v>1</v>
      </c>
      <c r="F29" s="646" t="str">
        <f t="shared" si="1"/>
        <v>PAGADO</v>
      </c>
      <c r="G29" s="340" t="s">
        <v>2278</v>
      </c>
      <c r="H29" s="646" t="str">
        <f t="shared" si="2"/>
        <v>VENCIDA</v>
      </c>
      <c r="I29" s="647">
        <f t="shared" si="3"/>
        <v>197</v>
      </c>
    </row>
    <row r="30">
      <c r="A30" s="643">
        <v>4843.0</v>
      </c>
      <c r="B30" s="644">
        <v>45960.0</v>
      </c>
      <c r="C30" s="644">
        <f t="shared" si="4"/>
        <v>45975</v>
      </c>
      <c r="D30" s="643">
        <v>105000.0</v>
      </c>
      <c r="E30" s="645" t="b">
        <v>1</v>
      </c>
      <c r="F30" s="646" t="str">
        <f t="shared" si="1"/>
        <v>PAGADO</v>
      </c>
      <c r="G30" s="340" t="s">
        <v>2278</v>
      </c>
      <c r="H30" s="646" t="str">
        <f t="shared" si="2"/>
        <v>VENCIDA</v>
      </c>
      <c r="I30" s="647">
        <f t="shared" si="3"/>
        <v>192</v>
      </c>
    </row>
    <row r="31">
      <c r="A31" s="643">
        <v>4851.0</v>
      </c>
      <c r="B31" s="644">
        <v>45964.0</v>
      </c>
      <c r="C31" s="644">
        <f t="shared" si="4"/>
        <v>45979</v>
      </c>
      <c r="D31" s="643">
        <v>105000.0</v>
      </c>
      <c r="E31" s="645" t="b">
        <v>1</v>
      </c>
      <c r="F31" s="646" t="str">
        <f t="shared" si="1"/>
        <v>PAGADO</v>
      </c>
      <c r="G31" s="340" t="s">
        <v>2276</v>
      </c>
      <c r="H31" s="646" t="str">
        <f t="shared" si="2"/>
        <v>VENCIDA</v>
      </c>
      <c r="I31" s="647">
        <f t="shared" si="3"/>
        <v>188</v>
      </c>
    </row>
    <row r="32">
      <c r="A32" s="643">
        <v>4880.0</v>
      </c>
      <c r="B32" s="644">
        <v>45969.0</v>
      </c>
      <c r="C32" s="644">
        <f t="shared" si="4"/>
        <v>45984</v>
      </c>
      <c r="D32" s="643">
        <v>100000.0</v>
      </c>
      <c r="E32" s="645" t="b">
        <v>1</v>
      </c>
      <c r="F32" s="646" t="str">
        <f t="shared" si="1"/>
        <v>PAGADO</v>
      </c>
      <c r="G32" s="340" t="s">
        <v>2276</v>
      </c>
      <c r="H32" s="646" t="str">
        <f t="shared" si="2"/>
        <v>VENCIDA</v>
      </c>
      <c r="I32" s="647">
        <f t="shared" si="3"/>
        <v>183</v>
      </c>
    </row>
    <row r="33">
      <c r="A33" s="643">
        <v>4880.0</v>
      </c>
      <c r="B33" s="644">
        <v>45973.0</v>
      </c>
      <c r="C33" s="644">
        <f t="shared" si="4"/>
        <v>45988</v>
      </c>
      <c r="D33" s="643">
        <v>100000.0</v>
      </c>
      <c r="E33" s="645" t="b">
        <v>1</v>
      </c>
      <c r="F33" s="646" t="str">
        <f t="shared" si="1"/>
        <v>PAGADO</v>
      </c>
      <c r="G33" s="340" t="s">
        <v>2278</v>
      </c>
      <c r="H33" s="646" t="str">
        <f t="shared" si="2"/>
        <v>VENCIDA</v>
      </c>
      <c r="I33" s="647">
        <f t="shared" si="3"/>
        <v>179</v>
      </c>
    </row>
    <row r="34">
      <c r="A34" s="643">
        <v>4905.0</v>
      </c>
      <c r="B34" s="644">
        <v>45976.0</v>
      </c>
      <c r="C34" s="644">
        <f t="shared" si="4"/>
        <v>45991</v>
      </c>
      <c r="D34" s="643">
        <v>105000.0</v>
      </c>
      <c r="E34" s="645" t="b">
        <v>1</v>
      </c>
      <c r="F34" s="646" t="str">
        <f t="shared" si="1"/>
        <v>PAGADO</v>
      </c>
      <c r="G34" s="340" t="s">
        <v>2278</v>
      </c>
      <c r="H34" s="646" t="str">
        <f t="shared" si="2"/>
        <v>VENCIDA</v>
      </c>
      <c r="I34" s="647">
        <f t="shared" si="3"/>
        <v>176</v>
      </c>
    </row>
    <row r="35">
      <c r="A35" s="643"/>
      <c r="B35" s="644">
        <v>45980.0</v>
      </c>
      <c r="C35" s="644">
        <f t="shared" si="4"/>
        <v>45995</v>
      </c>
      <c r="D35" s="643">
        <v>105000.0</v>
      </c>
      <c r="E35" s="645" t="b">
        <v>1</v>
      </c>
      <c r="F35" s="646" t="str">
        <f t="shared" si="1"/>
        <v>PAGADO</v>
      </c>
      <c r="G35" s="340" t="s">
        <v>2278</v>
      </c>
      <c r="H35" s="646" t="str">
        <f t="shared" si="2"/>
        <v>VENCIDA</v>
      </c>
      <c r="I35" s="647">
        <f t="shared" si="3"/>
        <v>172</v>
      </c>
    </row>
    <row r="36">
      <c r="A36" s="643">
        <v>4916.0</v>
      </c>
      <c r="B36" s="644">
        <v>45986.0</v>
      </c>
      <c r="C36" s="644">
        <f t="shared" si="4"/>
        <v>46001</v>
      </c>
      <c r="D36" s="643">
        <v>105000.0</v>
      </c>
      <c r="E36" s="645" t="b">
        <v>1</v>
      </c>
      <c r="F36" s="646" t="str">
        <f t="shared" si="1"/>
        <v>PAGADO</v>
      </c>
      <c r="G36" s="340" t="s">
        <v>2278</v>
      </c>
      <c r="H36" s="646" t="str">
        <f t="shared" si="2"/>
        <v>VENCIDA</v>
      </c>
      <c r="I36" s="647">
        <f t="shared" si="3"/>
        <v>166</v>
      </c>
    </row>
    <row r="37">
      <c r="A37" s="643">
        <v>4933.0</v>
      </c>
      <c r="B37" s="644">
        <v>45989.0</v>
      </c>
      <c r="C37" s="644">
        <f t="shared" si="4"/>
        <v>46004</v>
      </c>
      <c r="D37" s="643">
        <v>105000.0</v>
      </c>
      <c r="E37" s="645" t="b">
        <v>1</v>
      </c>
      <c r="F37" s="646" t="str">
        <f t="shared" si="1"/>
        <v>PAGADO</v>
      </c>
      <c r="G37" s="340" t="s">
        <v>2278</v>
      </c>
      <c r="H37" s="646" t="str">
        <f t="shared" si="2"/>
        <v>VENCIDA</v>
      </c>
      <c r="I37" s="647">
        <f t="shared" si="3"/>
        <v>163</v>
      </c>
    </row>
    <row r="38">
      <c r="A38" s="643">
        <v>4942.0</v>
      </c>
      <c r="B38" s="644">
        <v>45993.0</v>
      </c>
      <c r="C38" s="644">
        <f t="shared" si="4"/>
        <v>46008</v>
      </c>
      <c r="D38" s="643">
        <v>105000.0</v>
      </c>
      <c r="E38" s="645" t="b">
        <v>1</v>
      </c>
      <c r="F38" s="646" t="str">
        <f t="shared" si="1"/>
        <v>PAGADO</v>
      </c>
      <c r="G38" s="340" t="s">
        <v>2278</v>
      </c>
      <c r="H38" s="646" t="str">
        <f t="shared" si="2"/>
        <v>VENCIDA</v>
      </c>
      <c r="I38" s="647">
        <f t="shared" si="3"/>
        <v>159</v>
      </c>
    </row>
    <row r="39">
      <c r="A39" s="643">
        <v>4953.0</v>
      </c>
      <c r="B39" s="644">
        <v>45996.0</v>
      </c>
      <c r="C39" s="644">
        <f t="shared" si="4"/>
        <v>46011</v>
      </c>
      <c r="D39" s="643">
        <v>105000.0</v>
      </c>
      <c r="E39" s="645" t="b">
        <v>1</v>
      </c>
      <c r="F39" s="646" t="str">
        <f t="shared" si="1"/>
        <v>PAGADO</v>
      </c>
      <c r="G39" s="340" t="s">
        <v>2278</v>
      </c>
      <c r="H39" s="646" t="str">
        <f t="shared" si="2"/>
        <v>VENCIDA</v>
      </c>
      <c r="I39" s="647">
        <f t="shared" si="3"/>
        <v>156</v>
      </c>
    </row>
    <row r="40">
      <c r="A40" s="643">
        <v>4971.0</v>
      </c>
      <c r="B40" s="644">
        <v>46002.0</v>
      </c>
      <c r="C40" s="644">
        <f t="shared" si="4"/>
        <v>46017</v>
      </c>
      <c r="D40" s="643">
        <v>220000.0</v>
      </c>
      <c r="E40" s="645" t="b">
        <v>1</v>
      </c>
      <c r="F40" s="646" t="str">
        <f t="shared" si="1"/>
        <v>PAGADO</v>
      </c>
      <c r="G40" s="340" t="s">
        <v>2278</v>
      </c>
      <c r="H40" s="646" t="str">
        <f t="shared" si="2"/>
        <v>VENCIDA</v>
      </c>
      <c r="I40" s="647">
        <f t="shared" si="3"/>
        <v>150</v>
      </c>
    </row>
    <row r="41">
      <c r="A41" s="643">
        <v>4994.0</v>
      </c>
      <c r="B41" s="644">
        <v>46009.0</v>
      </c>
      <c r="C41" s="644"/>
      <c r="D41" s="643">
        <v>220000.0</v>
      </c>
      <c r="E41" s="645" t="b">
        <v>1</v>
      </c>
      <c r="F41" s="646" t="str">
        <f t="shared" si="1"/>
        <v>PAGADO</v>
      </c>
      <c r="G41" s="340" t="s">
        <v>2276</v>
      </c>
      <c r="H41" s="646" t="str">
        <f t="shared" si="2"/>
        <v>VENCIDA</v>
      </c>
      <c r="I41" s="647">
        <f t="shared" si="3"/>
        <v>46167</v>
      </c>
    </row>
    <row r="42">
      <c r="A42" s="643">
        <v>5015.0</v>
      </c>
      <c r="B42" s="644">
        <v>46020.0</v>
      </c>
      <c r="C42" s="644">
        <f t="shared" ref="C42:C55" si="5">B42+15</f>
        <v>46035</v>
      </c>
      <c r="D42" s="643">
        <v>220000.0</v>
      </c>
      <c r="E42" s="645" t="b">
        <v>1</v>
      </c>
      <c r="F42" s="646" t="str">
        <f t="shared" si="1"/>
        <v>PAGADO</v>
      </c>
      <c r="G42" s="340" t="s">
        <v>2278</v>
      </c>
      <c r="H42" s="646" t="str">
        <f t="shared" si="2"/>
        <v>VENCIDA</v>
      </c>
      <c r="I42" s="647">
        <f t="shared" si="3"/>
        <v>132</v>
      </c>
    </row>
    <row r="43">
      <c r="A43" s="643">
        <v>5034.0</v>
      </c>
      <c r="B43" s="644">
        <v>46032.0</v>
      </c>
      <c r="C43" s="644">
        <f t="shared" si="5"/>
        <v>46047</v>
      </c>
      <c r="D43" s="643">
        <v>220000.0</v>
      </c>
      <c r="E43" s="645" t="b">
        <v>1</v>
      </c>
      <c r="F43" s="646" t="str">
        <f t="shared" si="1"/>
        <v>PAGADO</v>
      </c>
      <c r="G43" s="340" t="s">
        <v>2278</v>
      </c>
      <c r="H43" s="646" t="str">
        <f t="shared" si="2"/>
        <v>VENCIDA</v>
      </c>
      <c r="I43" s="647">
        <f t="shared" si="3"/>
        <v>120</v>
      </c>
    </row>
    <row r="44">
      <c r="A44" s="643" t="s">
        <v>2420</v>
      </c>
      <c r="B44" s="644">
        <v>46038.0</v>
      </c>
      <c r="C44" s="644">
        <f t="shared" si="5"/>
        <v>46053</v>
      </c>
      <c r="D44" s="643">
        <v>220000.0</v>
      </c>
      <c r="E44" s="645" t="b">
        <v>1</v>
      </c>
      <c r="F44" s="646" t="str">
        <f t="shared" si="1"/>
        <v>PAGADO</v>
      </c>
      <c r="G44" s="340" t="s">
        <v>2276</v>
      </c>
      <c r="H44" s="646" t="str">
        <f t="shared" si="2"/>
        <v>VENCIDA</v>
      </c>
      <c r="I44" s="647">
        <f t="shared" si="3"/>
        <v>114</v>
      </c>
    </row>
    <row r="45">
      <c r="A45" s="643">
        <v>5073.0</v>
      </c>
      <c r="B45" s="644">
        <v>46048.0</v>
      </c>
      <c r="C45" s="644">
        <f t="shared" si="5"/>
        <v>46063</v>
      </c>
      <c r="D45" s="643">
        <v>220000.0</v>
      </c>
      <c r="E45" s="645" t="b">
        <v>1</v>
      </c>
      <c r="F45" s="646" t="str">
        <f t="shared" si="1"/>
        <v>PAGADO</v>
      </c>
      <c r="G45" s="340" t="s">
        <v>2278</v>
      </c>
      <c r="H45" s="646" t="str">
        <f t="shared" si="2"/>
        <v>VENCIDA</v>
      </c>
      <c r="I45" s="647">
        <f t="shared" si="3"/>
        <v>104</v>
      </c>
    </row>
    <row r="46">
      <c r="A46" s="643">
        <v>5102.0</v>
      </c>
      <c r="B46" s="644">
        <v>46055.0</v>
      </c>
      <c r="C46" s="644">
        <f t="shared" si="5"/>
        <v>46070</v>
      </c>
      <c r="D46" s="643">
        <v>220000.0</v>
      </c>
      <c r="E46" s="645" t="b">
        <v>1</v>
      </c>
      <c r="F46" s="646" t="str">
        <f t="shared" si="1"/>
        <v>PAGADO</v>
      </c>
      <c r="G46" s="340" t="s">
        <v>2278</v>
      </c>
      <c r="H46" s="646" t="str">
        <f t="shared" si="2"/>
        <v>VENCIDA</v>
      </c>
      <c r="I46" s="647">
        <f t="shared" si="3"/>
        <v>97</v>
      </c>
      <c r="J46" s="2" t="s">
        <v>2424</v>
      </c>
    </row>
    <row r="47">
      <c r="A47" s="643">
        <v>5117.0</v>
      </c>
      <c r="B47" s="644">
        <v>46062.0</v>
      </c>
      <c r="C47" s="644">
        <f t="shared" si="5"/>
        <v>46077</v>
      </c>
      <c r="D47" s="643">
        <v>225000.0</v>
      </c>
      <c r="E47" s="645" t="b">
        <v>1</v>
      </c>
      <c r="F47" s="646" t="str">
        <f t="shared" si="1"/>
        <v>PAGADO</v>
      </c>
      <c r="G47" s="340" t="s">
        <v>2278</v>
      </c>
      <c r="H47" s="646" t="str">
        <f t="shared" si="2"/>
        <v>VENCIDA</v>
      </c>
      <c r="I47" s="647">
        <f t="shared" si="3"/>
        <v>90</v>
      </c>
    </row>
    <row r="48">
      <c r="A48" s="643" t="s">
        <v>2420</v>
      </c>
      <c r="B48" s="644">
        <v>46066.0</v>
      </c>
      <c r="C48" s="644">
        <f t="shared" si="5"/>
        <v>46081</v>
      </c>
      <c r="D48" s="643">
        <v>112000.0</v>
      </c>
      <c r="E48" s="645" t="b">
        <v>1</v>
      </c>
      <c r="F48" s="646" t="str">
        <f t="shared" si="1"/>
        <v>PAGADO</v>
      </c>
      <c r="G48" s="340" t="s">
        <v>2278</v>
      </c>
      <c r="H48" s="646" t="str">
        <f t="shared" si="2"/>
        <v>VENCIDA</v>
      </c>
      <c r="I48" s="647">
        <f t="shared" si="3"/>
        <v>86</v>
      </c>
    </row>
    <row r="49">
      <c r="A49" s="643">
        <v>5152.0</v>
      </c>
      <c r="B49" s="644">
        <v>46076.0</v>
      </c>
      <c r="C49" s="644">
        <f t="shared" si="5"/>
        <v>46091</v>
      </c>
      <c r="D49" s="643">
        <v>224000.0</v>
      </c>
      <c r="E49" s="645" t="b">
        <v>1</v>
      </c>
      <c r="F49" s="646" t="str">
        <f t="shared" si="1"/>
        <v>PAGADO</v>
      </c>
      <c r="G49" s="340" t="s">
        <v>2278</v>
      </c>
      <c r="H49" s="646" t="str">
        <f t="shared" si="2"/>
        <v>VENCIDA</v>
      </c>
      <c r="I49" s="647">
        <f t="shared" si="3"/>
        <v>76</v>
      </c>
    </row>
    <row r="50">
      <c r="A50" s="643">
        <v>5181.0</v>
      </c>
      <c r="B50" s="644">
        <v>46085.0</v>
      </c>
      <c r="C50" s="644">
        <f t="shared" si="5"/>
        <v>46100</v>
      </c>
      <c r="D50" s="643">
        <v>230000.0</v>
      </c>
      <c r="E50" s="645" t="b">
        <v>1</v>
      </c>
      <c r="F50" s="646" t="str">
        <f t="shared" si="1"/>
        <v>PAGADO</v>
      </c>
      <c r="G50" s="340" t="s">
        <v>2278</v>
      </c>
      <c r="H50" s="646" t="str">
        <f t="shared" si="2"/>
        <v>VENCIDA</v>
      </c>
      <c r="I50" s="647">
        <f t="shared" si="3"/>
        <v>67</v>
      </c>
    </row>
    <row r="51">
      <c r="A51" s="643">
        <v>5211.0</v>
      </c>
      <c r="B51" s="644">
        <v>46093.0</v>
      </c>
      <c r="C51" s="644">
        <f t="shared" si="5"/>
        <v>46108</v>
      </c>
      <c r="D51" s="643">
        <v>236000.0</v>
      </c>
      <c r="E51" s="645" t="b">
        <v>1</v>
      </c>
      <c r="F51" s="646" t="str">
        <f t="shared" si="1"/>
        <v>PAGADO</v>
      </c>
      <c r="G51" s="340" t="s">
        <v>2278</v>
      </c>
      <c r="H51" s="646" t="str">
        <f t="shared" si="2"/>
        <v>VENCIDA</v>
      </c>
      <c r="I51" s="647">
        <f t="shared" si="3"/>
        <v>59</v>
      </c>
    </row>
    <row r="52">
      <c r="A52" s="643">
        <v>5242.0</v>
      </c>
      <c r="B52" s="644">
        <v>46101.0</v>
      </c>
      <c r="C52" s="644">
        <f t="shared" si="5"/>
        <v>46116</v>
      </c>
      <c r="D52" s="643">
        <v>230000.0</v>
      </c>
      <c r="E52" s="645" t="b">
        <v>1</v>
      </c>
      <c r="F52" s="646" t="str">
        <f t="shared" si="1"/>
        <v>PAGADO</v>
      </c>
      <c r="G52" s="340" t="s">
        <v>2278</v>
      </c>
      <c r="H52" s="646" t="str">
        <f t="shared" si="2"/>
        <v>VENCIDA</v>
      </c>
      <c r="I52" s="647">
        <f t="shared" si="3"/>
        <v>51</v>
      </c>
    </row>
    <row r="53">
      <c r="A53" s="643">
        <v>5270.0</v>
      </c>
      <c r="B53" s="644">
        <v>46112.0</v>
      </c>
      <c r="C53" s="644">
        <f t="shared" si="5"/>
        <v>46127</v>
      </c>
      <c r="D53" s="643">
        <v>229999.67</v>
      </c>
      <c r="E53" s="645" t="b">
        <v>1</v>
      </c>
      <c r="F53" s="646" t="str">
        <f t="shared" si="1"/>
        <v>PAGADO</v>
      </c>
      <c r="G53" s="340" t="s">
        <v>2278</v>
      </c>
      <c r="H53" s="646" t="str">
        <f t="shared" si="2"/>
        <v>VENCIDA</v>
      </c>
      <c r="I53" s="647">
        <f t="shared" si="3"/>
        <v>40</v>
      </c>
    </row>
    <row r="54">
      <c r="A54" s="643">
        <v>5292.0</v>
      </c>
      <c r="B54" s="644">
        <v>46121.0</v>
      </c>
      <c r="C54" s="644">
        <f t="shared" si="5"/>
        <v>46136</v>
      </c>
      <c r="D54" s="643">
        <v>233979.99</v>
      </c>
      <c r="E54" s="645" t="b">
        <v>1</v>
      </c>
      <c r="F54" s="646" t="str">
        <f t="shared" si="1"/>
        <v>PAGADO</v>
      </c>
      <c r="G54" s="340" t="s">
        <v>2278</v>
      </c>
      <c r="H54" s="646" t="str">
        <f t="shared" si="2"/>
        <v>VENCIDA</v>
      </c>
      <c r="I54" s="647">
        <f t="shared" si="3"/>
        <v>31</v>
      </c>
    </row>
    <row r="55">
      <c r="A55" s="643">
        <v>5313.0</v>
      </c>
      <c r="B55" s="644">
        <v>46127.0</v>
      </c>
      <c r="C55" s="644">
        <f t="shared" si="5"/>
        <v>46142</v>
      </c>
      <c r="D55" s="643">
        <v>239999.7</v>
      </c>
      <c r="E55" s="645" t="b">
        <v>1</v>
      </c>
      <c r="F55" s="646" t="str">
        <f t="shared" si="1"/>
        <v>PAGADO</v>
      </c>
      <c r="G55" s="340" t="s">
        <v>2278</v>
      </c>
      <c r="H55" s="646" t="str">
        <f t="shared" si="2"/>
        <v>VENCIDA</v>
      </c>
      <c r="I55" s="647">
        <f t="shared" si="3"/>
        <v>25</v>
      </c>
    </row>
    <row r="56">
      <c r="A56" s="643">
        <v>5360.0</v>
      </c>
      <c r="B56" s="644">
        <v>46142.0</v>
      </c>
      <c r="C56" s="644">
        <f>B56+7</f>
        <v>46149</v>
      </c>
      <c r="D56" s="643">
        <v>120000.0</v>
      </c>
      <c r="E56" s="645" t="b">
        <v>1</v>
      </c>
      <c r="F56" s="646" t="str">
        <f t="shared" si="1"/>
        <v>PAGADO</v>
      </c>
      <c r="G56" s="340" t="s">
        <v>2278</v>
      </c>
      <c r="H56" s="646" t="str">
        <f t="shared" si="2"/>
        <v>VENCIDA</v>
      </c>
      <c r="I56" s="647">
        <f t="shared" si="3"/>
        <v>18</v>
      </c>
    </row>
    <row r="57">
      <c r="A57" s="643">
        <v>5369.0</v>
      </c>
      <c r="B57" s="644">
        <v>46147.0</v>
      </c>
      <c r="C57" s="644">
        <f t="shared" ref="C57:C132" si="6">B57+15</f>
        <v>46162</v>
      </c>
      <c r="D57" s="643">
        <v>246000.0</v>
      </c>
      <c r="E57" s="645" t="b">
        <v>1</v>
      </c>
      <c r="F57" s="646" t="str">
        <f t="shared" si="1"/>
        <v>PAGADO</v>
      </c>
      <c r="G57" s="340" t="s">
        <v>2278</v>
      </c>
      <c r="H57" s="646" t="str">
        <f t="shared" si="2"/>
        <v>VENCIDA</v>
      </c>
      <c r="I57" s="647">
        <f t="shared" si="3"/>
        <v>5</v>
      </c>
    </row>
    <row r="58">
      <c r="A58" s="644"/>
      <c r="B58" s="644"/>
      <c r="C58" s="644">
        <f t="shared" si="6"/>
        <v>15</v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46152</v>
      </c>
    </row>
    <row r="59">
      <c r="A59" s="644"/>
      <c r="B59" s="644"/>
      <c r="C59" s="644">
        <f t="shared" si="6"/>
        <v>15</v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46152</v>
      </c>
    </row>
    <row r="60">
      <c r="A60" s="644"/>
      <c r="B60" s="644"/>
      <c r="C60" s="644">
        <f t="shared" si="6"/>
        <v>15</v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46152</v>
      </c>
    </row>
    <row r="61">
      <c r="A61" s="644"/>
      <c r="B61" s="644"/>
      <c r="C61" s="644">
        <f t="shared" si="6"/>
        <v>15</v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46152</v>
      </c>
    </row>
    <row r="62">
      <c r="A62" s="644"/>
      <c r="B62" s="644"/>
      <c r="C62" s="644">
        <f t="shared" si="6"/>
        <v>15</v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46152</v>
      </c>
    </row>
    <row r="63">
      <c r="A63" s="644"/>
      <c r="B63" s="644"/>
      <c r="C63" s="644">
        <f t="shared" si="6"/>
        <v>15</v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46152</v>
      </c>
    </row>
    <row r="64">
      <c r="A64" s="644"/>
      <c r="B64" s="644"/>
      <c r="C64" s="644">
        <f t="shared" si="6"/>
        <v>15</v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46152</v>
      </c>
    </row>
    <row r="65">
      <c r="A65" s="644"/>
      <c r="B65" s="644"/>
      <c r="C65" s="644">
        <f t="shared" si="6"/>
        <v>15</v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46152</v>
      </c>
    </row>
    <row r="66">
      <c r="A66" s="644"/>
      <c r="B66" s="644"/>
      <c r="C66" s="644">
        <f t="shared" si="6"/>
        <v>15</v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46152</v>
      </c>
    </row>
    <row r="67">
      <c r="A67" s="644"/>
      <c r="B67" s="644"/>
      <c r="C67" s="644">
        <f t="shared" si="6"/>
        <v>15</v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46152</v>
      </c>
    </row>
    <row r="68">
      <c r="A68" s="644"/>
      <c r="B68" s="644"/>
      <c r="C68" s="644">
        <f t="shared" si="6"/>
        <v>15</v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46152</v>
      </c>
    </row>
    <row r="69">
      <c r="A69" s="644"/>
      <c r="B69" s="644"/>
      <c r="C69" s="644">
        <f t="shared" si="6"/>
        <v>15</v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46152</v>
      </c>
    </row>
    <row r="70">
      <c r="A70" s="644"/>
      <c r="B70" s="644"/>
      <c r="C70" s="644">
        <f t="shared" si="6"/>
        <v>15</v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46152</v>
      </c>
    </row>
    <row r="71">
      <c r="A71" s="644"/>
      <c r="B71" s="644"/>
      <c r="C71" s="644">
        <f t="shared" si="6"/>
        <v>15</v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46152</v>
      </c>
    </row>
    <row r="72">
      <c r="A72" s="644"/>
      <c r="B72" s="644"/>
      <c r="C72" s="644">
        <f t="shared" si="6"/>
        <v>15</v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46152</v>
      </c>
    </row>
    <row r="73">
      <c r="A73" s="644"/>
      <c r="B73" s="644"/>
      <c r="C73" s="644">
        <f t="shared" si="6"/>
        <v>15</v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46152</v>
      </c>
    </row>
    <row r="74">
      <c r="A74" s="644"/>
      <c r="B74" s="644"/>
      <c r="C74" s="644">
        <f t="shared" si="6"/>
        <v>15</v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46152</v>
      </c>
    </row>
    <row r="75">
      <c r="A75" s="644"/>
      <c r="B75" s="644"/>
      <c r="C75" s="644">
        <f t="shared" si="6"/>
        <v>15</v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46152</v>
      </c>
    </row>
    <row r="76">
      <c r="A76" s="644"/>
      <c r="B76" s="644"/>
      <c r="C76" s="644">
        <f t="shared" si="6"/>
        <v>15</v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46152</v>
      </c>
    </row>
    <row r="77">
      <c r="A77" s="644"/>
      <c r="B77" s="644"/>
      <c r="C77" s="644">
        <f t="shared" si="6"/>
        <v>15</v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46152</v>
      </c>
    </row>
    <row r="78">
      <c r="A78" s="644"/>
      <c r="B78" s="644"/>
      <c r="C78" s="644">
        <f t="shared" si="6"/>
        <v>15</v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46152</v>
      </c>
    </row>
    <row r="79">
      <c r="A79" s="644"/>
      <c r="B79" s="644"/>
      <c r="C79" s="644">
        <f t="shared" si="6"/>
        <v>15</v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46152</v>
      </c>
    </row>
    <row r="80">
      <c r="A80" s="644"/>
      <c r="B80" s="644"/>
      <c r="C80" s="644">
        <f t="shared" si="6"/>
        <v>15</v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46152</v>
      </c>
    </row>
    <row r="81">
      <c r="A81" s="644"/>
      <c r="B81" s="644"/>
      <c r="C81" s="644">
        <f t="shared" si="6"/>
        <v>15</v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46152</v>
      </c>
    </row>
    <row r="82">
      <c r="A82" s="644"/>
      <c r="B82" s="644"/>
      <c r="C82" s="644">
        <f t="shared" si="6"/>
        <v>15</v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46152</v>
      </c>
    </row>
    <row r="83">
      <c r="A83" s="644"/>
      <c r="B83" s="644"/>
      <c r="C83" s="644">
        <f t="shared" si="6"/>
        <v>15</v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46152</v>
      </c>
    </row>
    <row r="84">
      <c r="A84" s="644"/>
      <c r="B84" s="644"/>
      <c r="C84" s="644">
        <f t="shared" si="6"/>
        <v>15</v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46152</v>
      </c>
    </row>
    <row r="85">
      <c r="A85" s="644"/>
      <c r="B85" s="644"/>
      <c r="C85" s="644">
        <f t="shared" si="6"/>
        <v>15</v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46152</v>
      </c>
    </row>
    <row r="86">
      <c r="A86" s="644"/>
      <c r="B86" s="644"/>
      <c r="C86" s="644">
        <f t="shared" si="6"/>
        <v>15</v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46152</v>
      </c>
    </row>
    <row r="87">
      <c r="A87" s="644"/>
      <c r="B87" s="644"/>
      <c r="C87" s="644">
        <f t="shared" si="6"/>
        <v>15</v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46152</v>
      </c>
    </row>
    <row r="88">
      <c r="A88" s="644"/>
      <c r="B88" s="644"/>
      <c r="C88" s="644">
        <f t="shared" si="6"/>
        <v>15</v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46152</v>
      </c>
    </row>
    <row r="89">
      <c r="A89" s="644"/>
      <c r="B89" s="644"/>
      <c r="C89" s="644">
        <f t="shared" si="6"/>
        <v>15</v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46152</v>
      </c>
    </row>
    <row r="90">
      <c r="A90" s="644"/>
      <c r="B90" s="644"/>
      <c r="C90" s="644">
        <f t="shared" si="6"/>
        <v>15</v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46152</v>
      </c>
    </row>
    <row r="91">
      <c r="A91" s="644"/>
      <c r="B91" s="644"/>
      <c r="C91" s="644">
        <f t="shared" si="6"/>
        <v>15</v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46152</v>
      </c>
    </row>
    <row r="92">
      <c r="A92" s="644"/>
      <c r="B92" s="644"/>
      <c r="C92" s="644">
        <f t="shared" si="6"/>
        <v>15</v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46152</v>
      </c>
    </row>
    <row r="93">
      <c r="A93" s="644"/>
      <c r="B93" s="644"/>
      <c r="C93" s="644">
        <f t="shared" si="6"/>
        <v>15</v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46152</v>
      </c>
    </row>
    <row r="94">
      <c r="A94" s="644"/>
      <c r="B94" s="644"/>
      <c r="C94" s="644">
        <f t="shared" si="6"/>
        <v>15</v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46152</v>
      </c>
    </row>
    <row r="95">
      <c r="A95" s="644"/>
      <c r="B95" s="644"/>
      <c r="C95" s="644">
        <f t="shared" si="6"/>
        <v>15</v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46152</v>
      </c>
    </row>
    <row r="96">
      <c r="A96" s="644"/>
      <c r="B96" s="644"/>
      <c r="C96" s="644">
        <f t="shared" si="6"/>
        <v>15</v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46152</v>
      </c>
    </row>
    <row r="97">
      <c r="A97" s="644"/>
      <c r="B97" s="644"/>
      <c r="C97" s="644">
        <f t="shared" si="6"/>
        <v>15</v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46152</v>
      </c>
    </row>
    <row r="98">
      <c r="A98" s="644"/>
      <c r="B98" s="644"/>
      <c r="C98" s="644">
        <f t="shared" si="6"/>
        <v>15</v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46152</v>
      </c>
    </row>
    <row r="99">
      <c r="A99" s="644"/>
      <c r="B99" s="644"/>
      <c r="C99" s="644">
        <f t="shared" si="6"/>
        <v>15</v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46152</v>
      </c>
    </row>
    <row r="100">
      <c r="A100" s="644"/>
      <c r="B100" s="644"/>
      <c r="C100" s="644">
        <f t="shared" si="6"/>
        <v>15</v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46152</v>
      </c>
    </row>
    <row r="101">
      <c r="A101" s="644"/>
      <c r="B101" s="644"/>
      <c r="C101" s="644">
        <f t="shared" si="6"/>
        <v>15</v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46152</v>
      </c>
    </row>
    <row r="102">
      <c r="A102" s="644"/>
      <c r="B102" s="644"/>
      <c r="C102" s="644">
        <f t="shared" si="6"/>
        <v>15</v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46152</v>
      </c>
    </row>
    <row r="103">
      <c r="A103" s="644"/>
      <c r="B103" s="644"/>
      <c r="C103" s="644">
        <f t="shared" si="6"/>
        <v>15</v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46152</v>
      </c>
    </row>
    <row r="104">
      <c r="A104" s="644"/>
      <c r="B104" s="644"/>
      <c r="C104" s="644">
        <f t="shared" si="6"/>
        <v>15</v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46152</v>
      </c>
    </row>
    <row r="105">
      <c r="A105" s="644"/>
      <c r="B105" s="644"/>
      <c r="C105" s="644">
        <f t="shared" si="6"/>
        <v>15</v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46152</v>
      </c>
    </row>
    <row r="106">
      <c r="A106" s="644"/>
      <c r="B106" s="644"/>
      <c r="C106" s="644">
        <f t="shared" si="6"/>
        <v>15</v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46152</v>
      </c>
    </row>
    <row r="107">
      <c r="A107" s="644"/>
      <c r="B107" s="644"/>
      <c r="C107" s="644">
        <f t="shared" si="6"/>
        <v>15</v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46152</v>
      </c>
    </row>
    <row r="108">
      <c r="A108" s="644"/>
      <c r="B108" s="644"/>
      <c r="C108" s="644">
        <f t="shared" si="6"/>
        <v>15</v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46152</v>
      </c>
    </row>
    <row r="109">
      <c r="A109" s="644"/>
      <c r="B109" s="644"/>
      <c r="C109" s="644">
        <f t="shared" si="6"/>
        <v>15</v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46152</v>
      </c>
    </row>
    <row r="110">
      <c r="A110" s="644"/>
      <c r="B110" s="644"/>
      <c r="C110" s="644">
        <f t="shared" si="6"/>
        <v>15</v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46152</v>
      </c>
    </row>
    <row r="111">
      <c r="A111" s="644"/>
      <c r="B111" s="644"/>
      <c r="C111" s="644">
        <f t="shared" si="6"/>
        <v>15</v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46152</v>
      </c>
    </row>
    <row r="112">
      <c r="A112" s="644"/>
      <c r="B112" s="644"/>
      <c r="C112" s="644">
        <f t="shared" si="6"/>
        <v>15</v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46152</v>
      </c>
    </row>
    <row r="113">
      <c r="A113" s="644"/>
      <c r="B113" s="644"/>
      <c r="C113" s="644">
        <f t="shared" si="6"/>
        <v>15</v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46152</v>
      </c>
    </row>
    <row r="114">
      <c r="A114" s="644"/>
      <c r="B114" s="644"/>
      <c r="C114" s="644">
        <f t="shared" si="6"/>
        <v>15</v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46152</v>
      </c>
    </row>
    <row r="115">
      <c r="A115" s="644"/>
      <c r="B115" s="644"/>
      <c r="C115" s="644">
        <f t="shared" si="6"/>
        <v>15</v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46152</v>
      </c>
    </row>
    <row r="116">
      <c r="A116" s="644"/>
      <c r="B116" s="644"/>
      <c r="C116" s="644">
        <f t="shared" si="6"/>
        <v>15</v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46152</v>
      </c>
    </row>
    <row r="117">
      <c r="A117" s="644"/>
      <c r="B117" s="644"/>
      <c r="C117" s="644">
        <f t="shared" si="6"/>
        <v>15</v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46152</v>
      </c>
    </row>
    <row r="118">
      <c r="A118" s="644"/>
      <c r="B118" s="644"/>
      <c r="C118" s="644">
        <f t="shared" si="6"/>
        <v>15</v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46152</v>
      </c>
    </row>
    <row r="119">
      <c r="A119" s="644"/>
      <c r="B119" s="644"/>
      <c r="C119" s="644">
        <f t="shared" si="6"/>
        <v>15</v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46152</v>
      </c>
    </row>
    <row r="120">
      <c r="A120" s="644"/>
      <c r="B120" s="644"/>
      <c r="C120" s="644">
        <f t="shared" si="6"/>
        <v>15</v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46152</v>
      </c>
    </row>
    <row r="121">
      <c r="A121" s="644"/>
      <c r="B121" s="644"/>
      <c r="C121" s="644">
        <f t="shared" si="6"/>
        <v>15</v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46152</v>
      </c>
    </row>
    <row r="122">
      <c r="A122" s="644"/>
      <c r="B122" s="644"/>
      <c r="C122" s="644">
        <f t="shared" si="6"/>
        <v>15</v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46152</v>
      </c>
    </row>
    <row r="123">
      <c r="A123" s="644"/>
      <c r="B123" s="644"/>
      <c r="C123" s="644">
        <f t="shared" si="6"/>
        <v>15</v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46152</v>
      </c>
    </row>
    <row r="124">
      <c r="A124" s="644"/>
      <c r="B124" s="644"/>
      <c r="C124" s="644">
        <f t="shared" si="6"/>
        <v>15</v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46152</v>
      </c>
    </row>
    <row r="125">
      <c r="A125" s="644"/>
      <c r="B125" s="644"/>
      <c r="C125" s="644">
        <f t="shared" si="6"/>
        <v>15</v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46152</v>
      </c>
    </row>
    <row r="126">
      <c r="A126" s="644"/>
      <c r="B126" s="644"/>
      <c r="C126" s="644">
        <f t="shared" si="6"/>
        <v>15</v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46152</v>
      </c>
    </row>
    <row r="127">
      <c r="A127" s="644"/>
      <c r="B127" s="644"/>
      <c r="C127" s="644">
        <f t="shared" si="6"/>
        <v>15</v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46152</v>
      </c>
    </row>
    <row r="128">
      <c r="A128" s="644"/>
      <c r="B128" s="644"/>
      <c r="C128" s="644">
        <f t="shared" si="6"/>
        <v>15</v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46152</v>
      </c>
    </row>
    <row r="129">
      <c r="A129" s="644"/>
      <c r="B129" s="644"/>
      <c r="C129" s="644">
        <f t="shared" si="6"/>
        <v>15</v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46152</v>
      </c>
    </row>
    <row r="130">
      <c r="A130" s="644"/>
      <c r="B130" s="644"/>
      <c r="C130" s="644">
        <f t="shared" si="6"/>
        <v>15</v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46152</v>
      </c>
    </row>
    <row r="131">
      <c r="A131" s="644"/>
      <c r="B131" s="644"/>
      <c r="C131" s="644">
        <f t="shared" si="6"/>
        <v>15</v>
      </c>
      <c r="D131" s="643"/>
      <c r="E131" s="658" t="b">
        <v>0</v>
      </c>
      <c r="F131" s="646" t="str">
        <f t="shared" si="1"/>
        <v>ADEUDA</v>
      </c>
      <c r="G131" s="340" t="s">
        <v>2278</v>
      </c>
      <c r="H131" s="646" t="str">
        <f t="shared" si="2"/>
        <v>VENCIDA</v>
      </c>
      <c r="I131" s="647">
        <f t="shared" si="3"/>
        <v>46152</v>
      </c>
    </row>
    <row r="132">
      <c r="A132" s="644"/>
      <c r="B132" s="644"/>
      <c r="C132" s="644">
        <f t="shared" si="6"/>
        <v>15</v>
      </c>
      <c r="D132" s="643"/>
      <c r="E132" s="645" t="b">
        <v>1</v>
      </c>
      <c r="F132" s="646" t="str">
        <f t="shared" si="1"/>
        <v>PAGADO</v>
      </c>
      <c r="G132" s="340" t="s">
        <v>2278</v>
      </c>
      <c r="H132" s="646" t="str">
        <f t="shared" si="2"/>
        <v>VENCIDA</v>
      </c>
      <c r="I132" s="647">
        <f t="shared" si="3"/>
        <v>46152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7634979.36</v>
      </c>
    </row>
    <row r="137">
      <c r="C137" s="697" t="s">
        <v>28</v>
      </c>
      <c r="D137" s="3">
        <f>D135+D136</f>
        <v>7634979.36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777" t="s">
        <v>2425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2426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>
        <v>13617.0</v>
      </c>
      <c r="B4" s="644">
        <v>45857.0</v>
      </c>
      <c r="C4" s="644"/>
      <c r="D4" s="643">
        <v>199264.98</v>
      </c>
      <c r="E4" s="645" t="b">
        <v>1</v>
      </c>
      <c r="F4" s="646" t="str">
        <f t="shared" ref="F4:F132" si="1">IF(E4,"PAGADO","ADEUDA")</f>
        <v>PAGADO</v>
      </c>
      <c r="G4" s="340" t="s">
        <v>2278</v>
      </c>
      <c r="H4" s="646" t="str">
        <f t="shared" ref="H4:H132" si="2">IF(C4&lt;TODAY(),"VENCIDA",IF(C4=TODAY(),"VENCE HOY",IF(C4&gt;TODAY(),"VIGENTE")))</f>
        <v>VENCIDA</v>
      </c>
      <c r="I4" s="647">
        <f t="shared" ref="I4:I132" si="3">TODAY()-C4</f>
        <v>46167</v>
      </c>
      <c r="J4" s="768" t="s">
        <v>31</v>
      </c>
      <c r="K4" s="769">
        <f>D5+D6+D7+D8</f>
        <v>742710.87</v>
      </c>
    </row>
    <row r="5">
      <c r="A5" s="643">
        <v>13774.0</v>
      </c>
      <c r="B5" s="644">
        <v>45867.0</v>
      </c>
      <c r="C5" s="644"/>
      <c r="D5" s="643">
        <v>203365.08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J5" s="768" t="s">
        <v>35</v>
      </c>
      <c r="K5" s="770">
        <f>D9+D10+D11+D12</f>
        <v>679060.12</v>
      </c>
    </row>
    <row r="6">
      <c r="A6" s="643">
        <v>14027.0</v>
      </c>
      <c r="B6" s="644">
        <v>45884.0</v>
      </c>
      <c r="C6" s="644"/>
      <c r="D6" s="643">
        <v>212563.88</v>
      </c>
      <c r="E6" s="645" t="b">
        <v>1</v>
      </c>
      <c r="F6" s="646" t="str">
        <f t="shared" si="1"/>
        <v>PAGADO</v>
      </c>
      <c r="G6" s="340" t="s">
        <v>2276</v>
      </c>
      <c r="H6" s="646" t="str">
        <f t="shared" si="2"/>
        <v>VENCIDA</v>
      </c>
      <c r="I6" s="647">
        <f t="shared" si="3"/>
        <v>46167</v>
      </c>
      <c r="J6" s="768" t="s">
        <v>37</v>
      </c>
      <c r="K6" s="770">
        <f>D13+D14+D15+D16+D17</f>
        <v>1132337.71</v>
      </c>
    </row>
    <row r="7">
      <c r="A7" s="643">
        <v>14362.0</v>
      </c>
      <c r="B7" s="644">
        <v>45908.0</v>
      </c>
      <c r="C7" s="644"/>
      <c r="D7" s="643">
        <v>213349.79</v>
      </c>
      <c r="E7" s="645" t="b">
        <v>1</v>
      </c>
      <c r="F7" s="646" t="str">
        <f t="shared" si="1"/>
        <v>PAGADO</v>
      </c>
      <c r="G7" s="340" t="s">
        <v>2278</v>
      </c>
      <c r="H7" s="646" t="str">
        <f t="shared" si="2"/>
        <v>VENCIDA</v>
      </c>
      <c r="I7" s="647">
        <f t="shared" si="3"/>
        <v>46167</v>
      </c>
      <c r="J7" s="768" t="s">
        <v>39</v>
      </c>
      <c r="K7" s="770"/>
    </row>
    <row r="8">
      <c r="A8" s="643">
        <v>14455.0</v>
      </c>
      <c r="B8" s="644">
        <v>45913.0</v>
      </c>
      <c r="C8" s="643" t="s">
        <v>2427</v>
      </c>
      <c r="D8" s="643">
        <v>113432.12</v>
      </c>
      <c r="E8" s="645" t="b">
        <v>1</v>
      </c>
      <c r="F8" s="646" t="str">
        <f t="shared" si="1"/>
        <v>PAGADO</v>
      </c>
      <c r="G8" s="340" t="s">
        <v>2278</v>
      </c>
      <c r="H8" s="646" t="str">
        <f t="shared" si="2"/>
        <v>VIGENTE</v>
      </c>
      <c r="I8" s="647" t="str">
        <f t="shared" si="3"/>
        <v>#VALUE!</v>
      </c>
      <c r="J8" s="768" t="s">
        <v>41</v>
      </c>
      <c r="K8" s="770"/>
    </row>
    <row r="9">
      <c r="A9" s="643">
        <v>14456.0</v>
      </c>
      <c r="B9" s="644">
        <v>45913.0</v>
      </c>
      <c r="C9" s="643" t="s">
        <v>2427</v>
      </c>
      <c r="D9" s="643">
        <v>17150.42</v>
      </c>
      <c r="E9" s="645" t="b">
        <v>1</v>
      </c>
      <c r="F9" s="646" t="str">
        <f t="shared" si="1"/>
        <v>PAGADO</v>
      </c>
      <c r="G9" s="340" t="s">
        <v>2278</v>
      </c>
      <c r="H9" s="646" t="str">
        <f t="shared" si="2"/>
        <v>VIGENTE</v>
      </c>
      <c r="I9" s="647" t="str">
        <f t="shared" si="3"/>
        <v>#VALUE!</v>
      </c>
      <c r="J9" s="768" t="s">
        <v>42</v>
      </c>
      <c r="K9" s="770">
        <f>D4+D5</f>
        <v>402630.06</v>
      </c>
    </row>
    <row r="10">
      <c r="A10" s="643">
        <v>14618.0</v>
      </c>
      <c r="B10" s="644">
        <v>45922.0</v>
      </c>
      <c r="C10" s="644"/>
      <c r="D10" s="643">
        <v>242991.16</v>
      </c>
      <c r="E10" s="645" t="b">
        <v>1</v>
      </c>
      <c r="F10" s="646" t="str">
        <f t="shared" si="1"/>
        <v>PAGADO</v>
      </c>
      <c r="G10" s="340" t="s">
        <v>2278</v>
      </c>
      <c r="H10" s="646" t="str">
        <f t="shared" si="2"/>
        <v>VENCIDA</v>
      </c>
      <c r="I10" s="647">
        <f t="shared" si="3"/>
        <v>46167</v>
      </c>
      <c r="J10" s="768" t="s">
        <v>43</v>
      </c>
      <c r="K10" s="770">
        <f>D6</f>
        <v>212563.88</v>
      </c>
    </row>
    <row r="11">
      <c r="A11" s="643">
        <v>15013.0</v>
      </c>
      <c r="B11" s="644">
        <v>45944.0</v>
      </c>
      <c r="C11" s="644"/>
      <c r="D11" s="643">
        <v>202601.75</v>
      </c>
      <c r="E11" s="645" t="b">
        <v>1</v>
      </c>
      <c r="F11" s="646" t="str">
        <f t="shared" si="1"/>
        <v>PAGADO</v>
      </c>
      <c r="G11" s="340" t="s">
        <v>2278</v>
      </c>
      <c r="H11" s="646" t="str">
        <f t="shared" si="2"/>
        <v>VENCIDA</v>
      </c>
      <c r="I11" s="647">
        <f t="shared" si="3"/>
        <v>46167</v>
      </c>
      <c r="J11" s="768" t="s">
        <v>45</v>
      </c>
      <c r="K11" s="770"/>
    </row>
    <row r="12">
      <c r="A12" s="643">
        <v>15384.0</v>
      </c>
      <c r="B12" s="644">
        <v>45964.0</v>
      </c>
      <c r="C12" s="644"/>
      <c r="D12" s="643">
        <v>216316.79</v>
      </c>
      <c r="E12" s="645" t="b">
        <v>1</v>
      </c>
      <c r="F12" s="646" t="str">
        <f t="shared" si="1"/>
        <v>PAGADO</v>
      </c>
      <c r="G12" s="340" t="s">
        <v>2278</v>
      </c>
      <c r="H12" s="646" t="str">
        <f t="shared" si="2"/>
        <v>VENCIDA</v>
      </c>
      <c r="I12" s="647">
        <f t="shared" si="3"/>
        <v>46167</v>
      </c>
      <c r="J12" s="768" t="s">
        <v>49</v>
      </c>
      <c r="K12" s="770"/>
    </row>
    <row r="13">
      <c r="A13" s="643">
        <v>15575.0</v>
      </c>
      <c r="B13" s="644">
        <v>45975.0</v>
      </c>
      <c r="C13" s="644"/>
      <c r="D13" s="643">
        <v>238724.2</v>
      </c>
      <c r="E13" s="645" t="b">
        <v>1</v>
      </c>
      <c r="F13" s="646" t="str">
        <f t="shared" si="1"/>
        <v>PAGADO</v>
      </c>
      <c r="G13" s="340" t="s">
        <v>2278</v>
      </c>
      <c r="H13" s="646" t="str">
        <f t="shared" si="2"/>
        <v>VENCIDA</v>
      </c>
      <c r="I13" s="647">
        <f t="shared" si="3"/>
        <v>46167</v>
      </c>
      <c r="J13" s="768" t="s">
        <v>50</v>
      </c>
      <c r="K13" s="770"/>
    </row>
    <row r="14">
      <c r="A14" s="643">
        <v>15901.0</v>
      </c>
      <c r="B14" s="644">
        <v>45997.0</v>
      </c>
      <c r="C14" s="644"/>
      <c r="D14" s="643">
        <v>314607.87</v>
      </c>
      <c r="E14" s="645" t="b">
        <v>1</v>
      </c>
      <c r="F14" s="646" t="str">
        <f t="shared" si="1"/>
        <v>PAGADO</v>
      </c>
      <c r="G14" s="340" t="s">
        <v>2276</v>
      </c>
      <c r="H14" s="646" t="str">
        <f t="shared" si="2"/>
        <v>VENCIDA</v>
      </c>
      <c r="I14" s="647">
        <f t="shared" si="3"/>
        <v>46167</v>
      </c>
      <c r="J14" s="768" t="s">
        <v>51</v>
      </c>
      <c r="K14" s="770">
        <f>SUM(D14:D16)</f>
        <v>648967.39</v>
      </c>
    </row>
    <row r="15">
      <c r="A15" s="643">
        <v>16104.0</v>
      </c>
      <c r="B15" s="644">
        <v>46008.0</v>
      </c>
      <c r="C15" s="644"/>
      <c r="D15" s="643">
        <v>221165.53</v>
      </c>
      <c r="E15" s="645" t="b">
        <v>1</v>
      </c>
      <c r="F15" s="646" t="str">
        <f t="shared" si="1"/>
        <v>PAGADO</v>
      </c>
      <c r="G15" s="340" t="s">
        <v>2278</v>
      </c>
      <c r="H15" s="646" t="str">
        <f t="shared" si="2"/>
        <v>VENCIDA</v>
      </c>
      <c r="I15" s="647">
        <f t="shared" si="3"/>
        <v>46167</v>
      </c>
    </row>
    <row r="16">
      <c r="A16" s="643">
        <v>16142.0</v>
      </c>
      <c r="B16" s="644">
        <v>46010.0</v>
      </c>
      <c r="C16" s="644"/>
      <c r="D16" s="643">
        <v>113193.99</v>
      </c>
      <c r="E16" s="654" t="b">
        <v>1</v>
      </c>
      <c r="F16" s="646" t="str">
        <f t="shared" si="1"/>
        <v>PAGADO</v>
      </c>
      <c r="G16" s="340" t="s">
        <v>2278</v>
      </c>
      <c r="H16" s="646" t="str">
        <f t="shared" si="2"/>
        <v>VENCIDA</v>
      </c>
      <c r="I16" s="647">
        <f t="shared" si="3"/>
        <v>46167</v>
      </c>
    </row>
    <row r="17">
      <c r="A17" s="643">
        <v>16348.0</v>
      </c>
      <c r="B17" s="644">
        <v>46029.0</v>
      </c>
      <c r="C17" s="644"/>
      <c r="D17" s="643">
        <v>244646.12</v>
      </c>
      <c r="E17" s="654" t="b">
        <v>1</v>
      </c>
      <c r="F17" s="646" t="str">
        <f t="shared" si="1"/>
        <v>PAGADO</v>
      </c>
      <c r="G17" s="340" t="s">
        <v>2278</v>
      </c>
      <c r="H17" s="646" t="str">
        <f t="shared" si="2"/>
        <v>VENCIDA</v>
      </c>
      <c r="I17" s="647">
        <f t="shared" si="3"/>
        <v>46167</v>
      </c>
    </row>
    <row r="18">
      <c r="A18" s="643">
        <v>16543.0</v>
      </c>
      <c r="B18" s="644">
        <v>46048.0</v>
      </c>
      <c r="C18" s="644"/>
      <c r="D18" s="643">
        <v>326726.4</v>
      </c>
      <c r="E18" s="654" t="b">
        <v>1</v>
      </c>
      <c r="F18" s="646" t="str">
        <f t="shared" si="1"/>
        <v>PAGADO</v>
      </c>
      <c r="G18" s="340" t="s">
        <v>2276</v>
      </c>
      <c r="H18" s="646" t="str">
        <f t="shared" si="2"/>
        <v>VENCIDA</v>
      </c>
      <c r="I18" s="647">
        <f t="shared" si="3"/>
        <v>46167</v>
      </c>
    </row>
    <row r="19">
      <c r="A19" s="643">
        <v>16751.0</v>
      </c>
      <c r="B19" s="644">
        <v>46066.0</v>
      </c>
      <c r="C19" s="644"/>
      <c r="D19" s="643">
        <v>311527.79</v>
      </c>
      <c r="E19" s="645" t="b">
        <v>1</v>
      </c>
      <c r="F19" s="646" t="str">
        <f t="shared" si="1"/>
        <v>PAGADO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3">
        <v>17079.0</v>
      </c>
      <c r="B20" s="644">
        <v>46088.0</v>
      </c>
      <c r="C20" s="644"/>
      <c r="D20" s="643">
        <v>292619.47</v>
      </c>
      <c r="E20" s="645" t="b">
        <v>1</v>
      </c>
      <c r="F20" s="646" t="str">
        <f t="shared" si="1"/>
        <v>PAGADO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3">
        <v>17447.0</v>
      </c>
      <c r="B21" s="644">
        <v>46108.0</v>
      </c>
      <c r="C21" s="644"/>
      <c r="D21" s="643">
        <v>234095.58</v>
      </c>
      <c r="E21" s="645" t="b">
        <v>1</v>
      </c>
      <c r="F21" s="646" t="str">
        <f t="shared" si="1"/>
        <v>PAGADO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3">
        <v>17763.0</v>
      </c>
      <c r="B22" s="644">
        <v>46127.0</v>
      </c>
      <c r="C22" s="644"/>
      <c r="D22" s="643">
        <v>252206.31</v>
      </c>
      <c r="E22" s="645" t="b">
        <v>1</v>
      </c>
      <c r="F22" s="646" t="str">
        <f t="shared" si="1"/>
        <v>PAGADO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3">
        <v>18329.0</v>
      </c>
      <c r="B23" s="644">
        <v>46153.0</v>
      </c>
      <c r="C23" s="644"/>
      <c r="D23" s="643">
        <v>230458.8</v>
      </c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3"/>
      <c r="B24" s="644"/>
      <c r="C24" s="644"/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/>
      <c r="D25" s="643"/>
      <c r="E25" s="658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/>
      <c r="D26" s="643"/>
      <c r="E26" s="658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/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>
        <f t="shared" ref="C28:C132" si="4">B28+15</f>
        <v>15</v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46152</v>
      </c>
    </row>
    <row r="29">
      <c r="A29" s="644"/>
      <c r="B29" s="644"/>
      <c r="C29" s="644">
        <f t="shared" si="4"/>
        <v>15</v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46152</v>
      </c>
    </row>
    <row r="30">
      <c r="A30" s="644"/>
      <c r="B30" s="644"/>
      <c r="C30" s="644">
        <f t="shared" si="4"/>
        <v>15</v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46152</v>
      </c>
    </row>
    <row r="31">
      <c r="A31" s="644"/>
      <c r="B31" s="644"/>
      <c r="C31" s="644">
        <f t="shared" si="4"/>
        <v>15</v>
      </c>
      <c r="D31" s="643"/>
      <c r="E31" s="658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46152</v>
      </c>
    </row>
    <row r="32">
      <c r="A32" s="644"/>
      <c r="B32" s="644"/>
      <c r="C32" s="644">
        <f t="shared" si="4"/>
        <v>15</v>
      </c>
      <c r="D32" s="643"/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46152</v>
      </c>
    </row>
    <row r="33">
      <c r="A33" s="644"/>
      <c r="B33" s="644"/>
      <c r="C33" s="644">
        <f t="shared" si="4"/>
        <v>15</v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46152</v>
      </c>
    </row>
    <row r="34">
      <c r="A34" s="644"/>
      <c r="B34" s="644"/>
      <c r="C34" s="644">
        <f t="shared" si="4"/>
        <v>15</v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46152</v>
      </c>
    </row>
    <row r="35">
      <c r="A35" s="644"/>
      <c r="B35" s="644"/>
      <c r="C35" s="644">
        <f t="shared" si="4"/>
        <v>15</v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46152</v>
      </c>
    </row>
    <row r="36">
      <c r="A36" s="644"/>
      <c r="B36" s="644"/>
      <c r="C36" s="644">
        <f t="shared" si="4"/>
        <v>15</v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46152</v>
      </c>
    </row>
    <row r="37">
      <c r="A37" s="644"/>
      <c r="B37" s="644"/>
      <c r="C37" s="644">
        <f t="shared" si="4"/>
        <v>15</v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46152</v>
      </c>
    </row>
    <row r="38">
      <c r="A38" s="644"/>
      <c r="B38" s="644"/>
      <c r="C38" s="644">
        <f t="shared" si="4"/>
        <v>15</v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46152</v>
      </c>
    </row>
    <row r="39">
      <c r="A39" s="644"/>
      <c r="B39" s="644"/>
      <c r="C39" s="644">
        <f t="shared" si="4"/>
        <v>15</v>
      </c>
      <c r="D39" s="643"/>
      <c r="E39" s="658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46152</v>
      </c>
    </row>
    <row r="40">
      <c r="A40" s="644"/>
      <c r="B40" s="644"/>
      <c r="C40" s="644">
        <f t="shared" si="4"/>
        <v>15</v>
      </c>
      <c r="D40" s="643"/>
      <c r="E40" s="658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46152</v>
      </c>
    </row>
    <row r="41">
      <c r="A41" s="644"/>
      <c r="B41" s="644"/>
      <c r="C41" s="644">
        <f t="shared" si="4"/>
        <v>15</v>
      </c>
      <c r="D41" s="643"/>
      <c r="E41" s="658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46152</v>
      </c>
    </row>
    <row r="42">
      <c r="A42" s="644"/>
      <c r="B42" s="644"/>
      <c r="C42" s="644">
        <f t="shared" si="4"/>
        <v>15</v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46152</v>
      </c>
    </row>
    <row r="43">
      <c r="A43" s="644"/>
      <c r="B43" s="644"/>
      <c r="C43" s="644">
        <f t="shared" si="4"/>
        <v>15</v>
      </c>
      <c r="D43" s="643"/>
      <c r="E43" s="658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46152</v>
      </c>
    </row>
    <row r="44">
      <c r="A44" s="644"/>
      <c r="B44" s="644"/>
      <c r="C44" s="644">
        <f t="shared" si="4"/>
        <v>15</v>
      </c>
      <c r="D44" s="643"/>
      <c r="E44" s="658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46152</v>
      </c>
    </row>
    <row r="45">
      <c r="A45" s="644"/>
      <c r="B45" s="644"/>
      <c r="C45" s="644">
        <f t="shared" si="4"/>
        <v>15</v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46152</v>
      </c>
    </row>
    <row r="46">
      <c r="A46" s="644"/>
      <c r="B46" s="644"/>
      <c r="C46" s="644">
        <f t="shared" si="4"/>
        <v>15</v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46152</v>
      </c>
    </row>
    <row r="47">
      <c r="A47" s="644"/>
      <c r="B47" s="644"/>
      <c r="C47" s="644">
        <f t="shared" si="4"/>
        <v>15</v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46152</v>
      </c>
    </row>
    <row r="48">
      <c r="A48" s="644"/>
      <c r="B48" s="644"/>
      <c r="C48" s="644">
        <f t="shared" si="4"/>
        <v>15</v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46152</v>
      </c>
    </row>
    <row r="49">
      <c r="A49" s="644"/>
      <c r="B49" s="644"/>
      <c r="C49" s="644">
        <f t="shared" si="4"/>
        <v>15</v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46152</v>
      </c>
    </row>
    <row r="50">
      <c r="A50" s="644"/>
      <c r="B50" s="644"/>
      <c r="C50" s="644">
        <f t="shared" si="4"/>
        <v>15</v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46152</v>
      </c>
    </row>
    <row r="51">
      <c r="A51" s="644"/>
      <c r="B51" s="644"/>
      <c r="C51" s="644">
        <f t="shared" si="4"/>
        <v>15</v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46152</v>
      </c>
    </row>
    <row r="52">
      <c r="A52" s="644"/>
      <c r="B52" s="644"/>
      <c r="C52" s="644">
        <f t="shared" si="4"/>
        <v>15</v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46152</v>
      </c>
    </row>
    <row r="53">
      <c r="A53" s="644"/>
      <c r="B53" s="644"/>
      <c r="C53" s="644">
        <f t="shared" si="4"/>
        <v>15</v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46152</v>
      </c>
    </row>
    <row r="54">
      <c r="A54" s="644"/>
      <c r="B54" s="644"/>
      <c r="C54" s="644">
        <f t="shared" si="4"/>
        <v>15</v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46152</v>
      </c>
    </row>
    <row r="55">
      <c r="A55" s="644"/>
      <c r="B55" s="644"/>
      <c r="C55" s="644">
        <f t="shared" si="4"/>
        <v>15</v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46152</v>
      </c>
    </row>
    <row r="56">
      <c r="A56" s="644"/>
      <c r="B56" s="644"/>
      <c r="C56" s="644">
        <f t="shared" si="4"/>
        <v>15</v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46152</v>
      </c>
    </row>
    <row r="57">
      <c r="A57" s="644"/>
      <c r="B57" s="644"/>
      <c r="C57" s="644">
        <f t="shared" si="4"/>
        <v>15</v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46152</v>
      </c>
    </row>
    <row r="58">
      <c r="A58" s="644"/>
      <c r="B58" s="644"/>
      <c r="C58" s="644">
        <f t="shared" si="4"/>
        <v>15</v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46152</v>
      </c>
    </row>
    <row r="59">
      <c r="A59" s="644"/>
      <c r="B59" s="644"/>
      <c r="C59" s="644">
        <f t="shared" si="4"/>
        <v>15</v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46152</v>
      </c>
    </row>
    <row r="60">
      <c r="A60" s="644"/>
      <c r="B60" s="644"/>
      <c r="C60" s="644">
        <f t="shared" si="4"/>
        <v>15</v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46152</v>
      </c>
    </row>
    <row r="61">
      <c r="A61" s="644"/>
      <c r="B61" s="644"/>
      <c r="C61" s="644">
        <f t="shared" si="4"/>
        <v>15</v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46152</v>
      </c>
    </row>
    <row r="62">
      <c r="A62" s="644"/>
      <c r="B62" s="644"/>
      <c r="C62" s="644">
        <f t="shared" si="4"/>
        <v>15</v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46152</v>
      </c>
    </row>
    <row r="63">
      <c r="A63" s="644"/>
      <c r="B63" s="644"/>
      <c r="C63" s="644">
        <f t="shared" si="4"/>
        <v>15</v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46152</v>
      </c>
    </row>
    <row r="64">
      <c r="A64" s="644"/>
      <c r="B64" s="644"/>
      <c r="C64" s="644">
        <f t="shared" si="4"/>
        <v>15</v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46152</v>
      </c>
    </row>
    <row r="65">
      <c r="A65" s="644"/>
      <c r="B65" s="644"/>
      <c r="C65" s="644">
        <f t="shared" si="4"/>
        <v>15</v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46152</v>
      </c>
    </row>
    <row r="66">
      <c r="A66" s="644"/>
      <c r="B66" s="644"/>
      <c r="C66" s="644">
        <f t="shared" si="4"/>
        <v>15</v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46152</v>
      </c>
    </row>
    <row r="67">
      <c r="A67" s="644"/>
      <c r="B67" s="644"/>
      <c r="C67" s="644">
        <f t="shared" si="4"/>
        <v>15</v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46152</v>
      </c>
    </row>
    <row r="68">
      <c r="A68" s="644"/>
      <c r="B68" s="644"/>
      <c r="C68" s="644">
        <f t="shared" si="4"/>
        <v>15</v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46152</v>
      </c>
    </row>
    <row r="69">
      <c r="A69" s="644"/>
      <c r="B69" s="644"/>
      <c r="C69" s="644">
        <f t="shared" si="4"/>
        <v>15</v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46152</v>
      </c>
    </row>
    <row r="70">
      <c r="A70" s="644"/>
      <c r="B70" s="644"/>
      <c r="C70" s="644">
        <f t="shared" si="4"/>
        <v>15</v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46152</v>
      </c>
    </row>
    <row r="71">
      <c r="A71" s="644"/>
      <c r="B71" s="644"/>
      <c r="C71" s="644">
        <f t="shared" si="4"/>
        <v>15</v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46152</v>
      </c>
    </row>
    <row r="72">
      <c r="A72" s="644"/>
      <c r="B72" s="644"/>
      <c r="C72" s="644">
        <f t="shared" si="4"/>
        <v>15</v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46152</v>
      </c>
    </row>
    <row r="73">
      <c r="A73" s="644"/>
      <c r="B73" s="644"/>
      <c r="C73" s="644">
        <f t="shared" si="4"/>
        <v>15</v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46152</v>
      </c>
    </row>
    <row r="74">
      <c r="A74" s="644"/>
      <c r="B74" s="644"/>
      <c r="C74" s="644">
        <f t="shared" si="4"/>
        <v>15</v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46152</v>
      </c>
    </row>
    <row r="75">
      <c r="A75" s="644"/>
      <c r="B75" s="644"/>
      <c r="C75" s="644">
        <f t="shared" si="4"/>
        <v>15</v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46152</v>
      </c>
    </row>
    <row r="76">
      <c r="A76" s="644"/>
      <c r="B76" s="644"/>
      <c r="C76" s="644">
        <f t="shared" si="4"/>
        <v>15</v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46152</v>
      </c>
    </row>
    <row r="77">
      <c r="A77" s="644"/>
      <c r="B77" s="644"/>
      <c r="C77" s="644">
        <f t="shared" si="4"/>
        <v>15</v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46152</v>
      </c>
    </row>
    <row r="78">
      <c r="A78" s="644"/>
      <c r="B78" s="644"/>
      <c r="C78" s="644">
        <f t="shared" si="4"/>
        <v>15</v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46152</v>
      </c>
    </row>
    <row r="79">
      <c r="A79" s="644"/>
      <c r="B79" s="644"/>
      <c r="C79" s="644">
        <f t="shared" si="4"/>
        <v>15</v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46152</v>
      </c>
    </row>
    <row r="80">
      <c r="A80" s="644"/>
      <c r="B80" s="644"/>
      <c r="C80" s="644">
        <f t="shared" si="4"/>
        <v>15</v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46152</v>
      </c>
    </row>
    <row r="81">
      <c r="A81" s="644"/>
      <c r="B81" s="644"/>
      <c r="C81" s="644">
        <f t="shared" si="4"/>
        <v>15</v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46152</v>
      </c>
    </row>
    <row r="82">
      <c r="A82" s="644"/>
      <c r="B82" s="644"/>
      <c r="C82" s="644">
        <f t="shared" si="4"/>
        <v>15</v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46152</v>
      </c>
    </row>
    <row r="83">
      <c r="A83" s="644"/>
      <c r="B83" s="644"/>
      <c r="C83" s="644">
        <f t="shared" si="4"/>
        <v>15</v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46152</v>
      </c>
    </row>
    <row r="84">
      <c r="A84" s="644"/>
      <c r="B84" s="644"/>
      <c r="C84" s="644">
        <f t="shared" si="4"/>
        <v>15</v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46152</v>
      </c>
    </row>
    <row r="85">
      <c r="A85" s="644"/>
      <c r="B85" s="644"/>
      <c r="C85" s="644">
        <f t="shared" si="4"/>
        <v>15</v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46152</v>
      </c>
    </row>
    <row r="86">
      <c r="A86" s="644"/>
      <c r="B86" s="644"/>
      <c r="C86" s="644">
        <f t="shared" si="4"/>
        <v>15</v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46152</v>
      </c>
    </row>
    <row r="87">
      <c r="A87" s="644"/>
      <c r="B87" s="644"/>
      <c r="C87" s="644">
        <f t="shared" si="4"/>
        <v>15</v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46152</v>
      </c>
    </row>
    <row r="88">
      <c r="A88" s="644"/>
      <c r="B88" s="644"/>
      <c r="C88" s="644">
        <f t="shared" si="4"/>
        <v>15</v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46152</v>
      </c>
    </row>
    <row r="89">
      <c r="A89" s="644"/>
      <c r="B89" s="644"/>
      <c r="C89" s="644">
        <f t="shared" si="4"/>
        <v>15</v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46152</v>
      </c>
    </row>
    <row r="90">
      <c r="A90" s="644"/>
      <c r="B90" s="644"/>
      <c r="C90" s="644">
        <f t="shared" si="4"/>
        <v>15</v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46152</v>
      </c>
    </row>
    <row r="91">
      <c r="A91" s="644"/>
      <c r="B91" s="644"/>
      <c r="C91" s="644">
        <f t="shared" si="4"/>
        <v>15</v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46152</v>
      </c>
    </row>
    <row r="92">
      <c r="A92" s="644"/>
      <c r="B92" s="644"/>
      <c r="C92" s="644">
        <f t="shared" si="4"/>
        <v>15</v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46152</v>
      </c>
    </row>
    <row r="93">
      <c r="A93" s="644"/>
      <c r="B93" s="644"/>
      <c r="C93" s="644">
        <f t="shared" si="4"/>
        <v>15</v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46152</v>
      </c>
    </row>
    <row r="94">
      <c r="A94" s="644"/>
      <c r="B94" s="644"/>
      <c r="C94" s="644">
        <f t="shared" si="4"/>
        <v>15</v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46152</v>
      </c>
    </row>
    <row r="95">
      <c r="A95" s="644"/>
      <c r="B95" s="644"/>
      <c r="C95" s="644">
        <f t="shared" si="4"/>
        <v>15</v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46152</v>
      </c>
    </row>
    <row r="96">
      <c r="A96" s="644"/>
      <c r="B96" s="644"/>
      <c r="C96" s="644">
        <f t="shared" si="4"/>
        <v>15</v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46152</v>
      </c>
    </row>
    <row r="97">
      <c r="A97" s="644"/>
      <c r="B97" s="644"/>
      <c r="C97" s="644">
        <f t="shared" si="4"/>
        <v>15</v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46152</v>
      </c>
    </row>
    <row r="98">
      <c r="A98" s="644"/>
      <c r="B98" s="644"/>
      <c r="C98" s="644">
        <f t="shared" si="4"/>
        <v>15</v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46152</v>
      </c>
    </row>
    <row r="99">
      <c r="A99" s="644"/>
      <c r="B99" s="644"/>
      <c r="C99" s="644">
        <f t="shared" si="4"/>
        <v>15</v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46152</v>
      </c>
    </row>
    <row r="100">
      <c r="A100" s="644"/>
      <c r="B100" s="644"/>
      <c r="C100" s="644">
        <f t="shared" si="4"/>
        <v>15</v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46152</v>
      </c>
    </row>
    <row r="101">
      <c r="A101" s="644"/>
      <c r="B101" s="644"/>
      <c r="C101" s="644">
        <f t="shared" si="4"/>
        <v>15</v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46152</v>
      </c>
    </row>
    <row r="102">
      <c r="A102" s="644"/>
      <c r="B102" s="644"/>
      <c r="C102" s="644">
        <f t="shared" si="4"/>
        <v>15</v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46152</v>
      </c>
    </row>
    <row r="103">
      <c r="A103" s="644"/>
      <c r="B103" s="644"/>
      <c r="C103" s="644">
        <f t="shared" si="4"/>
        <v>15</v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46152</v>
      </c>
    </row>
    <row r="104">
      <c r="A104" s="644"/>
      <c r="B104" s="644"/>
      <c r="C104" s="644">
        <f t="shared" si="4"/>
        <v>15</v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46152</v>
      </c>
    </row>
    <row r="105">
      <c r="A105" s="644"/>
      <c r="B105" s="644"/>
      <c r="C105" s="644">
        <f t="shared" si="4"/>
        <v>15</v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46152</v>
      </c>
    </row>
    <row r="106">
      <c r="A106" s="644"/>
      <c r="B106" s="644"/>
      <c r="C106" s="644">
        <f t="shared" si="4"/>
        <v>15</v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46152</v>
      </c>
    </row>
    <row r="107">
      <c r="A107" s="644"/>
      <c r="B107" s="644"/>
      <c r="C107" s="644">
        <f t="shared" si="4"/>
        <v>15</v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46152</v>
      </c>
    </row>
    <row r="108">
      <c r="A108" s="644"/>
      <c r="B108" s="644"/>
      <c r="C108" s="644">
        <f t="shared" si="4"/>
        <v>15</v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46152</v>
      </c>
    </row>
    <row r="109">
      <c r="A109" s="644"/>
      <c r="B109" s="644"/>
      <c r="C109" s="644">
        <f t="shared" si="4"/>
        <v>15</v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46152</v>
      </c>
    </row>
    <row r="110">
      <c r="A110" s="644"/>
      <c r="B110" s="644"/>
      <c r="C110" s="644">
        <f t="shared" si="4"/>
        <v>15</v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46152</v>
      </c>
    </row>
    <row r="111">
      <c r="A111" s="644"/>
      <c r="B111" s="644"/>
      <c r="C111" s="644">
        <f t="shared" si="4"/>
        <v>15</v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46152</v>
      </c>
    </row>
    <row r="112">
      <c r="A112" s="644"/>
      <c r="B112" s="644"/>
      <c r="C112" s="644">
        <f t="shared" si="4"/>
        <v>15</v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46152</v>
      </c>
    </row>
    <row r="113">
      <c r="A113" s="644"/>
      <c r="B113" s="644"/>
      <c r="C113" s="644">
        <f t="shared" si="4"/>
        <v>15</v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46152</v>
      </c>
    </row>
    <row r="114">
      <c r="A114" s="644"/>
      <c r="B114" s="644"/>
      <c r="C114" s="644">
        <f t="shared" si="4"/>
        <v>15</v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46152</v>
      </c>
    </row>
    <row r="115">
      <c r="A115" s="644"/>
      <c r="B115" s="644"/>
      <c r="C115" s="644">
        <f t="shared" si="4"/>
        <v>15</v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46152</v>
      </c>
    </row>
    <row r="116">
      <c r="A116" s="644"/>
      <c r="B116" s="644"/>
      <c r="C116" s="644">
        <f t="shared" si="4"/>
        <v>15</v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46152</v>
      </c>
    </row>
    <row r="117">
      <c r="A117" s="644"/>
      <c r="B117" s="644"/>
      <c r="C117" s="644">
        <f t="shared" si="4"/>
        <v>15</v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46152</v>
      </c>
    </row>
    <row r="118">
      <c r="A118" s="644"/>
      <c r="B118" s="644"/>
      <c r="C118" s="644">
        <f t="shared" si="4"/>
        <v>15</v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46152</v>
      </c>
    </row>
    <row r="119">
      <c r="A119" s="644"/>
      <c r="B119" s="644"/>
      <c r="C119" s="644">
        <f t="shared" si="4"/>
        <v>15</v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46152</v>
      </c>
    </row>
    <row r="120">
      <c r="A120" s="644"/>
      <c r="B120" s="644"/>
      <c r="C120" s="644">
        <f t="shared" si="4"/>
        <v>15</v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46152</v>
      </c>
    </row>
    <row r="121">
      <c r="A121" s="644"/>
      <c r="B121" s="644"/>
      <c r="C121" s="644">
        <f t="shared" si="4"/>
        <v>15</v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46152</v>
      </c>
    </row>
    <row r="122">
      <c r="A122" s="644"/>
      <c r="B122" s="644"/>
      <c r="C122" s="644">
        <f t="shared" si="4"/>
        <v>15</v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46152</v>
      </c>
    </row>
    <row r="123">
      <c r="A123" s="644"/>
      <c r="B123" s="644"/>
      <c r="C123" s="644">
        <f t="shared" si="4"/>
        <v>15</v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46152</v>
      </c>
    </row>
    <row r="124">
      <c r="A124" s="644"/>
      <c r="B124" s="644"/>
      <c r="C124" s="644">
        <f t="shared" si="4"/>
        <v>15</v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46152</v>
      </c>
    </row>
    <row r="125">
      <c r="A125" s="644"/>
      <c r="B125" s="644"/>
      <c r="C125" s="644">
        <f t="shared" si="4"/>
        <v>15</v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46152</v>
      </c>
    </row>
    <row r="126">
      <c r="A126" s="644"/>
      <c r="B126" s="644"/>
      <c r="C126" s="644">
        <f t="shared" si="4"/>
        <v>15</v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46152</v>
      </c>
    </row>
    <row r="127">
      <c r="A127" s="644"/>
      <c r="B127" s="644"/>
      <c r="C127" s="644">
        <f t="shared" si="4"/>
        <v>15</v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46152</v>
      </c>
    </row>
    <row r="128">
      <c r="A128" s="644"/>
      <c r="B128" s="644"/>
      <c r="C128" s="644">
        <f t="shared" si="4"/>
        <v>15</v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46152</v>
      </c>
    </row>
    <row r="129">
      <c r="A129" s="644"/>
      <c r="B129" s="644"/>
      <c r="C129" s="644">
        <f t="shared" si="4"/>
        <v>15</v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46152</v>
      </c>
    </row>
    <row r="130">
      <c r="A130" s="644"/>
      <c r="B130" s="644"/>
      <c r="C130" s="644">
        <f t="shared" si="4"/>
        <v>15</v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46152</v>
      </c>
    </row>
    <row r="131">
      <c r="A131" s="644"/>
      <c r="B131" s="644"/>
      <c r="C131" s="644">
        <f t="shared" si="4"/>
        <v>15</v>
      </c>
      <c r="D131" s="643"/>
      <c r="E131" s="658" t="b">
        <v>0</v>
      </c>
      <c r="F131" s="646" t="str">
        <f t="shared" si="1"/>
        <v>ADEUDA</v>
      </c>
      <c r="G131" s="340" t="s">
        <v>2278</v>
      </c>
      <c r="H131" s="646" t="str">
        <f t="shared" si="2"/>
        <v>VENCIDA</v>
      </c>
      <c r="I131" s="647">
        <f t="shared" si="3"/>
        <v>46152</v>
      </c>
    </row>
    <row r="132">
      <c r="A132" s="644"/>
      <c r="B132" s="644"/>
      <c r="C132" s="644">
        <f t="shared" si="4"/>
        <v>15</v>
      </c>
      <c r="D132" s="643"/>
      <c r="E132" s="645" t="b">
        <v>1</v>
      </c>
      <c r="F132" s="646" t="str">
        <f t="shared" si="1"/>
        <v>PAGADO</v>
      </c>
      <c r="G132" s="340" t="s">
        <v>2278</v>
      </c>
      <c r="H132" s="646" t="str">
        <f t="shared" si="2"/>
        <v>VENCIDA</v>
      </c>
      <c r="I132" s="647">
        <f t="shared" si="3"/>
        <v>46152</v>
      </c>
    </row>
    <row r="134">
      <c r="C134" s="771"/>
    </row>
    <row r="135">
      <c r="C135" s="772" t="s">
        <v>55</v>
      </c>
      <c r="D135" s="3">
        <f>SUMIF(F4:F132,C135,D4:D132)</f>
        <v>230458.8</v>
      </c>
    </row>
    <row r="136">
      <c r="C136" s="773" t="s">
        <v>527</v>
      </c>
      <c r="D136" s="3">
        <f>SUMIF(F4:F132,C136,D4:D132)</f>
        <v>4170549.23</v>
      </c>
    </row>
    <row r="137">
      <c r="C137" s="697" t="s">
        <v>28</v>
      </c>
      <c r="D137" s="3">
        <f>D135+D136</f>
        <v>4401008.03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2428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2429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>
        <f>D5+D6</f>
        <v>822800</v>
      </c>
    </row>
    <row r="4">
      <c r="A4" s="643">
        <v>16.0</v>
      </c>
      <c r="B4" s="644">
        <v>45817.0</v>
      </c>
      <c r="C4" s="644">
        <f t="shared" ref="C4:C8" si="1">B4+4</f>
        <v>45821</v>
      </c>
      <c r="D4" s="643">
        <v>559020.0</v>
      </c>
      <c r="E4" s="645" t="b">
        <v>1</v>
      </c>
      <c r="F4" s="646" t="str">
        <f t="shared" ref="F4:F134" si="2">IF(E4,"PAGADO","ADEUDA")</f>
        <v>PAGADO</v>
      </c>
      <c r="G4" s="340" t="s">
        <v>2278</v>
      </c>
      <c r="H4" s="646" t="str">
        <f t="shared" ref="H4:H134" si="3">IF(C4&lt;TODAY(),"VENCIDA",IF(C4=TODAY(),"VENCE HOY",IF(C4&gt;TODAY(),"VIGENTE")))</f>
        <v>VENCIDA</v>
      </c>
      <c r="I4" s="647">
        <f t="shared" ref="I4:I8" si="4">TODAY()-C4</f>
        <v>346</v>
      </c>
      <c r="J4" s="768" t="s">
        <v>31</v>
      </c>
      <c r="K4" s="769">
        <f>D7+D8+D10</f>
        <v>1079925</v>
      </c>
    </row>
    <row r="5">
      <c r="A5" s="643">
        <v>19.0</v>
      </c>
      <c r="B5" s="644">
        <v>45827.0</v>
      </c>
      <c r="C5" s="644">
        <f t="shared" si="1"/>
        <v>45831</v>
      </c>
      <c r="D5" s="643">
        <v>381150.0</v>
      </c>
      <c r="E5" s="645" t="b">
        <v>1</v>
      </c>
      <c r="F5" s="646" t="str">
        <f t="shared" si="2"/>
        <v>PAGADO</v>
      </c>
      <c r="G5" s="340" t="s">
        <v>2278</v>
      </c>
      <c r="H5" s="646" t="str">
        <f t="shared" si="3"/>
        <v>VENCIDA</v>
      </c>
      <c r="I5" s="647">
        <f t="shared" si="4"/>
        <v>336</v>
      </c>
      <c r="J5" s="768" t="s">
        <v>35</v>
      </c>
      <c r="K5" s="770">
        <f>D11+D12+D14</f>
        <v>1312850</v>
      </c>
    </row>
    <row r="6">
      <c r="A6" s="643">
        <v>24.0</v>
      </c>
      <c r="B6" s="644">
        <v>45846.0</v>
      </c>
      <c r="C6" s="644">
        <f t="shared" si="1"/>
        <v>45850</v>
      </c>
      <c r="D6" s="643">
        <v>441650.0</v>
      </c>
      <c r="E6" s="645" t="b">
        <v>1</v>
      </c>
      <c r="F6" s="646" t="str">
        <f t="shared" si="2"/>
        <v>PAGADO</v>
      </c>
      <c r="G6" s="340" t="s">
        <v>2278</v>
      </c>
      <c r="H6" s="646" t="str">
        <f t="shared" si="3"/>
        <v>VENCIDA</v>
      </c>
      <c r="I6" s="647">
        <f t="shared" si="4"/>
        <v>317</v>
      </c>
      <c r="J6" s="768" t="s">
        <v>37</v>
      </c>
      <c r="K6" s="770">
        <f>D15+D16+D17+D18</f>
        <v>1524600</v>
      </c>
    </row>
    <row r="7">
      <c r="A7" s="643">
        <v>25.0</v>
      </c>
      <c r="B7" s="644">
        <v>45849.0</v>
      </c>
      <c r="C7" s="644">
        <f t="shared" si="1"/>
        <v>45853</v>
      </c>
      <c r="D7" s="643">
        <v>317625.0</v>
      </c>
      <c r="E7" s="645" t="b">
        <v>1</v>
      </c>
      <c r="F7" s="646" t="str">
        <f t="shared" si="2"/>
        <v>PAGADO</v>
      </c>
      <c r="G7" s="340" t="s">
        <v>2278</v>
      </c>
      <c r="H7" s="646" t="str">
        <f t="shared" si="3"/>
        <v>VENCIDA</v>
      </c>
      <c r="I7" s="647">
        <f t="shared" si="4"/>
        <v>314</v>
      </c>
      <c r="J7" s="768" t="s">
        <v>39</v>
      </c>
      <c r="K7" s="770"/>
    </row>
    <row r="8">
      <c r="A8" s="643">
        <v>26.0</v>
      </c>
      <c r="B8" s="644">
        <v>45855.0</v>
      </c>
      <c r="C8" s="644">
        <f t="shared" si="1"/>
        <v>45859</v>
      </c>
      <c r="D8" s="643">
        <v>381150.0</v>
      </c>
      <c r="E8" s="645" t="b">
        <v>1</v>
      </c>
      <c r="F8" s="646" t="str">
        <f t="shared" si="2"/>
        <v>PAGADO</v>
      </c>
      <c r="G8" s="340" t="s">
        <v>2278</v>
      </c>
      <c r="H8" s="646" t="str">
        <f t="shared" si="3"/>
        <v>VENCIDA</v>
      </c>
      <c r="I8" s="647">
        <f t="shared" si="4"/>
        <v>308</v>
      </c>
      <c r="J8" s="768" t="s">
        <v>41</v>
      </c>
      <c r="K8" s="770"/>
    </row>
    <row r="9">
      <c r="A9" s="643">
        <v>32.0</v>
      </c>
      <c r="B9" s="644">
        <v>45861.0</v>
      </c>
      <c r="C9" s="644"/>
      <c r="D9" s="643">
        <v>381150.0</v>
      </c>
      <c r="E9" s="645" t="b">
        <v>1</v>
      </c>
      <c r="F9" s="646" t="str">
        <f t="shared" si="2"/>
        <v>PAGADO</v>
      </c>
      <c r="G9" s="340" t="s">
        <v>2278</v>
      </c>
      <c r="H9" s="646" t="str">
        <f t="shared" si="3"/>
        <v>VENCIDA</v>
      </c>
      <c r="I9" s="647"/>
      <c r="J9" s="768"/>
      <c r="K9" s="770"/>
    </row>
    <row r="10">
      <c r="A10" s="643">
        <v>34.0</v>
      </c>
      <c r="B10" s="644">
        <v>45875.0</v>
      </c>
      <c r="C10" s="644">
        <f t="shared" ref="C10:C11" si="5">B10+4</f>
        <v>45879</v>
      </c>
      <c r="D10" s="643">
        <v>381150.0</v>
      </c>
      <c r="E10" s="645" t="b">
        <v>1</v>
      </c>
      <c r="F10" s="646" t="str">
        <f t="shared" si="2"/>
        <v>PAGADO</v>
      </c>
      <c r="G10" s="340" t="s">
        <v>2278</v>
      </c>
      <c r="H10" s="646" t="str">
        <f t="shared" si="3"/>
        <v>VENCIDA</v>
      </c>
      <c r="I10" s="647">
        <f t="shared" ref="I10:I12" si="6">TODAY()-C10</f>
        <v>288</v>
      </c>
      <c r="J10" s="768" t="s">
        <v>42</v>
      </c>
      <c r="K10" s="770">
        <f>D6+D7+D8</f>
        <v>1140425</v>
      </c>
    </row>
    <row r="11">
      <c r="A11" s="643">
        <v>35.0</v>
      </c>
      <c r="B11" s="644">
        <v>45880.0</v>
      </c>
      <c r="C11" s="644">
        <f t="shared" si="5"/>
        <v>45884</v>
      </c>
      <c r="D11" s="643">
        <v>465850.0</v>
      </c>
      <c r="E11" s="645" t="b">
        <v>1</v>
      </c>
      <c r="F11" s="646" t="str">
        <f t="shared" si="2"/>
        <v>PAGADO</v>
      </c>
      <c r="G11" s="340" t="s">
        <v>2278</v>
      </c>
      <c r="H11" s="646" t="str">
        <f t="shared" si="3"/>
        <v>VENCIDA</v>
      </c>
      <c r="I11" s="647">
        <f t="shared" si="6"/>
        <v>283</v>
      </c>
      <c r="J11" s="768" t="s">
        <v>43</v>
      </c>
      <c r="K11" s="770">
        <f>D10+D11+D12</f>
        <v>1228150</v>
      </c>
    </row>
    <row r="12">
      <c r="A12" s="643">
        <v>36.0</v>
      </c>
      <c r="B12" s="644">
        <v>45883.0</v>
      </c>
      <c r="C12" s="644"/>
      <c r="D12" s="643">
        <v>381150.0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6"/>
        <v>46167</v>
      </c>
      <c r="J12" s="768" t="s">
        <v>45</v>
      </c>
      <c r="K12" s="770"/>
    </row>
    <row r="13">
      <c r="A13" s="643">
        <v>40.0</v>
      </c>
      <c r="B13" s="644">
        <v>45904.0</v>
      </c>
      <c r="C13" s="644"/>
      <c r="D13" s="643">
        <v>381150.0</v>
      </c>
      <c r="E13" s="645" t="b">
        <v>1</v>
      </c>
      <c r="F13" s="646" t="str">
        <f t="shared" si="2"/>
        <v>PAGADO</v>
      </c>
      <c r="G13" s="340" t="s">
        <v>2278</v>
      </c>
      <c r="H13" s="646" t="str">
        <f t="shared" si="3"/>
        <v>VENCIDA</v>
      </c>
      <c r="I13" s="647"/>
      <c r="J13" s="768"/>
      <c r="K13" s="770"/>
    </row>
    <row r="14">
      <c r="A14" s="643">
        <v>41.0</v>
      </c>
      <c r="B14" s="644">
        <v>45915.0</v>
      </c>
      <c r="C14" s="644">
        <f t="shared" ref="C14:C26" si="7">B14+4</f>
        <v>45919</v>
      </c>
      <c r="D14" s="643">
        <v>465850.0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>
        <f t="shared" ref="I14:I134" si="8">TODAY()-C14</f>
        <v>248</v>
      </c>
      <c r="J14" s="768" t="s">
        <v>49</v>
      </c>
      <c r="K14" s="770"/>
    </row>
    <row r="15">
      <c r="A15" s="643">
        <v>44.0</v>
      </c>
      <c r="B15" s="644">
        <v>45924.0</v>
      </c>
      <c r="C15" s="644">
        <f t="shared" si="7"/>
        <v>45928</v>
      </c>
      <c r="D15" s="643">
        <v>381150.0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8"/>
        <v>239</v>
      </c>
      <c r="J15" s="768" t="s">
        <v>50</v>
      </c>
      <c r="K15" s="770"/>
    </row>
    <row r="16">
      <c r="A16" s="643">
        <v>46.0</v>
      </c>
      <c r="B16" s="644">
        <v>45929.0</v>
      </c>
      <c r="C16" s="644">
        <f t="shared" si="7"/>
        <v>45933</v>
      </c>
      <c r="D16" s="643">
        <v>381150.0</v>
      </c>
      <c r="E16" s="645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8"/>
        <v>234</v>
      </c>
      <c r="J16" s="768" t="s">
        <v>51</v>
      </c>
      <c r="K16" s="770"/>
    </row>
    <row r="17">
      <c r="A17" s="643">
        <v>49.0</v>
      </c>
      <c r="B17" s="644">
        <v>45937.0</v>
      </c>
      <c r="C17" s="644">
        <f t="shared" si="7"/>
        <v>45941</v>
      </c>
      <c r="D17" s="643">
        <v>381150.0</v>
      </c>
      <c r="E17" s="645" t="b">
        <v>1</v>
      </c>
      <c r="F17" s="646" t="str">
        <f t="shared" si="2"/>
        <v>PAGADO</v>
      </c>
      <c r="G17" s="340" t="s">
        <v>2278</v>
      </c>
      <c r="H17" s="646" t="str">
        <f t="shared" si="3"/>
        <v>VENCIDA</v>
      </c>
      <c r="I17" s="647">
        <f t="shared" si="8"/>
        <v>226</v>
      </c>
    </row>
    <row r="18">
      <c r="A18" s="643">
        <v>51.0</v>
      </c>
      <c r="B18" s="644">
        <v>45945.0</v>
      </c>
      <c r="C18" s="644">
        <f t="shared" si="7"/>
        <v>45949</v>
      </c>
      <c r="D18" s="643">
        <v>381150.0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8"/>
        <v>218</v>
      </c>
    </row>
    <row r="19">
      <c r="A19" s="643">
        <v>62.0</v>
      </c>
      <c r="B19" s="644">
        <v>45985.0</v>
      </c>
      <c r="C19" s="644">
        <f t="shared" si="7"/>
        <v>45989</v>
      </c>
      <c r="D19" s="643">
        <v>465850.0</v>
      </c>
      <c r="E19" s="654" t="b">
        <v>1</v>
      </c>
      <c r="F19" s="646" t="str">
        <f t="shared" si="2"/>
        <v>PAGADO</v>
      </c>
      <c r="G19" s="340" t="s">
        <v>2278</v>
      </c>
      <c r="H19" s="646" t="str">
        <f t="shared" si="3"/>
        <v>VENCIDA</v>
      </c>
      <c r="I19" s="647">
        <f t="shared" si="8"/>
        <v>178</v>
      </c>
    </row>
    <row r="20">
      <c r="A20" s="643"/>
      <c r="B20" s="644"/>
      <c r="C20" s="644">
        <f t="shared" si="7"/>
        <v>4</v>
      </c>
      <c r="D20" s="643"/>
      <c r="E20" s="654" t="b">
        <v>0</v>
      </c>
      <c r="F20" s="646" t="str">
        <f t="shared" si="2"/>
        <v>ADEUDA</v>
      </c>
      <c r="G20" s="340" t="s">
        <v>2278</v>
      </c>
      <c r="H20" s="646" t="str">
        <f t="shared" si="3"/>
        <v>VENCIDA</v>
      </c>
      <c r="I20" s="647">
        <f t="shared" si="8"/>
        <v>46163</v>
      </c>
    </row>
    <row r="21">
      <c r="A21" s="643"/>
      <c r="B21" s="644"/>
      <c r="C21" s="644">
        <f t="shared" si="7"/>
        <v>4</v>
      </c>
      <c r="D21" s="643"/>
      <c r="E21" s="658" t="b">
        <v>0</v>
      </c>
      <c r="F21" s="646" t="str">
        <f t="shared" si="2"/>
        <v>ADEUDA</v>
      </c>
      <c r="G21" s="340" t="s">
        <v>2278</v>
      </c>
      <c r="H21" s="646" t="str">
        <f t="shared" si="3"/>
        <v>VENCIDA</v>
      </c>
      <c r="I21" s="647">
        <f t="shared" si="8"/>
        <v>46163</v>
      </c>
    </row>
    <row r="22">
      <c r="A22" s="643"/>
      <c r="B22" s="644"/>
      <c r="C22" s="644">
        <f t="shared" si="7"/>
        <v>4</v>
      </c>
      <c r="D22" s="643"/>
      <c r="E22" s="658" t="b">
        <v>0</v>
      </c>
      <c r="F22" s="646" t="str">
        <f t="shared" si="2"/>
        <v>ADEUDA</v>
      </c>
      <c r="G22" s="340" t="s">
        <v>2278</v>
      </c>
      <c r="H22" s="646" t="str">
        <f t="shared" si="3"/>
        <v>VENCIDA</v>
      </c>
      <c r="I22" s="647">
        <f t="shared" si="8"/>
        <v>46163</v>
      </c>
    </row>
    <row r="23">
      <c r="A23" s="643"/>
      <c r="B23" s="644"/>
      <c r="C23" s="644">
        <f t="shared" si="7"/>
        <v>4</v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8"/>
        <v>46163</v>
      </c>
    </row>
    <row r="24">
      <c r="A24" s="644"/>
      <c r="B24" s="644"/>
      <c r="C24" s="644">
        <f t="shared" si="7"/>
        <v>4</v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8"/>
        <v>46163</v>
      </c>
    </row>
    <row r="25">
      <c r="A25" s="644"/>
      <c r="B25" s="644"/>
      <c r="C25" s="644">
        <f t="shared" si="7"/>
        <v>4</v>
      </c>
      <c r="D25" s="643"/>
      <c r="E25" s="658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8"/>
        <v>46163</v>
      </c>
    </row>
    <row r="26">
      <c r="A26" s="644"/>
      <c r="B26" s="644"/>
      <c r="C26" s="644">
        <f t="shared" si="7"/>
        <v>4</v>
      </c>
      <c r="D26" s="643"/>
      <c r="E26" s="658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8"/>
        <v>46163</v>
      </c>
    </row>
    <row r="27">
      <c r="A27" s="644"/>
      <c r="B27" s="644"/>
      <c r="C27" s="644">
        <f t="shared" ref="C27:C134" si="9">B27+15</f>
        <v>15</v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8"/>
        <v>46152</v>
      </c>
    </row>
    <row r="28">
      <c r="A28" s="644"/>
      <c r="B28" s="644"/>
      <c r="C28" s="644">
        <f t="shared" si="9"/>
        <v>15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8"/>
        <v>46152</v>
      </c>
    </row>
    <row r="29">
      <c r="A29" s="644"/>
      <c r="B29" s="644"/>
      <c r="C29" s="644">
        <f t="shared" si="9"/>
        <v>15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8"/>
        <v>46152</v>
      </c>
    </row>
    <row r="30">
      <c r="A30" s="644"/>
      <c r="B30" s="644"/>
      <c r="C30" s="644">
        <f t="shared" si="9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8"/>
        <v>46152</v>
      </c>
    </row>
    <row r="31">
      <c r="A31" s="644"/>
      <c r="B31" s="644"/>
      <c r="C31" s="644">
        <f t="shared" si="9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8"/>
        <v>46152</v>
      </c>
    </row>
    <row r="32">
      <c r="A32" s="644"/>
      <c r="B32" s="644"/>
      <c r="C32" s="644">
        <f t="shared" si="9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8"/>
        <v>46152</v>
      </c>
    </row>
    <row r="33">
      <c r="A33" s="644"/>
      <c r="B33" s="644"/>
      <c r="C33" s="644">
        <f t="shared" si="9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8"/>
        <v>46152</v>
      </c>
    </row>
    <row r="34">
      <c r="A34" s="644"/>
      <c r="B34" s="644"/>
      <c r="C34" s="644">
        <f t="shared" si="9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8"/>
        <v>46152</v>
      </c>
    </row>
    <row r="35">
      <c r="A35" s="644"/>
      <c r="B35" s="644"/>
      <c r="C35" s="644">
        <f t="shared" si="9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8"/>
        <v>46152</v>
      </c>
    </row>
    <row r="36">
      <c r="A36" s="644"/>
      <c r="B36" s="644"/>
      <c r="C36" s="644">
        <f t="shared" si="9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8"/>
        <v>46152</v>
      </c>
    </row>
    <row r="37">
      <c r="A37" s="644"/>
      <c r="B37" s="644"/>
      <c r="C37" s="644">
        <f t="shared" si="9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8"/>
        <v>46152</v>
      </c>
    </row>
    <row r="38">
      <c r="A38" s="644"/>
      <c r="B38" s="644"/>
      <c r="C38" s="644">
        <f t="shared" si="9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8"/>
        <v>46152</v>
      </c>
    </row>
    <row r="39">
      <c r="A39" s="644"/>
      <c r="B39" s="644"/>
      <c r="C39" s="644">
        <f t="shared" si="9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8"/>
        <v>46152</v>
      </c>
    </row>
    <row r="40">
      <c r="A40" s="644"/>
      <c r="B40" s="644"/>
      <c r="C40" s="644">
        <f t="shared" si="9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8"/>
        <v>46152</v>
      </c>
    </row>
    <row r="41">
      <c r="A41" s="644"/>
      <c r="B41" s="644"/>
      <c r="C41" s="644">
        <f t="shared" si="9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8"/>
        <v>46152</v>
      </c>
    </row>
    <row r="42">
      <c r="A42" s="644"/>
      <c r="B42" s="644"/>
      <c r="C42" s="644">
        <f t="shared" si="9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8"/>
        <v>46152</v>
      </c>
    </row>
    <row r="43">
      <c r="A43" s="644"/>
      <c r="B43" s="644"/>
      <c r="C43" s="644">
        <f t="shared" si="9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8"/>
        <v>46152</v>
      </c>
    </row>
    <row r="44">
      <c r="A44" s="644"/>
      <c r="B44" s="644"/>
      <c r="C44" s="644">
        <f t="shared" si="9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8"/>
        <v>46152</v>
      </c>
    </row>
    <row r="45">
      <c r="A45" s="644"/>
      <c r="B45" s="644"/>
      <c r="C45" s="644">
        <f t="shared" si="9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8"/>
        <v>46152</v>
      </c>
    </row>
    <row r="46">
      <c r="A46" s="644"/>
      <c r="B46" s="644"/>
      <c r="C46" s="644">
        <f t="shared" si="9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8"/>
        <v>46152</v>
      </c>
    </row>
    <row r="47">
      <c r="A47" s="644"/>
      <c r="B47" s="644"/>
      <c r="C47" s="644">
        <f t="shared" si="9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8"/>
        <v>46152</v>
      </c>
    </row>
    <row r="48">
      <c r="A48" s="644"/>
      <c r="B48" s="644"/>
      <c r="C48" s="644">
        <f t="shared" si="9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8"/>
        <v>46152</v>
      </c>
    </row>
    <row r="49">
      <c r="A49" s="644"/>
      <c r="B49" s="644"/>
      <c r="C49" s="644">
        <f t="shared" si="9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8"/>
        <v>46152</v>
      </c>
    </row>
    <row r="50">
      <c r="A50" s="644"/>
      <c r="B50" s="644"/>
      <c r="C50" s="644">
        <f t="shared" si="9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8"/>
        <v>46152</v>
      </c>
    </row>
    <row r="51">
      <c r="A51" s="644"/>
      <c r="B51" s="644"/>
      <c r="C51" s="644">
        <f t="shared" si="9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8"/>
        <v>46152</v>
      </c>
    </row>
    <row r="52">
      <c r="A52" s="644"/>
      <c r="B52" s="644"/>
      <c r="C52" s="644">
        <f t="shared" si="9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8"/>
        <v>46152</v>
      </c>
    </row>
    <row r="53">
      <c r="A53" s="644"/>
      <c r="B53" s="644"/>
      <c r="C53" s="644">
        <f t="shared" si="9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8"/>
        <v>46152</v>
      </c>
    </row>
    <row r="54">
      <c r="A54" s="644"/>
      <c r="B54" s="644"/>
      <c r="C54" s="644">
        <f t="shared" si="9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8"/>
        <v>46152</v>
      </c>
    </row>
    <row r="55">
      <c r="A55" s="644"/>
      <c r="B55" s="644"/>
      <c r="C55" s="644">
        <f t="shared" si="9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8"/>
        <v>46152</v>
      </c>
    </row>
    <row r="56">
      <c r="A56" s="644"/>
      <c r="B56" s="644"/>
      <c r="C56" s="644">
        <f t="shared" si="9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8"/>
        <v>46152</v>
      </c>
    </row>
    <row r="57">
      <c r="A57" s="644"/>
      <c r="B57" s="644"/>
      <c r="C57" s="644">
        <f t="shared" si="9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8"/>
        <v>46152</v>
      </c>
    </row>
    <row r="58">
      <c r="A58" s="644"/>
      <c r="B58" s="644"/>
      <c r="C58" s="644">
        <f t="shared" si="9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8"/>
        <v>46152</v>
      </c>
    </row>
    <row r="59">
      <c r="A59" s="644"/>
      <c r="B59" s="644"/>
      <c r="C59" s="644">
        <f t="shared" si="9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8"/>
        <v>46152</v>
      </c>
    </row>
    <row r="60">
      <c r="A60" s="644"/>
      <c r="B60" s="644"/>
      <c r="C60" s="644">
        <f t="shared" si="9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8"/>
        <v>46152</v>
      </c>
    </row>
    <row r="61">
      <c r="A61" s="644"/>
      <c r="B61" s="644"/>
      <c r="C61" s="644">
        <f t="shared" si="9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8"/>
        <v>46152</v>
      </c>
    </row>
    <row r="62">
      <c r="A62" s="644"/>
      <c r="B62" s="644"/>
      <c r="C62" s="644">
        <f t="shared" si="9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8"/>
        <v>46152</v>
      </c>
    </row>
    <row r="63">
      <c r="A63" s="644"/>
      <c r="B63" s="644"/>
      <c r="C63" s="644">
        <f t="shared" si="9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8"/>
        <v>46152</v>
      </c>
    </row>
    <row r="64">
      <c r="A64" s="644"/>
      <c r="B64" s="644"/>
      <c r="C64" s="644">
        <f t="shared" si="9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8"/>
        <v>46152</v>
      </c>
    </row>
    <row r="65">
      <c r="A65" s="644"/>
      <c r="B65" s="644"/>
      <c r="C65" s="644">
        <f t="shared" si="9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8"/>
        <v>46152</v>
      </c>
    </row>
    <row r="66">
      <c r="A66" s="644"/>
      <c r="B66" s="644"/>
      <c r="C66" s="644">
        <f t="shared" si="9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8"/>
        <v>46152</v>
      </c>
    </row>
    <row r="67">
      <c r="A67" s="644"/>
      <c r="B67" s="644"/>
      <c r="C67" s="644">
        <f t="shared" si="9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8"/>
        <v>46152</v>
      </c>
    </row>
    <row r="68">
      <c r="A68" s="644"/>
      <c r="B68" s="644"/>
      <c r="C68" s="644">
        <f t="shared" si="9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8"/>
        <v>46152</v>
      </c>
    </row>
    <row r="69">
      <c r="A69" s="644"/>
      <c r="B69" s="644"/>
      <c r="C69" s="644">
        <f t="shared" si="9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8"/>
        <v>46152</v>
      </c>
    </row>
    <row r="70">
      <c r="A70" s="644"/>
      <c r="B70" s="644"/>
      <c r="C70" s="644">
        <f t="shared" si="9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8"/>
        <v>46152</v>
      </c>
    </row>
    <row r="71">
      <c r="A71" s="644"/>
      <c r="B71" s="644"/>
      <c r="C71" s="644">
        <f t="shared" si="9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8"/>
        <v>46152</v>
      </c>
    </row>
    <row r="72">
      <c r="A72" s="644"/>
      <c r="B72" s="644"/>
      <c r="C72" s="644">
        <f t="shared" si="9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8"/>
        <v>46152</v>
      </c>
    </row>
    <row r="73">
      <c r="A73" s="644"/>
      <c r="B73" s="644"/>
      <c r="C73" s="644">
        <f t="shared" si="9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8"/>
        <v>46152</v>
      </c>
    </row>
    <row r="74">
      <c r="A74" s="644"/>
      <c r="B74" s="644"/>
      <c r="C74" s="644">
        <f t="shared" si="9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8"/>
        <v>46152</v>
      </c>
    </row>
    <row r="75">
      <c r="A75" s="644"/>
      <c r="B75" s="644"/>
      <c r="C75" s="644">
        <f t="shared" si="9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8"/>
        <v>46152</v>
      </c>
    </row>
    <row r="76">
      <c r="A76" s="644"/>
      <c r="B76" s="644"/>
      <c r="C76" s="644">
        <f t="shared" si="9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8"/>
        <v>46152</v>
      </c>
    </row>
    <row r="77">
      <c r="A77" s="644"/>
      <c r="B77" s="644"/>
      <c r="C77" s="644">
        <f t="shared" si="9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8"/>
        <v>46152</v>
      </c>
    </row>
    <row r="78">
      <c r="A78" s="644"/>
      <c r="B78" s="644"/>
      <c r="C78" s="644">
        <f t="shared" si="9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8"/>
        <v>46152</v>
      </c>
    </row>
    <row r="79">
      <c r="A79" s="644"/>
      <c r="B79" s="644"/>
      <c r="C79" s="644">
        <f t="shared" si="9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8"/>
        <v>46152</v>
      </c>
    </row>
    <row r="80">
      <c r="A80" s="644"/>
      <c r="B80" s="644"/>
      <c r="C80" s="644">
        <f t="shared" si="9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8"/>
        <v>46152</v>
      </c>
    </row>
    <row r="81">
      <c r="A81" s="644"/>
      <c r="B81" s="644"/>
      <c r="C81" s="644">
        <f t="shared" si="9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8"/>
        <v>46152</v>
      </c>
    </row>
    <row r="82">
      <c r="A82" s="644"/>
      <c r="B82" s="644"/>
      <c r="C82" s="644">
        <f t="shared" si="9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8"/>
        <v>46152</v>
      </c>
    </row>
    <row r="83">
      <c r="A83" s="644"/>
      <c r="B83" s="644"/>
      <c r="C83" s="644">
        <f t="shared" si="9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8"/>
        <v>46152</v>
      </c>
    </row>
    <row r="84">
      <c r="A84" s="644"/>
      <c r="B84" s="644"/>
      <c r="C84" s="644">
        <f t="shared" si="9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8"/>
        <v>46152</v>
      </c>
    </row>
    <row r="85">
      <c r="A85" s="644"/>
      <c r="B85" s="644"/>
      <c r="C85" s="644">
        <f t="shared" si="9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8"/>
        <v>46152</v>
      </c>
    </row>
    <row r="86">
      <c r="A86" s="644"/>
      <c r="B86" s="644"/>
      <c r="C86" s="644">
        <f t="shared" si="9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8"/>
        <v>46152</v>
      </c>
    </row>
    <row r="87">
      <c r="A87" s="644"/>
      <c r="B87" s="644"/>
      <c r="C87" s="644">
        <f t="shared" si="9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8"/>
        <v>46152</v>
      </c>
    </row>
    <row r="88">
      <c r="A88" s="644"/>
      <c r="B88" s="644"/>
      <c r="C88" s="644">
        <f t="shared" si="9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8"/>
        <v>46152</v>
      </c>
    </row>
    <row r="89">
      <c r="A89" s="644"/>
      <c r="B89" s="644"/>
      <c r="C89" s="644">
        <f t="shared" si="9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8"/>
        <v>46152</v>
      </c>
    </row>
    <row r="90">
      <c r="A90" s="644"/>
      <c r="B90" s="644"/>
      <c r="C90" s="644">
        <f t="shared" si="9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8"/>
        <v>46152</v>
      </c>
    </row>
    <row r="91">
      <c r="A91" s="644"/>
      <c r="B91" s="644"/>
      <c r="C91" s="644">
        <f t="shared" si="9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8"/>
        <v>46152</v>
      </c>
    </row>
    <row r="92">
      <c r="A92" s="644"/>
      <c r="B92" s="644"/>
      <c r="C92" s="644">
        <f t="shared" si="9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8"/>
        <v>46152</v>
      </c>
    </row>
    <row r="93">
      <c r="A93" s="644"/>
      <c r="B93" s="644"/>
      <c r="C93" s="644">
        <f t="shared" si="9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8"/>
        <v>46152</v>
      </c>
    </row>
    <row r="94">
      <c r="A94" s="644"/>
      <c r="B94" s="644"/>
      <c r="C94" s="644">
        <f t="shared" si="9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8"/>
        <v>46152</v>
      </c>
    </row>
    <row r="95">
      <c r="A95" s="644"/>
      <c r="B95" s="644"/>
      <c r="C95" s="644">
        <f t="shared" si="9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8"/>
        <v>46152</v>
      </c>
    </row>
    <row r="96">
      <c r="A96" s="644"/>
      <c r="B96" s="644"/>
      <c r="C96" s="644">
        <f t="shared" si="9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8"/>
        <v>46152</v>
      </c>
    </row>
    <row r="97">
      <c r="A97" s="644"/>
      <c r="B97" s="644"/>
      <c r="C97" s="644">
        <f t="shared" si="9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8"/>
        <v>46152</v>
      </c>
    </row>
    <row r="98">
      <c r="A98" s="644"/>
      <c r="B98" s="644"/>
      <c r="C98" s="644">
        <f t="shared" si="9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8"/>
        <v>46152</v>
      </c>
    </row>
    <row r="99">
      <c r="A99" s="644"/>
      <c r="B99" s="644"/>
      <c r="C99" s="644">
        <f t="shared" si="9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8"/>
        <v>46152</v>
      </c>
    </row>
    <row r="100">
      <c r="A100" s="644"/>
      <c r="B100" s="644"/>
      <c r="C100" s="644">
        <f t="shared" si="9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8"/>
        <v>46152</v>
      </c>
    </row>
    <row r="101">
      <c r="A101" s="644"/>
      <c r="B101" s="644"/>
      <c r="C101" s="644">
        <f t="shared" si="9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8"/>
        <v>46152</v>
      </c>
    </row>
    <row r="102">
      <c r="A102" s="644"/>
      <c r="B102" s="644"/>
      <c r="C102" s="644">
        <f t="shared" si="9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8"/>
        <v>46152</v>
      </c>
    </row>
    <row r="103">
      <c r="A103" s="644"/>
      <c r="B103" s="644"/>
      <c r="C103" s="644">
        <f t="shared" si="9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8"/>
        <v>46152</v>
      </c>
    </row>
    <row r="104">
      <c r="A104" s="644"/>
      <c r="B104" s="644"/>
      <c r="C104" s="644">
        <f t="shared" si="9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8"/>
        <v>46152</v>
      </c>
    </row>
    <row r="105">
      <c r="A105" s="644"/>
      <c r="B105" s="644"/>
      <c r="C105" s="644">
        <f t="shared" si="9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8"/>
        <v>46152</v>
      </c>
    </row>
    <row r="106">
      <c r="A106" s="644"/>
      <c r="B106" s="644"/>
      <c r="C106" s="644">
        <f t="shared" si="9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8"/>
        <v>46152</v>
      </c>
    </row>
    <row r="107">
      <c r="A107" s="644"/>
      <c r="B107" s="644"/>
      <c r="C107" s="644">
        <f t="shared" si="9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8"/>
        <v>46152</v>
      </c>
    </row>
    <row r="108">
      <c r="A108" s="644"/>
      <c r="B108" s="644"/>
      <c r="C108" s="644">
        <f t="shared" si="9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8"/>
        <v>46152</v>
      </c>
    </row>
    <row r="109">
      <c r="A109" s="644"/>
      <c r="B109" s="644"/>
      <c r="C109" s="644">
        <f t="shared" si="9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8"/>
        <v>46152</v>
      </c>
    </row>
    <row r="110">
      <c r="A110" s="644"/>
      <c r="B110" s="644"/>
      <c r="C110" s="644">
        <f t="shared" si="9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8"/>
        <v>46152</v>
      </c>
    </row>
    <row r="111">
      <c r="A111" s="644"/>
      <c r="B111" s="644"/>
      <c r="C111" s="644">
        <f t="shared" si="9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8"/>
        <v>46152</v>
      </c>
    </row>
    <row r="112">
      <c r="A112" s="644"/>
      <c r="B112" s="644"/>
      <c r="C112" s="644">
        <f t="shared" si="9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8"/>
        <v>46152</v>
      </c>
    </row>
    <row r="113">
      <c r="A113" s="644"/>
      <c r="B113" s="644"/>
      <c r="C113" s="644">
        <f t="shared" si="9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8"/>
        <v>46152</v>
      </c>
    </row>
    <row r="114">
      <c r="A114" s="644"/>
      <c r="B114" s="644"/>
      <c r="C114" s="644">
        <f t="shared" si="9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8"/>
        <v>46152</v>
      </c>
    </row>
    <row r="115">
      <c r="A115" s="644"/>
      <c r="B115" s="644"/>
      <c r="C115" s="644">
        <f t="shared" si="9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8"/>
        <v>46152</v>
      </c>
    </row>
    <row r="116">
      <c r="A116" s="644"/>
      <c r="B116" s="644"/>
      <c r="C116" s="644">
        <f t="shared" si="9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8"/>
        <v>46152</v>
      </c>
    </row>
    <row r="117">
      <c r="A117" s="644"/>
      <c r="B117" s="644"/>
      <c r="C117" s="644">
        <f t="shared" si="9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8"/>
        <v>46152</v>
      </c>
    </row>
    <row r="118">
      <c r="A118" s="644"/>
      <c r="B118" s="644"/>
      <c r="C118" s="644">
        <f t="shared" si="9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8"/>
        <v>46152</v>
      </c>
    </row>
    <row r="119">
      <c r="A119" s="644"/>
      <c r="B119" s="644"/>
      <c r="C119" s="644">
        <f t="shared" si="9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8"/>
        <v>46152</v>
      </c>
    </row>
    <row r="120">
      <c r="A120" s="644"/>
      <c r="B120" s="644"/>
      <c r="C120" s="644">
        <f t="shared" si="9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8"/>
        <v>46152</v>
      </c>
    </row>
    <row r="121">
      <c r="A121" s="644"/>
      <c r="B121" s="644"/>
      <c r="C121" s="644">
        <f t="shared" si="9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8"/>
        <v>46152</v>
      </c>
    </row>
    <row r="122">
      <c r="A122" s="644"/>
      <c r="B122" s="644"/>
      <c r="C122" s="644">
        <f t="shared" si="9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8"/>
        <v>46152</v>
      </c>
    </row>
    <row r="123">
      <c r="A123" s="644"/>
      <c r="B123" s="644"/>
      <c r="C123" s="644">
        <f t="shared" si="9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8"/>
        <v>46152</v>
      </c>
    </row>
    <row r="124">
      <c r="A124" s="644"/>
      <c r="B124" s="644"/>
      <c r="C124" s="644">
        <f t="shared" si="9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8"/>
        <v>46152</v>
      </c>
    </row>
    <row r="125">
      <c r="A125" s="644"/>
      <c r="B125" s="644"/>
      <c r="C125" s="644">
        <f t="shared" si="9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8"/>
        <v>46152</v>
      </c>
    </row>
    <row r="126">
      <c r="A126" s="644"/>
      <c r="B126" s="644"/>
      <c r="C126" s="644">
        <f t="shared" si="9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8"/>
        <v>46152</v>
      </c>
    </row>
    <row r="127">
      <c r="A127" s="644"/>
      <c r="B127" s="644"/>
      <c r="C127" s="644">
        <f t="shared" si="9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8"/>
        <v>46152</v>
      </c>
    </row>
    <row r="128">
      <c r="A128" s="644"/>
      <c r="B128" s="644"/>
      <c r="C128" s="644">
        <f t="shared" si="9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8"/>
        <v>46152</v>
      </c>
    </row>
    <row r="129">
      <c r="A129" s="644"/>
      <c r="B129" s="644"/>
      <c r="C129" s="644">
        <f t="shared" si="9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8"/>
        <v>46152</v>
      </c>
    </row>
    <row r="130">
      <c r="A130" s="644"/>
      <c r="B130" s="644"/>
      <c r="C130" s="644">
        <f t="shared" si="9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8"/>
        <v>46152</v>
      </c>
    </row>
    <row r="131">
      <c r="A131" s="644"/>
      <c r="B131" s="644"/>
      <c r="C131" s="644">
        <f t="shared" si="9"/>
        <v>15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8"/>
        <v>46152</v>
      </c>
    </row>
    <row r="132">
      <c r="A132" s="644"/>
      <c r="B132" s="644"/>
      <c r="C132" s="644">
        <f t="shared" si="9"/>
        <v>15</v>
      </c>
      <c r="D132" s="643"/>
      <c r="E132" s="658" t="b">
        <v>0</v>
      </c>
      <c r="F132" s="646" t="str">
        <f t="shared" si="2"/>
        <v>ADEUDA</v>
      </c>
      <c r="G132" s="340" t="s">
        <v>2278</v>
      </c>
      <c r="H132" s="646" t="str">
        <f t="shared" si="3"/>
        <v>VENCIDA</v>
      </c>
      <c r="I132" s="647">
        <f t="shared" si="8"/>
        <v>46152</v>
      </c>
    </row>
    <row r="133">
      <c r="A133" s="644"/>
      <c r="B133" s="644"/>
      <c r="C133" s="644">
        <f t="shared" si="9"/>
        <v>15</v>
      </c>
      <c r="D133" s="643"/>
      <c r="E133" s="658" t="b">
        <v>0</v>
      </c>
      <c r="F133" s="646" t="str">
        <f t="shared" si="2"/>
        <v>ADEUDA</v>
      </c>
      <c r="G133" s="340" t="s">
        <v>2278</v>
      </c>
      <c r="H133" s="646" t="str">
        <f t="shared" si="3"/>
        <v>VENCIDA</v>
      </c>
      <c r="I133" s="647">
        <f t="shared" si="8"/>
        <v>46152</v>
      </c>
    </row>
    <row r="134">
      <c r="A134" s="644"/>
      <c r="B134" s="644"/>
      <c r="C134" s="644">
        <f t="shared" si="9"/>
        <v>15</v>
      </c>
      <c r="D134" s="643"/>
      <c r="E134" s="645" t="b">
        <v>1</v>
      </c>
      <c r="F134" s="646" t="str">
        <f t="shared" si="2"/>
        <v>PAGADO</v>
      </c>
      <c r="G134" s="340" t="s">
        <v>2278</v>
      </c>
      <c r="H134" s="646" t="str">
        <f t="shared" si="3"/>
        <v>VENCIDA</v>
      </c>
      <c r="I134" s="647">
        <f t="shared" si="8"/>
        <v>46152</v>
      </c>
    </row>
    <row r="136">
      <c r="C136" s="771"/>
    </row>
    <row r="137">
      <c r="C137" s="772" t="s">
        <v>55</v>
      </c>
      <c r="D137" s="3">
        <f>SUMIF(F4:F134,C137,D4:D134)</f>
        <v>0</v>
      </c>
    </row>
    <row r="138">
      <c r="C138" s="773" t="s">
        <v>527</v>
      </c>
      <c r="D138" s="3">
        <f>SUMIF(F4:F134,C138,D4:D134)</f>
        <v>6527345</v>
      </c>
    </row>
    <row r="139">
      <c r="C139" s="697" t="s">
        <v>28</v>
      </c>
      <c r="D139" s="3">
        <f>D137+D138</f>
        <v>6527345</v>
      </c>
    </row>
  </sheetData>
  <mergeCells count="3">
    <mergeCell ref="A1:H1"/>
    <mergeCell ref="A2:I2"/>
    <mergeCell ref="E3:F3"/>
  </mergeCells>
  <conditionalFormatting sqref="F4:F134">
    <cfRule type="expression" dxfId="1" priority="1">
      <formula>F4="PAGADO"</formula>
    </cfRule>
  </conditionalFormatting>
  <conditionalFormatting sqref="F4:F134">
    <cfRule type="expression" dxfId="2" priority="2">
      <formula>F4="ADEUDA"</formula>
    </cfRule>
  </conditionalFormatting>
  <conditionalFormatting sqref="H4:H134">
    <cfRule type="cellIs" dxfId="3" priority="3" operator="equal">
      <formula>"VENCIDA"</formula>
    </cfRule>
  </conditionalFormatting>
  <conditionalFormatting sqref="H4:H134">
    <cfRule type="cellIs" dxfId="4" priority="4" operator="equal">
      <formula>"VIGENTE"</formula>
    </cfRule>
  </conditionalFormatting>
  <conditionalFormatting sqref="H4:H134">
    <cfRule type="cellIs" dxfId="2" priority="5" operator="equal">
      <formula>"VENCE HOY"</formula>
    </cfRule>
  </conditionalFormatting>
  <dataValidations>
    <dataValidation type="list" allowBlank="1" showErrorMessage="1" sqref="G4:G134">
      <formula1>"transferencia,mercado pago,efectivo"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2430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2431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>
        <f>D5+D6</f>
        <v>387395</v>
      </c>
    </row>
    <row r="4">
      <c r="A4" s="643" t="s">
        <v>2432</v>
      </c>
      <c r="B4" s="644">
        <v>46002.0</v>
      </c>
      <c r="C4" s="644"/>
      <c r="D4" s="643">
        <v>199500.0</v>
      </c>
      <c r="E4" s="645" t="b">
        <v>1</v>
      </c>
      <c r="F4" s="646" t="str">
        <f t="shared" ref="F4:F132" si="1">IF(E4,"PAGADO","ADEUDA")</f>
        <v>PAGADO</v>
      </c>
      <c r="G4" s="340" t="s">
        <v>2287</v>
      </c>
      <c r="H4" s="646" t="str">
        <f t="shared" ref="H4:H132" si="2">IF(C4&lt;TODAY(),"VENCIDA",IF(C4=TODAY(),"VENCE HOY",IF(C4&gt;TODAY(),"VIGENTE")))</f>
        <v>VENCIDA</v>
      </c>
      <c r="I4" s="647">
        <f t="shared" ref="I4:I8" si="3">TODAY()-C4</f>
        <v>46167</v>
      </c>
      <c r="J4" s="768" t="s">
        <v>31</v>
      </c>
      <c r="K4" s="769" t="str">
        <f>D7+D8+#REF!</f>
        <v>#REF!</v>
      </c>
    </row>
    <row r="5">
      <c r="A5" s="643">
        <v>350.0</v>
      </c>
      <c r="B5" s="644">
        <v>46002.0</v>
      </c>
      <c r="C5" s="644"/>
      <c r="D5" s="643">
        <v>241395.0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J5" s="768" t="s">
        <v>35</v>
      </c>
      <c r="K5" s="770" t="str">
        <f>#REF!+D10+D12</f>
        <v>#REF!</v>
      </c>
    </row>
    <row r="6">
      <c r="A6" s="643" t="s">
        <v>2433</v>
      </c>
      <c r="B6" s="644">
        <v>46008.0</v>
      </c>
      <c r="C6" s="644"/>
      <c r="D6" s="643">
        <v>146000.0</v>
      </c>
      <c r="E6" s="645" t="b">
        <v>1</v>
      </c>
      <c r="F6" s="646" t="str">
        <f t="shared" si="1"/>
        <v>PAGADO</v>
      </c>
      <c r="G6" s="340" t="s">
        <v>2287</v>
      </c>
      <c r="H6" s="646" t="str">
        <f t="shared" si="2"/>
        <v>VENCIDA</v>
      </c>
      <c r="I6" s="647">
        <f t="shared" si="3"/>
        <v>46167</v>
      </c>
      <c r="J6" s="768" t="s">
        <v>37</v>
      </c>
      <c r="K6" s="770">
        <f>D13+D14+D15+D16</f>
        <v>400045</v>
      </c>
    </row>
    <row r="7">
      <c r="A7" s="643">
        <v>367.0</v>
      </c>
      <c r="B7" s="644">
        <v>46008.0</v>
      </c>
      <c r="C7" s="644"/>
      <c r="D7" s="643">
        <v>220825.0</v>
      </c>
      <c r="E7" s="645" t="b">
        <v>1</v>
      </c>
      <c r="F7" s="646" t="str">
        <f t="shared" si="1"/>
        <v>PAGADO</v>
      </c>
      <c r="G7" s="340" t="s">
        <v>2276</v>
      </c>
      <c r="H7" s="646" t="str">
        <f t="shared" si="2"/>
        <v>VENCIDA</v>
      </c>
      <c r="I7" s="647">
        <f t="shared" si="3"/>
        <v>46167</v>
      </c>
      <c r="J7" s="768" t="s">
        <v>39</v>
      </c>
      <c r="K7" s="770"/>
    </row>
    <row r="8">
      <c r="A8" s="643">
        <v>382.0</v>
      </c>
      <c r="B8" s="644">
        <v>46015.0</v>
      </c>
      <c r="C8" s="644"/>
      <c r="D8" s="643">
        <v>102850.0</v>
      </c>
      <c r="E8" s="645" t="b">
        <v>1</v>
      </c>
      <c r="F8" s="646" t="str">
        <f t="shared" si="1"/>
        <v>PAGADO</v>
      </c>
      <c r="G8" s="340" t="s">
        <v>2276</v>
      </c>
      <c r="H8" s="646" t="str">
        <f t="shared" si="2"/>
        <v>VENCIDA</v>
      </c>
      <c r="I8" s="647">
        <f t="shared" si="3"/>
        <v>46167</v>
      </c>
      <c r="J8" s="768" t="s">
        <v>41</v>
      </c>
      <c r="K8" s="770"/>
    </row>
    <row r="9">
      <c r="A9" s="643">
        <v>286.0</v>
      </c>
      <c r="B9" s="644">
        <v>46015.0</v>
      </c>
      <c r="C9" s="644"/>
      <c r="D9" s="643">
        <v>85000.0</v>
      </c>
      <c r="E9" s="645" t="b">
        <v>1</v>
      </c>
      <c r="F9" s="646" t="str">
        <f t="shared" si="1"/>
        <v>PAGADO</v>
      </c>
      <c r="G9" s="340" t="s">
        <v>2287</v>
      </c>
      <c r="H9" s="646" t="str">
        <f t="shared" si="2"/>
        <v>VENCIDA</v>
      </c>
      <c r="I9" s="647"/>
      <c r="J9" s="768"/>
      <c r="K9" s="770"/>
    </row>
    <row r="10">
      <c r="A10" s="643">
        <v>398.0</v>
      </c>
      <c r="B10" s="644">
        <v>46027.0</v>
      </c>
      <c r="C10" s="644"/>
      <c r="D10" s="643">
        <v>132495.0</v>
      </c>
      <c r="E10" s="645" t="b">
        <v>1</v>
      </c>
      <c r="F10" s="646" t="str">
        <f t="shared" si="1"/>
        <v>PAGADO</v>
      </c>
      <c r="G10" s="340" t="s">
        <v>2287</v>
      </c>
      <c r="H10" s="646" t="str">
        <f t="shared" si="2"/>
        <v>VENCIDA</v>
      </c>
      <c r="I10" s="647">
        <f>TODAY()-C10</f>
        <v>46167</v>
      </c>
      <c r="J10" s="768" t="s">
        <v>45</v>
      </c>
      <c r="K10" s="770"/>
    </row>
    <row r="11">
      <c r="A11" s="643" t="s">
        <v>2434</v>
      </c>
      <c r="B11" s="644">
        <v>46027.0</v>
      </c>
      <c r="C11" s="644"/>
      <c r="D11" s="643">
        <v>109500.0</v>
      </c>
      <c r="E11" s="645" t="b">
        <v>1</v>
      </c>
      <c r="F11" s="646" t="str">
        <f t="shared" si="1"/>
        <v>PAGADO</v>
      </c>
      <c r="G11" s="340" t="s">
        <v>2278</v>
      </c>
      <c r="H11" s="646" t="str">
        <f t="shared" si="2"/>
        <v>VENCIDA</v>
      </c>
      <c r="I11" s="647"/>
      <c r="J11" s="768"/>
      <c r="K11" s="770"/>
    </row>
    <row r="12">
      <c r="A12" s="643"/>
      <c r="B12" s="643" t="s">
        <v>2435</v>
      </c>
      <c r="C12" s="643" t="s">
        <v>2436</v>
      </c>
      <c r="D12" s="643">
        <v>-93925.0</v>
      </c>
      <c r="E12" s="645" t="b">
        <v>1</v>
      </c>
      <c r="F12" s="646" t="str">
        <f t="shared" si="1"/>
        <v>PAGADO</v>
      </c>
      <c r="G12" s="340" t="s">
        <v>2278</v>
      </c>
      <c r="H12" s="646" t="str">
        <f t="shared" si="2"/>
        <v>VIGENTE</v>
      </c>
      <c r="I12" s="647" t="str">
        <f t="shared" ref="I12:I132" si="4">TODAY()-C12</f>
        <v>#VALUE!</v>
      </c>
      <c r="J12" s="768" t="s">
        <v>49</v>
      </c>
      <c r="K12" s="770"/>
    </row>
    <row r="13">
      <c r="A13" s="643"/>
      <c r="B13" s="643" t="s">
        <v>2437</v>
      </c>
      <c r="C13" s="643" t="s">
        <v>2436</v>
      </c>
      <c r="D13" s="643">
        <v>-39780.0</v>
      </c>
      <c r="E13" s="645" t="b">
        <v>1</v>
      </c>
      <c r="F13" s="646" t="str">
        <f t="shared" si="1"/>
        <v>PAGADO</v>
      </c>
      <c r="G13" s="340" t="s">
        <v>2278</v>
      </c>
      <c r="H13" s="646" t="str">
        <f t="shared" si="2"/>
        <v>VIGENTE</v>
      </c>
      <c r="I13" s="647" t="str">
        <f t="shared" si="4"/>
        <v>#VALUE!</v>
      </c>
      <c r="J13" s="768" t="s">
        <v>50</v>
      </c>
      <c r="K13" s="770"/>
    </row>
    <row r="14">
      <c r="A14" s="643">
        <v>405.0</v>
      </c>
      <c r="B14" s="644">
        <v>46034.0</v>
      </c>
      <c r="C14" s="644"/>
      <c r="D14" s="643">
        <v>220825.0</v>
      </c>
      <c r="E14" s="645" t="b">
        <v>1</v>
      </c>
      <c r="F14" s="646" t="str">
        <f t="shared" si="1"/>
        <v>PAGADO</v>
      </c>
      <c r="G14" s="340" t="s">
        <v>2278</v>
      </c>
      <c r="H14" s="646" t="str">
        <f t="shared" si="2"/>
        <v>VENCIDA</v>
      </c>
      <c r="I14" s="647">
        <f t="shared" si="4"/>
        <v>46167</v>
      </c>
      <c r="J14" s="768" t="s">
        <v>51</v>
      </c>
      <c r="K14" s="770">
        <f>SUM(D4:D11)</f>
        <v>1237565</v>
      </c>
    </row>
    <row r="15">
      <c r="A15" s="643" t="s">
        <v>2438</v>
      </c>
      <c r="B15" s="644">
        <v>46034.0</v>
      </c>
      <c r="C15" s="644"/>
      <c r="D15" s="643">
        <v>146000.0</v>
      </c>
      <c r="E15" s="645" t="b">
        <v>1</v>
      </c>
      <c r="F15" s="646" t="str">
        <f t="shared" si="1"/>
        <v>PAGADO</v>
      </c>
      <c r="G15" s="340" t="s">
        <v>2276</v>
      </c>
      <c r="H15" s="646" t="str">
        <f t="shared" si="2"/>
        <v>VENCIDA</v>
      </c>
      <c r="I15" s="647">
        <f t="shared" si="4"/>
        <v>46167</v>
      </c>
      <c r="J15" s="2" t="s">
        <v>2439</v>
      </c>
    </row>
    <row r="16">
      <c r="A16" s="643" t="s">
        <v>2440</v>
      </c>
      <c r="B16" s="644">
        <v>46036.0</v>
      </c>
      <c r="C16" s="644"/>
      <c r="D16" s="643">
        <v>73000.0</v>
      </c>
      <c r="E16" s="654" t="b">
        <v>1</v>
      </c>
      <c r="F16" s="646" t="str">
        <f t="shared" si="1"/>
        <v>PAGADO</v>
      </c>
      <c r="G16" s="340" t="s">
        <v>2287</v>
      </c>
      <c r="H16" s="646" t="str">
        <f t="shared" si="2"/>
        <v>VENCIDA</v>
      </c>
      <c r="I16" s="647">
        <f t="shared" si="4"/>
        <v>46167</v>
      </c>
    </row>
    <row r="17">
      <c r="A17" s="643">
        <v>417.0</v>
      </c>
      <c r="B17" s="644">
        <v>46036.0</v>
      </c>
      <c r="C17" s="644"/>
      <c r="D17" s="643">
        <v>88330.0</v>
      </c>
      <c r="E17" s="654" t="b">
        <v>1</v>
      </c>
      <c r="F17" s="646" t="str">
        <f t="shared" si="1"/>
        <v>PAGADO</v>
      </c>
      <c r="G17" s="340" t="s">
        <v>2287</v>
      </c>
      <c r="H17" s="646" t="str">
        <f t="shared" si="2"/>
        <v>VENCIDA</v>
      </c>
      <c r="I17" s="647">
        <f t="shared" si="4"/>
        <v>46167</v>
      </c>
    </row>
    <row r="18">
      <c r="A18" s="643" t="s">
        <v>2441</v>
      </c>
      <c r="B18" s="644">
        <v>46043.0</v>
      </c>
      <c r="C18" s="644">
        <f t="shared" ref="C18:C24" si="5">B18+4</f>
        <v>46047</v>
      </c>
      <c r="D18" s="643">
        <v>146000.0</v>
      </c>
      <c r="E18" s="654" t="b">
        <v>1</v>
      </c>
      <c r="F18" s="646" t="str">
        <f t="shared" si="1"/>
        <v>PAGADO</v>
      </c>
      <c r="G18" s="340" t="s">
        <v>2287</v>
      </c>
      <c r="H18" s="646" t="str">
        <f t="shared" si="2"/>
        <v>VENCIDA</v>
      </c>
      <c r="I18" s="647">
        <f t="shared" si="4"/>
        <v>120</v>
      </c>
    </row>
    <row r="19">
      <c r="A19" s="643">
        <v>429.0</v>
      </c>
      <c r="B19" s="644">
        <v>46043.0</v>
      </c>
      <c r="C19" s="644">
        <f t="shared" si="5"/>
        <v>46047</v>
      </c>
      <c r="D19" s="643">
        <v>220825.0</v>
      </c>
      <c r="E19" s="645" t="b">
        <v>1</v>
      </c>
      <c r="F19" s="646" t="str">
        <f t="shared" si="1"/>
        <v>PAGADO</v>
      </c>
      <c r="G19" s="340" t="s">
        <v>2276</v>
      </c>
      <c r="H19" s="646" t="str">
        <f t="shared" si="2"/>
        <v>VENCIDA</v>
      </c>
      <c r="I19" s="647">
        <f t="shared" si="4"/>
        <v>120</v>
      </c>
    </row>
    <row r="20">
      <c r="A20" s="643" t="s">
        <v>2442</v>
      </c>
      <c r="B20" s="644">
        <v>46064.0</v>
      </c>
      <c r="C20" s="644">
        <f t="shared" si="5"/>
        <v>46068</v>
      </c>
      <c r="D20" s="643">
        <v>219000.0</v>
      </c>
      <c r="E20" s="645" t="b">
        <v>1</v>
      </c>
      <c r="F20" s="646" t="str">
        <f t="shared" si="1"/>
        <v>PAGADO</v>
      </c>
      <c r="G20" s="340" t="s">
        <v>2287</v>
      </c>
      <c r="H20" s="646" t="str">
        <f t="shared" si="2"/>
        <v>VENCIDA</v>
      </c>
      <c r="I20" s="647">
        <f t="shared" si="4"/>
        <v>99</v>
      </c>
    </row>
    <row r="21">
      <c r="A21" s="643">
        <v>469.0</v>
      </c>
      <c r="B21" s="644">
        <v>46064.0</v>
      </c>
      <c r="C21" s="644">
        <f t="shared" si="5"/>
        <v>46068</v>
      </c>
      <c r="D21" s="643">
        <v>220825.0</v>
      </c>
      <c r="E21" s="645" t="b">
        <v>1</v>
      </c>
      <c r="F21" s="646" t="str">
        <f t="shared" si="1"/>
        <v>PAGADO</v>
      </c>
      <c r="G21" s="340" t="s">
        <v>2278</v>
      </c>
      <c r="H21" s="646" t="str">
        <f t="shared" si="2"/>
        <v>VENCIDA</v>
      </c>
      <c r="I21" s="647">
        <f t="shared" si="4"/>
        <v>99</v>
      </c>
    </row>
    <row r="22">
      <c r="A22" s="643">
        <v>499.0</v>
      </c>
      <c r="B22" s="644">
        <v>46078.0</v>
      </c>
      <c r="C22" s="644">
        <f t="shared" si="5"/>
        <v>46082</v>
      </c>
      <c r="D22" s="643">
        <v>229900.0</v>
      </c>
      <c r="E22" s="645" t="b">
        <v>1</v>
      </c>
      <c r="F22" s="646" t="str">
        <f t="shared" si="1"/>
        <v>PAGADO</v>
      </c>
      <c r="G22" s="340" t="s">
        <v>2278</v>
      </c>
      <c r="H22" s="646" t="str">
        <f t="shared" si="2"/>
        <v>VENCIDA</v>
      </c>
      <c r="I22" s="647">
        <f t="shared" si="4"/>
        <v>85</v>
      </c>
    </row>
    <row r="23">
      <c r="A23" s="643" t="s">
        <v>2443</v>
      </c>
      <c r="B23" s="644">
        <v>46078.0</v>
      </c>
      <c r="C23" s="644">
        <f t="shared" si="5"/>
        <v>46082</v>
      </c>
      <c r="D23" s="643">
        <v>190000.0</v>
      </c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4"/>
        <v>85</v>
      </c>
    </row>
    <row r="24">
      <c r="A24" s="643" t="s">
        <v>2444</v>
      </c>
      <c r="B24" s="644">
        <v>46085.0</v>
      </c>
      <c r="C24" s="644">
        <f t="shared" si="5"/>
        <v>46089</v>
      </c>
      <c r="D24" s="643">
        <v>74000.0</v>
      </c>
      <c r="E24" s="645" t="b">
        <v>1</v>
      </c>
      <c r="F24" s="646" t="str">
        <f t="shared" si="1"/>
        <v>PAGADO</v>
      </c>
      <c r="G24" s="340" t="s">
        <v>2287</v>
      </c>
      <c r="H24" s="646" t="str">
        <f t="shared" si="2"/>
        <v>VENCIDA</v>
      </c>
      <c r="I24" s="647">
        <f t="shared" si="4"/>
        <v>78</v>
      </c>
    </row>
    <row r="25">
      <c r="A25" s="643">
        <v>521.0</v>
      </c>
      <c r="B25" s="644">
        <v>46085.0</v>
      </c>
      <c r="C25" s="644">
        <f t="shared" ref="C25:C132" si="6">B25+15</f>
        <v>46100</v>
      </c>
      <c r="D25" s="643">
        <v>134310.0</v>
      </c>
      <c r="E25" s="658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4"/>
        <v>67</v>
      </c>
    </row>
    <row r="26">
      <c r="A26" s="643" t="s">
        <v>2445</v>
      </c>
      <c r="B26" s="644">
        <v>46092.0</v>
      </c>
      <c r="C26" s="644">
        <f t="shared" si="6"/>
        <v>46107</v>
      </c>
      <c r="D26" s="643">
        <v>111000.0</v>
      </c>
      <c r="E26" s="645" t="b">
        <v>1</v>
      </c>
      <c r="F26" s="646" t="str">
        <f t="shared" si="1"/>
        <v>PAGADO</v>
      </c>
      <c r="G26" s="340" t="s">
        <v>2287</v>
      </c>
      <c r="H26" s="646" t="str">
        <f t="shared" si="2"/>
        <v>VENCIDA</v>
      </c>
      <c r="I26" s="647">
        <f t="shared" si="4"/>
        <v>60</v>
      </c>
    </row>
    <row r="27">
      <c r="A27" s="643">
        <v>540.0</v>
      </c>
      <c r="B27" s="644">
        <v>46092.0</v>
      </c>
      <c r="C27" s="644">
        <f t="shared" si="6"/>
        <v>46107</v>
      </c>
      <c r="D27" s="643">
        <v>179866.5</v>
      </c>
      <c r="E27" s="645" t="b">
        <v>1</v>
      </c>
      <c r="F27" s="646" t="str">
        <f t="shared" si="1"/>
        <v>PAGADO</v>
      </c>
      <c r="G27" s="340" t="s">
        <v>2276</v>
      </c>
      <c r="H27" s="646" t="str">
        <f t="shared" si="2"/>
        <v>VENCIDA</v>
      </c>
      <c r="I27" s="647">
        <f t="shared" si="4"/>
        <v>60</v>
      </c>
    </row>
    <row r="28">
      <c r="A28" s="643" t="s">
        <v>2446</v>
      </c>
      <c r="B28" s="644">
        <v>46099.0</v>
      </c>
      <c r="C28" s="644">
        <f t="shared" si="6"/>
        <v>46114</v>
      </c>
      <c r="D28" s="643">
        <v>111000.0</v>
      </c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4"/>
        <v>53</v>
      </c>
      <c r="J28" s="2">
        <v>250.0</v>
      </c>
    </row>
    <row r="29">
      <c r="A29" s="643">
        <v>561.0</v>
      </c>
      <c r="B29" s="644">
        <v>46099.0</v>
      </c>
      <c r="C29" s="644">
        <f t="shared" si="6"/>
        <v>46114</v>
      </c>
      <c r="D29" s="643">
        <v>179080.0</v>
      </c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4"/>
        <v>53</v>
      </c>
      <c r="J29" s="2">
        <v>250.0</v>
      </c>
    </row>
    <row r="30">
      <c r="A30" s="643">
        <v>563.0</v>
      </c>
      <c r="B30" s="644">
        <v>46099.0</v>
      </c>
      <c r="C30" s="644">
        <f t="shared" si="6"/>
        <v>46114</v>
      </c>
      <c r="D30" s="643">
        <v>51425.0</v>
      </c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4"/>
        <v>53</v>
      </c>
    </row>
    <row r="31">
      <c r="A31" s="643">
        <v>584.0</v>
      </c>
      <c r="B31" s="644">
        <v>46106.0</v>
      </c>
      <c r="C31" s="644">
        <f t="shared" si="6"/>
        <v>46121</v>
      </c>
      <c r="D31" s="643">
        <v>51425.0</v>
      </c>
      <c r="E31" s="658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4"/>
        <v>46</v>
      </c>
    </row>
    <row r="32">
      <c r="A32" s="643">
        <v>583.0</v>
      </c>
      <c r="B32" s="644">
        <v>46106.0</v>
      </c>
      <c r="C32" s="644">
        <f t="shared" si="6"/>
        <v>46121</v>
      </c>
      <c r="D32" s="643">
        <v>223850.0</v>
      </c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4"/>
        <v>46</v>
      </c>
    </row>
    <row r="33">
      <c r="A33" s="643" t="s">
        <v>2447</v>
      </c>
      <c r="B33" s="644">
        <v>46106.0</v>
      </c>
      <c r="C33" s="644">
        <f t="shared" si="6"/>
        <v>46121</v>
      </c>
      <c r="D33" s="643">
        <v>148000.0</v>
      </c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4"/>
        <v>46</v>
      </c>
    </row>
    <row r="34">
      <c r="A34" s="643" t="s">
        <v>2448</v>
      </c>
      <c r="B34" s="644">
        <v>46120.0</v>
      </c>
      <c r="C34" s="644">
        <f t="shared" si="6"/>
        <v>46135</v>
      </c>
      <c r="D34" s="643">
        <v>74000.0</v>
      </c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4"/>
        <v>32</v>
      </c>
    </row>
    <row r="35">
      <c r="A35" s="643" t="s">
        <v>2449</v>
      </c>
      <c r="B35" s="644">
        <v>46120.0</v>
      </c>
      <c r="C35" s="644">
        <f t="shared" si="6"/>
        <v>46135</v>
      </c>
      <c r="D35" s="643">
        <v>128260.0</v>
      </c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4"/>
        <v>32</v>
      </c>
    </row>
    <row r="36">
      <c r="A36" s="644"/>
      <c r="B36" s="644"/>
      <c r="C36" s="644">
        <f t="shared" si="6"/>
        <v>15</v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4"/>
        <v>46152</v>
      </c>
    </row>
    <row r="37">
      <c r="A37" s="644"/>
      <c r="B37" s="644"/>
      <c r="C37" s="644">
        <f t="shared" si="6"/>
        <v>15</v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4"/>
        <v>46152</v>
      </c>
    </row>
    <row r="38">
      <c r="A38" s="644"/>
      <c r="B38" s="644"/>
      <c r="C38" s="644">
        <f t="shared" si="6"/>
        <v>15</v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4"/>
        <v>46152</v>
      </c>
    </row>
    <row r="39">
      <c r="A39" s="644"/>
      <c r="B39" s="644"/>
      <c r="C39" s="644">
        <f t="shared" si="6"/>
        <v>15</v>
      </c>
      <c r="D39" s="643"/>
      <c r="E39" s="658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4"/>
        <v>46152</v>
      </c>
    </row>
    <row r="40">
      <c r="A40" s="644"/>
      <c r="B40" s="644"/>
      <c r="C40" s="644">
        <f t="shared" si="6"/>
        <v>15</v>
      </c>
      <c r="D40" s="643"/>
      <c r="E40" s="658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4"/>
        <v>46152</v>
      </c>
    </row>
    <row r="41">
      <c r="A41" s="644"/>
      <c r="B41" s="644"/>
      <c r="C41" s="644">
        <f t="shared" si="6"/>
        <v>15</v>
      </c>
      <c r="D41" s="643"/>
      <c r="E41" s="658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4"/>
        <v>46152</v>
      </c>
    </row>
    <row r="42">
      <c r="A42" s="644"/>
      <c r="B42" s="644"/>
      <c r="C42" s="644">
        <f t="shared" si="6"/>
        <v>15</v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4"/>
        <v>46152</v>
      </c>
    </row>
    <row r="43">
      <c r="A43" s="644"/>
      <c r="B43" s="644"/>
      <c r="C43" s="644">
        <f t="shared" si="6"/>
        <v>15</v>
      </c>
      <c r="D43" s="643"/>
      <c r="E43" s="658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4"/>
        <v>46152</v>
      </c>
    </row>
    <row r="44">
      <c r="A44" s="644"/>
      <c r="B44" s="644"/>
      <c r="C44" s="644">
        <f t="shared" si="6"/>
        <v>15</v>
      </c>
      <c r="D44" s="643"/>
      <c r="E44" s="658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4"/>
        <v>46152</v>
      </c>
    </row>
    <row r="45">
      <c r="A45" s="644"/>
      <c r="B45" s="644"/>
      <c r="C45" s="644">
        <f t="shared" si="6"/>
        <v>15</v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4"/>
        <v>46152</v>
      </c>
    </row>
    <row r="46">
      <c r="A46" s="644"/>
      <c r="B46" s="644"/>
      <c r="C46" s="644">
        <f t="shared" si="6"/>
        <v>15</v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4"/>
        <v>46152</v>
      </c>
    </row>
    <row r="47">
      <c r="A47" s="644"/>
      <c r="B47" s="644"/>
      <c r="C47" s="644">
        <f t="shared" si="6"/>
        <v>15</v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4"/>
        <v>46152</v>
      </c>
    </row>
    <row r="48">
      <c r="A48" s="644"/>
      <c r="B48" s="644"/>
      <c r="C48" s="644">
        <f t="shared" si="6"/>
        <v>15</v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4"/>
        <v>46152</v>
      </c>
    </row>
    <row r="49">
      <c r="A49" s="644"/>
      <c r="B49" s="644"/>
      <c r="C49" s="644">
        <f t="shared" si="6"/>
        <v>15</v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4"/>
        <v>46152</v>
      </c>
    </row>
    <row r="50">
      <c r="A50" s="644"/>
      <c r="B50" s="644"/>
      <c r="C50" s="644">
        <f t="shared" si="6"/>
        <v>15</v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4"/>
        <v>46152</v>
      </c>
    </row>
    <row r="51">
      <c r="A51" s="644"/>
      <c r="B51" s="644"/>
      <c r="C51" s="644">
        <f t="shared" si="6"/>
        <v>15</v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4"/>
        <v>46152</v>
      </c>
    </row>
    <row r="52">
      <c r="A52" s="644"/>
      <c r="B52" s="644"/>
      <c r="C52" s="644">
        <f t="shared" si="6"/>
        <v>15</v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4"/>
        <v>46152</v>
      </c>
    </row>
    <row r="53">
      <c r="A53" s="644"/>
      <c r="B53" s="644"/>
      <c r="C53" s="644">
        <f t="shared" si="6"/>
        <v>15</v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4"/>
        <v>46152</v>
      </c>
    </row>
    <row r="54">
      <c r="A54" s="644"/>
      <c r="B54" s="644"/>
      <c r="C54" s="644">
        <f t="shared" si="6"/>
        <v>15</v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4"/>
        <v>46152</v>
      </c>
    </row>
    <row r="55">
      <c r="A55" s="644"/>
      <c r="B55" s="644"/>
      <c r="C55" s="644">
        <f t="shared" si="6"/>
        <v>15</v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4"/>
        <v>46152</v>
      </c>
    </row>
    <row r="56">
      <c r="A56" s="644"/>
      <c r="B56" s="644"/>
      <c r="C56" s="644">
        <f t="shared" si="6"/>
        <v>15</v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4"/>
        <v>46152</v>
      </c>
    </row>
    <row r="57">
      <c r="A57" s="644"/>
      <c r="B57" s="644"/>
      <c r="C57" s="644">
        <f t="shared" si="6"/>
        <v>15</v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4"/>
        <v>46152</v>
      </c>
    </row>
    <row r="58">
      <c r="A58" s="644"/>
      <c r="B58" s="644"/>
      <c r="C58" s="644">
        <f t="shared" si="6"/>
        <v>15</v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4"/>
        <v>46152</v>
      </c>
    </row>
    <row r="59">
      <c r="A59" s="644"/>
      <c r="B59" s="644"/>
      <c r="C59" s="644">
        <f t="shared" si="6"/>
        <v>15</v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4"/>
        <v>46152</v>
      </c>
    </row>
    <row r="60">
      <c r="A60" s="644"/>
      <c r="B60" s="644"/>
      <c r="C60" s="644">
        <f t="shared" si="6"/>
        <v>15</v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4"/>
        <v>46152</v>
      </c>
    </row>
    <row r="61">
      <c r="A61" s="644"/>
      <c r="B61" s="644"/>
      <c r="C61" s="644">
        <f t="shared" si="6"/>
        <v>15</v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4"/>
        <v>46152</v>
      </c>
    </row>
    <row r="62">
      <c r="A62" s="644"/>
      <c r="B62" s="644"/>
      <c r="C62" s="644">
        <f t="shared" si="6"/>
        <v>15</v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4"/>
        <v>46152</v>
      </c>
    </row>
    <row r="63">
      <c r="A63" s="644"/>
      <c r="B63" s="644"/>
      <c r="C63" s="644">
        <f t="shared" si="6"/>
        <v>15</v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4"/>
        <v>46152</v>
      </c>
    </row>
    <row r="64">
      <c r="A64" s="644"/>
      <c r="B64" s="644"/>
      <c r="C64" s="644">
        <f t="shared" si="6"/>
        <v>15</v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4"/>
        <v>46152</v>
      </c>
    </row>
    <row r="65">
      <c r="A65" s="644"/>
      <c r="B65" s="644"/>
      <c r="C65" s="644">
        <f t="shared" si="6"/>
        <v>15</v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4"/>
        <v>46152</v>
      </c>
    </row>
    <row r="66">
      <c r="A66" s="644"/>
      <c r="B66" s="644"/>
      <c r="C66" s="644">
        <f t="shared" si="6"/>
        <v>15</v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4"/>
        <v>46152</v>
      </c>
    </row>
    <row r="67">
      <c r="A67" s="644"/>
      <c r="B67" s="644"/>
      <c r="C67" s="644">
        <f t="shared" si="6"/>
        <v>15</v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4"/>
        <v>46152</v>
      </c>
    </row>
    <row r="68">
      <c r="A68" s="644"/>
      <c r="B68" s="644"/>
      <c r="C68" s="644">
        <f t="shared" si="6"/>
        <v>15</v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4"/>
        <v>46152</v>
      </c>
    </row>
    <row r="69">
      <c r="A69" s="644"/>
      <c r="B69" s="644"/>
      <c r="C69" s="644">
        <f t="shared" si="6"/>
        <v>15</v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4"/>
        <v>46152</v>
      </c>
    </row>
    <row r="70">
      <c r="A70" s="644"/>
      <c r="B70" s="644"/>
      <c r="C70" s="644">
        <f t="shared" si="6"/>
        <v>15</v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4"/>
        <v>46152</v>
      </c>
    </row>
    <row r="71">
      <c r="A71" s="644"/>
      <c r="B71" s="644"/>
      <c r="C71" s="644">
        <f t="shared" si="6"/>
        <v>15</v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4"/>
        <v>46152</v>
      </c>
    </row>
    <row r="72">
      <c r="A72" s="644"/>
      <c r="B72" s="644"/>
      <c r="C72" s="644">
        <f t="shared" si="6"/>
        <v>15</v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4"/>
        <v>46152</v>
      </c>
    </row>
    <row r="73">
      <c r="A73" s="644"/>
      <c r="B73" s="644"/>
      <c r="C73" s="644">
        <f t="shared" si="6"/>
        <v>15</v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4"/>
        <v>46152</v>
      </c>
    </row>
    <row r="74">
      <c r="A74" s="644"/>
      <c r="B74" s="644"/>
      <c r="C74" s="644">
        <f t="shared" si="6"/>
        <v>15</v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4"/>
        <v>46152</v>
      </c>
    </row>
    <row r="75">
      <c r="A75" s="644"/>
      <c r="B75" s="644"/>
      <c r="C75" s="644">
        <f t="shared" si="6"/>
        <v>15</v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4"/>
        <v>46152</v>
      </c>
    </row>
    <row r="76">
      <c r="A76" s="644"/>
      <c r="B76" s="644"/>
      <c r="C76" s="644">
        <f t="shared" si="6"/>
        <v>15</v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4"/>
        <v>46152</v>
      </c>
    </row>
    <row r="77">
      <c r="A77" s="644"/>
      <c r="B77" s="644"/>
      <c r="C77" s="644">
        <f t="shared" si="6"/>
        <v>15</v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4"/>
        <v>46152</v>
      </c>
    </row>
    <row r="78">
      <c r="A78" s="644"/>
      <c r="B78" s="644"/>
      <c r="C78" s="644">
        <f t="shared" si="6"/>
        <v>15</v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4"/>
        <v>46152</v>
      </c>
    </row>
    <row r="79">
      <c r="A79" s="644"/>
      <c r="B79" s="644"/>
      <c r="C79" s="644">
        <f t="shared" si="6"/>
        <v>15</v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4"/>
        <v>46152</v>
      </c>
    </row>
    <row r="80">
      <c r="A80" s="644"/>
      <c r="B80" s="644"/>
      <c r="C80" s="644">
        <f t="shared" si="6"/>
        <v>15</v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4"/>
        <v>46152</v>
      </c>
    </row>
    <row r="81">
      <c r="A81" s="644"/>
      <c r="B81" s="644"/>
      <c r="C81" s="644">
        <f t="shared" si="6"/>
        <v>15</v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4"/>
        <v>46152</v>
      </c>
    </row>
    <row r="82">
      <c r="A82" s="644"/>
      <c r="B82" s="644"/>
      <c r="C82" s="644">
        <f t="shared" si="6"/>
        <v>15</v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4"/>
        <v>46152</v>
      </c>
    </row>
    <row r="83">
      <c r="A83" s="644"/>
      <c r="B83" s="644"/>
      <c r="C83" s="644">
        <f t="shared" si="6"/>
        <v>15</v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4"/>
        <v>46152</v>
      </c>
    </row>
    <row r="84">
      <c r="A84" s="644"/>
      <c r="B84" s="644"/>
      <c r="C84" s="644">
        <f t="shared" si="6"/>
        <v>15</v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4"/>
        <v>46152</v>
      </c>
    </row>
    <row r="85">
      <c r="A85" s="644"/>
      <c r="B85" s="644"/>
      <c r="C85" s="644">
        <f t="shared" si="6"/>
        <v>15</v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4"/>
        <v>46152</v>
      </c>
    </row>
    <row r="86">
      <c r="A86" s="644"/>
      <c r="B86" s="644"/>
      <c r="C86" s="644">
        <f t="shared" si="6"/>
        <v>15</v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4"/>
        <v>46152</v>
      </c>
    </row>
    <row r="87">
      <c r="A87" s="644"/>
      <c r="B87" s="644"/>
      <c r="C87" s="644">
        <f t="shared" si="6"/>
        <v>15</v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4"/>
        <v>46152</v>
      </c>
    </row>
    <row r="88">
      <c r="A88" s="644"/>
      <c r="B88" s="644"/>
      <c r="C88" s="644">
        <f t="shared" si="6"/>
        <v>15</v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4"/>
        <v>46152</v>
      </c>
    </row>
    <row r="89">
      <c r="A89" s="644"/>
      <c r="B89" s="644"/>
      <c r="C89" s="644">
        <f t="shared" si="6"/>
        <v>15</v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4"/>
        <v>46152</v>
      </c>
    </row>
    <row r="90">
      <c r="A90" s="644"/>
      <c r="B90" s="644"/>
      <c r="C90" s="644">
        <f t="shared" si="6"/>
        <v>15</v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4"/>
        <v>46152</v>
      </c>
    </row>
    <row r="91">
      <c r="A91" s="644"/>
      <c r="B91" s="644"/>
      <c r="C91" s="644">
        <f t="shared" si="6"/>
        <v>15</v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4"/>
        <v>46152</v>
      </c>
    </row>
    <row r="92">
      <c r="A92" s="644"/>
      <c r="B92" s="644"/>
      <c r="C92" s="644">
        <f t="shared" si="6"/>
        <v>15</v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4"/>
        <v>46152</v>
      </c>
    </row>
    <row r="93">
      <c r="A93" s="644"/>
      <c r="B93" s="644"/>
      <c r="C93" s="644">
        <f t="shared" si="6"/>
        <v>15</v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4"/>
        <v>46152</v>
      </c>
    </row>
    <row r="94">
      <c r="A94" s="644"/>
      <c r="B94" s="644"/>
      <c r="C94" s="644">
        <f t="shared" si="6"/>
        <v>15</v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4"/>
        <v>46152</v>
      </c>
    </row>
    <row r="95">
      <c r="A95" s="644"/>
      <c r="B95" s="644"/>
      <c r="C95" s="644">
        <f t="shared" si="6"/>
        <v>15</v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4"/>
        <v>46152</v>
      </c>
    </row>
    <row r="96">
      <c r="A96" s="644"/>
      <c r="B96" s="644"/>
      <c r="C96" s="644">
        <f t="shared" si="6"/>
        <v>15</v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4"/>
        <v>46152</v>
      </c>
    </row>
    <row r="97">
      <c r="A97" s="644"/>
      <c r="B97" s="644"/>
      <c r="C97" s="644">
        <f t="shared" si="6"/>
        <v>15</v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4"/>
        <v>46152</v>
      </c>
    </row>
    <row r="98">
      <c r="A98" s="644"/>
      <c r="B98" s="644"/>
      <c r="C98" s="644">
        <f t="shared" si="6"/>
        <v>15</v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4"/>
        <v>46152</v>
      </c>
    </row>
    <row r="99">
      <c r="A99" s="644"/>
      <c r="B99" s="644"/>
      <c r="C99" s="644">
        <f t="shared" si="6"/>
        <v>15</v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4"/>
        <v>46152</v>
      </c>
    </row>
    <row r="100">
      <c r="A100" s="644"/>
      <c r="B100" s="644"/>
      <c r="C100" s="644">
        <f t="shared" si="6"/>
        <v>15</v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4"/>
        <v>46152</v>
      </c>
    </row>
    <row r="101">
      <c r="A101" s="644"/>
      <c r="B101" s="644"/>
      <c r="C101" s="644">
        <f t="shared" si="6"/>
        <v>15</v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4"/>
        <v>46152</v>
      </c>
    </row>
    <row r="102">
      <c r="A102" s="644"/>
      <c r="B102" s="644"/>
      <c r="C102" s="644">
        <f t="shared" si="6"/>
        <v>15</v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4"/>
        <v>46152</v>
      </c>
    </row>
    <row r="103">
      <c r="A103" s="644"/>
      <c r="B103" s="644"/>
      <c r="C103" s="644">
        <f t="shared" si="6"/>
        <v>15</v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4"/>
        <v>46152</v>
      </c>
    </row>
    <row r="104">
      <c r="A104" s="644"/>
      <c r="B104" s="644"/>
      <c r="C104" s="644">
        <f t="shared" si="6"/>
        <v>15</v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4"/>
        <v>46152</v>
      </c>
    </row>
    <row r="105">
      <c r="A105" s="644"/>
      <c r="B105" s="644"/>
      <c r="C105" s="644">
        <f t="shared" si="6"/>
        <v>15</v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4"/>
        <v>46152</v>
      </c>
    </row>
    <row r="106">
      <c r="A106" s="644"/>
      <c r="B106" s="644"/>
      <c r="C106" s="644">
        <f t="shared" si="6"/>
        <v>15</v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4"/>
        <v>46152</v>
      </c>
    </row>
    <row r="107">
      <c r="A107" s="644"/>
      <c r="B107" s="644"/>
      <c r="C107" s="644">
        <f t="shared" si="6"/>
        <v>15</v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4"/>
        <v>46152</v>
      </c>
    </row>
    <row r="108">
      <c r="A108" s="644"/>
      <c r="B108" s="644"/>
      <c r="C108" s="644">
        <f t="shared" si="6"/>
        <v>15</v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4"/>
        <v>46152</v>
      </c>
    </row>
    <row r="109">
      <c r="A109" s="644"/>
      <c r="B109" s="644"/>
      <c r="C109" s="644">
        <f t="shared" si="6"/>
        <v>15</v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4"/>
        <v>46152</v>
      </c>
    </row>
    <row r="110">
      <c r="A110" s="644"/>
      <c r="B110" s="644"/>
      <c r="C110" s="644">
        <f t="shared" si="6"/>
        <v>15</v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4"/>
        <v>46152</v>
      </c>
    </row>
    <row r="111">
      <c r="A111" s="644"/>
      <c r="B111" s="644"/>
      <c r="C111" s="644">
        <f t="shared" si="6"/>
        <v>15</v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4"/>
        <v>46152</v>
      </c>
    </row>
    <row r="112">
      <c r="A112" s="644"/>
      <c r="B112" s="644"/>
      <c r="C112" s="644">
        <f t="shared" si="6"/>
        <v>15</v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4"/>
        <v>46152</v>
      </c>
    </row>
    <row r="113">
      <c r="A113" s="644"/>
      <c r="B113" s="644"/>
      <c r="C113" s="644">
        <f t="shared" si="6"/>
        <v>15</v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4"/>
        <v>46152</v>
      </c>
    </row>
    <row r="114">
      <c r="A114" s="644"/>
      <c r="B114" s="644"/>
      <c r="C114" s="644">
        <f t="shared" si="6"/>
        <v>15</v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4"/>
        <v>46152</v>
      </c>
    </row>
    <row r="115">
      <c r="A115" s="644"/>
      <c r="B115" s="644"/>
      <c r="C115" s="644">
        <f t="shared" si="6"/>
        <v>15</v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4"/>
        <v>46152</v>
      </c>
    </row>
    <row r="116">
      <c r="A116" s="644"/>
      <c r="B116" s="644"/>
      <c r="C116" s="644">
        <f t="shared" si="6"/>
        <v>15</v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4"/>
        <v>46152</v>
      </c>
    </row>
    <row r="117">
      <c r="A117" s="644"/>
      <c r="B117" s="644"/>
      <c r="C117" s="644">
        <f t="shared" si="6"/>
        <v>15</v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4"/>
        <v>46152</v>
      </c>
    </row>
    <row r="118">
      <c r="A118" s="644"/>
      <c r="B118" s="644"/>
      <c r="C118" s="644">
        <f t="shared" si="6"/>
        <v>15</v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4"/>
        <v>46152</v>
      </c>
    </row>
    <row r="119">
      <c r="A119" s="644"/>
      <c r="B119" s="644"/>
      <c r="C119" s="644">
        <f t="shared" si="6"/>
        <v>15</v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4"/>
        <v>46152</v>
      </c>
    </row>
    <row r="120">
      <c r="A120" s="644"/>
      <c r="B120" s="644"/>
      <c r="C120" s="644">
        <f t="shared" si="6"/>
        <v>15</v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4"/>
        <v>46152</v>
      </c>
    </row>
    <row r="121">
      <c r="A121" s="644"/>
      <c r="B121" s="644"/>
      <c r="C121" s="644">
        <f t="shared" si="6"/>
        <v>15</v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4"/>
        <v>46152</v>
      </c>
    </row>
    <row r="122">
      <c r="A122" s="644"/>
      <c r="B122" s="644"/>
      <c r="C122" s="644">
        <f t="shared" si="6"/>
        <v>15</v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4"/>
        <v>46152</v>
      </c>
    </row>
    <row r="123">
      <c r="A123" s="644"/>
      <c r="B123" s="644"/>
      <c r="C123" s="644">
        <f t="shared" si="6"/>
        <v>15</v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4"/>
        <v>46152</v>
      </c>
    </row>
    <row r="124">
      <c r="A124" s="644"/>
      <c r="B124" s="644"/>
      <c r="C124" s="644">
        <f t="shared" si="6"/>
        <v>15</v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4"/>
        <v>46152</v>
      </c>
    </row>
    <row r="125">
      <c r="A125" s="644"/>
      <c r="B125" s="644"/>
      <c r="C125" s="644">
        <f t="shared" si="6"/>
        <v>15</v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4"/>
        <v>46152</v>
      </c>
    </row>
    <row r="126">
      <c r="A126" s="644"/>
      <c r="B126" s="644"/>
      <c r="C126" s="644">
        <f t="shared" si="6"/>
        <v>15</v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4"/>
        <v>46152</v>
      </c>
    </row>
    <row r="127">
      <c r="A127" s="644"/>
      <c r="B127" s="644"/>
      <c r="C127" s="644">
        <f t="shared" si="6"/>
        <v>15</v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4"/>
        <v>46152</v>
      </c>
    </row>
    <row r="128">
      <c r="A128" s="644"/>
      <c r="B128" s="644"/>
      <c r="C128" s="644">
        <f t="shared" si="6"/>
        <v>15</v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4"/>
        <v>46152</v>
      </c>
    </row>
    <row r="129">
      <c r="A129" s="644"/>
      <c r="B129" s="644"/>
      <c r="C129" s="644">
        <f t="shared" si="6"/>
        <v>15</v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4"/>
        <v>46152</v>
      </c>
    </row>
    <row r="130">
      <c r="A130" s="644"/>
      <c r="B130" s="644"/>
      <c r="C130" s="644">
        <f t="shared" si="6"/>
        <v>15</v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4"/>
        <v>46152</v>
      </c>
    </row>
    <row r="131">
      <c r="A131" s="644"/>
      <c r="B131" s="644"/>
      <c r="C131" s="644">
        <f t="shared" si="6"/>
        <v>15</v>
      </c>
      <c r="D131" s="643"/>
      <c r="E131" s="658" t="b">
        <v>0</v>
      </c>
      <c r="F131" s="646" t="str">
        <f t="shared" si="1"/>
        <v>ADEUDA</v>
      </c>
      <c r="G131" s="340" t="s">
        <v>2278</v>
      </c>
      <c r="H131" s="646" t="str">
        <f t="shared" si="2"/>
        <v>VENCIDA</v>
      </c>
      <c r="I131" s="647">
        <f t="shared" si="4"/>
        <v>46152</v>
      </c>
    </row>
    <row r="132">
      <c r="A132" s="644"/>
      <c r="B132" s="644"/>
      <c r="C132" s="644">
        <f t="shared" si="6"/>
        <v>15</v>
      </c>
      <c r="D132" s="643"/>
      <c r="E132" s="645" t="b">
        <v>1</v>
      </c>
      <c r="F132" s="646" t="str">
        <f t="shared" si="1"/>
        <v>PAGADO</v>
      </c>
      <c r="G132" s="340" t="s">
        <v>2278</v>
      </c>
      <c r="H132" s="646" t="str">
        <f t="shared" si="2"/>
        <v>VENCIDA</v>
      </c>
      <c r="I132" s="647">
        <f t="shared" si="4"/>
        <v>46152</v>
      </c>
    </row>
    <row r="134">
      <c r="C134" s="771"/>
    </row>
    <row r="135">
      <c r="C135" s="772" t="s">
        <v>55</v>
      </c>
      <c r="D135" s="3">
        <f>SUMIF(F4:F132,C135,D4:D132)</f>
        <v>1291350</v>
      </c>
    </row>
    <row r="136">
      <c r="C136" s="773" t="s">
        <v>527</v>
      </c>
      <c r="D136" s="3">
        <f>SUMIF(F4:F132,C136,D4:D132)</f>
        <v>3033431.5</v>
      </c>
    </row>
    <row r="137">
      <c r="C137" s="697" t="s">
        <v>28</v>
      </c>
      <c r="D137" s="3">
        <f>D135+D136</f>
        <v>4324781.5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2450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2451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>
        <f t="shared" ref="K3:K4" si="1">D5</f>
        <v>204600</v>
      </c>
    </row>
    <row r="4">
      <c r="A4" s="643"/>
      <c r="B4" s="644">
        <v>45642.0</v>
      </c>
      <c r="C4" s="644">
        <f t="shared" ref="C4:C132" si="2">B4+15</f>
        <v>45657</v>
      </c>
      <c r="D4" s="643">
        <v>286200.0</v>
      </c>
      <c r="E4" s="645" t="b">
        <v>1</v>
      </c>
      <c r="F4" s="646" t="str">
        <f t="shared" ref="F4:F132" si="3">IF(E4,"PAGADO","ADEUDA")</f>
        <v>PAGADO</v>
      </c>
      <c r="G4" s="340" t="s">
        <v>2276</v>
      </c>
      <c r="H4" s="646" t="str">
        <f t="shared" ref="H4:H132" si="4">IF(C4&lt;TODAY(),"VENCIDA",IF(C4=TODAY(),"VENCE HOY",IF(C4&gt;TODAY(),"VIGENTE")))</f>
        <v>VENCIDA</v>
      </c>
      <c r="I4" s="647">
        <f t="shared" ref="I4:I132" si="5">TODAY()-C4</f>
        <v>510</v>
      </c>
      <c r="J4" s="768" t="s">
        <v>31</v>
      </c>
      <c r="K4" s="769">
        <f t="shared" si="1"/>
        <v>294000</v>
      </c>
    </row>
    <row r="5">
      <c r="A5" s="643"/>
      <c r="B5" s="644">
        <v>45681.0</v>
      </c>
      <c r="C5" s="644">
        <f t="shared" si="2"/>
        <v>45696</v>
      </c>
      <c r="D5" s="643">
        <v>204600.0</v>
      </c>
      <c r="E5" s="645" t="b">
        <v>1</v>
      </c>
      <c r="F5" s="646" t="str">
        <f t="shared" si="3"/>
        <v>PAGADO</v>
      </c>
      <c r="G5" s="340" t="s">
        <v>2276</v>
      </c>
      <c r="H5" s="646" t="str">
        <f t="shared" si="4"/>
        <v>VENCIDA</v>
      </c>
      <c r="I5" s="647">
        <f t="shared" si="5"/>
        <v>471</v>
      </c>
      <c r="J5" s="768" t="s">
        <v>35</v>
      </c>
      <c r="K5" s="770"/>
    </row>
    <row r="6">
      <c r="A6" s="643">
        <v>3733.0</v>
      </c>
      <c r="B6" s="644">
        <v>45700.0</v>
      </c>
      <c r="C6" s="644">
        <f t="shared" si="2"/>
        <v>45715</v>
      </c>
      <c r="D6" s="643">
        <v>294000.0</v>
      </c>
      <c r="E6" s="645" t="b">
        <v>1</v>
      </c>
      <c r="F6" s="646" t="str">
        <f t="shared" si="3"/>
        <v>PAGADO</v>
      </c>
      <c r="G6" s="340" t="s">
        <v>2278</v>
      </c>
      <c r="H6" s="646" t="str">
        <f t="shared" si="4"/>
        <v>VENCIDA</v>
      </c>
      <c r="I6" s="647">
        <f t="shared" si="5"/>
        <v>452</v>
      </c>
      <c r="J6" s="768" t="s">
        <v>37</v>
      </c>
      <c r="K6" s="770"/>
    </row>
    <row r="7">
      <c r="A7" s="643">
        <v>3776.0</v>
      </c>
      <c r="B7" s="644">
        <v>45722.0</v>
      </c>
      <c r="C7" s="644">
        <f t="shared" si="2"/>
        <v>45737</v>
      </c>
      <c r="D7" s="643">
        <v>204600.0</v>
      </c>
      <c r="E7" s="645" t="b">
        <v>1</v>
      </c>
      <c r="F7" s="646" t="str">
        <f t="shared" si="3"/>
        <v>PAGADO</v>
      </c>
      <c r="G7" s="340" t="s">
        <v>2278</v>
      </c>
      <c r="H7" s="646" t="str">
        <f t="shared" si="4"/>
        <v>VENCIDA</v>
      </c>
      <c r="I7" s="647">
        <f t="shared" si="5"/>
        <v>430</v>
      </c>
      <c r="J7" s="768" t="s">
        <v>39</v>
      </c>
      <c r="K7" s="770"/>
    </row>
    <row r="8">
      <c r="A8" s="643">
        <v>3848.0</v>
      </c>
      <c r="B8" s="644">
        <v>45755.0</v>
      </c>
      <c r="C8" s="644">
        <f t="shared" si="2"/>
        <v>45770</v>
      </c>
      <c r="D8" s="643">
        <v>445200.0</v>
      </c>
      <c r="E8" s="645" t="b">
        <v>1</v>
      </c>
      <c r="F8" s="646" t="str">
        <f t="shared" si="3"/>
        <v>PAGADO</v>
      </c>
      <c r="G8" s="340" t="s">
        <v>2278</v>
      </c>
      <c r="H8" s="646" t="str">
        <f t="shared" si="4"/>
        <v>VENCIDA</v>
      </c>
      <c r="I8" s="647">
        <f t="shared" si="5"/>
        <v>397</v>
      </c>
      <c r="J8" s="768" t="s">
        <v>41</v>
      </c>
      <c r="K8" s="770"/>
    </row>
    <row r="9">
      <c r="A9" s="643">
        <v>3873.0</v>
      </c>
      <c r="B9" s="644">
        <v>45768.0</v>
      </c>
      <c r="C9" s="644">
        <f t="shared" si="2"/>
        <v>45783</v>
      </c>
      <c r="D9" s="643">
        <v>216000.0</v>
      </c>
      <c r="E9" s="645" t="b">
        <v>1</v>
      </c>
      <c r="F9" s="646" t="str">
        <f t="shared" si="3"/>
        <v>PAGADO</v>
      </c>
      <c r="G9" s="340" t="s">
        <v>2278</v>
      </c>
      <c r="H9" s="646" t="str">
        <f t="shared" si="4"/>
        <v>VENCIDA</v>
      </c>
      <c r="I9" s="647">
        <f t="shared" si="5"/>
        <v>384</v>
      </c>
      <c r="J9" s="768" t="s">
        <v>42</v>
      </c>
      <c r="K9" s="770">
        <f>D15+D16+D17</f>
        <v>696000</v>
      </c>
    </row>
    <row r="10">
      <c r="A10" s="643">
        <v>3891.0</v>
      </c>
      <c r="B10" s="644">
        <v>45776.0</v>
      </c>
      <c r="C10" s="644">
        <f t="shared" si="2"/>
        <v>45791</v>
      </c>
      <c r="D10" s="643">
        <v>120600.0</v>
      </c>
      <c r="E10" s="645" t="b">
        <v>1</v>
      </c>
      <c r="F10" s="646" t="str">
        <f t="shared" si="3"/>
        <v>PAGADO</v>
      </c>
      <c r="G10" s="340" t="s">
        <v>2276</v>
      </c>
      <c r="H10" s="646" t="str">
        <f t="shared" si="4"/>
        <v>VENCIDA</v>
      </c>
      <c r="I10" s="647">
        <f t="shared" si="5"/>
        <v>376</v>
      </c>
      <c r="J10" s="768" t="s">
        <v>43</v>
      </c>
      <c r="K10" s="770">
        <f>D19+D20+D18</f>
        <v>701000</v>
      </c>
    </row>
    <row r="11">
      <c r="A11" s="643">
        <v>3917.0</v>
      </c>
      <c r="B11" s="644">
        <v>45790.0</v>
      </c>
      <c r="C11" s="644">
        <f t="shared" si="2"/>
        <v>45805</v>
      </c>
      <c r="D11" s="643">
        <v>194000.0</v>
      </c>
      <c r="E11" s="645" t="b">
        <v>1</v>
      </c>
      <c r="F11" s="646" t="str">
        <f t="shared" si="3"/>
        <v>PAGADO</v>
      </c>
      <c r="G11" s="340" t="s">
        <v>2276</v>
      </c>
      <c r="H11" s="646" t="str">
        <f t="shared" si="4"/>
        <v>VENCIDA</v>
      </c>
      <c r="I11" s="647">
        <f t="shared" si="5"/>
        <v>362</v>
      </c>
      <c r="J11" s="768" t="s">
        <v>45</v>
      </c>
      <c r="K11" s="770"/>
    </row>
    <row r="12">
      <c r="A12" s="643">
        <v>3938.0</v>
      </c>
      <c r="B12" s="644">
        <v>45797.0</v>
      </c>
      <c r="C12" s="644">
        <f t="shared" si="2"/>
        <v>45812</v>
      </c>
      <c r="D12" s="643">
        <v>222000.0</v>
      </c>
      <c r="E12" s="645" t="b">
        <v>1</v>
      </c>
      <c r="F12" s="646" t="str">
        <f t="shared" si="3"/>
        <v>PAGADO</v>
      </c>
      <c r="G12" s="340" t="s">
        <v>2278</v>
      </c>
      <c r="H12" s="646" t="str">
        <f t="shared" si="4"/>
        <v>VENCIDA</v>
      </c>
      <c r="I12" s="647">
        <f t="shared" si="5"/>
        <v>355</v>
      </c>
      <c r="J12" s="768" t="s">
        <v>49</v>
      </c>
      <c r="K12" s="770"/>
    </row>
    <row r="13">
      <c r="A13" s="643">
        <v>3963.0</v>
      </c>
      <c r="B13" s="644">
        <v>45810.0</v>
      </c>
      <c r="C13" s="644">
        <f t="shared" si="2"/>
        <v>45825</v>
      </c>
      <c r="D13" s="643">
        <v>210000.0</v>
      </c>
      <c r="E13" s="645" t="b">
        <v>1</v>
      </c>
      <c r="F13" s="646" t="str">
        <f t="shared" si="3"/>
        <v>PAGADO</v>
      </c>
      <c r="G13" s="340" t="s">
        <v>2278</v>
      </c>
      <c r="H13" s="646" t="str">
        <f t="shared" si="4"/>
        <v>VENCIDA</v>
      </c>
      <c r="I13" s="647">
        <f t="shared" si="5"/>
        <v>342</v>
      </c>
      <c r="J13" s="768" t="s">
        <v>50</v>
      </c>
      <c r="K13" s="770"/>
    </row>
    <row r="14">
      <c r="A14" s="643">
        <v>3984.0</v>
      </c>
      <c r="B14" s="644">
        <v>45818.0</v>
      </c>
      <c r="C14" s="644">
        <f t="shared" si="2"/>
        <v>45833</v>
      </c>
      <c r="D14" s="643">
        <v>217600.0</v>
      </c>
      <c r="E14" s="645" t="b">
        <v>1</v>
      </c>
      <c r="F14" s="646" t="str">
        <f t="shared" si="3"/>
        <v>PAGADO</v>
      </c>
      <c r="G14" s="340" t="s">
        <v>2278</v>
      </c>
      <c r="H14" s="646" t="str">
        <f t="shared" si="4"/>
        <v>VENCIDA</v>
      </c>
      <c r="I14" s="647">
        <f t="shared" si="5"/>
        <v>334</v>
      </c>
      <c r="J14" s="768" t="s">
        <v>51</v>
      </c>
      <c r="K14" s="770">
        <f>SUM(D28:D29)</f>
        <v>465000</v>
      </c>
    </row>
    <row r="15">
      <c r="A15" s="643">
        <v>4013.0</v>
      </c>
      <c r="B15" s="644">
        <v>45831.0</v>
      </c>
      <c r="C15" s="644">
        <f t="shared" si="2"/>
        <v>45846</v>
      </c>
      <c r="D15" s="643">
        <v>222000.0</v>
      </c>
      <c r="E15" s="645" t="b">
        <v>1</v>
      </c>
      <c r="F15" s="646" t="str">
        <f t="shared" si="3"/>
        <v>PAGADO</v>
      </c>
      <c r="G15" s="340" t="s">
        <v>2278</v>
      </c>
      <c r="H15" s="646" t="str">
        <f t="shared" si="4"/>
        <v>VENCIDA</v>
      </c>
      <c r="I15" s="647">
        <f t="shared" si="5"/>
        <v>321</v>
      </c>
    </row>
    <row r="16">
      <c r="A16" s="643">
        <v>4033.0</v>
      </c>
      <c r="B16" s="644">
        <v>45841.0</v>
      </c>
      <c r="C16" s="644">
        <f t="shared" si="2"/>
        <v>45856</v>
      </c>
      <c r="D16" s="643">
        <v>222000.0</v>
      </c>
      <c r="E16" s="654" t="b">
        <v>1</v>
      </c>
      <c r="F16" s="646" t="str">
        <f t="shared" si="3"/>
        <v>PAGADO</v>
      </c>
      <c r="G16" s="340" t="s">
        <v>2276</v>
      </c>
      <c r="H16" s="646" t="str">
        <f t="shared" si="4"/>
        <v>VENCIDA</v>
      </c>
      <c r="I16" s="647">
        <f t="shared" si="5"/>
        <v>311</v>
      </c>
    </row>
    <row r="17">
      <c r="A17" s="643">
        <v>4064.0</v>
      </c>
      <c r="B17" s="644">
        <v>45853.0</v>
      </c>
      <c r="C17" s="644">
        <f t="shared" si="2"/>
        <v>45868</v>
      </c>
      <c r="D17" s="643">
        <v>252000.0</v>
      </c>
      <c r="E17" s="654" t="b">
        <v>1</v>
      </c>
      <c r="F17" s="646" t="str">
        <f t="shared" si="3"/>
        <v>PAGADO</v>
      </c>
      <c r="G17" s="340" t="s">
        <v>2278</v>
      </c>
      <c r="H17" s="646" t="str">
        <f t="shared" si="4"/>
        <v>VENCIDA</v>
      </c>
      <c r="I17" s="647">
        <f t="shared" si="5"/>
        <v>299</v>
      </c>
    </row>
    <row r="18">
      <c r="A18" s="643">
        <v>4082.0</v>
      </c>
      <c r="B18" s="644">
        <v>45866.0</v>
      </c>
      <c r="C18" s="644">
        <f t="shared" si="2"/>
        <v>45881</v>
      </c>
      <c r="D18" s="643">
        <v>233000.0</v>
      </c>
      <c r="E18" s="654" t="b">
        <v>1</v>
      </c>
      <c r="F18" s="646" t="str">
        <f t="shared" si="3"/>
        <v>PAGADO</v>
      </c>
      <c r="G18" s="340" t="s">
        <v>2278</v>
      </c>
      <c r="H18" s="646" t="str">
        <f t="shared" si="4"/>
        <v>VENCIDA</v>
      </c>
      <c r="I18" s="647">
        <f t="shared" si="5"/>
        <v>286</v>
      </c>
    </row>
    <row r="19">
      <c r="A19" s="643">
        <v>4107.0</v>
      </c>
      <c r="B19" s="644">
        <v>45874.0</v>
      </c>
      <c r="C19" s="644">
        <f t="shared" si="2"/>
        <v>45889</v>
      </c>
      <c r="D19" s="643">
        <v>247000.0</v>
      </c>
      <c r="E19" s="645" t="b">
        <v>1</v>
      </c>
      <c r="F19" s="646" t="str">
        <f t="shared" si="3"/>
        <v>PAGADO</v>
      </c>
      <c r="G19" s="340" t="s">
        <v>2278</v>
      </c>
      <c r="H19" s="646" t="str">
        <f t="shared" si="4"/>
        <v>VENCIDA</v>
      </c>
      <c r="I19" s="647">
        <f t="shared" si="5"/>
        <v>278</v>
      </c>
    </row>
    <row r="20">
      <c r="A20" s="643">
        <v>4137.0</v>
      </c>
      <c r="B20" s="644">
        <v>45887.0</v>
      </c>
      <c r="C20" s="644">
        <f t="shared" si="2"/>
        <v>45902</v>
      </c>
      <c r="D20" s="643">
        <v>221000.0</v>
      </c>
      <c r="E20" s="645" t="b">
        <v>1</v>
      </c>
      <c r="F20" s="646" t="str">
        <f t="shared" si="3"/>
        <v>PAGADO</v>
      </c>
      <c r="G20" s="340" t="s">
        <v>2278</v>
      </c>
      <c r="H20" s="646" t="str">
        <f t="shared" si="4"/>
        <v>VENCIDA</v>
      </c>
      <c r="I20" s="647">
        <f t="shared" si="5"/>
        <v>265</v>
      </c>
    </row>
    <row r="21">
      <c r="A21" s="643">
        <v>4155.0</v>
      </c>
      <c r="B21" s="644">
        <v>45895.0</v>
      </c>
      <c r="C21" s="644">
        <f t="shared" si="2"/>
        <v>45910</v>
      </c>
      <c r="D21" s="643">
        <v>210000.0</v>
      </c>
      <c r="E21" s="645" t="b">
        <v>1</v>
      </c>
      <c r="F21" s="646" t="str">
        <f t="shared" si="3"/>
        <v>PAGADO</v>
      </c>
      <c r="G21" s="340" t="s">
        <v>2278</v>
      </c>
      <c r="H21" s="646" t="str">
        <f t="shared" si="4"/>
        <v>VENCIDA</v>
      </c>
      <c r="I21" s="647">
        <f t="shared" si="5"/>
        <v>257</v>
      </c>
    </row>
    <row r="22">
      <c r="A22" s="643">
        <v>4172.0</v>
      </c>
      <c r="B22" s="644">
        <v>45904.0</v>
      </c>
      <c r="C22" s="644">
        <f t="shared" si="2"/>
        <v>45919</v>
      </c>
      <c r="D22" s="643">
        <v>37000.0</v>
      </c>
      <c r="E22" s="645" t="b">
        <v>1</v>
      </c>
      <c r="F22" s="646" t="str">
        <f t="shared" si="3"/>
        <v>PAGADO</v>
      </c>
      <c r="G22" s="340" t="s">
        <v>2276</v>
      </c>
      <c r="H22" s="646" t="str">
        <f t="shared" si="4"/>
        <v>VENCIDA</v>
      </c>
      <c r="I22" s="647">
        <f t="shared" si="5"/>
        <v>248</v>
      </c>
    </row>
    <row r="23">
      <c r="A23" s="643">
        <v>4185.0</v>
      </c>
      <c r="B23" s="644">
        <v>45912.0</v>
      </c>
      <c r="C23" s="644">
        <f t="shared" si="2"/>
        <v>45927</v>
      </c>
      <c r="D23" s="643">
        <v>210000.0</v>
      </c>
      <c r="E23" s="645" t="b">
        <v>1</v>
      </c>
      <c r="F23" s="646" t="str">
        <f t="shared" si="3"/>
        <v>PAGADO</v>
      </c>
      <c r="G23" s="340" t="s">
        <v>2276</v>
      </c>
      <c r="H23" s="646" t="str">
        <f t="shared" si="4"/>
        <v>VENCIDA</v>
      </c>
      <c r="I23" s="647">
        <f t="shared" si="5"/>
        <v>240</v>
      </c>
    </row>
    <row r="24">
      <c r="A24" s="643">
        <v>4236.0</v>
      </c>
      <c r="B24" s="644">
        <v>45936.0</v>
      </c>
      <c r="C24" s="644">
        <f t="shared" si="2"/>
        <v>45951</v>
      </c>
      <c r="D24" s="643">
        <v>248000.0</v>
      </c>
      <c r="E24" s="645" t="b">
        <v>1</v>
      </c>
      <c r="F24" s="646" t="str">
        <f t="shared" si="3"/>
        <v>PAGADO</v>
      </c>
      <c r="G24" s="340" t="s">
        <v>2278</v>
      </c>
      <c r="H24" s="646" t="str">
        <f t="shared" si="4"/>
        <v>VENCIDA</v>
      </c>
      <c r="I24" s="647">
        <f t="shared" si="5"/>
        <v>216</v>
      </c>
    </row>
    <row r="25">
      <c r="A25" s="643">
        <v>4252.0</v>
      </c>
      <c r="B25" s="644">
        <v>45945.0</v>
      </c>
      <c r="C25" s="644">
        <f t="shared" si="2"/>
        <v>45960</v>
      </c>
      <c r="D25" s="643">
        <v>210000.0</v>
      </c>
      <c r="E25" s="645" t="b">
        <v>1</v>
      </c>
      <c r="F25" s="646" t="str">
        <f t="shared" si="3"/>
        <v>PAGADO</v>
      </c>
      <c r="G25" s="340" t="s">
        <v>2278</v>
      </c>
      <c r="H25" s="646" t="str">
        <f t="shared" si="4"/>
        <v>VENCIDA</v>
      </c>
      <c r="I25" s="647">
        <f t="shared" si="5"/>
        <v>207</v>
      </c>
    </row>
    <row r="26">
      <c r="A26" s="643">
        <v>4281.0</v>
      </c>
      <c r="B26" s="644">
        <v>45958.0</v>
      </c>
      <c r="C26" s="644">
        <f t="shared" si="2"/>
        <v>45973</v>
      </c>
      <c r="D26" s="643">
        <v>248000.0</v>
      </c>
      <c r="E26" s="645" t="b">
        <v>1</v>
      </c>
      <c r="F26" s="646" t="str">
        <f t="shared" si="3"/>
        <v>PAGADO</v>
      </c>
      <c r="G26" s="340" t="s">
        <v>2278</v>
      </c>
      <c r="H26" s="646" t="str">
        <f t="shared" si="4"/>
        <v>VENCIDA</v>
      </c>
      <c r="I26" s="647">
        <f t="shared" si="5"/>
        <v>194</v>
      </c>
      <c r="J26" s="2" t="s">
        <v>2452</v>
      </c>
    </row>
    <row r="27">
      <c r="A27" s="643">
        <v>4310.0</v>
      </c>
      <c r="B27" s="644">
        <v>45975.0</v>
      </c>
      <c r="C27" s="644">
        <f t="shared" si="2"/>
        <v>45990</v>
      </c>
      <c r="D27" s="643">
        <v>210000.0</v>
      </c>
      <c r="E27" s="645" t="b">
        <v>1</v>
      </c>
      <c r="F27" s="646" t="str">
        <f t="shared" si="3"/>
        <v>PAGADO</v>
      </c>
      <c r="G27" s="340" t="s">
        <v>2278</v>
      </c>
      <c r="H27" s="646" t="str">
        <f t="shared" si="4"/>
        <v>VENCIDA</v>
      </c>
      <c r="I27" s="647">
        <f t="shared" si="5"/>
        <v>177</v>
      </c>
    </row>
    <row r="28">
      <c r="A28" s="643">
        <v>4340.0</v>
      </c>
      <c r="B28" s="644">
        <v>45988.0</v>
      </c>
      <c r="C28" s="644">
        <f t="shared" si="2"/>
        <v>46003</v>
      </c>
      <c r="D28" s="643">
        <v>255000.0</v>
      </c>
      <c r="E28" s="645" t="b">
        <v>1</v>
      </c>
      <c r="F28" s="646" t="str">
        <f t="shared" si="3"/>
        <v>PAGADO</v>
      </c>
      <c r="G28" s="340" t="s">
        <v>2278</v>
      </c>
      <c r="H28" s="646" t="str">
        <f t="shared" si="4"/>
        <v>VENCIDA</v>
      </c>
      <c r="I28" s="647">
        <f t="shared" si="5"/>
        <v>164</v>
      </c>
      <c r="J28" s="318">
        <v>46050.0</v>
      </c>
    </row>
    <row r="29">
      <c r="A29" s="643">
        <v>4383.0</v>
      </c>
      <c r="B29" s="644">
        <v>46371.0</v>
      </c>
      <c r="C29" s="644">
        <f t="shared" si="2"/>
        <v>46386</v>
      </c>
      <c r="D29" s="643">
        <v>210000.0</v>
      </c>
      <c r="E29" s="645" t="b">
        <v>1</v>
      </c>
      <c r="F29" s="646" t="str">
        <f t="shared" si="3"/>
        <v>PAGADO</v>
      </c>
      <c r="G29" s="340" t="s">
        <v>2276</v>
      </c>
      <c r="H29" s="646" t="str">
        <f t="shared" si="4"/>
        <v>VIGENTE</v>
      </c>
      <c r="I29" s="647">
        <f t="shared" si="5"/>
        <v>-219</v>
      </c>
    </row>
    <row r="30">
      <c r="A30" s="643">
        <v>4407.0</v>
      </c>
      <c r="B30" s="644">
        <v>46386.0</v>
      </c>
      <c r="C30" s="644">
        <f t="shared" si="2"/>
        <v>46401</v>
      </c>
      <c r="D30" s="643">
        <v>257200.0</v>
      </c>
      <c r="E30" s="645" t="b">
        <v>1</v>
      </c>
      <c r="F30" s="646" t="str">
        <f t="shared" si="3"/>
        <v>PAGADO</v>
      </c>
      <c r="G30" s="340" t="s">
        <v>2278</v>
      </c>
      <c r="H30" s="646" t="str">
        <f t="shared" si="4"/>
        <v>VIGENTE</v>
      </c>
      <c r="I30" s="647">
        <f t="shared" si="5"/>
        <v>-234</v>
      </c>
    </row>
    <row r="31">
      <c r="A31" s="643">
        <v>4458.0</v>
      </c>
      <c r="B31" s="644">
        <v>46048.0</v>
      </c>
      <c r="C31" s="644">
        <f t="shared" si="2"/>
        <v>46063</v>
      </c>
      <c r="D31" s="643">
        <v>210000.0</v>
      </c>
      <c r="E31" s="645" t="b">
        <v>1</v>
      </c>
      <c r="F31" s="646" t="str">
        <f t="shared" si="3"/>
        <v>PAGADO</v>
      </c>
      <c r="G31" s="340" t="s">
        <v>2278</v>
      </c>
      <c r="H31" s="646" t="str">
        <f t="shared" si="4"/>
        <v>VENCIDA</v>
      </c>
      <c r="I31" s="647">
        <f t="shared" si="5"/>
        <v>104</v>
      </c>
      <c r="J31" s="318">
        <v>46084.0</v>
      </c>
    </row>
    <row r="32">
      <c r="A32" s="643">
        <v>4476.0</v>
      </c>
      <c r="B32" s="644">
        <v>46055.0</v>
      </c>
      <c r="C32" s="644">
        <f t="shared" si="2"/>
        <v>46070</v>
      </c>
      <c r="D32" s="643">
        <v>47200.0</v>
      </c>
      <c r="E32" s="645" t="b">
        <v>1</v>
      </c>
      <c r="F32" s="646" t="str">
        <f t="shared" si="3"/>
        <v>PAGADO</v>
      </c>
      <c r="G32" s="340" t="s">
        <v>2278</v>
      </c>
      <c r="H32" s="646" t="str">
        <f t="shared" si="4"/>
        <v>VENCIDA</v>
      </c>
      <c r="I32" s="647">
        <f t="shared" si="5"/>
        <v>97</v>
      </c>
    </row>
    <row r="33">
      <c r="A33" s="643">
        <v>4492.0</v>
      </c>
      <c r="B33" s="644">
        <v>46064.0</v>
      </c>
      <c r="C33" s="644">
        <f t="shared" si="2"/>
        <v>46079</v>
      </c>
      <c r="D33" s="643">
        <v>210000.0</v>
      </c>
      <c r="E33" s="645" t="b">
        <v>1</v>
      </c>
      <c r="F33" s="646" t="str">
        <f t="shared" si="3"/>
        <v>PAGADO</v>
      </c>
      <c r="G33" s="340" t="s">
        <v>2278</v>
      </c>
      <c r="H33" s="646" t="str">
        <f t="shared" si="4"/>
        <v>VENCIDA</v>
      </c>
      <c r="I33" s="647">
        <f t="shared" si="5"/>
        <v>88</v>
      </c>
    </row>
    <row r="34">
      <c r="A34" s="643">
        <v>4531.0</v>
      </c>
      <c r="B34" s="644">
        <v>46085.0</v>
      </c>
      <c r="C34" s="644">
        <f t="shared" si="2"/>
        <v>46100</v>
      </c>
      <c r="D34" s="643">
        <v>260000.0</v>
      </c>
      <c r="E34" s="645" t="b">
        <v>1</v>
      </c>
      <c r="F34" s="646" t="str">
        <f t="shared" si="3"/>
        <v>PAGADO</v>
      </c>
      <c r="G34" s="340" t="s">
        <v>2278</v>
      </c>
      <c r="H34" s="646" t="str">
        <f t="shared" si="4"/>
        <v>VENCIDA</v>
      </c>
      <c r="I34" s="647">
        <f t="shared" si="5"/>
        <v>67</v>
      </c>
    </row>
    <row r="35">
      <c r="A35" s="683">
        <v>4557.0</v>
      </c>
      <c r="B35" s="683">
        <v>46105.0</v>
      </c>
      <c r="C35" s="644">
        <f t="shared" si="2"/>
        <v>46120</v>
      </c>
      <c r="D35" s="684">
        <v>210000.0</v>
      </c>
      <c r="E35" s="645" t="b">
        <v>1</v>
      </c>
      <c r="F35" s="646" t="str">
        <f t="shared" si="3"/>
        <v>PAGADO</v>
      </c>
      <c r="G35" s="340" t="s">
        <v>2278</v>
      </c>
      <c r="H35" s="646" t="str">
        <f t="shared" si="4"/>
        <v>VENCIDA</v>
      </c>
      <c r="I35" s="647">
        <f t="shared" si="5"/>
        <v>47</v>
      </c>
    </row>
    <row r="36">
      <c r="A36" s="643">
        <v>4596.0</v>
      </c>
      <c r="B36" s="644">
        <v>46125.0</v>
      </c>
      <c r="C36" s="644">
        <f t="shared" si="2"/>
        <v>46140</v>
      </c>
      <c r="D36" s="643">
        <v>327000.0</v>
      </c>
      <c r="E36" s="658" t="b">
        <v>0</v>
      </c>
      <c r="F36" s="646" t="str">
        <f t="shared" si="3"/>
        <v>ADEUDA</v>
      </c>
      <c r="G36" s="340" t="s">
        <v>2278</v>
      </c>
      <c r="H36" s="646" t="str">
        <f t="shared" si="4"/>
        <v>VENCIDA</v>
      </c>
      <c r="I36" s="647">
        <f t="shared" si="5"/>
        <v>27</v>
      </c>
    </row>
    <row r="37">
      <c r="A37" s="643">
        <v>4642.0</v>
      </c>
      <c r="B37" s="644">
        <v>46140.0</v>
      </c>
      <c r="C37" s="644">
        <f t="shared" si="2"/>
        <v>46155</v>
      </c>
      <c r="D37" s="643">
        <v>276000.0</v>
      </c>
      <c r="E37" s="658" t="b">
        <v>0</v>
      </c>
      <c r="F37" s="646" t="str">
        <f t="shared" si="3"/>
        <v>ADEUDA</v>
      </c>
      <c r="G37" s="340" t="s">
        <v>2278</v>
      </c>
      <c r="H37" s="646" t="str">
        <f t="shared" si="4"/>
        <v>VENCIDA</v>
      </c>
      <c r="I37" s="647">
        <f t="shared" si="5"/>
        <v>12</v>
      </c>
    </row>
    <row r="38">
      <c r="A38" s="644"/>
      <c r="B38" s="644"/>
      <c r="C38" s="644">
        <f t="shared" si="2"/>
        <v>15</v>
      </c>
      <c r="D38" s="643"/>
      <c r="E38" s="658" t="b">
        <v>0</v>
      </c>
      <c r="F38" s="646" t="str">
        <f t="shared" si="3"/>
        <v>ADEUDA</v>
      </c>
      <c r="G38" s="340" t="s">
        <v>2278</v>
      </c>
      <c r="H38" s="646" t="str">
        <f t="shared" si="4"/>
        <v>VENCIDA</v>
      </c>
      <c r="I38" s="647">
        <f t="shared" si="5"/>
        <v>46152</v>
      </c>
    </row>
    <row r="39">
      <c r="A39" s="644"/>
      <c r="B39" s="644"/>
      <c r="C39" s="644">
        <f t="shared" si="2"/>
        <v>15</v>
      </c>
      <c r="D39" s="643"/>
      <c r="E39" s="658" t="b">
        <v>0</v>
      </c>
      <c r="F39" s="646" t="str">
        <f t="shared" si="3"/>
        <v>ADEUDA</v>
      </c>
      <c r="G39" s="340" t="s">
        <v>2278</v>
      </c>
      <c r="H39" s="646" t="str">
        <f t="shared" si="4"/>
        <v>VENCIDA</v>
      </c>
      <c r="I39" s="647">
        <f t="shared" si="5"/>
        <v>46152</v>
      </c>
    </row>
    <row r="40">
      <c r="A40" s="644"/>
      <c r="B40" s="644"/>
      <c r="C40" s="644">
        <f t="shared" si="2"/>
        <v>15</v>
      </c>
      <c r="D40" s="643"/>
      <c r="E40" s="658" t="b">
        <v>0</v>
      </c>
      <c r="F40" s="646" t="str">
        <f t="shared" si="3"/>
        <v>ADEUDA</v>
      </c>
      <c r="G40" s="340" t="s">
        <v>2278</v>
      </c>
      <c r="H40" s="646" t="str">
        <f t="shared" si="4"/>
        <v>VENCIDA</v>
      </c>
      <c r="I40" s="647">
        <f t="shared" si="5"/>
        <v>46152</v>
      </c>
    </row>
    <row r="41">
      <c r="A41" s="644"/>
      <c r="B41" s="644"/>
      <c r="C41" s="644">
        <f t="shared" si="2"/>
        <v>15</v>
      </c>
      <c r="D41" s="643"/>
      <c r="E41" s="658" t="b">
        <v>0</v>
      </c>
      <c r="F41" s="646" t="str">
        <f t="shared" si="3"/>
        <v>ADEUDA</v>
      </c>
      <c r="G41" s="340" t="s">
        <v>2278</v>
      </c>
      <c r="H41" s="646" t="str">
        <f t="shared" si="4"/>
        <v>VENCIDA</v>
      </c>
      <c r="I41" s="647">
        <f t="shared" si="5"/>
        <v>46152</v>
      </c>
    </row>
    <row r="42">
      <c r="A42" s="644"/>
      <c r="B42" s="644"/>
      <c r="C42" s="644">
        <f t="shared" si="2"/>
        <v>15</v>
      </c>
      <c r="D42" s="643"/>
      <c r="E42" s="658" t="b">
        <v>0</v>
      </c>
      <c r="F42" s="646" t="str">
        <f t="shared" si="3"/>
        <v>ADEUDA</v>
      </c>
      <c r="G42" s="340" t="s">
        <v>2278</v>
      </c>
      <c r="H42" s="646" t="str">
        <f t="shared" si="4"/>
        <v>VENCIDA</v>
      </c>
      <c r="I42" s="647">
        <f t="shared" si="5"/>
        <v>46152</v>
      </c>
    </row>
    <row r="43">
      <c r="A43" s="644"/>
      <c r="B43" s="644"/>
      <c r="C43" s="644">
        <f t="shared" si="2"/>
        <v>15</v>
      </c>
      <c r="D43" s="643"/>
      <c r="E43" s="658" t="b">
        <v>0</v>
      </c>
      <c r="F43" s="646" t="str">
        <f t="shared" si="3"/>
        <v>ADEUDA</v>
      </c>
      <c r="G43" s="340" t="s">
        <v>2278</v>
      </c>
      <c r="H43" s="646" t="str">
        <f t="shared" si="4"/>
        <v>VENCIDA</v>
      </c>
      <c r="I43" s="647">
        <f t="shared" si="5"/>
        <v>46152</v>
      </c>
    </row>
    <row r="44">
      <c r="A44" s="644"/>
      <c r="B44" s="644"/>
      <c r="C44" s="644">
        <f t="shared" si="2"/>
        <v>15</v>
      </c>
      <c r="D44" s="643"/>
      <c r="E44" s="658" t="b">
        <v>0</v>
      </c>
      <c r="F44" s="646" t="str">
        <f t="shared" si="3"/>
        <v>ADEUDA</v>
      </c>
      <c r="G44" s="340" t="s">
        <v>2278</v>
      </c>
      <c r="H44" s="646" t="str">
        <f t="shared" si="4"/>
        <v>VENCIDA</v>
      </c>
      <c r="I44" s="647">
        <f t="shared" si="5"/>
        <v>46152</v>
      </c>
    </row>
    <row r="45">
      <c r="A45" s="644"/>
      <c r="B45" s="644"/>
      <c r="C45" s="644">
        <f t="shared" si="2"/>
        <v>15</v>
      </c>
      <c r="D45" s="643"/>
      <c r="E45" s="658" t="b">
        <v>0</v>
      </c>
      <c r="F45" s="646" t="str">
        <f t="shared" si="3"/>
        <v>ADEUDA</v>
      </c>
      <c r="G45" s="340" t="s">
        <v>2278</v>
      </c>
      <c r="H45" s="646" t="str">
        <f t="shared" si="4"/>
        <v>VENCIDA</v>
      </c>
      <c r="I45" s="647">
        <f t="shared" si="5"/>
        <v>46152</v>
      </c>
    </row>
    <row r="46">
      <c r="A46" s="644"/>
      <c r="B46" s="644"/>
      <c r="C46" s="644">
        <f t="shared" si="2"/>
        <v>15</v>
      </c>
      <c r="D46" s="643"/>
      <c r="E46" s="658" t="b">
        <v>0</v>
      </c>
      <c r="F46" s="646" t="str">
        <f t="shared" si="3"/>
        <v>ADEUDA</v>
      </c>
      <c r="G46" s="340" t="s">
        <v>2278</v>
      </c>
      <c r="H46" s="646" t="str">
        <f t="shared" si="4"/>
        <v>VENCIDA</v>
      </c>
      <c r="I46" s="647">
        <f t="shared" si="5"/>
        <v>46152</v>
      </c>
    </row>
    <row r="47">
      <c r="A47" s="644"/>
      <c r="B47" s="644"/>
      <c r="C47" s="644">
        <f t="shared" si="2"/>
        <v>15</v>
      </c>
      <c r="D47" s="643"/>
      <c r="E47" s="658" t="b">
        <v>0</v>
      </c>
      <c r="F47" s="646" t="str">
        <f t="shared" si="3"/>
        <v>ADEUDA</v>
      </c>
      <c r="G47" s="340" t="s">
        <v>2278</v>
      </c>
      <c r="H47" s="646" t="str">
        <f t="shared" si="4"/>
        <v>VENCIDA</v>
      </c>
      <c r="I47" s="647">
        <f t="shared" si="5"/>
        <v>46152</v>
      </c>
    </row>
    <row r="48">
      <c r="A48" s="644"/>
      <c r="B48" s="644"/>
      <c r="C48" s="644">
        <f t="shared" si="2"/>
        <v>15</v>
      </c>
      <c r="D48" s="643"/>
      <c r="E48" s="658" t="b">
        <v>0</v>
      </c>
      <c r="F48" s="646" t="str">
        <f t="shared" si="3"/>
        <v>ADEUDA</v>
      </c>
      <c r="G48" s="340" t="s">
        <v>2278</v>
      </c>
      <c r="H48" s="646" t="str">
        <f t="shared" si="4"/>
        <v>VENCIDA</v>
      </c>
      <c r="I48" s="647">
        <f t="shared" si="5"/>
        <v>46152</v>
      </c>
    </row>
    <row r="49">
      <c r="A49" s="644"/>
      <c r="B49" s="644"/>
      <c r="C49" s="644">
        <f t="shared" si="2"/>
        <v>15</v>
      </c>
      <c r="D49" s="643"/>
      <c r="E49" s="658" t="b">
        <v>0</v>
      </c>
      <c r="F49" s="646" t="str">
        <f t="shared" si="3"/>
        <v>ADEUDA</v>
      </c>
      <c r="G49" s="340" t="s">
        <v>2278</v>
      </c>
      <c r="H49" s="646" t="str">
        <f t="shared" si="4"/>
        <v>VENCIDA</v>
      </c>
      <c r="I49" s="647">
        <f t="shared" si="5"/>
        <v>46152</v>
      </c>
    </row>
    <row r="50">
      <c r="A50" s="644"/>
      <c r="B50" s="644"/>
      <c r="C50" s="644">
        <f t="shared" si="2"/>
        <v>15</v>
      </c>
      <c r="D50" s="643"/>
      <c r="E50" s="658" t="b">
        <v>0</v>
      </c>
      <c r="F50" s="646" t="str">
        <f t="shared" si="3"/>
        <v>ADEUDA</v>
      </c>
      <c r="G50" s="340" t="s">
        <v>2278</v>
      </c>
      <c r="H50" s="646" t="str">
        <f t="shared" si="4"/>
        <v>VENCIDA</v>
      </c>
      <c r="I50" s="647">
        <f t="shared" si="5"/>
        <v>46152</v>
      </c>
    </row>
    <row r="51">
      <c r="A51" s="644"/>
      <c r="B51" s="644"/>
      <c r="C51" s="644">
        <f t="shared" si="2"/>
        <v>15</v>
      </c>
      <c r="D51" s="643"/>
      <c r="E51" s="658" t="b">
        <v>0</v>
      </c>
      <c r="F51" s="646" t="str">
        <f t="shared" si="3"/>
        <v>ADEUDA</v>
      </c>
      <c r="G51" s="340" t="s">
        <v>2278</v>
      </c>
      <c r="H51" s="646" t="str">
        <f t="shared" si="4"/>
        <v>VENCIDA</v>
      </c>
      <c r="I51" s="647">
        <f t="shared" si="5"/>
        <v>46152</v>
      </c>
    </row>
    <row r="52">
      <c r="A52" s="644"/>
      <c r="B52" s="644"/>
      <c r="C52" s="644">
        <f t="shared" si="2"/>
        <v>15</v>
      </c>
      <c r="D52" s="643"/>
      <c r="E52" s="658" t="b">
        <v>0</v>
      </c>
      <c r="F52" s="646" t="str">
        <f t="shared" si="3"/>
        <v>ADEUDA</v>
      </c>
      <c r="G52" s="340" t="s">
        <v>2278</v>
      </c>
      <c r="H52" s="646" t="str">
        <f t="shared" si="4"/>
        <v>VENCIDA</v>
      </c>
      <c r="I52" s="647">
        <f t="shared" si="5"/>
        <v>46152</v>
      </c>
    </row>
    <row r="53">
      <c r="A53" s="644"/>
      <c r="B53" s="644"/>
      <c r="C53" s="644">
        <f t="shared" si="2"/>
        <v>15</v>
      </c>
      <c r="D53" s="643"/>
      <c r="E53" s="658" t="b">
        <v>0</v>
      </c>
      <c r="F53" s="646" t="str">
        <f t="shared" si="3"/>
        <v>ADEUDA</v>
      </c>
      <c r="G53" s="340" t="s">
        <v>2278</v>
      </c>
      <c r="H53" s="646" t="str">
        <f t="shared" si="4"/>
        <v>VENCIDA</v>
      </c>
      <c r="I53" s="647">
        <f t="shared" si="5"/>
        <v>46152</v>
      </c>
    </row>
    <row r="54">
      <c r="A54" s="644"/>
      <c r="B54" s="644"/>
      <c r="C54" s="644">
        <f t="shared" si="2"/>
        <v>15</v>
      </c>
      <c r="D54" s="643"/>
      <c r="E54" s="658" t="b">
        <v>0</v>
      </c>
      <c r="F54" s="646" t="str">
        <f t="shared" si="3"/>
        <v>ADEUDA</v>
      </c>
      <c r="G54" s="340" t="s">
        <v>2278</v>
      </c>
      <c r="H54" s="646" t="str">
        <f t="shared" si="4"/>
        <v>VENCIDA</v>
      </c>
      <c r="I54" s="647">
        <f t="shared" si="5"/>
        <v>46152</v>
      </c>
    </row>
    <row r="55">
      <c r="A55" s="644"/>
      <c r="B55" s="644"/>
      <c r="C55" s="644">
        <f t="shared" si="2"/>
        <v>15</v>
      </c>
      <c r="D55" s="643"/>
      <c r="E55" s="658" t="b">
        <v>0</v>
      </c>
      <c r="F55" s="646" t="str">
        <f t="shared" si="3"/>
        <v>ADEUDA</v>
      </c>
      <c r="G55" s="340" t="s">
        <v>2278</v>
      </c>
      <c r="H55" s="646" t="str">
        <f t="shared" si="4"/>
        <v>VENCIDA</v>
      </c>
      <c r="I55" s="647">
        <f t="shared" si="5"/>
        <v>46152</v>
      </c>
    </row>
    <row r="56">
      <c r="A56" s="644"/>
      <c r="B56" s="644"/>
      <c r="C56" s="644">
        <f t="shared" si="2"/>
        <v>15</v>
      </c>
      <c r="D56" s="643"/>
      <c r="E56" s="658" t="b">
        <v>0</v>
      </c>
      <c r="F56" s="646" t="str">
        <f t="shared" si="3"/>
        <v>ADEUDA</v>
      </c>
      <c r="G56" s="340" t="s">
        <v>2278</v>
      </c>
      <c r="H56" s="646" t="str">
        <f t="shared" si="4"/>
        <v>VENCIDA</v>
      </c>
      <c r="I56" s="647">
        <f t="shared" si="5"/>
        <v>46152</v>
      </c>
    </row>
    <row r="57">
      <c r="A57" s="644"/>
      <c r="B57" s="644"/>
      <c r="C57" s="644">
        <f t="shared" si="2"/>
        <v>15</v>
      </c>
      <c r="D57" s="643"/>
      <c r="E57" s="658" t="b">
        <v>0</v>
      </c>
      <c r="F57" s="646" t="str">
        <f t="shared" si="3"/>
        <v>ADEUDA</v>
      </c>
      <c r="G57" s="340" t="s">
        <v>2278</v>
      </c>
      <c r="H57" s="646" t="str">
        <f t="shared" si="4"/>
        <v>VENCIDA</v>
      </c>
      <c r="I57" s="647">
        <f t="shared" si="5"/>
        <v>46152</v>
      </c>
    </row>
    <row r="58">
      <c r="A58" s="644"/>
      <c r="B58" s="644"/>
      <c r="C58" s="644">
        <f t="shared" si="2"/>
        <v>15</v>
      </c>
      <c r="D58" s="643"/>
      <c r="E58" s="658" t="b">
        <v>0</v>
      </c>
      <c r="F58" s="646" t="str">
        <f t="shared" si="3"/>
        <v>ADEUDA</v>
      </c>
      <c r="G58" s="340" t="s">
        <v>2278</v>
      </c>
      <c r="H58" s="646" t="str">
        <f t="shared" si="4"/>
        <v>VENCIDA</v>
      </c>
      <c r="I58" s="647">
        <f t="shared" si="5"/>
        <v>46152</v>
      </c>
    </row>
    <row r="59">
      <c r="A59" s="644"/>
      <c r="B59" s="644"/>
      <c r="C59" s="644">
        <f t="shared" si="2"/>
        <v>15</v>
      </c>
      <c r="D59" s="643"/>
      <c r="E59" s="658" t="b">
        <v>0</v>
      </c>
      <c r="F59" s="646" t="str">
        <f t="shared" si="3"/>
        <v>ADEUDA</v>
      </c>
      <c r="G59" s="340" t="s">
        <v>2278</v>
      </c>
      <c r="H59" s="646" t="str">
        <f t="shared" si="4"/>
        <v>VENCIDA</v>
      </c>
      <c r="I59" s="647">
        <f t="shared" si="5"/>
        <v>46152</v>
      </c>
    </row>
    <row r="60">
      <c r="A60" s="644"/>
      <c r="B60" s="644"/>
      <c r="C60" s="644">
        <f t="shared" si="2"/>
        <v>15</v>
      </c>
      <c r="D60" s="643"/>
      <c r="E60" s="658" t="b">
        <v>0</v>
      </c>
      <c r="F60" s="646" t="str">
        <f t="shared" si="3"/>
        <v>ADEUDA</v>
      </c>
      <c r="G60" s="340" t="s">
        <v>2278</v>
      </c>
      <c r="H60" s="646" t="str">
        <f t="shared" si="4"/>
        <v>VENCIDA</v>
      </c>
      <c r="I60" s="647">
        <f t="shared" si="5"/>
        <v>46152</v>
      </c>
    </row>
    <row r="61">
      <c r="A61" s="644"/>
      <c r="B61" s="644"/>
      <c r="C61" s="644">
        <f t="shared" si="2"/>
        <v>15</v>
      </c>
      <c r="D61" s="643"/>
      <c r="E61" s="658" t="b">
        <v>0</v>
      </c>
      <c r="F61" s="646" t="str">
        <f t="shared" si="3"/>
        <v>ADEUDA</v>
      </c>
      <c r="G61" s="340" t="s">
        <v>2278</v>
      </c>
      <c r="H61" s="646" t="str">
        <f t="shared" si="4"/>
        <v>VENCIDA</v>
      </c>
      <c r="I61" s="647">
        <f t="shared" si="5"/>
        <v>46152</v>
      </c>
    </row>
    <row r="62">
      <c r="A62" s="644"/>
      <c r="B62" s="644"/>
      <c r="C62" s="644">
        <f t="shared" si="2"/>
        <v>15</v>
      </c>
      <c r="D62" s="643"/>
      <c r="E62" s="658" t="b">
        <v>0</v>
      </c>
      <c r="F62" s="646" t="str">
        <f t="shared" si="3"/>
        <v>ADEUDA</v>
      </c>
      <c r="G62" s="340" t="s">
        <v>2278</v>
      </c>
      <c r="H62" s="646" t="str">
        <f t="shared" si="4"/>
        <v>VENCIDA</v>
      </c>
      <c r="I62" s="647">
        <f t="shared" si="5"/>
        <v>46152</v>
      </c>
    </row>
    <row r="63">
      <c r="A63" s="644"/>
      <c r="B63" s="644"/>
      <c r="C63" s="644">
        <f t="shared" si="2"/>
        <v>15</v>
      </c>
      <c r="D63" s="643"/>
      <c r="E63" s="658" t="b">
        <v>0</v>
      </c>
      <c r="F63" s="646" t="str">
        <f t="shared" si="3"/>
        <v>ADEUDA</v>
      </c>
      <c r="G63" s="340" t="s">
        <v>2278</v>
      </c>
      <c r="H63" s="646" t="str">
        <f t="shared" si="4"/>
        <v>VENCIDA</v>
      </c>
      <c r="I63" s="647">
        <f t="shared" si="5"/>
        <v>46152</v>
      </c>
    </row>
    <row r="64">
      <c r="A64" s="644"/>
      <c r="B64" s="644"/>
      <c r="C64" s="644">
        <f t="shared" si="2"/>
        <v>15</v>
      </c>
      <c r="D64" s="643"/>
      <c r="E64" s="658" t="b">
        <v>0</v>
      </c>
      <c r="F64" s="646" t="str">
        <f t="shared" si="3"/>
        <v>ADEUDA</v>
      </c>
      <c r="G64" s="340" t="s">
        <v>2278</v>
      </c>
      <c r="H64" s="646" t="str">
        <f t="shared" si="4"/>
        <v>VENCIDA</v>
      </c>
      <c r="I64" s="647">
        <f t="shared" si="5"/>
        <v>46152</v>
      </c>
    </row>
    <row r="65">
      <c r="A65" s="644"/>
      <c r="B65" s="644"/>
      <c r="C65" s="644">
        <f t="shared" si="2"/>
        <v>15</v>
      </c>
      <c r="D65" s="643"/>
      <c r="E65" s="658" t="b">
        <v>0</v>
      </c>
      <c r="F65" s="646" t="str">
        <f t="shared" si="3"/>
        <v>ADEUDA</v>
      </c>
      <c r="G65" s="340" t="s">
        <v>2278</v>
      </c>
      <c r="H65" s="646" t="str">
        <f t="shared" si="4"/>
        <v>VENCIDA</v>
      </c>
      <c r="I65" s="647">
        <f t="shared" si="5"/>
        <v>46152</v>
      </c>
    </row>
    <row r="66">
      <c r="A66" s="644"/>
      <c r="B66" s="644"/>
      <c r="C66" s="644">
        <f t="shared" si="2"/>
        <v>15</v>
      </c>
      <c r="D66" s="643"/>
      <c r="E66" s="658" t="b">
        <v>0</v>
      </c>
      <c r="F66" s="646" t="str">
        <f t="shared" si="3"/>
        <v>ADEUDA</v>
      </c>
      <c r="G66" s="340" t="s">
        <v>2278</v>
      </c>
      <c r="H66" s="646" t="str">
        <f t="shared" si="4"/>
        <v>VENCIDA</v>
      </c>
      <c r="I66" s="647">
        <f t="shared" si="5"/>
        <v>46152</v>
      </c>
    </row>
    <row r="67">
      <c r="A67" s="644"/>
      <c r="B67" s="644"/>
      <c r="C67" s="644">
        <f t="shared" si="2"/>
        <v>15</v>
      </c>
      <c r="D67" s="643"/>
      <c r="E67" s="658" t="b">
        <v>0</v>
      </c>
      <c r="F67" s="646" t="str">
        <f t="shared" si="3"/>
        <v>ADEUDA</v>
      </c>
      <c r="G67" s="340" t="s">
        <v>2278</v>
      </c>
      <c r="H67" s="646" t="str">
        <f t="shared" si="4"/>
        <v>VENCIDA</v>
      </c>
      <c r="I67" s="647">
        <f t="shared" si="5"/>
        <v>46152</v>
      </c>
    </row>
    <row r="68">
      <c r="A68" s="644"/>
      <c r="B68" s="644"/>
      <c r="C68" s="644">
        <f t="shared" si="2"/>
        <v>15</v>
      </c>
      <c r="D68" s="643"/>
      <c r="E68" s="658" t="b">
        <v>0</v>
      </c>
      <c r="F68" s="646" t="str">
        <f t="shared" si="3"/>
        <v>ADEUDA</v>
      </c>
      <c r="G68" s="340" t="s">
        <v>2278</v>
      </c>
      <c r="H68" s="646" t="str">
        <f t="shared" si="4"/>
        <v>VENCIDA</v>
      </c>
      <c r="I68" s="647">
        <f t="shared" si="5"/>
        <v>46152</v>
      </c>
    </row>
    <row r="69">
      <c r="A69" s="644"/>
      <c r="B69" s="644"/>
      <c r="C69" s="644">
        <f t="shared" si="2"/>
        <v>15</v>
      </c>
      <c r="D69" s="643"/>
      <c r="E69" s="658" t="b">
        <v>0</v>
      </c>
      <c r="F69" s="646" t="str">
        <f t="shared" si="3"/>
        <v>ADEUDA</v>
      </c>
      <c r="G69" s="340" t="s">
        <v>2278</v>
      </c>
      <c r="H69" s="646" t="str">
        <f t="shared" si="4"/>
        <v>VENCIDA</v>
      </c>
      <c r="I69" s="647">
        <f t="shared" si="5"/>
        <v>46152</v>
      </c>
    </row>
    <row r="70">
      <c r="A70" s="644"/>
      <c r="B70" s="644"/>
      <c r="C70" s="644">
        <f t="shared" si="2"/>
        <v>15</v>
      </c>
      <c r="D70" s="643"/>
      <c r="E70" s="658" t="b">
        <v>0</v>
      </c>
      <c r="F70" s="646" t="str">
        <f t="shared" si="3"/>
        <v>ADEUDA</v>
      </c>
      <c r="G70" s="340" t="s">
        <v>2278</v>
      </c>
      <c r="H70" s="646" t="str">
        <f t="shared" si="4"/>
        <v>VENCIDA</v>
      </c>
      <c r="I70" s="647">
        <f t="shared" si="5"/>
        <v>46152</v>
      </c>
    </row>
    <row r="71">
      <c r="A71" s="644"/>
      <c r="B71" s="644"/>
      <c r="C71" s="644">
        <f t="shared" si="2"/>
        <v>15</v>
      </c>
      <c r="D71" s="643"/>
      <c r="E71" s="658" t="b">
        <v>0</v>
      </c>
      <c r="F71" s="646" t="str">
        <f t="shared" si="3"/>
        <v>ADEUDA</v>
      </c>
      <c r="G71" s="340" t="s">
        <v>2278</v>
      </c>
      <c r="H71" s="646" t="str">
        <f t="shared" si="4"/>
        <v>VENCIDA</v>
      </c>
      <c r="I71" s="647">
        <f t="shared" si="5"/>
        <v>46152</v>
      </c>
    </row>
    <row r="72">
      <c r="A72" s="644"/>
      <c r="B72" s="644"/>
      <c r="C72" s="644">
        <f t="shared" si="2"/>
        <v>15</v>
      </c>
      <c r="D72" s="643"/>
      <c r="E72" s="658" t="b">
        <v>0</v>
      </c>
      <c r="F72" s="646" t="str">
        <f t="shared" si="3"/>
        <v>ADEUDA</v>
      </c>
      <c r="G72" s="340" t="s">
        <v>2278</v>
      </c>
      <c r="H72" s="646" t="str">
        <f t="shared" si="4"/>
        <v>VENCIDA</v>
      </c>
      <c r="I72" s="647">
        <f t="shared" si="5"/>
        <v>46152</v>
      </c>
    </row>
    <row r="73">
      <c r="A73" s="644"/>
      <c r="B73" s="644"/>
      <c r="C73" s="644">
        <f t="shared" si="2"/>
        <v>15</v>
      </c>
      <c r="D73" s="643"/>
      <c r="E73" s="658" t="b">
        <v>0</v>
      </c>
      <c r="F73" s="646" t="str">
        <f t="shared" si="3"/>
        <v>ADEUDA</v>
      </c>
      <c r="G73" s="340" t="s">
        <v>2278</v>
      </c>
      <c r="H73" s="646" t="str">
        <f t="shared" si="4"/>
        <v>VENCIDA</v>
      </c>
      <c r="I73" s="647">
        <f t="shared" si="5"/>
        <v>46152</v>
      </c>
    </row>
    <row r="74">
      <c r="A74" s="644"/>
      <c r="B74" s="644"/>
      <c r="C74" s="644">
        <f t="shared" si="2"/>
        <v>15</v>
      </c>
      <c r="D74" s="643"/>
      <c r="E74" s="658" t="b">
        <v>0</v>
      </c>
      <c r="F74" s="646" t="str">
        <f t="shared" si="3"/>
        <v>ADEUDA</v>
      </c>
      <c r="G74" s="340" t="s">
        <v>2278</v>
      </c>
      <c r="H74" s="646" t="str">
        <f t="shared" si="4"/>
        <v>VENCIDA</v>
      </c>
      <c r="I74" s="647">
        <f t="shared" si="5"/>
        <v>46152</v>
      </c>
    </row>
    <row r="75">
      <c r="A75" s="644"/>
      <c r="B75" s="644"/>
      <c r="C75" s="644">
        <f t="shared" si="2"/>
        <v>15</v>
      </c>
      <c r="D75" s="643"/>
      <c r="E75" s="658" t="b">
        <v>0</v>
      </c>
      <c r="F75" s="646" t="str">
        <f t="shared" si="3"/>
        <v>ADEUDA</v>
      </c>
      <c r="G75" s="340" t="s">
        <v>2278</v>
      </c>
      <c r="H75" s="646" t="str">
        <f t="shared" si="4"/>
        <v>VENCIDA</v>
      </c>
      <c r="I75" s="647">
        <f t="shared" si="5"/>
        <v>46152</v>
      </c>
    </row>
    <row r="76">
      <c r="A76" s="644"/>
      <c r="B76" s="644"/>
      <c r="C76" s="644">
        <f t="shared" si="2"/>
        <v>15</v>
      </c>
      <c r="D76" s="643"/>
      <c r="E76" s="658" t="b">
        <v>0</v>
      </c>
      <c r="F76" s="646" t="str">
        <f t="shared" si="3"/>
        <v>ADEUDA</v>
      </c>
      <c r="G76" s="340" t="s">
        <v>2278</v>
      </c>
      <c r="H76" s="646" t="str">
        <f t="shared" si="4"/>
        <v>VENCIDA</v>
      </c>
      <c r="I76" s="647">
        <f t="shared" si="5"/>
        <v>46152</v>
      </c>
    </row>
    <row r="77">
      <c r="A77" s="644"/>
      <c r="B77" s="644"/>
      <c r="C77" s="644">
        <f t="shared" si="2"/>
        <v>15</v>
      </c>
      <c r="D77" s="643"/>
      <c r="E77" s="658" t="b">
        <v>0</v>
      </c>
      <c r="F77" s="646" t="str">
        <f t="shared" si="3"/>
        <v>ADEUDA</v>
      </c>
      <c r="G77" s="340" t="s">
        <v>2278</v>
      </c>
      <c r="H77" s="646" t="str">
        <f t="shared" si="4"/>
        <v>VENCIDA</v>
      </c>
      <c r="I77" s="647">
        <f t="shared" si="5"/>
        <v>46152</v>
      </c>
    </row>
    <row r="78">
      <c r="A78" s="644"/>
      <c r="B78" s="644"/>
      <c r="C78" s="644">
        <f t="shared" si="2"/>
        <v>15</v>
      </c>
      <c r="D78" s="643"/>
      <c r="E78" s="658" t="b">
        <v>0</v>
      </c>
      <c r="F78" s="646" t="str">
        <f t="shared" si="3"/>
        <v>ADEUDA</v>
      </c>
      <c r="G78" s="340" t="s">
        <v>2278</v>
      </c>
      <c r="H78" s="646" t="str">
        <f t="shared" si="4"/>
        <v>VENCIDA</v>
      </c>
      <c r="I78" s="647">
        <f t="shared" si="5"/>
        <v>46152</v>
      </c>
    </row>
    <row r="79">
      <c r="A79" s="644"/>
      <c r="B79" s="644"/>
      <c r="C79" s="644">
        <f t="shared" si="2"/>
        <v>15</v>
      </c>
      <c r="D79" s="643"/>
      <c r="E79" s="658" t="b">
        <v>0</v>
      </c>
      <c r="F79" s="646" t="str">
        <f t="shared" si="3"/>
        <v>ADEUDA</v>
      </c>
      <c r="G79" s="340" t="s">
        <v>2278</v>
      </c>
      <c r="H79" s="646" t="str">
        <f t="shared" si="4"/>
        <v>VENCIDA</v>
      </c>
      <c r="I79" s="647">
        <f t="shared" si="5"/>
        <v>46152</v>
      </c>
    </row>
    <row r="80">
      <c r="A80" s="644"/>
      <c r="B80" s="644"/>
      <c r="C80" s="644">
        <f t="shared" si="2"/>
        <v>15</v>
      </c>
      <c r="D80" s="643"/>
      <c r="E80" s="658" t="b">
        <v>0</v>
      </c>
      <c r="F80" s="646" t="str">
        <f t="shared" si="3"/>
        <v>ADEUDA</v>
      </c>
      <c r="G80" s="340" t="s">
        <v>2278</v>
      </c>
      <c r="H80" s="646" t="str">
        <f t="shared" si="4"/>
        <v>VENCIDA</v>
      </c>
      <c r="I80" s="647">
        <f t="shared" si="5"/>
        <v>46152</v>
      </c>
    </row>
    <row r="81">
      <c r="A81" s="644"/>
      <c r="B81" s="644"/>
      <c r="C81" s="644">
        <f t="shared" si="2"/>
        <v>15</v>
      </c>
      <c r="D81" s="643"/>
      <c r="E81" s="658" t="b">
        <v>0</v>
      </c>
      <c r="F81" s="646" t="str">
        <f t="shared" si="3"/>
        <v>ADEUDA</v>
      </c>
      <c r="G81" s="340" t="s">
        <v>2278</v>
      </c>
      <c r="H81" s="646" t="str">
        <f t="shared" si="4"/>
        <v>VENCIDA</v>
      </c>
      <c r="I81" s="647">
        <f t="shared" si="5"/>
        <v>46152</v>
      </c>
    </row>
    <row r="82">
      <c r="A82" s="644"/>
      <c r="B82" s="644"/>
      <c r="C82" s="644">
        <f t="shared" si="2"/>
        <v>15</v>
      </c>
      <c r="D82" s="643"/>
      <c r="E82" s="658" t="b">
        <v>0</v>
      </c>
      <c r="F82" s="646" t="str">
        <f t="shared" si="3"/>
        <v>ADEUDA</v>
      </c>
      <c r="G82" s="340" t="s">
        <v>2278</v>
      </c>
      <c r="H82" s="646" t="str">
        <f t="shared" si="4"/>
        <v>VENCIDA</v>
      </c>
      <c r="I82" s="647">
        <f t="shared" si="5"/>
        <v>46152</v>
      </c>
    </row>
    <row r="83">
      <c r="A83" s="644"/>
      <c r="B83" s="644"/>
      <c r="C83" s="644">
        <f t="shared" si="2"/>
        <v>15</v>
      </c>
      <c r="D83" s="643"/>
      <c r="E83" s="658" t="b">
        <v>0</v>
      </c>
      <c r="F83" s="646" t="str">
        <f t="shared" si="3"/>
        <v>ADEUDA</v>
      </c>
      <c r="G83" s="340" t="s">
        <v>2278</v>
      </c>
      <c r="H83" s="646" t="str">
        <f t="shared" si="4"/>
        <v>VENCIDA</v>
      </c>
      <c r="I83" s="647">
        <f t="shared" si="5"/>
        <v>46152</v>
      </c>
    </row>
    <row r="84">
      <c r="A84" s="644"/>
      <c r="B84" s="644"/>
      <c r="C84" s="644">
        <f t="shared" si="2"/>
        <v>15</v>
      </c>
      <c r="D84" s="643"/>
      <c r="E84" s="658" t="b">
        <v>0</v>
      </c>
      <c r="F84" s="646" t="str">
        <f t="shared" si="3"/>
        <v>ADEUDA</v>
      </c>
      <c r="G84" s="340" t="s">
        <v>2278</v>
      </c>
      <c r="H84" s="646" t="str">
        <f t="shared" si="4"/>
        <v>VENCIDA</v>
      </c>
      <c r="I84" s="647">
        <f t="shared" si="5"/>
        <v>46152</v>
      </c>
    </row>
    <row r="85">
      <c r="A85" s="644"/>
      <c r="B85" s="644"/>
      <c r="C85" s="644">
        <f t="shared" si="2"/>
        <v>15</v>
      </c>
      <c r="D85" s="643"/>
      <c r="E85" s="658" t="b">
        <v>0</v>
      </c>
      <c r="F85" s="646" t="str">
        <f t="shared" si="3"/>
        <v>ADEUDA</v>
      </c>
      <c r="G85" s="340" t="s">
        <v>2278</v>
      </c>
      <c r="H85" s="646" t="str">
        <f t="shared" si="4"/>
        <v>VENCIDA</v>
      </c>
      <c r="I85" s="647">
        <f t="shared" si="5"/>
        <v>46152</v>
      </c>
    </row>
    <row r="86">
      <c r="A86" s="644"/>
      <c r="B86" s="644"/>
      <c r="C86" s="644">
        <f t="shared" si="2"/>
        <v>15</v>
      </c>
      <c r="D86" s="643"/>
      <c r="E86" s="658" t="b">
        <v>0</v>
      </c>
      <c r="F86" s="646" t="str">
        <f t="shared" si="3"/>
        <v>ADEUDA</v>
      </c>
      <c r="G86" s="340" t="s">
        <v>2278</v>
      </c>
      <c r="H86" s="646" t="str">
        <f t="shared" si="4"/>
        <v>VENCIDA</v>
      </c>
      <c r="I86" s="647">
        <f t="shared" si="5"/>
        <v>46152</v>
      </c>
    </row>
    <row r="87">
      <c r="A87" s="644"/>
      <c r="B87" s="644"/>
      <c r="C87" s="644">
        <f t="shared" si="2"/>
        <v>15</v>
      </c>
      <c r="D87" s="643"/>
      <c r="E87" s="658" t="b">
        <v>0</v>
      </c>
      <c r="F87" s="646" t="str">
        <f t="shared" si="3"/>
        <v>ADEUDA</v>
      </c>
      <c r="G87" s="340" t="s">
        <v>2278</v>
      </c>
      <c r="H87" s="646" t="str">
        <f t="shared" si="4"/>
        <v>VENCIDA</v>
      </c>
      <c r="I87" s="647">
        <f t="shared" si="5"/>
        <v>46152</v>
      </c>
    </row>
    <row r="88">
      <c r="A88" s="644"/>
      <c r="B88" s="644"/>
      <c r="C88" s="644">
        <f t="shared" si="2"/>
        <v>15</v>
      </c>
      <c r="D88" s="643"/>
      <c r="E88" s="658" t="b">
        <v>0</v>
      </c>
      <c r="F88" s="646" t="str">
        <f t="shared" si="3"/>
        <v>ADEUDA</v>
      </c>
      <c r="G88" s="340" t="s">
        <v>2278</v>
      </c>
      <c r="H88" s="646" t="str">
        <f t="shared" si="4"/>
        <v>VENCIDA</v>
      </c>
      <c r="I88" s="647">
        <f t="shared" si="5"/>
        <v>46152</v>
      </c>
    </row>
    <row r="89">
      <c r="A89" s="644"/>
      <c r="B89" s="644"/>
      <c r="C89" s="644">
        <f t="shared" si="2"/>
        <v>15</v>
      </c>
      <c r="D89" s="643"/>
      <c r="E89" s="658" t="b">
        <v>0</v>
      </c>
      <c r="F89" s="646" t="str">
        <f t="shared" si="3"/>
        <v>ADEUDA</v>
      </c>
      <c r="G89" s="340" t="s">
        <v>2278</v>
      </c>
      <c r="H89" s="646" t="str">
        <f t="shared" si="4"/>
        <v>VENCIDA</v>
      </c>
      <c r="I89" s="647">
        <f t="shared" si="5"/>
        <v>46152</v>
      </c>
    </row>
    <row r="90">
      <c r="A90" s="644"/>
      <c r="B90" s="644"/>
      <c r="C90" s="644">
        <f t="shared" si="2"/>
        <v>15</v>
      </c>
      <c r="D90" s="643"/>
      <c r="E90" s="658" t="b">
        <v>0</v>
      </c>
      <c r="F90" s="646" t="str">
        <f t="shared" si="3"/>
        <v>ADEUDA</v>
      </c>
      <c r="G90" s="340" t="s">
        <v>2278</v>
      </c>
      <c r="H90" s="646" t="str">
        <f t="shared" si="4"/>
        <v>VENCIDA</v>
      </c>
      <c r="I90" s="647">
        <f t="shared" si="5"/>
        <v>46152</v>
      </c>
    </row>
    <row r="91">
      <c r="A91" s="644"/>
      <c r="B91" s="644"/>
      <c r="C91" s="644">
        <f t="shared" si="2"/>
        <v>15</v>
      </c>
      <c r="D91" s="643"/>
      <c r="E91" s="658" t="b">
        <v>0</v>
      </c>
      <c r="F91" s="646" t="str">
        <f t="shared" si="3"/>
        <v>ADEUDA</v>
      </c>
      <c r="G91" s="340" t="s">
        <v>2278</v>
      </c>
      <c r="H91" s="646" t="str">
        <f t="shared" si="4"/>
        <v>VENCIDA</v>
      </c>
      <c r="I91" s="647">
        <f t="shared" si="5"/>
        <v>46152</v>
      </c>
    </row>
    <row r="92">
      <c r="A92" s="644"/>
      <c r="B92" s="644"/>
      <c r="C92" s="644">
        <f t="shared" si="2"/>
        <v>15</v>
      </c>
      <c r="D92" s="643"/>
      <c r="E92" s="658" t="b">
        <v>0</v>
      </c>
      <c r="F92" s="646" t="str">
        <f t="shared" si="3"/>
        <v>ADEUDA</v>
      </c>
      <c r="G92" s="340" t="s">
        <v>2278</v>
      </c>
      <c r="H92" s="646" t="str">
        <f t="shared" si="4"/>
        <v>VENCIDA</v>
      </c>
      <c r="I92" s="647">
        <f t="shared" si="5"/>
        <v>46152</v>
      </c>
    </row>
    <row r="93">
      <c r="A93" s="644"/>
      <c r="B93" s="644"/>
      <c r="C93" s="644">
        <f t="shared" si="2"/>
        <v>15</v>
      </c>
      <c r="D93" s="643"/>
      <c r="E93" s="658" t="b">
        <v>0</v>
      </c>
      <c r="F93" s="646" t="str">
        <f t="shared" si="3"/>
        <v>ADEUDA</v>
      </c>
      <c r="G93" s="340" t="s">
        <v>2278</v>
      </c>
      <c r="H93" s="646" t="str">
        <f t="shared" si="4"/>
        <v>VENCIDA</v>
      </c>
      <c r="I93" s="647">
        <f t="shared" si="5"/>
        <v>46152</v>
      </c>
    </row>
    <row r="94">
      <c r="A94" s="644"/>
      <c r="B94" s="644"/>
      <c r="C94" s="644">
        <f t="shared" si="2"/>
        <v>15</v>
      </c>
      <c r="D94" s="643"/>
      <c r="E94" s="658" t="b">
        <v>0</v>
      </c>
      <c r="F94" s="646" t="str">
        <f t="shared" si="3"/>
        <v>ADEUDA</v>
      </c>
      <c r="G94" s="340" t="s">
        <v>2278</v>
      </c>
      <c r="H94" s="646" t="str">
        <f t="shared" si="4"/>
        <v>VENCIDA</v>
      </c>
      <c r="I94" s="647">
        <f t="shared" si="5"/>
        <v>46152</v>
      </c>
    </row>
    <row r="95">
      <c r="A95" s="644"/>
      <c r="B95" s="644"/>
      <c r="C95" s="644">
        <f t="shared" si="2"/>
        <v>15</v>
      </c>
      <c r="D95" s="643"/>
      <c r="E95" s="658" t="b">
        <v>0</v>
      </c>
      <c r="F95" s="646" t="str">
        <f t="shared" si="3"/>
        <v>ADEUDA</v>
      </c>
      <c r="G95" s="340" t="s">
        <v>2278</v>
      </c>
      <c r="H95" s="646" t="str">
        <f t="shared" si="4"/>
        <v>VENCIDA</v>
      </c>
      <c r="I95" s="647">
        <f t="shared" si="5"/>
        <v>46152</v>
      </c>
    </row>
    <row r="96">
      <c r="A96" s="644"/>
      <c r="B96" s="644"/>
      <c r="C96" s="644">
        <f t="shared" si="2"/>
        <v>15</v>
      </c>
      <c r="D96" s="643"/>
      <c r="E96" s="658" t="b">
        <v>0</v>
      </c>
      <c r="F96" s="646" t="str">
        <f t="shared" si="3"/>
        <v>ADEUDA</v>
      </c>
      <c r="G96" s="340" t="s">
        <v>2278</v>
      </c>
      <c r="H96" s="646" t="str">
        <f t="shared" si="4"/>
        <v>VENCIDA</v>
      </c>
      <c r="I96" s="647">
        <f t="shared" si="5"/>
        <v>46152</v>
      </c>
    </row>
    <row r="97">
      <c r="A97" s="644"/>
      <c r="B97" s="644"/>
      <c r="C97" s="644">
        <f t="shared" si="2"/>
        <v>15</v>
      </c>
      <c r="D97" s="643"/>
      <c r="E97" s="658" t="b">
        <v>0</v>
      </c>
      <c r="F97" s="646" t="str">
        <f t="shared" si="3"/>
        <v>ADEUDA</v>
      </c>
      <c r="G97" s="340" t="s">
        <v>2278</v>
      </c>
      <c r="H97" s="646" t="str">
        <f t="shared" si="4"/>
        <v>VENCIDA</v>
      </c>
      <c r="I97" s="647">
        <f t="shared" si="5"/>
        <v>46152</v>
      </c>
    </row>
    <row r="98">
      <c r="A98" s="644"/>
      <c r="B98" s="644"/>
      <c r="C98" s="644">
        <f t="shared" si="2"/>
        <v>15</v>
      </c>
      <c r="D98" s="643"/>
      <c r="E98" s="658" t="b">
        <v>0</v>
      </c>
      <c r="F98" s="646" t="str">
        <f t="shared" si="3"/>
        <v>ADEUDA</v>
      </c>
      <c r="G98" s="340" t="s">
        <v>2278</v>
      </c>
      <c r="H98" s="646" t="str">
        <f t="shared" si="4"/>
        <v>VENCIDA</v>
      </c>
      <c r="I98" s="647">
        <f t="shared" si="5"/>
        <v>46152</v>
      </c>
    </row>
    <row r="99">
      <c r="A99" s="644"/>
      <c r="B99" s="644"/>
      <c r="C99" s="644">
        <f t="shared" si="2"/>
        <v>15</v>
      </c>
      <c r="D99" s="643"/>
      <c r="E99" s="658" t="b">
        <v>0</v>
      </c>
      <c r="F99" s="646" t="str">
        <f t="shared" si="3"/>
        <v>ADEUDA</v>
      </c>
      <c r="G99" s="340" t="s">
        <v>2278</v>
      </c>
      <c r="H99" s="646" t="str">
        <f t="shared" si="4"/>
        <v>VENCIDA</v>
      </c>
      <c r="I99" s="647">
        <f t="shared" si="5"/>
        <v>46152</v>
      </c>
    </row>
    <row r="100">
      <c r="A100" s="644"/>
      <c r="B100" s="644"/>
      <c r="C100" s="644">
        <f t="shared" si="2"/>
        <v>15</v>
      </c>
      <c r="D100" s="643"/>
      <c r="E100" s="658" t="b">
        <v>0</v>
      </c>
      <c r="F100" s="646" t="str">
        <f t="shared" si="3"/>
        <v>ADEUDA</v>
      </c>
      <c r="G100" s="340" t="s">
        <v>2278</v>
      </c>
      <c r="H100" s="646" t="str">
        <f t="shared" si="4"/>
        <v>VENCIDA</v>
      </c>
      <c r="I100" s="647">
        <f t="shared" si="5"/>
        <v>46152</v>
      </c>
    </row>
    <row r="101">
      <c r="A101" s="644"/>
      <c r="B101" s="644"/>
      <c r="C101" s="644">
        <f t="shared" si="2"/>
        <v>15</v>
      </c>
      <c r="D101" s="643"/>
      <c r="E101" s="658" t="b">
        <v>0</v>
      </c>
      <c r="F101" s="646" t="str">
        <f t="shared" si="3"/>
        <v>ADEUDA</v>
      </c>
      <c r="G101" s="340" t="s">
        <v>2278</v>
      </c>
      <c r="H101" s="646" t="str">
        <f t="shared" si="4"/>
        <v>VENCIDA</v>
      </c>
      <c r="I101" s="647">
        <f t="shared" si="5"/>
        <v>46152</v>
      </c>
    </row>
    <row r="102">
      <c r="A102" s="644"/>
      <c r="B102" s="644"/>
      <c r="C102" s="644">
        <f t="shared" si="2"/>
        <v>15</v>
      </c>
      <c r="D102" s="643"/>
      <c r="E102" s="658" t="b">
        <v>0</v>
      </c>
      <c r="F102" s="646" t="str">
        <f t="shared" si="3"/>
        <v>ADEUDA</v>
      </c>
      <c r="G102" s="340" t="s">
        <v>2278</v>
      </c>
      <c r="H102" s="646" t="str">
        <f t="shared" si="4"/>
        <v>VENCIDA</v>
      </c>
      <c r="I102" s="647">
        <f t="shared" si="5"/>
        <v>46152</v>
      </c>
    </row>
    <row r="103">
      <c r="A103" s="644"/>
      <c r="B103" s="644"/>
      <c r="C103" s="644">
        <f t="shared" si="2"/>
        <v>15</v>
      </c>
      <c r="D103" s="643"/>
      <c r="E103" s="658" t="b">
        <v>0</v>
      </c>
      <c r="F103" s="646" t="str">
        <f t="shared" si="3"/>
        <v>ADEUDA</v>
      </c>
      <c r="G103" s="340" t="s">
        <v>2278</v>
      </c>
      <c r="H103" s="646" t="str">
        <f t="shared" si="4"/>
        <v>VENCIDA</v>
      </c>
      <c r="I103" s="647">
        <f t="shared" si="5"/>
        <v>46152</v>
      </c>
    </row>
    <row r="104">
      <c r="A104" s="644"/>
      <c r="B104" s="644"/>
      <c r="C104" s="644">
        <f t="shared" si="2"/>
        <v>15</v>
      </c>
      <c r="D104" s="643"/>
      <c r="E104" s="658" t="b">
        <v>0</v>
      </c>
      <c r="F104" s="646" t="str">
        <f t="shared" si="3"/>
        <v>ADEUDA</v>
      </c>
      <c r="G104" s="340" t="s">
        <v>2278</v>
      </c>
      <c r="H104" s="646" t="str">
        <f t="shared" si="4"/>
        <v>VENCIDA</v>
      </c>
      <c r="I104" s="647">
        <f t="shared" si="5"/>
        <v>46152</v>
      </c>
    </row>
    <row r="105">
      <c r="A105" s="644"/>
      <c r="B105" s="644"/>
      <c r="C105" s="644">
        <f t="shared" si="2"/>
        <v>15</v>
      </c>
      <c r="D105" s="643"/>
      <c r="E105" s="658" t="b">
        <v>0</v>
      </c>
      <c r="F105" s="646" t="str">
        <f t="shared" si="3"/>
        <v>ADEUDA</v>
      </c>
      <c r="G105" s="340" t="s">
        <v>2278</v>
      </c>
      <c r="H105" s="646" t="str">
        <f t="shared" si="4"/>
        <v>VENCIDA</v>
      </c>
      <c r="I105" s="647">
        <f t="shared" si="5"/>
        <v>46152</v>
      </c>
    </row>
    <row r="106">
      <c r="A106" s="644"/>
      <c r="B106" s="644"/>
      <c r="C106" s="644">
        <f t="shared" si="2"/>
        <v>15</v>
      </c>
      <c r="D106" s="643"/>
      <c r="E106" s="658" t="b">
        <v>0</v>
      </c>
      <c r="F106" s="646" t="str">
        <f t="shared" si="3"/>
        <v>ADEUDA</v>
      </c>
      <c r="G106" s="340" t="s">
        <v>2278</v>
      </c>
      <c r="H106" s="646" t="str">
        <f t="shared" si="4"/>
        <v>VENCIDA</v>
      </c>
      <c r="I106" s="647">
        <f t="shared" si="5"/>
        <v>46152</v>
      </c>
    </row>
    <row r="107">
      <c r="A107" s="644"/>
      <c r="B107" s="644"/>
      <c r="C107" s="644">
        <f t="shared" si="2"/>
        <v>15</v>
      </c>
      <c r="D107" s="643"/>
      <c r="E107" s="658" t="b">
        <v>0</v>
      </c>
      <c r="F107" s="646" t="str">
        <f t="shared" si="3"/>
        <v>ADEUDA</v>
      </c>
      <c r="G107" s="340" t="s">
        <v>2278</v>
      </c>
      <c r="H107" s="646" t="str">
        <f t="shared" si="4"/>
        <v>VENCIDA</v>
      </c>
      <c r="I107" s="647">
        <f t="shared" si="5"/>
        <v>46152</v>
      </c>
    </row>
    <row r="108">
      <c r="A108" s="644"/>
      <c r="B108" s="644"/>
      <c r="C108" s="644">
        <f t="shared" si="2"/>
        <v>15</v>
      </c>
      <c r="D108" s="643"/>
      <c r="E108" s="658" t="b">
        <v>0</v>
      </c>
      <c r="F108" s="646" t="str">
        <f t="shared" si="3"/>
        <v>ADEUDA</v>
      </c>
      <c r="G108" s="340" t="s">
        <v>2278</v>
      </c>
      <c r="H108" s="646" t="str">
        <f t="shared" si="4"/>
        <v>VENCIDA</v>
      </c>
      <c r="I108" s="647">
        <f t="shared" si="5"/>
        <v>46152</v>
      </c>
    </row>
    <row r="109">
      <c r="A109" s="644"/>
      <c r="B109" s="644"/>
      <c r="C109" s="644">
        <f t="shared" si="2"/>
        <v>15</v>
      </c>
      <c r="D109" s="643"/>
      <c r="E109" s="658" t="b">
        <v>0</v>
      </c>
      <c r="F109" s="646" t="str">
        <f t="shared" si="3"/>
        <v>ADEUDA</v>
      </c>
      <c r="G109" s="340" t="s">
        <v>2278</v>
      </c>
      <c r="H109" s="646" t="str">
        <f t="shared" si="4"/>
        <v>VENCIDA</v>
      </c>
      <c r="I109" s="647">
        <f t="shared" si="5"/>
        <v>46152</v>
      </c>
    </row>
    <row r="110">
      <c r="A110" s="644"/>
      <c r="B110" s="644"/>
      <c r="C110" s="644">
        <f t="shared" si="2"/>
        <v>15</v>
      </c>
      <c r="D110" s="643"/>
      <c r="E110" s="658" t="b">
        <v>0</v>
      </c>
      <c r="F110" s="646" t="str">
        <f t="shared" si="3"/>
        <v>ADEUDA</v>
      </c>
      <c r="G110" s="340" t="s">
        <v>2278</v>
      </c>
      <c r="H110" s="646" t="str">
        <f t="shared" si="4"/>
        <v>VENCIDA</v>
      </c>
      <c r="I110" s="647">
        <f t="shared" si="5"/>
        <v>46152</v>
      </c>
    </row>
    <row r="111">
      <c r="A111" s="644"/>
      <c r="B111" s="644"/>
      <c r="C111" s="644">
        <f t="shared" si="2"/>
        <v>15</v>
      </c>
      <c r="D111" s="643"/>
      <c r="E111" s="658" t="b">
        <v>0</v>
      </c>
      <c r="F111" s="646" t="str">
        <f t="shared" si="3"/>
        <v>ADEUDA</v>
      </c>
      <c r="G111" s="340" t="s">
        <v>2278</v>
      </c>
      <c r="H111" s="646" t="str">
        <f t="shared" si="4"/>
        <v>VENCIDA</v>
      </c>
      <c r="I111" s="647">
        <f t="shared" si="5"/>
        <v>46152</v>
      </c>
    </row>
    <row r="112">
      <c r="A112" s="644"/>
      <c r="B112" s="644"/>
      <c r="C112" s="644">
        <f t="shared" si="2"/>
        <v>15</v>
      </c>
      <c r="D112" s="643"/>
      <c r="E112" s="658" t="b">
        <v>0</v>
      </c>
      <c r="F112" s="646" t="str">
        <f t="shared" si="3"/>
        <v>ADEUDA</v>
      </c>
      <c r="G112" s="340" t="s">
        <v>2278</v>
      </c>
      <c r="H112" s="646" t="str">
        <f t="shared" si="4"/>
        <v>VENCIDA</v>
      </c>
      <c r="I112" s="647">
        <f t="shared" si="5"/>
        <v>46152</v>
      </c>
    </row>
    <row r="113">
      <c r="A113" s="644"/>
      <c r="B113" s="644"/>
      <c r="C113" s="644">
        <f t="shared" si="2"/>
        <v>15</v>
      </c>
      <c r="D113" s="643"/>
      <c r="E113" s="658" t="b">
        <v>0</v>
      </c>
      <c r="F113" s="646" t="str">
        <f t="shared" si="3"/>
        <v>ADEUDA</v>
      </c>
      <c r="G113" s="340" t="s">
        <v>2278</v>
      </c>
      <c r="H113" s="646" t="str">
        <f t="shared" si="4"/>
        <v>VENCIDA</v>
      </c>
      <c r="I113" s="647">
        <f t="shared" si="5"/>
        <v>46152</v>
      </c>
    </row>
    <row r="114">
      <c r="A114" s="644"/>
      <c r="B114" s="644"/>
      <c r="C114" s="644">
        <f t="shared" si="2"/>
        <v>15</v>
      </c>
      <c r="D114" s="643"/>
      <c r="E114" s="658" t="b">
        <v>0</v>
      </c>
      <c r="F114" s="646" t="str">
        <f t="shared" si="3"/>
        <v>ADEUDA</v>
      </c>
      <c r="G114" s="340" t="s">
        <v>2278</v>
      </c>
      <c r="H114" s="646" t="str">
        <f t="shared" si="4"/>
        <v>VENCIDA</v>
      </c>
      <c r="I114" s="647">
        <f t="shared" si="5"/>
        <v>46152</v>
      </c>
    </row>
    <row r="115">
      <c r="A115" s="644"/>
      <c r="B115" s="644"/>
      <c r="C115" s="644">
        <f t="shared" si="2"/>
        <v>15</v>
      </c>
      <c r="D115" s="643"/>
      <c r="E115" s="658" t="b">
        <v>0</v>
      </c>
      <c r="F115" s="646" t="str">
        <f t="shared" si="3"/>
        <v>ADEUDA</v>
      </c>
      <c r="G115" s="340" t="s">
        <v>2278</v>
      </c>
      <c r="H115" s="646" t="str">
        <f t="shared" si="4"/>
        <v>VENCIDA</v>
      </c>
      <c r="I115" s="647">
        <f t="shared" si="5"/>
        <v>46152</v>
      </c>
    </row>
    <row r="116">
      <c r="A116" s="644"/>
      <c r="B116" s="644"/>
      <c r="C116" s="644">
        <f t="shared" si="2"/>
        <v>15</v>
      </c>
      <c r="D116" s="643"/>
      <c r="E116" s="658" t="b">
        <v>0</v>
      </c>
      <c r="F116" s="646" t="str">
        <f t="shared" si="3"/>
        <v>ADEUDA</v>
      </c>
      <c r="G116" s="340" t="s">
        <v>2278</v>
      </c>
      <c r="H116" s="646" t="str">
        <f t="shared" si="4"/>
        <v>VENCIDA</v>
      </c>
      <c r="I116" s="647">
        <f t="shared" si="5"/>
        <v>46152</v>
      </c>
    </row>
    <row r="117">
      <c r="A117" s="644"/>
      <c r="B117" s="644"/>
      <c r="C117" s="644">
        <f t="shared" si="2"/>
        <v>15</v>
      </c>
      <c r="D117" s="643"/>
      <c r="E117" s="658" t="b">
        <v>0</v>
      </c>
      <c r="F117" s="646" t="str">
        <f t="shared" si="3"/>
        <v>ADEUDA</v>
      </c>
      <c r="G117" s="340" t="s">
        <v>2278</v>
      </c>
      <c r="H117" s="646" t="str">
        <f t="shared" si="4"/>
        <v>VENCIDA</v>
      </c>
      <c r="I117" s="647">
        <f t="shared" si="5"/>
        <v>46152</v>
      </c>
    </row>
    <row r="118">
      <c r="A118" s="644"/>
      <c r="B118" s="644"/>
      <c r="C118" s="644">
        <f t="shared" si="2"/>
        <v>15</v>
      </c>
      <c r="D118" s="643"/>
      <c r="E118" s="658" t="b">
        <v>0</v>
      </c>
      <c r="F118" s="646" t="str">
        <f t="shared" si="3"/>
        <v>ADEUDA</v>
      </c>
      <c r="G118" s="340" t="s">
        <v>2278</v>
      </c>
      <c r="H118" s="646" t="str">
        <f t="shared" si="4"/>
        <v>VENCIDA</v>
      </c>
      <c r="I118" s="647">
        <f t="shared" si="5"/>
        <v>46152</v>
      </c>
    </row>
    <row r="119">
      <c r="A119" s="644"/>
      <c r="B119" s="644"/>
      <c r="C119" s="644">
        <f t="shared" si="2"/>
        <v>15</v>
      </c>
      <c r="D119" s="643"/>
      <c r="E119" s="658" t="b">
        <v>0</v>
      </c>
      <c r="F119" s="646" t="str">
        <f t="shared" si="3"/>
        <v>ADEUDA</v>
      </c>
      <c r="G119" s="340" t="s">
        <v>2278</v>
      </c>
      <c r="H119" s="646" t="str">
        <f t="shared" si="4"/>
        <v>VENCIDA</v>
      </c>
      <c r="I119" s="647">
        <f t="shared" si="5"/>
        <v>46152</v>
      </c>
    </row>
    <row r="120">
      <c r="A120" s="644"/>
      <c r="B120" s="644"/>
      <c r="C120" s="644">
        <f t="shared" si="2"/>
        <v>15</v>
      </c>
      <c r="D120" s="643"/>
      <c r="E120" s="658" t="b">
        <v>0</v>
      </c>
      <c r="F120" s="646" t="str">
        <f t="shared" si="3"/>
        <v>ADEUDA</v>
      </c>
      <c r="G120" s="340" t="s">
        <v>2278</v>
      </c>
      <c r="H120" s="646" t="str">
        <f t="shared" si="4"/>
        <v>VENCIDA</v>
      </c>
      <c r="I120" s="647">
        <f t="shared" si="5"/>
        <v>46152</v>
      </c>
    </row>
    <row r="121">
      <c r="A121" s="644"/>
      <c r="B121" s="644"/>
      <c r="C121" s="644">
        <f t="shared" si="2"/>
        <v>15</v>
      </c>
      <c r="D121" s="643"/>
      <c r="E121" s="658" t="b">
        <v>0</v>
      </c>
      <c r="F121" s="646" t="str">
        <f t="shared" si="3"/>
        <v>ADEUDA</v>
      </c>
      <c r="G121" s="340" t="s">
        <v>2278</v>
      </c>
      <c r="H121" s="646" t="str">
        <f t="shared" si="4"/>
        <v>VENCIDA</v>
      </c>
      <c r="I121" s="647">
        <f t="shared" si="5"/>
        <v>46152</v>
      </c>
    </row>
    <row r="122">
      <c r="A122" s="644"/>
      <c r="B122" s="644"/>
      <c r="C122" s="644">
        <f t="shared" si="2"/>
        <v>15</v>
      </c>
      <c r="D122" s="643"/>
      <c r="E122" s="658" t="b">
        <v>0</v>
      </c>
      <c r="F122" s="646" t="str">
        <f t="shared" si="3"/>
        <v>ADEUDA</v>
      </c>
      <c r="G122" s="340" t="s">
        <v>2278</v>
      </c>
      <c r="H122" s="646" t="str">
        <f t="shared" si="4"/>
        <v>VENCIDA</v>
      </c>
      <c r="I122" s="647">
        <f t="shared" si="5"/>
        <v>46152</v>
      </c>
    </row>
    <row r="123">
      <c r="A123" s="644"/>
      <c r="B123" s="644"/>
      <c r="C123" s="644">
        <f t="shared" si="2"/>
        <v>15</v>
      </c>
      <c r="D123" s="643"/>
      <c r="E123" s="658" t="b">
        <v>0</v>
      </c>
      <c r="F123" s="646" t="str">
        <f t="shared" si="3"/>
        <v>ADEUDA</v>
      </c>
      <c r="G123" s="340" t="s">
        <v>2278</v>
      </c>
      <c r="H123" s="646" t="str">
        <f t="shared" si="4"/>
        <v>VENCIDA</v>
      </c>
      <c r="I123" s="647">
        <f t="shared" si="5"/>
        <v>46152</v>
      </c>
    </row>
    <row r="124">
      <c r="A124" s="644"/>
      <c r="B124" s="644"/>
      <c r="C124" s="644">
        <f t="shared" si="2"/>
        <v>15</v>
      </c>
      <c r="D124" s="643"/>
      <c r="E124" s="658" t="b">
        <v>0</v>
      </c>
      <c r="F124" s="646" t="str">
        <f t="shared" si="3"/>
        <v>ADEUDA</v>
      </c>
      <c r="G124" s="340" t="s">
        <v>2278</v>
      </c>
      <c r="H124" s="646" t="str">
        <f t="shared" si="4"/>
        <v>VENCIDA</v>
      </c>
      <c r="I124" s="647">
        <f t="shared" si="5"/>
        <v>46152</v>
      </c>
    </row>
    <row r="125">
      <c r="A125" s="644"/>
      <c r="B125" s="644"/>
      <c r="C125" s="644">
        <f t="shared" si="2"/>
        <v>15</v>
      </c>
      <c r="D125" s="643"/>
      <c r="E125" s="658" t="b">
        <v>0</v>
      </c>
      <c r="F125" s="646" t="str">
        <f t="shared" si="3"/>
        <v>ADEUDA</v>
      </c>
      <c r="G125" s="340" t="s">
        <v>2278</v>
      </c>
      <c r="H125" s="646" t="str">
        <f t="shared" si="4"/>
        <v>VENCIDA</v>
      </c>
      <c r="I125" s="647">
        <f t="shared" si="5"/>
        <v>46152</v>
      </c>
    </row>
    <row r="126">
      <c r="A126" s="644"/>
      <c r="B126" s="644"/>
      <c r="C126" s="644">
        <f t="shared" si="2"/>
        <v>15</v>
      </c>
      <c r="D126" s="643"/>
      <c r="E126" s="658" t="b">
        <v>0</v>
      </c>
      <c r="F126" s="646" t="str">
        <f t="shared" si="3"/>
        <v>ADEUDA</v>
      </c>
      <c r="G126" s="340" t="s">
        <v>2278</v>
      </c>
      <c r="H126" s="646" t="str">
        <f t="shared" si="4"/>
        <v>VENCIDA</v>
      </c>
      <c r="I126" s="647">
        <f t="shared" si="5"/>
        <v>46152</v>
      </c>
    </row>
    <row r="127">
      <c r="A127" s="644"/>
      <c r="B127" s="644"/>
      <c r="C127" s="644">
        <f t="shared" si="2"/>
        <v>15</v>
      </c>
      <c r="D127" s="643"/>
      <c r="E127" s="658" t="b">
        <v>0</v>
      </c>
      <c r="F127" s="646" t="str">
        <f t="shared" si="3"/>
        <v>ADEUDA</v>
      </c>
      <c r="G127" s="340" t="s">
        <v>2278</v>
      </c>
      <c r="H127" s="646" t="str">
        <f t="shared" si="4"/>
        <v>VENCIDA</v>
      </c>
      <c r="I127" s="647">
        <f t="shared" si="5"/>
        <v>46152</v>
      </c>
    </row>
    <row r="128">
      <c r="A128" s="644"/>
      <c r="B128" s="644"/>
      <c r="C128" s="644">
        <f t="shared" si="2"/>
        <v>15</v>
      </c>
      <c r="D128" s="643"/>
      <c r="E128" s="658" t="b">
        <v>0</v>
      </c>
      <c r="F128" s="646" t="str">
        <f t="shared" si="3"/>
        <v>ADEUDA</v>
      </c>
      <c r="G128" s="340" t="s">
        <v>2278</v>
      </c>
      <c r="H128" s="646" t="str">
        <f t="shared" si="4"/>
        <v>VENCIDA</v>
      </c>
      <c r="I128" s="647">
        <f t="shared" si="5"/>
        <v>46152</v>
      </c>
    </row>
    <row r="129">
      <c r="A129" s="644"/>
      <c r="B129" s="644"/>
      <c r="C129" s="644">
        <f t="shared" si="2"/>
        <v>15</v>
      </c>
      <c r="D129" s="643"/>
      <c r="E129" s="658" t="b">
        <v>0</v>
      </c>
      <c r="F129" s="646" t="str">
        <f t="shared" si="3"/>
        <v>ADEUDA</v>
      </c>
      <c r="G129" s="340" t="s">
        <v>2278</v>
      </c>
      <c r="H129" s="646" t="str">
        <f t="shared" si="4"/>
        <v>VENCIDA</v>
      </c>
      <c r="I129" s="647">
        <f t="shared" si="5"/>
        <v>46152</v>
      </c>
    </row>
    <row r="130">
      <c r="A130" s="644"/>
      <c r="B130" s="644"/>
      <c r="C130" s="644">
        <f t="shared" si="2"/>
        <v>15</v>
      </c>
      <c r="D130" s="643"/>
      <c r="E130" s="658" t="b">
        <v>0</v>
      </c>
      <c r="F130" s="646" t="str">
        <f t="shared" si="3"/>
        <v>ADEUDA</v>
      </c>
      <c r="G130" s="340" t="s">
        <v>2278</v>
      </c>
      <c r="H130" s="646" t="str">
        <f t="shared" si="4"/>
        <v>VENCIDA</v>
      </c>
      <c r="I130" s="647">
        <f t="shared" si="5"/>
        <v>46152</v>
      </c>
    </row>
    <row r="131">
      <c r="A131" s="644"/>
      <c r="B131" s="644"/>
      <c r="C131" s="644">
        <f t="shared" si="2"/>
        <v>15</v>
      </c>
      <c r="D131" s="643"/>
      <c r="E131" s="658" t="b">
        <v>0</v>
      </c>
      <c r="F131" s="646" t="str">
        <f t="shared" si="3"/>
        <v>ADEUDA</v>
      </c>
      <c r="G131" s="340" t="s">
        <v>2278</v>
      </c>
      <c r="H131" s="646" t="str">
        <f t="shared" si="4"/>
        <v>VENCIDA</v>
      </c>
      <c r="I131" s="647">
        <f t="shared" si="5"/>
        <v>46152</v>
      </c>
    </row>
    <row r="132">
      <c r="A132" s="644"/>
      <c r="B132" s="644"/>
      <c r="C132" s="644">
        <f t="shared" si="2"/>
        <v>15</v>
      </c>
      <c r="D132" s="643"/>
      <c r="E132" s="645" t="b">
        <v>1</v>
      </c>
      <c r="F132" s="646" t="str">
        <f t="shared" si="3"/>
        <v>PAGADO</v>
      </c>
      <c r="G132" s="340" t="s">
        <v>2278</v>
      </c>
      <c r="H132" s="646" t="str">
        <f t="shared" si="4"/>
        <v>VENCIDA</v>
      </c>
      <c r="I132" s="647">
        <f t="shared" si="5"/>
        <v>46152</v>
      </c>
    </row>
    <row r="134">
      <c r="C134" s="771"/>
    </row>
    <row r="135">
      <c r="C135" s="772" t="s">
        <v>55</v>
      </c>
      <c r="D135" s="3">
        <f>SUMIF(F4:F132,C135,D4:D132)</f>
        <v>603000</v>
      </c>
    </row>
    <row r="136">
      <c r="C136" s="773" t="s">
        <v>527</v>
      </c>
      <c r="D136" s="3">
        <f>SUMIF(F4:F132,C136,D4:D132)</f>
        <v>7044200</v>
      </c>
    </row>
    <row r="137">
      <c r="C137" s="697" t="s">
        <v>28</v>
      </c>
      <c r="D137" s="3">
        <f>D135+D136</f>
        <v>7647200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7.88"/>
    <col customWidth="1" min="8" max="8" width="17.88"/>
    <col customWidth="1" min="9" max="9" width="14.0"/>
    <col customWidth="1" min="11" max="11" width="15.25"/>
  </cols>
  <sheetData>
    <row r="1">
      <c r="A1" s="638" t="s">
        <v>2453</v>
      </c>
      <c r="B1" s="636"/>
      <c r="C1" s="636"/>
      <c r="D1" s="636"/>
      <c r="E1" s="636"/>
      <c r="F1" s="636"/>
      <c r="G1" s="636"/>
      <c r="H1" s="636"/>
      <c r="I1" s="636"/>
      <c r="J1" s="252"/>
      <c r="K1" s="765" t="s">
        <v>2393</v>
      </c>
      <c r="L1" s="765"/>
      <c r="M1" s="765"/>
      <c r="N1" s="765"/>
    </row>
    <row r="2">
      <c r="A2" s="766" t="s">
        <v>2454</v>
      </c>
      <c r="B2" s="636"/>
      <c r="C2" s="636"/>
      <c r="D2" s="636"/>
      <c r="E2" s="636"/>
      <c r="F2" s="636"/>
      <c r="G2" s="636"/>
      <c r="H2" s="636"/>
      <c r="I2" s="636"/>
      <c r="J2" s="636"/>
      <c r="K2" s="765"/>
      <c r="L2" s="767"/>
      <c r="M2" s="778"/>
      <c r="N2" s="778"/>
    </row>
    <row r="3">
      <c r="A3" s="639" t="s">
        <v>2395</v>
      </c>
      <c r="B3" s="639" t="s">
        <v>2455</v>
      </c>
      <c r="C3" s="639" t="s">
        <v>9</v>
      </c>
      <c r="D3" s="639" t="s">
        <v>2396</v>
      </c>
      <c r="E3" s="639" t="s">
        <v>2269</v>
      </c>
      <c r="F3" s="640" t="s">
        <v>2270</v>
      </c>
      <c r="G3" s="637"/>
      <c r="H3" s="639" t="s">
        <v>2271</v>
      </c>
      <c r="I3" s="641" t="s">
        <v>2272</v>
      </c>
      <c r="J3" s="641" t="s">
        <v>2273</v>
      </c>
      <c r="K3" s="768" t="s">
        <v>29</v>
      </c>
      <c r="L3" s="769">
        <f>E4+E5</f>
        <v>231345.6</v>
      </c>
      <c r="M3" s="778"/>
      <c r="N3" s="778"/>
    </row>
    <row r="4">
      <c r="A4" s="643"/>
      <c r="B4" s="643" t="s">
        <v>2456</v>
      </c>
      <c r="C4" s="644">
        <v>45686.0</v>
      </c>
      <c r="D4" s="644">
        <f t="shared" ref="D4:D48" si="1">C4+15</f>
        <v>45701</v>
      </c>
      <c r="E4" s="643">
        <v>223671.5</v>
      </c>
      <c r="F4" s="645" t="b">
        <v>1</v>
      </c>
      <c r="G4" s="646" t="str">
        <f t="shared" ref="G4:G132" si="2">IF(F4,"PAGADO","ADEUDA")</f>
        <v>PAGADO</v>
      </c>
      <c r="H4" s="340" t="s">
        <v>2276</v>
      </c>
      <c r="I4" s="646" t="str">
        <f t="shared" ref="I4:I132" si="3">IF(D4&lt;TODAY(),"VENCIDA",IF(D4=TODAY(),"VENCE HOY",IF(D4&gt;TODAY(),"VIGENTE")))</f>
        <v>VENCIDA</v>
      </c>
      <c r="J4" s="647">
        <f t="shared" ref="J4:J132" si="4">TODAY()-D4</f>
        <v>466</v>
      </c>
      <c r="K4" s="768" t="s">
        <v>31</v>
      </c>
      <c r="L4" s="769">
        <f>E6+E7</f>
        <v>179412.91</v>
      </c>
      <c r="M4" s="778"/>
      <c r="N4" s="778"/>
    </row>
    <row r="5">
      <c r="A5" s="643"/>
      <c r="B5" s="643" t="s">
        <v>2457</v>
      </c>
      <c r="C5" s="644">
        <v>45686.0</v>
      </c>
      <c r="D5" s="644">
        <f t="shared" si="1"/>
        <v>45701</v>
      </c>
      <c r="E5" s="643">
        <v>7674.1</v>
      </c>
      <c r="F5" s="645" t="b">
        <v>1</v>
      </c>
      <c r="G5" s="646" t="str">
        <f t="shared" si="2"/>
        <v>PAGADO</v>
      </c>
      <c r="H5" s="340" t="s">
        <v>2276</v>
      </c>
      <c r="I5" s="646" t="str">
        <f t="shared" si="3"/>
        <v>VENCIDA</v>
      </c>
      <c r="J5" s="647">
        <f t="shared" si="4"/>
        <v>466</v>
      </c>
      <c r="K5" s="768" t="s">
        <v>35</v>
      </c>
      <c r="L5" s="770"/>
      <c r="M5" s="778"/>
      <c r="N5" s="778"/>
    </row>
    <row r="6">
      <c r="A6" s="643">
        <v>532575.0</v>
      </c>
      <c r="B6" s="643" t="s">
        <v>2456</v>
      </c>
      <c r="C6" s="644">
        <v>45708.0</v>
      </c>
      <c r="D6" s="644">
        <f t="shared" si="1"/>
        <v>45723</v>
      </c>
      <c r="E6" s="643">
        <v>137271.34</v>
      </c>
      <c r="F6" s="645" t="b">
        <v>1</v>
      </c>
      <c r="G6" s="646" t="str">
        <f t="shared" si="2"/>
        <v>PAGADO</v>
      </c>
      <c r="H6" s="340" t="s">
        <v>2276</v>
      </c>
      <c r="I6" s="646" t="str">
        <f t="shared" si="3"/>
        <v>VENCIDA</v>
      </c>
      <c r="J6" s="647">
        <f t="shared" si="4"/>
        <v>444</v>
      </c>
      <c r="K6" s="768" t="s">
        <v>37</v>
      </c>
      <c r="L6" s="770"/>
      <c r="M6" s="778"/>
      <c r="N6" s="778"/>
    </row>
    <row r="7">
      <c r="A7" s="643">
        <v>74968.0</v>
      </c>
      <c r="B7" s="643" t="s">
        <v>2457</v>
      </c>
      <c r="C7" s="644">
        <v>45708.0</v>
      </c>
      <c r="D7" s="644">
        <f t="shared" si="1"/>
        <v>45723</v>
      </c>
      <c r="E7" s="643">
        <v>42141.57</v>
      </c>
      <c r="F7" s="645" t="b">
        <v>1</v>
      </c>
      <c r="G7" s="646" t="str">
        <f t="shared" si="2"/>
        <v>PAGADO</v>
      </c>
      <c r="H7" s="340" t="s">
        <v>2276</v>
      </c>
      <c r="I7" s="646" t="str">
        <f t="shared" si="3"/>
        <v>VENCIDA</v>
      </c>
      <c r="J7" s="647">
        <f t="shared" si="4"/>
        <v>444</v>
      </c>
      <c r="K7" s="768" t="s">
        <v>39</v>
      </c>
      <c r="L7" s="770"/>
      <c r="M7" s="778"/>
      <c r="N7" s="778"/>
    </row>
    <row r="8">
      <c r="A8" s="643">
        <v>78488.0</v>
      </c>
      <c r="B8" s="643" t="s">
        <v>2457</v>
      </c>
      <c r="C8" s="644">
        <v>45722.0</v>
      </c>
      <c r="D8" s="644">
        <f t="shared" si="1"/>
        <v>45737</v>
      </c>
      <c r="E8" s="643">
        <v>41220.75</v>
      </c>
      <c r="F8" s="645" t="b">
        <v>1</v>
      </c>
      <c r="G8" s="646" t="str">
        <f t="shared" si="2"/>
        <v>PAGADO</v>
      </c>
      <c r="H8" s="340" t="s">
        <v>2278</v>
      </c>
      <c r="I8" s="646" t="str">
        <f t="shared" si="3"/>
        <v>VENCIDA</v>
      </c>
      <c r="J8" s="647">
        <f t="shared" si="4"/>
        <v>430</v>
      </c>
      <c r="K8" s="768" t="s">
        <v>41</v>
      </c>
      <c r="L8" s="770"/>
      <c r="M8" s="778"/>
      <c r="N8" s="778"/>
    </row>
    <row r="9">
      <c r="A9" s="643">
        <v>537135.0</v>
      </c>
      <c r="B9" s="643" t="s">
        <v>2456</v>
      </c>
      <c r="C9" s="644">
        <v>45722.0</v>
      </c>
      <c r="D9" s="644">
        <f t="shared" si="1"/>
        <v>45737</v>
      </c>
      <c r="E9" s="643">
        <v>49185.99</v>
      </c>
      <c r="F9" s="645" t="b">
        <v>1</v>
      </c>
      <c r="G9" s="646" t="str">
        <f t="shared" si="2"/>
        <v>PAGADO</v>
      </c>
      <c r="H9" s="340" t="s">
        <v>2278</v>
      </c>
      <c r="I9" s="646" t="str">
        <f t="shared" si="3"/>
        <v>VENCIDA</v>
      </c>
      <c r="J9" s="647">
        <f t="shared" si="4"/>
        <v>430</v>
      </c>
      <c r="K9" s="768" t="s">
        <v>42</v>
      </c>
      <c r="L9" s="770">
        <f>E22+E23+E24+E25+E26+E27</f>
        <v>541759.58</v>
      </c>
      <c r="M9" s="778"/>
      <c r="N9" s="778"/>
    </row>
    <row r="10">
      <c r="A10" s="643">
        <v>537130.0</v>
      </c>
      <c r="B10" s="643" t="s">
        <v>2456</v>
      </c>
      <c r="C10" s="644">
        <v>45722.0</v>
      </c>
      <c r="D10" s="644">
        <f t="shared" si="1"/>
        <v>45737</v>
      </c>
      <c r="E10" s="643">
        <v>68409.73</v>
      </c>
      <c r="F10" s="645" t="b">
        <v>1</v>
      </c>
      <c r="G10" s="646" t="str">
        <f t="shared" si="2"/>
        <v>PAGADO</v>
      </c>
      <c r="H10" s="340" t="s">
        <v>2278</v>
      </c>
      <c r="I10" s="646" t="str">
        <f t="shared" si="3"/>
        <v>VENCIDA</v>
      </c>
      <c r="J10" s="647">
        <f t="shared" si="4"/>
        <v>430</v>
      </c>
      <c r="K10" s="768" t="s">
        <v>43</v>
      </c>
      <c r="L10" s="770">
        <f>E28+E29</f>
        <v>227562.7</v>
      </c>
      <c r="M10" s="778"/>
      <c r="N10" s="778"/>
    </row>
    <row r="11">
      <c r="A11" s="643">
        <v>547929.0</v>
      </c>
      <c r="B11" s="643" t="s">
        <v>2456</v>
      </c>
      <c r="C11" s="644">
        <v>45751.0</v>
      </c>
      <c r="D11" s="644">
        <f t="shared" si="1"/>
        <v>45766</v>
      </c>
      <c r="E11" s="643">
        <v>105634.54</v>
      </c>
      <c r="F11" s="645" t="b">
        <v>1</v>
      </c>
      <c r="G11" s="646" t="str">
        <f t="shared" si="2"/>
        <v>PAGADO</v>
      </c>
      <c r="H11" s="340" t="s">
        <v>2278</v>
      </c>
      <c r="I11" s="646" t="str">
        <f t="shared" si="3"/>
        <v>VENCIDA</v>
      </c>
      <c r="J11" s="647">
        <f t="shared" si="4"/>
        <v>401</v>
      </c>
      <c r="K11" s="768" t="s">
        <v>45</v>
      </c>
      <c r="L11" s="770"/>
      <c r="M11" s="778"/>
      <c r="N11" s="778"/>
    </row>
    <row r="12">
      <c r="A12" s="643">
        <v>87158.0</v>
      </c>
      <c r="B12" s="643" t="s">
        <v>2457</v>
      </c>
      <c r="C12" s="644">
        <v>45751.0</v>
      </c>
      <c r="D12" s="644">
        <f t="shared" si="1"/>
        <v>45766</v>
      </c>
      <c r="E12" s="643">
        <v>24851.23</v>
      </c>
      <c r="F12" s="645" t="b">
        <v>1</v>
      </c>
      <c r="G12" s="646" t="str">
        <f t="shared" si="2"/>
        <v>PAGADO</v>
      </c>
      <c r="H12" s="340" t="s">
        <v>2278</v>
      </c>
      <c r="I12" s="646" t="str">
        <f t="shared" si="3"/>
        <v>VENCIDA</v>
      </c>
      <c r="J12" s="647">
        <f t="shared" si="4"/>
        <v>401</v>
      </c>
      <c r="K12" s="768" t="s">
        <v>49</v>
      </c>
      <c r="L12" s="770"/>
      <c r="M12" s="778"/>
      <c r="N12" s="778"/>
    </row>
    <row r="13">
      <c r="A13" s="643">
        <v>552108.0</v>
      </c>
      <c r="B13" s="643" t="s">
        <v>2456</v>
      </c>
      <c r="C13" s="644">
        <v>45762.0</v>
      </c>
      <c r="D13" s="644">
        <f t="shared" si="1"/>
        <v>45777</v>
      </c>
      <c r="E13" s="643">
        <v>43006.68</v>
      </c>
      <c r="F13" s="645" t="b">
        <v>1</v>
      </c>
      <c r="G13" s="646" t="str">
        <f t="shared" si="2"/>
        <v>PAGADO</v>
      </c>
      <c r="H13" s="340" t="s">
        <v>2278</v>
      </c>
      <c r="I13" s="646" t="str">
        <f t="shared" si="3"/>
        <v>VENCIDA</v>
      </c>
      <c r="J13" s="647">
        <f t="shared" si="4"/>
        <v>390</v>
      </c>
      <c r="K13" s="768" t="s">
        <v>50</v>
      </c>
      <c r="L13" s="770"/>
      <c r="M13" s="778"/>
      <c r="N13" s="778"/>
    </row>
    <row r="14">
      <c r="A14" s="643">
        <v>90688.0</v>
      </c>
      <c r="B14" s="643" t="s">
        <v>2457</v>
      </c>
      <c r="C14" s="644">
        <v>45762.0</v>
      </c>
      <c r="D14" s="644">
        <f t="shared" si="1"/>
        <v>45777</v>
      </c>
      <c r="E14" s="643">
        <v>54536.83</v>
      </c>
      <c r="F14" s="645" t="b">
        <v>1</v>
      </c>
      <c r="G14" s="646" t="str">
        <f t="shared" si="2"/>
        <v>PAGADO</v>
      </c>
      <c r="H14" s="340" t="s">
        <v>2278</v>
      </c>
      <c r="I14" s="646" t="str">
        <f t="shared" si="3"/>
        <v>VENCIDA</v>
      </c>
      <c r="J14" s="647">
        <f t="shared" si="4"/>
        <v>390</v>
      </c>
      <c r="K14" s="768" t="s">
        <v>51</v>
      </c>
      <c r="L14" s="770">
        <f>E39+E40</f>
        <v>268137.74</v>
      </c>
      <c r="M14" s="778"/>
      <c r="N14" s="778"/>
    </row>
    <row r="15">
      <c r="A15" s="643">
        <v>92975.0</v>
      </c>
      <c r="B15" s="643" t="s">
        <v>2457</v>
      </c>
      <c r="C15" s="644">
        <v>45770.0</v>
      </c>
      <c r="D15" s="644">
        <f t="shared" si="1"/>
        <v>45785</v>
      </c>
      <c r="E15" s="643">
        <v>50966.94</v>
      </c>
      <c r="F15" s="645" t="b">
        <v>1</v>
      </c>
      <c r="G15" s="646" t="str">
        <f t="shared" si="2"/>
        <v>PAGADO</v>
      </c>
      <c r="H15" s="340" t="s">
        <v>2278</v>
      </c>
      <c r="I15" s="646" t="str">
        <f t="shared" si="3"/>
        <v>VENCIDA</v>
      </c>
      <c r="J15" s="647">
        <f t="shared" si="4"/>
        <v>382</v>
      </c>
      <c r="K15" s="765"/>
      <c r="L15" s="778"/>
      <c r="M15" s="778"/>
      <c r="N15" s="778"/>
    </row>
    <row r="16">
      <c r="A16" s="643">
        <v>555418.0</v>
      </c>
      <c r="B16" s="643" t="s">
        <v>2456</v>
      </c>
      <c r="C16" s="644">
        <v>45770.0</v>
      </c>
      <c r="D16" s="644">
        <f t="shared" si="1"/>
        <v>45785</v>
      </c>
      <c r="E16" s="643">
        <v>107597.4</v>
      </c>
      <c r="F16" s="654" t="b">
        <v>1</v>
      </c>
      <c r="G16" s="646" t="str">
        <f t="shared" si="2"/>
        <v>PAGADO</v>
      </c>
      <c r="H16" s="340" t="s">
        <v>2278</v>
      </c>
      <c r="I16" s="646" t="str">
        <f t="shared" si="3"/>
        <v>VENCIDA</v>
      </c>
      <c r="J16" s="647">
        <f t="shared" si="4"/>
        <v>382</v>
      </c>
      <c r="K16" s="765"/>
      <c r="L16" s="778"/>
      <c r="M16" s="778"/>
      <c r="N16" s="778"/>
    </row>
    <row r="17">
      <c r="A17" s="643">
        <v>562733.0</v>
      </c>
      <c r="B17" s="643" t="s">
        <v>2456</v>
      </c>
      <c r="C17" s="644">
        <v>45791.0</v>
      </c>
      <c r="D17" s="644">
        <f t="shared" si="1"/>
        <v>45806</v>
      </c>
      <c r="E17" s="643">
        <v>74921.63</v>
      </c>
      <c r="F17" s="654" t="b">
        <v>1</v>
      </c>
      <c r="G17" s="646" t="str">
        <f t="shared" si="2"/>
        <v>PAGADO</v>
      </c>
      <c r="H17" s="340" t="s">
        <v>2278</v>
      </c>
      <c r="I17" s="646" t="str">
        <f t="shared" si="3"/>
        <v>VENCIDA</v>
      </c>
      <c r="J17" s="647">
        <f t="shared" si="4"/>
        <v>361</v>
      </c>
      <c r="K17" s="765"/>
      <c r="L17" s="778"/>
      <c r="M17" s="778"/>
      <c r="N17" s="778"/>
    </row>
    <row r="18">
      <c r="A18" s="643">
        <v>565949.0</v>
      </c>
      <c r="B18" s="643" t="s">
        <v>2456</v>
      </c>
      <c r="C18" s="644">
        <v>45799.0</v>
      </c>
      <c r="D18" s="644">
        <f t="shared" si="1"/>
        <v>45814</v>
      </c>
      <c r="E18" s="643">
        <v>100897.4</v>
      </c>
      <c r="F18" s="654" t="b">
        <v>1</v>
      </c>
      <c r="G18" s="646" t="str">
        <f t="shared" si="2"/>
        <v>PAGADO</v>
      </c>
      <c r="H18" s="340" t="s">
        <v>2278</v>
      </c>
      <c r="I18" s="646" t="str">
        <f t="shared" si="3"/>
        <v>VENCIDA</v>
      </c>
      <c r="J18" s="647">
        <f t="shared" si="4"/>
        <v>353</v>
      </c>
      <c r="K18" s="765"/>
      <c r="L18" s="778"/>
      <c r="M18" s="778"/>
      <c r="N18" s="778"/>
    </row>
    <row r="19">
      <c r="A19" s="643">
        <v>101560.0</v>
      </c>
      <c r="B19" s="643" t="s">
        <v>2457</v>
      </c>
      <c r="C19" s="644">
        <v>45799.0</v>
      </c>
      <c r="D19" s="644">
        <f t="shared" si="1"/>
        <v>45814</v>
      </c>
      <c r="E19" s="643">
        <v>78037.46</v>
      </c>
      <c r="F19" s="645" t="b">
        <v>1</v>
      </c>
      <c r="G19" s="646" t="str">
        <f t="shared" si="2"/>
        <v>PAGADO</v>
      </c>
      <c r="H19" s="340" t="s">
        <v>2278</v>
      </c>
      <c r="I19" s="646" t="str">
        <f t="shared" si="3"/>
        <v>VENCIDA</v>
      </c>
      <c r="J19" s="647">
        <f t="shared" si="4"/>
        <v>353</v>
      </c>
      <c r="K19" s="765"/>
      <c r="L19" s="778"/>
      <c r="M19" s="778"/>
      <c r="N19" s="778"/>
    </row>
    <row r="20">
      <c r="A20" s="643">
        <v>569183.0</v>
      </c>
      <c r="B20" s="643" t="s">
        <v>2456</v>
      </c>
      <c r="C20" s="644">
        <v>45810.0</v>
      </c>
      <c r="D20" s="644">
        <f t="shared" si="1"/>
        <v>45825</v>
      </c>
      <c r="E20" s="643">
        <v>121210.32</v>
      </c>
      <c r="F20" s="645" t="b">
        <v>1</v>
      </c>
      <c r="G20" s="646" t="str">
        <f t="shared" si="2"/>
        <v>PAGADO</v>
      </c>
      <c r="H20" s="340" t="s">
        <v>2278</v>
      </c>
      <c r="I20" s="646" t="str">
        <f t="shared" si="3"/>
        <v>VENCIDA</v>
      </c>
      <c r="J20" s="647">
        <f t="shared" si="4"/>
        <v>342</v>
      </c>
      <c r="K20" s="765"/>
      <c r="L20" s="778"/>
      <c r="M20" s="778"/>
      <c r="N20" s="778"/>
    </row>
    <row r="21">
      <c r="A21" s="643">
        <v>1043002.0</v>
      </c>
      <c r="B21" s="643" t="s">
        <v>2457</v>
      </c>
      <c r="C21" s="644">
        <v>45810.0</v>
      </c>
      <c r="D21" s="644">
        <f t="shared" si="1"/>
        <v>45825</v>
      </c>
      <c r="E21" s="643">
        <v>169318.78</v>
      </c>
      <c r="F21" s="645" t="b">
        <v>1</v>
      </c>
      <c r="G21" s="646" t="str">
        <f t="shared" si="2"/>
        <v>PAGADO</v>
      </c>
      <c r="H21" s="340" t="s">
        <v>2278</v>
      </c>
      <c r="I21" s="646" t="str">
        <f t="shared" si="3"/>
        <v>VENCIDA</v>
      </c>
      <c r="J21" s="647">
        <f t="shared" si="4"/>
        <v>342</v>
      </c>
      <c r="K21" s="765"/>
      <c r="L21" s="778"/>
      <c r="M21" s="778"/>
      <c r="N21" s="778"/>
    </row>
    <row r="22">
      <c r="A22" s="643">
        <v>574799.0</v>
      </c>
      <c r="B22" s="643" t="s">
        <v>2456</v>
      </c>
      <c r="C22" s="644">
        <v>45825.0</v>
      </c>
      <c r="D22" s="644">
        <f t="shared" si="1"/>
        <v>45840</v>
      </c>
      <c r="E22" s="643">
        <v>140257.87</v>
      </c>
      <c r="F22" s="645" t="b">
        <v>1</v>
      </c>
      <c r="G22" s="646" t="str">
        <f t="shared" si="2"/>
        <v>PAGADO</v>
      </c>
      <c r="H22" s="340" t="s">
        <v>2278</v>
      </c>
      <c r="I22" s="646" t="str">
        <f t="shared" si="3"/>
        <v>VENCIDA</v>
      </c>
      <c r="J22" s="647">
        <f t="shared" si="4"/>
        <v>327</v>
      </c>
      <c r="K22" s="765"/>
      <c r="L22" s="778"/>
      <c r="M22" s="778"/>
      <c r="N22" s="778"/>
    </row>
    <row r="23">
      <c r="A23" s="643">
        <v>108857.0</v>
      </c>
      <c r="B23" s="643" t="s">
        <v>2457</v>
      </c>
      <c r="C23" s="644">
        <v>45825.0</v>
      </c>
      <c r="D23" s="644">
        <f t="shared" si="1"/>
        <v>45840</v>
      </c>
      <c r="E23" s="643">
        <v>31672.62</v>
      </c>
      <c r="F23" s="645" t="b">
        <v>1</v>
      </c>
      <c r="G23" s="646" t="str">
        <f t="shared" si="2"/>
        <v>PAGADO</v>
      </c>
      <c r="H23" s="340" t="s">
        <v>2278</v>
      </c>
      <c r="I23" s="646" t="str">
        <f t="shared" si="3"/>
        <v>VENCIDA</v>
      </c>
      <c r="J23" s="647">
        <f t="shared" si="4"/>
        <v>327</v>
      </c>
    </row>
    <row r="24">
      <c r="A24" s="643">
        <v>579895.0</v>
      </c>
      <c r="B24" s="643" t="s">
        <v>2456</v>
      </c>
      <c r="C24" s="644">
        <v>45840.0</v>
      </c>
      <c r="D24" s="644">
        <f t="shared" si="1"/>
        <v>45855</v>
      </c>
      <c r="E24" s="643">
        <v>140257.24</v>
      </c>
      <c r="F24" s="645" t="b">
        <v>1</v>
      </c>
      <c r="G24" s="646" t="str">
        <f t="shared" si="2"/>
        <v>PAGADO</v>
      </c>
      <c r="H24" s="340" t="s">
        <v>2278</v>
      </c>
      <c r="I24" s="646" t="str">
        <f t="shared" si="3"/>
        <v>VENCIDA</v>
      </c>
      <c r="J24" s="647">
        <f t="shared" si="4"/>
        <v>312</v>
      </c>
    </row>
    <row r="25">
      <c r="A25" s="643">
        <v>112929.0</v>
      </c>
      <c r="B25" s="643" t="s">
        <v>2457</v>
      </c>
      <c r="C25" s="644">
        <v>45840.0</v>
      </c>
      <c r="D25" s="644">
        <f t="shared" si="1"/>
        <v>45855</v>
      </c>
      <c r="E25" s="643">
        <v>31598.28</v>
      </c>
      <c r="F25" s="645" t="b">
        <v>1</v>
      </c>
      <c r="G25" s="646" t="str">
        <f t="shared" si="2"/>
        <v>PAGADO</v>
      </c>
      <c r="H25" s="340" t="s">
        <v>2278</v>
      </c>
      <c r="I25" s="646" t="str">
        <f t="shared" si="3"/>
        <v>VENCIDA</v>
      </c>
      <c r="J25" s="647">
        <f t="shared" si="4"/>
        <v>312</v>
      </c>
    </row>
    <row r="26">
      <c r="A26" s="643">
        <v>584656.0</v>
      </c>
      <c r="B26" s="643" t="s">
        <v>2456</v>
      </c>
      <c r="C26" s="644">
        <v>45853.0</v>
      </c>
      <c r="D26" s="644">
        <f t="shared" si="1"/>
        <v>45868</v>
      </c>
      <c r="E26" s="643">
        <v>178669.87</v>
      </c>
      <c r="F26" s="645" t="b">
        <v>1</v>
      </c>
      <c r="G26" s="646" t="str">
        <f t="shared" si="2"/>
        <v>PAGADO</v>
      </c>
      <c r="H26" s="340" t="s">
        <v>2278</v>
      </c>
      <c r="I26" s="646" t="str">
        <f t="shared" si="3"/>
        <v>VENCIDA</v>
      </c>
      <c r="J26" s="647">
        <f t="shared" si="4"/>
        <v>299</v>
      </c>
    </row>
    <row r="27">
      <c r="A27" s="643">
        <v>116862.0</v>
      </c>
      <c r="B27" s="643" t="s">
        <v>2457</v>
      </c>
      <c r="C27" s="644">
        <v>45853.0</v>
      </c>
      <c r="D27" s="644">
        <f t="shared" si="1"/>
        <v>45868</v>
      </c>
      <c r="E27" s="643">
        <v>19303.7</v>
      </c>
      <c r="F27" s="645" t="b">
        <v>1</v>
      </c>
      <c r="G27" s="646" t="str">
        <f t="shared" si="2"/>
        <v>PAGADO</v>
      </c>
      <c r="H27" s="340" t="s">
        <v>2278</v>
      </c>
      <c r="I27" s="646" t="str">
        <f t="shared" si="3"/>
        <v>VENCIDA</v>
      </c>
      <c r="J27" s="647">
        <f t="shared" si="4"/>
        <v>299</v>
      </c>
    </row>
    <row r="28">
      <c r="A28" s="643">
        <v>591846.0</v>
      </c>
      <c r="B28" s="643" t="s">
        <v>2456</v>
      </c>
      <c r="C28" s="644">
        <v>45874.0</v>
      </c>
      <c r="D28" s="644">
        <f t="shared" si="1"/>
        <v>45889</v>
      </c>
      <c r="E28" s="643">
        <v>199109.64</v>
      </c>
      <c r="F28" s="645" t="b">
        <v>1</v>
      </c>
      <c r="G28" s="646" t="str">
        <f t="shared" si="2"/>
        <v>PAGADO</v>
      </c>
      <c r="H28" s="340" t="s">
        <v>2278</v>
      </c>
      <c r="I28" s="646" t="str">
        <f t="shared" si="3"/>
        <v>VENCIDA</v>
      </c>
      <c r="J28" s="647">
        <f t="shared" si="4"/>
        <v>278</v>
      </c>
    </row>
    <row r="29">
      <c r="A29" s="643">
        <v>122865.0</v>
      </c>
      <c r="B29" s="643" t="s">
        <v>2457</v>
      </c>
      <c r="C29" s="644">
        <v>45874.0</v>
      </c>
      <c r="D29" s="644">
        <f t="shared" si="1"/>
        <v>45889</v>
      </c>
      <c r="E29" s="643">
        <v>28453.06</v>
      </c>
      <c r="F29" s="645" t="b">
        <v>1</v>
      </c>
      <c r="G29" s="646" t="str">
        <f t="shared" si="2"/>
        <v>PAGADO</v>
      </c>
      <c r="H29" s="340" t="s">
        <v>2278</v>
      </c>
      <c r="I29" s="646" t="str">
        <f t="shared" si="3"/>
        <v>VENCIDA</v>
      </c>
      <c r="J29" s="647">
        <f t="shared" si="4"/>
        <v>278</v>
      </c>
    </row>
    <row r="30">
      <c r="A30" s="643">
        <v>598866.0</v>
      </c>
      <c r="B30" s="643" t="s">
        <v>2458</v>
      </c>
      <c r="C30" s="644">
        <v>45894.0</v>
      </c>
      <c r="D30" s="644">
        <f t="shared" si="1"/>
        <v>45909</v>
      </c>
      <c r="E30" s="643">
        <v>207834.49</v>
      </c>
      <c r="F30" s="645" t="b">
        <v>1</v>
      </c>
      <c r="G30" s="646" t="str">
        <f t="shared" si="2"/>
        <v>PAGADO</v>
      </c>
      <c r="H30" s="340" t="s">
        <v>2278</v>
      </c>
      <c r="I30" s="646" t="str">
        <f t="shared" si="3"/>
        <v>VENCIDA</v>
      </c>
      <c r="J30" s="647">
        <f t="shared" si="4"/>
        <v>258</v>
      </c>
    </row>
    <row r="31">
      <c r="A31" s="643">
        <v>128577.0</v>
      </c>
      <c r="B31" s="643" t="s">
        <v>2457</v>
      </c>
      <c r="C31" s="644">
        <v>45894.0</v>
      </c>
      <c r="D31" s="644">
        <f t="shared" si="1"/>
        <v>45909</v>
      </c>
      <c r="E31" s="643">
        <v>56906.11</v>
      </c>
      <c r="F31" s="645" t="b">
        <v>1</v>
      </c>
      <c r="G31" s="646" t="str">
        <f t="shared" si="2"/>
        <v>PAGADO</v>
      </c>
      <c r="H31" s="340" t="s">
        <v>2278</v>
      </c>
      <c r="I31" s="646" t="str">
        <f t="shared" si="3"/>
        <v>VENCIDA</v>
      </c>
      <c r="J31" s="647">
        <f t="shared" si="4"/>
        <v>258</v>
      </c>
    </row>
    <row r="32">
      <c r="A32" s="643">
        <v>133634.0</v>
      </c>
      <c r="B32" s="643" t="s">
        <v>2457</v>
      </c>
      <c r="C32" s="644">
        <v>45910.0</v>
      </c>
      <c r="D32" s="644">
        <f t="shared" si="1"/>
        <v>45925</v>
      </c>
      <c r="E32" s="643">
        <v>81964.98</v>
      </c>
      <c r="F32" s="645" t="b">
        <v>1</v>
      </c>
      <c r="G32" s="646" t="str">
        <f t="shared" si="2"/>
        <v>PAGADO</v>
      </c>
      <c r="H32" s="340" t="s">
        <v>2278</v>
      </c>
      <c r="I32" s="646" t="str">
        <f t="shared" si="3"/>
        <v>VENCIDA</v>
      </c>
      <c r="J32" s="647">
        <f t="shared" si="4"/>
        <v>242</v>
      </c>
    </row>
    <row r="33">
      <c r="A33" s="643">
        <v>605197.0</v>
      </c>
      <c r="B33" s="643" t="s">
        <v>2456</v>
      </c>
      <c r="C33" s="644">
        <v>45910.0</v>
      </c>
      <c r="D33" s="644">
        <f t="shared" si="1"/>
        <v>45925</v>
      </c>
      <c r="E33" s="643">
        <v>190868.02</v>
      </c>
      <c r="F33" s="645" t="b">
        <v>1</v>
      </c>
      <c r="G33" s="646" t="str">
        <f t="shared" si="2"/>
        <v>PAGADO</v>
      </c>
      <c r="H33" s="340" t="s">
        <v>2278</v>
      </c>
      <c r="I33" s="646" t="str">
        <f t="shared" si="3"/>
        <v>VENCIDA</v>
      </c>
      <c r="J33" s="647">
        <f t="shared" si="4"/>
        <v>242</v>
      </c>
    </row>
    <row r="34">
      <c r="A34" s="643">
        <v>612861.0</v>
      </c>
      <c r="B34" s="643" t="s">
        <v>2456</v>
      </c>
      <c r="C34" s="644">
        <v>45931.0</v>
      </c>
      <c r="D34" s="644">
        <f t="shared" si="1"/>
        <v>45946</v>
      </c>
      <c r="E34" s="643">
        <v>160319.05</v>
      </c>
      <c r="F34" s="645" t="b">
        <v>1</v>
      </c>
      <c r="G34" s="646" t="str">
        <f t="shared" si="2"/>
        <v>PAGADO</v>
      </c>
      <c r="H34" s="340" t="s">
        <v>2278</v>
      </c>
      <c r="I34" s="646" t="str">
        <f t="shared" si="3"/>
        <v>VENCIDA</v>
      </c>
      <c r="J34" s="647">
        <f t="shared" si="4"/>
        <v>221</v>
      </c>
    </row>
    <row r="35">
      <c r="A35" s="643">
        <v>139859.0</v>
      </c>
      <c r="B35" s="643" t="s">
        <v>2457</v>
      </c>
      <c r="C35" s="644">
        <v>45931.0</v>
      </c>
      <c r="D35" s="644">
        <f t="shared" si="1"/>
        <v>45946</v>
      </c>
      <c r="E35" s="643">
        <v>57289.83</v>
      </c>
      <c r="F35" s="645" t="b">
        <v>1</v>
      </c>
      <c r="G35" s="646" t="str">
        <f t="shared" si="2"/>
        <v>PAGADO</v>
      </c>
      <c r="H35" s="340" t="s">
        <v>2278</v>
      </c>
      <c r="I35" s="646" t="str">
        <f t="shared" si="3"/>
        <v>VENCIDA</v>
      </c>
      <c r="J35" s="647">
        <f t="shared" si="4"/>
        <v>221</v>
      </c>
    </row>
    <row r="36">
      <c r="A36" s="643">
        <v>622507.0</v>
      </c>
      <c r="B36" s="643" t="s">
        <v>2456</v>
      </c>
      <c r="C36" s="644">
        <v>45958.0</v>
      </c>
      <c r="D36" s="644">
        <f t="shared" si="1"/>
        <v>45973</v>
      </c>
      <c r="E36" s="643">
        <v>200348.3</v>
      </c>
      <c r="F36" s="645" t="b">
        <v>1</v>
      </c>
      <c r="G36" s="646" t="str">
        <f t="shared" si="2"/>
        <v>PAGADO</v>
      </c>
      <c r="H36" s="340" t="s">
        <v>2278</v>
      </c>
      <c r="I36" s="646" t="str">
        <f t="shared" si="3"/>
        <v>VENCIDA</v>
      </c>
      <c r="J36" s="647">
        <f t="shared" si="4"/>
        <v>194</v>
      </c>
    </row>
    <row r="37">
      <c r="A37" s="643">
        <v>147754.0</v>
      </c>
      <c r="B37" s="643" t="s">
        <v>2457</v>
      </c>
      <c r="C37" s="644">
        <v>45958.0</v>
      </c>
      <c r="D37" s="644">
        <f t="shared" si="1"/>
        <v>45973</v>
      </c>
      <c r="E37" s="643">
        <v>57289.73</v>
      </c>
      <c r="F37" s="645" t="b">
        <v>1</v>
      </c>
      <c r="G37" s="646" t="str">
        <f t="shared" si="2"/>
        <v>PAGADO</v>
      </c>
      <c r="H37" s="340" t="s">
        <v>2278</v>
      </c>
      <c r="I37" s="646" t="str">
        <f t="shared" si="3"/>
        <v>VENCIDA</v>
      </c>
      <c r="J37" s="647">
        <f t="shared" si="4"/>
        <v>194</v>
      </c>
    </row>
    <row r="38">
      <c r="A38" s="643">
        <v>628641.0</v>
      </c>
      <c r="B38" s="643" t="s">
        <v>2456</v>
      </c>
      <c r="C38" s="644">
        <v>45973.0</v>
      </c>
      <c r="D38" s="644">
        <f t="shared" si="1"/>
        <v>45988</v>
      </c>
      <c r="E38" s="643">
        <v>189313.15</v>
      </c>
      <c r="F38" s="645" t="b">
        <v>1</v>
      </c>
      <c r="G38" s="646" t="str">
        <f t="shared" si="2"/>
        <v>PAGADO</v>
      </c>
      <c r="H38" s="340" t="s">
        <v>2278</v>
      </c>
      <c r="I38" s="646" t="str">
        <f t="shared" si="3"/>
        <v>VENCIDA</v>
      </c>
      <c r="J38" s="647">
        <f t="shared" si="4"/>
        <v>179</v>
      </c>
    </row>
    <row r="39">
      <c r="A39" s="643">
        <v>634982.0</v>
      </c>
      <c r="B39" s="643" t="s">
        <v>2456</v>
      </c>
      <c r="C39" s="644">
        <v>45992.0</v>
      </c>
      <c r="D39" s="644">
        <f t="shared" si="1"/>
        <v>46007</v>
      </c>
      <c r="E39" s="643">
        <v>87938.6</v>
      </c>
      <c r="F39" s="645" t="b">
        <v>1</v>
      </c>
      <c r="G39" s="646" t="str">
        <f t="shared" si="2"/>
        <v>PAGADO</v>
      </c>
      <c r="H39" s="340" t="s">
        <v>2278</v>
      </c>
      <c r="I39" s="646" t="str">
        <f t="shared" si="3"/>
        <v>VENCIDA</v>
      </c>
      <c r="J39" s="647">
        <f t="shared" si="4"/>
        <v>160</v>
      </c>
    </row>
    <row r="40">
      <c r="A40" s="643">
        <v>158412.0</v>
      </c>
      <c r="B40" s="643" t="s">
        <v>2457</v>
      </c>
      <c r="C40" s="644">
        <v>45992.0</v>
      </c>
      <c r="D40" s="644">
        <f t="shared" si="1"/>
        <v>46007</v>
      </c>
      <c r="E40" s="643">
        <v>180199.14</v>
      </c>
      <c r="F40" s="645" t="b">
        <v>1</v>
      </c>
      <c r="G40" s="646" t="str">
        <f t="shared" si="2"/>
        <v>PAGADO</v>
      </c>
      <c r="H40" s="340" t="s">
        <v>2278</v>
      </c>
      <c r="I40" s="646" t="str">
        <f t="shared" si="3"/>
        <v>VENCIDA</v>
      </c>
      <c r="J40" s="647">
        <f t="shared" si="4"/>
        <v>160</v>
      </c>
    </row>
    <row r="41">
      <c r="A41" s="643">
        <v>168396.0</v>
      </c>
      <c r="B41" s="643" t="s">
        <v>2457</v>
      </c>
      <c r="C41" s="644">
        <v>46027.0</v>
      </c>
      <c r="D41" s="644">
        <f t="shared" si="1"/>
        <v>46042</v>
      </c>
      <c r="E41" s="643">
        <v>201789.26</v>
      </c>
      <c r="F41" s="645" t="b">
        <v>1</v>
      </c>
      <c r="G41" s="646" t="str">
        <f t="shared" si="2"/>
        <v>PAGADO</v>
      </c>
      <c r="H41" s="340" t="s">
        <v>2278</v>
      </c>
      <c r="I41" s="646" t="str">
        <f t="shared" si="3"/>
        <v>VENCIDA</v>
      </c>
      <c r="J41" s="647">
        <f t="shared" si="4"/>
        <v>125</v>
      </c>
    </row>
    <row r="42">
      <c r="A42" s="643">
        <v>647446.0</v>
      </c>
      <c r="B42" s="643" t="s">
        <v>2456</v>
      </c>
      <c r="C42" s="644">
        <v>46027.0</v>
      </c>
      <c r="D42" s="644">
        <f t="shared" si="1"/>
        <v>46042</v>
      </c>
      <c r="E42" s="643">
        <v>175698.27</v>
      </c>
      <c r="F42" s="645" t="b">
        <v>1</v>
      </c>
      <c r="G42" s="646" t="str">
        <f t="shared" si="2"/>
        <v>PAGADO</v>
      </c>
      <c r="H42" s="340" t="s">
        <v>2278</v>
      </c>
      <c r="I42" s="646" t="str">
        <f t="shared" si="3"/>
        <v>VENCIDA</v>
      </c>
      <c r="J42" s="647">
        <f t="shared" si="4"/>
        <v>125</v>
      </c>
    </row>
    <row r="43">
      <c r="A43" s="643">
        <v>653124.0</v>
      </c>
      <c r="B43" s="643" t="s">
        <v>2456</v>
      </c>
      <c r="C43" s="644">
        <v>46043.0</v>
      </c>
      <c r="D43" s="644">
        <f t="shared" si="1"/>
        <v>46058</v>
      </c>
      <c r="E43" s="643">
        <v>178415.93</v>
      </c>
      <c r="F43" s="645" t="b">
        <v>1</v>
      </c>
      <c r="G43" s="646" t="str">
        <f t="shared" si="2"/>
        <v>PAGADO</v>
      </c>
      <c r="H43" s="340" t="s">
        <v>2278</v>
      </c>
      <c r="I43" s="646" t="str">
        <f t="shared" si="3"/>
        <v>VENCIDA</v>
      </c>
      <c r="J43" s="647">
        <f t="shared" si="4"/>
        <v>109</v>
      </c>
    </row>
    <row r="44">
      <c r="A44" s="643">
        <v>173013.0</v>
      </c>
      <c r="B44" s="643" t="s">
        <v>2457</v>
      </c>
      <c r="C44" s="644">
        <v>46043.0</v>
      </c>
      <c r="D44" s="644">
        <f t="shared" si="1"/>
        <v>46058</v>
      </c>
      <c r="E44" s="643">
        <v>199076.92</v>
      </c>
      <c r="F44" s="645" t="b">
        <v>1</v>
      </c>
      <c r="G44" s="646" t="str">
        <f t="shared" si="2"/>
        <v>PAGADO</v>
      </c>
      <c r="H44" s="340" t="s">
        <v>2278</v>
      </c>
      <c r="I44" s="646" t="str">
        <f t="shared" si="3"/>
        <v>VENCIDA</v>
      </c>
      <c r="J44" s="647">
        <f t="shared" si="4"/>
        <v>109</v>
      </c>
    </row>
    <row r="45">
      <c r="A45" s="643">
        <v>664795.0</v>
      </c>
      <c r="B45" s="643" t="s">
        <v>2456</v>
      </c>
      <c r="C45" s="644">
        <v>46077.0</v>
      </c>
      <c r="D45" s="644">
        <f t="shared" si="1"/>
        <v>46092</v>
      </c>
      <c r="E45" s="643">
        <v>286039.3</v>
      </c>
      <c r="F45" s="645" t="b">
        <v>1</v>
      </c>
      <c r="G45" s="646" t="str">
        <f t="shared" si="2"/>
        <v>PAGADO</v>
      </c>
      <c r="H45" s="340" t="s">
        <v>2278</v>
      </c>
      <c r="I45" s="646" t="str">
        <f t="shared" si="3"/>
        <v>VENCIDA</v>
      </c>
      <c r="J45" s="647">
        <f t="shared" si="4"/>
        <v>75</v>
      </c>
    </row>
    <row r="46">
      <c r="A46" s="643">
        <v>182688.0</v>
      </c>
      <c r="B46" s="643" t="s">
        <v>2457</v>
      </c>
      <c r="C46" s="644">
        <v>46077.0</v>
      </c>
      <c r="D46" s="644">
        <f t="shared" si="1"/>
        <v>46092</v>
      </c>
      <c r="E46" s="643">
        <v>77457.02</v>
      </c>
      <c r="F46" s="645" t="b">
        <v>1</v>
      </c>
      <c r="G46" s="646" t="str">
        <f t="shared" si="2"/>
        <v>PAGADO</v>
      </c>
      <c r="H46" s="340" t="s">
        <v>2278</v>
      </c>
      <c r="I46" s="646" t="str">
        <f t="shared" si="3"/>
        <v>VENCIDA</v>
      </c>
      <c r="J46" s="647">
        <f t="shared" si="4"/>
        <v>75</v>
      </c>
    </row>
    <row r="47">
      <c r="A47" s="643">
        <v>677306.0</v>
      </c>
      <c r="B47" s="643" t="s">
        <v>2456</v>
      </c>
      <c r="C47" s="644">
        <v>46109.0</v>
      </c>
      <c r="D47" s="644">
        <f t="shared" si="1"/>
        <v>46124</v>
      </c>
      <c r="E47" s="643">
        <v>201867.95</v>
      </c>
      <c r="F47" s="645" t="b">
        <v>1</v>
      </c>
      <c r="G47" s="646" t="str">
        <f t="shared" si="2"/>
        <v>PAGADO</v>
      </c>
      <c r="H47" s="340" t="s">
        <v>2278</v>
      </c>
      <c r="I47" s="646" t="str">
        <f t="shared" si="3"/>
        <v>VENCIDA</v>
      </c>
      <c r="J47" s="647">
        <f t="shared" si="4"/>
        <v>43</v>
      </c>
    </row>
    <row r="48">
      <c r="A48" s="643">
        <v>193107.0</v>
      </c>
      <c r="B48" s="643" t="s">
        <v>2457</v>
      </c>
      <c r="C48" s="644">
        <v>46109.0</v>
      </c>
      <c r="D48" s="644">
        <f t="shared" si="1"/>
        <v>46124</v>
      </c>
      <c r="E48" s="643">
        <v>129910.73</v>
      </c>
      <c r="F48" s="645" t="b">
        <v>1</v>
      </c>
      <c r="G48" s="646" t="str">
        <f t="shared" si="2"/>
        <v>PAGADO</v>
      </c>
      <c r="H48" s="340" t="s">
        <v>2278</v>
      </c>
      <c r="I48" s="646" t="str">
        <f t="shared" si="3"/>
        <v>VENCIDA</v>
      </c>
      <c r="J48" s="647">
        <f t="shared" si="4"/>
        <v>43</v>
      </c>
    </row>
    <row r="49">
      <c r="A49" s="643">
        <v>688197.0</v>
      </c>
      <c r="B49" s="643" t="s">
        <v>2456</v>
      </c>
      <c r="C49" s="644">
        <v>46139.0</v>
      </c>
      <c r="D49" s="644">
        <f t="shared" ref="D49:D51" si="5">C49+7</f>
        <v>46146</v>
      </c>
      <c r="E49" s="643">
        <v>95475.37</v>
      </c>
      <c r="F49" s="645" t="b">
        <v>1</v>
      </c>
      <c r="G49" s="646" t="str">
        <f t="shared" si="2"/>
        <v>PAGADO</v>
      </c>
      <c r="H49" s="340" t="s">
        <v>2278</v>
      </c>
      <c r="I49" s="646" t="str">
        <f t="shared" si="3"/>
        <v>VENCIDA</v>
      </c>
      <c r="J49" s="647">
        <f t="shared" si="4"/>
        <v>21</v>
      </c>
    </row>
    <row r="50">
      <c r="A50" s="643">
        <v>202046.0</v>
      </c>
      <c r="B50" s="643" t="s">
        <v>2457</v>
      </c>
      <c r="C50" s="644">
        <v>46139.0</v>
      </c>
      <c r="D50" s="644">
        <f t="shared" si="5"/>
        <v>46146</v>
      </c>
      <c r="E50" s="643">
        <v>146711.95</v>
      </c>
      <c r="F50" s="645" t="b">
        <v>1</v>
      </c>
      <c r="G50" s="646" t="str">
        <f t="shared" si="2"/>
        <v>PAGADO</v>
      </c>
      <c r="H50" s="340" t="s">
        <v>2278</v>
      </c>
      <c r="I50" s="646" t="str">
        <f t="shared" si="3"/>
        <v>VENCIDA</v>
      </c>
      <c r="J50" s="647">
        <f t="shared" si="4"/>
        <v>21</v>
      </c>
    </row>
    <row r="51">
      <c r="A51" s="643">
        <v>691429.0</v>
      </c>
      <c r="B51" s="643" t="s">
        <v>2456</v>
      </c>
      <c r="C51" s="644">
        <v>46147.0</v>
      </c>
      <c r="D51" s="644">
        <f t="shared" si="5"/>
        <v>46154</v>
      </c>
      <c r="E51" s="643">
        <v>168915.48</v>
      </c>
      <c r="F51" s="658" t="b">
        <v>0</v>
      </c>
      <c r="G51" s="646" t="str">
        <f t="shared" si="2"/>
        <v>ADEUDA</v>
      </c>
      <c r="H51" s="340" t="s">
        <v>2278</v>
      </c>
      <c r="I51" s="646" t="str">
        <f t="shared" si="3"/>
        <v>VENCIDA</v>
      </c>
      <c r="J51" s="647">
        <f t="shared" si="4"/>
        <v>13</v>
      </c>
    </row>
    <row r="52">
      <c r="A52" s="644"/>
      <c r="B52" s="644"/>
      <c r="C52" s="644"/>
      <c r="D52" s="644">
        <f t="shared" ref="D52:D132" si="6">C52+15</f>
        <v>15</v>
      </c>
      <c r="E52" s="643"/>
      <c r="F52" s="658" t="b">
        <v>0</v>
      </c>
      <c r="G52" s="646" t="str">
        <f t="shared" si="2"/>
        <v>ADEUDA</v>
      </c>
      <c r="H52" s="340" t="s">
        <v>2278</v>
      </c>
      <c r="I52" s="646" t="str">
        <f t="shared" si="3"/>
        <v>VENCIDA</v>
      </c>
      <c r="J52" s="647">
        <f t="shared" si="4"/>
        <v>46152</v>
      </c>
    </row>
    <row r="53">
      <c r="A53" s="644"/>
      <c r="B53" s="644"/>
      <c r="C53" s="644"/>
      <c r="D53" s="644">
        <f t="shared" si="6"/>
        <v>15</v>
      </c>
      <c r="E53" s="643"/>
      <c r="F53" s="658" t="b">
        <v>0</v>
      </c>
      <c r="G53" s="646" t="str">
        <f t="shared" si="2"/>
        <v>ADEUDA</v>
      </c>
      <c r="H53" s="340" t="s">
        <v>2278</v>
      </c>
      <c r="I53" s="646" t="str">
        <f t="shared" si="3"/>
        <v>VENCIDA</v>
      </c>
      <c r="J53" s="647">
        <f t="shared" si="4"/>
        <v>46152</v>
      </c>
    </row>
    <row r="54">
      <c r="A54" s="644"/>
      <c r="B54" s="644"/>
      <c r="C54" s="644"/>
      <c r="D54" s="644">
        <f t="shared" si="6"/>
        <v>15</v>
      </c>
      <c r="E54" s="643"/>
      <c r="F54" s="658" t="b">
        <v>0</v>
      </c>
      <c r="G54" s="646" t="str">
        <f t="shared" si="2"/>
        <v>ADEUDA</v>
      </c>
      <c r="H54" s="340" t="s">
        <v>2278</v>
      </c>
      <c r="I54" s="646" t="str">
        <f t="shared" si="3"/>
        <v>VENCIDA</v>
      </c>
      <c r="J54" s="647">
        <f t="shared" si="4"/>
        <v>46152</v>
      </c>
    </row>
    <row r="55">
      <c r="A55" s="644"/>
      <c r="B55" s="644"/>
      <c r="C55" s="644"/>
      <c r="D55" s="644">
        <f t="shared" si="6"/>
        <v>15</v>
      </c>
      <c r="E55" s="643"/>
      <c r="F55" s="658" t="b">
        <v>0</v>
      </c>
      <c r="G55" s="646" t="str">
        <f t="shared" si="2"/>
        <v>ADEUDA</v>
      </c>
      <c r="H55" s="340" t="s">
        <v>2278</v>
      </c>
      <c r="I55" s="646" t="str">
        <f t="shared" si="3"/>
        <v>VENCIDA</v>
      </c>
      <c r="J55" s="647">
        <f t="shared" si="4"/>
        <v>46152</v>
      </c>
    </row>
    <row r="56">
      <c r="A56" s="644"/>
      <c r="B56" s="644"/>
      <c r="C56" s="644"/>
      <c r="D56" s="644">
        <f t="shared" si="6"/>
        <v>15</v>
      </c>
      <c r="E56" s="643"/>
      <c r="F56" s="658" t="b">
        <v>0</v>
      </c>
      <c r="G56" s="646" t="str">
        <f t="shared" si="2"/>
        <v>ADEUDA</v>
      </c>
      <c r="H56" s="340" t="s">
        <v>2278</v>
      </c>
      <c r="I56" s="646" t="str">
        <f t="shared" si="3"/>
        <v>VENCIDA</v>
      </c>
      <c r="J56" s="647">
        <f t="shared" si="4"/>
        <v>46152</v>
      </c>
    </row>
    <row r="57">
      <c r="A57" s="644"/>
      <c r="B57" s="644"/>
      <c r="C57" s="644"/>
      <c r="D57" s="644">
        <f t="shared" si="6"/>
        <v>15</v>
      </c>
      <c r="E57" s="643"/>
      <c r="F57" s="658" t="b">
        <v>0</v>
      </c>
      <c r="G57" s="646" t="str">
        <f t="shared" si="2"/>
        <v>ADEUDA</v>
      </c>
      <c r="H57" s="340" t="s">
        <v>2278</v>
      </c>
      <c r="I57" s="646" t="str">
        <f t="shared" si="3"/>
        <v>VENCIDA</v>
      </c>
      <c r="J57" s="647">
        <f t="shared" si="4"/>
        <v>46152</v>
      </c>
    </row>
    <row r="58">
      <c r="A58" s="644"/>
      <c r="B58" s="644"/>
      <c r="C58" s="644"/>
      <c r="D58" s="644">
        <f t="shared" si="6"/>
        <v>15</v>
      </c>
      <c r="E58" s="643"/>
      <c r="F58" s="658" t="b">
        <v>0</v>
      </c>
      <c r="G58" s="646" t="str">
        <f t="shared" si="2"/>
        <v>ADEUDA</v>
      </c>
      <c r="H58" s="340" t="s">
        <v>2278</v>
      </c>
      <c r="I58" s="646" t="str">
        <f t="shared" si="3"/>
        <v>VENCIDA</v>
      </c>
      <c r="J58" s="647">
        <f t="shared" si="4"/>
        <v>46152</v>
      </c>
    </row>
    <row r="59">
      <c r="A59" s="644"/>
      <c r="B59" s="644"/>
      <c r="C59" s="644"/>
      <c r="D59" s="644">
        <f t="shared" si="6"/>
        <v>15</v>
      </c>
      <c r="E59" s="643"/>
      <c r="F59" s="658" t="b">
        <v>0</v>
      </c>
      <c r="G59" s="646" t="str">
        <f t="shared" si="2"/>
        <v>ADEUDA</v>
      </c>
      <c r="H59" s="340" t="s">
        <v>2278</v>
      </c>
      <c r="I59" s="646" t="str">
        <f t="shared" si="3"/>
        <v>VENCIDA</v>
      </c>
      <c r="J59" s="647">
        <f t="shared" si="4"/>
        <v>46152</v>
      </c>
    </row>
    <row r="60">
      <c r="A60" s="644"/>
      <c r="B60" s="644"/>
      <c r="C60" s="644"/>
      <c r="D60" s="644">
        <f t="shared" si="6"/>
        <v>15</v>
      </c>
      <c r="E60" s="643"/>
      <c r="F60" s="658" t="b">
        <v>0</v>
      </c>
      <c r="G60" s="646" t="str">
        <f t="shared" si="2"/>
        <v>ADEUDA</v>
      </c>
      <c r="H60" s="340" t="s">
        <v>2278</v>
      </c>
      <c r="I60" s="646" t="str">
        <f t="shared" si="3"/>
        <v>VENCIDA</v>
      </c>
      <c r="J60" s="647">
        <f t="shared" si="4"/>
        <v>46152</v>
      </c>
    </row>
    <row r="61">
      <c r="A61" s="644"/>
      <c r="B61" s="644"/>
      <c r="C61" s="644"/>
      <c r="D61" s="644">
        <f t="shared" si="6"/>
        <v>15</v>
      </c>
      <c r="E61" s="643"/>
      <c r="F61" s="658" t="b">
        <v>0</v>
      </c>
      <c r="G61" s="646" t="str">
        <f t="shared" si="2"/>
        <v>ADEUDA</v>
      </c>
      <c r="H61" s="340" t="s">
        <v>2278</v>
      </c>
      <c r="I61" s="646" t="str">
        <f t="shared" si="3"/>
        <v>VENCIDA</v>
      </c>
      <c r="J61" s="647">
        <f t="shared" si="4"/>
        <v>46152</v>
      </c>
    </row>
    <row r="62">
      <c r="A62" s="644"/>
      <c r="B62" s="644"/>
      <c r="C62" s="644"/>
      <c r="D62" s="644">
        <f t="shared" si="6"/>
        <v>15</v>
      </c>
      <c r="E62" s="643"/>
      <c r="F62" s="658" t="b">
        <v>0</v>
      </c>
      <c r="G62" s="646" t="str">
        <f t="shared" si="2"/>
        <v>ADEUDA</v>
      </c>
      <c r="H62" s="340" t="s">
        <v>2278</v>
      </c>
      <c r="I62" s="646" t="str">
        <f t="shared" si="3"/>
        <v>VENCIDA</v>
      </c>
      <c r="J62" s="647">
        <f t="shared" si="4"/>
        <v>46152</v>
      </c>
    </row>
    <row r="63">
      <c r="A63" s="644"/>
      <c r="B63" s="644"/>
      <c r="C63" s="644"/>
      <c r="D63" s="644">
        <f t="shared" si="6"/>
        <v>15</v>
      </c>
      <c r="E63" s="643"/>
      <c r="F63" s="658" t="b">
        <v>0</v>
      </c>
      <c r="G63" s="646" t="str">
        <f t="shared" si="2"/>
        <v>ADEUDA</v>
      </c>
      <c r="H63" s="340" t="s">
        <v>2278</v>
      </c>
      <c r="I63" s="646" t="str">
        <f t="shared" si="3"/>
        <v>VENCIDA</v>
      </c>
      <c r="J63" s="647">
        <f t="shared" si="4"/>
        <v>46152</v>
      </c>
    </row>
    <row r="64">
      <c r="A64" s="644"/>
      <c r="B64" s="644"/>
      <c r="C64" s="644"/>
      <c r="D64" s="644">
        <f t="shared" si="6"/>
        <v>15</v>
      </c>
      <c r="E64" s="643"/>
      <c r="F64" s="658" t="b">
        <v>0</v>
      </c>
      <c r="G64" s="646" t="str">
        <f t="shared" si="2"/>
        <v>ADEUDA</v>
      </c>
      <c r="H64" s="340" t="s">
        <v>2278</v>
      </c>
      <c r="I64" s="646" t="str">
        <f t="shared" si="3"/>
        <v>VENCIDA</v>
      </c>
      <c r="J64" s="647">
        <f t="shared" si="4"/>
        <v>46152</v>
      </c>
    </row>
    <row r="65">
      <c r="A65" s="644"/>
      <c r="B65" s="644"/>
      <c r="C65" s="644"/>
      <c r="D65" s="644">
        <f t="shared" si="6"/>
        <v>15</v>
      </c>
      <c r="E65" s="643"/>
      <c r="F65" s="658" t="b">
        <v>0</v>
      </c>
      <c r="G65" s="646" t="str">
        <f t="shared" si="2"/>
        <v>ADEUDA</v>
      </c>
      <c r="H65" s="340" t="s">
        <v>2278</v>
      </c>
      <c r="I65" s="646" t="str">
        <f t="shared" si="3"/>
        <v>VENCIDA</v>
      </c>
      <c r="J65" s="647">
        <f t="shared" si="4"/>
        <v>46152</v>
      </c>
    </row>
    <row r="66">
      <c r="A66" s="644"/>
      <c r="B66" s="644"/>
      <c r="C66" s="644"/>
      <c r="D66" s="644">
        <f t="shared" si="6"/>
        <v>15</v>
      </c>
      <c r="E66" s="643"/>
      <c r="F66" s="658" t="b">
        <v>0</v>
      </c>
      <c r="G66" s="646" t="str">
        <f t="shared" si="2"/>
        <v>ADEUDA</v>
      </c>
      <c r="H66" s="340" t="s">
        <v>2278</v>
      </c>
      <c r="I66" s="646" t="str">
        <f t="shared" si="3"/>
        <v>VENCIDA</v>
      </c>
      <c r="J66" s="647">
        <f t="shared" si="4"/>
        <v>46152</v>
      </c>
    </row>
    <row r="67">
      <c r="A67" s="644"/>
      <c r="B67" s="644"/>
      <c r="C67" s="644"/>
      <c r="D67" s="644">
        <f t="shared" si="6"/>
        <v>15</v>
      </c>
      <c r="E67" s="643"/>
      <c r="F67" s="658" t="b">
        <v>0</v>
      </c>
      <c r="G67" s="646" t="str">
        <f t="shared" si="2"/>
        <v>ADEUDA</v>
      </c>
      <c r="H67" s="340" t="s">
        <v>2278</v>
      </c>
      <c r="I67" s="646" t="str">
        <f t="shared" si="3"/>
        <v>VENCIDA</v>
      </c>
      <c r="J67" s="647">
        <f t="shared" si="4"/>
        <v>46152</v>
      </c>
    </row>
    <row r="68">
      <c r="A68" s="644"/>
      <c r="B68" s="644"/>
      <c r="C68" s="644"/>
      <c r="D68" s="644">
        <f t="shared" si="6"/>
        <v>15</v>
      </c>
      <c r="E68" s="643"/>
      <c r="F68" s="658" t="b">
        <v>0</v>
      </c>
      <c r="G68" s="646" t="str">
        <f t="shared" si="2"/>
        <v>ADEUDA</v>
      </c>
      <c r="H68" s="340" t="s">
        <v>2278</v>
      </c>
      <c r="I68" s="646" t="str">
        <f t="shared" si="3"/>
        <v>VENCIDA</v>
      </c>
      <c r="J68" s="647">
        <f t="shared" si="4"/>
        <v>46152</v>
      </c>
    </row>
    <row r="69">
      <c r="A69" s="644"/>
      <c r="B69" s="644"/>
      <c r="C69" s="644"/>
      <c r="D69" s="644">
        <f t="shared" si="6"/>
        <v>15</v>
      </c>
      <c r="E69" s="643"/>
      <c r="F69" s="658" t="b">
        <v>0</v>
      </c>
      <c r="G69" s="646" t="str">
        <f t="shared" si="2"/>
        <v>ADEUDA</v>
      </c>
      <c r="H69" s="340" t="s">
        <v>2278</v>
      </c>
      <c r="I69" s="646" t="str">
        <f t="shared" si="3"/>
        <v>VENCIDA</v>
      </c>
      <c r="J69" s="647">
        <f t="shared" si="4"/>
        <v>46152</v>
      </c>
    </row>
    <row r="70">
      <c r="A70" s="644"/>
      <c r="B70" s="644"/>
      <c r="C70" s="644"/>
      <c r="D70" s="644">
        <f t="shared" si="6"/>
        <v>15</v>
      </c>
      <c r="E70" s="643"/>
      <c r="F70" s="658" t="b">
        <v>0</v>
      </c>
      <c r="G70" s="646" t="str">
        <f t="shared" si="2"/>
        <v>ADEUDA</v>
      </c>
      <c r="H70" s="340" t="s">
        <v>2278</v>
      </c>
      <c r="I70" s="646" t="str">
        <f t="shared" si="3"/>
        <v>VENCIDA</v>
      </c>
      <c r="J70" s="647">
        <f t="shared" si="4"/>
        <v>46152</v>
      </c>
    </row>
    <row r="71">
      <c r="A71" s="644"/>
      <c r="B71" s="644"/>
      <c r="C71" s="644"/>
      <c r="D71" s="644">
        <f t="shared" si="6"/>
        <v>15</v>
      </c>
      <c r="E71" s="643"/>
      <c r="F71" s="658" t="b">
        <v>0</v>
      </c>
      <c r="G71" s="646" t="str">
        <f t="shared" si="2"/>
        <v>ADEUDA</v>
      </c>
      <c r="H71" s="340" t="s">
        <v>2278</v>
      </c>
      <c r="I71" s="646" t="str">
        <f t="shared" si="3"/>
        <v>VENCIDA</v>
      </c>
      <c r="J71" s="647">
        <f t="shared" si="4"/>
        <v>46152</v>
      </c>
    </row>
    <row r="72">
      <c r="A72" s="644"/>
      <c r="B72" s="644"/>
      <c r="C72" s="644"/>
      <c r="D72" s="644">
        <f t="shared" si="6"/>
        <v>15</v>
      </c>
      <c r="E72" s="643"/>
      <c r="F72" s="658" t="b">
        <v>0</v>
      </c>
      <c r="G72" s="646" t="str">
        <f t="shared" si="2"/>
        <v>ADEUDA</v>
      </c>
      <c r="H72" s="340" t="s">
        <v>2278</v>
      </c>
      <c r="I72" s="646" t="str">
        <f t="shared" si="3"/>
        <v>VENCIDA</v>
      </c>
      <c r="J72" s="647">
        <f t="shared" si="4"/>
        <v>46152</v>
      </c>
    </row>
    <row r="73">
      <c r="A73" s="644"/>
      <c r="B73" s="644"/>
      <c r="C73" s="644"/>
      <c r="D73" s="644">
        <f t="shared" si="6"/>
        <v>15</v>
      </c>
      <c r="E73" s="643"/>
      <c r="F73" s="658" t="b">
        <v>0</v>
      </c>
      <c r="G73" s="646" t="str">
        <f t="shared" si="2"/>
        <v>ADEUDA</v>
      </c>
      <c r="H73" s="340" t="s">
        <v>2278</v>
      </c>
      <c r="I73" s="646" t="str">
        <f t="shared" si="3"/>
        <v>VENCIDA</v>
      </c>
      <c r="J73" s="647">
        <f t="shared" si="4"/>
        <v>46152</v>
      </c>
    </row>
    <row r="74">
      <c r="A74" s="644"/>
      <c r="B74" s="644"/>
      <c r="C74" s="644"/>
      <c r="D74" s="644">
        <f t="shared" si="6"/>
        <v>15</v>
      </c>
      <c r="E74" s="643"/>
      <c r="F74" s="658" t="b">
        <v>0</v>
      </c>
      <c r="G74" s="646" t="str">
        <f t="shared" si="2"/>
        <v>ADEUDA</v>
      </c>
      <c r="H74" s="340" t="s">
        <v>2278</v>
      </c>
      <c r="I74" s="646" t="str">
        <f t="shared" si="3"/>
        <v>VENCIDA</v>
      </c>
      <c r="J74" s="647">
        <f t="shared" si="4"/>
        <v>46152</v>
      </c>
    </row>
    <row r="75">
      <c r="A75" s="644"/>
      <c r="B75" s="644"/>
      <c r="C75" s="644"/>
      <c r="D75" s="644">
        <f t="shared" si="6"/>
        <v>15</v>
      </c>
      <c r="E75" s="643"/>
      <c r="F75" s="658" t="b">
        <v>0</v>
      </c>
      <c r="G75" s="646" t="str">
        <f t="shared" si="2"/>
        <v>ADEUDA</v>
      </c>
      <c r="H75" s="340" t="s">
        <v>2278</v>
      </c>
      <c r="I75" s="646" t="str">
        <f t="shared" si="3"/>
        <v>VENCIDA</v>
      </c>
      <c r="J75" s="647">
        <f t="shared" si="4"/>
        <v>46152</v>
      </c>
    </row>
    <row r="76">
      <c r="A76" s="644"/>
      <c r="B76" s="644"/>
      <c r="C76" s="644"/>
      <c r="D76" s="644">
        <f t="shared" si="6"/>
        <v>15</v>
      </c>
      <c r="E76" s="643"/>
      <c r="F76" s="658" t="b">
        <v>0</v>
      </c>
      <c r="G76" s="646" t="str">
        <f t="shared" si="2"/>
        <v>ADEUDA</v>
      </c>
      <c r="H76" s="340" t="s">
        <v>2278</v>
      </c>
      <c r="I76" s="646" t="str">
        <f t="shared" si="3"/>
        <v>VENCIDA</v>
      </c>
      <c r="J76" s="647">
        <f t="shared" si="4"/>
        <v>46152</v>
      </c>
    </row>
    <row r="77">
      <c r="A77" s="644"/>
      <c r="B77" s="644"/>
      <c r="C77" s="644"/>
      <c r="D77" s="644">
        <f t="shared" si="6"/>
        <v>15</v>
      </c>
      <c r="E77" s="643"/>
      <c r="F77" s="658" t="b">
        <v>0</v>
      </c>
      <c r="G77" s="646" t="str">
        <f t="shared" si="2"/>
        <v>ADEUDA</v>
      </c>
      <c r="H77" s="340" t="s">
        <v>2278</v>
      </c>
      <c r="I77" s="646" t="str">
        <f t="shared" si="3"/>
        <v>VENCIDA</v>
      </c>
      <c r="J77" s="647">
        <f t="shared" si="4"/>
        <v>46152</v>
      </c>
    </row>
    <row r="78">
      <c r="A78" s="644"/>
      <c r="B78" s="644"/>
      <c r="C78" s="644"/>
      <c r="D78" s="644">
        <f t="shared" si="6"/>
        <v>15</v>
      </c>
      <c r="E78" s="643"/>
      <c r="F78" s="658" t="b">
        <v>0</v>
      </c>
      <c r="G78" s="646" t="str">
        <f t="shared" si="2"/>
        <v>ADEUDA</v>
      </c>
      <c r="H78" s="340" t="s">
        <v>2278</v>
      </c>
      <c r="I78" s="646" t="str">
        <f t="shared" si="3"/>
        <v>VENCIDA</v>
      </c>
      <c r="J78" s="647">
        <f t="shared" si="4"/>
        <v>46152</v>
      </c>
    </row>
    <row r="79">
      <c r="A79" s="644"/>
      <c r="B79" s="644"/>
      <c r="C79" s="644"/>
      <c r="D79" s="644">
        <f t="shared" si="6"/>
        <v>15</v>
      </c>
      <c r="E79" s="643"/>
      <c r="F79" s="658" t="b">
        <v>0</v>
      </c>
      <c r="G79" s="646" t="str">
        <f t="shared" si="2"/>
        <v>ADEUDA</v>
      </c>
      <c r="H79" s="340" t="s">
        <v>2278</v>
      </c>
      <c r="I79" s="646" t="str">
        <f t="shared" si="3"/>
        <v>VENCIDA</v>
      </c>
      <c r="J79" s="647">
        <f t="shared" si="4"/>
        <v>46152</v>
      </c>
    </row>
    <row r="80">
      <c r="A80" s="644"/>
      <c r="B80" s="644"/>
      <c r="C80" s="644"/>
      <c r="D80" s="644">
        <f t="shared" si="6"/>
        <v>15</v>
      </c>
      <c r="E80" s="643"/>
      <c r="F80" s="658" t="b">
        <v>0</v>
      </c>
      <c r="G80" s="646" t="str">
        <f t="shared" si="2"/>
        <v>ADEUDA</v>
      </c>
      <c r="H80" s="340" t="s">
        <v>2278</v>
      </c>
      <c r="I80" s="646" t="str">
        <f t="shared" si="3"/>
        <v>VENCIDA</v>
      </c>
      <c r="J80" s="647">
        <f t="shared" si="4"/>
        <v>46152</v>
      </c>
    </row>
    <row r="81">
      <c r="A81" s="644"/>
      <c r="B81" s="644"/>
      <c r="C81" s="644"/>
      <c r="D81" s="644">
        <f t="shared" si="6"/>
        <v>15</v>
      </c>
      <c r="E81" s="643"/>
      <c r="F81" s="658" t="b">
        <v>0</v>
      </c>
      <c r="G81" s="646" t="str">
        <f t="shared" si="2"/>
        <v>ADEUDA</v>
      </c>
      <c r="H81" s="340" t="s">
        <v>2278</v>
      </c>
      <c r="I81" s="646" t="str">
        <f t="shared" si="3"/>
        <v>VENCIDA</v>
      </c>
      <c r="J81" s="647">
        <f t="shared" si="4"/>
        <v>46152</v>
      </c>
    </row>
    <row r="82">
      <c r="A82" s="644"/>
      <c r="B82" s="644"/>
      <c r="C82" s="644"/>
      <c r="D82" s="644">
        <f t="shared" si="6"/>
        <v>15</v>
      </c>
      <c r="E82" s="643"/>
      <c r="F82" s="658" t="b">
        <v>0</v>
      </c>
      <c r="G82" s="646" t="str">
        <f t="shared" si="2"/>
        <v>ADEUDA</v>
      </c>
      <c r="H82" s="340" t="s">
        <v>2278</v>
      </c>
      <c r="I82" s="646" t="str">
        <f t="shared" si="3"/>
        <v>VENCIDA</v>
      </c>
      <c r="J82" s="647">
        <f t="shared" si="4"/>
        <v>46152</v>
      </c>
    </row>
    <row r="83">
      <c r="A83" s="644"/>
      <c r="B83" s="644"/>
      <c r="C83" s="644"/>
      <c r="D83" s="644">
        <f t="shared" si="6"/>
        <v>15</v>
      </c>
      <c r="E83" s="643"/>
      <c r="F83" s="658" t="b">
        <v>0</v>
      </c>
      <c r="G83" s="646" t="str">
        <f t="shared" si="2"/>
        <v>ADEUDA</v>
      </c>
      <c r="H83" s="340" t="s">
        <v>2278</v>
      </c>
      <c r="I83" s="646" t="str">
        <f t="shared" si="3"/>
        <v>VENCIDA</v>
      </c>
      <c r="J83" s="647">
        <f t="shared" si="4"/>
        <v>46152</v>
      </c>
    </row>
    <row r="84">
      <c r="A84" s="644"/>
      <c r="B84" s="644"/>
      <c r="C84" s="644"/>
      <c r="D84" s="644">
        <f t="shared" si="6"/>
        <v>15</v>
      </c>
      <c r="E84" s="643"/>
      <c r="F84" s="658" t="b">
        <v>0</v>
      </c>
      <c r="G84" s="646" t="str">
        <f t="shared" si="2"/>
        <v>ADEUDA</v>
      </c>
      <c r="H84" s="340" t="s">
        <v>2278</v>
      </c>
      <c r="I84" s="646" t="str">
        <f t="shared" si="3"/>
        <v>VENCIDA</v>
      </c>
      <c r="J84" s="647">
        <f t="shared" si="4"/>
        <v>46152</v>
      </c>
    </row>
    <row r="85">
      <c r="A85" s="644"/>
      <c r="B85" s="644"/>
      <c r="C85" s="644"/>
      <c r="D85" s="644">
        <f t="shared" si="6"/>
        <v>15</v>
      </c>
      <c r="E85" s="643"/>
      <c r="F85" s="658" t="b">
        <v>0</v>
      </c>
      <c r="G85" s="646" t="str">
        <f t="shared" si="2"/>
        <v>ADEUDA</v>
      </c>
      <c r="H85" s="340" t="s">
        <v>2278</v>
      </c>
      <c r="I85" s="646" t="str">
        <f t="shared" si="3"/>
        <v>VENCIDA</v>
      </c>
      <c r="J85" s="647">
        <f t="shared" si="4"/>
        <v>46152</v>
      </c>
    </row>
    <row r="86">
      <c r="A86" s="644"/>
      <c r="B86" s="644"/>
      <c r="C86" s="644"/>
      <c r="D86" s="644">
        <f t="shared" si="6"/>
        <v>15</v>
      </c>
      <c r="E86" s="643"/>
      <c r="F86" s="658" t="b">
        <v>0</v>
      </c>
      <c r="G86" s="646" t="str">
        <f t="shared" si="2"/>
        <v>ADEUDA</v>
      </c>
      <c r="H86" s="340" t="s">
        <v>2278</v>
      </c>
      <c r="I86" s="646" t="str">
        <f t="shared" si="3"/>
        <v>VENCIDA</v>
      </c>
      <c r="J86" s="647">
        <f t="shared" si="4"/>
        <v>46152</v>
      </c>
    </row>
    <row r="87">
      <c r="A87" s="644"/>
      <c r="B87" s="644"/>
      <c r="C87" s="644"/>
      <c r="D87" s="644">
        <f t="shared" si="6"/>
        <v>15</v>
      </c>
      <c r="E87" s="643"/>
      <c r="F87" s="658" t="b">
        <v>0</v>
      </c>
      <c r="G87" s="646" t="str">
        <f t="shared" si="2"/>
        <v>ADEUDA</v>
      </c>
      <c r="H87" s="340" t="s">
        <v>2278</v>
      </c>
      <c r="I87" s="646" t="str">
        <f t="shared" si="3"/>
        <v>VENCIDA</v>
      </c>
      <c r="J87" s="647">
        <f t="shared" si="4"/>
        <v>46152</v>
      </c>
    </row>
    <row r="88">
      <c r="A88" s="644"/>
      <c r="B88" s="644"/>
      <c r="C88" s="644"/>
      <c r="D88" s="644">
        <f t="shared" si="6"/>
        <v>15</v>
      </c>
      <c r="E88" s="643"/>
      <c r="F88" s="658" t="b">
        <v>0</v>
      </c>
      <c r="G88" s="646" t="str">
        <f t="shared" si="2"/>
        <v>ADEUDA</v>
      </c>
      <c r="H88" s="340" t="s">
        <v>2278</v>
      </c>
      <c r="I88" s="646" t="str">
        <f t="shared" si="3"/>
        <v>VENCIDA</v>
      </c>
      <c r="J88" s="647">
        <f t="shared" si="4"/>
        <v>46152</v>
      </c>
    </row>
    <row r="89">
      <c r="A89" s="644"/>
      <c r="B89" s="644"/>
      <c r="C89" s="644"/>
      <c r="D89" s="644">
        <f t="shared" si="6"/>
        <v>15</v>
      </c>
      <c r="E89" s="643"/>
      <c r="F89" s="658" t="b">
        <v>0</v>
      </c>
      <c r="G89" s="646" t="str">
        <f t="shared" si="2"/>
        <v>ADEUDA</v>
      </c>
      <c r="H89" s="340" t="s">
        <v>2278</v>
      </c>
      <c r="I89" s="646" t="str">
        <f t="shared" si="3"/>
        <v>VENCIDA</v>
      </c>
      <c r="J89" s="647">
        <f t="shared" si="4"/>
        <v>46152</v>
      </c>
    </row>
    <row r="90">
      <c r="A90" s="644"/>
      <c r="B90" s="644"/>
      <c r="C90" s="644"/>
      <c r="D90" s="644">
        <f t="shared" si="6"/>
        <v>15</v>
      </c>
      <c r="E90" s="643"/>
      <c r="F90" s="658" t="b">
        <v>0</v>
      </c>
      <c r="G90" s="646" t="str">
        <f t="shared" si="2"/>
        <v>ADEUDA</v>
      </c>
      <c r="H90" s="340" t="s">
        <v>2278</v>
      </c>
      <c r="I90" s="646" t="str">
        <f t="shared" si="3"/>
        <v>VENCIDA</v>
      </c>
      <c r="J90" s="647">
        <f t="shared" si="4"/>
        <v>46152</v>
      </c>
    </row>
    <row r="91">
      <c r="A91" s="644"/>
      <c r="B91" s="644"/>
      <c r="C91" s="644"/>
      <c r="D91" s="644">
        <f t="shared" si="6"/>
        <v>15</v>
      </c>
      <c r="E91" s="643"/>
      <c r="F91" s="658" t="b">
        <v>0</v>
      </c>
      <c r="G91" s="646" t="str">
        <f t="shared" si="2"/>
        <v>ADEUDA</v>
      </c>
      <c r="H91" s="340" t="s">
        <v>2278</v>
      </c>
      <c r="I91" s="646" t="str">
        <f t="shared" si="3"/>
        <v>VENCIDA</v>
      </c>
      <c r="J91" s="647">
        <f t="shared" si="4"/>
        <v>46152</v>
      </c>
    </row>
    <row r="92">
      <c r="A92" s="644"/>
      <c r="B92" s="644"/>
      <c r="C92" s="644"/>
      <c r="D92" s="644">
        <f t="shared" si="6"/>
        <v>15</v>
      </c>
      <c r="E92" s="643"/>
      <c r="F92" s="658" t="b">
        <v>0</v>
      </c>
      <c r="G92" s="646" t="str">
        <f t="shared" si="2"/>
        <v>ADEUDA</v>
      </c>
      <c r="H92" s="340" t="s">
        <v>2278</v>
      </c>
      <c r="I92" s="646" t="str">
        <f t="shared" si="3"/>
        <v>VENCIDA</v>
      </c>
      <c r="J92" s="647">
        <f t="shared" si="4"/>
        <v>46152</v>
      </c>
    </row>
    <row r="93">
      <c r="A93" s="644"/>
      <c r="B93" s="644"/>
      <c r="C93" s="644"/>
      <c r="D93" s="644">
        <f t="shared" si="6"/>
        <v>15</v>
      </c>
      <c r="E93" s="643"/>
      <c r="F93" s="658" t="b">
        <v>0</v>
      </c>
      <c r="G93" s="646" t="str">
        <f t="shared" si="2"/>
        <v>ADEUDA</v>
      </c>
      <c r="H93" s="340" t="s">
        <v>2278</v>
      </c>
      <c r="I93" s="646" t="str">
        <f t="shared" si="3"/>
        <v>VENCIDA</v>
      </c>
      <c r="J93" s="647">
        <f t="shared" si="4"/>
        <v>46152</v>
      </c>
    </row>
    <row r="94">
      <c r="A94" s="644"/>
      <c r="B94" s="644"/>
      <c r="C94" s="644"/>
      <c r="D94" s="644">
        <f t="shared" si="6"/>
        <v>15</v>
      </c>
      <c r="E94" s="643"/>
      <c r="F94" s="658" t="b">
        <v>0</v>
      </c>
      <c r="G94" s="646" t="str">
        <f t="shared" si="2"/>
        <v>ADEUDA</v>
      </c>
      <c r="H94" s="340" t="s">
        <v>2278</v>
      </c>
      <c r="I94" s="646" t="str">
        <f t="shared" si="3"/>
        <v>VENCIDA</v>
      </c>
      <c r="J94" s="647">
        <f t="shared" si="4"/>
        <v>46152</v>
      </c>
    </row>
    <row r="95">
      <c r="A95" s="644"/>
      <c r="B95" s="644"/>
      <c r="C95" s="644"/>
      <c r="D95" s="644">
        <f t="shared" si="6"/>
        <v>15</v>
      </c>
      <c r="E95" s="643"/>
      <c r="F95" s="658" t="b">
        <v>0</v>
      </c>
      <c r="G95" s="646" t="str">
        <f t="shared" si="2"/>
        <v>ADEUDA</v>
      </c>
      <c r="H95" s="340" t="s">
        <v>2278</v>
      </c>
      <c r="I95" s="646" t="str">
        <f t="shared" si="3"/>
        <v>VENCIDA</v>
      </c>
      <c r="J95" s="647">
        <f t="shared" si="4"/>
        <v>46152</v>
      </c>
    </row>
    <row r="96">
      <c r="A96" s="644"/>
      <c r="B96" s="644"/>
      <c r="C96" s="644"/>
      <c r="D96" s="644">
        <f t="shared" si="6"/>
        <v>15</v>
      </c>
      <c r="E96" s="643"/>
      <c r="F96" s="658" t="b">
        <v>0</v>
      </c>
      <c r="G96" s="646" t="str">
        <f t="shared" si="2"/>
        <v>ADEUDA</v>
      </c>
      <c r="H96" s="340" t="s">
        <v>2278</v>
      </c>
      <c r="I96" s="646" t="str">
        <f t="shared" si="3"/>
        <v>VENCIDA</v>
      </c>
      <c r="J96" s="647">
        <f t="shared" si="4"/>
        <v>46152</v>
      </c>
    </row>
    <row r="97">
      <c r="A97" s="644"/>
      <c r="B97" s="644"/>
      <c r="C97" s="644"/>
      <c r="D97" s="644">
        <f t="shared" si="6"/>
        <v>15</v>
      </c>
      <c r="E97" s="643"/>
      <c r="F97" s="658" t="b">
        <v>0</v>
      </c>
      <c r="G97" s="646" t="str">
        <f t="shared" si="2"/>
        <v>ADEUDA</v>
      </c>
      <c r="H97" s="340" t="s">
        <v>2278</v>
      </c>
      <c r="I97" s="646" t="str">
        <f t="shared" si="3"/>
        <v>VENCIDA</v>
      </c>
      <c r="J97" s="647">
        <f t="shared" si="4"/>
        <v>46152</v>
      </c>
    </row>
    <row r="98">
      <c r="A98" s="644"/>
      <c r="B98" s="644"/>
      <c r="C98" s="644"/>
      <c r="D98" s="644">
        <f t="shared" si="6"/>
        <v>15</v>
      </c>
      <c r="E98" s="643"/>
      <c r="F98" s="658" t="b">
        <v>0</v>
      </c>
      <c r="G98" s="646" t="str">
        <f t="shared" si="2"/>
        <v>ADEUDA</v>
      </c>
      <c r="H98" s="340" t="s">
        <v>2278</v>
      </c>
      <c r="I98" s="646" t="str">
        <f t="shared" si="3"/>
        <v>VENCIDA</v>
      </c>
      <c r="J98" s="647">
        <f t="shared" si="4"/>
        <v>46152</v>
      </c>
    </row>
    <row r="99">
      <c r="A99" s="644"/>
      <c r="B99" s="644"/>
      <c r="C99" s="644"/>
      <c r="D99" s="644">
        <f t="shared" si="6"/>
        <v>15</v>
      </c>
      <c r="E99" s="643"/>
      <c r="F99" s="658" t="b">
        <v>0</v>
      </c>
      <c r="G99" s="646" t="str">
        <f t="shared" si="2"/>
        <v>ADEUDA</v>
      </c>
      <c r="H99" s="340" t="s">
        <v>2278</v>
      </c>
      <c r="I99" s="646" t="str">
        <f t="shared" si="3"/>
        <v>VENCIDA</v>
      </c>
      <c r="J99" s="647">
        <f t="shared" si="4"/>
        <v>46152</v>
      </c>
    </row>
    <row r="100">
      <c r="A100" s="644"/>
      <c r="B100" s="644"/>
      <c r="C100" s="644"/>
      <c r="D100" s="644">
        <f t="shared" si="6"/>
        <v>15</v>
      </c>
      <c r="E100" s="643"/>
      <c r="F100" s="658" t="b">
        <v>0</v>
      </c>
      <c r="G100" s="646" t="str">
        <f t="shared" si="2"/>
        <v>ADEUDA</v>
      </c>
      <c r="H100" s="340" t="s">
        <v>2278</v>
      </c>
      <c r="I100" s="646" t="str">
        <f t="shared" si="3"/>
        <v>VENCIDA</v>
      </c>
      <c r="J100" s="647">
        <f t="shared" si="4"/>
        <v>46152</v>
      </c>
    </row>
    <row r="101">
      <c r="A101" s="644"/>
      <c r="B101" s="644"/>
      <c r="C101" s="644"/>
      <c r="D101" s="644">
        <f t="shared" si="6"/>
        <v>15</v>
      </c>
      <c r="E101" s="643"/>
      <c r="F101" s="658" t="b">
        <v>0</v>
      </c>
      <c r="G101" s="646" t="str">
        <f t="shared" si="2"/>
        <v>ADEUDA</v>
      </c>
      <c r="H101" s="340" t="s">
        <v>2278</v>
      </c>
      <c r="I101" s="646" t="str">
        <f t="shared" si="3"/>
        <v>VENCIDA</v>
      </c>
      <c r="J101" s="647">
        <f t="shared" si="4"/>
        <v>46152</v>
      </c>
    </row>
    <row r="102">
      <c r="A102" s="644"/>
      <c r="B102" s="644"/>
      <c r="C102" s="644"/>
      <c r="D102" s="644">
        <f t="shared" si="6"/>
        <v>15</v>
      </c>
      <c r="E102" s="643"/>
      <c r="F102" s="658" t="b">
        <v>0</v>
      </c>
      <c r="G102" s="646" t="str">
        <f t="shared" si="2"/>
        <v>ADEUDA</v>
      </c>
      <c r="H102" s="340" t="s">
        <v>2278</v>
      </c>
      <c r="I102" s="646" t="str">
        <f t="shared" si="3"/>
        <v>VENCIDA</v>
      </c>
      <c r="J102" s="647">
        <f t="shared" si="4"/>
        <v>46152</v>
      </c>
    </row>
    <row r="103">
      <c r="A103" s="644"/>
      <c r="B103" s="644"/>
      <c r="C103" s="644"/>
      <c r="D103" s="644">
        <f t="shared" si="6"/>
        <v>15</v>
      </c>
      <c r="E103" s="643"/>
      <c r="F103" s="658" t="b">
        <v>0</v>
      </c>
      <c r="G103" s="646" t="str">
        <f t="shared" si="2"/>
        <v>ADEUDA</v>
      </c>
      <c r="H103" s="340" t="s">
        <v>2278</v>
      </c>
      <c r="I103" s="646" t="str">
        <f t="shared" si="3"/>
        <v>VENCIDA</v>
      </c>
      <c r="J103" s="647">
        <f t="shared" si="4"/>
        <v>46152</v>
      </c>
    </row>
    <row r="104">
      <c r="A104" s="644"/>
      <c r="B104" s="644"/>
      <c r="C104" s="644"/>
      <c r="D104" s="644">
        <f t="shared" si="6"/>
        <v>15</v>
      </c>
      <c r="E104" s="643"/>
      <c r="F104" s="658" t="b">
        <v>0</v>
      </c>
      <c r="G104" s="646" t="str">
        <f t="shared" si="2"/>
        <v>ADEUDA</v>
      </c>
      <c r="H104" s="340" t="s">
        <v>2278</v>
      </c>
      <c r="I104" s="646" t="str">
        <f t="shared" si="3"/>
        <v>VENCIDA</v>
      </c>
      <c r="J104" s="647">
        <f t="shared" si="4"/>
        <v>46152</v>
      </c>
    </row>
    <row r="105">
      <c r="A105" s="644"/>
      <c r="B105" s="644"/>
      <c r="C105" s="644"/>
      <c r="D105" s="644">
        <f t="shared" si="6"/>
        <v>15</v>
      </c>
      <c r="E105" s="643"/>
      <c r="F105" s="658" t="b">
        <v>0</v>
      </c>
      <c r="G105" s="646" t="str">
        <f t="shared" si="2"/>
        <v>ADEUDA</v>
      </c>
      <c r="H105" s="340" t="s">
        <v>2278</v>
      </c>
      <c r="I105" s="646" t="str">
        <f t="shared" si="3"/>
        <v>VENCIDA</v>
      </c>
      <c r="J105" s="647">
        <f t="shared" si="4"/>
        <v>46152</v>
      </c>
    </row>
    <row r="106">
      <c r="A106" s="644"/>
      <c r="B106" s="644"/>
      <c r="C106" s="644"/>
      <c r="D106" s="644">
        <f t="shared" si="6"/>
        <v>15</v>
      </c>
      <c r="E106" s="643"/>
      <c r="F106" s="658" t="b">
        <v>0</v>
      </c>
      <c r="G106" s="646" t="str">
        <f t="shared" si="2"/>
        <v>ADEUDA</v>
      </c>
      <c r="H106" s="340" t="s">
        <v>2278</v>
      </c>
      <c r="I106" s="646" t="str">
        <f t="shared" si="3"/>
        <v>VENCIDA</v>
      </c>
      <c r="J106" s="647">
        <f t="shared" si="4"/>
        <v>46152</v>
      </c>
    </row>
    <row r="107">
      <c r="A107" s="644"/>
      <c r="B107" s="644"/>
      <c r="C107" s="644"/>
      <c r="D107" s="644">
        <f t="shared" si="6"/>
        <v>15</v>
      </c>
      <c r="E107" s="643"/>
      <c r="F107" s="658" t="b">
        <v>0</v>
      </c>
      <c r="G107" s="646" t="str">
        <f t="shared" si="2"/>
        <v>ADEUDA</v>
      </c>
      <c r="H107" s="340" t="s">
        <v>2278</v>
      </c>
      <c r="I107" s="646" t="str">
        <f t="shared" si="3"/>
        <v>VENCIDA</v>
      </c>
      <c r="J107" s="647">
        <f t="shared" si="4"/>
        <v>46152</v>
      </c>
    </row>
    <row r="108">
      <c r="A108" s="644"/>
      <c r="B108" s="644"/>
      <c r="C108" s="644"/>
      <c r="D108" s="644">
        <f t="shared" si="6"/>
        <v>15</v>
      </c>
      <c r="E108" s="643"/>
      <c r="F108" s="658" t="b">
        <v>0</v>
      </c>
      <c r="G108" s="646" t="str">
        <f t="shared" si="2"/>
        <v>ADEUDA</v>
      </c>
      <c r="H108" s="340" t="s">
        <v>2278</v>
      </c>
      <c r="I108" s="646" t="str">
        <f t="shared" si="3"/>
        <v>VENCIDA</v>
      </c>
      <c r="J108" s="647">
        <f t="shared" si="4"/>
        <v>46152</v>
      </c>
    </row>
    <row r="109">
      <c r="A109" s="644"/>
      <c r="B109" s="644"/>
      <c r="C109" s="644"/>
      <c r="D109" s="644">
        <f t="shared" si="6"/>
        <v>15</v>
      </c>
      <c r="E109" s="643"/>
      <c r="F109" s="658" t="b">
        <v>0</v>
      </c>
      <c r="G109" s="646" t="str">
        <f t="shared" si="2"/>
        <v>ADEUDA</v>
      </c>
      <c r="H109" s="340" t="s">
        <v>2278</v>
      </c>
      <c r="I109" s="646" t="str">
        <f t="shared" si="3"/>
        <v>VENCIDA</v>
      </c>
      <c r="J109" s="647">
        <f t="shared" si="4"/>
        <v>46152</v>
      </c>
    </row>
    <row r="110">
      <c r="A110" s="644"/>
      <c r="B110" s="644"/>
      <c r="C110" s="644"/>
      <c r="D110" s="644">
        <f t="shared" si="6"/>
        <v>15</v>
      </c>
      <c r="E110" s="643"/>
      <c r="F110" s="658" t="b">
        <v>0</v>
      </c>
      <c r="G110" s="646" t="str">
        <f t="shared" si="2"/>
        <v>ADEUDA</v>
      </c>
      <c r="H110" s="340" t="s">
        <v>2278</v>
      </c>
      <c r="I110" s="646" t="str">
        <f t="shared" si="3"/>
        <v>VENCIDA</v>
      </c>
      <c r="J110" s="647">
        <f t="shared" si="4"/>
        <v>46152</v>
      </c>
    </row>
    <row r="111">
      <c r="A111" s="644"/>
      <c r="B111" s="644"/>
      <c r="C111" s="644"/>
      <c r="D111" s="644">
        <f t="shared" si="6"/>
        <v>15</v>
      </c>
      <c r="E111" s="643"/>
      <c r="F111" s="658" t="b">
        <v>0</v>
      </c>
      <c r="G111" s="646" t="str">
        <f t="shared" si="2"/>
        <v>ADEUDA</v>
      </c>
      <c r="H111" s="340" t="s">
        <v>2278</v>
      </c>
      <c r="I111" s="646" t="str">
        <f t="shared" si="3"/>
        <v>VENCIDA</v>
      </c>
      <c r="J111" s="647">
        <f t="shared" si="4"/>
        <v>46152</v>
      </c>
    </row>
    <row r="112">
      <c r="A112" s="644"/>
      <c r="B112" s="644"/>
      <c r="C112" s="644"/>
      <c r="D112" s="644">
        <f t="shared" si="6"/>
        <v>15</v>
      </c>
      <c r="E112" s="643"/>
      <c r="F112" s="658" t="b">
        <v>0</v>
      </c>
      <c r="G112" s="646" t="str">
        <f t="shared" si="2"/>
        <v>ADEUDA</v>
      </c>
      <c r="H112" s="340" t="s">
        <v>2278</v>
      </c>
      <c r="I112" s="646" t="str">
        <f t="shared" si="3"/>
        <v>VENCIDA</v>
      </c>
      <c r="J112" s="647">
        <f t="shared" si="4"/>
        <v>46152</v>
      </c>
    </row>
    <row r="113">
      <c r="A113" s="644"/>
      <c r="B113" s="644"/>
      <c r="C113" s="644"/>
      <c r="D113" s="644">
        <f t="shared" si="6"/>
        <v>15</v>
      </c>
      <c r="E113" s="643"/>
      <c r="F113" s="658" t="b">
        <v>0</v>
      </c>
      <c r="G113" s="646" t="str">
        <f t="shared" si="2"/>
        <v>ADEUDA</v>
      </c>
      <c r="H113" s="340" t="s">
        <v>2278</v>
      </c>
      <c r="I113" s="646" t="str">
        <f t="shared" si="3"/>
        <v>VENCIDA</v>
      </c>
      <c r="J113" s="647">
        <f t="shared" si="4"/>
        <v>46152</v>
      </c>
    </row>
    <row r="114">
      <c r="A114" s="644"/>
      <c r="B114" s="644"/>
      <c r="C114" s="644"/>
      <c r="D114" s="644">
        <f t="shared" si="6"/>
        <v>15</v>
      </c>
      <c r="E114" s="643"/>
      <c r="F114" s="658" t="b">
        <v>0</v>
      </c>
      <c r="G114" s="646" t="str">
        <f t="shared" si="2"/>
        <v>ADEUDA</v>
      </c>
      <c r="H114" s="340" t="s">
        <v>2278</v>
      </c>
      <c r="I114" s="646" t="str">
        <f t="shared" si="3"/>
        <v>VENCIDA</v>
      </c>
      <c r="J114" s="647">
        <f t="shared" si="4"/>
        <v>46152</v>
      </c>
    </row>
    <row r="115">
      <c r="A115" s="644"/>
      <c r="B115" s="644"/>
      <c r="C115" s="644"/>
      <c r="D115" s="644">
        <f t="shared" si="6"/>
        <v>15</v>
      </c>
      <c r="E115" s="643"/>
      <c r="F115" s="658" t="b">
        <v>0</v>
      </c>
      <c r="G115" s="646" t="str">
        <f t="shared" si="2"/>
        <v>ADEUDA</v>
      </c>
      <c r="H115" s="340" t="s">
        <v>2278</v>
      </c>
      <c r="I115" s="646" t="str">
        <f t="shared" si="3"/>
        <v>VENCIDA</v>
      </c>
      <c r="J115" s="647">
        <f t="shared" si="4"/>
        <v>46152</v>
      </c>
    </row>
    <row r="116">
      <c r="A116" s="644"/>
      <c r="B116" s="644"/>
      <c r="C116" s="644"/>
      <c r="D116" s="644">
        <f t="shared" si="6"/>
        <v>15</v>
      </c>
      <c r="E116" s="643"/>
      <c r="F116" s="658" t="b">
        <v>0</v>
      </c>
      <c r="G116" s="646" t="str">
        <f t="shared" si="2"/>
        <v>ADEUDA</v>
      </c>
      <c r="H116" s="340" t="s">
        <v>2278</v>
      </c>
      <c r="I116" s="646" t="str">
        <f t="shared" si="3"/>
        <v>VENCIDA</v>
      </c>
      <c r="J116" s="647">
        <f t="shared" si="4"/>
        <v>46152</v>
      </c>
    </row>
    <row r="117">
      <c r="A117" s="644"/>
      <c r="B117" s="644"/>
      <c r="C117" s="644"/>
      <c r="D117" s="644">
        <f t="shared" si="6"/>
        <v>15</v>
      </c>
      <c r="E117" s="643"/>
      <c r="F117" s="658" t="b">
        <v>0</v>
      </c>
      <c r="G117" s="646" t="str">
        <f t="shared" si="2"/>
        <v>ADEUDA</v>
      </c>
      <c r="H117" s="340" t="s">
        <v>2278</v>
      </c>
      <c r="I117" s="646" t="str">
        <f t="shared" si="3"/>
        <v>VENCIDA</v>
      </c>
      <c r="J117" s="647">
        <f t="shared" si="4"/>
        <v>46152</v>
      </c>
    </row>
    <row r="118">
      <c r="A118" s="644"/>
      <c r="B118" s="644"/>
      <c r="C118" s="644"/>
      <c r="D118" s="644">
        <f t="shared" si="6"/>
        <v>15</v>
      </c>
      <c r="E118" s="643"/>
      <c r="F118" s="658" t="b">
        <v>0</v>
      </c>
      <c r="G118" s="646" t="str">
        <f t="shared" si="2"/>
        <v>ADEUDA</v>
      </c>
      <c r="H118" s="340" t="s">
        <v>2278</v>
      </c>
      <c r="I118" s="646" t="str">
        <f t="shared" si="3"/>
        <v>VENCIDA</v>
      </c>
      <c r="J118" s="647">
        <f t="shared" si="4"/>
        <v>46152</v>
      </c>
    </row>
    <row r="119">
      <c r="A119" s="644"/>
      <c r="B119" s="644"/>
      <c r="C119" s="644"/>
      <c r="D119" s="644">
        <f t="shared" si="6"/>
        <v>15</v>
      </c>
      <c r="E119" s="643"/>
      <c r="F119" s="658" t="b">
        <v>0</v>
      </c>
      <c r="G119" s="646" t="str">
        <f t="shared" si="2"/>
        <v>ADEUDA</v>
      </c>
      <c r="H119" s="340" t="s">
        <v>2278</v>
      </c>
      <c r="I119" s="646" t="str">
        <f t="shared" si="3"/>
        <v>VENCIDA</v>
      </c>
      <c r="J119" s="647">
        <f t="shared" si="4"/>
        <v>46152</v>
      </c>
    </row>
    <row r="120">
      <c r="A120" s="644"/>
      <c r="B120" s="644"/>
      <c r="C120" s="644"/>
      <c r="D120" s="644">
        <f t="shared" si="6"/>
        <v>15</v>
      </c>
      <c r="E120" s="643"/>
      <c r="F120" s="658" t="b">
        <v>0</v>
      </c>
      <c r="G120" s="646" t="str">
        <f t="shared" si="2"/>
        <v>ADEUDA</v>
      </c>
      <c r="H120" s="340" t="s">
        <v>2278</v>
      </c>
      <c r="I120" s="646" t="str">
        <f t="shared" si="3"/>
        <v>VENCIDA</v>
      </c>
      <c r="J120" s="647">
        <f t="shared" si="4"/>
        <v>46152</v>
      </c>
    </row>
    <row r="121">
      <c r="A121" s="644"/>
      <c r="B121" s="644"/>
      <c r="C121" s="644"/>
      <c r="D121" s="644">
        <f t="shared" si="6"/>
        <v>15</v>
      </c>
      <c r="E121" s="643"/>
      <c r="F121" s="658" t="b">
        <v>0</v>
      </c>
      <c r="G121" s="646" t="str">
        <f t="shared" si="2"/>
        <v>ADEUDA</v>
      </c>
      <c r="H121" s="340" t="s">
        <v>2278</v>
      </c>
      <c r="I121" s="646" t="str">
        <f t="shared" si="3"/>
        <v>VENCIDA</v>
      </c>
      <c r="J121" s="647">
        <f t="shared" si="4"/>
        <v>46152</v>
      </c>
    </row>
    <row r="122">
      <c r="A122" s="644"/>
      <c r="B122" s="644"/>
      <c r="C122" s="644"/>
      <c r="D122" s="644">
        <f t="shared" si="6"/>
        <v>15</v>
      </c>
      <c r="E122" s="643"/>
      <c r="F122" s="658" t="b">
        <v>0</v>
      </c>
      <c r="G122" s="646" t="str">
        <f t="shared" si="2"/>
        <v>ADEUDA</v>
      </c>
      <c r="H122" s="340" t="s">
        <v>2278</v>
      </c>
      <c r="I122" s="646" t="str">
        <f t="shared" si="3"/>
        <v>VENCIDA</v>
      </c>
      <c r="J122" s="647">
        <f t="shared" si="4"/>
        <v>46152</v>
      </c>
    </row>
    <row r="123">
      <c r="A123" s="644"/>
      <c r="B123" s="644"/>
      <c r="C123" s="644"/>
      <c r="D123" s="644">
        <f t="shared" si="6"/>
        <v>15</v>
      </c>
      <c r="E123" s="643"/>
      <c r="F123" s="658" t="b">
        <v>0</v>
      </c>
      <c r="G123" s="646" t="str">
        <f t="shared" si="2"/>
        <v>ADEUDA</v>
      </c>
      <c r="H123" s="340" t="s">
        <v>2278</v>
      </c>
      <c r="I123" s="646" t="str">
        <f t="shared" si="3"/>
        <v>VENCIDA</v>
      </c>
      <c r="J123" s="647">
        <f t="shared" si="4"/>
        <v>46152</v>
      </c>
    </row>
    <row r="124">
      <c r="A124" s="644"/>
      <c r="B124" s="644"/>
      <c r="C124" s="644"/>
      <c r="D124" s="644">
        <f t="shared" si="6"/>
        <v>15</v>
      </c>
      <c r="E124" s="643"/>
      <c r="F124" s="658" t="b">
        <v>0</v>
      </c>
      <c r="G124" s="646" t="str">
        <f t="shared" si="2"/>
        <v>ADEUDA</v>
      </c>
      <c r="H124" s="340" t="s">
        <v>2278</v>
      </c>
      <c r="I124" s="646" t="str">
        <f t="shared" si="3"/>
        <v>VENCIDA</v>
      </c>
      <c r="J124" s="647">
        <f t="shared" si="4"/>
        <v>46152</v>
      </c>
    </row>
    <row r="125">
      <c r="A125" s="644"/>
      <c r="B125" s="644"/>
      <c r="C125" s="644"/>
      <c r="D125" s="644">
        <f t="shared" si="6"/>
        <v>15</v>
      </c>
      <c r="E125" s="643"/>
      <c r="F125" s="658" t="b">
        <v>0</v>
      </c>
      <c r="G125" s="646" t="str">
        <f t="shared" si="2"/>
        <v>ADEUDA</v>
      </c>
      <c r="H125" s="340" t="s">
        <v>2278</v>
      </c>
      <c r="I125" s="646" t="str">
        <f t="shared" si="3"/>
        <v>VENCIDA</v>
      </c>
      <c r="J125" s="647">
        <f t="shared" si="4"/>
        <v>46152</v>
      </c>
    </row>
    <row r="126">
      <c r="A126" s="644"/>
      <c r="B126" s="644"/>
      <c r="C126" s="644"/>
      <c r="D126" s="644">
        <f t="shared" si="6"/>
        <v>15</v>
      </c>
      <c r="E126" s="643"/>
      <c r="F126" s="658" t="b">
        <v>0</v>
      </c>
      <c r="G126" s="646" t="str">
        <f t="shared" si="2"/>
        <v>ADEUDA</v>
      </c>
      <c r="H126" s="340" t="s">
        <v>2278</v>
      </c>
      <c r="I126" s="646" t="str">
        <f t="shared" si="3"/>
        <v>VENCIDA</v>
      </c>
      <c r="J126" s="647">
        <f t="shared" si="4"/>
        <v>46152</v>
      </c>
    </row>
    <row r="127">
      <c r="A127" s="644"/>
      <c r="B127" s="644"/>
      <c r="C127" s="644"/>
      <c r="D127" s="644">
        <f t="shared" si="6"/>
        <v>15</v>
      </c>
      <c r="E127" s="643"/>
      <c r="F127" s="658" t="b">
        <v>0</v>
      </c>
      <c r="G127" s="646" t="str">
        <f t="shared" si="2"/>
        <v>ADEUDA</v>
      </c>
      <c r="H127" s="340" t="s">
        <v>2278</v>
      </c>
      <c r="I127" s="646" t="str">
        <f t="shared" si="3"/>
        <v>VENCIDA</v>
      </c>
      <c r="J127" s="647">
        <f t="shared" si="4"/>
        <v>46152</v>
      </c>
    </row>
    <row r="128">
      <c r="A128" s="644"/>
      <c r="B128" s="644"/>
      <c r="C128" s="644"/>
      <c r="D128" s="644">
        <f t="shared" si="6"/>
        <v>15</v>
      </c>
      <c r="E128" s="643"/>
      <c r="F128" s="658" t="b">
        <v>0</v>
      </c>
      <c r="G128" s="646" t="str">
        <f t="shared" si="2"/>
        <v>ADEUDA</v>
      </c>
      <c r="H128" s="340" t="s">
        <v>2278</v>
      </c>
      <c r="I128" s="646" t="str">
        <f t="shared" si="3"/>
        <v>VENCIDA</v>
      </c>
      <c r="J128" s="647">
        <f t="shared" si="4"/>
        <v>46152</v>
      </c>
    </row>
    <row r="129">
      <c r="A129" s="644"/>
      <c r="B129" s="644"/>
      <c r="C129" s="644"/>
      <c r="D129" s="644">
        <f t="shared" si="6"/>
        <v>15</v>
      </c>
      <c r="E129" s="643"/>
      <c r="F129" s="658" t="b">
        <v>0</v>
      </c>
      <c r="G129" s="646" t="str">
        <f t="shared" si="2"/>
        <v>ADEUDA</v>
      </c>
      <c r="H129" s="340" t="s">
        <v>2278</v>
      </c>
      <c r="I129" s="646" t="str">
        <f t="shared" si="3"/>
        <v>VENCIDA</v>
      </c>
      <c r="J129" s="647">
        <f t="shared" si="4"/>
        <v>46152</v>
      </c>
    </row>
    <row r="130">
      <c r="A130" s="644"/>
      <c r="B130" s="644"/>
      <c r="C130" s="644"/>
      <c r="D130" s="644">
        <f t="shared" si="6"/>
        <v>15</v>
      </c>
      <c r="E130" s="643"/>
      <c r="F130" s="658" t="b">
        <v>0</v>
      </c>
      <c r="G130" s="646" t="str">
        <f t="shared" si="2"/>
        <v>ADEUDA</v>
      </c>
      <c r="H130" s="340" t="s">
        <v>2278</v>
      </c>
      <c r="I130" s="646" t="str">
        <f t="shared" si="3"/>
        <v>VENCIDA</v>
      </c>
      <c r="J130" s="647">
        <f t="shared" si="4"/>
        <v>46152</v>
      </c>
    </row>
    <row r="131">
      <c r="A131" s="644"/>
      <c r="B131" s="644"/>
      <c r="C131" s="644"/>
      <c r="D131" s="644">
        <f t="shared" si="6"/>
        <v>15</v>
      </c>
      <c r="E131" s="643"/>
      <c r="F131" s="658" t="b">
        <v>0</v>
      </c>
      <c r="G131" s="646" t="str">
        <f t="shared" si="2"/>
        <v>ADEUDA</v>
      </c>
      <c r="H131" s="340" t="s">
        <v>2278</v>
      </c>
      <c r="I131" s="646" t="str">
        <f t="shared" si="3"/>
        <v>VENCIDA</v>
      </c>
      <c r="J131" s="647">
        <f t="shared" si="4"/>
        <v>46152</v>
      </c>
    </row>
    <row r="132">
      <c r="A132" s="644"/>
      <c r="B132" s="644"/>
      <c r="C132" s="644"/>
      <c r="D132" s="644">
        <f t="shared" si="6"/>
        <v>15</v>
      </c>
      <c r="E132" s="643"/>
      <c r="F132" s="645" t="b">
        <v>1</v>
      </c>
      <c r="G132" s="646" t="str">
        <f t="shared" si="2"/>
        <v>PAGADO</v>
      </c>
      <c r="H132" s="340" t="s">
        <v>2278</v>
      </c>
      <c r="I132" s="646" t="str">
        <f t="shared" si="3"/>
        <v>VENCIDA</v>
      </c>
      <c r="J132" s="647">
        <f t="shared" si="4"/>
        <v>46152</v>
      </c>
    </row>
    <row r="134">
      <c r="D134" s="771"/>
    </row>
    <row r="135">
      <c r="D135" s="772" t="s">
        <v>55</v>
      </c>
      <c r="E135" s="3">
        <f>SUMIF(G4:G132,D135,E4:E132)</f>
        <v>168915.48</v>
      </c>
    </row>
    <row r="136">
      <c r="D136" s="773" t="s">
        <v>527</v>
      </c>
      <c r="E136" s="3">
        <f>SUMIF(G4:G132,D136,E4:E132)</f>
        <v>5432590.57</v>
      </c>
    </row>
    <row r="137">
      <c r="D137" s="697" t="s">
        <v>28</v>
      </c>
      <c r="E137" s="3">
        <f>E135+E136</f>
        <v>5601506.05</v>
      </c>
    </row>
  </sheetData>
  <mergeCells count="3">
    <mergeCell ref="A1:I1"/>
    <mergeCell ref="A2:J2"/>
    <mergeCell ref="F3:G3"/>
  </mergeCells>
  <conditionalFormatting sqref="G4:G132">
    <cfRule type="expression" dxfId="1" priority="1">
      <formula>G4="PAGADO"</formula>
    </cfRule>
  </conditionalFormatting>
  <conditionalFormatting sqref="G4:G132">
    <cfRule type="expression" dxfId="2" priority="2">
      <formula>G4="ADEUDA"</formula>
    </cfRule>
  </conditionalFormatting>
  <conditionalFormatting sqref="I4:I132">
    <cfRule type="cellIs" dxfId="3" priority="3" operator="equal">
      <formula>"VENCIDA"</formula>
    </cfRule>
  </conditionalFormatting>
  <conditionalFormatting sqref="I4:I132">
    <cfRule type="cellIs" dxfId="4" priority="4" operator="equal">
      <formula>"VIGENTE"</formula>
    </cfRule>
  </conditionalFormatting>
  <conditionalFormatting sqref="I4:I132">
    <cfRule type="cellIs" dxfId="2" priority="5" operator="equal">
      <formula>"VENCE HOY"</formula>
    </cfRule>
  </conditionalFormatting>
  <dataValidations>
    <dataValidation type="list" allowBlank="1" showErrorMessage="1" sqref="H4:H132">
      <formula1>"transferencia,mercado pago,efectivo"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2459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2460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>
        <v>14316.0</v>
      </c>
      <c r="B4" s="644">
        <v>45701.0</v>
      </c>
      <c r="C4" s="644">
        <f t="shared" ref="C4:C26" si="1">B4+15</f>
        <v>45716</v>
      </c>
      <c r="D4" s="643">
        <v>30000.0</v>
      </c>
      <c r="E4" s="645" t="b">
        <v>1</v>
      </c>
      <c r="F4" s="646" t="str">
        <f t="shared" ref="F4:F133" si="2">IF(E4,"PAGADO","ADEUDA")</f>
        <v>PAGADO</v>
      </c>
      <c r="G4" s="340" t="s">
        <v>2278</v>
      </c>
      <c r="H4" s="646" t="str">
        <f t="shared" ref="H4:H133" si="3">IF(C4&lt;TODAY(),"VENCIDA",IF(C4=TODAY(),"VENCE HOY",IF(C4&gt;TODAY(),"VIGENTE")))</f>
        <v>VENCIDA</v>
      </c>
      <c r="I4" s="647">
        <f t="shared" ref="I4:I30" si="4">TODAY()-C4</f>
        <v>451</v>
      </c>
      <c r="J4" s="768" t="s">
        <v>31</v>
      </c>
      <c r="K4" s="769">
        <f>D4+D5+D6</f>
        <v>124700</v>
      </c>
    </row>
    <row r="5">
      <c r="A5" s="643">
        <v>14354.0</v>
      </c>
      <c r="B5" s="644">
        <v>45708.0</v>
      </c>
      <c r="C5" s="644">
        <f t="shared" si="1"/>
        <v>45723</v>
      </c>
      <c r="D5" s="643">
        <v>30000.0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444</v>
      </c>
      <c r="J5" s="768" t="s">
        <v>35</v>
      </c>
      <c r="K5" s="770"/>
    </row>
    <row r="6">
      <c r="A6" s="643">
        <v>14401.0</v>
      </c>
      <c r="B6" s="644">
        <v>45715.0</v>
      </c>
      <c r="C6" s="644">
        <f t="shared" si="1"/>
        <v>45730</v>
      </c>
      <c r="D6" s="643">
        <v>64700.0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437</v>
      </c>
      <c r="J6" s="768" t="s">
        <v>37</v>
      </c>
      <c r="K6" s="770"/>
    </row>
    <row r="7">
      <c r="A7" s="643">
        <v>14481.0</v>
      </c>
      <c r="B7" s="644">
        <v>45727.0</v>
      </c>
      <c r="C7" s="644">
        <f t="shared" si="1"/>
        <v>45742</v>
      </c>
      <c r="D7" s="643">
        <v>31200.0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425</v>
      </c>
      <c r="J7" s="768" t="s">
        <v>39</v>
      </c>
      <c r="K7" s="770"/>
    </row>
    <row r="8">
      <c r="A8" s="643">
        <v>14545.0</v>
      </c>
      <c r="B8" s="644">
        <v>45736.0</v>
      </c>
      <c r="C8" s="644">
        <f t="shared" si="1"/>
        <v>45751</v>
      </c>
      <c r="D8" s="643">
        <v>31200.0</v>
      </c>
      <c r="E8" s="645" t="b">
        <v>1</v>
      </c>
      <c r="F8" s="646" t="str">
        <f t="shared" si="2"/>
        <v>PAGADO</v>
      </c>
      <c r="G8" s="340" t="s">
        <v>2278</v>
      </c>
      <c r="H8" s="646" t="str">
        <f t="shared" si="3"/>
        <v>VENCIDA</v>
      </c>
      <c r="I8" s="647">
        <f t="shared" si="4"/>
        <v>416</v>
      </c>
      <c r="J8" s="768" t="s">
        <v>41</v>
      </c>
      <c r="K8" s="770"/>
    </row>
    <row r="9">
      <c r="A9" s="643">
        <v>14569.0</v>
      </c>
      <c r="B9" s="644">
        <v>45741.0</v>
      </c>
      <c r="C9" s="644">
        <f t="shared" si="1"/>
        <v>45756</v>
      </c>
      <c r="D9" s="643">
        <v>45000.0</v>
      </c>
      <c r="E9" s="645" t="b">
        <v>1</v>
      </c>
      <c r="F9" s="646" t="str">
        <f t="shared" si="2"/>
        <v>PAGADO</v>
      </c>
      <c r="G9" s="340" t="s">
        <v>2278</v>
      </c>
      <c r="H9" s="646" t="str">
        <f t="shared" si="3"/>
        <v>VENCIDA</v>
      </c>
      <c r="I9" s="647">
        <f t="shared" si="4"/>
        <v>411</v>
      </c>
      <c r="J9" s="768" t="s">
        <v>42</v>
      </c>
      <c r="K9" s="770">
        <f>D23+D24+D25+D26+D27</f>
        <v>317400</v>
      </c>
    </row>
    <row r="10">
      <c r="A10" s="643">
        <v>14611.0</v>
      </c>
      <c r="B10" s="644">
        <v>45748.0</v>
      </c>
      <c r="C10" s="644">
        <f t="shared" si="1"/>
        <v>45763</v>
      </c>
      <c r="D10" s="643">
        <v>38200.0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404</v>
      </c>
      <c r="J10" s="768" t="s">
        <v>43</v>
      </c>
      <c r="K10" s="770">
        <f>D28+D29+D30</f>
        <v>163200</v>
      </c>
    </row>
    <row r="11">
      <c r="A11" s="643">
        <v>14654.0</v>
      </c>
      <c r="B11" s="644">
        <v>45755.0</v>
      </c>
      <c r="C11" s="644">
        <f t="shared" si="1"/>
        <v>45770</v>
      </c>
      <c r="D11" s="643">
        <v>37000.0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397</v>
      </c>
      <c r="J11" s="768" t="s">
        <v>45</v>
      </c>
      <c r="K11" s="770"/>
    </row>
    <row r="12">
      <c r="A12" s="643">
        <v>14697.0</v>
      </c>
      <c r="B12" s="644">
        <v>45762.0</v>
      </c>
      <c r="C12" s="644">
        <f t="shared" si="1"/>
        <v>45777</v>
      </c>
      <c r="D12" s="643">
        <v>61200.0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4"/>
        <v>390</v>
      </c>
      <c r="J12" s="768" t="s">
        <v>49</v>
      </c>
      <c r="K12" s="770"/>
    </row>
    <row r="13">
      <c r="A13" s="643">
        <v>14760.0</v>
      </c>
      <c r="B13" s="644">
        <v>45770.0</v>
      </c>
      <c r="C13" s="644">
        <f t="shared" si="1"/>
        <v>45785</v>
      </c>
      <c r="D13" s="643">
        <v>58600.0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382</v>
      </c>
      <c r="J13" s="768" t="s">
        <v>50</v>
      </c>
      <c r="K13" s="770"/>
    </row>
    <row r="14">
      <c r="A14" s="643">
        <v>14792.0</v>
      </c>
      <c r="B14" s="644">
        <v>45776.0</v>
      </c>
      <c r="C14" s="644">
        <f t="shared" si="1"/>
        <v>45791</v>
      </c>
      <c r="D14" s="643">
        <v>58600.0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>
        <f t="shared" si="4"/>
        <v>376</v>
      </c>
      <c r="J14" s="768" t="s">
        <v>51</v>
      </c>
      <c r="K14" s="770">
        <f>SUM(D45:D47)</f>
        <v>143100</v>
      </c>
    </row>
    <row r="15">
      <c r="A15" s="643">
        <v>14833.0</v>
      </c>
      <c r="B15" s="644">
        <v>45783.0</v>
      </c>
      <c r="C15" s="644">
        <f t="shared" si="1"/>
        <v>45798</v>
      </c>
      <c r="D15" s="643">
        <v>78400.0</v>
      </c>
      <c r="E15" s="645" t="b">
        <v>1</v>
      </c>
      <c r="F15" s="646" t="str">
        <f t="shared" si="2"/>
        <v>PAGADO</v>
      </c>
      <c r="G15" s="340" t="s">
        <v>2276</v>
      </c>
      <c r="H15" s="646" t="str">
        <f t="shared" si="3"/>
        <v>VENCIDA</v>
      </c>
      <c r="I15" s="647">
        <f t="shared" si="4"/>
        <v>369</v>
      </c>
    </row>
    <row r="16">
      <c r="A16" s="643">
        <v>14889.0</v>
      </c>
      <c r="B16" s="644">
        <v>45790.0</v>
      </c>
      <c r="C16" s="644">
        <f t="shared" si="1"/>
        <v>45805</v>
      </c>
      <c r="D16" s="643">
        <v>41400.0</v>
      </c>
      <c r="E16" s="654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4"/>
        <v>362</v>
      </c>
    </row>
    <row r="17">
      <c r="A17" s="643">
        <v>14934.0</v>
      </c>
      <c r="B17" s="644">
        <v>45797.0</v>
      </c>
      <c r="C17" s="644">
        <f t="shared" si="1"/>
        <v>45812</v>
      </c>
      <c r="D17" s="643">
        <v>85400.0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355</v>
      </c>
    </row>
    <row r="18">
      <c r="A18" s="643">
        <v>14984.0</v>
      </c>
      <c r="B18" s="644">
        <v>45804.0</v>
      </c>
      <c r="C18" s="644">
        <f t="shared" si="1"/>
        <v>45819</v>
      </c>
      <c r="D18" s="643">
        <v>107400.0</v>
      </c>
      <c r="E18" s="654" t="b">
        <v>1</v>
      </c>
      <c r="F18" s="646" t="str">
        <f t="shared" si="2"/>
        <v>PAGADO</v>
      </c>
      <c r="G18" s="340" t="s">
        <v>2276</v>
      </c>
      <c r="H18" s="646" t="str">
        <f t="shared" si="3"/>
        <v>VENCIDA</v>
      </c>
      <c r="I18" s="647">
        <f t="shared" si="4"/>
        <v>348</v>
      </c>
    </row>
    <row r="19">
      <c r="A19" s="643">
        <v>15029.0</v>
      </c>
      <c r="B19" s="644">
        <v>45811.0</v>
      </c>
      <c r="C19" s="644">
        <f t="shared" si="1"/>
        <v>45826</v>
      </c>
      <c r="D19" s="643">
        <v>34400.0</v>
      </c>
      <c r="E19" s="645" t="b">
        <v>1</v>
      </c>
      <c r="F19" s="646" t="str">
        <f t="shared" si="2"/>
        <v>PAGADO</v>
      </c>
      <c r="G19" s="340" t="s">
        <v>2276</v>
      </c>
      <c r="H19" s="646" t="str">
        <f t="shared" si="3"/>
        <v>VENCIDA</v>
      </c>
      <c r="I19" s="647">
        <f t="shared" si="4"/>
        <v>341</v>
      </c>
    </row>
    <row r="20">
      <c r="A20" s="643">
        <v>15079.0</v>
      </c>
      <c r="B20" s="644">
        <v>45818.0</v>
      </c>
      <c r="C20" s="644">
        <f t="shared" si="1"/>
        <v>45833</v>
      </c>
      <c r="D20" s="643">
        <v>69600.0</v>
      </c>
      <c r="E20" s="645" t="b">
        <v>1</v>
      </c>
      <c r="F20" s="646" t="str">
        <f t="shared" si="2"/>
        <v>PAGADO</v>
      </c>
      <c r="G20" s="340" t="s">
        <v>2278</v>
      </c>
      <c r="H20" s="646" t="str">
        <f t="shared" si="3"/>
        <v>VENCIDA</v>
      </c>
      <c r="I20" s="647">
        <f t="shared" si="4"/>
        <v>334</v>
      </c>
    </row>
    <row r="21">
      <c r="A21" s="643">
        <v>15120.0</v>
      </c>
      <c r="B21" s="644">
        <v>45825.0</v>
      </c>
      <c r="C21" s="644">
        <f t="shared" si="1"/>
        <v>45840</v>
      </c>
      <c r="D21" s="643">
        <v>101200.0</v>
      </c>
      <c r="E21" s="645" t="b">
        <v>1</v>
      </c>
      <c r="F21" s="646" t="str">
        <f t="shared" si="2"/>
        <v>PAGADO</v>
      </c>
      <c r="G21" s="340" t="s">
        <v>2276</v>
      </c>
      <c r="H21" s="646" t="str">
        <f t="shared" si="3"/>
        <v>VENCIDA</v>
      </c>
      <c r="I21" s="647">
        <f t="shared" si="4"/>
        <v>327</v>
      </c>
    </row>
    <row r="22">
      <c r="A22" s="643">
        <v>15168.0</v>
      </c>
      <c r="B22" s="644">
        <v>45832.0</v>
      </c>
      <c r="C22" s="644">
        <f t="shared" si="1"/>
        <v>45847</v>
      </c>
      <c r="D22" s="643">
        <v>69600.0</v>
      </c>
      <c r="E22" s="645" t="b">
        <v>1</v>
      </c>
      <c r="F22" s="646" t="str">
        <f t="shared" si="2"/>
        <v>PAGADO</v>
      </c>
      <c r="G22" s="340" t="s">
        <v>2278</v>
      </c>
      <c r="H22" s="646" t="str">
        <f t="shared" si="3"/>
        <v>VENCIDA</v>
      </c>
      <c r="I22" s="647">
        <f t="shared" si="4"/>
        <v>320</v>
      </c>
    </row>
    <row r="23">
      <c r="A23" s="643">
        <v>15216.0</v>
      </c>
      <c r="B23" s="644">
        <v>45839.0</v>
      </c>
      <c r="C23" s="644">
        <f t="shared" si="1"/>
        <v>45854</v>
      </c>
      <c r="D23" s="643">
        <v>57000.0</v>
      </c>
      <c r="E23" s="645" t="b">
        <v>1</v>
      </c>
      <c r="F23" s="646" t="str">
        <f t="shared" si="2"/>
        <v>PAGADO</v>
      </c>
      <c r="G23" s="340" t="s">
        <v>2278</v>
      </c>
      <c r="H23" s="646" t="str">
        <f t="shared" si="3"/>
        <v>VENCIDA</v>
      </c>
      <c r="I23" s="647">
        <f t="shared" si="4"/>
        <v>313</v>
      </c>
    </row>
    <row r="24">
      <c r="A24" s="643">
        <v>15271.0</v>
      </c>
      <c r="B24" s="644">
        <v>45846.0</v>
      </c>
      <c r="C24" s="644">
        <f t="shared" si="1"/>
        <v>45861</v>
      </c>
      <c r="D24" s="643">
        <v>57000.0</v>
      </c>
      <c r="E24" s="645" t="b">
        <v>1</v>
      </c>
      <c r="F24" s="646" t="str">
        <f t="shared" si="2"/>
        <v>PAGADO</v>
      </c>
      <c r="G24" s="340" t="s">
        <v>2278</v>
      </c>
      <c r="H24" s="646" t="str">
        <f t="shared" si="3"/>
        <v>VENCIDA</v>
      </c>
      <c r="I24" s="647">
        <f t="shared" si="4"/>
        <v>306</v>
      </c>
    </row>
    <row r="25">
      <c r="A25" s="643">
        <v>15336.0</v>
      </c>
      <c r="B25" s="644">
        <v>45855.0</v>
      </c>
      <c r="C25" s="644">
        <f t="shared" si="1"/>
        <v>45870</v>
      </c>
      <c r="D25" s="643">
        <v>69600.0</v>
      </c>
      <c r="E25" s="645" t="b">
        <v>1</v>
      </c>
      <c r="F25" s="646" t="str">
        <f t="shared" si="2"/>
        <v>PAGADO</v>
      </c>
      <c r="G25" s="340" t="s">
        <v>2278</v>
      </c>
      <c r="H25" s="646" t="str">
        <f t="shared" si="3"/>
        <v>VENCIDA</v>
      </c>
      <c r="I25" s="647">
        <f t="shared" si="4"/>
        <v>297</v>
      </c>
    </row>
    <row r="26">
      <c r="A26" s="643">
        <v>15388.0</v>
      </c>
      <c r="B26" s="644">
        <v>45863.0</v>
      </c>
      <c r="C26" s="644">
        <f t="shared" si="1"/>
        <v>45878</v>
      </c>
      <c r="D26" s="643">
        <v>76800.0</v>
      </c>
      <c r="E26" s="645" t="b">
        <v>1</v>
      </c>
      <c r="F26" s="646" t="str">
        <f t="shared" si="2"/>
        <v>PAGADO</v>
      </c>
      <c r="G26" s="340" t="s">
        <v>2276</v>
      </c>
      <c r="H26" s="646" t="str">
        <f t="shared" si="3"/>
        <v>VENCIDA</v>
      </c>
      <c r="I26" s="647">
        <f t="shared" si="4"/>
        <v>289</v>
      </c>
    </row>
    <row r="27">
      <c r="A27" s="643">
        <v>15420.0</v>
      </c>
      <c r="B27" s="644">
        <v>45869.0</v>
      </c>
      <c r="C27" s="644">
        <f t="shared" ref="C27:C30" si="5">B27</f>
        <v>45869</v>
      </c>
      <c r="D27" s="643">
        <v>57000.0</v>
      </c>
      <c r="E27" s="645" t="b">
        <v>1</v>
      </c>
      <c r="F27" s="646" t="str">
        <f t="shared" si="2"/>
        <v>PAGADO</v>
      </c>
      <c r="G27" s="340" t="s">
        <v>2278</v>
      </c>
      <c r="H27" s="646" t="str">
        <f t="shared" si="3"/>
        <v>VENCIDA</v>
      </c>
      <c r="I27" s="647">
        <f t="shared" si="4"/>
        <v>298</v>
      </c>
    </row>
    <row r="28">
      <c r="A28" s="643">
        <v>15451.0</v>
      </c>
      <c r="B28" s="644">
        <v>45874.0</v>
      </c>
      <c r="C28" s="644">
        <f t="shared" si="5"/>
        <v>45874</v>
      </c>
      <c r="D28" s="643">
        <v>84000.0</v>
      </c>
      <c r="E28" s="645" t="b">
        <v>1</v>
      </c>
      <c r="F28" s="646" t="str">
        <f t="shared" si="2"/>
        <v>PAGADO</v>
      </c>
      <c r="G28" s="340" t="s">
        <v>2276</v>
      </c>
      <c r="H28" s="646" t="str">
        <f t="shared" si="3"/>
        <v>VENCIDA</v>
      </c>
      <c r="I28" s="647">
        <f t="shared" si="4"/>
        <v>293</v>
      </c>
    </row>
    <row r="29">
      <c r="A29" s="643">
        <v>15512.0</v>
      </c>
      <c r="B29" s="644">
        <v>45883.0</v>
      </c>
      <c r="C29" s="644">
        <f t="shared" si="5"/>
        <v>45883</v>
      </c>
      <c r="D29" s="643">
        <v>36000.0</v>
      </c>
      <c r="E29" s="645" t="b">
        <v>1</v>
      </c>
      <c r="F29" s="646" t="str">
        <f t="shared" si="2"/>
        <v>PAGADO</v>
      </c>
      <c r="G29" s="340" t="s">
        <v>2276</v>
      </c>
      <c r="H29" s="646" t="str">
        <f t="shared" si="3"/>
        <v>VENCIDA</v>
      </c>
      <c r="I29" s="647">
        <f t="shared" si="4"/>
        <v>284</v>
      </c>
    </row>
    <row r="30">
      <c r="A30" s="643">
        <v>15540.0</v>
      </c>
      <c r="B30" s="644">
        <v>45887.0</v>
      </c>
      <c r="C30" s="644">
        <f t="shared" si="5"/>
        <v>45887</v>
      </c>
      <c r="D30" s="643">
        <v>43200.0</v>
      </c>
      <c r="E30" s="645" t="b">
        <v>1</v>
      </c>
      <c r="F30" s="646" t="str">
        <f t="shared" si="2"/>
        <v>PAGADO</v>
      </c>
      <c r="G30" s="340" t="s">
        <v>2276</v>
      </c>
      <c r="H30" s="646" t="str">
        <f t="shared" si="3"/>
        <v>VENCIDA</v>
      </c>
      <c r="I30" s="647">
        <f t="shared" si="4"/>
        <v>280</v>
      </c>
    </row>
    <row r="31">
      <c r="A31" s="643">
        <v>15584.0</v>
      </c>
      <c r="B31" s="644">
        <v>45895.0</v>
      </c>
      <c r="C31" s="644"/>
      <c r="D31" s="643">
        <v>63200.0</v>
      </c>
      <c r="E31" s="645" t="b">
        <v>1</v>
      </c>
      <c r="F31" s="646" t="str">
        <f t="shared" si="2"/>
        <v>PAGADO</v>
      </c>
      <c r="G31" s="340" t="s">
        <v>2278</v>
      </c>
      <c r="H31" s="646" t="str">
        <f t="shared" si="3"/>
        <v>VENCIDA</v>
      </c>
      <c r="I31" s="647"/>
    </row>
    <row r="32">
      <c r="A32" s="643">
        <v>15643.0</v>
      </c>
      <c r="B32" s="644">
        <v>45904.0</v>
      </c>
      <c r="C32" s="644">
        <f>B32</f>
        <v>45904</v>
      </c>
      <c r="D32" s="643">
        <v>88400.0</v>
      </c>
      <c r="E32" s="645" t="b">
        <v>1</v>
      </c>
      <c r="F32" s="646" t="str">
        <f t="shared" si="2"/>
        <v>PAGADO</v>
      </c>
      <c r="G32" s="340" t="s">
        <v>2278</v>
      </c>
      <c r="H32" s="646" t="str">
        <f t="shared" si="3"/>
        <v>VENCIDA</v>
      </c>
      <c r="I32" s="647">
        <f t="shared" ref="I32:I133" si="6">TODAY()-C32</f>
        <v>263</v>
      </c>
    </row>
    <row r="33">
      <c r="A33" s="643">
        <v>15694.0</v>
      </c>
      <c r="B33" s="644">
        <v>45911.0</v>
      </c>
      <c r="C33" s="644"/>
      <c r="D33" s="643">
        <v>61200.0</v>
      </c>
      <c r="E33" s="645" t="b">
        <v>1</v>
      </c>
      <c r="F33" s="646" t="str">
        <f t="shared" si="2"/>
        <v>PAGADO</v>
      </c>
      <c r="G33" s="340" t="s">
        <v>2278</v>
      </c>
      <c r="H33" s="646" t="str">
        <f t="shared" si="3"/>
        <v>VENCIDA</v>
      </c>
      <c r="I33" s="647">
        <f t="shared" si="6"/>
        <v>46167</v>
      </c>
    </row>
    <row r="34">
      <c r="A34" s="643">
        <v>15741.0</v>
      </c>
      <c r="B34" s="644">
        <v>45918.0</v>
      </c>
      <c r="C34" s="644"/>
      <c r="D34" s="643">
        <v>36000.0</v>
      </c>
      <c r="E34" s="645" t="b">
        <v>1</v>
      </c>
      <c r="F34" s="646" t="str">
        <f t="shared" si="2"/>
        <v>PAGADO</v>
      </c>
      <c r="G34" s="340" t="s">
        <v>2278</v>
      </c>
      <c r="H34" s="646" t="str">
        <f t="shared" si="3"/>
        <v>VENCIDA</v>
      </c>
      <c r="I34" s="647">
        <f t="shared" si="6"/>
        <v>46167</v>
      </c>
    </row>
    <row r="35">
      <c r="A35" s="643">
        <v>15783.0</v>
      </c>
      <c r="B35" s="644">
        <v>45925.0</v>
      </c>
      <c r="C35" s="644"/>
      <c r="D35" s="643">
        <v>44600.0</v>
      </c>
      <c r="E35" s="645" t="b">
        <v>1</v>
      </c>
      <c r="F35" s="646" t="str">
        <f t="shared" si="2"/>
        <v>PAGADO</v>
      </c>
      <c r="G35" s="340" t="s">
        <v>2278</v>
      </c>
      <c r="H35" s="646" t="str">
        <f t="shared" si="3"/>
        <v>VENCIDA</v>
      </c>
      <c r="I35" s="647">
        <f t="shared" si="6"/>
        <v>46167</v>
      </c>
    </row>
    <row r="36">
      <c r="A36" s="643">
        <v>15836.0</v>
      </c>
      <c r="B36" s="644">
        <v>45932.0</v>
      </c>
      <c r="C36" s="644"/>
      <c r="D36" s="643">
        <v>44600.0</v>
      </c>
      <c r="E36" s="645" t="b">
        <v>1</v>
      </c>
      <c r="F36" s="646" t="str">
        <f t="shared" si="2"/>
        <v>PAGADO</v>
      </c>
      <c r="G36" s="340" t="s">
        <v>2278</v>
      </c>
      <c r="H36" s="646" t="str">
        <f t="shared" si="3"/>
        <v>VENCIDA</v>
      </c>
      <c r="I36" s="647">
        <f t="shared" si="6"/>
        <v>46167</v>
      </c>
    </row>
    <row r="37">
      <c r="A37" s="643">
        <v>15878.0</v>
      </c>
      <c r="B37" s="644">
        <v>45939.0</v>
      </c>
      <c r="C37" s="644"/>
      <c r="D37" s="643">
        <v>44600.0</v>
      </c>
      <c r="E37" s="645" t="b">
        <v>1</v>
      </c>
      <c r="F37" s="646" t="str">
        <f t="shared" si="2"/>
        <v>PAGADO</v>
      </c>
      <c r="G37" s="340" t="s">
        <v>2276</v>
      </c>
      <c r="H37" s="646" t="str">
        <f t="shared" si="3"/>
        <v>VENCIDA</v>
      </c>
      <c r="I37" s="647">
        <f t="shared" si="6"/>
        <v>46167</v>
      </c>
    </row>
    <row r="38">
      <c r="A38" s="643">
        <v>15933.0</v>
      </c>
      <c r="B38" s="644">
        <v>45946.0</v>
      </c>
      <c r="C38" s="644"/>
      <c r="D38" s="643">
        <v>44600.0</v>
      </c>
      <c r="E38" s="645" t="b">
        <v>1</v>
      </c>
      <c r="F38" s="646" t="str">
        <f t="shared" si="2"/>
        <v>PAGADO</v>
      </c>
      <c r="G38" s="340" t="s">
        <v>2276</v>
      </c>
      <c r="H38" s="646" t="str">
        <f t="shared" si="3"/>
        <v>VENCIDA</v>
      </c>
      <c r="I38" s="647">
        <f t="shared" si="6"/>
        <v>46167</v>
      </c>
    </row>
    <row r="39">
      <c r="A39" s="643">
        <v>15967.0</v>
      </c>
      <c r="B39" s="644">
        <v>45951.0</v>
      </c>
      <c r="C39" s="644"/>
      <c r="D39" s="643">
        <v>58000.0</v>
      </c>
      <c r="E39" s="645" t="b">
        <v>1</v>
      </c>
      <c r="F39" s="646" t="str">
        <f t="shared" si="2"/>
        <v>PAGADO</v>
      </c>
      <c r="G39" s="340" t="s">
        <v>2276</v>
      </c>
      <c r="H39" s="646" t="str">
        <f t="shared" si="3"/>
        <v>VENCIDA</v>
      </c>
      <c r="I39" s="647">
        <f t="shared" si="6"/>
        <v>46167</v>
      </c>
    </row>
    <row r="40">
      <c r="A40" s="643">
        <v>16013.0</v>
      </c>
      <c r="B40" s="644">
        <v>45958.0</v>
      </c>
      <c r="C40" s="644"/>
      <c r="D40" s="643">
        <v>63300.0</v>
      </c>
      <c r="E40" s="645" t="b">
        <v>1</v>
      </c>
      <c r="F40" s="646" t="str">
        <f t="shared" si="2"/>
        <v>PAGADO</v>
      </c>
      <c r="G40" s="340" t="s">
        <v>2276</v>
      </c>
      <c r="H40" s="646" t="str">
        <f t="shared" si="3"/>
        <v>VENCIDA</v>
      </c>
      <c r="I40" s="647">
        <f t="shared" si="6"/>
        <v>46167</v>
      </c>
    </row>
    <row r="41">
      <c r="A41" s="643">
        <v>16059.0</v>
      </c>
      <c r="B41" s="644">
        <v>45965.0</v>
      </c>
      <c r="C41" s="644"/>
      <c r="D41" s="643">
        <v>65200.0</v>
      </c>
      <c r="E41" s="645" t="b">
        <v>1</v>
      </c>
      <c r="F41" s="646" t="str">
        <f t="shared" si="2"/>
        <v>PAGADO</v>
      </c>
      <c r="G41" s="340" t="s">
        <v>2276</v>
      </c>
      <c r="H41" s="646" t="str">
        <f t="shared" si="3"/>
        <v>VENCIDA</v>
      </c>
      <c r="I41" s="647">
        <f t="shared" si="6"/>
        <v>46167</v>
      </c>
    </row>
    <row r="42">
      <c r="A42" s="643">
        <v>16134.0</v>
      </c>
      <c r="B42" s="644">
        <v>45974.0</v>
      </c>
      <c r="C42" s="644"/>
      <c r="D42" s="643">
        <v>63300.0</v>
      </c>
      <c r="E42" s="645" t="b">
        <v>1</v>
      </c>
      <c r="F42" s="646" t="str">
        <f t="shared" si="2"/>
        <v>PAGADO</v>
      </c>
      <c r="G42" s="340" t="s">
        <v>2276</v>
      </c>
      <c r="H42" s="646" t="str">
        <f t="shared" si="3"/>
        <v>VENCIDA</v>
      </c>
      <c r="I42" s="647">
        <f t="shared" si="6"/>
        <v>46167</v>
      </c>
    </row>
    <row r="43">
      <c r="A43" s="643">
        <v>16181.0</v>
      </c>
      <c r="B43" s="644">
        <v>45981.0</v>
      </c>
      <c r="C43" s="644"/>
      <c r="D43" s="643">
        <v>44600.0</v>
      </c>
      <c r="E43" s="645" t="b">
        <v>1</v>
      </c>
      <c r="F43" s="646" t="str">
        <f t="shared" si="2"/>
        <v>PAGADO</v>
      </c>
      <c r="G43" s="340" t="s">
        <v>2276</v>
      </c>
      <c r="H43" s="646" t="str">
        <f t="shared" si="3"/>
        <v>VENCIDA</v>
      </c>
      <c r="I43" s="647">
        <f t="shared" si="6"/>
        <v>46167</v>
      </c>
    </row>
    <row r="44">
      <c r="A44" s="643">
        <v>16225.0</v>
      </c>
      <c r="B44" s="644">
        <v>45988.0</v>
      </c>
      <c r="C44" s="644"/>
      <c r="D44" s="643">
        <v>83900.0</v>
      </c>
      <c r="E44" s="645" t="b">
        <v>1</v>
      </c>
      <c r="F44" s="646" t="str">
        <f t="shared" si="2"/>
        <v>PAGADO</v>
      </c>
      <c r="G44" s="340" t="s">
        <v>2276</v>
      </c>
      <c r="H44" s="646" t="str">
        <f t="shared" si="3"/>
        <v>VENCIDA</v>
      </c>
      <c r="I44" s="647">
        <f t="shared" si="6"/>
        <v>46167</v>
      </c>
    </row>
    <row r="45">
      <c r="A45" s="643">
        <v>16271.0</v>
      </c>
      <c r="B45" s="644">
        <v>45993.0</v>
      </c>
      <c r="C45" s="644"/>
      <c r="D45" s="643">
        <v>16500.0</v>
      </c>
      <c r="E45" s="645" t="b">
        <v>1</v>
      </c>
      <c r="F45" s="646" t="str">
        <f t="shared" si="2"/>
        <v>PAGADO</v>
      </c>
      <c r="G45" s="340" t="s">
        <v>2278</v>
      </c>
      <c r="H45" s="646" t="str">
        <f t="shared" si="3"/>
        <v>VENCIDA</v>
      </c>
      <c r="I45" s="647">
        <f t="shared" si="6"/>
        <v>46167</v>
      </c>
    </row>
    <row r="46">
      <c r="A46" s="643">
        <v>16315.0</v>
      </c>
      <c r="B46" s="644">
        <v>46000.0</v>
      </c>
      <c r="C46" s="644"/>
      <c r="D46" s="643">
        <v>63300.0</v>
      </c>
      <c r="E46" s="645" t="b">
        <v>1</v>
      </c>
      <c r="F46" s="646" t="str">
        <f t="shared" si="2"/>
        <v>PAGADO</v>
      </c>
      <c r="G46" s="340" t="s">
        <v>2278</v>
      </c>
      <c r="H46" s="646" t="str">
        <f t="shared" si="3"/>
        <v>VENCIDA</v>
      </c>
      <c r="I46" s="647">
        <f t="shared" si="6"/>
        <v>46167</v>
      </c>
    </row>
    <row r="47">
      <c r="A47" s="643">
        <v>16396.0</v>
      </c>
      <c r="B47" s="644">
        <v>46009.0</v>
      </c>
      <c r="C47" s="644"/>
      <c r="D47" s="643">
        <v>63300.0</v>
      </c>
      <c r="E47" s="645" t="b">
        <v>1</v>
      </c>
      <c r="F47" s="646" t="str">
        <f t="shared" si="2"/>
        <v>PAGADO</v>
      </c>
      <c r="G47" s="340" t="s">
        <v>2278</v>
      </c>
      <c r="H47" s="646" t="str">
        <f t="shared" si="3"/>
        <v>VENCIDA</v>
      </c>
      <c r="I47" s="647">
        <f t="shared" si="6"/>
        <v>46167</v>
      </c>
    </row>
    <row r="48">
      <c r="A48" s="643">
        <v>16489.0</v>
      </c>
      <c r="B48" s="644">
        <v>46028.0</v>
      </c>
      <c r="C48" s="644"/>
      <c r="D48" s="643">
        <v>66600.11</v>
      </c>
      <c r="E48" s="645" t="b">
        <v>1</v>
      </c>
      <c r="F48" s="646" t="str">
        <f t="shared" si="2"/>
        <v>PAGADO</v>
      </c>
      <c r="G48" s="340" t="s">
        <v>2276</v>
      </c>
      <c r="H48" s="646" t="str">
        <f t="shared" si="3"/>
        <v>VENCIDA</v>
      </c>
      <c r="I48" s="647">
        <f t="shared" si="6"/>
        <v>46167</v>
      </c>
    </row>
    <row r="49">
      <c r="A49" s="643">
        <v>16534.0</v>
      </c>
      <c r="B49" s="644">
        <v>46035.0</v>
      </c>
      <c r="C49" s="644"/>
      <c r="D49" s="643">
        <v>62600.0</v>
      </c>
      <c r="E49" s="645" t="b">
        <v>1</v>
      </c>
      <c r="F49" s="646" t="str">
        <f t="shared" si="2"/>
        <v>PAGADO</v>
      </c>
      <c r="G49" s="340" t="s">
        <v>2276</v>
      </c>
      <c r="H49" s="646" t="str">
        <f t="shared" si="3"/>
        <v>VENCIDA</v>
      </c>
      <c r="I49" s="647">
        <f t="shared" si="6"/>
        <v>46167</v>
      </c>
    </row>
    <row r="50">
      <c r="A50" s="643">
        <v>16569.0</v>
      </c>
      <c r="B50" s="644">
        <v>46042.0</v>
      </c>
      <c r="C50" s="644"/>
      <c r="D50" s="643">
        <v>52200.0</v>
      </c>
      <c r="E50" s="645" t="b">
        <v>1</v>
      </c>
      <c r="F50" s="646" t="str">
        <f t="shared" si="2"/>
        <v>PAGADO</v>
      </c>
      <c r="G50" s="340" t="s">
        <v>2276</v>
      </c>
      <c r="H50" s="646" t="str">
        <f t="shared" si="3"/>
        <v>VENCIDA</v>
      </c>
      <c r="I50" s="647">
        <f t="shared" si="6"/>
        <v>46167</v>
      </c>
    </row>
    <row r="51">
      <c r="A51" s="643">
        <v>16629.0</v>
      </c>
      <c r="B51" s="644">
        <v>46051.0</v>
      </c>
      <c r="C51" s="644"/>
      <c r="D51" s="643">
        <v>64700.0</v>
      </c>
      <c r="E51" s="645" t="b">
        <v>1</v>
      </c>
      <c r="F51" s="646" t="str">
        <f t="shared" si="2"/>
        <v>PAGADO</v>
      </c>
      <c r="G51" s="340" t="s">
        <v>2276</v>
      </c>
      <c r="H51" s="646" t="str">
        <f t="shared" si="3"/>
        <v>VENCIDA</v>
      </c>
      <c r="I51" s="647">
        <f t="shared" si="6"/>
        <v>46167</v>
      </c>
    </row>
    <row r="52">
      <c r="A52" s="643">
        <v>16682.0</v>
      </c>
      <c r="B52" s="644">
        <v>46058.0</v>
      </c>
      <c r="C52" s="644"/>
      <c r="D52" s="643">
        <v>34800.0</v>
      </c>
      <c r="E52" s="645" t="b">
        <v>1</v>
      </c>
      <c r="F52" s="646" t="str">
        <f t="shared" si="2"/>
        <v>PAGADO</v>
      </c>
      <c r="G52" s="340" t="s">
        <v>2276</v>
      </c>
      <c r="H52" s="646" t="str">
        <f t="shared" si="3"/>
        <v>VENCIDA</v>
      </c>
      <c r="I52" s="647">
        <f t="shared" si="6"/>
        <v>46167</v>
      </c>
    </row>
    <row r="53">
      <c r="A53" s="643">
        <v>16731.0</v>
      </c>
      <c r="B53" s="644">
        <v>46065.0</v>
      </c>
      <c r="C53" s="644"/>
      <c r="D53" s="643">
        <v>42400.0</v>
      </c>
      <c r="E53" s="645" t="b">
        <v>1</v>
      </c>
      <c r="F53" s="646" t="str">
        <f t="shared" si="2"/>
        <v>PAGADO</v>
      </c>
      <c r="G53" s="340" t="s">
        <v>2276</v>
      </c>
      <c r="H53" s="646" t="str">
        <f t="shared" si="3"/>
        <v>VENCIDA</v>
      </c>
      <c r="I53" s="647">
        <f t="shared" si="6"/>
        <v>46167</v>
      </c>
    </row>
    <row r="54">
      <c r="A54" s="643">
        <v>16800.0</v>
      </c>
      <c r="B54" s="644">
        <v>46077.0</v>
      </c>
      <c r="C54" s="644"/>
      <c r="D54" s="643">
        <v>82500.0</v>
      </c>
      <c r="E54" s="645" t="b">
        <v>1</v>
      </c>
      <c r="F54" s="646" t="str">
        <f t="shared" si="2"/>
        <v>PAGADO</v>
      </c>
      <c r="G54" s="340" t="s">
        <v>2278</v>
      </c>
      <c r="H54" s="646" t="str">
        <f t="shared" si="3"/>
        <v>VENCIDA</v>
      </c>
      <c r="I54" s="647">
        <f t="shared" si="6"/>
        <v>46167</v>
      </c>
    </row>
    <row r="55">
      <c r="A55" s="643">
        <v>16876.0</v>
      </c>
      <c r="B55" s="644">
        <v>46088.0</v>
      </c>
      <c r="C55" s="644"/>
      <c r="D55" s="643">
        <v>34800.0</v>
      </c>
      <c r="E55" s="645" t="b">
        <v>1</v>
      </c>
      <c r="F55" s="646" t="str">
        <f t="shared" si="2"/>
        <v>PAGADO</v>
      </c>
      <c r="G55" s="340" t="s">
        <v>2278</v>
      </c>
      <c r="H55" s="646" t="str">
        <f t="shared" si="3"/>
        <v>VENCIDA</v>
      </c>
      <c r="I55" s="647">
        <f t="shared" si="6"/>
        <v>46167</v>
      </c>
    </row>
    <row r="56">
      <c r="A56" s="643">
        <v>16941.0</v>
      </c>
      <c r="B56" s="644">
        <v>46098.0</v>
      </c>
      <c r="C56" s="644"/>
      <c r="D56" s="643">
        <v>59600.0</v>
      </c>
      <c r="E56" s="645" t="b">
        <v>1</v>
      </c>
      <c r="F56" s="646" t="str">
        <f t="shared" si="2"/>
        <v>PAGADO</v>
      </c>
      <c r="G56" s="340" t="s">
        <v>2276</v>
      </c>
      <c r="H56" s="646" t="str">
        <f t="shared" si="3"/>
        <v>VENCIDA</v>
      </c>
      <c r="I56" s="647">
        <f t="shared" si="6"/>
        <v>46167</v>
      </c>
    </row>
    <row r="57">
      <c r="A57" s="643">
        <v>17012.0</v>
      </c>
      <c r="B57" s="644">
        <v>46107.0</v>
      </c>
      <c r="C57" s="644"/>
      <c r="D57" s="643">
        <v>59600.0</v>
      </c>
      <c r="E57" s="645" t="b">
        <v>1</v>
      </c>
      <c r="F57" s="646" t="str">
        <f t="shared" si="2"/>
        <v>PAGADO</v>
      </c>
      <c r="G57" s="340" t="s">
        <v>2278</v>
      </c>
      <c r="H57" s="646" t="str">
        <f t="shared" si="3"/>
        <v>VENCIDA</v>
      </c>
      <c r="I57" s="647">
        <f t="shared" si="6"/>
        <v>46167</v>
      </c>
    </row>
    <row r="58">
      <c r="A58" s="643">
        <v>17088.0</v>
      </c>
      <c r="B58" s="644">
        <v>46119.0</v>
      </c>
      <c r="C58" s="644"/>
      <c r="D58" s="643">
        <v>93700.0</v>
      </c>
      <c r="E58" s="645" t="b">
        <v>1</v>
      </c>
      <c r="F58" s="646" t="str">
        <f t="shared" si="2"/>
        <v>PAGADO</v>
      </c>
      <c r="G58" s="340" t="s">
        <v>2278</v>
      </c>
      <c r="H58" s="646" t="str">
        <f t="shared" si="3"/>
        <v>VENCIDA</v>
      </c>
      <c r="I58" s="647">
        <f t="shared" si="6"/>
        <v>46167</v>
      </c>
    </row>
    <row r="59">
      <c r="A59" s="643">
        <v>17137.0</v>
      </c>
      <c r="B59" s="644">
        <v>46126.0</v>
      </c>
      <c r="C59" s="644"/>
      <c r="D59" s="643">
        <v>64200.0</v>
      </c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6"/>
        <v>46167</v>
      </c>
    </row>
    <row r="60">
      <c r="A60" s="643">
        <v>17187.0</v>
      </c>
      <c r="B60" s="644">
        <v>46133.0</v>
      </c>
      <c r="C60" s="644"/>
      <c r="D60" s="643">
        <v>70100.0</v>
      </c>
      <c r="E60" s="645" t="b">
        <v>1</v>
      </c>
      <c r="F60" s="646" t="str">
        <f t="shared" si="2"/>
        <v>PAGADO</v>
      </c>
      <c r="G60" s="340" t="s">
        <v>2278</v>
      </c>
      <c r="H60" s="646" t="str">
        <f t="shared" si="3"/>
        <v>VENCIDA</v>
      </c>
      <c r="I60" s="647">
        <f t="shared" si="6"/>
        <v>46167</v>
      </c>
    </row>
    <row r="61">
      <c r="A61" s="643">
        <v>17263.0</v>
      </c>
      <c r="B61" s="644">
        <v>46142.0</v>
      </c>
      <c r="C61" s="644"/>
      <c r="D61" s="643">
        <v>82800.0</v>
      </c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6"/>
        <v>46167</v>
      </c>
    </row>
    <row r="62">
      <c r="A62" s="643">
        <v>17339.0</v>
      </c>
      <c r="B62" s="644">
        <v>46154.0</v>
      </c>
      <c r="C62" s="644"/>
      <c r="D62" s="643">
        <v>90200.0</v>
      </c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6"/>
        <v>46167</v>
      </c>
    </row>
    <row r="63">
      <c r="A63" s="644"/>
      <c r="B63" s="644"/>
      <c r="C63" s="644"/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6"/>
        <v>46167</v>
      </c>
    </row>
    <row r="64">
      <c r="A64" s="644"/>
      <c r="B64" s="644"/>
      <c r="C64" s="644"/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6"/>
        <v>46167</v>
      </c>
    </row>
    <row r="65">
      <c r="A65" s="644"/>
      <c r="B65" s="644"/>
      <c r="C65" s="644"/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6"/>
        <v>46167</v>
      </c>
    </row>
    <row r="66">
      <c r="A66" s="644"/>
      <c r="B66" s="644"/>
      <c r="C66" s="644"/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6"/>
        <v>46167</v>
      </c>
    </row>
    <row r="67">
      <c r="A67" s="644"/>
      <c r="B67" s="644"/>
      <c r="C67" s="644"/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6"/>
        <v>46167</v>
      </c>
    </row>
    <row r="68">
      <c r="A68" s="644"/>
      <c r="B68" s="644"/>
      <c r="C68" s="644"/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6"/>
        <v>46167</v>
      </c>
    </row>
    <row r="69">
      <c r="A69" s="644"/>
      <c r="B69" s="644"/>
      <c r="C69" s="644"/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6"/>
        <v>46167</v>
      </c>
    </row>
    <row r="70">
      <c r="A70" s="644"/>
      <c r="B70" s="644"/>
      <c r="C70" s="644"/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6"/>
        <v>46167</v>
      </c>
    </row>
    <row r="71">
      <c r="A71" s="644"/>
      <c r="B71" s="644"/>
      <c r="C71" s="644"/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6"/>
        <v>46167</v>
      </c>
    </row>
    <row r="72">
      <c r="A72" s="644"/>
      <c r="B72" s="644"/>
      <c r="C72" s="644"/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6"/>
        <v>46167</v>
      </c>
    </row>
    <row r="73">
      <c r="A73" s="644"/>
      <c r="B73" s="644"/>
      <c r="C73" s="644"/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6"/>
        <v>46167</v>
      </c>
    </row>
    <row r="74">
      <c r="A74" s="644"/>
      <c r="B74" s="644"/>
      <c r="C74" s="644"/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6"/>
        <v>46167</v>
      </c>
    </row>
    <row r="75">
      <c r="A75" s="644"/>
      <c r="B75" s="644"/>
      <c r="C75" s="644"/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6"/>
        <v>46167</v>
      </c>
    </row>
    <row r="76">
      <c r="A76" s="644"/>
      <c r="B76" s="644"/>
      <c r="C76" s="644"/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6"/>
        <v>46167</v>
      </c>
    </row>
    <row r="77">
      <c r="A77" s="644"/>
      <c r="B77" s="644"/>
      <c r="C77" s="644"/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6"/>
        <v>46167</v>
      </c>
    </row>
    <row r="78">
      <c r="A78" s="644"/>
      <c r="B78" s="644"/>
      <c r="C78" s="644"/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6"/>
        <v>46167</v>
      </c>
    </row>
    <row r="79">
      <c r="A79" s="644"/>
      <c r="B79" s="644"/>
      <c r="C79" s="644"/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6"/>
        <v>46167</v>
      </c>
    </row>
    <row r="80">
      <c r="A80" s="644"/>
      <c r="B80" s="644"/>
      <c r="C80" s="644"/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6"/>
        <v>46167</v>
      </c>
    </row>
    <row r="81">
      <c r="A81" s="644"/>
      <c r="B81" s="644"/>
      <c r="C81" s="644"/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6"/>
        <v>46167</v>
      </c>
    </row>
    <row r="82">
      <c r="A82" s="644"/>
      <c r="B82" s="644"/>
      <c r="C82" s="644"/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6"/>
        <v>46167</v>
      </c>
    </row>
    <row r="83">
      <c r="A83" s="644"/>
      <c r="B83" s="644"/>
      <c r="C83" s="644"/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6"/>
        <v>46167</v>
      </c>
    </row>
    <row r="84">
      <c r="A84" s="644"/>
      <c r="B84" s="644"/>
      <c r="C84" s="644"/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6"/>
        <v>46167</v>
      </c>
    </row>
    <row r="85">
      <c r="A85" s="644"/>
      <c r="B85" s="644"/>
      <c r="C85" s="644"/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6"/>
        <v>46167</v>
      </c>
    </row>
    <row r="86">
      <c r="A86" s="644"/>
      <c r="B86" s="644"/>
      <c r="C86" s="644"/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6"/>
        <v>46167</v>
      </c>
    </row>
    <row r="87">
      <c r="A87" s="644"/>
      <c r="B87" s="644"/>
      <c r="C87" s="644"/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6"/>
        <v>46167</v>
      </c>
    </row>
    <row r="88">
      <c r="A88" s="644"/>
      <c r="B88" s="644"/>
      <c r="C88" s="644"/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6"/>
        <v>46167</v>
      </c>
    </row>
    <row r="89">
      <c r="A89" s="644"/>
      <c r="B89" s="644"/>
      <c r="C89" s="644"/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6"/>
        <v>46167</v>
      </c>
    </row>
    <row r="90">
      <c r="A90" s="644"/>
      <c r="B90" s="644"/>
      <c r="C90" s="644"/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6"/>
        <v>46167</v>
      </c>
    </row>
    <row r="91">
      <c r="A91" s="644"/>
      <c r="B91" s="644"/>
      <c r="C91" s="644"/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6"/>
        <v>46167</v>
      </c>
    </row>
    <row r="92">
      <c r="A92" s="644"/>
      <c r="B92" s="644"/>
      <c r="C92" s="644"/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6"/>
        <v>46167</v>
      </c>
    </row>
    <row r="93">
      <c r="A93" s="644"/>
      <c r="B93" s="644"/>
      <c r="C93" s="644"/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6"/>
        <v>46167</v>
      </c>
    </row>
    <row r="94">
      <c r="A94" s="644"/>
      <c r="B94" s="644"/>
      <c r="C94" s="644"/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6"/>
        <v>46167</v>
      </c>
    </row>
    <row r="95">
      <c r="A95" s="644"/>
      <c r="B95" s="644"/>
      <c r="C95" s="644"/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6"/>
        <v>46167</v>
      </c>
    </row>
    <row r="96">
      <c r="A96" s="644"/>
      <c r="B96" s="644"/>
      <c r="C96" s="644"/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6"/>
        <v>46167</v>
      </c>
    </row>
    <row r="97">
      <c r="A97" s="644"/>
      <c r="B97" s="644"/>
      <c r="C97" s="644"/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6"/>
        <v>46167</v>
      </c>
    </row>
    <row r="98">
      <c r="A98" s="644"/>
      <c r="B98" s="644"/>
      <c r="C98" s="644"/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6"/>
        <v>46167</v>
      </c>
    </row>
    <row r="99">
      <c r="A99" s="644"/>
      <c r="B99" s="644"/>
      <c r="C99" s="644"/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6"/>
        <v>46167</v>
      </c>
    </row>
    <row r="100">
      <c r="A100" s="644"/>
      <c r="B100" s="644"/>
      <c r="C100" s="644"/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6"/>
        <v>46167</v>
      </c>
    </row>
    <row r="101">
      <c r="A101" s="644"/>
      <c r="B101" s="644"/>
      <c r="C101" s="644"/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6"/>
        <v>46167</v>
      </c>
    </row>
    <row r="102">
      <c r="A102" s="644"/>
      <c r="B102" s="644"/>
      <c r="C102" s="644"/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6"/>
        <v>46167</v>
      </c>
    </row>
    <row r="103">
      <c r="A103" s="644"/>
      <c r="B103" s="644"/>
      <c r="C103" s="644"/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6"/>
        <v>46167</v>
      </c>
    </row>
    <row r="104">
      <c r="A104" s="644"/>
      <c r="B104" s="644"/>
      <c r="C104" s="644"/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6"/>
        <v>46167</v>
      </c>
    </row>
    <row r="105">
      <c r="A105" s="644"/>
      <c r="B105" s="644"/>
      <c r="C105" s="644"/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6"/>
        <v>46167</v>
      </c>
    </row>
    <row r="106">
      <c r="A106" s="644"/>
      <c r="B106" s="644"/>
      <c r="C106" s="644"/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6"/>
        <v>46167</v>
      </c>
    </row>
    <row r="107">
      <c r="A107" s="644"/>
      <c r="B107" s="644"/>
      <c r="C107" s="644"/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6"/>
        <v>46167</v>
      </c>
    </row>
    <row r="108">
      <c r="A108" s="644"/>
      <c r="B108" s="644"/>
      <c r="C108" s="644"/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6"/>
        <v>46167</v>
      </c>
    </row>
    <row r="109">
      <c r="A109" s="644"/>
      <c r="B109" s="644"/>
      <c r="C109" s="644"/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6"/>
        <v>46167</v>
      </c>
    </row>
    <row r="110">
      <c r="A110" s="644"/>
      <c r="B110" s="644"/>
      <c r="C110" s="644"/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6"/>
        <v>46167</v>
      </c>
    </row>
    <row r="111">
      <c r="A111" s="644"/>
      <c r="B111" s="644"/>
      <c r="C111" s="644"/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6"/>
        <v>46167</v>
      </c>
    </row>
    <row r="112">
      <c r="A112" s="644"/>
      <c r="B112" s="644"/>
      <c r="C112" s="644"/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6"/>
        <v>46167</v>
      </c>
    </row>
    <row r="113">
      <c r="A113" s="644"/>
      <c r="B113" s="644"/>
      <c r="C113" s="644"/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6"/>
        <v>46167</v>
      </c>
    </row>
    <row r="114">
      <c r="A114" s="644"/>
      <c r="B114" s="644"/>
      <c r="C114" s="644"/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6"/>
        <v>46167</v>
      </c>
    </row>
    <row r="115">
      <c r="A115" s="644"/>
      <c r="B115" s="644"/>
      <c r="C115" s="644"/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6"/>
        <v>46167</v>
      </c>
    </row>
    <row r="116">
      <c r="A116" s="644"/>
      <c r="B116" s="644"/>
      <c r="C116" s="644"/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6"/>
        <v>46167</v>
      </c>
    </row>
    <row r="117">
      <c r="A117" s="644"/>
      <c r="B117" s="644"/>
      <c r="C117" s="644"/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6"/>
        <v>46167</v>
      </c>
    </row>
    <row r="118">
      <c r="A118" s="644"/>
      <c r="B118" s="644"/>
      <c r="C118" s="644"/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6"/>
        <v>46167</v>
      </c>
    </row>
    <row r="119">
      <c r="A119" s="644"/>
      <c r="B119" s="644"/>
      <c r="C119" s="644"/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6"/>
        <v>46167</v>
      </c>
    </row>
    <row r="120">
      <c r="A120" s="644"/>
      <c r="B120" s="644"/>
      <c r="C120" s="644"/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6"/>
        <v>46167</v>
      </c>
    </row>
    <row r="121">
      <c r="A121" s="644"/>
      <c r="B121" s="644"/>
      <c r="C121" s="644"/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6"/>
        <v>46167</v>
      </c>
    </row>
    <row r="122">
      <c r="A122" s="644"/>
      <c r="B122" s="644"/>
      <c r="C122" s="644"/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6"/>
        <v>46167</v>
      </c>
    </row>
    <row r="123">
      <c r="A123" s="644"/>
      <c r="B123" s="644"/>
      <c r="C123" s="644"/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6"/>
        <v>46167</v>
      </c>
    </row>
    <row r="124">
      <c r="A124" s="644"/>
      <c r="B124" s="644"/>
      <c r="C124" s="644"/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6"/>
        <v>46167</v>
      </c>
    </row>
    <row r="125">
      <c r="A125" s="644"/>
      <c r="B125" s="644"/>
      <c r="C125" s="644"/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6"/>
        <v>46167</v>
      </c>
    </row>
    <row r="126">
      <c r="A126" s="644"/>
      <c r="B126" s="644"/>
      <c r="C126" s="644"/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6"/>
        <v>46167</v>
      </c>
    </row>
    <row r="127">
      <c r="A127" s="644"/>
      <c r="B127" s="644"/>
      <c r="C127" s="644"/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6"/>
        <v>46167</v>
      </c>
    </row>
    <row r="128">
      <c r="A128" s="644"/>
      <c r="B128" s="644"/>
      <c r="C128" s="644"/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6"/>
        <v>46167</v>
      </c>
    </row>
    <row r="129">
      <c r="A129" s="644"/>
      <c r="B129" s="644"/>
      <c r="C129" s="644"/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6"/>
        <v>46167</v>
      </c>
    </row>
    <row r="130">
      <c r="A130" s="644"/>
      <c r="B130" s="644"/>
      <c r="C130" s="644"/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6"/>
        <v>46167</v>
      </c>
    </row>
    <row r="131">
      <c r="A131" s="644"/>
      <c r="B131" s="644"/>
      <c r="C131" s="644"/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6"/>
        <v>46167</v>
      </c>
    </row>
    <row r="132">
      <c r="A132" s="644"/>
      <c r="B132" s="644"/>
      <c r="C132" s="644"/>
      <c r="D132" s="643"/>
      <c r="E132" s="658" t="b">
        <v>0</v>
      </c>
      <c r="F132" s="646" t="str">
        <f t="shared" si="2"/>
        <v>ADEUDA</v>
      </c>
      <c r="G132" s="340" t="s">
        <v>2278</v>
      </c>
      <c r="H132" s="646" t="str">
        <f t="shared" si="3"/>
        <v>VENCIDA</v>
      </c>
      <c r="I132" s="647">
        <f t="shared" si="6"/>
        <v>46167</v>
      </c>
    </row>
    <row r="133">
      <c r="A133" s="644"/>
      <c r="B133" s="644"/>
      <c r="C133" s="644"/>
      <c r="D133" s="643"/>
      <c r="E133" s="645" t="b">
        <v>1</v>
      </c>
      <c r="F133" s="646" t="str">
        <f t="shared" si="2"/>
        <v>PAGADO</v>
      </c>
      <c r="G133" s="340" t="s">
        <v>2278</v>
      </c>
      <c r="H133" s="646" t="str">
        <f t="shared" si="3"/>
        <v>VENCIDA</v>
      </c>
      <c r="I133" s="647">
        <f t="shared" si="6"/>
        <v>46167</v>
      </c>
    </row>
    <row r="135">
      <c r="C135" s="771"/>
    </row>
    <row r="136">
      <c r="C136" s="772" t="s">
        <v>55</v>
      </c>
      <c r="D136" s="3">
        <f>SUMIF(F4:F133,C136,D4:D133)</f>
        <v>237200</v>
      </c>
    </row>
    <row r="137">
      <c r="C137" s="773" t="s">
        <v>527</v>
      </c>
      <c r="D137" s="3">
        <f>SUMIF(F4:F133,C137,D4:D133)</f>
        <v>3225900.11</v>
      </c>
    </row>
    <row r="138">
      <c r="C138" s="697" t="s">
        <v>28</v>
      </c>
      <c r="D138" s="3">
        <f>D136+D137</f>
        <v>3463100.11</v>
      </c>
    </row>
  </sheetData>
  <mergeCells count="3">
    <mergeCell ref="A1:H1"/>
    <mergeCell ref="A2:I2"/>
    <mergeCell ref="E3:F3"/>
  </mergeCells>
  <conditionalFormatting sqref="F4:F133">
    <cfRule type="expression" dxfId="1" priority="1">
      <formula>F4="PAGADO"</formula>
    </cfRule>
  </conditionalFormatting>
  <conditionalFormatting sqref="F4:F133">
    <cfRule type="expression" dxfId="2" priority="2">
      <formula>F4="ADEUDA"</formula>
    </cfRule>
  </conditionalFormatting>
  <conditionalFormatting sqref="H4:H133">
    <cfRule type="cellIs" dxfId="3" priority="3" operator="equal">
      <formula>"VENCIDA"</formula>
    </cfRule>
  </conditionalFormatting>
  <conditionalFormatting sqref="H4:H133">
    <cfRule type="cellIs" dxfId="4" priority="4" operator="equal">
      <formula>"VIGENTE"</formula>
    </cfRule>
  </conditionalFormatting>
  <conditionalFormatting sqref="H4:H133">
    <cfRule type="cellIs" dxfId="2" priority="5" operator="equal">
      <formula>"VENCE HOY"</formula>
    </cfRule>
  </conditionalFormatting>
  <dataValidations>
    <dataValidation type="list" allowBlank="1" showErrorMessage="1" sqref="G4:G133">
      <formula1>"transferencia,mercado pago,efectivo"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2461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2462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45735.0</v>
      </c>
      <c r="C4" s="644">
        <f>B4+7</f>
        <v>45742</v>
      </c>
      <c r="D4" s="643">
        <v>44000.0</v>
      </c>
      <c r="E4" s="645" t="b">
        <v>1</v>
      </c>
      <c r="F4" s="646" t="str">
        <f t="shared" ref="F4:F132" si="1">IF(E4,"PAGADO","ADEUDA")</f>
        <v>PAGADO</v>
      </c>
      <c r="G4" s="340" t="s">
        <v>2278</v>
      </c>
      <c r="H4" s="646" t="str">
        <f t="shared" ref="H4:H132" si="2">IF(C4&lt;TODAY(),"VENCIDA",IF(C4=TODAY(),"VENCE HOY",IF(C4&gt;TODAY(),"VIGENTE")))</f>
        <v>VENCIDA</v>
      </c>
      <c r="I4" s="647">
        <f t="shared" ref="I4:I132" si="3">TODAY()-C4</f>
        <v>425</v>
      </c>
      <c r="J4" s="768" t="s">
        <v>31</v>
      </c>
      <c r="K4" s="769"/>
    </row>
    <row r="5">
      <c r="A5" s="643" t="s">
        <v>2463</v>
      </c>
      <c r="B5" s="644">
        <v>45776.0</v>
      </c>
      <c r="C5" s="644">
        <v>45777.0</v>
      </c>
      <c r="D5" s="643">
        <v>33000.0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390</v>
      </c>
      <c r="J5" s="768" t="s">
        <v>35</v>
      </c>
      <c r="K5" s="770"/>
    </row>
    <row r="6">
      <c r="A6" s="643" t="s">
        <v>2464</v>
      </c>
      <c r="B6" s="644">
        <v>45826.0</v>
      </c>
      <c r="C6" s="644"/>
      <c r="D6" s="643">
        <v>54000.0</v>
      </c>
      <c r="E6" s="645" t="b">
        <v>1</v>
      </c>
      <c r="F6" s="646" t="str">
        <f t="shared" si="1"/>
        <v>PAGADO</v>
      </c>
      <c r="G6" s="340" t="s">
        <v>2276</v>
      </c>
      <c r="H6" s="646" t="str">
        <f t="shared" si="2"/>
        <v>VENCIDA</v>
      </c>
      <c r="I6" s="647">
        <f t="shared" si="3"/>
        <v>46167</v>
      </c>
      <c r="J6" s="768" t="s">
        <v>37</v>
      </c>
      <c r="K6" s="770"/>
    </row>
    <row r="7">
      <c r="A7" s="643" t="s">
        <v>2465</v>
      </c>
      <c r="B7" s="644">
        <v>45882.0</v>
      </c>
      <c r="C7" s="644">
        <f t="shared" ref="C7:C132" si="4">B7</f>
        <v>45882</v>
      </c>
      <c r="D7" s="643">
        <v>56200.0</v>
      </c>
      <c r="E7" s="645" t="b">
        <v>1</v>
      </c>
      <c r="F7" s="646" t="str">
        <f t="shared" si="1"/>
        <v>PAGADO</v>
      </c>
      <c r="G7" s="340" t="s">
        <v>2276</v>
      </c>
      <c r="H7" s="646" t="str">
        <f t="shared" si="2"/>
        <v>VENCIDA</v>
      </c>
      <c r="I7" s="647">
        <f t="shared" si="3"/>
        <v>285</v>
      </c>
      <c r="J7" s="768" t="s">
        <v>39</v>
      </c>
      <c r="K7" s="770"/>
    </row>
    <row r="8">
      <c r="A8" s="643">
        <v>4004.0</v>
      </c>
      <c r="B8" s="644">
        <v>45951.0</v>
      </c>
      <c r="C8" s="644">
        <f t="shared" si="4"/>
        <v>45951</v>
      </c>
      <c r="D8" s="643">
        <v>45900.0</v>
      </c>
      <c r="E8" s="645" t="b">
        <v>1</v>
      </c>
      <c r="F8" s="646" t="str">
        <f t="shared" si="1"/>
        <v>PAGADO</v>
      </c>
      <c r="G8" s="340" t="s">
        <v>2276</v>
      </c>
      <c r="H8" s="646" t="str">
        <f t="shared" si="2"/>
        <v>VENCIDA</v>
      </c>
      <c r="I8" s="647">
        <f t="shared" si="3"/>
        <v>216</v>
      </c>
      <c r="J8" s="768" t="s">
        <v>41</v>
      </c>
      <c r="K8" s="770"/>
    </row>
    <row r="9">
      <c r="A9" s="643">
        <v>4282.0</v>
      </c>
      <c r="B9" s="644">
        <v>46002.0</v>
      </c>
      <c r="C9" s="644">
        <f t="shared" si="4"/>
        <v>46002</v>
      </c>
      <c r="D9" s="643">
        <v>56000.0</v>
      </c>
      <c r="E9" s="645" t="b">
        <v>1</v>
      </c>
      <c r="F9" s="646" t="str">
        <f t="shared" si="1"/>
        <v>PAGADO</v>
      </c>
      <c r="G9" s="340" t="s">
        <v>2276</v>
      </c>
      <c r="H9" s="646" t="str">
        <f t="shared" si="2"/>
        <v>VENCIDA</v>
      </c>
      <c r="I9" s="647">
        <f t="shared" si="3"/>
        <v>165</v>
      </c>
      <c r="J9" s="768" t="s">
        <v>42</v>
      </c>
      <c r="K9" s="770"/>
    </row>
    <row r="10">
      <c r="A10" s="643">
        <v>4556.0</v>
      </c>
      <c r="B10" s="644">
        <v>46057.0</v>
      </c>
      <c r="C10" s="644">
        <f t="shared" si="4"/>
        <v>46057</v>
      </c>
      <c r="D10" s="643">
        <v>63000.0</v>
      </c>
      <c r="E10" s="645" t="b">
        <v>1</v>
      </c>
      <c r="F10" s="646" t="str">
        <f t="shared" si="1"/>
        <v>PAGADO</v>
      </c>
      <c r="G10" s="340" t="s">
        <v>2276</v>
      </c>
      <c r="H10" s="646" t="str">
        <f t="shared" si="2"/>
        <v>VENCIDA</v>
      </c>
      <c r="I10" s="647">
        <f t="shared" si="3"/>
        <v>110</v>
      </c>
      <c r="J10" s="768" t="s">
        <v>43</v>
      </c>
      <c r="K10" s="770">
        <f>D7</f>
        <v>56200</v>
      </c>
    </row>
    <row r="11">
      <c r="A11" s="644"/>
      <c r="B11" s="644"/>
      <c r="C11" s="644" t="str">
        <f t="shared" si="4"/>
        <v/>
      </c>
      <c r="D11" s="643"/>
      <c r="E11" s="658" t="b">
        <v>0</v>
      </c>
      <c r="F11" s="646" t="str">
        <f t="shared" si="1"/>
        <v>ADEUDA</v>
      </c>
      <c r="G11" s="340" t="s">
        <v>2278</v>
      </c>
      <c r="H11" s="646" t="str">
        <f t="shared" si="2"/>
        <v>VENCIDA</v>
      </c>
      <c r="I11" s="647">
        <f t="shared" si="3"/>
        <v>46167</v>
      </c>
      <c r="J11" s="768" t="s">
        <v>45</v>
      </c>
      <c r="K11" s="770"/>
    </row>
    <row r="12">
      <c r="A12" s="644"/>
      <c r="B12" s="644"/>
      <c r="C12" s="644" t="str">
        <f t="shared" si="4"/>
        <v/>
      </c>
      <c r="D12" s="643"/>
      <c r="E12" s="658" t="b">
        <v>0</v>
      </c>
      <c r="F12" s="646" t="str">
        <f t="shared" si="1"/>
        <v>ADEUDA</v>
      </c>
      <c r="G12" s="340" t="s">
        <v>2278</v>
      </c>
      <c r="H12" s="646" t="str">
        <f t="shared" si="2"/>
        <v>VENCIDA</v>
      </c>
      <c r="I12" s="647">
        <f t="shared" si="3"/>
        <v>46167</v>
      </c>
      <c r="J12" s="768" t="s">
        <v>49</v>
      </c>
      <c r="K12" s="770"/>
    </row>
    <row r="13">
      <c r="A13" s="644"/>
      <c r="B13" s="644"/>
      <c r="C13" s="644" t="str">
        <f t="shared" si="4"/>
        <v/>
      </c>
      <c r="D13" s="643"/>
      <c r="E13" s="645" t="b">
        <v>0</v>
      </c>
      <c r="F13" s="646" t="str">
        <f t="shared" si="1"/>
        <v>ADEUDA</v>
      </c>
      <c r="G13" s="340" t="s">
        <v>2278</v>
      </c>
      <c r="H13" s="646" t="str">
        <f t="shared" si="2"/>
        <v>VENCIDA</v>
      </c>
      <c r="I13" s="647">
        <f t="shared" si="3"/>
        <v>46167</v>
      </c>
      <c r="J13" s="768" t="s">
        <v>50</v>
      </c>
      <c r="K13" s="770"/>
    </row>
    <row r="14">
      <c r="A14" s="644"/>
      <c r="B14" s="644"/>
      <c r="C14" s="644" t="str">
        <f t="shared" si="4"/>
        <v/>
      </c>
      <c r="D14" s="643"/>
      <c r="E14" s="658" t="b">
        <v>0</v>
      </c>
      <c r="F14" s="646" t="str">
        <f t="shared" si="1"/>
        <v>ADEUDA</v>
      </c>
      <c r="G14" s="340" t="s">
        <v>2278</v>
      </c>
      <c r="H14" s="646" t="str">
        <f t="shared" si="2"/>
        <v>VENCIDA</v>
      </c>
      <c r="I14" s="647">
        <f t="shared" si="3"/>
        <v>46167</v>
      </c>
      <c r="J14" s="768" t="s">
        <v>51</v>
      </c>
      <c r="K14" s="770">
        <f>D9</f>
        <v>56000</v>
      </c>
    </row>
    <row r="15">
      <c r="A15" s="644"/>
      <c r="B15" s="644"/>
      <c r="C15" s="644" t="str">
        <f t="shared" si="4"/>
        <v/>
      </c>
      <c r="D15" s="643"/>
      <c r="E15" s="645" t="b">
        <v>0</v>
      </c>
      <c r="F15" s="646" t="str">
        <f t="shared" si="1"/>
        <v>ADEUDA</v>
      </c>
      <c r="G15" s="340" t="s">
        <v>2278</v>
      </c>
      <c r="H15" s="646" t="str">
        <f t="shared" si="2"/>
        <v>VENCIDA</v>
      </c>
      <c r="I15" s="647">
        <f t="shared" si="3"/>
        <v>46167</v>
      </c>
    </row>
    <row r="16">
      <c r="A16" s="644"/>
      <c r="B16" s="644"/>
      <c r="C16" s="644" t="str">
        <f t="shared" si="4"/>
        <v/>
      </c>
      <c r="D16" s="643"/>
      <c r="E16" s="654" t="b">
        <v>0</v>
      </c>
      <c r="F16" s="646" t="str">
        <f t="shared" si="1"/>
        <v>ADEUDA</v>
      </c>
      <c r="G16" s="340" t="s">
        <v>2278</v>
      </c>
      <c r="H16" s="646" t="str">
        <f t="shared" si="2"/>
        <v>VENCIDA</v>
      </c>
      <c r="I16" s="647">
        <f t="shared" si="3"/>
        <v>46167</v>
      </c>
      <c r="K16" s="318"/>
    </row>
    <row r="17">
      <c r="A17" s="644"/>
      <c r="B17" s="644"/>
      <c r="C17" s="644" t="str">
        <f t="shared" si="4"/>
        <v/>
      </c>
      <c r="D17" s="643"/>
      <c r="E17" s="654" t="b">
        <v>0</v>
      </c>
      <c r="F17" s="646" t="str">
        <f t="shared" si="1"/>
        <v>ADEUDA</v>
      </c>
      <c r="G17" s="340" t="s">
        <v>2278</v>
      </c>
      <c r="H17" s="646" t="str">
        <f t="shared" si="2"/>
        <v>VENCIDA</v>
      </c>
      <c r="I17" s="647">
        <f t="shared" si="3"/>
        <v>46167</v>
      </c>
    </row>
    <row r="18">
      <c r="A18" s="644"/>
      <c r="B18" s="644"/>
      <c r="C18" s="644" t="str">
        <f t="shared" si="4"/>
        <v/>
      </c>
      <c r="D18" s="643"/>
      <c r="E18" s="654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4"/>
      <c r="B19" s="644"/>
      <c r="C19" s="644" t="str">
        <f t="shared" si="4"/>
        <v/>
      </c>
      <c r="D19" s="643"/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/>
      <c r="C20" s="644" t="str">
        <f t="shared" si="4"/>
        <v/>
      </c>
      <c r="D20" s="643"/>
      <c r="E20" s="658" t="b">
        <v>0</v>
      </c>
      <c r="F20" s="646" t="str">
        <f t="shared" si="1"/>
        <v>ADEUDA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/>
      <c r="C21" s="644" t="str">
        <f t="shared" si="4"/>
        <v/>
      </c>
      <c r="D21" s="643"/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/>
      <c r="C22" s="644" t="str">
        <f t="shared" si="4"/>
        <v/>
      </c>
      <c r="D22" s="643"/>
      <c r="E22" s="658" t="b">
        <v>0</v>
      </c>
      <c r="F22" s="646" t="str">
        <f t="shared" si="1"/>
        <v>ADEUDA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 t="str">
        <f t="shared" si="4"/>
        <v/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 t="str">
        <f t="shared" si="4"/>
        <v/>
      </c>
      <c r="D25" s="643"/>
      <c r="E25" s="658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 t="str">
        <f t="shared" si="4"/>
        <v/>
      </c>
      <c r="D26" s="643"/>
      <c r="E26" s="645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 t="str">
        <f t="shared" si="4"/>
        <v/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 t="str">
        <f t="shared" si="4"/>
        <v/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/>
      <c r="C29" s="644" t="str">
        <f t="shared" si="4"/>
        <v/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/>
      <c r="C30" s="644" t="str">
        <f t="shared" si="4"/>
        <v/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/>
      <c r="C31" s="644" t="str">
        <f t="shared" si="4"/>
        <v/>
      </c>
      <c r="D31" s="643"/>
      <c r="E31" s="658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/>
      <c r="C32" s="644" t="str">
        <f t="shared" si="4"/>
        <v/>
      </c>
      <c r="D32" s="643"/>
      <c r="E32" s="645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/>
      <c r="C33" s="644" t="str">
        <f t="shared" si="4"/>
        <v/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/>
      <c r="C34" s="644" t="str">
        <f t="shared" si="4"/>
        <v/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/>
      <c r="C35" s="644" t="str">
        <f t="shared" si="4"/>
        <v/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/>
      <c r="C36" s="644" t="str">
        <f t="shared" si="4"/>
        <v/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/>
      <c r="C37" s="644" t="str">
        <f t="shared" si="4"/>
        <v/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/>
      <c r="C38" s="644" t="str">
        <f t="shared" si="4"/>
        <v/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/>
      <c r="C39" s="644" t="str">
        <f t="shared" si="4"/>
        <v/>
      </c>
      <c r="D39" s="643"/>
      <c r="E39" s="658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/>
      <c r="C40" s="644" t="str">
        <f t="shared" si="4"/>
        <v/>
      </c>
      <c r="D40" s="643"/>
      <c r="E40" s="645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/>
      <c r="C41" s="644" t="str">
        <f t="shared" si="4"/>
        <v/>
      </c>
      <c r="D41" s="643"/>
      <c r="E41" s="645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/>
      <c r="C42" s="644" t="str">
        <f t="shared" si="4"/>
        <v/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/>
      <c r="C43" s="644" t="str">
        <f t="shared" si="4"/>
        <v/>
      </c>
      <c r="D43" s="643"/>
      <c r="E43" s="658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/>
      <c r="C44" s="644" t="str">
        <f t="shared" si="4"/>
        <v/>
      </c>
      <c r="D44" s="643"/>
      <c r="E44" s="645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/>
      <c r="C45" s="644" t="str">
        <f t="shared" si="4"/>
        <v/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/>
      <c r="C46" s="644" t="str">
        <f t="shared" si="4"/>
        <v/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46167</v>
      </c>
    </row>
    <row r="47">
      <c r="A47" s="644"/>
      <c r="B47" s="644"/>
      <c r="C47" s="644" t="str">
        <f t="shared" si="4"/>
        <v/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/>
      <c r="C48" s="644" t="str">
        <f t="shared" si="4"/>
        <v/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46167</v>
      </c>
    </row>
    <row r="49">
      <c r="A49" s="644"/>
      <c r="B49" s="644"/>
      <c r="C49" s="644" t="str">
        <f t="shared" si="4"/>
        <v/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46167</v>
      </c>
    </row>
    <row r="50">
      <c r="A50" s="644"/>
      <c r="B50" s="644"/>
      <c r="C50" s="644" t="str">
        <f t="shared" si="4"/>
        <v/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/>
      <c r="C51" s="644" t="str">
        <f t="shared" si="4"/>
        <v/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/>
      <c r="C52" s="644" t="str">
        <f t="shared" si="4"/>
        <v/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/>
      <c r="C53" s="644" t="str">
        <f t="shared" si="4"/>
        <v/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/>
      <c r="C54" s="644" t="str">
        <f t="shared" si="4"/>
        <v/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46167</v>
      </c>
    </row>
    <row r="55">
      <c r="A55" s="644"/>
      <c r="B55" s="644"/>
      <c r="C55" s="644" t="str">
        <f t="shared" si="4"/>
        <v/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/>
      <c r="C56" s="644" t="str">
        <f t="shared" si="4"/>
        <v/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/>
      <c r="C57" s="644" t="str">
        <f t="shared" si="4"/>
        <v/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/>
      <c r="C58" s="644" t="str">
        <f t="shared" si="4"/>
        <v/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/>
      <c r="C59" s="644" t="str">
        <f t="shared" si="4"/>
        <v/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/>
      <c r="C60" s="644" t="str">
        <f t="shared" si="4"/>
        <v/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/>
      <c r="C61" s="644" t="str">
        <f t="shared" si="4"/>
        <v/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46167</v>
      </c>
    </row>
    <row r="62">
      <c r="A62" s="644"/>
      <c r="B62" s="644"/>
      <c r="C62" s="644" t="str">
        <f t="shared" si="4"/>
        <v/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/>
      <c r="C63" s="644" t="str">
        <f t="shared" si="4"/>
        <v/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 t="str">
        <f t="shared" si="4"/>
        <v/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 t="str">
        <f t="shared" si="4"/>
        <v/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 t="str">
        <f t="shared" si="4"/>
        <v/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 t="str">
        <f t="shared" si="4"/>
        <v/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 t="str">
        <f t="shared" si="4"/>
        <v/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 t="str">
        <f t="shared" si="4"/>
        <v/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 t="str">
        <f t="shared" si="4"/>
        <v/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 t="str">
        <f t="shared" si="4"/>
        <v/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 t="str">
        <f t="shared" si="4"/>
        <v/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 t="str">
        <f t="shared" si="4"/>
        <v/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 t="str">
        <f t="shared" si="4"/>
        <v/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 t="str">
        <f t="shared" si="4"/>
        <v/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 t="str">
        <f t="shared" si="4"/>
        <v/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 t="str">
        <f t="shared" si="4"/>
        <v/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 t="str">
        <f t="shared" si="4"/>
        <v/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 t="str">
        <f t="shared" si="4"/>
        <v/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 t="str">
        <f t="shared" si="4"/>
        <v/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 t="str">
        <f t="shared" si="4"/>
        <v/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 t="str">
        <f t="shared" si="4"/>
        <v/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 t="str">
        <f t="shared" si="4"/>
        <v/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 t="str">
        <f t="shared" si="4"/>
        <v/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 t="str">
        <f t="shared" si="4"/>
        <v/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 t="str">
        <f t="shared" si="4"/>
        <v/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 t="str">
        <f t="shared" si="4"/>
        <v/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 t="str">
        <f t="shared" si="4"/>
        <v/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 t="str">
        <f t="shared" si="4"/>
        <v/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 t="str">
        <f t="shared" si="4"/>
        <v/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 t="str">
        <f t="shared" si="4"/>
        <v/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 t="str">
        <f t="shared" si="4"/>
        <v/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 t="str">
        <f t="shared" si="4"/>
        <v/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 t="str">
        <f t="shared" si="4"/>
        <v/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 t="str">
        <f t="shared" si="4"/>
        <v/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 t="str">
        <f t="shared" si="4"/>
        <v/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 t="str">
        <f t="shared" si="4"/>
        <v/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 t="str">
        <f t="shared" si="4"/>
        <v/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 t="str">
        <f t="shared" si="4"/>
        <v/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 t="str">
        <f t="shared" si="4"/>
        <v/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 t="str">
        <f t="shared" si="4"/>
        <v/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 t="str">
        <f t="shared" si="4"/>
        <v/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 t="str">
        <f t="shared" si="4"/>
        <v/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 t="str">
        <f t="shared" si="4"/>
        <v/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 t="str">
        <f t="shared" si="4"/>
        <v/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 t="str">
        <f t="shared" si="4"/>
        <v/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 t="str">
        <f t="shared" si="4"/>
        <v/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 t="str">
        <f t="shared" si="4"/>
        <v/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 t="str">
        <f t="shared" si="4"/>
        <v/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 t="str">
        <f t="shared" si="4"/>
        <v/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 t="str">
        <f t="shared" si="4"/>
        <v/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 t="str">
        <f t="shared" si="4"/>
        <v/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 t="str">
        <f t="shared" si="4"/>
        <v/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 t="str">
        <f t="shared" si="4"/>
        <v/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 t="str">
        <f t="shared" si="4"/>
        <v/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 t="str">
        <f t="shared" si="4"/>
        <v/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 t="str">
        <f t="shared" si="4"/>
        <v/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 t="str">
        <f t="shared" si="4"/>
        <v/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 t="str">
        <f t="shared" si="4"/>
        <v/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 t="str">
        <f t="shared" si="4"/>
        <v/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 t="str">
        <f t="shared" si="4"/>
        <v/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 t="str">
        <f t="shared" si="4"/>
        <v/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 t="str">
        <f t="shared" si="4"/>
        <v/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 t="str">
        <f t="shared" si="4"/>
        <v/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 t="str">
        <f t="shared" si="4"/>
        <v/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 t="str">
        <f t="shared" si="4"/>
        <v/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 t="str">
        <f t="shared" si="4"/>
        <v/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 t="str">
        <f t="shared" si="4"/>
        <v/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 t="str">
        <f t="shared" si="4"/>
        <v/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 t="str">
        <f t="shared" si="4"/>
        <v/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 t="str">
        <f t="shared" si="4"/>
        <v/>
      </c>
      <c r="D131" s="643"/>
      <c r="E131" s="658" t="b">
        <v>0</v>
      </c>
      <c r="F131" s="646" t="str">
        <f t="shared" si="1"/>
        <v>ADEUDA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2">
      <c r="A132" s="644"/>
      <c r="B132" s="644"/>
      <c r="C132" s="644" t="str">
        <f t="shared" si="4"/>
        <v/>
      </c>
      <c r="D132" s="643"/>
      <c r="E132" s="645" t="b">
        <v>1</v>
      </c>
      <c r="F132" s="646" t="str">
        <f t="shared" si="1"/>
        <v>PAGADO</v>
      </c>
      <c r="G132" s="340" t="s">
        <v>2278</v>
      </c>
      <c r="H132" s="646" t="str">
        <f t="shared" si="2"/>
        <v>VENCIDA</v>
      </c>
      <c r="I132" s="647">
        <f t="shared" si="3"/>
        <v>46167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352100</v>
      </c>
    </row>
    <row r="137">
      <c r="C137" s="697" t="s">
        <v>28</v>
      </c>
      <c r="D137" s="3">
        <f>D135+D136</f>
        <v>352100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2466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>
        <v>362047.0</v>
      </c>
      <c r="B3" s="644">
        <v>45692.0</v>
      </c>
      <c r="C3" s="644">
        <f t="shared" ref="C3:C131" si="1">B3</f>
        <v>45692</v>
      </c>
      <c r="D3" s="643">
        <v>134718.44</v>
      </c>
      <c r="E3" s="645" t="b">
        <v>1</v>
      </c>
      <c r="F3" s="646" t="str">
        <f t="shared" ref="F3:F131" si="2">IF(E3,"PAGADO","ADEUDA")</f>
        <v>PAGADO</v>
      </c>
      <c r="G3" s="340" t="s">
        <v>2276</v>
      </c>
      <c r="H3" s="646" t="str">
        <f t="shared" ref="H3:H131" si="3">IF(C3&lt;TODAY(),"VENCIDA",IF(C3=TODAY(),"VENCE HOY",IF(C3&gt;TODAY(),"VIGENTE")))</f>
        <v>VENCIDA</v>
      </c>
      <c r="I3" s="647">
        <f t="shared" ref="I3:I131" si="4">TODAY()-C3</f>
        <v>475</v>
      </c>
      <c r="J3" s="768" t="s">
        <v>31</v>
      </c>
      <c r="K3" s="769">
        <f>D3+D4+D5+D6</f>
        <v>357383.7</v>
      </c>
    </row>
    <row r="4">
      <c r="A4" s="643">
        <v>365529.0</v>
      </c>
      <c r="B4" s="644">
        <v>45702.0</v>
      </c>
      <c r="C4" s="644">
        <f t="shared" si="1"/>
        <v>45702</v>
      </c>
      <c r="D4" s="643">
        <v>45322.66</v>
      </c>
      <c r="E4" s="645" t="b">
        <v>1</v>
      </c>
      <c r="F4" s="646" t="str">
        <f t="shared" si="2"/>
        <v>PAGADO</v>
      </c>
      <c r="G4" s="340" t="s">
        <v>2276</v>
      </c>
      <c r="H4" s="646" t="str">
        <f t="shared" si="3"/>
        <v>VENCIDA</v>
      </c>
      <c r="I4" s="647">
        <f t="shared" si="4"/>
        <v>465</v>
      </c>
      <c r="J4" s="768" t="s">
        <v>35</v>
      </c>
      <c r="K4" s="770"/>
    </row>
    <row r="5">
      <c r="A5" s="643">
        <v>367742.0</v>
      </c>
      <c r="B5" s="644">
        <v>45709.0</v>
      </c>
      <c r="C5" s="644">
        <f t="shared" si="1"/>
        <v>45709</v>
      </c>
      <c r="D5" s="643">
        <v>64122.83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458</v>
      </c>
      <c r="J5" s="768" t="s">
        <v>37</v>
      </c>
      <c r="K5" s="770"/>
    </row>
    <row r="6">
      <c r="A6" s="643">
        <v>370207.0</v>
      </c>
      <c r="B6" s="644">
        <v>45716.0</v>
      </c>
      <c r="C6" s="644">
        <f t="shared" si="1"/>
        <v>45716</v>
      </c>
      <c r="D6" s="643">
        <v>113219.77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451</v>
      </c>
      <c r="J6" s="768" t="s">
        <v>39</v>
      </c>
      <c r="K6" s="770"/>
    </row>
    <row r="7">
      <c r="A7" s="643">
        <v>372883.0</v>
      </c>
      <c r="B7" s="644">
        <v>45727.0</v>
      </c>
      <c r="C7" s="644">
        <f t="shared" si="1"/>
        <v>45727</v>
      </c>
      <c r="D7" s="643">
        <v>45322.66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440</v>
      </c>
      <c r="J7" s="768" t="s">
        <v>41</v>
      </c>
      <c r="K7" s="770"/>
    </row>
    <row r="8">
      <c r="A8" s="643">
        <v>375003.0</v>
      </c>
      <c r="B8" s="644">
        <v>45734.0</v>
      </c>
      <c r="C8" s="644">
        <f t="shared" si="1"/>
        <v>45734</v>
      </c>
      <c r="D8" s="643">
        <v>59877.88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433</v>
      </c>
      <c r="J8" s="768" t="s">
        <v>42</v>
      </c>
      <c r="K8" s="770">
        <f>D21+D22+D23+D24+D25+D26+D27</f>
        <v>422046.68</v>
      </c>
    </row>
    <row r="9">
      <c r="A9" s="643">
        <v>376418.0</v>
      </c>
      <c r="B9" s="644">
        <v>45737.0</v>
      </c>
      <c r="C9" s="644">
        <f t="shared" si="1"/>
        <v>45737</v>
      </c>
      <c r="D9" s="643">
        <v>74840.56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430</v>
      </c>
      <c r="J9" s="768" t="s">
        <v>43</v>
      </c>
      <c r="K9" s="770">
        <f>D28+D29+D30+D31</f>
        <v>322408.24</v>
      </c>
    </row>
    <row r="10">
      <c r="A10" s="643">
        <v>379342.0</v>
      </c>
      <c r="B10" s="644">
        <v>45748.0</v>
      </c>
      <c r="C10" s="644">
        <f t="shared" si="1"/>
        <v>45748</v>
      </c>
      <c r="D10" s="643">
        <v>46229.15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419</v>
      </c>
      <c r="J10" s="768" t="s">
        <v>45</v>
      </c>
      <c r="K10" s="770"/>
    </row>
    <row r="11">
      <c r="A11" s="643">
        <v>380203.0</v>
      </c>
      <c r="B11" s="644">
        <v>45751.0</v>
      </c>
      <c r="C11" s="644">
        <f t="shared" si="1"/>
        <v>45751</v>
      </c>
      <c r="D11" s="643">
        <v>115577.24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416</v>
      </c>
      <c r="J11" s="768" t="s">
        <v>49</v>
      </c>
      <c r="K11" s="770"/>
    </row>
    <row r="12">
      <c r="A12" s="643">
        <v>383404.0</v>
      </c>
      <c r="B12" s="644">
        <v>45762.0</v>
      </c>
      <c r="C12" s="644">
        <f t="shared" si="1"/>
        <v>45762</v>
      </c>
      <c r="D12" s="643">
        <v>46229.15</v>
      </c>
      <c r="E12" s="645" t="b">
        <v>1</v>
      </c>
      <c r="F12" s="646" t="str">
        <f t="shared" si="2"/>
        <v>PAGADO</v>
      </c>
      <c r="G12" s="340" t="s">
        <v>2276</v>
      </c>
      <c r="H12" s="646" t="str">
        <f t="shared" si="3"/>
        <v>VENCIDA</v>
      </c>
      <c r="I12" s="647">
        <f t="shared" si="4"/>
        <v>405</v>
      </c>
      <c r="J12" s="768" t="s">
        <v>50</v>
      </c>
      <c r="K12" s="770"/>
    </row>
    <row r="13">
      <c r="A13" s="643">
        <v>389477.0</v>
      </c>
      <c r="B13" s="644">
        <v>45783.0</v>
      </c>
      <c r="C13" s="644">
        <f t="shared" si="1"/>
        <v>45783</v>
      </c>
      <c r="D13" s="643">
        <v>79849.04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384</v>
      </c>
      <c r="J13" s="768" t="s">
        <v>51</v>
      </c>
      <c r="K13" s="770">
        <f>SUM(D43:D45)</f>
        <v>244150.4</v>
      </c>
    </row>
    <row r="14">
      <c r="A14" s="643">
        <v>391665.0</v>
      </c>
      <c r="B14" s="644">
        <v>45790.0</v>
      </c>
      <c r="C14" s="644">
        <f t="shared" si="1"/>
        <v>45790</v>
      </c>
      <c r="D14" s="643">
        <v>87344.29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377</v>
      </c>
    </row>
    <row r="15">
      <c r="A15" s="643">
        <v>394944.0</v>
      </c>
      <c r="B15" s="644">
        <v>45800.0</v>
      </c>
      <c r="C15" s="644">
        <f t="shared" si="1"/>
        <v>45800</v>
      </c>
      <c r="D15" s="643">
        <v>79849.04</v>
      </c>
      <c r="E15" s="654" t="b">
        <v>1</v>
      </c>
      <c r="F15" s="646" t="str">
        <f t="shared" si="2"/>
        <v>PAGADO</v>
      </c>
      <c r="G15" s="340" t="s">
        <v>2276</v>
      </c>
      <c r="H15" s="646" t="str">
        <f t="shared" si="3"/>
        <v>VENCIDA</v>
      </c>
      <c r="I15" s="647">
        <f t="shared" si="4"/>
        <v>367</v>
      </c>
    </row>
    <row r="16">
      <c r="A16" s="643">
        <v>397221.0</v>
      </c>
      <c r="B16" s="644">
        <v>45807.0</v>
      </c>
      <c r="C16" s="644">
        <f t="shared" si="1"/>
        <v>45807</v>
      </c>
      <c r="D16" s="643">
        <v>47616.0</v>
      </c>
      <c r="E16" s="654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4"/>
        <v>360</v>
      </c>
    </row>
    <row r="17">
      <c r="A17" s="643">
        <v>398037.0</v>
      </c>
      <c r="B17" s="644">
        <v>45810.0</v>
      </c>
      <c r="C17" s="644">
        <f t="shared" si="1"/>
        <v>45810</v>
      </c>
      <c r="D17" s="643">
        <v>115160.82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357</v>
      </c>
    </row>
    <row r="18">
      <c r="A18" s="643">
        <v>188757.0</v>
      </c>
      <c r="B18" s="644">
        <v>45818.0</v>
      </c>
      <c r="C18" s="644">
        <f t="shared" si="1"/>
        <v>45818</v>
      </c>
      <c r="D18" s="643">
        <v>48497.0</v>
      </c>
      <c r="E18" s="645" t="b">
        <v>1</v>
      </c>
      <c r="F18" s="646" t="str">
        <f t="shared" si="2"/>
        <v>PAGADO</v>
      </c>
      <c r="G18" s="340" t="s">
        <v>2276</v>
      </c>
      <c r="H18" s="646" t="str">
        <f t="shared" si="3"/>
        <v>VENCIDA</v>
      </c>
      <c r="I18" s="647">
        <f t="shared" si="4"/>
        <v>349</v>
      </c>
    </row>
    <row r="19">
      <c r="A19" s="643">
        <v>188702.0</v>
      </c>
      <c r="B19" s="644">
        <v>45818.0</v>
      </c>
      <c r="C19" s="644">
        <f t="shared" si="1"/>
        <v>45818</v>
      </c>
      <c r="D19" s="643">
        <v>115716.18</v>
      </c>
      <c r="E19" s="645" t="b">
        <v>1</v>
      </c>
      <c r="F19" s="646" t="str">
        <f t="shared" si="2"/>
        <v>PAGADO</v>
      </c>
      <c r="G19" s="340" t="s">
        <v>2276</v>
      </c>
      <c r="H19" s="646" t="str">
        <f t="shared" si="3"/>
        <v>VENCIDA</v>
      </c>
      <c r="I19" s="647">
        <f t="shared" si="4"/>
        <v>349</v>
      </c>
    </row>
    <row r="20">
      <c r="A20" s="643">
        <v>191001.0</v>
      </c>
      <c r="B20" s="644">
        <v>45831.0</v>
      </c>
      <c r="C20" s="644">
        <f t="shared" si="1"/>
        <v>45831</v>
      </c>
      <c r="D20" s="643">
        <v>101298.1</v>
      </c>
      <c r="E20" s="645" t="b">
        <v>1</v>
      </c>
      <c r="F20" s="646" t="str">
        <f t="shared" si="2"/>
        <v>PAGADO</v>
      </c>
      <c r="G20" s="340" t="s">
        <v>2276</v>
      </c>
      <c r="H20" s="646" t="str">
        <f t="shared" si="3"/>
        <v>VENCIDA</v>
      </c>
      <c r="I20" s="647">
        <f t="shared" si="4"/>
        <v>336</v>
      </c>
    </row>
    <row r="21">
      <c r="A21" s="643">
        <v>192563.0</v>
      </c>
      <c r="B21" s="644">
        <v>45839.0</v>
      </c>
      <c r="C21" s="644">
        <f t="shared" si="1"/>
        <v>45839</v>
      </c>
      <c r="D21" s="643">
        <v>86995.99</v>
      </c>
      <c r="E21" s="645" t="b">
        <v>1</v>
      </c>
      <c r="F21" s="646" t="str">
        <f t="shared" si="2"/>
        <v>PAGADO</v>
      </c>
      <c r="G21" s="340" t="s">
        <v>2276</v>
      </c>
      <c r="H21" s="646" t="str">
        <f t="shared" si="3"/>
        <v>VENCIDA</v>
      </c>
      <c r="I21" s="647">
        <f t="shared" si="4"/>
        <v>328</v>
      </c>
    </row>
    <row r="22">
      <c r="A22" s="643">
        <v>193925.0</v>
      </c>
      <c r="B22" s="644">
        <v>45848.0</v>
      </c>
      <c r="C22" s="644">
        <f t="shared" si="1"/>
        <v>45848</v>
      </c>
      <c r="D22" s="643">
        <v>21999.0</v>
      </c>
      <c r="E22" s="645" t="b">
        <v>1</v>
      </c>
      <c r="F22" s="646" t="str">
        <f t="shared" si="2"/>
        <v>PAGADO</v>
      </c>
      <c r="G22" s="340" t="s">
        <v>2276</v>
      </c>
      <c r="H22" s="646" t="str">
        <f t="shared" si="3"/>
        <v>VENCIDA</v>
      </c>
      <c r="I22" s="647">
        <f t="shared" si="4"/>
        <v>319</v>
      </c>
    </row>
    <row r="23">
      <c r="A23" s="643">
        <v>93920.0</v>
      </c>
      <c r="B23" s="644">
        <v>45848.0</v>
      </c>
      <c r="C23" s="644">
        <f t="shared" si="1"/>
        <v>45848</v>
      </c>
      <c r="D23" s="643">
        <v>43500.0</v>
      </c>
      <c r="E23" s="645" t="b">
        <v>1</v>
      </c>
      <c r="F23" s="646" t="str">
        <f t="shared" si="2"/>
        <v>PAGADO</v>
      </c>
      <c r="G23" s="340" t="s">
        <v>2276</v>
      </c>
      <c r="H23" s="646" t="str">
        <f t="shared" si="3"/>
        <v>VENCIDA</v>
      </c>
      <c r="I23" s="647">
        <f t="shared" si="4"/>
        <v>319</v>
      </c>
    </row>
    <row r="24">
      <c r="A24" s="643">
        <v>195186.0</v>
      </c>
      <c r="B24" s="644">
        <v>45853.0</v>
      </c>
      <c r="C24" s="644">
        <f t="shared" si="1"/>
        <v>45853</v>
      </c>
      <c r="D24" s="643">
        <v>47378.16</v>
      </c>
      <c r="E24" s="645" t="b">
        <v>1</v>
      </c>
      <c r="F24" s="646" t="str">
        <f t="shared" si="2"/>
        <v>PAGADO</v>
      </c>
      <c r="G24" s="340" t="s">
        <v>2278</v>
      </c>
      <c r="H24" s="646" t="str">
        <f t="shared" si="3"/>
        <v>VENCIDA</v>
      </c>
      <c r="I24" s="647">
        <f t="shared" si="4"/>
        <v>314</v>
      </c>
    </row>
    <row r="25">
      <c r="A25" s="643">
        <v>195743.0</v>
      </c>
      <c r="B25" s="644">
        <v>45855.0</v>
      </c>
      <c r="C25" s="644">
        <f t="shared" si="1"/>
        <v>45855</v>
      </c>
      <c r="D25" s="643">
        <v>40478.15</v>
      </c>
      <c r="E25" s="645" t="b">
        <v>1</v>
      </c>
      <c r="F25" s="646" t="str">
        <f t="shared" si="2"/>
        <v>PAGADO</v>
      </c>
      <c r="G25" s="340" t="s">
        <v>2278</v>
      </c>
      <c r="H25" s="646" t="str">
        <f t="shared" si="3"/>
        <v>VENCIDA</v>
      </c>
      <c r="I25" s="647">
        <f t="shared" si="4"/>
        <v>312</v>
      </c>
    </row>
    <row r="26">
      <c r="A26" s="643">
        <v>196543.0</v>
      </c>
      <c r="B26" s="644">
        <v>45860.0</v>
      </c>
      <c r="C26" s="644">
        <f t="shared" si="1"/>
        <v>45860</v>
      </c>
      <c r="D26" s="643">
        <v>97517.23</v>
      </c>
      <c r="E26" s="645" t="b">
        <v>1</v>
      </c>
      <c r="F26" s="646" t="str">
        <f t="shared" si="2"/>
        <v>PAGADO</v>
      </c>
      <c r="G26" s="340" t="s">
        <v>2276</v>
      </c>
      <c r="H26" s="646" t="str">
        <f t="shared" si="3"/>
        <v>VENCIDA</v>
      </c>
      <c r="I26" s="647">
        <f t="shared" si="4"/>
        <v>307</v>
      </c>
    </row>
    <row r="27">
      <c r="A27" s="643">
        <v>197798.0</v>
      </c>
      <c r="B27" s="644">
        <v>45867.0</v>
      </c>
      <c r="C27" s="644">
        <f t="shared" si="1"/>
        <v>45867</v>
      </c>
      <c r="D27" s="643">
        <v>84178.15</v>
      </c>
      <c r="E27" s="645" t="b">
        <v>1</v>
      </c>
      <c r="F27" s="646" t="str">
        <f t="shared" si="2"/>
        <v>PAGADO</v>
      </c>
      <c r="G27" s="340" t="s">
        <v>2276</v>
      </c>
      <c r="H27" s="646" t="str">
        <f t="shared" si="3"/>
        <v>VENCIDA</v>
      </c>
      <c r="I27" s="647">
        <f t="shared" si="4"/>
        <v>300</v>
      </c>
    </row>
    <row r="28">
      <c r="A28" s="643">
        <v>199526.0</v>
      </c>
      <c r="B28" s="644">
        <v>45875.0</v>
      </c>
      <c r="C28" s="644">
        <f t="shared" si="1"/>
        <v>45875</v>
      </c>
      <c r="D28" s="643">
        <v>75989.67</v>
      </c>
      <c r="E28" s="645" t="b">
        <v>1</v>
      </c>
      <c r="F28" s="646" t="str">
        <f t="shared" si="2"/>
        <v>PAGADO</v>
      </c>
      <c r="G28" s="340" t="s">
        <v>2276</v>
      </c>
      <c r="H28" s="646" t="str">
        <f t="shared" si="3"/>
        <v>VENCIDA</v>
      </c>
      <c r="I28" s="647">
        <f t="shared" si="4"/>
        <v>292</v>
      </c>
    </row>
    <row r="29">
      <c r="A29" s="643">
        <v>200450.0</v>
      </c>
      <c r="B29" s="644">
        <v>45881.0</v>
      </c>
      <c r="C29" s="644">
        <f t="shared" si="1"/>
        <v>45881</v>
      </c>
      <c r="D29" s="643">
        <v>82175.83</v>
      </c>
      <c r="E29" s="645" t="b">
        <v>1</v>
      </c>
      <c r="F29" s="646" t="str">
        <f t="shared" si="2"/>
        <v>PAGADO</v>
      </c>
      <c r="G29" s="340" t="s">
        <v>2276</v>
      </c>
      <c r="H29" s="646" t="str">
        <f t="shared" si="3"/>
        <v>VENCIDA</v>
      </c>
      <c r="I29" s="647">
        <f t="shared" si="4"/>
        <v>286</v>
      </c>
    </row>
    <row r="30">
      <c r="A30" s="643">
        <v>201963.0</v>
      </c>
      <c r="B30" s="644">
        <v>45888.0</v>
      </c>
      <c r="C30" s="644">
        <f t="shared" si="1"/>
        <v>45888</v>
      </c>
      <c r="D30" s="643">
        <v>84909.74</v>
      </c>
      <c r="E30" s="645" t="b">
        <v>1</v>
      </c>
      <c r="F30" s="646" t="str">
        <f t="shared" si="2"/>
        <v>PAGADO</v>
      </c>
      <c r="G30" s="340" t="s">
        <v>2276</v>
      </c>
      <c r="H30" s="646" t="str">
        <f t="shared" si="3"/>
        <v>VENCIDA</v>
      </c>
      <c r="I30" s="647">
        <f t="shared" si="4"/>
        <v>279</v>
      </c>
    </row>
    <row r="31">
      <c r="A31" s="643">
        <v>203593.0</v>
      </c>
      <c r="B31" s="644">
        <v>45896.0</v>
      </c>
      <c r="C31" s="644">
        <f t="shared" si="1"/>
        <v>45896</v>
      </c>
      <c r="D31" s="643">
        <v>79333.0</v>
      </c>
      <c r="E31" s="645" t="b">
        <v>1</v>
      </c>
      <c r="F31" s="646" t="str">
        <f t="shared" si="2"/>
        <v>PAGADO</v>
      </c>
      <c r="G31" s="340" t="s">
        <v>2276</v>
      </c>
      <c r="H31" s="646" t="str">
        <f t="shared" si="3"/>
        <v>VENCIDA</v>
      </c>
      <c r="I31" s="647">
        <f t="shared" si="4"/>
        <v>271</v>
      </c>
    </row>
    <row r="32">
      <c r="A32" s="643">
        <v>205894.0</v>
      </c>
      <c r="B32" s="644">
        <v>45909.0</v>
      </c>
      <c r="C32" s="644">
        <f t="shared" si="1"/>
        <v>45909</v>
      </c>
      <c r="D32" s="643">
        <v>92336.0</v>
      </c>
      <c r="E32" s="645" t="b">
        <v>1</v>
      </c>
      <c r="F32" s="646" t="str">
        <f t="shared" si="2"/>
        <v>PAGADO</v>
      </c>
      <c r="G32" s="340" t="s">
        <v>2278</v>
      </c>
      <c r="H32" s="646" t="str">
        <f t="shared" si="3"/>
        <v>VENCIDA</v>
      </c>
      <c r="I32" s="647">
        <f t="shared" si="4"/>
        <v>258</v>
      </c>
    </row>
    <row r="33">
      <c r="A33" s="643">
        <v>207766.0</v>
      </c>
      <c r="B33" s="644">
        <v>45918.0</v>
      </c>
      <c r="C33" s="644">
        <f t="shared" si="1"/>
        <v>45918</v>
      </c>
      <c r="D33" s="643">
        <v>86937.4</v>
      </c>
      <c r="E33" s="645" t="b">
        <v>1</v>
      </c>
      <c r="F33" s="646" t="str">
        <f t="shared" si="2"/>
        <v>PAGADO</v>
      </c>
      <c r="G33" s="340" t="s">
        <v>2278</v>
      </c>
      <c r="H33" s="646" t="str">
        <f t="shared" si="3"/>
        <v>VENCIDA</v>
      </c>
      <c r="I33" s="647">
        <f t="shared" si="4"/>
        <v>249</v>
      </c>
    </row>
    <row r="34">
      <c r="A34" s="643">
        <v>209123.0</v>
      </c>
      <c r="B34" s="644">
        <v>45925.0</v>
      </c>
      <c r="C34" s="644">
        <f t="shared" si="1"/>
        <v>45925</v>
      </c>
      <c r="D34" s="643">
        <v>75697.66</v>
      </c>
      <c r="E34" s="645" t="b">
        <v>1</v>
      </c>
      <c r="F34" s="646" t="str">
        <f t="shared" si="2"/>
        <v>PAGADO</v>
      </c>
      <c r="G34" s="340" t="s">
        <v>2276</v>
      </c>
      <c r="H34" s="646" t="str">
        <f t="shared" si="3"/>
        <v>VENCIDA</v>
      </c>
      <c r="I34" s="647">
        <f t="shared" si="4"/>
        <v>242</v>
      </c>
    </row>
    <row r="35">
      <c r="A35" s="643">
        <v>210349.0</v>
      </c>
      <c r="B35" s="644">
        <v>45931.0</v>
      </c>
      <c r="C35" s="644">
        <f t="shared" si="1"/>
        <v>45931</v>
      </c>
      <c r="D35" s="643">
        <v>81898.18</v>
      </c>
      <c r="E35" s="645" t="b">
        <v>1</v>
      </c>
      <c r="F35" s="646" t="str">
        <f t="shared" si="2"/>
        <v>PAGADO</v>
      </c>
      <c r="G35" s="340" t="s">
        <v>2276</v>
      </c>
      <c r="H35" s="646" t="str">
        <f t="shared" si="3"/>
        <v>VENCIDA</v>
      </c>
      <c r="I35" s="647">
        <f t="shared" si="4"/>
        <v>236</v>
      </c>
    </row>
    <row r="36">
      <c r="A36" s="643">
        <v>211625.0</v>
      </c>
      <c r="B36" s="644">
        <v>45938.0</v>
      </c>
      <c r="C36" s="644">
        <f t="shared" si="1"/>
        <v>45938</v>
      </c>
      <c r="D36" s="643">
        <v>62377.53</v>
      </c>
      <c r="E36" s="645" t="b">
        <v>1</v>
      </c>
      <c r="F36" s="646" t="str">
        <f t="shared" si="2"/>
        <v>PAGADO</v>
      </c>
      <c r="G36" s="340" t="s">
        <v>2276</v>
      </c>
      <c r="H36" s="646" t="str">
        <f t="shared" si="3"/>
        <v>VENCIDA</v>
      </c>
      <c r="I36" s="647">
        <f t="shared" si="4"/>
        <v>229</v>
      </c>
    </row>
    <row r="37">
      <c r="A37" s="643">
        <v>13446.0</v>
      </c>
      <c r="B37" s="644">
        <v>45947.0</v>
      </c>
      <c r="C37" s="644">
        <f t="shared" si="1"/>
        <v>45947</v>
      </c>
      <c r="D37" s="643">
        <v>70358.79</v>
      </c>
      <c r="E37" s="645" t="b">
        <v>1</v>
      </c>
      <c r="F37" s="646" t="str">
        <f t="shared" si="2"/>
        <v>PAGADO</v>
      </c>
      <c r="G37" s="340" t="s">
        <v>2276</v>
      </c>
      <c r="H37" s="646" t="str">
        <f t="shared" si="3"/>
        <v>VENCIDA</v>
      </c>
      <c r="I37" s="647">
        <f t="shared" si="4"/>
        <v>220</v>
      </c>
    </row>
    <row r="38">
      <c r="A38" s="643">
        <v>214951.0</v>
      </c>
      <c r="B38" s="644">
        <v>45953.0</v>
      </c>
      <c r="C38" s="644">
        <f t="shared" si="1"/>
        <v>45953</v>
      </c>
      <c r="D38" s="643">
        <v>62377.53</v>
      </c>
      <c r="E38" s="645" t="b">
        <v>1</v>
      </c>
      <c r="F38" s="646" t="str">
        <f t="shared" si="2"/>
        <v>PAGADO</v>
      </c>
      <c r="G38" s="340" t="s">
        <v>2276</v>
      </c>
      <c r="H38" s="646" t="str">
        <f t="shared" si="3"/>
        <v>VENCIDA</v>
      </c>
      <c r="I38" s="647">
        <f t="shared" si="4"/>
        <v>214</v>
      </c>
    </row>
    <row r="39">
      <c r="A39" s="643">
        <v>216508.0</v>
      </c>
      <c r="B39" s="644">
        <v>45959.0</v>
      </c>
      <c r="C39" s="644">
        <f t="shared" si="1"/>
        <v>45959</v>
      </c>
      <c r="D39" s="643">
        <v>142214.21</v>
      </c>
      <c r="E39" s="645" t="b">
        <v>1</v>
      </c>
      <c r="F39" s="646" t="str">
        <f t="shared" si="2"/>
        <v>PAGADO</v>
      </c>
      <c r="G39" s="340" t="s">
        <v>2278</v>
      </c>
      <c r="H39" s="646" t="str">
        <f t="shared" si="3"/>
        <v>VENCIDA</v>
      </c>
      <c r="I39" s="647">
        <f t="shared" si="4"/>
        <v>208</v>
      </c>
    </row>
    <row r="40">
      <c r="A40" s="643">
        <v>218079.0</v>
      </c>
      <c r="B40" s="644">
        <v>45965.0</v>
      </c>
      <c r="C40" s="644">
        <f t="shared" si="1"/>
        <v>45965</v>
      </c>
      <c r="D40" s="643">
        <v>84357.85</v>
      </c>
      <c r="E40" s="645" t="b">
        <v>1</v>
      </c>
      <c r="F40" s="646" t="str">
        <f t="shared" si="2"/>
        <v>PAGADO</v>
      </c>
      <c r="G40" s="340" t="s">
        <v>2276</v>
      </c>
      <c r="H40" s="646" t="str">
        <f t="shared" si="3"/>
        <v>VENCIDA</v>
      </c>
      <c r="I40" s="647">
        <f t="shared" si="4"/>
        <v>202</v>
      </c>
    </row>
    <row r="41">
      <c r="A41" s="643">
        <v>221029.0</v>
      </c>
      <c r="B41" s="644">
        <v>45978.0</v>
      </c>
      <c r="C41" s="644">
        <f t="shared" si="1"/>
        <v>45978</v>
      </c>
      <c r="D41" s="643">
        <v>65940.95</v>
      </c>
      <c r="E41" s="645" t="b">
        <v>1</v>
      </c>
      <c r="F41" s="646" t="str">
        <f t="shared" si="2"/>
        <v>PAGADO</v>
      </c>
      <c r="G41" s="340" t="s">
        <v>2276</v>
      </c>
      <c r="H41" s="646" t="str">
        <f t="shared" si="3"/>
        <v>VENCIDA</v>
      </c>
      <c r="I41" s="647">
        <f t="shared" si="4"/>
        <v>189</v>
      </c>
    </row>
    <row r="42">
      <c r="A42" s="643">
        <v>222947.0</v>
      </c>
      <c r="B42" s="644">
        <v>45987.0</v>
      </c>
      <c r="C42" s="644">
        <f t="shared" si="1"/>
        <v>45987</v>
      </c>
      <c r="D42" s="643">
        <v>64764.83</v>
      </c>
      <c r="E42" s="645" t="b">
        <v>1</v>
      </c>
      <c r="F42" s="646" t="str">
        <f t="shared" si="2"/>
        <v>PAGADO</v>
      </c>
      <c r="G42" s="340" t="s">
        <v>2276</v>
      </c>
      <c r="H42" s="646" t="str">
        <f t="shared" si="3"/>
        <v>VENCIDA</v>
      </c>
      <c r="I42" s="647">
        <f t="shared" si="4"/>
        <v>180</v>
      </c>
    </row>
    <row r="43">
      <c r="A43" s="643">
        <v>225022.0</v>
      </c>
      <c r="B43" s="644">
        <v>45995.0</v>
      </c>
      <c r="C43" s="644">
        <f t="shared" si="1"/>
        <v>45995</v>
      </c>
      <c r="D43" s="643">
        <v>116794.5</v>
      </c>
      <c r="E43" s="645" t="b">
        <v>1</v>
      </c>
      <c r="F43" s="646" t="str">
        <f t="shared" si="2"/>
        <v>PAGADO</v>
      </c>
      <c r="G43" s="340" t="s">
        <v>2276</v>
      </c>
      <c r="H43" s="646" t="str">
        <f t="shared" si="3"/>
        <v>VENCIDA</v>
      </c>
      <c r="I43" s="647">
        <f t="shared" si="4"/>
        <v>172</v>
      </c>
    </row>
    <row r="44">
      <c r="A44" s="643">
        <v>226753.0</v>
      </c>
      <c r="B44" s="644">
        <v>46003.0</v>
      </c>
      <c r="C44" s="644">
        <f t="shared" si="1"/>
        <v>46003</v>
      </c>
      <c r="D44" s="643">
        <v>77643.68</v>
      </c>
      <c r="E44" s="645" t="b">
        <v>1</v>
      </c>
      <c r="F44" s="646" t="str">
        <f t="shared" si="2"/>
        <v>PAGADO</v>
      </c>
      <c r="G44" s="340" t="s">
        <v>2276</v>
      </c>
      <c r="H44" s="646" t="str">
        <f t="shared" si="3"/>
        <v>VENCIDA</v>
      </c>
      <c r="I44" s="647">
        <f t="shared" si="4"/>
        <v>164</v>
      </c>
    </row>
    <row r="45">
      <c r="A45" s="643">
        <v>229784.0</v>
      </c>
      <c r="B45" s="644">
        <v>46020.0</v>
      </c>
      <c r="C45" s="644">
        <f t="shared" si="1"/>
        <v>46020</v>
      </c>
      <c r="D45" s="643">
        <v>49712.22</v>
      </c>
      <c r="E45" s="645" t="b">
        <v>1</v>
      </c>
      <c r="F45" s="646" t="str">
        <f t="shared" si="2"/>
        <v>PAGADO</v>
      </c>
      <c r="G45" s="340" t="s">
        <v>2276</v>
      </c>
      <c r="H45" s="646" t="str">
        <f t="shared" si="3"/>
        <v>VENCIDA</v>
      </c>
      <c r="I45" s="647">
        <f t="shared" si="4"/>
        <v>147</v>
      </c>
    </row>
    <row r="46">
      <c r="A46" s="643">
        <v>231249.0</v>
      </c>
      <c r="B46" s="644">
        <v>46034.0</v>
      </c>
      <c r="C46" s="644">
        <f t="shared" si="1"/>
        <v>46034</v>
      </c>
      <c r="D46" s="643">
        <v>91938.39</v>
      </c>
      <c r="E46" s="645" t="b">
        <v>1</v>
      </c>
      <c r="F46" s="646" t="str">
        <f t="shared" si="2"/>
        <v>PAGADO</v>
      </c>
      <c r="G46" s="340" t="s">
        <v>2276</v>
      </c>
      <c r="H46" s="646" t="str">
        <f t="shared" si="3"/>
        <v>VENCIDA</v>
      </c>
      <c r="I46" s="647">
        <f t="shared" si="4"/>
        <v>133</v>
      </c>
    </row>
    <row r="47">
      <c r="A47" s="643">
        <v>2324408.0</v>
      </c>
      <c r="B47" s="644">
        <v>46038.0</v>
      </c>
      <c r="C47" s="644">
        <f t="shared" si="1"/>
        <v>46038</v>
      </c>
      <c r="D47" s="643">
        <v>81681.64</v>
      </c>
      <c r="E47" s="645" t="b">
        <v>1</v>
      </c>
      <c r="F47" s="646" t="str">
        <f t="shared" si="2"/>
        <v>PAGADO</v>
      </c>
      <c r="G47" s="340" t="s">
        <v>2276</v>
      </c>
      <c r="H47" s="646" t="str">
        <f t="shared" si="3"/>
        <v>VENCIDA</v>
      </c>
      <c r="I47" s="647">
        <f t="shared" si="4"/>
        <v>129</v>
      </c>
    </row>
    <row r="48">
      <c r="A48" s="643">
        <v>233764.0</v>
      </c>
      <c r="B48" s="644">
        <v>46045.0</v>
      </c>
      <c r="C48" s="644">
        <f t="shared" si="1"/>
        <v>46045</v>
      </c>
      <c r="D48" s="643">
        <v>113290.65</v>
      </c>
      <c r="E48" s="645" t="b">
        <v>1</v>
      </c>
      <c r="F48" s="646" t="str">
        <f t="shared" si="2"/>
        <v>PAGADO</v>
      </c>
      <c r="G48" s="340" t="s">
        <v>2287</v>
      </c>
      <c r="H48" s="646" t="str">
        <f t="shared" si="3"/>
        <v>VENCIDA</v>
      </c>
      <c r="I48" s="647">
        <f t="shared" si="4"/>
        <v>122</v>
      </c>
    </row>
    <row r="49">
      <c r="A49" s="643">
        <v>236239.0</v>
      </c>
      <c r="B49" s="644">
        <v>46057.0</v>
      </c>
      <c r="C49" s="644">
        <f t="shared" si="1"/>
        <v>46057</v>
      </c>
      <c r="D49" s="643">
        <v>81762.75</v>
      </c>
      <c r="E49" s="645" t="b">
        <v>1</v>
      </c>
      <c r="F49" s="646" t="str">
        <f t="shared" si="2"/>
        <v>PAGADO</v>
      </c>
      <c r="G49" s="340" t="s">
        <v>2276</v>
      </c>
      <c r="H49" s="646" t="str">
        <f t="shared" si="3"/>
        <v>VENCIDA</v>
      </c>
      <c r="I49" s="647">
        <f t="shared" si="4"/>
        <v>110</v>
      </c>
    </row>
    <row r="50">
      <c r="A50" s="643">
        <v>237683.0</v>
      </c>
      <c r="B50" s="644">
        <v>46064.0</v>
      </c>
      <c r="C50" s="644">
        <f t="shared" si="1"/>
        <v>46064</v>
      </c>
      <c r="D50" s="643">
        <v>119988.86</v>
      </c>
      <c r="E50" s="645" t="b">
        <v>1</v>
      </c>
      <c r="F50" s="646" t="str">
        <f t="shared" si="2"/>
        <v>PAGADO</v>
      </c>
      <c r="G50" s="340" t="s">
        <v>2276</v>
      </c>
      <c r="H50" s="646" t="str">
        <f t="shared" si="3"/>
        <v>VENCIDA</v>
      </c>
      <c r="I50" s="647">
        <f t="shared" si="4"/>
        <v>103</v>
      </c>
    </row>
    <row r="51">
      <c r="A51" s="643">
        <v>239694.0</v>
      </c>
      <c r="B51" s="644">
        <v>46076.0</v>
      </c>
      <c r="C51" s="644">
        <f t="shared" si="1"/>
        <v>46076</v>
      </c>
      <c r="D51" s="643">
        <v>106643.54</v>
      </c>
      <c r="E51" s="645" t="b">
        <v>1</v>
      </c>
      <c r="F51" s="646" t="str">
        <f t="shared" si="2"/>
        <v>PAGADO</v>
      </c>
      <c r="G51" s="340" t="s">
        <v>2287</v>
      </c>
      <c r="H51" s="646" t="str">
        <f t="shared" si="3"/>
        <v>VENCIDA</v>
      </c>
      <c r="I51" s="647">
        <f t="shared" si="4"/>
        <v>91</v>
      </c>
    </row>
    <row r="52">
      <c r="A52" s="643">
        <v>241229.0</v>
      </c>
      <c r="B52" s="644">
        <v>46081.0</v>
      </c>
      <c r="C52" s="644">
        <f t="shared" si="1"/>
        <v>46081</v>
      </c>
      <c r="D52" s="643">
        <v>116910.48</v>
      </c>
      <c r="E52" s="645" t="b">
        <v>1</v>
      </c>
      <c r="F52" s="646" t="str">
        <f t="shared" si="2"/>
        <v>PAGADO</v>
      </c>
      <c r="G52" s="340" t="s">
        <v>2287</v>
      </c>
      <c r="H52" s="646" t="str">
        <f t="shared" si="3"/>
        <v>VENCIDA</v>
      </c>
      <c r="I52" s="647">
        <f t="shared" si="4"/>
        <v>86</v>
      </c>
    </row>
    <row r="53">
      <c r="A53" s="643">
        <v>243344.0</v>
      </c>
      <c r="B53" s="644">
        <v>46090.0</v>
      </c>
      <c r="C53" s="644">
        <f t="shared" si="1"/>
        <v>46090</v>
      </c>
      <c r="D53" s="643">
        <v>52095.78</v>
      </c>
      <c r="E53" s="645" t="b">
        <v>1</v>
      </c>
      <c r="F53" s="646" t="str">
        <f t="shared" si="2"/>
        <v>PAGADO</v>
      </c>
      <c r="G53" s="340" t="s">
        <v>2276</v>
      </c>
      <c r="H53" s="646" t="str">
        <f t="shared" si="3"/>
        <v>VENCIDA</v>
      </c>
      <c r="I53" s="647">
        <f t="shared" si="4"/>
        <v>77</v>
      </c>
    </row>
    <row r="54">
      <c r="A54" s="643">
        <v>244678.0</v>
      </c>
      <c r="B54" s="644">
        <v>46097.0</v>
      </c>
      <c r="C54" s="644">
        <f t="shared" si="1"/>
        <v>46097</v>
      </c>
      <c r="D54" s="643">
        <v>75868.48</v>
      </c>
      <c r="E54" s="645" t="b">
        <v>1</v>
      </c>
      <c r="F54" s="646" t="str">
        <f t="shared" si="2"/>
        <v>PAGADO</v>
      </c>
      <c r="G54" s="340" t="s">
        <v>2287</v>
      </c>
      <c r="H54" s="646" t="str">
        <f t="shared" si="3"/>
        <v>VENCIDA</v>
      </c>
      <c r="I54" s="647">
        <f t="shared" si="4"/>
        <v>70</v>
      </c>
    </row>
    <row r="55">
      <c r="A55" s="643">
        <v>247574.0</v>
      </c>
      <c r="B55" s="644">
        <v>46107.0</v>
      </c>
      <c r="C55" s="644">
        <f t="shared" si="1"/>
        <v>46107</v>
      </c>
      <c r="D55" s="643">
        <v>68998.79</v>
      </c>
      <c r="E55" s="645" t="b">
        <v>1</v>
      </c>
      <c r="F55" s="646" t="str">
        <f t="shared" si="2"/>
        <v>PAGADO</v>
      </c>
      <c r="G55" s="340" t="s">
        <v>2276</v>
      </c>
      <c r="H55" s="646" t="str">
        <f t="shared" si="3"/>
        <v>VENCIDA</v>
      </c>
      <c r="I55" s="647">
        <f t="shared" si="4"/>
        <v>60</v>
      </c>
    </row>
    <row r="56">
      <c r="A56" s="643">
        <v>249455.0</v>
      </c>
      <c r="B56" s="644">
        <v>46119.0</v>
      </c>
      <c r="C56" s="644">
        <f t="shared" si="1"/>
        <v>46119</v>
      </c>
      <c r="D56" s="643">
        <v>120741.71</v>
      </c>
      <c r="E56" s="645" t="b">
        <v>1</v>
      </c>
      <c r="F56" s="646" t="str">
        <f t="shared" si="2"/>
        <v>PAGADO</v>
      </c>
      <c r="G56" s="340" t="s">
        <v>2278</v>
      </c>
      <c r="H56" s="646" t="str">
        <f t="shared" si="3"/>
        <v>VENCIDA</v>
      </c>
      <c r="I56" s="647">
        <f t="shared" si="4"/>
        <v>48</v>
      </c>
    </row>
    <row r="57">
      <c r="A57" s="643">
        <v>248793.0</v>
      </c>
      <c r="B57" s="644">
        <v>46113.0</v>
      </c>
      <c r="C57" s="644">
        <f t="shared" si="1"/>
        <v>46113</v>
      </c>
      <c r="D57" s="643">
        <v>32608.9</v>
      </c>
      <c r="E57" s="645" t="b">
        <v>1</v>
      </c>
      <c r="F57" s="646" t="str">
        <f t="shared" si="2"/>
        <v>PAGADO</v>
      </c>
      <c r="G57" s="340" t="s">
        <v>2278</v>
      </c>
      <c r="H57" s="646" t="str">
        <f t="shared" si="3"/>
        <v>VENCIDA</v>
      </c>
      <c r="I57" s="647">
        <f t="shared" si="4"/>
        <v>54</v>
      </c>
    </row>
    <row r="58">
      <c r="A58" s="643">
        <v>252108.0</v>
      </c>
      <c r="B58" s="644">
        <v>46128.0</v>
      </c>
      <c r="C58" s="644">
        <f t="shared" si="1"/>
        <v>46128</v>
      </c>
      <c r="D58" s="643">
        <v>35562.6</v>
      </c>
      <c r="E58" s="645" t="b">
        <v>1</v>
      </c>
      <c r="F58" s="646" t="str">
        <f t="shared" si="2"/>
        <v>PAGADO</v>
      </c>
      <c r="G58" s="340" t="s">
        <v>2278</v>
      </c>
      <c r="H58" s="646" t="str">
        <f t="shared" si="3"/>
        <v>VENCIDA</v>
      </c>
      <c r="I58" s="647">
        <f t="shared" si="4"/>
        <v>39</v>
      </c>
    </row>
    <row r="59">
      <c r="A59" s="643">
        <v>252964.0</v>
      </c>
      <c r="B59" s="644">
        <v>46133.0</v>
      </c>
      <c r="C59" s="644">
        <f t="shared" si="1"/>
        <v>46133</v>
      </c>
      <c r="D59" s="643">
        <v>104290.58</v>
      </c>
      <c r="E59" s="645" t="b">
        <v>1</v>
      </c>
      <c r="F59" s="646" t="str">
        <f t="shared" si="2"/>
        <v>PAGADO</v>
      </c>
      <c r="G59" s="340" t="s">
        <v>2278</v>
      </c>
      <c r="H59" s="646" t="str">
        <f t="shared" si="3"/>
        <v>VENCIDA</v>
      </c>
      <c r="I59" s="647">
        <f t="shared" si="4"/>
        <v>34</v>
      </c>
    </row>
    <row r="60">
      <c r="A60" s="644"/>
      <c r="B60" s="644"/>
      <c r="C60" s="644" t="str">
        <f t="shared" si="1"/>
        <v/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46167</v>
      </c>
    </row>
    <row r="61">
      <c r="A61" s="644"/>
      <c r="B61" s="644"/>
      <c r="C61" s="644" t="str">
        <f t="shared" si="1"/>
        <v/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46167</v>
      </c>
    </row>
    <row r="62">
      <c r="A62" s="644"/>
      <c r="B62" s="644"/>
      <c r="C62" s="644" t="str">
        <f t="shared" si="1"/>
        <v/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46167</v>
      </c>
    </row>
    <row r="63">
      <c r="A63" s="644"/>
      <c r="B63" s="644"/>
      <c r="C63" s="644" t="str">
        <f t="shared" si="1"/>
        <v/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46167</v>
      </c>
    </row>
    <row r="64">
      <c r="A64" s="644"/>
      <c r="B64" s="644"/>
      <c r="C64" s="644" t="str">
        <f t="shared" si="1"/>
        <v/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46167</v>
      </c>
    </row>
    <row r="65">
      <c r="A65" s="644"/>
      <c r="B65" s="644"/>
      <c r="C65" s="644" t="str">
        <f t="shared" si="1"/>
        <v/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46167</v>
      </c>
    </row>
    <row r="66">
      <c r="A66" s="644"/>
      <c r="B66" s="644"/>
      <c r="C66" s="644" t="str">
        <f t="shared" si="1"/>
        <v/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46167</v>
      </c>
    </row>
    <row r="67">
      <c r="A67" s="644"/>
      <c r="B67" s="644"/>
      <c r="C67" s="644" t="str">
        <f t="shared" si="1"/>
        <v/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46167</v>
      </c>
    </row>
    <row r="68">
      <c r="A68" s="644"/>
      <c r="B68" s="644"/>
      <c r="C68" s="644" t="str">
        <f t="shared" si="1"/>
        <v/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46167</v>
      </c>
    </row>
    <row r="69">
      <c r="A69" s="644"/>
      <c r="B69" s="644"/>
      <c r="C69" s="644" t="str">
        <f t="shared" si="1"/>
        <v/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46167</v>
      </c>
    </row>
    <row r="70">
      <c r="A70" s="644"/>
      <c r="B70" s="644"/>
      <c r="C70" s="644" t="str">
        <f t="shared" si="1"/>
        <v/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46167</v>
      </c>
    </row>
    <row r="71">
      <c r="A71" s="644"/>
      <c r="B71" s="644"/>
      <c r="C71" s="644" t="str">
        <f t="shared" si="1"/>
        <v/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46167</v>
      </c>
    </row>
    <row r="72">
      <c r="A72" s="644"/>
      <c r="B72" s="644"/>
      <c r="C72" s="644" t="str">
        <f t="shared" si="1"/>
        <v/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46167</v>
      </c>
    </row>
    <row r="73">
      <c r="A73" s="644"/>
      <c r="B73" s="644"/>
      <c r="C73" s="644" t="str">
        <f t="shared" si="1"/>
        <v/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46167</v>
      </c>
    </row>
    <row r="74">
      <c r="A74" s="644"/>
      <c r="B74" s="644"/>
      <c r="C74" s="644" t="str">
        <f t="shared" si="1"/>
        <v/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46167</v>
      </c>
    </row>
    <row r="75">
      <c r="A75" s="644"/>
      <c r="B75" s="644"/>
      <c r="C75" s="644" t="str">
        <f t="shared" si="1"/>
        <v/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46167</v>
      </c>
    </row>
    <row r="76">
      <c r="A76" s="644"/>
      <c r="B76" s="644"/>
      <c r="C76" s="644" t="str">
        <f t="shared" si="1"/>
        <v/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46167</v>
      </c>
    </row>
    <row r="77">
      <c r="A77" s="644"/>
      <c r="B77" s="644"/>
      <c r="C77" s="644" t="str">
        <f t="shared" si="1"/>
        <v/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46167</v>
      </c>
    </row>
    <row r="78">
      <c r="A78" s="644"/>
      <c r="B78" s="644"/>
      <c r="C78" s="644" t="str">
        <f t="shared" si="1"/>
        <v/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46167</v>
      </c>
    </row>
    <row r="79">
      <c r="A79" s="644"/>
      <c r="B79" s="644"/>
      <c r="C79" s="644" t="str">
        <f t="shared" si="1"/>
        <v/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46167</v>
      </c>
    </row>
    <row r="80">
      <c r="A80" s="644"/>
      <c r="B80" s="644"/>
      <c r="C80" s="644" t="str">
        <f t="shared" si="1"/>
        <v/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46167</v>
      </c>
    </row>
    <row r="81">
      <c r="A81" s="644"/>
      <c r="B81" s="644"/>
      <c r="C81" s="644" t="str">
        <f t="shared" si="1"/>
        <v/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46167</v>
      </c>
    </row>
    <row r="82">
      <c r="A82" s="644"/>
      <c r="B82" s="644"/>
      <c r="C82" s="644" t="str">
        <f t="shared" si="1"/>
        <v/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46167</v>
      </c>
    </row>
    <row r="83">
      <c r="A83" s="644"/>
      <c r="B83" s="644"/>
      <c r="C83" s="644" t="str">
        <f t="shared" si="1"/>
        <v/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46167</v>
      </c>
    </row>
    <row r="84">
      <c r="A84" s="644"/>
      <c r="B84" s="644"/>
      <c r="C84" s="644" t="str">
        <f t="shared" si="1"/>
        <v/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46167</v>
      </c>
    </row>
    <row r="85">
      <c r="A85" s="644"/>
      <c r="B85" s="644"/>
      <c r="C85" s="644" t="str">
        <f t="shared" si="1"/>
        <v/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46167</v>
      </c>
    </row>
    <row r="86">
      <c r="A86" s="644"/>
      <c r="B86" s="644"/>
      <c r="C86" s="644" t="str">
        <f t="shared" si="1"/>
        <v/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46167</v>
      </c>
    </row>
    <row r="87">
      <c r="A87" s="644"/>
      <c r="B87" s="644"/>
      <c r="C87" s="644" t="str">
        <f t="shared" si="1"/>
        <v/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46167</v>
      </c>
    </row>
    <row r="88">
      <c r="A88" s="644"/>
      <c r="B88" s="644"/>
      <c r="C88" s="644" t="str">
        <f t="shared" si="1"/>
        <v/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46167</v>
      </c>
    </row>
    <row r="89">
      <c r="A89" s="644"/>
      <c r="B89" s="644"/>
      <c r="C89" s="644" t="str">
        <f t="shared" si="1"/>
        <v/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46167</v>
      </c>
    </row>
    <row r="90">
      <c r="A90" s="644"/>
      <c r="B90" s="644"/>
      <c r="C90" s="644" t="str">
        <f t="shared" si="1"/>
        <v/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46167</v>
      </c>
    </row>
    <row r="91">
      <c r="A91" s="644"/>
      <c r="B91" s="644"/>
      <c r="C91" s="644" t="str">
        <f t="shared" si="1"/>
        <v/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46167</v>
      </c>
    </row>
    <row r="92">
      <c r="A92" s="644"/>
      <c r="B92" s="644"/>
      <c r="C92" s="644" t="str">
        <f t="shared" si="1"/>
        <v/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46167</v>
      </c>
    </row>
    <row r="93">
      <c r="A93" s="644"/>
      <c r="B93" s="644"/>
      <c r="C93" s="644" t="str">
        <f t="shared" si="1"/>
        <v/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46167</v>
      </c>
    </row>
    <row r="94">
      <c r="A94" s="644"/>
      <c r="B94" s="644"/>
      <c r="C94" s="644" t="str">
        <f t="shared" si="1"/>
        <v/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46167</v>
      </c>
    </row>
    <row r="95">
      <c r="A95" s="644"/>
      <c r="B95" s="644"/>
      <c r="C95" s="644" t="str">
        <f t="shared" si="1"/>
        <v/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46167</v>
      </c>
    </row>
    <row r="96">
      <c r="A96" s="644"/>
      <c r="B96" s="644"/>
      <c r="C96" s="644" t="str">
        <f t="shared" si="1"/>
        <v/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46167</v>
      </c>
    </row>
    <row r="97">
      <c r="A97" s="644"/>
      <c r="B97" s="644"/>
      <c r="C97" s="644" t="str">
        <f t="shared" si="1"/>
        <v/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46167</v>
      </c>
    </row>
    <row r="98">
      <c r="A98" s="644"/>
      <c r="B98" s="644"/>
      <c r="C98" s="644" t="str">
        <f t="shared" si="1"/>
        <v/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46167</v>
      </c>
    </row>
    <row r="99">
      <c r="A99" s="644"/>
      <c r="B99" s="644"/>
      <c r="C99" s="644" t="str">
        <f t="shared" si="1"/>
        <v/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46167</v>
      </c>
    </row>
    <row r="100">
      <c r="A100" s="644"/>
      <c r="B100" s="644"/>
      <c r="C100" s="644" t="str">
        <f t="shared" si="1"/>
        <v/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46167</v>
      </c>
    </row>
    <row r="101">
      <c r="A101" s="644"/>
      <c r="B101" s="644"/>
      <c r="C101" s="644" t="str">
        <f t="shared" si="1"/>
        <v/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46167</v>
      </c>
    </row>
    <row r="102">
      <c r="A102" s="644"/>
      <c r="B102" s="644"/>
      <c r="C102" s="644" t="str">
        <f t="shared" si="1"/>
        <v/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46167</v>
      </c>
    </row>
    <row r="103">
      <c r="A103" s="644"/>
      <c r="B103" s="644"/>
      <c r="C103" s="644" t="str">
        <f t="shared" si="1"/>
        <v/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46167</v>
      </c>
    </row>
    <row r="104">
      <c r="A104" s="644"/>
      <c r="B104" s="644"/>
      <c r="C104" s="644" t="str">
        <f t="shared" si="1"/>
        <v/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46167</v>
      </c>
    </row>
    <row r="105">
      <c r="A105" s="644"/>
      <c r="B105" s="644"/>
      <c r="C105" s="644" t="str">
        <f t="shared" si="1"/>
        <v/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46167</v>
      </c>
    </row>
    <row r="106">
      <c r="A106" s="644"/>
      <c r="B106" s="644"/>
      <c r="C106" s="644" t="str">
        <f t="shared" si="1"/>
        <v/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46167</v>
      </c>
    </row>
    <row r="107">
      <c r="A107" s="644"/>
      <c r="B107" s="644"/>
      <c r="C107" s="644" t="str">
        <f t="shared" si="1"/>
        <v/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46167</v>
      </c>
    </row>
    <row r="108">
      <c r="A108" s="644"/>
      <c r="B108" s="644"/>
      <c r="C108" s="644" t="str">
        <f t="shared" si="1"/>
        <v/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46167</v>
      </c>
    </row>
    <row r="109">
      <c r="A109" s="644"/>
      <c r="B109" s="644"/>
      <c r="C109" s="644" t="str">
        <f t="shared" si="1"/>
        <v/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46167</v>
      </c>
    </row>
    <row r="110">
      <c r="A110" s="644"/>
      <c r="B110" s="644"/>
      <c r="C110" s="644" t="str">
        <f t="shared" si="1"/>
        <v/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46167</v>
      </c>
    </row>
    <row r="111">
      <c r="A111" s="644"/>
      <c r="B111" s="644"/>
      <c r="C111" s="644" t="str">
        <f t="shared" si="1"/>
        <v/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46167</v>
      </c>
    </row>
    <row r="112">
      <c r="A112" s="644"/>
      <c r="B112" s="644"/>
      <c r="C112" s="644" t="str">
        <f t="shared" si="1"/>
        <v/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46167</v>
      </c>
    </row>
    <row r="113">
      <c r="A113" s="644"/>
      <c r="B113" s="644"/>
      <c r="C113" s="644" t="str">
        <f t="shared" si="1"/>
        <v/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46167</v>
      </c>
    </row>
    <row r="114">
      <c r="A114" s="644"/>
      <c r="B114" s="644"/>
      <c r="C114" s="644" t="str">
        <f t="shared" si="1"/>
        <v/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46167</v>
      </c>
    </row>
    <row r="115">
      <c r="A115" s="644"/>
      <c r="B115" s="644"/>
      <c r="C115" s="644" t="str">
        <f t="shared" si="1"/>
        <v/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46167</v>
      </c>
    </row>
    <row r="116">
      <c r="A116" s="644"/>
      <c r="B116" s="644"/>
      <c r="C116" s="644" t="str">
        <f t="shared" si="1"/>
        <v/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46167</v>
      </c>
    </row>
    <row r="117">
      <c r="A117" s="644"/>
      <c r="B117" s="644"/>
      <c r="C117" s="644" t="str">
        <f t="shared" si="1"/>
        <v/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46167</v>
      </c>
    </row>
    <row r="118">
      <c r="A118" s="644"/>
      <c r="B118" s="644"/>
      <c r="C118" s="644" t="str">
        <f t="shared" si="1"/>
        <v/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46167</v>
      </c>
    </row>
    <row r="119">
      <c r="A119" s="644"/>
      <c r="B119" s="644"/>
      <c r="C119" s="644" t="str">
        <f t="shared" si="1"/>
        <v/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46167</v>
      </c>
    </row>
    <row r="120">
      <c r="A120" s="644"/>
      <c r="B120" s="644"/>
      <c r="C120" s="644" t="str">
        <f t="shared" si="1"/>
        <v/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46167</v>
      </c>
    </row>
    <row r="121">
      <c r="A121" s="644"/>
      <c r="B121" s="644"/>
      <c r="C121" s="644" t="str">
        <f t="shared" si="1"/>
        <v/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46167</v>
      </c>
    </row>
    <row r="122">
      <c r="A122" s="644"/>
      <c r="B122" s="644"/>
      <c r="C122" s="644" t="str">
        <f t="shared" si="1"/>
        <v/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46167</v>
      </c>
    </row>
    <row r="123">
      <c r="A123" s="644"/>
      <c r="B123" s="644"/>
      <c r="C123" s="644" t="str">
        <f t="shared" si="1"/>
        <v/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46167</v>
      </c>
    </row>
    <row r="124">
      <c r="A124" s="644"/>
      <c r="B124" s="644"/>
      <c r="C124" s="644" t="str">
        <f t="shared" si="1"/>
        <v/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46167</v>
      </c>
    </row>
    <row r="125">
      <c r="A125" s="644"/>
      <c r="B125" s="644"/>
      <c r="C125" s="644" t="str">
        <f t="shared" si="1"/>
        <v/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46167</v>
      </c>
    </row>
    <row r="126">
      <c r="A126" s="644"/>
      <c r="B126" s="644"/>
      <c r="C126" s="644" t="str">
        <f t="shared" si="1"/>
        <v/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46167</v>
      </c>
    </row>
    <row r="127">
      <c r="A127" s="644"/>
      <c r="B127" s="644"/>
      <c r="C127" s="644" t="str">
        <f t="shared" si="1"/>
        <v/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46167</v>
      </c>
    </row>
    <row r="128">
      <c r="A128" s="644"/>
      <c r="B128" s="644"/>
      <c r="C128" s="644" t="str">
        <f t="shared" si="1"/>
        <v/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46167</v>
      </c>
    </row>
    <row r="129">
      <c r="A129" s="644"/>
      <c r="B129" s="644"/>
      <c r="C129" s="644" t="str">
        <f t="shared" si="1"/>
        <v/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46167</v>
      </c>
    </row>
    <row r="130">
      <c r="A130" s="644"/>
      <c r="B130" s="644"/>
      <c r="C130" s="644" t="str">
        <f t="shared" si="1"/>
        <v/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46167</v>
      </c>
    </row>
    <row r="131">
      <c r="A131" s="644"/>
      <c r="B131" s="644"/>
      <c r="C131" s="644" t="str">
        <f t="shared" si="1"/>
        <v/>
      </c>
      <c r="D131" s="643"/>
      <c r="E131" s="645" t="b">
        <v>1</v>
      </c>
      <c r="F131" s="646" t="str">
        <f t="shared" si="2"/>
        <v>PAGADO</v>
      </c>
      <c r="G131" s="340" t="s">
        <v>2278</v>
      </c>
      <c r="H131" s="646" t="str">
        <f t="shared" si="3"/>
        <v>VENCIDA</v>
      </c>
      <c r="I131" s="647">
        <f t="shared" si="4"/>
        <v>46167</v>
      </c>
    </row>
    <row r="133">
      <c r="C133" s="771"/>
    </row>
    <row r="134">
      <c r="C134" s="772" t="s">
        <v>55</v>
      </c>
      <c r="D134" s="3">
        <f>SUMIF(F3:F131,C134,D3:D131)</f>
        <v>0</v>
      </c>
    </row>
    <row r="135">
      <c r="C135" s="773" t="s">
        <v>527</v>
      </c>
      <c r="D135" s="3">
        <f>SUMIF(F3:F131,C135,D3:D131)</f>
        <v>4501040.21</v>
      </c>
    </row>
    <row r="136">
      <c r="C136" s="697" t="s">
        <v>28</v>
      </c>
      <c r="D136" s="3">
        <f>D134+D135</f>
        <v>4501040.21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2467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>
        <f>D3+D4</f>
        <v>141328</v>
      </c>
    </row>
    <row r="3">
      <c r="A3" s="643">
        <v>2681.0</v>
      </c>
      <c r="B3" s="644">
        <v>45673.0</v>
      </c>
      <c r="C3" s="644">
        <f t="shared" ref="C3:C130" si="1">B3+15</f>
        <v>45688</v>
      </c>
      <c r="D3" s="643">
        <v>70664.0</v>
      </c>
      <c r="E3" s="645" t="b">
        <v>1</v>
      </c>
      <c r="F3" s="646" t="str">
        <f t="shared" ref="F3:F131" si="2">IF(E3,"PAGADO","ADEUDA")</f>
        <v>PAGADO</v>
      </c>
      <c r="G3" s="340" t="s">
        <v>2278</v>
      </c>
      <c r="H3" s="646" t="str">
        <f t="shared" ref="H3:H131" si="3">IF(C3&lt;TODAY(),"VENCIDA",IF(C3=TODAY(),"VENCE HOY",IF(C3&gt;TODAY(),"VIGENTE")))</f>
        <v>VENCIDA</v>
      </c>
      <c r="I3" s="647">
        <f t="shared" ref="I3:I131" si="4">TODAY()-C3</f>
        <v>479</v>
      </c>
      <c r="J3" s="768" t="s">
        <v>31</v>
      </c>
      <c r="K3" s="769"/>
    </row>
    <row r="4">
      <c r="A4" s="643">
        <v>2743.0</v>
      </c>
      <c r="B4" s="644">
        <v>45686.0</v>
      </c>
      <c r="C4" s="644">
        <f t="shared" si="1"/>
        <v>45701</v>
      </c>
      <c r="D4" s="643">
        <v>70664.0</v>
      </c>
      <c r="E4" s="645" t="b">
        <v>1</v>
      </c>
      <c r="F4" s="646" t="str">
        <f t="shared" si="2"/>
        <v>PAGADO</v>
      </c>
      <c r="G4" s="340" t="s">
        <v>2278</v>
      </c>
      <c r="H4" s="646" t="str">
        <f t="shared" si="3"/>
        <v>VENCIDA</v>
      </c>
      <c r="I4" s="647">
        <f t="shared" si="4"/>
        <v>466</v>
      </c>
      <c r="J4" s="768" t="s">
        <v>35</v>
      </c>
      <c r="K4" s="770"/>
    </row>
    <row r="5">
      <c r="A5" s="643">
        <v>2748.0</v>
      </c>
      <c r="B5" s="644">
        <v>45707.0</v>
      </c>
      <c r="C5" s="644">
        <f t="shared" si="1"/>
        <v>45722</v>
      </c>
      <c r="D5" s="643">
        <v>70664.0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445</v>
      </c>
      <c r="J5" s="768" t="s">
        <v>37</v>
      </c>
      <c r="K5" s="770"/>
    </row>
    <row r="6">
      <c r="A6" s="643"/>
      <c r="B6" s="644"/>
      <c r="C6" s="644">
        <f t="shared" si="1"/>
        <v>15</v>
      </c>
      <c r="D6" s="643"/>
      <c r="E6" s="645" t="b">
        <v>0</v>
      </c>
      <c r="F6" s="646" t="str">
        <f t="shared" si="2"/>
        <v>ADEUDA</v>
      </c>
      <c r="G6" s="340" t="s">
        <v>2278</v>
      </c>
      <c r="H6" s="646" t="str">
        <f t="shared" si="3"/>
        <v>VENCIDA</v>
      </c>
      <c r="I6" s="647">
        <f t="shared" si="4"/>
        <v>46152</v>
      </c>
      <c r="J6" s="768" t="s">
        <v>39</v>
      </c>
      <c r="K6" s="770"/>
    </row>
    <row r="7">
      <c r="A7" s="643"/>
      <c r="B7" s="644"/>
      <c r="C7" s="644">
        <f t="shared" si="1"/>
        <v>15</v>
      </c>
      <c r="D7" s="643"/>
      <c r="E7" s="658" t="b">
        <v>0</v>
      </c>
      <c r="F7" s="646" t="str">
        <f t="shared" si="2"/>
        <v>ADEUDA</v>
      </c>
      <c r="G7" s="340" t="s">
        <v>2278</v>
      </c>
      <c r="H7" s="646" t="str">
        <f t="shared" si="3"/>
        <v>VENCIDA</v>
      </c>
      <c r="I7" s="647">
        <f t="shared" si="4"/>
        <v>46152</v>
      </c>
      <c r="J7" s="768" t="s">
        <v>41</v>
      </c>
      <c r="K7" s="770"/>
    </row>
    <row r="8">
      <c r="A8" s="644"/>
      <c r="B8" s="644"/>
      <c r="C8" s="644">
        <f t="shared" si="1"/>
        <v>15</v>
      </c>
      <c r="D8" s="643"/>
      <c r="E8" s="658" t="b">
        <v>0</v>
      </c>
      <c r="F8" s="646" t="str">
        <f t="shared" si="2"/>
        <v>ADEUDA</v>
      </c>
      <c r="G8" s="340" t="s">
        <v>2278</v>
      </c>
      <c r="H8" s="646" t="str">
        <f t="shared" si="3"/>
        <v>VENCIDA</v>
      </c>
      <c r="I8" s="647">
        <f t="shared" si="4"/>
        <v>46152</v>
      </c>
      <c r="J8" s="768" t="s">
        <v>42</v>
      </c>
      <c r="K8" s="770"/>
    </row>
    <row r="9">
      <c r="A9" s="644"/>
      <c r="B9" s="644"/>
      <c r="C9" s="644">
        <f t="shared" si="1"/>
        <v>15</v>
      </c>
      <c r="D9" s="643"/>
      <c r="E9" s="658" t="b">
        <v>0</v>
      </c>
      <c r="F9" s="646" t="str">
        <f t="shared" si="2"/>
        <v>ADEUDA</v>
      </c>
      <c r="G9" s="340" t="s">
        <v>2278</v>
      </c>
      <c r="H9" s="646" t="str">
        <f t="shared" si="3"/>
        <v>VENCIDA</v>
      </c>
      <c r="I9" s="647">
        <f t="shared" si="4"/>
        <v>46152</v>
      </c>
      <c r="J9" s="768" t="s">
        <v>43</v>
      </c>
      <c r="K9" s="770"/>
    </row>
    <row r="10">
      <c r="A10" s="644"/>
      <c r="B10" s="644"/>
      <c r="C10" s="644">
        <f t="shared" si="1"/>
        <v>15</v>
      </c>
      <c r="D10" s="643"/>
      <c r="E10" s="658" t="b">
        <v>0</v>
      </c>
      <c r="F10" s="646" t="str">
        <f t="shared" si="2"/>
        <v>ADEUDA</v>
      </c>
      <c r="G10" s="340" t="s">
        <v>2278</v>
      </c>
      <c r="H10" s="646" t="str">
        <f t="shared" si="3"/>
        <v>VENCIDA</v>
      </c>
      <c r="I10" s="647">
        <f t="shared" si="4"/>
        <v>46152</v>
      </c>
      <c r="J10" s="768" t="s">
        <v>45</v>
      </c>
      <c r="K10" s="770"/>
    </row>
    <row r="11">
      <c r="A11" s="644"/>
      <c r="B11" s="644"/>
      <c r="C11" s="644">
        <f t="shared" si="1"/>
        <v>15</v>
      </c>
      <c r="D11" s="643"/>
      <c r="E11" s="658" t="b">
        <v>0</v>
      </c>
      <c r="F11" s="646" t="str">
        <f t="shared" si="2"/>
        <v>ADEUDA</v>
      </c>
      <c r="G11" s="340" t="s">
        <v>2278</v>
      </c>
      <c r="H11" s="646" t="str">
        <f t="shared" si="3"/>
        <v>VENCIDA</v>
      </c>
      <c r="I11" s="647">
        <f t="shared" si="4"/>
        <v>46152</v>
      </c>
      <c r="J11" s="768" t="s">
        <v>49</v>
      </c>
      <c r="K11" s="770"/>
    </row>
    <row r="12">
      <c r="A12" s="644"/>
      <c r="B12" s="644"/>
      <c r="C12" s="644">
        <f t="shared" si="1"/>
        <v>15</v>
      </c>
      <c r="D12" s="643"/>
      <c r="E12" s="658" t="b">
        <v>0</v>
      </c>
      <c r="F12" s="646" t="str">
        <f t="shared" si="2"/>
        <v>ADEUDA</v>
      </c>
      <c r="G12" s="340" t="s">
        <v>2278</v>
      </c>
      <c r="H12" s="646" t="str">
        <f t="shared" si="3"/>
        <v>VENCIDA</v>
      </c>
      <c r="I12" s="647">
        <f t="shared" si="4"/>
        <v>46152</v>
      </c>
      <c r="J12" s="768" t="s">
        <v>50</v>
      </c>
      <c r="K12" s="770"/>
    </row>
    <row r="13">
      <c r="A13" s="644"/>
      <c r="B13" s="644"/>
      <c r="C13" s="644">
        <f t="shared" si="1"/>
        <v>15</v>
      </c>
      <c r="D13" s="643"/>
      <c r="E13" s="658" t="b">
        <v>0</v>
      </c>
      <c r="F13" s="646" t="str">
        <f t="shared" si="2"/>
        <v>ADEUDA</v>
      </c>
      <c r="G13" s="340" t="s">
        <v>2278</v>
      </c>
      <c r="H13" s="646" t="str">
        <f t="shared" si="3"/>
        <v>VENCIDA</v>
      </c>
      <c r="I13" s="647">
        <f t="shared" si="4"/>
        <v>46152</v>
      </c>
      <c r="J13" s="768" t="s">
        <v>51</v>
      </c>
      <c r="K13" s="770"/>
    </row>
    <row r="14">
      <c r="A14" s="644"/>
      <c r="B14" s="644"/>
      <c r="C14" s="644">
        <f t="shared" si="1"/>
        <v>15</v>
      </c>
      <c r="D14" s="643"/>
      <c r="E14" s="645" t="b">
        <v>0</v>
      </c>
      <c r="F14" s="646" t="str">
        <f t="shared" si="2"/>
        <v>ADEUDA</v>
      </c>
      <c r="G14" s="340" t="s">
        <v>2278</v>
      </c>
      <c r="H14" s="646" t="str">
        <f t="shared" si="3"/>
        <v>VENCIDA</v>
      </c>
      <c r="I14" s="647">
        <f t="shared" si="4"/>
        <v>46152</v>
      </c>
    </row>
    <row r="15">
      <c r="A15" s="644"/>
      <c r="B15" s="644"/>
      <c r="C15" s="644">
        <f t="shared" si="1"/>
        <v>15</v>
      </c>
      <c r="D15" s="643"/>
      <c r="E15" s="654" t="b">
        <v>0</v>
      </c>
      <c r="F15" s="646" t="str">
        <f t="shared" si="2"/>
        <v>ADEUDA</v>
      </c>
      <c r="G15" s="340" t="s">
        <v>2278</v>
      </c>
      <c r="H15" s="646" t="str">
        <f t="shared" si="3"/>
        <v>VENCIDA</v>
      </c>
      <c r="I15" s="647">
        <f t="shared" si="4"/>
        <v>46152</v>
      </c>
    </row>
    <row r="16">
      <c r="A16" s="644"/>
      <c r="B16" s="644"/>
      <c r="C16" s="644">
        <f t="shared" si="1"/>
        <v>15</v>
      </c>
      <c r="D16" s="643"/>
      <c r="E16" s="654" t="b">
        <v>0</v>
      </c>
      <c r="F16" s="646" t="str">
        <f t="shared" si="2"/>
        <v>ADEUDA</v>
      </c>
      <c r="G16" s="340" t="s">
        <v>2278</v>
      </c>
      <c r="H16" s="646" t="str">
        <f t="shared" si="3"/>
        <v>VENCIDA</v>
      </c>
      <c r="I16" s="647">
        <f t="shared" si="4"/>
        <v>46152</v>
      </c>
    </row>
    <row r="17">
      <c r="A17" s="644"/>
      <c r="B17" s="644"/>
      <c r="C17" s="644">
        <f t="shared" si="1"/>
        <v>15</v>
      </c>
      <c r="D17" s="643"/>
      <c r="E17" s="654" t="b">
        <v>0</v>
      </c>
      <c r="F17" s="646" t="str">
        <f t="shared" si="2"/>
        <v>ADEUDA</v>
      </c>
      <c r="G17" s="340" t="s">
        <v>2278</v>
      </c>
      <c r="H17" s="646" t="str">
        <f t="shared" si="3"/>
        <v>VENCIDA</v>
      </c>
      <c r="I17" s="647">
        <f t="shared" si="4"/>
        <v>46152</v>
      </c>
    </row>
    <row r="18">
      <c r="A18" s="644"/>
      <c r="B18" s="644"/>
      <c r="C18" s="644">
        <f t="shared" si="1"/>
        <v>15</v>
      </c>
      <c r="D18" s="643"/>
      <c r="E18" s="658" t="b">
        <v>0</v>
      </c>
      <c r="F18" s="646" t="str">
        <f t="shared" si="2"/>
        <v>ADEUDA</v>
      </c>
      <c r="G18" s="340" t="s">
        <v>2278</v>
      </c>
      <c r="H18" s="646" t="str">
        <f t="shared" si="3"/>
        <v>VENCIDA</v>
      </c>
      <c r="I18" s="647">
        <f t="shared" si="4"/>
        <v>46152</v>
      </c>
    </row>
    <row r="19">
      <c r="A19" s="644"/>
      <c r="B19" s="644"/>
      <c r="C19" s="644">
        <f t="shared" si="1"/>
        <v>15</v>
      </c>
      <c r="D19" s="643"/>
      <c r="E19" s="658" t="b">
        <v>0</v>
      </c>
      <c r="F19" s="646" t="str">
        <f t="shared" si="2"/>
        <v>ADEUDA</v>
      </c>
      <c r="G19" s="340" t="s">
        <v>2278</v>
      </c>
      <c r="H19" s="646" t="str">
        <f t="shared" si="3"/>
        <v>VENCIDA</v>
      </c>
      <c r="I19" s="647">
        <f t="shared" si="4"/>
        <v>46152</v>
      </c>
    </row>
    <row r="20">
      <c r="A20" s="644"/>
      <c r="B20" s="644"/>
      <c r="C20" s="644">
        <f t="shared" si="1"/>
        <v>15</v>
      </c>
      <c r="D20" s="643"/>
      <c r="E20" s="658" t="b">
        <v>0</v>
      </c>
      <c r="F20" s="646" t="str">
        <f t="shared" si="2"/>
        <v>ADEUDA</v>
      </c>
      <c r="G20" s="340" t="s">
        <v>2278</v>
      </c>
      <c r="H20" s="646" t="str">
        <f t="shared" si="3"/>
        <v>VENCIDA</v>
      </c>
      <c r="I20" s="647">
        <f t="shared" si="4"/>
        <v>46152</v>
      </c>
    </row>
    <row r="21">
      <c r="A21" s="644"/>
      <c r="B21" s="644"/>
      <c r="C21" s="644">
        <f t="shared" si="1"/>
        <v>15</v>
      </c>
      <c r="D21" s="643"/>
      <c r="E21" s="658" t="b">
        <v>0</v>
      </c>
      <c r="F21" s="646" t="str">
        <f t="shared" si="2"/>
        <v>ADEUDA</v>
      </c>
      <c r="G21" s="340" t="s">
        <v>2278</v>
      </c>
      <c r="H21" s="646" t="str">
        <f t="shared" si="3"/>
        <v>VENCIDA</v>
      </c>
      <c r="I21" s="647">
        <f t="shared" si="4"/>
        <v>46152</v>
      </c>
    </row>
    <row r="22">
      <c r="A22" s="644"/>
      <c r="B22" s="644"/>
      <c r="C22" s="644">
        <f t="shared" si="1"/>
        <v>15</v>
      </c>
      <c r="D22" s="643"/>
      <c r="E22" s="658" t="b">
        <v>0</v>
      </c>
      <c r="F22" s="646" t="str">
        <f t="shared" si="2"/>
        <v>ADEUDA</v>
      </c>
      <c r="G22" s="340" t="s">
        <v>2278</v>
      </c>
      <c r="H22" s="646" t="str">
        <f t="shared" si="3"/>
        <v>VENCIDA</v>
      </c>
      <c r="I22" s="647">
        <f t="shared" si="4"/>
        <v>46152</v>
      </c>
    </row>
    <row r="23">
      <c r="A23" s="644"/>
      <c r="B23" s="644"/>
      <c r="C23" s="644">
        <f t="shared" si="1"/>
        <v>15</v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4"/>
        <v>46152</v>
      </c>
    </row>
    <row r="24">
      <c r="A24" s="644"/>
      <c r="B24" s="644"/>
      <c r="C24" s="644">
        <f t="shared" si="1"/>
        <v>15</v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4"/>
        <v>46152</v>
      </c>
    </row>
    <row r="25">
      <c r="A25" s="644"/>
      <c r="B25" s="644"/>
      <c r="C25" s="644">
        <f t="shared" si="1"/>
        <v>15</v>
      </c>
      <c r="D25" s="643"/>
      <c r="E25" s="658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4"/>
        <v>46152</v>
      </c>
    </row>
    <row r="26">
      <c r="A26" s="644"/>
      <c r="B26" s="644"/>
      <c r="C26" s="644">
        <f t="shared" si="1"/>
        <v>15</v>
      </c>
      <c r="D26" s="643"/>
      <c r="E26" s="658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4"/>
        <v>46152</v>
      </c>
    </row>
    <row r="27">
      <c r="A27" s="644"/>
      <c r="B27" s="644"/>
      <c r="C27" s="644">
        <f t="shared" si="1"/>
        <v>15</v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46152</v>
      </c>
    </row>
    <row r="28">
      <c r="A28" s="644"/>
      <c r="B28" s="644"/>
      <c r="C28" s="644">
        <f t="shared" si="1"/>
        <v>15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46152</v>
      </c>
    </row>
    <row r="29">
      <c r="A29" s="644"/>
      <c r="B29" s="644"/>
      <c r="C29" s="644">
        <f t="shared" si="1"/>
        <v>15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46152</v>
      </c>
    </row>
    <row r="30">
      <c r="A30" s="644"/>
      <c r="B30" s="644"/>
      <c r="C30" s="644">
        <f t="shared" si="1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46152</v>
      </c>
    </row>
    <row r="31">
      <c r="A31" s="644"/>
      <c r="B31" s="644"/>
      <c r="C31" s="644">
        <f t="shared" si="1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46152</v>
      </c>
    </row>
    <row r="32">
      <c r="A32" s="644"/>
      <c r="B32" s="644"/>
      <c r="C32" s="644">
        <f t="shared" si="1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46152</v>
      </c>
    </row>
    <row r="33">
      <c r="A33" s="644"/>
      <c r="B33" s="644"/>
      <c r="C33" s="644">
        <f t="shared" si="1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46152</v>
      </c>
    </row>
    <row r="34">
      <c r="A34" s="644"/>
      <c r="B34" s="644"/>
      <c r="C34" s="644">
        <f t="shared" si="1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46152</v>
      </c>
    </row>
    <row r="35">
      <c r="A35" s="644"/>
      <c r="B35" s="644"/>
      <c r="C35" s="644">
        <f t="shared" si="1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46152</v>
      </c>
    </row>
    <row r="36">
      <c r="A36" s="644"/>
      <c r="B36" s="644"/>
      <c r="C36" s="644">
        <f t="shared" si="1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46152</v>
      </c>
    </row>
    <row r="37">
      <c r="A37" s="644"/>
      <c r="B37" s="644"/>
      <c r="C37" s="644">
        <f t="shared" si="1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46152</v>
      </c>
    </row>
    <row r="38">
      <c r="A38" s="644"/>
      <c r="B38" s="644"/>
      <c r="C38" s="644">
        <f t="shared" si="1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46152</v>
      </c>
    </row>
    <row r="39">
      <c r="A39" s="644"/>
      <c r="B39" s="644"/>
      <c r="C39" s="644">
        <f t="shared" si="1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46152</v>
      </c>
    </row>
    <row r="40">
      <c r="A40" s="644"/>
      <c r="B40" s="644"/>
      <c r="C40" s="644">
        <f t="shared" si="1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46152</v>
      </c>
    </row>
    <row r="41">
      <c r="A41" s="644"/>
      <c r="B41" s="644"/>
      <c r="C41" s="644">
        <f t="shared" si="1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46152</v>
      </c>
    </row>
    <row r="42">
      <c r="A42" s="644"/>
      <c r="B42" s="644"/>
      <c r="C42" s="644">
        <f t="shared" si="1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46152</v>
      </c>
    </row>
    <row r="43">
      <c r="A43" s="644"/>
      <c r="B43" s="644"/>
      <c r="C43" s="644">
        <f t="shared" si="1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46152</v>
      </c>
    </row>
    <row r="44">
      <c r="A44" s="644"/>
      <c r="B44" s="644"/>
      <c r="C44" s="644">
        <f t="shared" si="1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46152</v>
      </c>
    </row>
    <row r="45">
      <c r="A45" s="644"/>
      <c r="B45" s="644"/>
      <c r="C45" s="644">
        <f t="shared" si="1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46152</v>
      </c>
    </row>
    <row r="46">
      <c r="A46" s="644"/>
      <c r="B46" s="644"/>
      <c r="C46" s="644">
        <f t="shared" si="1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46152</v>
      </c>
    </row>
    <row r="47">
      <c r="A47" s="644"/>
      <c r="B47" s="644"/>
      <c r="C47" s="644">
        <f t="shared" si="1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46152</v>
      </c>
    </row>
    <row r="48">
      <c r="A48" s="644"/>
      <c r="B48" s="644"/>
      <c r="C48" s="644">
        <f t="shared" si="1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46152</v>
      </c>
    </row>
    <row r="49">
      <c r="A49" s="644"/>
      <c r="B49" s="644"/>
      <c r="C49" s="644">
        <f t="shared" si="1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46152</v>
      </c>
    </row>
    <row r="50">
      <c r="A50" s="644"/>
      <c r="B50" s="644"/>
      <c r="C50" s="644">
        <f t="shared" si="1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46152</v>
      </c>
    </row>
    <row r="51">
      <c r="A51" s="644"/>
      <c r="B51" s="644"/>
      <c r="C51" s="644">
        <f t="shared" si="1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46152</v>
      </c>
    </row>
    <row r="52">
      <c r="A52" s="644"/>
      <c r="B52" s="644"/>
      <c r="C52" s="644">
        <f t="shared" si="1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46152</v>
      </c>
    </row>
    <row r="53">
      <c r="A53" s="644"/>
      <c r="B53" s="644"/>
      <c r="C53" s="644">
        <f t="shared" si="1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46152</v>
      </c>
    </row>
    <row r="54">
      <c r="A54" s="644"/>
      <c r="B54" s="644"/>
      <c r="C54" s="644">
        <f t="shared" si="1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46152</v>
      </c>
    </row>
    <row r="55">
      <c r="A55" s="644"/>
      <c r="B55" s="644"/>
      <c r="C55" s="644">
        <f t="shared" si="1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46152</v>
      </c>
    </row>
    <row r="56">
      <c r="A56" s="644"/>
      <c r="B56" s="644"/>
      <c r="C56" s="644">
        <f t="shared" si="1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46152</v>
      </c>
    </row>
    <row r="57">
      <c r="A57" s="644"/>
      <c r="B57" s="644"/>
      <c r="C57" s="644">
        <f t="shared" si="1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46152</v>
      </c>
    </row>
    <row r="58">
      <c r="A58" s="644"/>
      <c r="B58" s="644"/>
      <c r="C58" s="644">
        <f t="shared" si="1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46152</v>
      </c>
    </row>
    <row r="59">
      <c r="A59" s="644"/>
      <c r="B59" s="644"/>
      <c r="C59" s="644">
        <f t="shared" si="1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46152</v>
      </c>
    </row>
    <row r="60">
      <c r="A60" s="644"/>
      <c r="B60" s="644"/>
      <c r="C60" s="644">
        <f t="shared" si="1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46152</v>
      </c>
    </row>
    <row r="61">
      <c r="A61" s="644"/>
      <c r="B61" s="644"/>
      <c r="C61" s="644">
        <f t="shared" si="1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46152</v>
      </c>
    </row>
    <row r="62">
      <c r="A62" s="644"/>
      <c r="B62" s="644"/>
      <c r="C62" s="644">
        <f t="shared" si="1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46152</v>
      </c>
    </row>
    <row r="63">
      <c r="A63" s="644"/>
      <c r="B63" s="644"/>
      <c r="C63" s="644">
        <f t="shared" si="1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46152</v>
      </c>
    </row>
    <row r="64">
      <c r="A64" s="644"/>
      <c r="B64" s="644"/>
      <c r="C64" s="644">
        <f t="shared" si="1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46152</v>
      </c>
    </row>
    <row r="65">
      <c r="A65" s="644"/>
      <c r="B65" s="644"/>
      <c r="C65" s="644">
        <f t="shared" si="1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46152</v>
      </c>
    </row>
    <row r="66">
      <c r="A66" s="644"/>
      <c r="B66" s="644"/>
      <c r="C66" s="644">
        <f t="shared" si="1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46152</v>
      </c>
    </row>
    <row r="67">
      <c r="A67" s="644"/>
      <c r="B67" s="644"/>
      <c r="C67" s="644">
        <f t="shared" si="1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46152</v>
      </c>
    </row>
    <row r="68">
      <c r="A68" s="644"/>
      <c r="B68" s="644"/>
      <c r="C68" s="644">
        <f t="shared" si="1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46152</v>
      </c>
    </row>
    <row r="69">
      <c r="A69" s="644"/>
      <c r="B69" s="644"/>
      <c r="C69" s="644">
        <f t="shared" si="1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46152</v>
      </c>
    </row>
    <row r="70">
      <c r="A70" s="644"/>
      <c r="B70" s="644"/>
      <c r="C70" s="644">
        <f t="shared" si="1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46152</v>
      </c>
    </row>
    <row r="71">
      <c r="A71" s="644"/>
      <c r="B71" s="644"/>
      <c r="C71" s="644">
        <f t="shared" si="1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46152</v>
      </c>
    </row>
    <row r="72">
      <c r="A72" s="644"/>
      <c r="B72" s="644"/>
      <c r="C72" s="644">
        <f t="shared" si="1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46152</v>
      </c>
    </row>
    <row r="73">
      <c r="A73" s="644"/>
      <c r="B73" s="644"/>
      <c r="C73" s="644">
        <f t="shared" si="1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46152</v>
      </c>
    </row>
    <row r="74">
      <c r="A74" s="644"/>
      <c r="B74" s="644"/>
      <c r="C74" s="644">
        <f t="shared" si="1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46152</v>
      </c>
    </row>
    <row r="75">
      <c r="A75" s="644"/>
      <c r="B75" s="644"/>
      <c r="C75" s="644">
        <f t="shared" si="1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46152</v>
      </c>
    </row>
    <row r="76">
      <c r="A76" s="644"/>
      <c r="B76" s="644"/>
      <c r="C76" s="644">
        <f t="shared" si="1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46152</v>
      </c>
    </row>
    <row r="77">
      <c r="A77" s="644"/>
      <c r="B77" s="644"/>
      <c r="C77" s="644">
        <f t="shared" si="1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46152</v>
      </c>
    </row>
    <row r="78">
      <c r="A78" s="644"/>
      <c r="B78" s="644"/>
      <c r="C78" s="644">
        <f t="shared" si="1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46152</v>
      </c>
    </row>
    <row r="79">
      <c r="A79" s="644"/>
      <c r="B79" s="644"/>
      <c r="C79" s="644">
        <f t="shared" si="1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46152</v>
      </c>
    </row>
    <row r="80">
      <c r="A80" s="644"/>
      <c r="B80" s="644"/>
      <c r="C80" s="644">
        <f t="shared" si="1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46152</v>
      </c>
    </row>
    <row r="81">
      <c r="A81" s="644"/>
      <c r="B81" s="644"/>
      <c r="C81" s="644">
        <f t="shared" si="1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46152</v>
      </c>
    </row>
    <row r="82">
      <c r="A82" s="644"/>
      <c r="B82" s="644"/>
      <c r="C82" s="644">
        <f t="shared" si="1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46152</v>
      </c>
    </row>
    <row r="83">
      <c r="A83" s="644"/>
      <c r="B83" s="644"/>
      <c r="C83" s="644">
        <f t="shared" si="1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46152</v>
      </c>
    </row>
    <row r="84">
      <c r="A84" s="644"/>
      <c r="B84" s="644"/>
      <c r="C84" s="644">
        <f t="shared" si="1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46152</v>
      </c>
    </row>
    <row r="85">
      <c r="A85" s="644"/>
      <c r="B85" s="644"/>
      <c r="C85" s="644">
        <f t="shared" si="1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46152</v>
      </c>
    </row>
    <row r="86">
      <c r="A86" s="644"/>
      <c r="B86" s="644"/>
      <c r="C86" s="644">
        <f t="shared" si="1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46152</v>
      </c>
    </row>
    <row r="87">
      <c r="A87" s="644"/>
      <c r="B87" s="644"/>
      <c r="C87" s="644">
        <f t="shared" si="1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46152</v>
      </c>
    </row>
    <row r="88">
      <c r="A88" s="644"/>
      <c r="B88" s="644"/>
      <c r="C88" s="644">
        <f t="shared" si="1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46152</v>
      </c>
    </row>
    <row r="89">
      <c r="A89" s="644"/>
      <c r="B89" s="644"/>
      <c r="C89" s="644">
        <f t="shared" si="1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46152</v>
      </c>
    </row>
    <row r="90">
      <c r="A90" s="644"/>
      <c r="B90" s="644"/>
      <c r="C90" s="644">
        <f t="shared" si="1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46152</v>
      </c>
    </row>
    <row r="91">
      <c r="A91" s="644"/>
      <c r="B91" s="644"/>
      <c r="C91" s="644">
        <f t="shared" si="1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46152</v>
      </c>
    </row>
    <row r="92">
      <c r="A92" s="644"/>
      <c r="B92" s="644"/>
      <c r="C92" s="644">
        <f t="shared" si="1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46152</v>
      </c>
    </row>
    <row r="93">
      <c r="A93" s="644"/>
      <c r="B93" s="644"/>
      <c r="C93" s="644">
        <f t="shared" si="1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46152</v>
      </c>
    </row>
    <row r="94">
      <c r="A94" s="644"/>
      <c r="B94" s="644"/>
      <c r="C94" s="644">
        <f t="shared" si="1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46152</v>
      </c>
    </row>
    <row r="95">
      <c r="A95" s="644"/>
      <c r="B95" s="644"/>
      <c r="C95" s="644">
        <f t="shared" si="1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46152</v>
      </c>
    </row>
    <row r="96">
      <c r="A96" s="644"/>
      <c r="B96" s="644"/>
      <c r="C96" s="644">
        <f t="shared" si="1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46152</v>
      </c>
    </row>
    <row r="97">
      <c r="A97" s="644"/>
      <c r="B97" s="644"/>
      <c r="C97" s="644">
        <f t="shared" si="1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46152</v>
      </c>
    </row>
    <row r="98">
      <c r="A98" s="644"/>
      <c r="B98" s="644"/>
      <c r="C98" s="644">
        <f t="shared" si="1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46152</v>
      </c>
    </row>
    <row r="99">
      <c r="A99" s="644"/>
      <c r="B99" s="644"/>
      <c r="C99" s="644">
        <f t="shared" si="1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46152</v>
      </c>
    </row>
    <row r="100">
      <c r="A100" s="644"/>
      <c r="B100" s="644"/>
      <c r="C100" s="644">
        <f t="shared" si="1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46152</v>
      </c>
    </row>
    <row r="101">
      <c r="A101" s="644"/>
      <c r="B101" s="644"/>
      <c r="C101" s="644">
        <f t="shared" si="1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46152</v>
      </c>
    </row>
    <row r="102">
      <c r="A102" s="644"/>
      <c r="B102" s="644"/>
      <c r="C102" s="644">
        <f t="shared" si="1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46152</v>
      </c>
    </row>
    <row r="103">
      <c r="A103" s="644"/>
      <c r="B103" s="644"/>
      <c r="C103" s="644">
        <f t="shared" si="1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46152</v>
      </c>
    </row>
    <row r="104">
      <c r="A104" s="644"/>
      <c r="B104" s="644"/>
      <c r="C104" s="644">
        <f t="shared" si="1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46152</v>
      </c>
    </row>
    <row r="105">
      <c r="A105" s="644"/>
      <c r="B105" s="644"/>
      <c r="C105" s="644">
        <f t="shared" si="1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46152</v>
      </c>
    </row>
    <row r="106">
      <c r="A106" s="644"/>
      <c r="B106" s="644"/>
      <c r="C106" s="644">
        <f t="shared" si="1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46152</v>
      </c>
    </row>
    <row r="107">
      <c r="A107" s="644"/>
      <c r="B107" s="644"/>
      <c r="C107" s="644">
        <f t="shared" si="1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46152</v>
      </c>
    </row>
    <row r="108">
      <c r="A108" s="644"/>
      <c r="B108" s="644"/>
      <c r="C108" s="644">
        <f t="shared" si="1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46152</v>
      </c>
    </row>
    <row r="109">
      <c r="A109" s="644"/>
      <c r="B109" s="644"/>
      <c r="C109" s="644">
        <f t="shared" si="1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46152</v>
      </c>
    </row>
    <row r="110">
      <c r="A110" s="644"/>
      <c r="B110" s="644"/>
      <c r="C110" s="644">
        <f t="shared" si="1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46152</v>
      </c>
    </row>
    <row r="111">
      <c r="A111" s="644"/>
      <c r="B111" s="644"/>
      <c r="C111" s="644">
        <f t="shared" si="1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46152</v>
      </c>
    </row>
    <row r="112">
      <c r="A112" s="644"/>
      <c r="B112" s="644"/>
      <c r="C112" s="644">
        <f t="shared" si="1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46152</v>
      </c>
    </row>
    <row r="113">
      <c r="A113" s="644"/>
      <c r="B113" s="644"/>
      <c r="C113" s="644">
        <f t="shared" si="1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46152</v>
      </c>
    </row>
    <row r="114">
      <c r="A114" s="644"/>
      <c r="B114" s="644"/>
      <c r="C114" s="644">
        <f t="shared" si="1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46152</v>
      </c>
    </row>
    <row r="115">
      <c r="A115" s="644"/>
      <c r="B115" s="644"/>
      <c r="C115" s="644">
        <f t="shared" si="1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46152</v>
      </c>
    </row>
    <row r="116">
      <c r="A116" s="644"/>
      <c r="B116" s="644"/>
      <c r="C116" s="644">
        <f t="shared" si="1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46152</v>
      </c>
    </row>
    <row r="117">
      <c r="A117" s="644"/>
      <c r="B117" s="644"/>
      <c r="C117" s="644">
        <f t="shared" si="1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46152</v>
      </c>
    </row>
    <row r="118">
      <c r="A118" s="644"/>
      <c r="B118" s="644"/>
      <c r="C118" s="644">
        <f t="shared" si="1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46152</v>
      </c>
    </row>
    <row r="119">
      <c r="A119" s="644"/>
      <c r="B119" s="644"/>
      <c r="C119" s="644">
        <f t="shared" si="1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46152</v>
      </c>
    </row>
    <row r="120">
      <c r="A120" s="644"/>
      <c r="B120" s="644"/>
      <c r="C120" s="644">
        <f t="shared" si="1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46152</v>
      </c>
    </row>
    <row r="121">
      <c r="A121" s="644"/>
      <c r="B121" s="644"/>
      <c r="C121" s="644">
        <f t="shared" si="1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46152</v>
      </c>
    </row>
    <row r="122">
      <c r="A122" s="644"/>
      <c r="B122" s="644"/>
      <c r="C122" s="644">
        <f t="shared" si="1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46152</v>
      </c>
    </row>
    <row r="123">
      <c r="A123" s="644"/>
      <c r="B123" s="644"/>
      <c r="C123" s="644">
        <f t="shared" si="1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46152</v>
      </c>
    </row>
    <row r="124">
      <c r="A124" s="644"/>
      <c r="B124" s="644"/>
      <c r="C124" s="644">
        <f t="shared" si="1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46152</v>
      </c>
    </row>
    <row r="125">
      <c r="A125" s="644"/>
      <c r="B125" s="644"/>
      <c r="C125" s="644">
        <f t="shared" si="1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46152</v>
      </c>
    </row>
    <row r="126">
      <c r="A126" s="644"/>
      <c r="B126" s="644"/>
      <c r="C126" s="644">
        <f t="shared" si="1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46152</v>
      </c>
    </row>
    <row r="127">
      <c r="A127" s="644"/>
      <c r="B127" s="644"/>
      <c r="C127" s="644">
        <f t="shared" si="1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46152</v>
      </c>
    </row>
    <row r="128">
      <c r="A128" s="644"/>
      <c r="B128" s="644"/>
      <c r="C128" s="644">
        <f t="shared" si="1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46152</v>
      </c>
    </row>
    <row r="129">
      <c r="A129" s="644"/>
      <c r="B129" s="644"/>
      <c r="C129" s="644">
        <f t="shared" si="1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46152</v>
      </c>
    </row>
    <row r="130">
      <c r="A130" s="644"/>
      <c r="B130" s="644"/>
      <c r="C130" s="644">
        <f t="shared" si="1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46152</v>
      </c>
    </row>
    <row r="131">
      <c r="A131" s="644"/>
      <c r="B131" s="644"/>
      <c r="C131" s="644" t="str">
        <f>B131</f>
        <v/>
      </c>
      <c r="D131" s="643"/>
      <c r="E131" s="645" t="b">
        <v>1</v>
      </c>
      <c r="F131" s="646" t="str">
        <f t="shared" si="2"/>
        <v>PAGADO</v>
      </c>
      <c r="G131" s="340" t="s">
        <v>2278</v>
      </c>
      <c r="H131" s="646" t="str">
        <f t="shared" si="3"/>
        <v>VENCIDA</v>
      </c>
      <c r="I131" s="647">
        <f t="shared" si="4"/>
        <v>46167</v>
      </c>
    </row>
    <row r="133">
      <c r="C133" s="771"/>
    </row>
    <row r="134">
      <c r="C134" s="772" t="s">
        <v>55</v>
      </c>
      <c r="D134" s="3">
        <f>SUMIF(F3:F131,C134,D3:D131)</f>
        <v>0</v>
      </c>
    </row>
    <row r="135">
      <c r="C135" s="773" t="s">
        <v>527</v>
      </c>
      <c r="D135" s="3">
        <f>SUMIF(F3:F131,C135,D3:D131)</f>
        <v>211992</v>
      </c>
    </row>
    <row r="136">
      <c r="C136" s="697" t="s">
        <v>28</v>
      </c>
      <c r="D136" s="3">
        <f>D134+D135</f>
        <v>211992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2468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2469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>
        <f>D4</f>
        <v>183826.7</v>
      </c>
    </row>
    <row r="4">
      <c r="A4" s="643"/>
      <c r="B4" s="644">
        <v>45687.0</v>
      </c>
      <c r="C4" s="644">
        <f t="shared" ref="C4:C131" si="1">B4+15</f>
        <v>45702</v>
      </c>
      <c r="D4" s="643">
        <v>183826.7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465</v>
      </c>
      <c r="J4" s="768" t="s">
        <v>31</v>
      </c>
      <c r="K4" s="769">
        <f>D6+D7</f>
        <v>234885.93</v>
      </c>
    </row>
    <row r="5">
      <c r="A5" s="643">
        <v>9686.0</v>
      </c>
      <c r="B5" s="644">
        <v>45733.0</v>
      </c>
      <c r="C5" s="644">
        <f t="shared" si="1"/>
        <v>45748</v>
      </c>
      <c r="D5" s="643">
        <v>50483.8</v>
      </c>
      <c r="E5" s="645" t="b">
        <v>1</v>
      </c>
      <c r="F5" s="646" t="str">
        <f t="shared" si="2"/>
        <v>PAGADO</v>
      </c>
      <c r="G5" s="340" t="s">
        <v>2278</v>
      </c>
      <c r="H5" s="646" t="str">
        <f t="shared" si="3"/>
        <v>VENCIDA</v>
      </c>
      <c r="I5" s="647">
        <f t="shared" si="4"/>
        <v>419</v>
      </c>
      <c r="J5" s="768" t="s">
        <v>35</v>
      </c>
      <c r="K5" s="770"/>
    </row>
    <row r="6">
      <c r="A6" s="643">
        <v>10163.0</v>
      </c>
      <c r="B6" s="644">
        <v>45770.0</v>
      </c>
      <c r="C6" s="644">
        <f t="shared" si="1"/>
        <v>45785</v>
      </c>
      <c r="D6" s="643">
        <v>98636.5</v>
      </c>
      <c r="E6" s="645" t="b">
        <v>1</v>
      </c>
      <c r="F6" s="646" t="str">
        <f t="shared" si="2"/>
        <v>PAGADO</v>
      </c>
      <c r="G6" s="340" t="s">
        <v>2278</v>
      </c>
      <c r="H6" s="646" t="str">
        <f t="shared" si="3"/>
        <v>VENCIDA</v>
      </c>
      <c r="I6" s="647">
        <f t="shared" si="4"/>
        <v>382</v>
      </c>
      <c r="J6" s="768" t="s">
        <v>37</v>
      </c>
      <c r="K6" s="770"/>
    </row>
    <row r="7">
      <c r="A7" s="643">
        <v>10530.0</v>
      </c>
      <c r="B7" s="644">
        <v>45803.0</v>
      </c>
      <c r="C7" s="644">
        <f t="shared" si="1"/>
        <v>45818</v>
      </c>
      <c r="D7" s="643">
        <v>136249.43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349</v>
      </c>
      <c r="J7" s="768" t="s">
        <v>39</v>
      </c>
      <c r="K7" s="770"/>
    </row>
    <row r="8">
      <c r="A8" s="643">
        <v>10717.0</v>
      </c>
      <c r="B8" s="644">
        <v>45818.0</v>
      </c>
      <c r="C8" s="644">
        <f t="shared" si="1"/>
        <v>45833</v>
      </c>
      <c r="D8" s="643">
        <v>55355.77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334</v>
      </c>
      <c r="J8" s="768" t="s">
        <v>41</v>
      </c>
      <c r="K8" s="770"/>
    </row>
    <row r="9">
      <c r="A9" s="643">
        <v>11020.0</v>
      </c>
      <c r="B9" s="644">
        <v>45840.0</v>
      </c>
      <c r="C9" s="644">
        <f t="shared" si="1"/>
        <v>45855</v>
      </c>
      <c r="D9" s="643">
        <v>233272.89</v>
      </c>
      <c r="E9" s="645" t="b">
        <v>1</v>
      </c>
      <c r="F9" s="646" t="str">
        <f t="shared" si="2"/>
        <v>PAGADO</v>
      </c>
      <c r="G9" s="340" t="s">
        <v>2278</v>
      </c>
      <c r="H9" s="646" t="str">
        <f t="shared" si="3"/>
        <v>VENCIDA</v>
      </c>
      <c r="I9" s="647">
        <f t="shared" si="4"/>
        <v>312</v>
      </c>
      <c r="J9" s="768" t="s">
        <v>42</v>
      </c>
      <c r="K9" s="770">
        <f>D9+D10</f>
        <v>360705.97</v>
      </c>
    </row>
    <row r="10">
      <c r="A10" s="643">
        <v>11355.0</v>
      </c>
      <c r="B10" s="644">
        <v>45868.0</v>
      </c>
      <c r="C10" s="644">
        <f t="shared" si="1"/>
        <v>45883</v>
      </c>
      <c r="D10" s="643">
        <v>127433.08</v>
      </c>
      <c r="E10" s="645" t="b">
        <v>1</v>
      </c>
      <c r="F10" s="646" t="str">
        <f t="shared" si="2"/>
        <v>PAGADO</v>
      </c>
      <c r="G10" s="340" t="s">
        <v>2278</v>
      </c>
      <c r="H10" s="646" t="str">
        <f t="shared" si="3"/>
        <v>VENCIDA</v>
      </c>
      <c r="I10" s="647">
        <f t="shared" si="4"/>
        <v>284</v>
      </c>
      <c r="J10" s="768" t="s">
        <v>43</v>
      </c>
      <c r="K10" s="770">
        <f>D10</f>
        <v>127433.08</v>
      </c>
    </row>
    <row r="11">
      <c r="A11" s="643">
        <v>11702.0</v>
      </c>
      <c r="B11" s="644">
        <v>45902.0</v>
      </c>
      <c r="C11" s="644">
        <f t="shared" si="1"/>
        <v>45917</v>
      </c>
      <c r="D11" s="643">
        <v>126826.38</v>
      </c>
      <c r="E11" s="645" t="b">
        <v>1</v>
      </c>
      <c r="F11" s="646" t="str">
        <f t="shared" si="2"/>
        <v>PAGADO</v>
      </c>
      <c r="G11" s="340" t="s">
        <v>2278</v>
      </c>
      <c r="H11" s="646" t="str">
        <f t="shared" si="3"/>
        <v>VENCIDA</v>
      </c>
      <c r="I11" s="647">
        <f t="shared" si="4"/>
        <v>250</v>
      </c>
      <c r="J11" s="768" t="s">
        <v>45</v>
      </c>
      <c r="K11" s="770"/>
    </row>
    <row r="12">
      <c r="A12" s="643">
        <v>12041.0</v>
      </c>
      <c r="B12" s="644">
        <v>45931.0</v>
      </c>
      <c r="C12" s="644">
        <f t="shared" si="1"/>
        <v>45946</v>
      </c>
      <c r="D12" s="643">
        <v>158172.68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4"/>
        <v>221</v>
      </c>
      <c r="J12" s="768" t="s">
        <v>49</v>
      </c>
      <c r="K12" s="770"/>
    </row>
    <row r="13">
      <c r="A13" s="643">
        <v>12393.0</v>
      </c>
      <c r="B13" s="644">
        <v>45960.0</v>
      </c>
      <c r="C13" s="644">
        <f t="shared" si="1"/>
        <v>45975</v>
      </c>
      <c r="D13" s="643">
        <v>91559.31</v>
      </c>
      <c r="E13" s="645" t="b">
        <v>1</v>
      </c>
      <c r="F13" s="646" t="str">
        <f t="shared" si="2"/>
        <v>PAGADO</v>
      </c>
      <c r="G13" s="340" t="s">
        <v>2278</v>
      </c>
      <c r="H13" s="646" t="str">
        <f t="shared" si="3"/>
        <v>VENCIDA</v>
      </c>
      <c r="I13" s="647">
        <f t="shared" si="4"/>
        <v>192</v>
      </c>
      <c r="J13" s="768" t="s">
        <v>50</v>
      </c>
      <c r="K13" s="770"/>
    </row>
    <row r="14">
      <c r="A14" s="643">
        <v>12741.0</v>
      </c>
      <c r="B14" s="644">
        <v>45992.0</v>
      </c>
      <c r="C14" s="644">
        <f t="shared" si="1"/>
        <v>46007</v>
      </c>
      <c r="D14" s="643">
        <v>332588.63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>
        <f t="shared" si="4"/>
        <v>160</v>
      </c>
      <c r="J14" s="768" t="s">
        <v>51</v>
      </c>
      <c r="K14" s="770">
        <f>D14+D15</f>
        <v>559416.08</v>
      </c>
    </row>
    <row r="15">
      <c r="A15" s="643">
        <v>12999.0</v>
      </c>
      <c r="B15" s="644">
        <v>46013.0</v>
      </c>
      <c r="C15" s="644">
        <f t="shared" si="1"/>
        <v>46028</v>
      </c>
      <c r="D15" s="643">
        <v>226827.45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4"/>
        <v>139</v>
      </c>
    </row>
    <row r="16">
      <c r="A16" s="643">
        <v>13349.0</v>
      </c>
      <c r="B16" s="644">
        <v>46056.0</v>
      </c>
      <c r="C16" s="644">
        <f t="shared" si="1"/>
        <v>46071</v>
      </c>
      <c r="D16" s="643">
        <v>206821.24</v>
      </c>
      <c r="E16" s="654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4"/>
        <v>96</v>
      </c>
    </row>
    <row r="17">
      <c r="A17" s="643">
        <v>13703.0</v>
      </c>
      <c r="B17" s="644">
        <v>46091.0</v>
      </c>
      <c r="C17" s="644">
        <f t="shared" si="1"/>
        <v>46106</v>
      </c>
      <c r="D17" s="643">
        <v>162916.38</v>
      </c>
      <c r="E17" s="654" t="b">
        <v>1</v>
      </c>
      <c r="F17" s="646" t="str">
        <f t="shared" si="2"/>
        <v>PAGADO</v>
      </c>
      <c r="G17" s="340" t="s">
        <v>2278</v>
      </c>
      <c r="H17" s="646" t="str">
        <f t="shared" si="3"/>
        <v>VENCIDA</v>
      </c>
      <c r="I17" s="647">
        <f t="shared" si="4"/>
        <v>61</v>
      </c>
    </row>
    <row r="18">
      <c r="A18" s="643">
        <v>14233.0</v>
      </c>
      <c r="B18" s="644">
        <v>46136.0</v>
      </c>
      <c r="C18" s="644">
        <f t="shared" si="1"/>
        <v>46151</v>
      </c>
      <c r="D18" s="643">
        <v>81649.0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4"/>
        <v>16</v>
      </c>
    </row>
    <row r="19">
      <c r="A19" s="644"/>
      <c r="B19" s="644"/>
      <c r="C19" s="644">
        <f t="shared" si="1"/>
        <v>15</v>
      </c>
      <c r="D19" s="643"/>
      <c r="E19" s="658" t="b">
        <v>0</v>
      </c>
      <c r="F19" s="646" t="str">
        <f t="shared" si="2"/>
        <v>ADEUDA</v>
      </c>
      <c r="G19" s="340" t="s">
        <v>2278</v>
      </c>
      <c r="H19" s="646" t="str">
        <f t="shared" si="3"/>
        <v>VENCIDA</v>
      </c>
      <c r="I19" s="647">
        <f t="shared" si="4"/>
        <v>46152</v>
      </c>
    </row>
    <row r="20">
      <c r="A20" s="644"/>
      <c r="B20" s="644"/>
      <c r="C20" s="644">
        <f t="shared" si="1"/>
        <v>15</v>
      </c>
      <c r="D20" s="643"/>
      <c r="E20" s="658" t="b">
        <v>0</v>
      </c>
      <c r="F20" s="646" t="str">
        <f t="shared" si="2"/>
        <v>ADEUDA</v>
      </c>
      <c r="G20" s="340" t="s">
        <v>2278</v>
      </c>
      <c r="H20" s="646" t="str">
        <f t="shared" si="3"/>
        <v>VENCIDA</v>
      </c>
      <c r="I20" s="647">
        <f t="shared" si="4"/>
        <v>46152</v>
      </c>
    </row>
    <row r="21">
      <c r="A21" s="644"/>
      <c r="B21" s="644"/>
      <c r="C21" s="644">
        <f t="shared" si="1"/>
        <v>15</v>
      </c>
      <c r="D21" s="643"/>
      <c r="E21" s="658" t="b">
        <v>0</v>
      </c>
      <c r="F21" s="646" t="str">
        <f t="shared" si="2"/>
        <v>ADEUDA</v>
      </c>
      <c r="G21" s="340" t="s">
        <v>2278</v>
      </c>
      <c r="H21" s="646" t="str">
        <f t="shared" si="3"/>
        <v>VENCIDA</v>
      </c>
      <c r="I21" s="647">
        <f t="shared" si="4"/>
        <v>46152</v>
      </c>
    </row>
    <row r="22">
      <c r="A22" s="644"/>
      <c r="B22" s="644"/>
      <c r="C22" s="644">
        <f t="shared" si="1"/>
        <v>15</v>
      </c>
      <c r="D22" s="643"/>
      <c r="E22" s="658" t="b">
        <v>0</v>
      </c>
      <c r="F22" s="646" t="str">
        <f t="shared" si="2"/>
        <v>ADEUDA</v>
      </c>
      <c r="G22" s="340" t="s">
        <v>2278</v>
      </c>
      <c r="H22" s="646" t="str">
        <f t="shared" si="3"/>
        <v>VENCIDA</v>
      </c>
      <c r="I22" s="647">
        <f t="shared" si="4"/>
        <v>46152</v>
      </c>
    </row>
    <row r="23">
      <c r="A23" s="644"/>
      <c r="B23" s="644"/>
      <c r="C23" s="644">
        <f t="shared" si="1"/>
        <v>15</v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4"/>
        <v>46152</v>
      </c>
    </row>
    <row r="24">
      <c r="A24" s="644"/>
      <c r="B24" s="644"/>
      <c r="C24" s="644">
        <f t="shared" si="1"/>
        <v>15</v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4"/>
        <v>46152</v>
      </c>
    </row>
    <row r="25">
      <c r="A25" s="644"/>
      <c r="B25" s="644"/>
      <c r="C25" s="644">
        <f t="shared" si="1"/>
        <v>15</v>
      </c>
      <c r="D25" s="643"/>
      <c r="E25" s="658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4"/>
        <v>46152</v>
      </c>
    </row>
    <row r="26">
      <c r="A26" s="644"/>
      <c r="B26" s="644"/>
      <c r="C26" s="644">
        <f t="shared" si="1"/>
        <v>15</v>
      </c>
      <c r="D26" s="643"/>
      <c r="E26" s="658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4"/>
        <v>46152</v>
      </c>
    </row>
    <row r="27">
      <c r="A27" s="644"/>
      <c r="B27" s="644"/>
      <c r="C27" s="644">
        <f t="shared" si="1"/>
        <v>15</v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46152</v>
      </c>
    </row>
    <row r="28">
      <c r="A28" s="644"/>
      <c r="B28" s="644"/>
      <c r="C28" s="644">
        <f t="shared" si="1"/>
        <v>15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46152</v>
      </c>
    </row>
    <row r="29">
      <c r="A29" s="644"/>
      <c r="B29" s="644"/>
      <c r="C29" s="644">
        <f t="shared" si="1"/>
        <v>15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46152</v>
      </c>
    </row>
    <row r="30">
      <c r="A30" s="644"/>
      <c r="B30" s="644"/>
      <c r="C30" s="644">
        <f t="shared" si="1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46152</v>
      </c>
    </row>
    <row r="31">
      <c r="A31" s="644"/>
      <c r="B31" s="644"/>
      <c r="C31" s="644">
        <f t="shared" si="1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46152</v>
      </c>
    </row>
    <row r="32">
      <c r="A32" s="644"/>
      <c r="B32" s="644"/>
      <c r="C32" s="644">
        <f t="shared" si="1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46152</v>
      </c>
    </row>
    <row r="33">
      <c r="A33" s="644"/>
      <c r="B33" s="644"/>
      <c r="C33" s="644">
        <f t="shared" si="1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46152</v>
      </c>
    </row>
    <row r="34">
      <c r="A34" s="644"/>
      <c r="B34" s="644"/>
      <c r="C34" s="644">
        <f t="shared" si="1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46152</v>
      </c>
    </row>
    <row r="35">
      <c r="A35" s="644"/>
      <c r="B35" s="644"/>
      <c r="C35" s="644">
        <f t="shared" si="1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46152</v>
      </c>
    </row>
    <row r="36">
      <c r="A36" s="644"/>
      <c r="B36" s="644"/>
      <c r="C36" s="644">
        <f t="shared" si="1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46152</v>
      </c>
    </row>
    <row r="37">
      <c r="A37" s="644"/>
      <c r="B37" s="644"/>
      <c r="C37" s="644">
        <f t="shared" si="1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46152</v>
      </c>
    </row>
    <row r="38">
      <c r="A38" s="644"/>
      <c r="B38" s="644"/>
      <c r="C38" s="644">
        <f t="shared" si="1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46152</v>
      </c>
    </row>
    <row r="39">
      <c r="A39" s="644"/>
      <c r="B39" s="644"/>
      <c r="C39" s="644">
        <f t="shared" si="1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46152</v>
      </c>
    </row>
    <row r="40">
      <c r="A40" s="644"/>
      <c r="B40" s="644"/>
      <c r="C40" s="644">
        <f t="shared" si="1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46152</v>
      </c>
    </row>
    <row r="41">
      <c r="A41" s="644"/>
      <c r="B41" s="644"/>
      <c r="C41" s="644">
        <f t="shared" si="1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46152</v>
      </c>
    </row>
    <row r="42">
      <c r="A42" s="644"/>
      <c r="B42" s="644"/>
      <c r="C42" s="644">
        <f t="shared" si="1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46152</v>
      </c>
    </row>
    <row r="43">
      <c r="A43" s="644"/>
      <c r="B43" s="644"/>
      <c r="C43" s="644">
        <f t="shared" si="1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46152</v>
      </c>
    </row>
    <row r="44">
      <c r="A44" s="644"/>
      <c r="B44" s="644"/>
      <c r="C44" s="644">
        <f t="shared" si="1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46152</v>
      </c>
    </row>
    <row r="45">
      <c r="A45" s="644"/>
      <c r="B45" s="644"/>
      <c r="C45" s="644">
        <f t="shared" si="1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46152</v>
      </c>
    </row>
    <row r="46">
      <c r="A46" s="644"/>
      <c r="B46" s="644"/>
      <c r="C46" s="644">
        <f t="shared" si="1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46152</v>
      </c>
    </row>
    <row r="47">
      <c r="A47" s="644"/>
      <c r="B47" s="644"/>
      <c r="C47" s="644">
        <f t="shared" si="1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46152</v>
      </c>
    </row>
    <row r="48">
      <c r="A48" s="644"/>
      <c r="B48" s="644"/>
      <c r="C48" s="644">
        <f t="shared" si="1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46152</v>
      </c>
    </row>
    <row r="49">
      <c r="A49" s="644"/>
      <c r="B49" s="644"/>
      <c r="C49" s="644">
        <f t="shared" si="1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46152</v>
      </c>
    </row>
    <row r="50">
      <c r="A50" s="644"/>
      <c r="B50" s="644"/>
      <c r="C50" s="644">
        <f t="shared" si="1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46152</v>
      </c>
    </row>
    <row r="51">
      <c r="A51" s="644"/>
      <c r="B51" s="644"/>
      <c r="C51" s="644">
        <f t="shared" si="1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46152</v>
      </c>
    </row>
    <row r="52">
      <c r="A52" s="644"/>
      <c r="B52" s="644"/>
      <c r="C52" s="644">
        <f t="shared" si="1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46152</v>
      </c>
    </row>
    <row r="53">
      <c r="A53" s="644"/>
      <c r="B53" s="644"/>
      <c r="C53" s="644">
        <f t="shared" si="1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46152</v>
      </c>
    </row>
    <row r="54">
      <c r="A54" s="644"/>
      <c r="B54" s="644"/>
      <c r="C54" s="644">
        <f t="shared" si="1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46152</v>
      </c>
    </row>
    <row r="55">
      <c r="A55" s="644"/>
      <c r="B55" s="644"/>
      <c r="C55" s="644">
        <f t="shared" si="1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46152</v>
      </c>
    </row>
    <row r="56">
      <c r="A56" s="644"/>
      <c r="B56" s="644"/>
      <c r="C56" s="644">
        <f t="shared" si="1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46152</v>
      </c>
    </row>
    <row r="57">
      <c r="A57" s="644"/>
      <c r="B57" s="644"/>
      <c r="C57" s="644">
        <f t="shared" si="1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46152</v>
      </c>
    </row>
    <row r="58">
      <c r="A58" s="644"/>
      <c r="B58" s="644"/>
      <c r="C58" s="644">
        <f t="shared" si="1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46152</v>
      </c>
    </row>
    <row r="59">
      <c r="A59" s="644"/>
      <c r="B59" s="644"/>
      <c r="C59" s="644">
        <f t="shared" si="1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46152</v>
      </c>
    </row>
    <row r="60">
      <c r="A60" s="644"/>
      <c r="B60" s="644"/>
      <c r="C60" s="644">
        <f t="shared" si="1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46152</v>
      </c>
    </row>
    <row r="61">
      <c r="A61" s="644"/>
      <c r="B61" s="644"/>
      <c r="C61" s="644">
        <f t="shared" si="1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46152</v>
      </c>
    </row>
    <row r="62">
      <c r="A62" s="644"/>
      <c r="B62" s="644"/>
      <c r="C62" s="644">
        <f t="shared" si="1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46152</v>
      </c>
    </row>
    <row r="63">
      <c r="A63" s="644"/>
      <c r="B63" s="644"/>
      <c r="C63" s="644">
        <f t="shared" si="1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46152</v>
      </c>
    </row>
    <row r="64">
      <c r="A64" s="644"/>
      <c r="B64" s="644"/>
      <c r="C64" s="644">
        <f t="shared" si="1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46152</v>
      </c>
    </row>
    <row r="65">
      <c r="A65" s="644"/>
      <c r="B65" s="644"/>
      <c r="C65" s="644">
        <f t="shared" si="1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46152</v>
      </c>
    </row>
    <row r="66">
      <c r="A66" s="644"/>
      <c r="B66" s="644"/>
      <c r="C66" s="644">
        <f t="shared" si="1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46152</v>
      </c>
    </row>
    <row r="67">
      <c r="A67" s="644"/>
      <c r="B67" s="644"/>
      <c r="C67" s="644">
        <f t="shared" si="1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46152</v>
      </c>
    </row>
    <row r="68">
      <c r="A68" s="644"/>
      <c r="B68" s="644"/>
      <c r="C68" s="644">
        <f t="shared" si="1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46152</v>
      </c>
    </row>
    <row r="69">
      <c r="A69" s="644"/>
      <c r="B69" s="644"/>
      <c r="C69" s="644">
        <f t="shared" si="1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46152</v>
      </c>
    </row>
    <row r="70">
      <c r="A70" s="644"/>
      <c r="B70" s="644"/>
      <c r="C70" s="644">
        <f t="shared" si="1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46152</v>
      </c>
    </row>
    <row r="71">
      <c r="A71" s="644"/>
      <c r="B71" s="644"/>
      <c r="C71" s="644">
        <f t="shared" si="1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46152</v>
      </c>
    </row>
    <row r="72">
      <c r="A72" s="644"/>
      <c r="B72" s="644"/>
      <c r="C72" s="644">
        <f t="shared" si="1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46152</v>
      </c>
    </row>
    <row r="73">
      <c r="A73" s="644"/>
      <c r="B73" s="644"/>
      <c r="C73" s="644">
        <f t="shared" si="1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46152</v>
      </c>
    </row>
    <row r="74">
      <c r="A74" s="644"/>
      <c r="B74" s="644"/>
      <c r="C74" s="644">
        <f t="shared" si="1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46152</v>
      </c>
    </row>
    <row r="75">
      <c r="A75" s="644"/>
      <c r="B75" s="644"/>
      <c r="C75" s="644">
        <f t="shared" si="1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46152</v>
      </c>
    </row>
    <row r="76">
      <c r="A76" s="644"/>
      <c r="B76" s="644"/>
      <c r="C76" s="644">
        <f t="shared" si="1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46152</v>
      </c>
    </row>
    <row r="77">
      <c r="A77" s="644"/>
      <c r="B77" s="644"/>
      <c r="C77" s="644">
        <f t="shared" si="1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46152</v>
      </c>
    </row>
    <row r="78">
      <c r="A78" s="644"/>
      <c r="B78" s="644"/>
      <c r="C78" s="644">
        <f t="shared" si="1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46152</v>
      </c>
    </row>
    <row r="79">
      <c r="A79" s="644"/>
      <c r="B79" s="644"/>
      <c r="C79" s="644">
        <f t="shared" si="1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46152</v>
      </c>
    </row>
    <row r="80">
      <c r="A80" s="644"/>
      <c r="B80" s="644"/>
      <c r="C80" s="644">
        <f t="shared" si="1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46152</v>
      </c>
    </row>
    <row r="81">
      <c r="A81" s="644"/>
      <c r="B81" s="644"/>
      <c r="C81" s="644">
        <f t="shared" si="1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46152</v>
      </c>
    </row>
    <row r="82">
      <c r="A82" s="644"/>
      <c r="B82" s="644"/>
      <c r="C82" s="644">
        <f t="shared" si="1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46152</v>
      </c>
    </row>
    <row r="83">
      <c r="A83" s="644"/>
      <c r="B83" s="644"/>
      <c r="C83" s="644">
        <f t="shared" si="1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46152</v>
      </c>
    </row>
    <row r="84">
      <c r="A84" s="644"/>
      <c r="B84" s="644"/>
      <c r="C84" s="644">
        <f t="shared" si="1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46152</v>
      </c>
    </row>
    <row r="85">
      <c r="A85" s="644"/>
      <c r="B85" s="644"/>
      <c r="C85" s="644">
        <f t="shared" si="1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46152</v>
      </c>
    </row>
    <row r="86">
      <c r="A86" s="644"/>
      <c r="B86" s="644"/>
      <c r="C86" s="644">
        <f t="shared" si="1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46152</v>
      </c>
    </row>
    <row r="87">
      <c r="A87" s="644"/>
      <c r="B87" s="644"/>
      <c r="C87" s="644">
        <f t="shared" si="1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46152</v>
      </c>
    </row>
    <row r="88">
      <c r="A88" s="644"/>
      <c r="B88" s="644"/>
      <c r="C88" s="644">
        <f t="shared" si="1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46152</v>
      </c>
    </row>
    <row r="89">
      <c r="A89" s="644"/>
      <c r="B89" s="644"/>
      <c r="C89" s="644">
        <f t="shared" si="1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46152</v>
      </c>
    </row>
    <row r="90">
      <c r="A90" s="644"/>
      <c r="B90" s="644"/>
      <c r="C90" s="644">
        <f t="shared" si="1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46152</v>
      </c>
    </row>
    <row r="91">
      <c r="A91" s="644"/>
      <c r="B91" s="644"/>
      <c r="C91" s="644">
        <f t="shared" si="1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46152</v>
      </c>
    </row>
    <row r="92">
      <c r="A92" s="644"/>
      <c r="B92" s="644"/>
      <c r="C92" s="644">
        <f t="shared" si="1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46152</v>
      </c>
    </row>
    <row r="93">
      <c r="A93" s="644"/>
      <c r="B93" s="644"/>
      <c r="C93" s="644">
        <f t="shared" si="1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46152</v>
      </c>
    </row>
    <row r="94">
      <c r="A94" s="644"/>
      <c r="B94" s="644"/>
      <c r="C94" s="644">
        <f t="shared" si="1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46152</v>
      </c>
    </row>
    <row r="95">
      <c r="A95" s="644"/>
      <c r="B95" s="644"/>
      <c r="C95" s="644">
        <f t="shared" si="1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46152</v>
      </c>
    </row>
    <row r="96">
      <c r="A96" s="644"/>
      <c r="B96" s="644"/>
      <c r="C96" s="644">
        <f t="shared" si="1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46152</v>
      </c>
    </row>
    <row r="97">
      <c r="A97" s="644"/>
      <c r="B97" s="644"/>
      <c r="C97" s="644">
        <f t="shared" si="1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46152</v>
      </c>
    </row>
    <row r="98">
      <c r="A98" s="644"/>
      <c r="B98" s="644"/>
      <c r="C98" s="644">
        <f t="shared" si="1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46152</v>
      </c>
    </row>
    <row r="99">
      <c r="A99" s="644"/>
      <c r="B99" s="644"/>
      <c r="C99" s="644">
        <f t="shared" si="1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46152</v>
      </c>
    </row>
    <row r="100">
      <c r="A100" s="644"/>
      <c r="B100" s="644"/>
      <c r="C100" s="644">
        <f t="shared" si="1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46152</v>
      </c>
    </row>
    <row r="101">
      <c r="A101" s="644"/>
      <c r="B101" s="644"/>
      <c r="C101" s="644">
        <f t="shared" si="1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46152</v>
      </c>
    </row>
    <row r="102">
      <c r="A102" s="644"/>
      <c r="B102" s="644"/>
      <c r="C102" s="644">
        <f t="shared" si="1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46152</v>
      </c>
    </row>
    <row r="103">
      <c r="A103" s="644"/>
      <c r="B103" s="644"/>
      <c r="C103" s="644">
        <f t="shared" si="1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46152</v>
      </c>
    </row>
    <row r="104">
      <c r="A104" s="644"/>
      <c r="B104" s="644"/>
      <c r="C104" s="644">
        <f t="shared" si="1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46152</v>
      </c>
    </row>
    <row r="105">
      <c r="A105" s="644"/>
      <c r="B105" s="644"/>
      <c r="C105" s="644">
        <f t="shared" si="1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46152</v>
      </c>
    </row>
    <row r="106">
      <c r="A106" s="644"/>
      <c r="B106" s="644"/>
      <c r="C106" s="644">
        <f t="shared" si="1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46152</v>
      </c>
    </row>
    <row r="107">
      <c r="A107" s="644"/>
      <c r="B107" s="644"/>
      <c r="C107" s="644">
        <f t="shared" si="1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46152</v>
      </c>
    </row>
    <row r="108">
      <c r="A108" s="644"/>
      <c r="B108" s="644"/>
      <c r="C108" s="644">
        <f t="shared" si="1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46152</v>
      </c>
    </row>
    <row r="109">
      <c r="A109" s="644"/>
      <c r="B109" s="644"/>
      <c r="C109" s="644">
        <f t="shared" si="1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46152</v>
      </c>
    </row>
    <row r="110">
      <c r="A110" s="644"/>
      <c r="B110" s="644"/>
      <c r="C110" s="644">
        <f t="shared" si="1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46152</v>
      </c>
    </row>
    <row r="111">
      <c r="A111" s="644"/>
      <c r="B111" s="644"/>
      <c r="C111" s="644">
        <f t="shared" si="1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46152</v>
      </c>
    </row>
    <row r="112">
      <c r="A112" s="644"/>
      <c r="B112" s="644"/>
      <c r="C112" s="644">
        <f t="shared" si="1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46152</v>
      </c>
    </row>
    <row r="113">
      <c r="A113" s="644"/>
      <c r="B113" s="644"/>
      <c r="C113" s="644">
        <f t="shared" si="1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46152</v>
      </c>
    </row>
    <row r="114">
      <c r="A114" s="644"/>
      <c r="B114" s="644"/>
      <c r="C114" s="644">
        <f t="shared" si="1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46152</v>
      </c>
    </row>
    <row r="115">
      <c r="A115" s="644"/>
      <c r="B115" s="644"/>
      <c r="C115" s="644">
        <f t="shared" si="1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46152</v>
      </c>
    </row>
    <row r="116">
      <c r="A116" s="644"/>
      <c r="B116" s="644"/>
      <c r="C116" s="644">
        <f t="shared" si="1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46152</v>
      </c>
    </row>
    <row r="117">
      <c r="A117" s="644"/>
      <c r="B117" s="644"/>
      <c r="C117" s="644">
        <f t="shared" si="1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46152</v>
      </c>
    </row>
    <row r="118">
      <c r="A118" s="644"/>
      <c r="B118" s="644"/>
      <c r="C118" s="644">
        <f t="shared" si="1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46152</v>
      </c>
    </row>
    <row r="119">
      <c r="A119" s="644"/>
      <c r="B119" s="644"/>
      <c r="C119" s="644">
        <f t="shared" si="1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46152</v>
      </c>
    </row>
    <row r="120">
      <c r="A120" s="644"/>
      <c r="B120" s="644"/>
      <c r="C120" s="644">
        <f t="shared" si="1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46152</v>
      </c>
    </row>
    <row r="121">
      <c r="A121" s="644"/>
      <c r="B121" s="644"/>
      <c r="C121" s="644">
        <f t="shared" si="1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46152</v>
      </c>
    </row>
    <row r="122">
      <c r="A122" s="644"/>
      <c r="B122" s="644"/>
      <c r="C122" s="644">
        <f t="shared" si="1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46152</v>
      </c>
    </row>
    <row r="123">
      <c r="A123" s="644"/>
      <c r="B123" s="644"/>
      <c r="C123" s="644">
        <f t="shared" si="1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46152</v>
      </c>
    </row>
    <row r="124">
      <c r="A124" s="644"/>
      <c r="B124" s="644"/>
      <c r="C124" s="644">
        <f t="shared" si="1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46152</v>
      </c>
    </row>
    <row r="125">
      <c r="A125" s="644"/>
      <c r="B125" s="644"/>
      <c r="C125" s="644">
        <f t="shared" si="1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46152</v>
      </c>
    </row>
    <row r="126">
      <c r="A126" s="644"/>
      <c r="B126" s="644"/>
      <c r="C126" s="644">
        <f t="shared" si="1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46152</v>
      </c>
    </row>
    <row r="127">
      <c r="A127" s="644"/>
      <c r="B127" s="644"/>
      <c r="C127" s="644">
        <f t="shared" si="1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46152</v>
      </c>
    </row>
    <row r="128">
      <c r="A128" s="644"/>
      <c r="B128" s="644"/>
      <c r="C128" s="644">
        <f t="shared" si="1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46152</v>
      </c>
    </row>
    <row r="129">
      <c r="A129" s="644"/>
      <c r="B129" s="644"/>
      <c r="C129" s="644">
        <f t="shared" si="1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46152</v>
      </c>
    </row>
    <row r="130">
      <c r="A130" s="644"/>
      <c r="B130" s="644"/>
      <c r="C130" s="644">
        <f t="shared" si="1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46152</v>
      </c>
    </row>
    <row r="131">
      <c r="A131" s="644"/>
      <c r="B131" s="644"/>
      <c r="C131" s="644">
        <f t="shared" si="1"/>
        <v>15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46152</v>
      </c>
    </row>
    <row r="132">
      <c r="A132" s="644"/>
      <c r="B132" s="644"/>
      <c r="C132" s="644" t="str">
        <f>B132</f>
        <v/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46167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2272619.24</v>
      </c>
    </row>
    <row r="137">
      <c r="C137" s="697" t="s">
        <v>28</v>
      </c>
      <c r="D137" s="3">
        <f>D135+D136</f>
        <v>2272619.24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2470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2471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/>
      <c r="C4" s="644"/>
      <c r="D4" s="643"/>
      <c r="E4" s="645" t="b">
        <v>1</v>
      </c>
      <c r="F4" s="646" t="str">
        <f t="shared" ref="F4:F53" si="1">IF(E4,"PAGADO","ADEUDA")</f>
        <v>PAGADO</v>
      </c>
      <c r="G4" s="340" t="s">
        <v>2278</v>
      </c>
      <c r="H4" s="646" t="str">
        <f t="shared" ref="H4:H53" si="2">IF(C4&lt;TODAY(),"VENCIDA",IF(C4=TODAY(),"VENCE HOY",IF(C4&gt;TODAY(),"VIGENTE")))</f>
        <v>VENCIDA</v>
      </c>
      <c r="I4" s="647">
        <f t="shared" ref="I4:I53" si="3">TODAY()-C4</f>
        <v>46167</v>
      </c>
      <c r="J4" s="768" t="s">
        <v>31</v>
      </c>
      <c r="K4" s="769">
        <f>D5+D6</f>
        <v>225781.08</v>
      </c>
    </row>
    <row r="5">
      <c r="A5" s="643">
        <v>43204.0</v>
      </c>
      <c r="B5" s="644">
        <v>45703.0</v>
      </c>
      <c r="C5" s="644">
        <f t="shared" ref="C5:C32" si="4">B5+7</f>
        <v>45710</v>
      </c>
      <c r="D5" s="643">
        <v>74406.8</v>
      </c>
      <c r="E5" s="645" t="b">
        <v>1</v>
      </c>
      <c r="F5" s="646" t="str">
        <f t="shared" si="1"/>
        <v>PAGADO</v>
      </c>
      <c r="G5" s="340" t="s">
        <v>2278</v>
      </c>
      <c r="H5" s="646" t="str">
        <f t="shared" si="2"/>
        <v>VENCIDA</v>
      </c>
      <c r="I5" s="647">
        <f t="shared" si="3"/>
        <v>457</v>
      </c>
      <c r="J5" s="768" t="s">
        <v>35</v>
      </c>
      <c r="K5" s="770"/>
    </row>
    <row r="6">
      <c r="A6" s="643">
        <v>43478.0</v>
      </c>
      <c r="B6" s="644">
        <v>45710.0</v>
      </c>
      <c r="C6" s="644">
        <f t="shared" si="4"/>
        <v>45717</v>
      </c>
      <c r="D6" s="643">
        <v>151374.28</v>
      </c>
      <c r="E6" s="645" t="b">
        <v>1</v>
      </c>
      <c r="F6" s="646" t="str">
        <f t="shared" si="1"/>
        <v>PAGADO</v>
      </c>
      <c r="G6" s="340" t="s">
        <v>2278</v>
      </c>
      <c r="H6" s="646" t="str">
        <f t="shared" si="2"/>
        <v>VENCIDA</v>
      </c>
      <c r="I6" s="647">
        <f t="shared" si="3"/>
        <v>450</v>
      </c>
      <c r="J6" s="768" t="s">
        <v>37</v>
      </c>
      <c r="K6" s="770"/>
    </row>
    <row r="7">
      <c r="A7" s="643">
        <v>44806.0</v>
      </c>
      <c r="B7" s="644">
        <v>45735.0</v>
      </c>
      <c r="C7" s="644">
        <f t="shared" si="4"/>
        <v>45742</v>
      </c>
      <c r="D7" s="643">
        <v>48886.58</v>
      </c>
      <c r="E7" s="645" t="b">
        <v>1</v>
      </c>
      <c r="F7" s="646" t="str">
        <f t="shared" si="1"/>
        <v>PAGADO</v>
      </c>
      <c r="G7" s="340" t="s">
        <v>2278</v>
      </c>
      <c r="H7" s="646" t="str">
        <f t="shared" si="2"/>
        <v>VENCIDA</v>
      </c>
      <c r="I7" s="647">
        <f t="shared" si="3"/>
        <v>425</v>
      </c>
      <c r="J7" s="768" t="s">
        <v>39</v>
      </c>
      <c r="K7" s="770"/>
    </row>
    <row r="8">
      <c r="A8" s="643">
        <v>45228.0</v>
      </c>
      <c r="B8" s="644">
        <v>45743.0</v>
      </c>
      <c r="C8" s="644">
        <f t="shared" si="4"/>
        <v>45750</v>
      </c>
      <c r="D8" s="643">
        <v>63569.82</v>
      </c>
      <c r="E8" s="645" t="b">
        <v>1</v>
      </c>
      <c r="F8" s="646" t="str">
        <f t="shared" si="1"/>
        <v>PAGADO</v>
      </c>
      <c r="G8" s="340" t="s">
        <v>2278</v>
      </c>
      <c r="H8" s="646" t="str">
        <f t="shared" si="2"/>
        <v>VENCIDA</v>
      </c>
      <c r="I8" s="647">
        <f t="shared" si="3"/>
        <v>417</v>
      </c>
      <c r="J8" s="768" t="s">
        <v>41</v>
      </c>
      <c r="K8" s="770"/>
    </row>
    <row r="9">
      <c r="A9" s="643">
        <v>45783.0</v>
      </c>
      <c r="B9" s="644">
        <v>45752.0</v>
      </c>
      <c r="C9" s="644">
        <f t="shared" si="4"/>
        <v>45759</v>
      </c>
      <c r="D9" s="643">
        <v>104536.71</v>
      </c>
      <c r="E9" s="645" t="b">
        <v>1</v>
      </c>
      <c r="F9" s="646" t="str">
        <f t="shared" si="1"/>
        <v>PAGADO</v>
      </c>
      <c r="G9" s="340" t="s">
        <v>2278</v>
      </c>
      <c r="H9" s="646" t="str">
        <f t="shared" si="2"/>
        <v>VENCIDA</v>
      </c>
      <c r="I9" s="647">
        <f t="shared" si="3"/>
        <v>408</v>
      </c>
      <c r="J9" s="768" t="s">
        <v>42</v>
      </c>
      <c r="K9" s="770">
        <f>D20+D21+D22+D23</f>
        <v>922946.52</v>
      </c>
    </row>
    <row r="10">
      <c r="A10" s="643">
        <v>46258.0</v>
      </c>
      <c r="B10" s="644">
        <v>45759.0</v>
      </c>
      <c r="C10" s="644">
        <f t="shared" si="4"/>
        <v>45766</v>
      </c>
      <c r="D10" s="643">
        <v>79812.95</v>
      </c>
      <c r="E10" s="645" t="b">
        <v>1</v>
      </c>
      <c r="F10" s="646" t="str">
        <f t="shared" si="1"/>
        <v>PAGADO</v>
      </c>
      <c r="G10" s="340" t="s">
        <v>2278</v>
      </c>
      <c r="H10" s="646" t="str">
        <f t="shared" si="2"/>
        <v>VENCIDA</v>
      </c>
      <c r="I10" s="647">
        <f t="shared" si="3"/>
        <v>401</v>
      </c>
      <c r="J10" s="768" t="s">
        <v>43</v>
      </c>
      <c r="K10" s="770">
        <f>D25+D26+D27+D28+D24</f>
        <v>946377.66</v>
      </c>
    </row>
    <row r="11">
      <c r="A11" s="643">
        <v>46730.0</v>
      </c>
      <c r="B11" s="644">
        <v>45768.0</v>
      </c>
      <c r="C11" s="644">
        <f t="shared" si="4"/>
        <v>45775</v>
      </c>
      <c r="D11" s="643">
        <v>23673.78</v>
      </c>
      <c r="E11" s="645" t="b">
        <v>1</v>
      </c>
      <c r="F11" s="646" t="str">
        <f t="shared" si="1"/>
        <v>PAGADO</v>
      </c>
      <c r="G11" s="340" t="s">
        <v>2278</v>
      </c>
      <c r="H11" s="646" t="str">
        <f t="shared" si="2"/>
        <v>VENCIDA</v>
      </c>
      <c r="I11" s="647">
        <f t="shared" si="3"/>
        <v>392</v>
      </c>
      <c r="J11" s="768" t="s">
        <v>45</v>
      </c>
      <c r="K11" s="770"/>
    </row>
    <row r="12">
      <c r="A12" s="643">
        <v>47116.0</v>
      </c>
      <c r="B12" s="644">
        <v>45773.0</v>
      </c>
      <c r="C12" s="644">
        <f t="shared" si="4"/>
        <v>45780</v>
      </c>
      <c r="D12" s="643">
        <v>114270.5</v>
      </c>
      <c r="E12" s="645" t="b">
        <v>1</v>
      </c>
      <c r="F12" s="646" t="str">
        <f t="shared" si="1"/>
        <v>PAGADO</v>
      </c>
      <c r="G12" s="340" t="s">
        <v>2278</v>
      </c>
      <c r="H12" s="646" t="str">
        <f t="shared" si="2"/>
        <v>VENCIDA</v>
      </c>
      <c r="I12" s="647">
        <f t="shared" si="3"/>
        <v>387</v>
      </c>
      <c r="J12" s="768" t="s">
        <v>49</v>
      </c>
      <c r="K12" s="770"/>
    </row>
    <row r="13">
      <c r="A13" s="643">
        <v>47493.0</v>
      </c>
      <c r="B13" s="644">
        <v>45780.0</v>
      </c>
      <c r="C13" s="644">
        <f t="shared" si="4"/>
        <v>45787</v>
      </c>
      <c r="D13" s="643">
        <v>96643.86</v>
      </c>
      <c r="E13" s="645" t="b">
        <v>1</v>
      </c>
      <c r="F13" s="646" t="str">
        <f t="shared" si="1"/>
        <v>PAGADO</v>
      </c>
      <c r="G13" s="340" t="s">
        <v>2278</v>
      </c>
      <c r="H13" s="646" t="str">
        <f t="shared" si="2"/>
        <v>VENCIDA</v>
      </c>
      <c r="I13" s="647">
        <f t="shared" si="3"/>
        <v>380</v>
      </c>
      <c r="J13" s="768" t="s">
        <v>50</v>
      </c>
      <c r="K13" s="770"/>
    </row>
    <row r="14">
      <c r="A14" s="643">
        <v>48016.0</v>
      </c>
      <c r="B14" s="644">
        <v>45787.0</v>
      </c>
      <c r="C14" s="644">
        <f t="shared" si="4"/>
        <v>45794</v>
      </c>
      <c r="D14" s="643">
        <v>96563.0</v>
      </c>
      <c r="E14" s="645" t="b">
        <v>1</v>
      </c>
      <c r="F14" s="646" t="str">
        <f t="shared" si="1"/>
        <v>PAGADO</v>
      </c>
      <c r="G14" s="340" t="s">
        <v>2278</v>
      </c>
      <c r="H14" s="646" t="str">
        <f t="shared" si="2"/>
        <v>VENCIDA</v>
      </c>
      <c r="I14" s="647">
        <f t="shared" si="3"/>
        <v>373</v>
      </c>
      <c r="J14" s="768" t="s">
        <v>51</v>
      </c>
      <c r="K14" s="770">
        <f>SUM(D47:D51)</f>
        <v>765286.21</v>
      </c>
    </row>
    <row r="15">
      <c r="A15" s="643">
        <v>48470.0</v>
      </c>
      <c r="B15" s="644">
        <v>45794.0</v>
      </c>
      <c r="C15" s="644">
        <f t="shared" si="4"/>
        <v>45801</v>
      </c>
      <c r="D15" s="643">
        <f>125361.63-72889</f>
        <v>52472.63</v>
      </c>
      <c r="E15" s="645" t="b">
        <v>1</v>
      </c>
      <c r="F15" s="646" t="str">
        <f t="shared" si="1"/>
        <v>PAGADO</v>
      </c>
      <c r="G15" s="340" t="s">
        <v>2278</v>
      </c>
      <c r="H15" s="646" t="str">
        <f t="shared" si="2"/>
        <v>VENCIDA</v>
      </c>
      <c r="I15" s="647">
        <f t="shared" si="3"/>
        <v>366</v>
      </c>
      <c r="J15" s="2" t="s">
        <v>2472</v>
      </c>
    </row>
    <row r="16">
      <c r="A16" s="643">
        <v>48913.0</v>
      </c>
      <c r="B16" s="644">
        <v>45801.0</v>
      </c>
      <c r="C16" s="644">
        <f t="shared" si="4"/>
        <v>45808</v>
      </c>
      <c r="D16" s="643">
        <v>116816.1</v>
      </c>
      <c r="E16" s="654" t="b">
        <v>1</v>
      </c>
      <c r="F16" s="646" t="str">
        <f t="shared" si="1"/>
        <v>PAGADO</v>
      </c>
      <c r="G16" s="340" t="s">
        <v>2278</v>
      </c>
      <c r="H16" s="646" t="str">
        <f t="shared" si="2"/>
        <v>VENCIDA</v>
      </c>
      <c r="I16" s="647">
        <f t="shared" si="3"/>
        <v>359</v>
      </c>
      <c r="K16" s="318"/>
    </row>
    <row r="17">
      <c r="A17" s="643">
        <v>49333.0</v>
      </c>
      <c r="B17" s="644">
        <v>45808.0</v>
      </c>
      <c r="C17" s="644">
        <f t="shared" si="4"/>
        <v>45815</v>
      </c>
      <c r="D17" s="643">
        <v>126609.42</v>
      </c>
      <c r="E17" s="654" t="b">
        <v>1</v>
      </c>
      <c r="F17" s="646" t="str">
        <f t="shared" si="1"/>
        <v>PAGADO</v>
      </c>
      <c r="G17" s="340" t="s">
        <v>2278</v>
      </c>
      <c r="H17" s="646" t="str">
        <f t="shared" si="2"/>
        <v>VENCIDA</v>
      </c>
      <c r="I17" s="647">
        <f t="shared" si="3"/>
        <v>352</v>
      </c>
    </row>
    <row r="18">
      <c r="A18" s="643">
        <v>49835.0</v>
      </c>
      <c r="B18" s="644">
        <v>45815.0</v>
      </c>
      <c r="C18" s="644">
        <f t="shared" si="4"/>
        <v>45822</v>
      </c>
      <c r="D18" s="643">
        <v>295464.07</v>
      </c>
      <c r="E18" s="654" t="b">
        <v>1</v>
      </c>
      <c r="F18" s="646" t="str">
        <f t="shared" si="1"/>
        <v>PAGADO</v>
      </c>
      <c r="G18" s="340" t="s">
        <v>2278</v>
      </c>
      <c r="H18" s="646" t="str">
        <f t="shared" si="2"/>
        <v>VENCIDA</v>
      </c>
      <c r="I18" s="647">
        <f t="shared" si="3"/>
        <v>345</v>
      </c>
    </row>
    <row r="19">
      <c r="A19" s="643">
        <v>50694.0</v>
      </c>
      <c r="B19" s="644">
        <v>45829.0</v>
      </c>
      <c r="C19" s="644">
        <f t="shared" si="4"/>
        <v>45836</v>
      </c>
      <c r="D19" s="643">
        <v>107343.58</v>
      </c>
      <c r="E19" s="645" t="b">
        <v>1</v>
      </c>
      <c r="F19" s="646" t="str">
        <f t="shared" si="1"/>
        <v>PAGADO</v>
      </c>
      <c r="G19" s="340" t="s">
        <v>2278</v>
      </c>
      <c r="H19" s="646" t="str">
        <f t="shared" si="2"/>
        <v>VENCIDA</v>
      </c>
      <c r="I19" s="647">
        <f t="shared" si="3"/>
        <v>331</v>
      </c>
    </row>
    <row r="20">
      <c r="A20" s="643">
        <v>51148.0</v>
      </c>
      <c r="B20" s="644">
        <v>45838.0</v>
      </c>
      <c r="C20" s="644">
        <f t="shared" si="4"/>
        <v>45845</v>
      </c>
      <c r="D20" s="643">
        <v>252250.12</v>
      </c>
      <c r="E20" s="645" t="b">
        <v>1</v>
      </c>
      <c r="F20" s="646" t="str">
        <f t="shared" si="1"/>
        <v>PAGADO</v>
      </c>
      <c r="G20" s="340" t="s">
        <v>2278</v>
      </c>
      <c r="H20" s="646" t="str">
        <f t="shared" si="2"/>
        <v>VENCIDA</v>
      </c>
      <c r="I20" s="647">
        <f t="shared" si="3"/>
        <v>322</v>
      </c>
    </row>
    <row r="21">
      <c r="A21" s="643">
        <v>51518.0</v>
      </c>
      <c r="B21" s="644">
        <v>45845.0</v>
      </c>
      <c r="C21" s="644">
        <f t="shared" si="4"/>
        <v>45852</v>
      </c>
      <c r="D21" s="643">
        <v>237443.56</v>
      </c>
      <c r="E21" s="645" t="b">
        <v>1</v>
      </c>
      <c r="F21" s="646" t="str">
        <f t="shared" si="1"/>
        <v>PAGADO</v>
      </c>
      <c r="G21" s="340" t="s">
        <v>2278</v>
      </c>
      <c r="H21" s="646" t="str">
        <f t="shared" si="2"/>
        <v>VENCIDA</v>
      </c>
      <c r="I21" s="647">
        <f t="shared" si="3"/>
        <v>315</v>
      </c>
      <c r="J21" s="2" t="s">
        <v>2473</v>
      </c>
    </row>
    <row r="22">
      <c r="A22" s="643">
        <v>52024.0</v>
      </c>
      <c r="B22" s="644">
        <v>45850.0</v>
      </c>
      <c r="C22" s="644">
        <f t="shared" si="4"/>
        <v>45857</v>
      </c>
      <c r="D22" s="643">
        <v>282850.12</v>
      </c>
      <c r="E22" s="645" t="b">
        <v>1</v>
      </c>
      <c r="F22" s="646" t="str">
        <f t="shared" si="1"/>
        <v>PAGADO</v>
      </c>
      <c r="G22" s="340" t="s">
        <v>2278</v>
      </c>
      <c r="H22" s="646" t="str">
        <f t="shared" si="2"/>
        <v>VENCIDA</v>
      </c>
      <c r="I22" s="647">
        <f t="shared" si="3"/>
        <v>310</v>
      </c>
    </row>
    <row r="23">
      <c r="A23" s="643">
        <v>52505.0</v>
      </c>
      <c r="B23" s="644">
        <v>45857.0</v>
      </c>
      <c r="C23" s="644">
        <f t="shared" si="4"/>
        <v>45864</v>
      </c>
      <c r="D23" s="643">
        <v>150402.72</v>
      </c>
      <c r="E23" s="645" t="b">
        <v>1</v>
      </c>
      <c r="F23" s="646" t="str">
        <f t="shared" si="1"/>
        <v>PAGADO</v>
      </c>
      <c r="G23" s="340" t="s">
        <v>2278</v>
      </c>
      <c r="H23" s="646" t="str">
        <f t="shared" si="2"/>
        <v>VENCIDA</v>
      </c>
      <c r="I23" s="647">
        <f t="shared" si="3"/>
        <v>303</v>
      </c>
    </row>
    <row r="24">
      <c r="A24" s="643">
        <v>53037.0</v>
      </c>
      <c r="B24" s="644">
        <v>45864.0</v>
      </c>
      <c r="C24" s="644">
        <f t="shared" si="4"/>
        <v>45871</v>
      </c>
      <c r="D24" s="643">
        <v>262650.95</v>
      </c>
      <c r="E24" s="645" t="b">
        <v>1</v>
      </c>
      <c r="F24" s="646" t="str">
        <f t="shared" si="1"/>
        <v>PAGADO</v>
      </c>
      <c r="G24" s="340" t="s">
        <v>2278</v>
      </c>
      <c r="H24" s="646" t="str">
        <f t="shared" si="2"/>
        <v>VENCIDA</v>
      </c>
      <c r="I24" s="647">
        <f t="shared" si="3"/>
        <v>296</v>
      </c>
    </row>
    <row r="25">
      <c r="A25" s="643">
        <v>53467.0</v>
      </c>
      <c r="B25" s="644">
        <v>45871.0</v>
      </c>
      <c r="C25" s="644">
        <f t="shared" si="4"/>
        <v>45878</v>
      </c>
      <c r="D25" s="643">
        <v>273281.0</v>
      </c>
      <c r="E25" s="645" t="b">
        <v>1</v>
      </c>
      <c r="F25" s="646" t="str">
        <f t="shared" si="1"/>
        <v>PAGADO</v>
      </c>
      <c r="G25" s="340" t="s">
        <v>2278</v>
      </c>
      <c r="H25" s="646" t="str">
        <f t="shared" si="2"/>
        <v>VENCIDA</v>
      </c>
      <c r="I25" s="647">
        <f t="shared" si="3"/>
        <v>289</v>
      </c>
    </row>
    <row r="26">
      <c r="A26" s="643">
        <v>53986.0</v>
      </c>
      <c r="B26" s="644">
        <v>45878.0</v>
      </c>
      <c r="C26" s="644">
        <f t="shared" si="4"/>
        <v>45885</v>
      </c>
      <c r="D26" s="643">
        <v>192461.86</v>
      </c>
      <c r="E26" s="645" t="b">
        <v>1</v>
      </c>
      <c r="F26" s="646" t="str">
        <f t="shared" si="1"/>
        <v>PAGADO</v>
      </c>
      <c r="G26" s="340" t="s">
        <v>2278</v>
      </c>
      <c r="H26" s="646" t="str">
        <f t="shared" si="2"/>
        <v>VENCIDA</v>
      </c>
      <c r="I26" s="647">
        <f t="shared" si="3"/>
        <v>282</v>
      </c>
    </row>
    <row r="27">
      <c r="A27" s="643">
        <v>54445.0</v>
      </c>
      <c r="B27" s="644">
        <v>45885.0</v>
      </c>
      <c r="C27" s="644">
        <f t="shared" si="4"/>
        <v>45892</v>
      </c>
      <c r="D27" s="643">
        <v>185308.74</v>
      </c>
      <c r="E27" s="645" t="b">
        <v>1</v>
      </c>
      <c r="F27" s="646" t="str">
        <f t="shared" si="1"/>
        <v>PAGADO</v>
      </c>
      <c r="G27" s="340" t="s">
        <v>2278</v>
      </c>
      <c r="H27" s="646" t="str">
        <f t="shared" si="2"/>
        <v>VENCIDA</v>
      </c>
      <c r="I27" s="647">
        <f t="shared" si="3"/>
        <v>275</v>
      </c>
    </row>
    <row r="28">
      <c r="A28" s="643">
        <v>54910.0</v>
      </c>
      <c r="B28" s="644">
        <v>45892.0</v>
      </c>
      <c r="C28" s="644">
        <f t="shared" si="4"/>
        <v>45899</v>
      </c>
      <c r="D28" s="643">
        <v>32675.11</v>
      </c>
      <c r="E28" s="645" t="b">
        <v>1</v>
      </c>
      <c r="F28" s="646" t="str">
        <f t="shared" si="1"/>
        <v>PAGADO</v>
      </c>
      <c r="G28" s="340" t="s">
        <v>2278</v>
      </c>
      <c r="H28" s="646" t="str">
        <f t="shared" si="2"/>
        <v>VENCIDA</v>
      </c>
      <c r="I28" s="647">
        <f t="shared" si="3"/>
        <v>268</v>
      </c>
    </row>
    <row r="29">
      <c r="A29" s="643" t="s">
        <v>2423</v>
      </c>
      <c r="B29" s="644">
        <v>45901.0</v>
      </c>
      <c r="C29" s="644">
        <f t="shared" si="4"/>
        <v>45908</v>
      </c>
      <c r="D29" s="643">
        <v>188797.65</v>
      </c>
      <c r="E29" s="645" t="b">
        <v>1</v>
      </c>
      <c r="F29" s="646" t="str">
        <f t="shared" si="1"/>
        <v>PAGADO</v>
      </c>
      <c r="G29" s="340" t="s">
        <v>2278</v>
      </c>
      <c r="H29" s="646" t="str">
        <f t="shared" si="2"/>
        <v>VENCIDA</v>
      </c>
      <c r="I29" s="647">
        <f t="shared" si="3"/>
        <v>259</v>
      </c>
    </row>
    <row r="30">
      <c r="A30" s="643">
        <v>55908.0</v>
      </c>
      <c r="B30" s="644">
        <v>45906.0</v>
      </c>
      <c r="C30" s="644">
        <f t="shared" si="4"/>
        <v>45913</v>
      </c>
      <c r="D30" s="643">
        <v>182122.35</v>
      </c>
      <c r="E30" s="645" t="b">
        <v>1</v>
      </c>
      <c r="F30" s="646" t="str">
        <f t="shared" si="1"/>
        <v>PAGADO</v>
      </c>
      <c r="G30" s="340" t="s">
        <v>2278</v>
      </c>
      <c r="H30" s="646" t="str">
        <f t="shared" si="2"/>
        <v>VENCIDA</v>
      </c>
      <c r="I30" s="647">
        <f t="shared" si="3"/>
        <v>254</v>
      </c>
    </row>
    <row r="31">
      <c r="A31" s="643">
        <v>56372.0</v>
      </c>
      <c r="B31" s="644">
        <v>45913.0</v>
      </c>
      <c r="C31" s="644">
        <f t="shared" si="4"/>
        <v>45920</v>
      </c>
      <c r="D31" s="643">
        <v>212762.95</v>
      </c>
      <c r="E31" s="645" t="b">
        <v>1</v>
      </c>
      <c r="F31" s="646" t="str">
        <f t="shared" si="1"/>
        <v>PAGADO</v>
      </c>
      <c r="G31" s="340" t="s">
        <v>2278</v>
      </c>
      <c r="H31" s="646" t="str">
        <f t="shared" si="2"/>
        <v>VENCIDA</v>
      </c>
      <c r="I31" s="647">
        <f t="shared" si="3"/>
        <v>247</v>
      </c>
    </row>
    <row r="32">
      <c r="A32" s="643">
        <v>56870.0</v>
      </c>
      <c r="B32" s="644">
        <v>45922.0</v>
      </c>
      <c r="C32" s="644">
        <f t="shared" si="4"/>
        <v>45929</v>
      </c>
      <c r="D32" s="643">
        <v>183214.47</v>
      </c>
      <c r="E32" s="645" t="b">
        <v>1</v>
      </c>
      <c r="F32" s="646" t="str">
        <f t="shared" si="1"/>
        <v>PAGADO</v>
      </c>
      <c r="G32" s="340" t="s">
        <v>2278</v>
      </c>
      <c r="H32" s="646" t="str">
        <f t="shared" si="2"/>
        <v>VENCIDA</v>
      </c>
      <c r="I32" s="647">
        <f t="shared" si="3"/>
        <v>238</v>
      </c>
    </row>
    <row r="33">
      <c r="A33" s="644"/>
      <c r="B33" s="643" t="s">
        <v>2474</v>
      </c>
      <c r="C33" s="644">
        <v>45922.0</v>
      </c>
      <c r="D33" s="643">
        <v>155000.0</v>
      </c>
      <c r="E33" s="645" t="b">
        <v>1</v>
      </c>
      <c r="F33" s="646" t="str">
        <f t="shared" si="1"/>
        <v>PAGADO</v>
      </c>
      <c r="G33" s="340" t="s">
        <v>2278</v>
      </c>
      <c r="H33" s="646" t="str">
        <f t="shared" si="2"/>
        <v>VENCIDA</v>
      </c>
      <c r="I33" s="647">
        <f t="shared" si="3"/>
        <v>245</v>
      </c>
    </row>
    <row r="34">
      <c r="A34" s="643">
        <v>57338.0</v>
      </c>
      <c r="B34" s="644">
        <v>45927.0</v>
      </c>
      <c r="C34" s="644">
        <f>B34+7</f>
        <v>45934</v>
      </c>
      <c r="D34" s="643">
        <v>77248.23</v>
      </c>
      <c r="E34" s="645" t="b">
        <v>1</v>
      </c>
      <c r="F34" s="646" t="str">
        <f t="shared" si="1"/>
        <v>PAGADO</v>
      </c>
      <c r="G34" s="340" t="s">
        <v>2278</v>
      </c>
      <c r="H34" s="646" t="str">
        <f t="shared" si="2"/>
        <v>VENCIDA</v>
      </c>
      <c r="I34" s="647">
        <f t="shared" si="3"/>
        <v>233</v>
      </c>
    </row>
    <row r="35">
      <c r="A35" s="644">
        <v>45930.0</v>
      </c>
      <c r="B35" s="643" t="s">
        <v>2475</v>
      </c>
      <c r="C35" s="644"/>
      <c r="D35" s="643">
        <v>190999.45</v>
      </c>
      <c r="E35" s="645" t="b">
        <v>1</v>
      </c>
      <c r="F35" s="646" t="str">
        <f t="shared" si="1"/>
        <v>PAGADO</v>
      </c>
      <c r="G35" s="340" t="s">
        <v>2276</v>
      </c>
      <c r="H35" s="646" t="str">
        <f t="shared" si="2"/>
        <v>VENCIDA</v>
      </c>
      <c r="I35" s="647">
        <f t="shared" si="3"/>
        <v>46167</v>
      </c>
    </row>
    <row r="36">
      <c r="A36" s="643">
        <v>57774.0</v>
      </c>
      <c r="B36" s="644">
        <v>45934.0</v>
      </c>
      <c r="C36" s="644">
        <f>B36+7</f>
        <v>45941</v>
      </c>
      <c r="D36" s="643">
        <v>162902.3</v>
      </c>
      <c r="E36" s="645" t="b">
        <v>1</v>
      </c>
      <c r="F36" s="646" t="str">
        <f t="shared" si="1"/>
        <v>PAGADO</v>
      </c>
      <c r="G36" s="340" t="s">
        <v>2278</v>
      </c>
      <c r="H36" s="646" t="str">
        <f t="shared" si="2"/>
        <v>VENCIDA</v>
      </c>
      <c r="I36" s="647">
        <f t="shared" si="3"/>
        <v>226</v>
      </c>
    </row>
    <row r="37">
      <c r="A37" s="644"/>
      <c r="B37" s="643" t="s">
        <v>2476</v>
      </c>
      <c r="C37" s="644">
        <v>45936.0</v>
      </c>
      <c r="D37" s="643">
        <v>77248.0</v>
      </c>
      <c r="E37" s="645" t="b">
        <v>1</v>
      </c>
      <c r="F37" s="646" t="str">
        <f t="shared" si="1"/>
        <v>PAGADO</v>
      </c>
      <c r="G37" s="340" t="s">
        <v>2276</v>
      </c>
      <c r="H37" s="646" t="str">
        <f t="shared" si="2"/>
        <v>VENCIDA</v>
      </c>
      <c r="I37" s="647">
        <f t="shared" si="3"/>
        <v>231</v>
      </c>
    </row>
    <row r="38">
      <c r="A38" s="643">
        <v>58288.0</v>
      </c>
      <c r="B38" s="644">
        <v>45941.0</v>
      </c>
      <c r="C38" s="644">
        <f t="shared" ref="C38:C39" si="5">B38+7</f>
        <v>45948</v>
      </c>
      <c r="D38" s="643">
        <v>84420.0</v>
      </c>
      <c r="E38" s="645" t="b">
        <v>1</v>
      </c>
      <c r="F38" s="646" t="str">
        <f t="shared" si="1"/>
        <v>PAGADO</v>
      </c>
      <c r="G38" s="340" t="s">
        <v>2278</v>
      </c>
      <c r="H38" s="646" t="str">
        <f t="shared" si="2"/>
        <v>VENCIDA</v>
      </c>
      <c r="I38" s="647">
        <f t="shared" si="3"/>
        <v>219</v>
      </c>
    </row>
    <row r="39">
      <c r="A39" s="643">
        <v>58291.0</v>
      </c>
      <c r="B39" s="644">
        <v>45941.0</v>
      </c>
      <c r="C39" s="644">
        <f t="shared" si="5"/>
        <v>45948</v>
      </c>
      <c r="D39" s="643">
        <v>101580.7</v>
      </c>
      <c r="E39" s="645" t="b">
        <v>1</v>
      </c>
      <c r="F39" s="646" t="str">
        <f t="shared" si="1"/>
        <v>PAGADO</v>
      </c>
      <c r="G39" s="340" t="s">
        <v>2278</v>
      </c>
      <c r="H39" s="646" t="str">
        <f t="shared" si="2"/>
        <v>VENCIDA</v>
      </c>
      <c r="I39" s="647">
        <f t="shared" si="3"/>
        <v>219</v>
      </c>
    </row>
    <row r="40">
      <c r="A40" s="644"/>
      <c r="B40" s="746" t="s">
        <v>2477</v>
      </c>
      <c r="C40" s="637"/>
      <c r="D40" s="643">
        <v>264483.91</v>
      </c>
      <c r="E40" s="645" t="b">
        <v>1</v>
      </c>
      <c r="F40" s="646" t="str">
        <f t="shared" si="1"/>
        <v>PAGADO</v>
      </c>
      <c r="G40" s="340" t="s">
        <v>2278</v>
      </c>
      <c r="H40" s="646" t="str">
        <f t="shared" si="2"/>
        <v>VENCIDA</v>
      </c>
      <c r="I40" s="651">
        <f t="shared" si="3"/>
        <v>46167</v>
      </c>
    </row>
    <row r="41">
      <c r="A41" s="643">
        <v>58728.0</v>
      </c>
      <c r="B41" s="644">
        <v>45948.0</v>
      </c>
      <c r="C41" s="644">
        <f t="shared" ref="C41:C53" si="6">B41+7</f>
        <v>45955</v>
      </c>
      <c r="D41" s="643">
        <v>160717.53</v>
      </c>
      <c r="E41" s="645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212</v>
      </c>
    </row>
    <row r="42">
      <c r="A42" s="643">
        <v>59250.0</v>
      </c>
      <c r="B42" s="644">
        <v>45955.0</v>
      </c>
      <c r="C42" s="644">
        <f t="shared" si="6"/>
        <v>45962</v>
      </c>
      <c r="D42" s="643">
        <v>167634.69</v>
      </c>
      <c r="E42" s="645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205</v>
      </c>
    </row>
    <row r="43">
      <c r="A43" s="643">
        <v>516678.0</v>
      </c>
      <c r="B43" s="644">
        <v>45965.0</v>
      </c>
      <c r="C43" s="644">
        <f t="shared" si="6"/>
        <v>45972</v>
      </c>
      <c r="D43" s="643">
        <v>184446.47</v>
      </c>
      <c r="E43" s="645" t="b">
        <v>1</v>
      </c>
      <c r="F43" s="646" t="str">
        <f t="shared" si="1"/>
        <v>PAGADO</v>
      </c>
      <c r="G43" s="340" t="s">
        <v>2276</v>
      </c>
      <c r="H43" s="646" t="str">
        <f t="shared" si="2"/>
        <v>VENCIDA</v>
      </c>
      <c r="I43" s="647">
        <f t="shared" si="3"/>
        <v>195</v>
      </c>
    </row>
    <row r="44">
      <c r="A44" s="643">
        <v>52851.0</v>
      </c>
      <c r="B44" s="644">
        <v>45972.0</v>
      </c>
      <c r="C44" s="644">
        <f t="shared" si="6"/>
        <v>45979</v>
      </c>
      <c r="D44" s="643">
        <v>162861.7</v>
      </c>
      <c r="E44" s="645" t="b">
        <v>1</v>
      </c>
      <c r="F44" s="646" t="str">
        <f t="shared" si="1"/>
        <v>PAGADO</v>
      </c>
      <c r="G44" s="340" t="s">
        <v>2278</v>
      </c>
      <c r="H44" s="646" t="str">
        <f t="shared" si="2"/>
        <v>VENCIDA</v>
      </c>
      <c r="I44" s="647">
        <f t="shared" si="3"/>
        <v>188</v>
      </c>
    </row>
    <row r="45">
      <c r="A45" s="643" t="s">
        <v>2478</v>
      </c>
      <c r="B45" s="644">
        <v>45973.0</v>
      </c>
      <c r="C45" s="644">
        <f t="shared" si="6"/>
        <v>45980</v>
      </c>
      <c r="D45" s="643">
        <v>184446.0</v>
      </c>
      <c r="E45" s="645" t="b">
        <v>1</v>
      </c>
      <c r="F45" s="646" t="str">
        <f t="shared" si="1"/>
        <v>PAGADO</v>
      </c>
      <c r="G45" s="340" t="s">
        <v>2276</v>
      </c>
      <c r="H45" s="646" t="str">
        <f t="shared" si="2"/>
        <v>VENCIDA</v>
      </c>
      <c r="I45" s="647">
        <f t="shared" si="3"/>
        <v>187</v>
      </c>
    </row>
    <row r="46">
      <c r="A46" s="643">
        <v>54307.0</v>
      </c>
      <c r="B46" s="644">
        <v>45979.0</v>
      </c>
      <c r="C46" s="644">
        <f t="shared" si="6"/>
        <v>45986</v>
      </c>
      <c r="D46" s="643">
        <v>158634.7</v>
      </c>
      <c r="E46" s="645" t="b">
        <v>1</v>
      </c>
      <c r="F46" s="646" t="str">
        <f t="shared" si="1"/>
        <v>PAGADO</v>
      </c>
      <c r="G46" s="340" t="s">
        <v>2276</v>
      </c>
      <c r="H46" s="646" t="str">
        <f t="shared" si="2"/>
        <v>VENCIDA</v>
      </c>
      <c r="I46" s="647">
        <f t="shared" si="3"/>
        <v>181</v>
      </c>
    </row>
    <row r="47">
      <c r="A47" s="643">
        <v>56809.0</v>
      </c>
      <c r="B47" s="644">
        <v>45993.0</v>
      </c>
      <c r="C47" s="644">
        <f t="shared" si="6"/>
        <v>46000</v>
      </c>
      <c r="D47" s="643">
        <v>64067.78</v>
      </c>
      <c r="E47" s="645" t="b">
        <v>1</v>
      </c>
      <c r="F47" s="646" t="str">
        <f t="shared" si="1"/>
        <v>PAGADO</v>
      </c>
      <c r="G47" s="340" t="s">
        <v>2276</v>
      </c>
      <c r="H47" s="646" t="str">
        <f t="shared" si="2"/>
        <v>VENCIDA</v>
      </c>
      <c r="I47" s="647">
        <f t="shared" si="3"/>
        <v>167</v>
      </c>
    </row>
    <row r="48">
      <c r="A48" s="643">
        <v>58052.0</v>
      </c>
      <c r="B48" s="644">
        <v>46000.0</v>
      </c>
      <c r="C48" s="644">
        <f t="shared" si="6"/>
        <v>46007</v>
      </c>
      <c r="D48" s="643">
        <v>180232.85</v>
      </c>
      <c r="E48" s="645" t="b">
        <v>1</v>
      </c>
      <c r="F48" s="646" t="str">
        <f t="shared" si="1"/>
        <v>PAGADO</v>
      </c>
      <c r="G48" s="340" t="s">
        <v>2276</v>
      </c>
      <c r="H48" s="646" t="str">
        <f t="shared" si="2"/>
        <v>VENCIDA</v>
      </c>
      <c r="I48" s="647">
        <f t="shared" si="3"/>
        <v>160</v>
      </c>
    </row>
    <row r="49">
      <c r="A49" s="643">
        <v>59446.0</v>
      </c>
      <c r="B49" s="644">
        <v>46007.0</v>
      </c>
      <c r="C49" s="644">
        <f t="shared" si="6"/>
        <v>46014</v>
      </c>
      <c r="D49" s="643">
        <v>221219.68</v>
      </c>
      <c r="E49" s="645" t="b">
        <v>1</v>
      </c>
      <c r="F49" s="646" t="str">
        <f t="shared" si="1"/>
        <v>PAGADO</v>
      </c>
      <c r="G49" s="340" t="s">
        <v>2278</v>
      </c>
      <c r="H49" s="646" t="str">
        <f t="shared" si="2"/>
        <v>VENCIDA</v>
      </c>
      <c r="I49" s="647">
        <f t="shared" si="3"/>
        <v>153</v>
      </c>
    </row>
    <row r="50">
      <c r="A50" s="643">
        <v>61163.0</v>
      </c>
      <c r="B50" s="644">
        <v>46014.0</v>
      </c>
      <c r="C50" s="644">
        <f t="shared" si="6"/>
        <v>46021</v>
      </c>
      <c r="D50" s="643">
        <v>158712.78</v>
      </c>
      <c r="E50" s="645" t="b">
        <v>1</v>
      </c>
      <c r="F50" s="646" t="str">
        <f t="shared" si="1"/>
        <v>PAGADO</v>
      </c>
      <c r="G50" s="340" t="s">
        <v>2278</v>
      </c>
      <c r="H50" s="646" t="str">
        <f t="shared" si="2"/>
        <v>VENCIDA</v>
      </c>
      <c r="I50" s="647">
        <f t="shared" si="3"/>
        <v>146</v>
      </c>
    </row>
    <row r="51">
      <c r="A51" s="643">
        <v>62129.0</v>
      </c>
      <c r="B51" s="644">
        <v>46386.0</v>
      </c>
      <c r="C51" s="644">
        <f t="shared" si="6"/>
        <v>46393</v>
      </c>
      <c r="D51" s="643">
        <v>141053.12</v>
      </c>
      <c r="E51" s="645" t="b">
        <v>1</v>
      </c>
      <c r="F51" s="646" t="str">
        <f t="shared" si="1"/>
        <v>PAGADO</v>
      </c>
      <c r="G51" s="340" t="s">
        <v>2276</v>
      </c>
      <c r="H51" s="646" t="str">
        <f t="shared" si="2"/>
        <v>VIGENTE</v>
      </c>
      <c r="I51" s="647">
        <f t="shared" si="3"/>
        <v>-226</v>
      </c>
    </row>
    <row r="52">
      <c r="A52" s="643">
        <v>62753.0</v>
      </c>
      <c r="B52" s="644">
        <v>46028.0</v>
      </c>
      <c r="C52" s="644">
        <f t="shared" si="6"/>
        <v>46035</v>
      </c>
      <c r="D52" s="643">
        <v>52158.25</v>
      </c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132</v>
      </c>
    </row>
    <row r="53">
      <c r="A53" s="643">
        <v>63863.0</v>
      </c>
      <c r="B53" s="644">
        <v>46035.0</v>
      </c>
      <c r="C53" s="644">
        <f t="shared" si="6"/>
        <v>46042</v>
      </c>
      <c r="D53" s="643">
        <v>175824.27</v>
      </c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125</v>
      </c>
    </row>
    <row r="54">
      <c r="A54" s="774">
        <v>63928.0</v>
      </c>
      <c r="B54" s="775">
        <v>46035.0</v>
      </c>
      <c r="C54" s="774" t="s">
        <v>2479</v>
      </c>
      <c r="D54" s="774">
        <v>22045.35</v>
      </c>
      <c r="E54" s="779" t="b">
        <v>0</v>
      </c>
      <c r="F54" s="780" t="s">
        <v>2405</v>
      </c>
      <c r="G54" s="503" t="s">
        <v>2278</v>
      </c>
      <c r="H54" s="780" t="s">
        <v>2405</v>
      </c>
      <c r="I54" s="781" t="s">
        <v>2405</v>
      </c>
      <c r="J54" s="2" t="s">
        <v>2480</v>
      </c>
    </row>
    <row r="55">
      <c r="A55" s="643">
        <v>65947.0</v>
      </c>
      <c r="B55" s="644">
        <v>46049.0</v>
      </c>
      <c r="C55" s="644">
        <f t="shared" ref="C55:C133" si="7">B55+7</f>
        <v>46056</v>
      </c>
      <c r="D55" s="643">
        <v>75161.05</v>
      </c>
      <c r="E55" s="645" t="b">
        <v>1</v>
      </c>
      <c r="F55" s="646" t="str">
        <f t="shared" ref="F55:F133" si="8">IF(E55,"PAGADO","ADEUDA")</f>
        <v>PAGADO</v>
      </c>
      <c r="G55" s="340" t="s">
        <v>2287</v>
      </c>
      <c r="H55" s="646" t="str">
        <f t="shared" ref="H55:H63" si="9">IF(C55&lt;TODAY(),"VENCIDA",IF(C55=TODAY(),"VENCE HOY",IF(C55&gt;TODAY(),"VIGENTE")))</f>
        <v>VENCIDA</v>
      </c>
      <c r="I55" s="647">
        <f t="shared" ref="I55:I63" si="10">TODAY()-C55</f>
        <v>111</v>
      </c>
    </row>
    <row r="56">
      <c r="A56" s="643">
        <v>67242.0</v>
      </c>
      <c r="B56" s="644">
        <v>46057.0</v>
      </c>
      <c r="C56" s="644">
        <f t="shared" si="7"/>
        <v>46064</v>
      </c>
      <c r="D56" s="643">
        <v>169992.89</v>
      </c>
      <c r="E56" s="645" t="b">
        <v>1</v>
      </c>
      <c r="F56" s="646" t="str">
        <f t="shared" si="8"/>
        <v>PAGADO</v>
      </c>
      <c r="G56" s="340" t="s">
        <v>2276</v>
      </c>
      <c r="H56" s="646" t="str">
        <f t="shared" si="9"/>
        <v>VENCIDA</v>
      </c>
      <c r="I56" s="647">
        <f t="shared" si="10"/>
        <v>103</v>
      </c>
    </row>
    <row r="57">
      <c r="A57" s="643">
        <v>67838.0</v>
      </c>
      <c r="B57" s="644">
        <v>46063.0</v>
      </c>
      <c r="C57" s="644">
        <f t="shared" si="7"/>
        <v>46070</v>
      </c>
      <c r="D57" s="643">
        <v>157776.12</v>
      </c>
      <c r="E57" s="645" t="b">
        <v>1</v>
      </c>
      <c r="F57" s="646" t="str">
        <f t="shared" si="8"/>
        <v>PAGADO</v>
      </c>
      <c r="G57" s="340" t="s">
        <v>2276</v>
      </c>
      <c r="H57" s="646" t="str">
        <f t="shared" si="9"/>
        <v>VENCIDA</v>
      </c>
      <c r="I57" s="647">
        <f t="shared" si="10"/>
        <v>97</v>
      </c>
    </row>
    <row r="58">
      <c r="A58" s="643">
        <v>68670.0</v>
      </c>
      <c r="B58" s="644">
        <v>46067.0</v>
      </c>
      <c r="C58" s="644">
        <f t="shared" si="7"/>
        <v>46074</v>
      </c>
      <c r="D58" s="643">
        <v>85586.34</v>
      </c>
      <c r="E58" s="645" t="b">
        <v>1</v>
      </c>
      <c r="F58" s="646" t="str">
        <f t="shared" si="8"/>
        <v>PAGADO</v>
      </c>
      <c r="G58" s="340" t="s">
        <v>2276</v>
      </c>
      <c r="H58" s="646" t="str">
        <f t="shared" si="9"/>
        <v>VENCIDA</v>
      </c>
      <c r="I58" s="647">
        <f t="shared" si="10"/>
        <v>93</v>
      </c>
    </row>
    <row r="59">
      <c r="A59" s="643">
        <v>69681.0</v>
      </c>
      <c r="B59" s="644">
        <v>46077.0</v>
      </c>
      <c r="C59" s="644">
        <f t="shared" si="7"/>
        <v>46084</v>
      </c>
      <c r="D59" s="643">
        <v>216316.77</v>
      </c>
      <c r="E59" s="645" t="b">
        <v>1</v>
      </c>
      <c r="F59" s="646" t="str">
        <f t="shared" si="8"/>
        <v>PAGADO</v>
      </c>
      <c r="G59" s="340" t="s">
        <v>2287</v>
      </c>
      <c r="H59" s="646" t="str">
        <f t="shared" si="9"/>
        <v>VENCIDA</v>
      </c>
      <c r="I59" s="647">
        <f t="shared" si="10"/>
        <v>83</v>
      </c>
    </row>
    <row r="60">
      <c r="A60" s="643">
        <v>70680.0</v>
      </c>
      <c r="B60" s="644">
        <v>46084.0</v>
      </c>
      <c r="C60" s="644">
        <f t="shared" si="7"/>
        <v>46091</v>
      </c>
      <c r="D60" s="643">
        <v>38664.36</v>
      </c>
      <c r="E60" s="645" t="b">
        <v>1</v>
      </c>
      <c r="F60" s="646" t="str">
        <f t="shared" si="8"/>
        <v>PAGADO</v>
      </c>
      <c r="G60" s="340" t="s">
        <v>2276</v>
      </c>
      <c r="H60" s="646" t="str">
        <f t="shared" si="9"/>
        <v>VENCIDA</v>
      </c>
      <c r="I60" s="647">
        <f t="shared" si="10"/>
        <v>76</v>
      </c>
    </row>
    <row r="61">
      <c r="A61" s="643">
        <v>71844.0</v>
      </c>
      <c r="B61" s="644">
        <v>46091.0</v>
      </c>
      <c r="C61" s="644">
        <f t="shared" si="7"/>
        <v>46098</v>
      </c>
      <c r="D61" s="643">
        <v>106047.11</v>
      </c>
      <c r="E61" s="645" t="b">
        <v>1</v>
      </c>
      <c r="F61" s="646" t="str">
        <f t="shared" si="8"/>
        <v>PAGADO</v>
      </c>
      <c r="G61" s="340" t="s">
        <v>2287</v>
      </c>
      <c r="H61" s="646" t="str">
        <f t="shared" si="9"/>
        <v>VENCIDA</v>
      </c>
      <c r="I61" s="647">
        <f t="shared" si="10"/>
        <v>69</v>
      </c>
    </row>
    <row r="62">
      <c r="A62" s="643">
        <v>71965.0</v>
      </c>
      <c r="B62" s="644">
        <v>46091.0</v>
      </c>
      <c r="C62" s="644">
        <f t="shared" si="7"/>
        <v>46098</v>
      </c>
      <c r="D62" s="643">
        <v>38896.64</v>
      </c>
      <c r="E62" s="645" t="b">
        <v>1</v>
      </c>
      <c r="F62" s="646" t="str">
        <f t="shared" si="8"/>
        <v>PAGADO</v>
      </c>
      <c r="G62" s="340" t="s">
        <v>2287</v>
      </c>
      <c r="H62" s="646" t="str">
        <f t="shared" si="9"/>
        <v>VENCIDA</v>
      </c>
      <c r="I62" s="647">
        <f t="shared" si="10"/>
        <v>69</v>
      </c>
    </row>
    <row r="63">
      <c r="A63" s="643">
        <v>73007.0</v>
      </c>
      <c r="B63" s="644">
        <v>46098.0</v>
      </c>
      <c r="C63" s="644">
        <f t="shared" si="7"/>
        <v>46105</v>
      </c>
      <c r="D63" s="643">
        <v>62456.51</v>
      </c>
      <c r="E63" s="645" t="b">
        <v>1</v>
      </c>
      <c r="F63" s="646" t="str">
        <f t="shared" si="8"/>
        <v>PAGADO</v>
      </c>
      <c r="G63" s="340" t="s">
        <v>2276</v>
      </c>
      <c r="H63" s="646" t="str">
        <f t="shared" si="9"/>
        <v>VENCIDA</v>
      </c>
      <c r="I63" s="647">
        <f t="shared" si="10"/>
        <v>62</v>
      </c>
    </row>
    <row r="64">
      <c r="A64" s="643">
        <v>75116.0</v>
      </c>
      <c r="B64" s="644">
        <v>46112.0</v>
      </c>
      <c r="C64" s="644">
        <f t="shared" si="7"/>
        <v>46119</v>
      </c>
      <c r="D64" s="643">
        <v>186518.98</v>
      </c>
      <c r="E64" s="645" t="b">
        <v>1</v>
      </c>
      <c r="F64" s="646" t="str">
        <f t="shared" si="8"/>
        <v>PAGADO</v>
      </c>
      <c r="G64" s="340" t="s">
        <v>2276</v>
      </c>
      <c r="H64" s="646"/>
      <c r="I64" s="647"/>
    </row>
    <row r="65">
      <c r="A65" s="643">
        <v>76217.0</v>
      </c>
      <c r="B65" s="644">
        <v>46119.0</v>
      </c>
      <c r="C65" s="644">
        <f t="shared" si="7"/>
        <v>46126</v>
      </c>
      <c r="D65" s="643">
        <v>141384.14</v>
      </c>
      <c r="E65" s="645" t="b">
        <v>1</v>
      </c>
      <c r="F65" s="646" t="str">
        <f t="shared" si="8"/>
        <v>PAGADO</v>
      </c>
      <c r="G65" s="340" t="s">
        <v>2276</v>
      </c>
      <c r="H65" s="646" t="str">
        <f t="shared" ref="H65:H133" si="11">IF(C65&lt;TODAY(),"VENCIDA",IF(C65=TODAY(),"VENCE HOY",IF(C65&gt;TODAY(),"VIGENTE")))</f>
        <v>VENCIDA</v>
      </c>
      <c r="I65" s="647">
        <f t="shared" ref="I65:I133" si="12">TODAY()-C65</f>
        <v>41</v>
      </c>
    </row>
    <row r="66">
      <c r="A66" s="643">
        <v>77265.0</v>
      </c>
      <c r="B66" s="644">
        <v>46126.0</v>
      </c>
      <c r="C66" s="644">
        <f t="shared" si="7"/>
        <v>46133</v>
      </c>
      <c r="D66" s="643">
        <v>93310.37</v>
      </c>
      <c r="E66" s="645" t="b">
        <v>1</v>
      </c>
      <c r="F66" s="646" t="str">
        <f t="shared" si="8"/>
        <v>PAGADO</v>
      </c>
      <c r="G66" s="340" t="s">
        <v>2276</v>
      </c>
      <c r="H66" s="646" t="str">
        <f t="shared" si="11"/>
        <v>VENCIDA</v>
      </c>
      <c r="I66" s="647">
        <f t="shared" si="12"/>
        <v>34</v>
      </c>
    </row>
    <row r="67">
      <c r="A67" s="643">
        <v>78454.0</v>
      </c>
      <c r="B67" s="644">
        <v>46133.0</v>
      </c>
      <c r="C67" s="644">
        <f t="shared" si="7"/>
        <v>46140</v>
      </c>
      <c r="D67" s="643">
        <v>201835.59</v>
      </c>
      <c r="E67" s="658" t="b">
        <v>0</v>
      </c>
      <c r="F67" s="646" t="str">
        <f t="shared" si="8"/>
        <v>ADEUDA</v>
      </c>
      <c r="G67" s="340" t="s">
        <v>2278</v>
      </c>
      <c r="H67" s="646" t="str">
        <f t="shared" si="11"/>
        <v>VENCIDA</v>
      </c>
      <c r="I67" s="647">
        <f t="shared" si="12"/>
        <v>27</v>
      </c>
    </row>
    <row r="68">
      <c r="A68" s="644"/>
      <c r="B68" s="644"/>
      <c r="C68" s="644">
        <f t="shared" si="7"/>
        <v>7</v>
      </c>
      <c r="D68" s="643"/>
      <c r="E68" s="658" t="b">
        <v>0</v>
      </c>
      <c r="F68" s="646" t="str">
        <f t="shared" si="8"/>
        <v>ADEUDA</v>
      </c>
      <c r="G68" s="340" t="s">
        <v>2278</v>
      </c>
      <c r="H68" s="646" t="str">
        <f t="shared" si="11"/>
        <v>VENCIDA</v>
      </c>
      <c r="I68" s="647">
        <f t="shared" si="12"/>
        <v>46160</v>
      </c>
    </row>
    <row r="69">
      <c r="A69" s="644"/>
      <c r="B69" s="644"/>
      <c r="C69" s="644">
        <f t="shared" si="7"/>
        <v>7</v>
      </c>
      <c r="D69" s="643"/>
      <c r="E69" s="658" t="b">
        <v>0</v>
      </c>
      <c r="F69" s="646" t="str">
        <f t="shared" si="8"/>
        <v>ADEUDA</v>
      </c>
      <c r="G69" s="340" t="s">
        <v>2278</v>
      </c>
      <c r="H69" s="646" t="str">
        <f t="shared" si="11"/>
        <v>VENCIDA</v>
      </c>
      <c r="I69" s="647">
        <f t="shared" si="12"/>
        <v>46160</v>
      </c>
    </row>
    <row r="70">
      <c r="A70" s="644"/>
      <c r="B70" s="644"/>
      <c r="C70" s="644">
        <f t="shared" si="7"/>
        <v>7</v>
      </c>
      <c r="D70" s="643"/>
      <c r="E70" s="658" t="b">
        <v>0</v>
      </c>
      <c r="F70" s="646" t="str">
        <f t="shared" si="8"/>
        <v>ADEUDA</v>
      </c>
      <c r="G70" s="340" t="s">
        <v>2278</v>
      </c>
      <c r="H70" s="646" t="str">
        <f t="shared" si="11"/>
        <v>VENCIDA</v>
      </c>
      <c r="I70" s="647">
        <f t="shared" si="12"/>
        <v>46160</v>
      </c>
    </row>
    <row r="71">
      <c r="A71" s="644"/>
      <c r="B71" s="644"/>
      <c r="C71" s="644">
        <f t="shared" si="7"/>
        <v>7</v>
      </c>
      <c r="D71" s="643"/>
      <c r="E71" s="658" t="b">
        <v>0</v>
      </c>
      <c r="F71" s="646" t="str">
        <f t="shared" si="8"/>
        <v>ADEUDA</v>
      </c>
      <c r="G71" s="340" t="s">
        <v>2278</v>
      </c>
      <c r="H71" s="646" t="str">
        <f t="shared" si="11"/>
        <v>VENCIDA</v>
      </c>
      <c r="I71" s="647">
        <f t="shared" si="12"/>
        <v>46160</v>
      </c>
    </row>
    <row r="72">
      <c r="A72" s="644"/>
      <c r="B72" s="644"/>
      <c r="C72" s="644">
        <f t="shared" si="7"/>
        <v>7</v>
      </c>
      <c r="D72" s="643"/>
      <c r="E72" s="658" t="b">
        <v>0</v>
      </c>
      <c r="F72" s="646" t="str">
        <f t="shared" si="8"/>
        <v>ADEUDA</v>
      </c>
      <c r="G72" s="340" t="s">
        <v>2278</v>
      </c>
      <c r="H72" s="646" t="str">
        <f t="shared" si="11"/>
        <v>VENCIDA</v>
      </c>
      <c r="I72" s="647">
        <f t="shared" si="12"/>
        <v>46160</v>
      </c>
    </row>
    <row r="73">
      <c r="A73" s="644"/>
      <c r="B73" s="644"/>
      <c r="C73" s="644">
        <f t="shared" si="7"/>
        <v>7</v>
      </c>
      <c r="D73" s="643"/>
      <c r="E73" s="658" t="b">
        <v>0</v>
      </c>
      <c r="F73" s="646" t="str">
        <f t="shared" si="8"/>
        <v>ADEUDA</v>
      </c>
      <c r="G73" s="340" t="s">
        <v>2278</v>
      </c>
      <c r="H73" s="646" t="str">
        <f t="shared" si="11"/>
        <v>VENCIDA</v>
      </c>
      <c r="I73" s="647">
        <f t="shared" si="12"/>
        <v>46160</v>
      </c>
    </row>
    <row r="74">
      <c r="A74" s="644"/>
      <c r="B74" s="644"/>
      <c r="C74" s="644">
        <f t="shared" si="7"/>
        <v>7</v>
      </c>
      <c r="D74" s="643"/>
      <c r="E74" s="658" t="b">
        <v>0</v>
      </c>
      <c r="F74" s="646" t="str">
        <f t="shared" si="8"/>
        <v>ADEUDA</v>
      </c>
      <c r="G74" s="340" t="s">
        <v>2278</v>
      </c>
      <c r="H74" s="646" t="str">
        <f t="shared" si="11"/>
        <v>VENCIDA</v>
      </c>
      <c r="I74" s="647">
        <f t="shared" si="12"/>
        <v>46160</v>
      </c>
    </row>
    <row r="75">
      <c r="A75" s="644"/>
      <c r="B75" s="644"/>
      <c r="C75" s="644">
        <f t="shared" si="7"/>
        <v>7</v>
      </c>
      <c r="D75" s="643"/>
      <c r="E75" s="658" t="b">
        <v>0</v>
      </c>
      <c r="F75" s="646" t="str">
        <f t="shared" si="8"/>
        <v>ADEUDA</v>
      </c>
      <c r="G75" s="340" t="s">
        <v>2278</v>
      </c>
      <c r="H75" s="646" t="str">
        <f t="shared" si="11"/>
        <v>VENCIDA</v>
      </c>
      <c r="I75" s="647">
        <f t="shared" si="12"/>
        <v>46160</v>
      </c>
    </row>
    <row r="76">
      <c r="A76" s="644"/>
      <c r="B76" s="644"/>
      <c r="C76" s="644">
        <f t="shared" si="7"/>
        <v>7</v>
      </c>
      <c r="D76" s="643"/>
      <c r="E76" s="658" t="b">
        <v>0</v>
      </c>
      <c r="F76" s="646" t="str">
        <f t="shared" si="8"/>
        <v>ADEUDA</v>
      </c>
      <c r="G76" s="340" t="s">
        <v>2278</v>
      </c>
      <c r="H76" s="646" t="str">
        <f t="shared" si="11"/>
        <v>VENCIDA</v>
      </c>
      <c r="I76" s="647">
        <f t="shared" si="12"/>
        <v>46160</v>
      </c>
    </row>
    <row r="77">
      <c r="A77" s="644"/>
      <c r="B77" s="644"/>
      <c r="C77" s="644">
        <f t="shared" si="7"/>
        <v>7</v>
      </c>
      <c r="D77" s="643"/>
      <c r="E77" s="658" t="b">
        <v>0</v>
      </c>
      <c r="F77" s="646" t="str">
        <f t="shared" si="8"/>
        <v>ADEUDA</v>
      </c>
      <c r="G77" s="340" t="s">
        <v>2278</v>
      </c>
      <c r="H77" s="646" t="str">
        <f t="shared" si="11"/>
        <v>VENCIDA</v>
      </c>
      <c r="I77" s="647">
        <f t="shared" si="12"/>
        <v>46160</v>
      </c>
    </row>
    <row r="78">
      <c r="A78" s="644"/>
      <c r="B78" s="644"/>
      <c r="C78" s="644">
        <f t="shared" si="7"/>
        <v>7</v>
      </c>
      <c r="D78" s="643"/>
      <c r="E78" s="658" t="b">
        <v>0</v>
      </c>
      <c r="F78" s="646" t="str">
        <f t="shared" si="8"/>
        <v>ADEUDA</v>
      </c>
      <c r="G78" s="340" t="s">
        <v>2278</v>
      </c>
      <c r="H78" s="646" t="str">
        <f t="shared" si="11"/>
        <v>VENCIDA</v>
      </c>
      <c r="I78" s="647">
        <f t="shared" si="12"/>
        <v>46160</v>
      </c>
    </row>
    <row r="79">
      <c r="A79" s="644"/>
      <c r="B79" s="644"/>
      <c r="C79" s="644">
        <f t="shared" si="7"/>
        <v>7</v>
      </c>
      <c r="D79" s="643"/>
      <c r="E79" s="658" t="b">
        <v>0</v>
      </c>
      <c r="F79" s="646" t="str">
        <f t="shared" si="8"/>
        <v>ADEUDA</v>
      </c>
      <c r="G79" s="340" t="s">
        <v>2278</v>
      </c>
      <c r="H79" s="646" t="str">
        <f t="shared" si="11"/>
        <v>VENCIDA</v>
      </c>
      <c r="I79" s="647">
        <f t="shared" si="12"/>
        <v>46160</v>
      </c>
    </row>
    <row r="80">
      <c r="A80" s="644"/>
      <c r="B80" s="644"/>
      <c r="C80" s="644">
        <f t="shared" si="7"/>
        <v>7</v>
      </c>
      <c r="D80" s="643"/>
      <c r="E80" s="658" t="b">
        <v>0</v>
      </c>
      <c r="F80" s="646" t="str">
        <f t="shared" si="8"/>
        <v>ADEUDA</v>
      </c>
      <c r="G80" s="340" t="s">
        <v>2278</v>
      </c>
      <c r="H80" s="646" t="str">
        <f t="shared" si="11"/>
        <v>VENCIDA</v>
      </c>
      <c r="I80" s="647">
        <f t="shared" si="12"/>
        <v>46160</v>
      </c>
    </row>
    <row r="81">
      <c r="A81" s="644"/>
      <c r="B81" s="644"/>
      <c r="C81" s="644">
        <f t="shared" si="7"/>
        <v>7</v>
      </c>
      <c r="D81" s="643"/>
      <c r="E81" s="658" t="b">
        <v>0</v>
      </c>
      <c r="F81" s="646" t="str">
        <f t="shared" si="8"/>
        <v>ADEUDA</v>
      </c>
      <c r="G81" s="340" t="s">
        <v>2278</v>
      </c>
      <c r="H81" s="646" t="str">
        <f t="shared" si="11"/>
        <v>VENCIDA</v>
      </c>
      <c r="I81" s="647">
        <f t="shared" si="12"/>
        <v>46160</v>
      </c>
    </row>
    <row r="82">
      <c r="A82" s="644"/>
      <c r="B82" s="644"/>
      <c r="C82" s="644">
        <f t="shared" si="7"/>
        <v>7</v>
      </c>
      <c r="D82" s="643"/>
      <c r="E82" s="658" t="b">
        <v>0</v>
      </c>
      <c r="F82" s="646" t="str">
        <f t="shared" si="8"/>
        <v>ADEUDA</v>
      </c>
      <c r="G82" s="340" t="s">
        <v>2278</v>
      </c>
      <c r="H82" s="646" t="str">
        <f t="shared" si="11"/>
        <v>VENCIDA</v>
      </c>
      <c r="I82" s="647">
        <f t="shared" si="12"/>
        <v>46160</v>
      </c>
    </row>
    <row r="83">
      <c r="A83" s="644"/>
      <c r="B83" s="644"/>
      <c r="C83" s="644">
        <f t="shared" si="7"/>
        <v>7</v>
      </c>
      <c r="D83" s="643"/>
      <c r="E83" s="658" t="b">
        <v>0</v>
      </c>
      <c r="F83" s="646" t="str">
        <f t="shared" si="8"/>
        <v>ADEUDA</v>
      </c>
      <c r="G83" s="340" t="s">
        <v>2278</v>
      </c>
      <c r="H83" s="646" t="str">
        <f t="shared" si="11"/>
        <v>VENCIDA</v>
      </c>
      <c r="I83" s="647">
        <f t="shared" si="12"/>
        <v>46160</v>
      </c>
    </row>
    <row r="84">
      <c r="A84" s="644"/>
      <c r="B84" s="644"/>
      <c r="C84" s="644">
        <f t="shared" si="7"/>
        <v>7</v>
      </c>
      <c r="D84" s="643"/>
      <c r="E84" s="658" t="b">
        <v>0</v>
      </c>
      <c r="F84" s="646" t="str">
        <f t="shared" si="8"/>
        <v>ADEUDA</v>
      </c>
      <c r="G84" s="340" t="s">
        <v>2278</v>
      </c>
      <c r="H84" s="646" t="str">
        <f t="shared" si="11"/>
        <v>VENCIDA</v>
      </c>
      <c r="I84" s="647">
        <f t="shared" si="12"/>
        <v>46160</v>
      </c>
    </row>
    <row r="85">
      <c r="A85" s="644"/>
      <c r="B85" s="644"/>
      <c r="C85" s="644">
        <f t="shared" si="7"/>
        <v>7</v>
      </c>
      <c r="D85" s="643"/>
      <c r="E85" s="658" t="b">
        <v>0</v>
      </c>
      <c r="F85" s="646" t="str">
        <f t="shared" si="8"/>
        <v>ADEUDA</v>
      </c>
      <c r="G85" s="340" t="s">
        <v>2278</v>
      </c>
      <c r="H85" s="646" t="str">
        <f t="shared" si="11"/>
        <v>VENCIDA</v>
      </c>
      <c r="I85" s="647">
        <f t="shared" si="12"/>
        <v>46160</v>
      </c>
    </row>
    <row r="86">
      <c r="A86" s="644"/>
      <c r="B86" s="644"/>
      <c r="C86" s="644">
        <f t="shared" si="7"/>
        <v>7</v>
      </c>
      <c r="D86" s="643"/>
      <c r="E86" s="658" t="b">
        <v>0</v>
      </c>
      <c r="F86" s="646" t="str">
        <f t="shared" si="8"/>
        <v>ADEUDA</v>
      </c>
      <c r="G86" s="340" t="s">
        <v>2278</v>
      </c>
      <c r="H86" s="646" t="str">
        <f t="shared" si="11"/>
        <v>VENCIDA</v>
      </c>
      <c r="I86" s="647">
        <f t="shared" si="12"/>
        <v>46160</v>
      </c>
    </row>
    <row r="87">
      <c r="A87" s="644"/>
      <c r="B87" s="644"/>
      <c r="C87" s="644">
        <f t="shared" si="7"/>
        <v>7</v>
      </c>
      <c r="D87" s="643"/>
      <c r="E87" s="658" t="b">
        <v>0</v>
      </c>
      <c r="F87" s="646" t="str">
        <f t="shared" si="8"/>
        <v>ADEUDA</v>
      </c>
      <c r="G87" s="340" t="s">
        <v>2278</v>
      </c>
      <c r="H87" s="646" t="str">
        <f t="shared" si="11"/>
        <v>VENCIDA</v>
      </c>
      <c r="I87" s="647">
        <f t="shared" si="12"/>
        <v>46160</v>
      </c>
    </row>
    <row r="88">
      <c r="A88" s="644"/>
      <c r="B88" s="644"/>
      <c r="C88" s="644">
        <f t="shared" si="7"/>
        <v>7</v>
      </c>
      <c r="D88" s="643"/>
      <c r="E88" s="658" t="b">
        <v>0</v>
      </c>
      <c r="F88" s="646" t="str">
        <f t="shared" si="8"/>
        <v>ADEUDA</v>
      </c>
      <c r="G88" s="340" t="s">
        <v>2278</v>
      </c>
      <c r="H88" s="646" t="str">
        <f t="shared" si="11"/>
        <v>VENCIDA</v>
      </c>
      <c r="I88" s="647">
        <f t="shared" si="12"/>
        <v>46160</v>
      </c>
    </row>
    <row r="89">
      <c r="A89" s="644"/>
      <c r="B89" s="644"/>
      <c r="C89" s="644">
        <f t="shared" si="7"/>
        <v>7</v>
      </c>
      <c r="D89" s="643"/>
      <c r="E89" s="658" t="b">
        <v>0</v>
      </c>
      <c r="F89" s="646" t="str">
        <f t="shared" si="8"/>
        <v>ADEUDA</v>
      </c>
      <c r="G89" s="340" t="s">
        <v>2278</v>
      </c>
      <c r="H89" s="646" t="str">
        <f t="shared" si="11"/>
        <v>VENCIDA</v>
      </c>
      <c r="I89" s="647">
        <f t="shared" si="12"/>
        <v>46160</v>
      </c>
    </row>
    <row r="90">
      <c r="A90" s="644"/>
      <c r="B90" s="644"/>
      <c r="C90" s="644">
        <f t="shared" si="7"/>
        <v>7</v>
      </c>
      <c r="D90" s="643"/>
      <c r="E90" s="658" t="b">
        <v>0</v>
      </c>
      <c r="F90" s="646" t="str">
        <f t="shared" si="8"/>
        <v>ADEUDA</v>
      </c>
      <c r="G90" s="340" t="s">
        <v>2278</v>
      </c>
      <c r="H90" s="646" t="str">
        <f t="shared" si="11"/>
        <v>VENCIDA</v>
      </c>
      <c r="I90" s="647">
        <f t="shared" si="12"/>
        <v>46160</v>
      </c>
    </row>
    <row r="91">
      <c r="A91" s="644"/>
      <c r="B91" s="644"/>
      <c r="C91" s="644">
        <f t="shared" si="7"/>
        <v>7</v>
      </c>
      <c r="D91" s="643"/>
      <c r="E91" s="658" t="b">
        <v>0</v>
      </c>
      <c r="F91" s="646" t="str">
        <f t="shared" si="8"/>
        <v>ADEUDA</v>
      </c>
      <c r="G91" s="340" t="s">
        <v>2278</v>
      </c>
      <c r="H91" s="646" t="str">
        <f t="shared" si="11"/>
        <v>VENCIDA</v>
      </c>
      <c r="I91" s="647">
        <f t="shared" si="12"/>
        <v>46160</v>
      </c>
    </row>
    <row r="92">
      <c r="A92" s="644"/>
      <c r="B92" s="644"/>
      <c r="C92" s="644">
        <f t="shared" si="7"/>
        <v>7</v>
      </c>
      <c r="D92" s="643"/>
      <c r="E92" s="658" t="b">
        <v>0</v>
      </c>
      <c r="F92" s="646" t="str">
        <f t="shared" si="8"/>
        <v>ADEUDA</v>
      </c>
      <c r="G92" s="340" t="s">
        <v>2278</v>
      </c>
      <c r="H92" s="646" t="str">
        <f t="shared" si="11"/>
        <v>VENCIDA</v>
      </c>
      <c r="I92" s="647">
        <f t="shared" si="12"/>
        <v>46160</v>
      </c>
    </row>
    <row r="93">
      <c r="A93" s="644"/>
      <c r="B93" s="644"/>
      <c r="C93" s="644">
        <f t="shared" si="7"/>
        <v>7</v>
      </c>
      <c r="D93" s="643"/>
      <c r="E93" s="658" t="b">
        <v>0</v>
      </c>
      <c r="F93" s="646" t="str">
        <f t="shared" si="8"/>
        <v>ADEUDA</v>
      </c>
      <c r="G93" s="340" t="s">
        <v>2278</v>
      </c>
      <c r="H93" s="646" t="str">
        <f t="shared" si="11"/>
        <v>VENCIDA</v>
      </c>
      <c r="I93" s="647">
        <f t="shared" si="12"/>
        <v>46160</v>
      </c>
    </row>
    <row r="94">
      <c r="A94" s="644"/>
      <c r="B94" s="644"/>
      <c r="C94" s="644">
        <f t="shared" si="7"/>
        <v>7</v>
      </c>
      <c r="D94" s="643"/>
      <c r="E94" s="658" t="b">
        <v>0</v>
      </c>
      <c r="F94" s="646" t="str">
        <f t="shared" si="8"/>
        <v>ADEUDA</v>
      </c>
      <c r="G94" s="340" t="s">
        <v>2278</v>
      </c>
      <c r="H94" s="646" t="str">
        <f t="shared" si="11"/>
        <v>VENCIDA</v>
      </c>
      <c r="I94" s="647">
        <f t="shared" si="12"/>
        <v>46160</v>
      </c>
    </row>
    <row r="95">
      <c r="A95" s="644"/>
      <c r="B95" s="644"/>
      <c r="C95" s="644">
        <f t="shared" si="7"/>
        <v>7</v>
      </c>
      <c r="D95" s="643"/>
      <c r="E95" s="658" t="b">
        <v>0</v>
      </c>
      <c r="F95" s="646" t="str">
        <f t="shared" si="8"/>
        <v>ADEUDA</v>
      </c>
      <c r="G95" s="340" t="s">
        <v>2278</v>
      </c>
      <c r="H95" s="646" t="str">
        <f t="shared" si="11"/>
        <v>VENCIDA</v>
      </c>
      <c r="I95" s="647">
        <f t="shared" si="12"/>
        <v>46160</v>
      </c>
    </row>
    <row r="96">
      <c r="A96" s="644"/>
      <c r="B96" s="644"/>
      <c r="C96" s="644">
        <f t="shared" si="7"/>
        <v>7</v>
      </c>
      <c r="D96" s="643"/>
      <c r="E96" s="658" t="b">
        <v>0</v>
      </c>
      <c r="F96" s="646" t="str">
        <f t="shared" si="8"/>
        <v>ADEUDA</v>
      </c>
      <c r="G96" s="340" t="s">
        <v>2278</v>
      </c>
      <c r="H96" s="646" t="str">
        <f t="shared" si="11"/>
        <v>VENCIDA</v>
      </c>
      <c r="I96" s="647">
        <f t="shared" si="12"/>
        <v>46160</v>
      </c>
    </row>
    <row r="97">
      <c r="A97" s="644"/>
      <c r="B97" s="644"/>
      <c r="C97" s="644">
        <f t="shared" si="7"/>
        <v>7</v>
      </c>
      <c r="D97" s="643"/>
      <c r="E97" s="658" t="b">
        <v>0</v>
      </c>
      <c r="F97" s="646" t="str">
        <f t="shared" si="8"/>
        <v>ADEUDA</v>
      </c>
      <c r="G97" s="340" t="s">
        <v>2278</v>
      </c>
      <c r="H97" s="646" t="str">
        <f t="shared" si="11"/>
        <v>VENCIDA</v>
      </c>
      <c r="I97" s="647">
        <f t="shared" si="12"/>
        <v>46160</v>
      </c>
    </row>
    <row r="98">
      <c r="A98" s="644"/>
      <c r="B98" s="644"/>
      <c r="C98" s="644">
        <f t="shared" si="7"/>
        <v>7</v>
      </c>
      <c r="D98" s="643"/>
      <c r="E98" s="658" t="b">
        <v>0</v>
      </c>
      <c r="F98" s="646" t="str">
        <f t="shared" si="8"/>
        <v>ADEUDA</v>
      </c>
      <c r="G98" s="340" t="s">
        <v>2278</v>
      </c>
      <c r="H98" s="646" t="str">
        <f t="shared" si="11"/>
        <v>VENCIDA</v>
      </c>
      <c r="I98" s="647">
        <f t="shared" si="12"/>
        <v>46160</v>
      </c>
    </row>
    <row r="99">
      <c r="A99" s="644"/>
      <c r="B99" s="644"/>
      <c r="C99" s="644">
        <f t="shared" si="7"/>
        <v>7</v>
      </c>
      <c r="D99" s="643"/>
      <c r="E99" s="658" t="b">
        <v>0</v>
      </c>
      <c r="F99" s="646" t="str">
        <f t="shared" si="8"/>
        <v>ADEUDA</v>
      </c>
      <c r="G99" s="340" t="s">
        <v>2278</v>
      </c>
      <c r="H99" s="646" t="str">
        <f t="shared" si="11"/>
        <v>VENCIDA</v>
      </c>
      <c r="I99" s="647">
        <f t="shared" si="12"/>
        <v>46160</v>
      </c>
    </row>
    <row r="100">
      <c r="A100" s="644"/>
      <c r="B100" s="644"/>
      <c r="C100" s="644">
        <f t="shared" si="7"/>
        <v>7</v>
      </c>
      <c r="D100" s="643"/>
      <c r="E100" s="658" t="b">
        <v>0</v>
      </c>
      <c r="F100" s="646" t="str">
        <f t="shared" si="8"/>
        <v>ADEUDA</v>
      </c>
      <c r="G100" s="340" t="s">
        <v>2278</v>
      </c>
      <c r="H100" s="646" t="str">
        <f t="shared" si="11"/>
        <v>VENCIDA</v>
      </c>
      <c r="I100" s="647">
        <f t="shared" si="12"/>
        <v>46160</v>
      </c>
    </row>
    <row r="101">
      <c r="A101" s="644"/>
      <c r="B101" s="644"/>
      <c r="C101" s="644">
        <f t="shared" si="7"/>
        <v>7</v>
      </c>
      <c r="D101" s="643"/>
      <c r="E101" s="658" t="b">
        <v>0</v>
      </c>
      <c r="F101" s="646" t="str">
        <f t="shared" si="8"/>
        <v>ADEUDA</v>
      </c>
      <c r="G101" s="340" t="s">
        <v>2278</v>
      </c>
      <c r="H101" s="646" t="str">
        <f t="shared" si="11"/>
        <v>VENCIDA</v>
      </c>
      <c r="I101" s="647">
        <f t="shared" si="12"/>
        <v>46160</v>
      </c>
    </row>
    <row r="102">
      <c r="A102" s="644"/>
      <c r="B102" s="644"/>
      <c r="C102" s="644">
        <f t="shared" si="7"/>
        <v>7</v>
      </c>
      <c r="D102" s="643"/>
      <c r="E102" s="658" t="b">
        <v>0</v>
      </c>
      <c r="F102" s="646" t="str">
        <f t="shared" si="8"/>
        <v>ADEUDA</v>
      </c>
      <c r="G102" s="340" t="s">
        <v>2278</v>
      </c>
      <c r="H102" s="646" t="str">
        <f t="shared" si="11"/>
        <v>VENCIDA</v>
      </c>
      <c r="I102" s="647">
        <f t="shared" si="12"/>
        <v>46160</v>
      </c>
    </row>
    <row r="103">
      <c r="A103" s="644"/>
      <c r="B103" s="644"/>
      <c r="C103" s="644">
        <f t="shared" si="7"/>
        <v>7</v>
      </c>
      <c r="D103" s="643"/>
      <c r="E103" s="658" t="b">
        <v>0</v>
      </c>
      <c r="F103" s="646" t="str">
        <f t="shared" si="8"/>
        <v>ADEUDA</v>
      </c>
      <c r="G103" s="340" t="s">
        <v>2278</v>
      </c>
      <c r="H103" s="646" t="str">
        <f t="shared" si="11"/>
        <v>VENCIDA</v>
      </c>
      <c r="I103" s="647">
        <f t="shared" si="12"/>
        <v>46160</v>
      </c>
    </row>
    <row r="104">
      <c r="A104" s="644"/>
      <c r="B104" s="644"/>
      <c r="C104" s="644">
        <f t="shared" si="7"/>
        <v>7</v>
      </c>
      <c r="D104" s="643"/>
      <c r="E104" s="658" t="b">
        <v>0</v>
      </c>
      <c r="F104" s="646" t="str">
        <f t="shared" si="8"/>
        <v>ADEUDA</v>
      </c>
      <c r="G104" s="340" t="s">
        <v>2278</v>
      </c>
      <c r="H104" s="646" t="str">
        <f t="shared" si="11"/>
        <v>VENCIDA</v>
      </c>
      <c r="I104" s="647">
        <f t="shared" si="12"/>
        <v>46160</v>
      </c>
    </row>
    <row r="105">
      <c r="A105" s="644"/>
      <c r="B105" s="644"/>
      <c r="C105" s="644">
        <f t="shared" si="7"/>
        <v>7</v>
      </c>
      <c r="D105" s="643"/>
      <c r="E105" s="658" t="b">
        <v>0</v>
      </c>
      <c r="F105" s="646" t="str">
        <f t="shared" si="8"/>
        <v>ADEUDA</v>
      </c>
      <c r="G105" s="340" t="s">
        <v>2278</v>
      </c>
      <c r="H105" s="646" t="str">
        <f t="shared" si="11"/>
        <v>VENCIDA</v>
      </c>
      <c r="I105" s="647">
        <f t="shared" si="12"/>
        <v>46160</v>
      </c>
    </row>
    <row r="106">
      <c r="A106" s="644"/>
      <c r="B106" s="644"/>
      <c r="C106" s="644">
        <f t="shared" si="7"/>
        <v>7</v>
      </c>
      <c r="D106" s="643"/>
      <c r="E106" s="658" t="b">
        <v>0</v>
      </c>
      <c r="F106" s="646" t="str">
        <f t="shared" si="8"/>
        <v>ADEUDA</v>
      </c>
      <c r="G106" s="340" t="s">
        <v>2278</v>
      </c>
      <c r="H106" s="646" t="str">
        <f t="shared" si="11"/>
        <v>VENCIDA</v>
      </c>
      <c r="I106" s="647">
        <f t="shared" si="12"/>
        <v>46160</v>
      </c>
    </row>
    <row r="107">
      <c r="A107" s="644"/>
      <c r="B107" s="644"/>
      <c r="C107" s="644">
        <f t="shared" si="7"/>
        <v>7</v>
      </c>
      <c r="D107" s="643"/>
      <c r="E107" s="658" t="b">
        <v>0</v>
      </c>
      <c r="F107" s="646" t="str">
        <f t="shared" si="8"/>
        <v>ADEUDA</v>
      </c>
      <c r="G107" s="340" t="s">
        <v>2278</v>
      </c>
      <c r="H107" s="646" t="str">
        <f t="shared" si="11"/>
        <v>VENCIDA</v>
      </c>
      <c r="I107" s="647">
        <f t="shared" si="12"/>
        <v>46160</v>
      </c>
    </row>
    <row r="108">
      <c r="A108" s="644"/>
      <c r="B108" s="644"/>
      <c r="C108" s="644">
        <f t="shared" si="7"/>
        <v>7</v>
      </c>
      <c r="D108" s="643"/>
      <c r="E108" s="658" t="b">
        <v>0</v>
      </c>
      <c r="F108" s="646" t="str">
        <f t="shared" si="8"/>
        <v>ADEUDA</v>
      </c>
      <c r="G108" s="340" t="s">
        <v>2278</v>
      </c>
      <c r="H108" s="646" t="str">
        <f t="shared" si="11"/>
        <v>VENCIDA</v>
      </c>
      <c r="I108" s="647">
        <f t="shared" si="12"/>
        <v>46160</v>
      </c>
    </row>
    <row r="109">
      <c r="A109" s="644"/>
      <c r="B109" s="644"/>
      <c r="C109" s="644">
        <f t="shared" si="7"/>
        <v>7</v>
      </c>
      <c r="D109" s="643"/>
      <c r="E109" s="658" t="b">
        <v>0</v>
      </c>
      <c r="F109" s="646" t="str">
        <f t="shared" si="8"/>
        <v>ADEUDA</v>
      </c>
      <c r="G109" s="340" t="s">
        <v>2278</v>
      </c>
      <c r="H109" s="646" t="str">
        <f t="shared" si="11"/>
        <v>VENCIDA</v>
      </c>
      <c r="I109" s="647">
        <f t="shared" si="12"/>
        <v>46160</v>
      </c>
    </row>
    <row r="110">
      <c r="A110" s="644"/>
      <c r="B110" s="644"/>
      <c r="C110" s="644">
        <f t="shared" si="7"/>
        <v>7</v>
      </c>
      <c r="D110" s="643"/>
      <c r="E110" s="658" t="b">
        <v>0</v>
      </c>
      <c r="F110" s="646" t="str">
        <f t="shared" si="8"/>
        <v>ADEUDA</v>
      </c>
      <c r="G110" s="340" t="s">
        <v>2278</v>
      </c>
      <c r="H110" s="646" t="str">
        <f t="shared" si="11"/>
        <v>VENCIDA</v>
      </c>
      <c r="I110" s="647">
        <f t="shared" si="12"/>
        <v>46160</v>
      </c>
    </row>
    <row r="111">
      <c r="A111" s="644"/>
      <c r="B111" s="644"/>
      <c r="C111" s="644">
        <f t="shared" si="7"/>
        <v>7</v>
      </c>
      <c r="D111" s="643"/>
      <c r="E111" s="658" t="b">
        <v>0</v>
      </c>
      <c r="F111" s="646" t="str">
        <f t="shared" si="8"/>
        <v>ADEUDA</v>
      </c>
      <c r="G111" s="340" t="s">
        <v>2278</v>
      </c>
      <c r="H111" s="646" t="str">
        <f t="shared" si="11"/>
        <v>VENCIDA</v>
      </c>
      <c r="I111" s="647">
        <f t="shared" si="12"/>
        <v>46160</v>
      </c>
    </row>
    <row r="112">
      <c r="A112" s="644"/>
      <c r="B112" s="644"/>
      <c r="C112" s="644">
        <f t="shared" si="7"/>
        <v>7</v>
      </c>
      <c r="D112" s="643"/>
      <c r="E112" s="658" t="b">
        <v>0</v>
      </c>
      <c r="F112" s="646" t="str">
        <f t="shared" si="8"/>
        <v>ADEUDA</v>
      </c>
      <c r="G112" s="340" t="s">
        <v>2278</v>
      </c>
      <c r="H112" s="646" t="str">
        <f t="shared" si="11"/>
        <v>VENCIDA</v>
      </c>
      <c r="I112" s="647">
        <f t="shared" si="12"/>
        <v>46160</v>
      </c>
    </row>
    <row r="113">
      <c r="A113" s="644"/>
      <c r="B113" s="644"/>
      <c r="C113" s="644">
        <f t="shared" si="7"/>
        <v>7</v>
      </c>
      <c r="D113" s="643"/>
      <c r="E113" s="658" t="b">
        <v>0</v>
      </c>
      <c r="F113" s="646" t="str">
        <f t="shared" si="8"/>
        <v>ADEUDA</v>
      </c>
      <c r="G113" s="340" t="s">
        <v>2278</v>
      </c>
      <c r="H113" s="646" t="str">
        <f t="shared" si="11"/>
        <v>VENCIDA</v>
      </c>
      <c r="I113" s="647">
        <f t="shared" si="12"/>
        <v>46160</v>
      </c>
    </row>
    <row r="114">
      <c r="A114" s="644"/>
      <c r="B114" s="644"/>
      <c r="C114" s="644">
        <f t="shared" si="7"/>
        <v>7</v>
      </c>
      <c r="D114" s="643"/>
      <c r="E114" s="658" t="b">
        <v>0</v>
      </c>
      <c r="F114" s="646" t="str">
        <f t="shared" si="8"/>
        <v>ADEUDA</v>
      </c>
      <c r="G114" s="340" t="s">
        <v>2278</v>
      </c>
      <c r="H114" s="646" t="str">
        <f t="shared" si="11"/>
        <v>VENCIDA</v>
      </c>
      <c r="I114" s="647">
        <f t="shared" si="12"/>
        <v>46160</v>
      </c>
    </row>
    <row r="115">
      <c r="A115" s="644"/>
      <c r="B115" s="644"/>
      <c r="C115" s="644">
        <f t="shared" si="7"/>
        <v>7</v>
      </c>
      <c r="D115" s="643"/>
      <c r="E115" s="658" t="b">
        <v>0</v>
      </c>
      <c r="F115" s="646" t="str">
        <f t="shared" si="8"/>
        <v>ADEUDA</v>
      </c>
      <c r="G115" s="340" t="s">
        <v>2278</v>
      </c>
      <c r="H115" s="646" t="str">
        <f t="shared" si="11"/>
        <v>VENCIDA</v>
      </c>
      <c r="I115" s="647">
        <f t="shared" si="12"/>
        <v>46160</v>
      </c>
    </row>
    <row r="116">
      <c r="A116" s="644"/>
      <c r="B116" s="644"/>
      <c r="C116" s="644">
        <f t="shared" si="7"/>
        <v>7</v>
      </c>
      <c r="D116" s="643"/>
      <c r="E116" s="658" t="b">
        <v>0</v>
      </c>
      <c r="F116" s="646" t="str">
        <f t="shared" si="8"/>
        <v>ADEUDA</v>
      </c>
      <c r="G116" s="340" t="s">
        <v>2278</v>
      </c>
      <c r="H116" s="646" t="str">
        <f t="shared" si="11"/>
        <v>VENCIDA</v>
      </c>
      <c r="I116" s="647">
        <f t="shared" si="12"/>
        <v>46160</v>
      </c>
    </row>
    <row r="117">
      <c r="A117" s="644"/>
      <c r="B117" s="644"/>
      <c r="C117" s="644">
        <f t="shared" si="7"/>
        <v>7</v>
      </c>
      <c r="D117" s="643"/>
      <c r="E117" s="658" t="b">
        <v>0</v>
      </c>
      <c r="F117" s="646" t="str">
        <f t="shared" si="8"/>
        <v>ADEUDA</v>
      </c>
      <c r="G117" s="340" t="s">
        <v>2278</v>
      </c>
      <c r="H117" s="646" t="str">
        <f t="shared" si="11"/>
        <v>VENCIDA</v>
      </c>
      <c r="I117" s="647">
        <f t="shared" si="12"/>
        <v>46160</v>
      </c>
    </row>
    <row r="118">
      <c r="A118" s="644"/>
      <c r="B118" s="644"/>
      <c r="C118" s="644">
        <f t="shared" si="7"/>
        <v>7</v>
      </c>
      <c r="D118" s="643"/>
      <c r="E118" s="658" t="b">
        <v>0</v>
      </c>
      <c r="F118" s="646" t="str">
        <f t="shared" si="8"/>
        <v>ADEUDA</v>
      </c>
      <c r="G118" s="340" t="s">
        <v>2278</v>
      </c>
      <c r="H118" s="646" t="str">
        <f t="shared" si="11"/>
        <v>VENCIDA</v>
      </c>
      <c r="I118" s="647">
        <f t="shared" si="12"/>
        <v>46160</v>
      </c>
    </row>
    <row r="119">
      <c r="A119" s="644"/>
      <c r="B119" s="644"/>
      <c r="C119" s="644">
        <f t="shared" si="7"/>
        <v>7</v>
      </c>
      <c r="D119" s="643"/>
      <c r="E119" s="658" t="b">
        <v>0</v>
      </c>
      <c r="F119" s="646" t="str">
        <f t="shared" si="8"/>
        <v>ADEUDA</v>
      </c>
      <c r="G119" s="340" t="s">
        <v>2278</v>
      </c>
      <c r="H119" s="646" t="str">
        <f t="shared" si="11"/>
        <v>VENCIDA</v>
      </c>
      <c r="I119" s="647">
        <f t="shared" si="12"/>
        <v>46160</v>
      </c>
    </row>
    <row r="120">
      <c r="A120" s="644"/>
      <c r="B120" s="644"/>
      <c r="C120" s="644">
        <f t="shared" si="7"/>
        <v>7</v>
      </c>
      <c r="D120" s="643"/>
      <c r="E120" s="658" t="b">
        <v>0</v>
      </c>
      <c r="F120" s="646" t="str">
        <f t="shared" si="8"/>
        <v>ADEUDA</v>
      </c>
      <c r="G120" s="340" t="s">
        <v>2278</v>
      </c>
      <c r="H120" s="646" t="str">
        <f t="shared" si="11"/>
        <v>VENCIDA</v>
      </c>
      <c r="I120" s="647">
        <f t="shared" si="12"/>
        <v>46160</v>
      </c>
    </row>
    <row r="121">
      <c r="A121" s="644"/>
      <c r="B121" s="644"/>
      <c r="C121" s="644">
        <f t="shared" si="7"/>
        <v>7</v>
      </c>
      <c r="D121" s="643"/>
      <c r="E121" s="658" t="b">
        <v>0</v>
      </c>
      <c r="F121" s="646" t="str">
        <f t="shared" si="8"/>
        <v>ADEUDA</v>
      </c>
      <c r="G121" s="340" t="s">
        <v>2278</v>
      </c>
      <c r="H121" s="646" t="str">
        <f t="shared" si="11"/>
        <v>VENCIDA</v>
      </c>
      <c r="I121" s="647">
        <f t="shared" si="12"/>
        <v>46160</v>
      </c>
    </row>
    <row r="122">
      <c r="A122" s="644"/>
      <c r="B122" s="644"/>
      <c r="C122" s="644">
        <f t="shared" si="7"/>
        <v>7</v>
      </c>
      <c r="D122" s="643"/>
      <c r="E122" s="658" t="b">
        <v>0</v>
      </c>
      <c r="F122" s="646" t="str">
        <f t="shared" si="8"/>
        <v>ADEUDA</v>
      </c>
      <c r="G122" s="340" t="s">
        <v>2278</v>
      </c>
      <c r="H122" s="646" t="str">
        <f t="shared" si="11"/>
        <v>VENCIDA</v>
      </c>
      <c r="I122" s="647">
        <f t="shared" si="12"/>
        <v>46160</v>
      </c>
    </row>
    <row r="123">
      <c r="A123" s="644"/>
      <c r="B123" s="644"/>
      <c r="C123" s="644">
        <f t="shared" si="7"/>
        <v>7</v>
      </c>
      <c r="D123" s="643"/>
      <c r="E123" s="658" t="b">
        <v>0</v>
      </c>
      <c r="F123" s="646" t="str">
        <f t="shared" si="8"/>
        <v>ADEUDA</v>
      </c>
      <c r="G123" s="340" t="s">
        <v>2278</v>
      </c>
      <c r="H123" s="646" t="str">
        <f t="shared" si="11"/>
        <v>VENCIDA</v>
      </c>
      <c r="I123" s="647">
        <f t="shared" si="12"/>
        <v>46160</v>
      </c>
    </row>
    <row r="124">
      <c r="A124" s="644"/>
      <c r="B124" s="644"/>
      <c r="C124" s="644">
        <f t="shared" si="7"/>
        <v>7</v>
      </c>
      <c r="D124" s="643"/>
      <c r="E124" s="658" t="b">
        <v>0</v>
      </c>
      <c r="F124" s="646" t="str">
        <f t="shared" si="8"/>
        <v>ADEUDA</v>
      </c>
      <c r="G124" s="340" t="s">
        <v>2278</v>
      </c>
      <c r="H124" s="646" t="str">
        <f t="shared" si="11"/>
        <v>VENCIDA</v>
      </c>
      <c r="I124" s="647">
        <f t="shared" si="12"/>
        <v>46160</v>
      </c>
    </row>
    <row r="125">
      <c r="A125" s="644"/>
      <c r="B125" s="644"/>
      <c r="C125" s="644">
        <f t="shared" si="7"/>
        <v>7</v>
      </c>
      <c r="D125" s="643"/>
      <c r="E125" s="658" t="b">
        <v>0</v>
      </c>
      <c r="F125" s="646" t="str">
        <f t="shared" si="8"/>
        <v>ADEUDA</v>
      </c>
      <c r="G125" s="340" t="s">
        <v>2278</v>
      </c>
      <c r="H125" s="646" t="str">
        <f t="shared" si="11"/>
        <v>VENCIDA</v>
      </c>
      <c r="I125" s="647">
        <f t="shared" si="12"/>
        <v>46160</v>
      </c>
    </row>
    <row r="126">
      <c r="A126" s="644"/>
      <c r="B126" s="644"/>
      <c r="C126" s="644">
        <f t="shared" si="7"/>
        <v>7</v>
      </c>
      <c r="D126" s="643"/>
      <c r="E126" s="658" t="b">
        <v>0</v>
      </c>
      <c r="F126" s="646" t="str">
        <f t="shared" si="8"/>
        <v>ADEUDA</v>
      </c>
      <c r="G126" s="340" t="s">
        <v>2278</v>
      </c>
      <c r="H126" s="646" t="str">
        <f t="shared" si="11"/>
        <v>VENCIDA</v>
      </c>
      <c r="I126" s="647">
        <f t="shared" si="12"/>
        <v>46160</v>
      </c>
    </row>
    <row r="127">
      <c r="A127" s="644"/>
      <c r="B127" s="644"/>
      <c r="C127" s="644">
        <f t="shared" si="7"/>
        <v>7</v>
      </c>
      <c r="D127" s="643"/>
      <c r="E127" s="658" t="b">
        <v>0</v>
      </c>
      <c r="F127" s="646" t="str">
        <f t="shared" si="8"/>
        <v>ADEUDA</v>
      </c>
      <c r="G127" s="340" t="s">
        <v>2278</v>
      </c>
      <c r="H127" s="646" t="str">
        <f t="shared" si="11"/>
        <v>VENCIDA</v>
      </c>
      <c r="I127" s="647">
        <f t="shared" si="12"/>
        <v>46160</v>
      </c>
    </row>
    <row r="128">
      <c r="A128" s="644"/>
      <c r="B128" s="644"/>
      <c r="C128" s="644">
        <f t="shared" si="7"/>
        <v>7</v>
      </c>
      <c r="D128" s="643"/>
      <c r="E128" s="658" t="b">
        <v>0</v>
      </c>
      <c r="F128" s="646" t="str">
        <f t="shared" si="8"/>
        <v>ADEUDA</v>
      </c>
      <c r="G128" s="340" t="s">
        <v>2278</v>
      </c>
      <c r="H128" s="646" t="str">
        <f t="shared" si="11"/>
        <v>VENCIDA</v>
      </c>
      <c r="I128" s="647">
        <f t="shared" si="12"/>
        <v>46160</v>
      </c>
    </row>
    <row r="129">
      <c r="A129" s="644"/>
      <c r="B129" s="644"/>
      <c r="C129" s="644">
        <f t="shared" si="7"/>
        <v>7</v>
      </c>
      <c r="D129" s="643"/>
      <c r="E129" s="658" t="b">
        <v>0</v>
      </c>
      <c r="F129" s="646" t="str">
        <f t="shared" si="8"/>
        <v>ADEUDA</v>
      </c>
      <c r="G129" s="340" t="s">
        <v>2278</v>
      </c>
      <c r="H129" s="646" t="str">
        <f t="shared" si="11"/>
        <v>VENCIDA</v>
      </c>
      <c r="I129" s="647">
        <f t="shared" si="12"/>
        <v>46160</v>
      </c>
    </row>
    <row r="130">
      <c r="A130" s="644"/>
      <c r="B130" s="644"/>
      <c r="C130" s="644">
        <f t="shared" si="7"/>
        <v>7</v>
      </c>
      <c r="D130" s="643"/>
      <c r="E130" s="658" t="b">
        <v>0</v>
      </c>
      <c r="F130" s="646" t="str">
        <f t="shared" si="8"/>
        <v>ADEUDA</v>
      </c>
      <c r="G130" s="340" t="s">
        <v>2278</v>
      </c>
      <c r="H130" s="646" t="str">
        <f t="shared" si="11"/>
        <v>VENCIDA</v>
      </c>
      <c r="I130" s="647">
        <f t="shared" si="12"/>
        <v>46160</v>
      </c>
    </row>
    <row r="131">
      <c r="A131" s="644"/>
      <c r="B131" s="644"/>
      <c r="C131" s="644">
        <f t="shared" si="7"/>
        <v>7</v>
      </c>
      <c r="D131" s="643"/>
      <c r="E131" s="658" t="b">
        <v>0</v>
      </c>
      <c r="F131" s="646" t="str">
        <f t="shared" si="8"/>
        <v>ADEUDA</v>
      </c>
      <c r="G131" s="340" t="s">
        <v>2278</v>
      </c>
      <c r="H131" s="646" t="str">
        <f t="shared" si="11"/>
        <v>VENCIDA</v>
      </c>
      <c r="I131" s="647">
        <f t="shared" si="12"/>
        <v>46160</v>
      </c>
    </row>
    <row r="132">
      <c r="A132" s="644"/>
      <c r="B132" s="644"/>
      <c r="C132" s="644">
        <f t="shared" si="7"/>
        <v>7</v>
      </c>
      <c r="D132" s="643"/>
      <c r="E132" s="658" t="b">
        <v>0</v>
      </c>
      <c r="F132" s="646" t="str">
        <f t="shared" si="8"/>
        <v>ADEUDA</v>
      </c>
      <c r="G132" s="340" t="s">
        <v>2278</v>
      </c>
      <c r="H132" s="646" t="str">
        <f t="shared" si="11"/>
        <v>VENCIDA</v>
      </c>
      <c r="I132" s="647">
        <f t="shared" si="12"/>
        <v>46160</v>
      </c>
    </row>
    <row r="133">
      <c r="A133" s="644"/>
      <c r="B133" s="644"/>
      <c r="C133" s="644">
        <f t="shared" si="7"/>
        <v>7</v>
      </c>
      <c r="D133" s="643"/>
      <c r="E133" s="645" t="b">
        <v>1</v>
      </c>
      <c r="F133" s="646" t="str">
        <f t="shared" si="8"/>
        <v>PAGADO</v>
      </c>
      <c r="G133" s="340" t="s">
        <v>2278</v>
      </c>
      <c r="H133" s="646" t="str">
        <f t="shared" si="11"/>
        <v>VENCIDA</v>
      </c>
      <c r="I133" s="647">
        <f t="shared" si="12"/>
        <v>46160</v>
      </c>
    </row>
    <row r="135">
      <c r="C135" s="771"/>
    </row>
    <row r="136">
      <c r="C136" s="772" t="s">
        <v>55</v>
      </c>
      <c r="D136" s="3">
        <f>SUMIF(F4:F133,C136,D4:D133)</f>
        <v>758170.33</v>
      </c>
    </row>
    <row r="137">
      <c r="C137" s="773" t="s">
        <v>527</v>
      </c>
      <c r="D137" s="3">
        <f>SUMIF(F4:F133,C137,D4:D133)</f>
        <v>8130334.63</v>
      </c>
    </row>
    <row r="138">
      <c r="C138" s="697" t="s">
        <v>28</v>
      </c>
      <c r="D138" s="3">
        <f>D136+D137</f>
        <v>8888504.96</v>
      </c>
    </row>
  </sheetData>
  <mergeCells count="4">
    <mergeCell ref="A1:H1"/>
    <mergeCell ref="A2:I2"/>
    <mergeCell ref="E3:F3"/>
    <mergeCell ref="B40:C40"/>
  </mergeCells>
  <conditionalFormatting sqref="F4:F133">
    <cfRule type="expression" dxfId="1" priority="1">
      <formula>F4="PAGADO"</formula>
    </cfRule>
  </conditionalFormatting>
  <conditionalFormatting sqref="F4:F133">
    <cfRule type="expression" dxfId="2" priority="2">
      <formula>F4="ADEUDA"</formula>
    </cfRule>
  </conditionalFormatting>
  <conditionalFormatting sqref="H4:H133">
    <cfRule type="cellIs" dxfId="3" priority="3" operator="equal">
      <formula>"VENCIDA"</formula>
    </cfRule>
  </conditionalFormatting>
  <conditionalFormatting sqref="H4:H133">
    <cfRule type="cellIs" dxfId="4" priority="4" operator="equal">
      <formula>"VIGENTE"</formula>
    </cfRule>
  </conditionalFormatting>
  <conditionalFormatting sqref="H4:H133">
    <cfRule type="cellIs" dxfId="2" priority="5" operator="equal">
      <formula>"VENCE HOY"</formula>
    </cfRule>
  </conditionalFormatting>
  <dataValidations>
    <dataValidation type="list" allowBlank="1" showErrorMessage="1" sqref="G4:G133">
      <formula1>"transferencia,mercado pago,efectivo"</formula1>
    </dataValidation>
  </dataValidations>
  <drawing r:id="rId4"/>
  <legacyDrawing r:id="rId5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2481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/>
      <c r="B3" s="644">
        <v>45694.0</v>
      </c>
      <c r="C3" s="644">
        <f t="shared" ref="C3:C6" si="1">B3</f>
        <v>45694</v>
      </c>
      <c r="D3" s="643">
        <v>5000.0</v>
      </c>
      <c r="E3" s="645" t="b">
        <v>1</v>
      </c>
      <c r="F3" s="646" t="str">
        <f t="shared" ref="F3:F131" si="2">IF(E3,"PAGADO","ADEUDA")</f>
        <v>PAGADO</v>
      </c>
      <c r="G3" s="340" t="s">
        <v>2287</v>
      </c>
      <c r="H3" s="646" t="str">
        <f t="shared" ref="H3:H131" si="3">IF(C3&lt;TODAY(),"VENCIDA",IF(C3=TODAY(),"VENCE HOY",IF(C3&gt;TODAY(),"VIGENTE")))</f>
        <v>VENCIDA</v>
      </c>
      <c r="I3" s="647">
        <f t="shared" ref="I3:I131" si="4">TODAY()-C3</f>
        <v>473</v>
      </c>
      <c r="J3" s="768" t="s">
        <v>31</v>
      </c>
      <c r="K3" s="769">
        <f>D3+D4+D5</f>
        <v>20000</v>
      </c>
    </row>
    <row r="4">
      <c r="A4" s="643"/>
      <c r="B4" s="644">
        <v>45699.0</v>
      </c>
      <c r="C4" s="644">
        <f t="shared" si="1"/>
        <v>45699</v>
      </c>
      <c r="D4" s="643">
        <v>5000.0</v>
      </c>
      <c r="E4" s="645" t="b">
        <v>1</v>
      </c>
      <c r="F4" s="646" t="str">
        <f t="shared" si="2"/>
        <v>PAGADO</v>
      </c>
      <c r="G4" s="340" t="s">
        <v>2287</v>
      </c>
      <c r="H4" s="646" t="str">
        <f t="shared" si="3"/>
        <v>VENCIDA</v>
      </c>
      <c r="I4" s="647">
        <f t="shared" si="4"/>
        <v>468</v>
      </c>
      <c r="J4" s="768" t="s">
        <v>35</v>
      </c>
      <c r="K4" s="769">
        <f>D6+D7</f>
        <v>15000</v>
      </c>
    </row>
    <row r="5">
      <c r="A5" s="643"/>
      <c r="B5" s="644">
        <v>45709.0</v>
      </c>
      <c r="C5" s="644">
        <f t="shared" si="1"/>
        <v>45709</v>
      </c>
      <c r="D5" s="643">
        <v>10000.0</v>
      </c>
      <c r="E5" s="645" t="b">
        <v>1</v>
      </c>
      <c r="F5" s="646" t="str">
        <f t="shared" si="2"/>
        <v>PAGADO</v>
      </c>
      <c r="G5" s="340" t="s">
        <v>2287</v>
      </c>
      <c r="H5" s="646" t="str">
        <f t="shared" si="3"/>
        <v>VENCIDA</v>
      </c>
      <c r="I5" s="647">
        <f t="shared" si="4"/>
        <v>458</v>
      </c>
      <c r="J5" s="768" t="s">
        <v>37</v>
      </c>
      <c r="K5" s="770"/>
    </row>
    <row r="6">
      <c r="A6" s="643"/>
      <c r="B6" s="644">
        <v>45722.0</v>
      </c>
      <c r="C6" s="644">
        <f t="shared" si="1"/>
        <v>45722</v>
      </c>
      <c r="D6" s="643">
        <v>10000.0</v>
      </c>
      <c r="E6" s="645" t="b">
        <v>1</v>
      </c>
      <c r="F6" s="646" t="str">
        <f t="shared" si="2"/>
        <v>PAGADO</v>
      </c>
      <c r="G6" s="340" t="s">
        <v>2287</v>
      </c>
      <c r="H6" s="646" t="str">
        <f t="shared" si="3"/>
        <v>VENCIDA</v>
      </c>
      <c r="I6" s="647">
        <f t="shared" si="4"/>
        <v>445</v>
      </c>
      <c r="J6" s="768" t="s">
        <v>39</v>
      </c>
      <c r="K6" s="770"/>
    </row>
    <row r="7">
      <c r="A7" s="643"/>
      <c r="B7" s="644">
        <v>45728.0</v>
      </c>
      <c r="C7" s="644">
        <v>45728.0</v>
      </c>
      <c r="D7" s="643">
        <v>5000.0</v>
      </c>
      <c r="E7" s="645" t="b">
        <v>1</v>
      </c>
      <c r="F7" s="646" t="str">
        <f t="shared" si="2"/>
        <v>PAGADO</v>
      </c>
      <c r="G7" s="340" t="s">
        <v>2287</v>
      </c>
      <c r="H7" s="646" t="str">
        <f t="shared" si="3"/>
        <v>VENCIDA</v>
      </c>
      <c r="I7" s="647">
        <f t="shared" si="4"/>
        <v>439</v>
      </c>
      <c r="J7" s="768" t="s">
        <v>41</v>
      </c>
      <c r="K7" s="770"/>
    </row>
    <row r="8">
      <c r="A8" s="644"/>
      <c r="B8" s="644">
        <v>45737.0</v>
      </c>
      <c r="C8" s="644">
        <f t="shared" ref="C8:C130" si="5">B8</f>
        <v>45737</v>
      </c>
      <c r="D8" s="643">
        <v>10000.0</v>
      </c>
      <c r="E8" s="645" t="b">
        <v>1</v>
      </c>
      <c r="F8" s="646" t="str">
        <f t="shared" si="2"/>
        <v>PAGADO</v>
      </c>
      <c r="G8" s="340" t="s">
        <v>2287</v>
      </c>
      <c r="H8" s="646" t="str">
        <f t="shared" si="3"/>
        <v>VENCIDA</v>
      </c>
      <c r="I8" s="647">
        <f t="shared" si="4"/>
        <v>430</v>
      </c>
      <c r="J8" s="768" t="s">
        <v>42</v>
      </c>
      <c r="K8" s="770">
        <f t="shared" ref="K8:K9" si="6">D12</f>
        <v>5000</v>
      </c>
    </row>
    <row r="9">
      <c r="A9" s="644"/>
      <c r="B9" s="644">
        <v>45754.0</v>
      </c>
      <c r="C9" s="644">
        <f t="shared" si="5"/>
        <v>45754</v>
      </c>
      <c r="D9" s="643">
        <v>10000.0</v>
      </c>
      <c r="E9" s="645" t="b">
        <v>1</v>
      </c>
      <c r="F9" s="646" t="str">
        <f t="shared" si="2"/>
        <v>PAGADO</v>
      </c>
      <c r="G9" s="340" t="s">
        <v>2287</v>
      </c>
      <c r="H9" s="646" t="str">
        <f t="shared" si="3"/>
        <v>VENCIDA</v>
      </c>
      <c r="I9" s="647">
        <f t="shared" si="4"/>
        <v>413</v>
      </c>
      <c r="J9" s="768" t="s">
        <v>43</v>
      </c>
      <c r="K9" s="770">
        <f t="shared" si="6"/>
        <v>5000</v>
      </c>
    </row>
    <row r="10">
      <c r="A10" s="644"/>
      <c r="B10" s="644">
        <v>45782.0</v>
      </c>
      <c r="C10" s="644">
        <f t="shared" si="5"/>
        <v>45782</v>
      </c>
      <c r="D10" s="643">
        <v>10000.0</v>
      </c>
      <c r="E10" s="645" t="b">
        <v>1</v>
      </c>
      <c r="F10" s="646" t="str">
        <f t="shared" si="2"/>
        <v>PAGADO</v>
      </c>
      <c r="G10" s="340" t="s">
        <v>2287</v>
      </c>
      <c r="H10" s="646" t="str">
        <f t="shared" si="3"/>
        <v>VENCIDA</v>
      </c>
      <c r="I10" s="647">
        <f t="shared" si="4"/>
        <v>385</v>
      </c>
      <c r="J10" s="768" t="s">
        <v>45</v>
      </c>
      <c r="K10" s="770"/>
    </row>
    <row r="11">
      <c r="A11" s="644"/>
      <c r="B11" s="644">
        <v>45832.0</v>
      </c>
      <c r="C11" s="644">
        <f t="shared" si="5"/>
        <v>45832</v>
      </c>
      <c r="D11" s="643">
        <v>5000.0</v>
      </c>
      <c r="E11" s="645" t="b">
        <v>1</v>
      </c>
      <c r="F11" s="646" t="str">
        <f t="shared" si="2"/>
        <v>PAGADO</v>
      </c>
      <c r="G11" s="340" t="s">
        <v>2287</v>
      </c>
      <c r="H11" s="646" t="str">
        <f t="shared" si="3"/>
        <v>VENCIDA</v>
      </c>
      <c r="I11" s="647">
        <f t="shared" si="4"/>
        <v>335</v>
      </c>
      <c r="J11" s="768" t="s">
        <v>49</v>
      </c>
      <c r="K11" s="770"/>
    </row>
    <row r="12">
      <c r="A12" s="644"/>
      <c r="B12" s="644">
        <v>45852.0</v>
      </c>
      <c r="C12" s="644">
        <f t="shared" si="5"/>
        <v>45852</v>
      </c>
      <c r="D12" s="643">
        <v>5000.0</v>
      </c>
      <c r="E12" s="645" t="b">
        <v>1</v>
      </c>
      <c r="F12" s="646" t="str">
        <f t="shared" si="2"/>
        <v>PAGADO</v>
      </c>
      <c r="G12" s="340" t="s">
        <v>2287</v>
      </c>
      <c r="H12" s="646" t="str">
        <f t="shared" si="3"/>
        <v>VENCIDA</v>
      </c>
      <c r="I12" s="647">
        <f t="shared" si="4"/>
        <v>315</v>
      </c>
      <c r="J12" s="768" t="s">
        <v>50</v>
      </c>
      <c r="K12" s="770"/>
    </row>
    <row r="13">
      <c r="A13" s="644"/>
      <c r="B13" s="644">
        <v>45887.0</v>
      </c>
      <c r="C13" s="644">
        <f t="shared" si="5"/>
        <v>45887</v>
      </c>
      <c r="D13" s="643">
        <v>5000.0</v>
      </c>
      <c r="E13" s="645" t="b">
        <v>1</v>
      </c>
      <c r="F13" s="646" t="str">
        <f t="shared" si="2"/>
        <v>PAGADO</v>
      </c>
      <c r="G13" s="340" t="s">
        <v>2287</v>
      </c>
      <c r="H13" s="646" t="str">
        <f t="shared" si="3"/>
        <v>VENCIDA</v>
      </c>
      <c r="I13" s="647">
        <f t="shared" si="4"/>
        <v>280</v>
      </c>
      <c r="J13" s="768" t="s">
        <v>51</v>
      </c>
      <c r="K13" s="770">
        <f>SUM(D17:D20)</f>
        <v>38000</v>
      </c>
    </row>
    <row r="14">
      <c r="A14" s="643" t="s">
        <v>2482</v>
      </c>
      <c r="B14" s="644">
        <v>45931.0</v>
      </c>
      <c r="C14" s="644">
        <f t="shared" si="5"/>
        <v>45931</v>
      </c>
      <c r="D14" s="643">
        <v>10000.0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236</v>
      </c>
    </row>
    <row r="15">
      <c r="A15" s="644"/>
      <c r="B15" s="644">
        <v>45946.0</v>
      </c>
      <c r="C15" s="644">
        <f t="shared" si="5"/>
        <v>45946</v>
      </c>
      <c r="D15" s="643">
        <v>12000.0</v>
      </c>
      <c r="E15" s="654" t="b">
        <v>1</v>
      </c>
      <c r="F15" s="646" t="str">
        <f t="shared" si="2"/>
        <v>PAGADO</v>
      </c>
      <c r="G15" s="340" t="s">
        <v>2287</v>
      </c>
      <c r="H15" s="646" t="str">
        <f t="shared" si="3"/>
        <v>VENCIDA</v>
      </c>
      <c r="I15" s="647">
        <f t="shared" si="4"/>
        <v>221</v>
      </c>
      <c r="K15" s="318"/>
    </row>
    <row r="16">
      <c r="A16" s="644"/>
      <c r="B16" s="644">
        <v>45986.0</v>
      </c>
      <c r="C16" s="644">
        <f t="shared" si="5"/>
        <v>45986</v>
      </c>
      <c r="D16" s="643">
        <v>14000.0</v>
      </c>
      <c r="E16" s="654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4"/>
        <v>181</v>
      </c>
    </row>
    <row r="17">
      <c r="A17" s="644"/>
      <c r="B17" s="644">
        <v>46000.0</v>
      </c>
      <c r="C17" s="644">
        <f t="shared" si="5"/>
        <v>46000</v>
      </c>
      <c r="D17" s="643">
        <v>6000.0</v>
      </c>
      <c r="E17" s="654" t="b">
        <v>1</v>
      </c>
      <c r="F17" s="646" t="str">
        <f t="shared" si="2"/>
        <v>PAGADO</v>
      </c>
      <c r="G17" s="340" t="s">
        <v>2287</v>
      </c>
      <c r="H17" s="646" t="str">
        <f t="shared" si="3"/>
        <v>VENCIDA</v>
      </c>
      <c r="I17" s="647">
        <f t="shared" si="4"/>
        <v>167</v>
      </c>
    </row>
    <row r="18">
      <c r="A18" s="644"/>
      <c r="B18" s="644">
        <v>46002.0</v>
      </c>
      <c r="C18" s="644">
        <f t="shared" si="5"/>
        <v>46002</v>
      </c>
      <c r="D18" s="643">
        <v>6000.0</v>
      </c>
      <c r="E18" s="645" t="b">
        <v>1</v>
      </c>
      <c r="F18" s="646" t="str">
        <f t="shared" si="2"/>
        <v>PAGADO</v>
      </c>
      <c r="G18" s="340" t="s">
        <v>2287</v>
      </c>
      <c r="H18" s="646" t="str">
        <f t="shared" si="3"/>
        <v>VENCIDA</v>
      </c>
      <c r="I18" s="647">
        <f t="shared" si="4"/>
        <v>165</v>
      </c>
    </row>
    <row r="19">
      <c r="A19" s="644"/>
      <c r="B19" s="644">
        <v>46008.0</v>
      </c>
      <c r="C19" s="644">
        <f t="shared" si="5"/>
        <v>46008</v>
      </c>
      <c r="D19" s="643">
        <v>12000.0</v>
      </c>
      <c r="E19" s="645" t="b">
        <v>1</v>
      </c>
      <c r="F19" s="646" t="str">
        <f t="shared" si="2"/>
        <v>PAGADO</v>
      </c>
      <c r="G19" s="340" t="s">
        <v>2287</v>
      </c>
      <c r="H19" s="646" t="str">
        <f t="shared" si="3"/>
        <v>VENCIDA</v>
      </c>
      <c r="I19" s="647">
        <f t="shared" si="4"/>
        <v>159</v>
      </c>
    </row>
    <row r="20">
      <c r="A20" s="644"/>
      <c r="B20" s="644">
        <v>46020.0</v>
      </c>
      <c r="C20" s="644">
        <f t="shared" si="5"/>
        <v>46020</v>
      </c>
      <c r="D20" s="643">
        <v>14000.0</v>
      </c>
      <c r="E20" s="645" t="b">
        <v>1</v>
      </c>
      <c r="F20" s="646" t="str">
        <f t="shared" si="2"/>
        <v>PAGADO</v>
      </c>
      <c r="G20" s="340" t="s">
        <v>2287</v>
      </c>
      <c r="H20" s="646" t="str">
        <f t="shared" si="3"/>
        <v>VENCIDA</v>
      </c>
      <c r="I20" s="647">
        <f t="shared" si="4"/>
        <v>147</v>
      </c>
    </row>
    <row r="21">
      <c r="A21" s="644"/>
      <c r="B21" s="644">
        <v>46031.0</v>
      </c>
      <c r="C21" s="644">
        <f t="shared" si="5"/>
        <v>46031</v>
      </c>
      <c r="D21" s="643">
        <v>14000.0</v>
      </c>
      <c r="E21" s="645" t="b">
        <v>1</v>
      </c>
      <c r="F21" s="646" t="str">
        <f t="shared" si="2"/>
        <v>PAGADO</v>
      </c>
      <c r="G21" s="340" t="s">
        <v>2287</v>
      </c>
      <c r="H21" s="646" t="str">
        <f t="shared" si="3"/>
        <v>VENCIDA</v>
      </c>
      <c r="I21" s="647">
        <f t="shared" si="4"/>
        <v>136</v>
      </c>
    </row>
    <row r="22">
      <c r="A22" s="644"/>
      <c r="B22" s="644">
        <v>46041.0</v>
      </c>
      <c r="C22" s="644">
        <f t="shared" si="5"/>
        <v>46041</v>
      </c>
      <c r="D22" s="643">
        <v>14000.0</v>
      </c>
      <c r="E22" s="645" t="b">
        <v>1</v>
      </c>
      <c r="F22" s="646" t="str">
        <f t="shared" si="2"/>
        <v>PAGADO</v>
      </c>
      <c r="G22" s="340" t="s">
        <v>2287</v>
      </c>
      <c r="H22" s="646" t="str">
        <f t="shared" si="3"/>
        <v>VENCIDA</v>
      </c>
      <c r="I22" s="647">
        <f t="shared" si="4"/>
        <v>126</v>
      </c>
    </row>
    <row r="23">
      <c r="A23" s="644"/>
      <c r="B23" s="644">
        <v>46055.0</v>
      </c>
      <c r="C23" s="644">
        <f t="shared" si="5"/>
        <v>46055</v>
      </c>
      <c r="D23" s="643">
        <v>14000.0</v>
      </c>
      <c r="E23" s="645" t="b">
        <v>1</v>
      </c>
      <c r="F23" s="646" t="str">
        <f t="shared" si="2"/>
        <v>PAGADO</v>
      </c>
      <c r="G23" s="340" t="s">
        <v>2287</v>
      </c>
      <c r="H23" s="646" t="str">
        <f t="shared" si="3"/>
        <v>VENCIDA</v>
      </c>
      <c r="I23" s="647">
        <f t="shared" si="4"/>
        <v>112</v>
      </c>
    </row>
    <row r="24">
      <c r="A24" s="644"/>
      <c r="B24" s="644">
        <v>46071.0</v>
      </c>
      <c r="C24" s="644">
        <f t="shared" si="5"/>
        <v>46071</v>
      </c>
      <c r="D24" s="643">
        <v>14000.0</v>
      </c>
      <c r="E24" s="645" t="b">
        <v>1</v>
      </c>
      <c r="F24" s="646" t="str">
        <f t="shared" si="2"/>
        <v>PAGADO</v>
      </c>
      <c r="G24" s="340" t="s">
        <v>2287</v>
      </c>
      <c r="H24" s="646" t="str">
        <f t="shared" si="3"/>
        <v>VENCIDA</v>
      </c>
      <c r="I24" s="647">
        <f t="shared" si="4"/>
        <v>96</v>
      </c>
    </row>
    <row r="25">
      <c r="A25" s="644"/>
      <c r="B25" s="644">
        <v>46101.0</v>
      </c>
      <c r="C25" s="644">
        <f t="shared" si="5"/>
        <v>46101</v>
      </c>
      <c r="D25" s="643">
        <v>14000.0</v>
      </c>
      <c r="E25" s="645" t="b">
        <v>1</v>
      </c>
      <c r="F25" s="646" t="str">
        <f t="shared" si="2"/>
        <v>PAGADO</v>
      </c>
      <c r="G25" s="340" t="s">
        <v>2287</v>
      </c>
      <c r="H25" s="646" t="str">
        <f t="shared" si="3"/>
        <v>VENCIDA</v>
      </c>
      <c r="I25" s="647">
        <f t="shared" si="4"/>
        <v>66</v>
      </c>
    </row>
    <row r="26">
      <c r="A26" s="644"/>
      <c r="B26" s="782">
        <v>46118.0</v>
      </c>
      <c r="C26" s="644">
        <f t="shared" si="5"/>
        <v>46118</v>
      </c>
      <c r="D26" s="643">
        <v>14000.0</v>
      </c>
      <c r="E26" s="645" t="b">
        <v>1</v>
      </c>
      <c r="F26" s="646" t="str">
        <f t="shared" si="2"/>
        <v>PAGADO</v>
      </c>
      <c r="G26" s="340" t="s">
        <v>2278</v>
      </c>
      <c r="H26" s="646" t="str">
        <f t="shared" si="3"/>
        <v>VENCIDA</v>
      </c>
      <c r="I26" s="647">
        <f t="shared" si="4"/>
        <v>49</v>
      </c>
    </row>
    <row r="27">
      <c r="A27" s="644"/>
      <c r="B27" s="644"/>
      <c r="C27" s="644" t="str">
        <f t="shared" si="5"/>
        <v/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46167</v>
      </c>
    </row>
    <row r="28">
      <c r="A28" s="644"/>
      <c r="B28" s="644"/>
      <c r="C28" s="644" t="str">
        <f t="shared" si="5"/>
        <v/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46167</v>
      </c>
    </row>
    <row r="29">
      <c r="A29" s="644"/>
      <c r="B29" s="644"/>
      <c r="C29" s="644" t="str">
        <f t="shared" si="5"/>
        <v/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46167</v>
      </c>
    </row>
    <row r="30">
      <c r="A30" s="644"/>
      <c r="B30" s="644"/>
      <c r="C30" s="644" t="str">
        <f t="shared" si="5"/>
        <v/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46167</v>
      </c>
    </row>
    <row r="31">
      <c r="A31" s="644"/>
      <c r="B31" s="644"/>
      <c r="C31" s="644" t="str">
        <f t="shared" si="5"/>
        <v/>
      </c>
      <c r="D31" s="643"/>
      <c r="E31" s="645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46167</v>
      </c>
    </row>
    <row r="32">
      <c r="A32" s="644"/>
      <c r="B32" s="644"/>
      <c r="C32" s="644" t="str">
        <f t="shared" si="5"/>
        <v/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46167</v>
      </c>
    </row>
    <row r="33">
      <c r="A33" s="644"/>
      <c r="B33" s="644"/>
      <c r="C33" s="644" t="str">
        <f t="shared" si="5"/>
        <v/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46167</v>
      </c>
    </row>
    <row r="34">
      <c r="A34" s="644"/>
      <c r="B34" s="644"/>
      <c r="C34" s="644" t="str">
        <f t="shared" si="5"/>
        <v/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46167</v>
      </c>
    </row>
    <row r="35">
      <c r="A35" s="644"/>
      <c r="B35" s="644"/>
      <c r="C35" s="644" t="str">
        <f t="shared" si="5"/>
        <v/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46167</v>
      </c>
    </row>
    <row r="36">
      <c r="A36" s="644"/>
      <c r="B36" s="644"/>
      <c r="C36" s="644" t="str">
        <f t="shared" si="5"/>
        <v/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46167</v>
      </c>
    </row>
    <row r="37">
      <c r="A37" s="644"/>
      <c r="B37" s="644"/>
      <c r="C37" s="644" t="str">
        <f t="shared" si="5"/>
        <v/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46167</v>
      </c>
    </row>
    <row r="38">
      <c r="A38" s="644"/>
      <c r="B38" s="644"/>
      <c r="C38" s="644" t="str">
        <f t="shared" si="5"/>
        <v/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46167</v>
      </c>
    </row>
    <row r="39">
      <c r="A39" s="644"/>
      <c r="B39" s="644"/>
      <c r="C39" s="644" t="str">
        <f t="shared" si="5"/>
        <v/>
      </c>
      <c r="D39" s="643"/>
      <c r="E39" s="645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46167</v>
      </c>
    </row>
    <row r="40">
      <c r="A40" s="644"/>
      <c r="B40" s="644"/>
      <c r="C40" s="644" t="str">
        <f t="shared" si="5"/>
        <v/>
      </c>
      <c r="D40" s="643"/>
      <c r="E40" s="645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46167</v>
      </c>
    </row>
    <row r="41">
      <c r="A41" s="644"/>
      <c r="B41" s="644"/>
      <c r="C41" s="644" t="str">
        <f t="shared" si="5"/>
        <v/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46167</v>
      </c>
    </row>
    <row r="42">
      <c r="A42" s="644"/>
      <c r="B42" s="644"/>
      <c r="C42" s="644" t="str">
        <f t="shared" si="5"/>
        <v/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46167</v>
      </c>
    </row>
    <row r="43">
      <c r="A43" s="644"/>
      <c r="B43" s="644"/>
      <c r="C43" s="644" t="str">
        <f t="shared" si="5"/>
        <v/>
      </c>
      <c r="D43" s="643"/>
      <c r="E43" s="645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46167</v>
      </c>
    </row>
    <row r="44">
      <c r="A44" s="644"/>
      <c r="B44" s="644"/>
      <c r="C44" s="644" t="str">
        <f t="shared" si="5"/>
        <v/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46167</v>
      </c>
    </row>
    <row r="45">
      <c r="A45" s="644"/>
      <c r="B45" s="644"/>
      <c r="C45" s="644" t="str">
        <f t="shared" si="5"/>
        <v/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46167</v>
      </c>
    </row>
    <row r="46">
      <c r="A46" s="644"/>
      <c r="B46" s="644"/>
      <c r="C46" s="644" t="str">
        <f t="shared" si="5"/>
        <v/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46167</v>
      </c>
    </row>
    <row r="47">
      <c r="A47" s="644"/>
      <c r="B47" s="644"/>
      <c r="C47" s="644" t="str">
        <f t="shared" si="5"/>
        <v/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46167</v>
      </c>
    </row>
    <row r="48">
      <c r="A48" s="644"/>
      <c r="B48" s="644"/>
      <c r="C48" s="644" t="str">
        <f t="shared" si="5"/>
        <v/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46167</v>
      </c>
    </row>
    <row r="49">
      <c r="A49" s="644"/>
      <c r="B49" s="644"/>
      <c r="C49" s="644" t="str">
        <f t="shared" si="5"/>
        <v/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46167</v>
      </c>
    </row>
    <row r="50">
      <c r="A50" s="644"/>
      <c r="B50" s="644"/>
      <c r="C50" s="644" t="str">
        <f t="shared" si="5"/>
        <v/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46167</v>
      </c>
    </row>
    <row r="51">
      <c r="A51" s="644"/>
      <c r="B51" s="644"/>
      <c r="C51" s="644" t="str">
        <f t="shared" si="5"/>
        <v/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46167</v>
      </c>
    </row>
    <row r="52">
      <c r="A52" s="644"/>
      <c r="B52" s="644"/>
      <c r="C52" s="644" t="str">
        <f t="shared" si="5"/>
        <v/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46167</v>
      </c>
    </row>
    <row r="53">
      <c r="A53" s="644"/>
      <c r="B53" s="644"/>
      <c r="C53" s="644" t="str">
        <f t="shared" si="5"/>
        <v/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46167</v>
      </c>
    </row>
    <row r="54">
      <c r="A54" s="644"/>
      <c r="B54" s="644"/>
      <c r="C54" s="644" t="str">
        <f t="shared" si="5"/>
        <v/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46167</v>
      </c>
    </row>
    <row r="55">
      <c r="A55" s="644"/>
      <c r="B55" s="644"/>
      <c r="C55" s="644" t="str">
        <f t="shared" si="5"/>
        <v/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46167</v>
      </c>
    </row>
    <row r="56">
      <c r="A56" s="644"/>
      <c r="B56" s="644"/>
      <c r="C56" s="644" t="str">
        <f t="shared" si="5"/>
        <v/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46167</v>
      </c>
    </row>
    <row r="57">
      <c r="A57" s="644"/>
      <c r="B57" s="644"/>
      <c r="C57" s="644" t="str">
        <f t="shared" si="5"/>
        <v/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46167</v>
      </c>
    </row>
    <row r="58">
      <c r="A58" s="644"/>
      <c r="B58" s="644"/>
      <c r="C58" s="644" t="str">
        <f t="shared" si="5"/>
        <v/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46167</v>
      </c>
    </row>
    <row r="59">
      <c r="A59" s="644"/>
      <c r="B59" s="644"/>
      <c r="C59" s="644" t="str">
        <f t="shared" si="5"/>
        <v/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46167</v>
      </c>
    </row>
    <row r="60">
      <c r="A60" s="644"/>
      <c r="B60" s="644"/>
      <c r="C60" s="644" t="str">
        <f t="shared" si="5"/>
        <v/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46167</v>
      </c>
    </row>
    <row r="61">
      <c r="A61" s="644"/>
      <c r="B61" s="644"/>
      <c r="C61" s="644" t="str">
        <f t="shared" si="5"/>
        <v/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46167</v>
      </c>
    </row>
    <row r="62">
      <c r="A62" s="644"/>
      <c r="B62" s="644"/>
      <c r="C62" s="644" t="str">
        <f t="shared" si="5"/>
        <v/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46167</v>
      </c>
    </row>
    <row r="63">
      <c r="A63" s="644"/>
      <c r="B63" s="644"/>
      <c r="C63" s="644" t="str">
        <f t="shared" si="5"/>
        <v/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46167</v>
      </c>
    </row>
    <row r="64">
      <c r="A64" s="644"/>
      <c r="B64" s="644"/>
      <c r="C64" s="644" t="str">
        <f t="shared" si="5"/>
        <v/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46167</v>
      </c>
    </row>
    <row r="65">
      <c r="A65" s="644"/>
      <c r="B65" s="644"/>
      <c r="C65" s="644" t="str">
        <f t="shared" si="5"/>
        <v/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46167</v>
      </c>
    </row>
    <row r="66">
      <c r="A66" s="644"/>
      <c r="B66" s="644"/>
      <c r="C66" s="644" t="str">
        <f t="shared" si="5"/>
        <v/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46167</v>
      </c>
    </row>
    <row r="67">
      <c r="A67" s="644"/>
      <c r="B67" s="644"/>
      <c r="C67" s="644" t="str">
        <f t="shared" si="5"/>
        <v/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46167</v>
      </c>
    </row>
    <row r="68">
      <c r="A68" s="644"/>
      <c r="B68" s="644"/>
      <c r="C68" s="644" t="str">
        <f t="shared" si="5"/>
        <v/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46167</v>
      </c>
    </row>
    <row r="69">
      <c r="A69" s="644"/>
      <c r="B69" s="644"/>
      <c r="C69" s="644" t="str">
        <f t="shared" si="5"/>
        <v/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46167</v>
      </c>
    </row>
    <row r="70">
      <c r="A70" s="644"/>
      <c r="B70" s="644"/>
      <c r="C70" s="644" t="str">
        <f t="shared" si="5"/>
        <v/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46167</v>
      </c>
    </row>
    <row r="71">
      <c r="A71" s="644"/>
      <c r="B71" s="644"/>
      <c r="C71" s="644" t="str">
        <f t="shared" si="5"/>
        <v/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46167</v>
      </c>
    </row>
    <row r="72">
      <c r="A72" s="644"/>
      <c r="B72" s="644"/>
      <c r="C72" s="644" t="str">
        <f t="shared" si="5"/>
        <v/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46167</v>
      </c>
    </row>
    <row r="73">
      <c r="A73" s="644"/>
      <c r="B73" s="644"/>
      <c r="C73" s="644" t="str">
        <f t="shared" si="5"/>
        <v/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46167</v>
      </c>
    </row>
    <row r="74">
      <c r="A74" s="644"/>
      <c r="B74" s="644"/>
      <c r="C74" s="644" t="str">
        <f t="shared" si="5"/>
        <v/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46167</v>
      </c>
    </row>
    <row r="75">
      <c r="A75" s="644"/>
      <c r="B75" s="644"/>
      <c r="C75" s="644" t="str">
        <f t="shared" si="5"/>
        <v/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46167</v>
      </c>
    </row>
    <row r="76">
      <c r="A76" s="644"/>
      <c r="B76" s="644"/>
      <c r="C76" s="644" t="str">
        <f t="shared" si="5"/>
        <v/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46167</v>
      </c>
    </row>
    <row r="77">
      <c r="A77" s="644"/>
      <c r="B77" s="644"/>
      <c r="C77" s="644" t="str">
        <f t="shared" si="5"/>
        <v/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46167</v>
      </c>
    </row>
    <row r="78">
      <c r="A78" s="644"/>
      <c r="B78" s="644"/>
      <c r="C78" s="644" t="str">
        <f t="shared" si="5"/>
        <v/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46167</v>
      </c>
    </row>
    <row r="79">
      <c r="A79" s="644"/>
      <c r="B79" s="644"/>
      <c r="C79" s="644" t="str">
        <f t="shared" si="5"/>
        <v/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46167</v>
      </c>
    </row>
    <row r="80">
      <c r="A80" s="644"/>
      <c r="B80" s="644"/>
      <c r="C80" s="644" t="str">
        <f t="shared" si="5"/>
        <v/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46167</v>
      </c>
    </row>
    <row r="81">
      <c r="A81" s="644"/>
      <c r="B81" s="644"/>
      <c r="C81" s="644" t="str">
        <f t="shared" si="5"/>
        <v/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46167</v>
      </c>
    </row>
    <row r="82">
      <c r="A82" s="644"/>
      <c r="B82" s="644"/>
      <c r="C82" s="644" t="str">
        <f t="shared" si="5"/>
        <v/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46167</v>
      </c>
    </row>
    <row r="83">
      <c r="A83" s="644"/>
      <c r="B83" s="644"/>
      <c r="C83" s="644" t="str">
        <f t="shared" si="5"/>
        <v/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46167</v>
      </c>
    </row>
    <row r="84">
      <c r="A84" s="644"/>
      <c r="B84" s="644"/>
      <c r="C84" s="644" t="str">
        <f t="shared" si="5"/>
        <v/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46167</v>
      </c>
    </row>
    <row r="85">
      <c r="A85" s="644"/>
      <c r="B85" s="644"/>
      <c r="C85" s="644" t="str">
        <f t="shared" si="5"/>
        <v/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46167</v>
      </c>
    </row>
    <row r="86">
      <c r="A86" s="644"/>
      <c r="B86" s="644"/>
      <c r="C86" s="644" t="str">
        <f t="shared" si="5"/>
        <v/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46167</v>
      </c>
    </row>
    <row r="87">
      <c r="A87" s="644"/>
      <c r="B87" s="644"/>
      <c r="C87" s="644" t="str">
        <f t="shared" si="5"/>
        <v/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46167</v>
      </c>
    </row>
    <row r="88">
      <c r="A88" s="644"/>
      <c r="B88" s="644"/>
      <c r="C88" s="644" t="str">
        <f t="shared" si="5"/>
        <v/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46167</v>
      </c>
    </row>
    <row r="89">
      <c r="A89" s="644"/>
      <c r="B89" s="644"/>
      <c r="C89" s="644" t="str">
        <f t="shared" si="5"/>
        <v/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46167</v>
      </c>
    </row>
    <row r="90">
      <c r="A90" s="644"/>
      <c r="B90" s="644"/>
      <c r="C90" s="644" t="str">
        <f t="shared" si="5"/>
        <v/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46167</v>
      </c>
    </row>
    <row r="91">
      <c r="A91" s="644"/>
      <c r="B91" s="644"/>
      <c r="C91" s="644" t="str">
        <f t="shared" si="5"/>
        <v/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46167</v>
      </c>
    </row>
    <row r="92">
      <c r="A92" s="644"/>
      <c r="B92" s="644"/>
      <c r="C92" s="644" t="str">
        <f t="shared" si="5"/>
        <v/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46167</v>
      </c>
    </row>
    <row r="93">
      <c r="A93" s="644"/>
      <c r="B93" s="644"/>
      <c r="C93" s="644" t="str">
        <f t="shared" si="5"/>
        <v/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46167</v>
      </c>
    </row>
    <row r="94">
      <c r="A94" s="644"/>
      <c r="B94" s="644"/>
      <c r="C94" s="644" t="str">
        <f t="shared" si="5"/>
        <v/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46167</v>
      </c>
    </row>
    <row r="95">
      <c r="A95" s="644"/>
      <c r="B95" s="644"/>
      <c r="C95" s="644" t="str">
        <f t="shared" si="5"/>
        <v/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46167</v>
      </c>
    </row>
    <row r="96">
      <c r="A96" s="644"/>
      <c r="B96" s="644"/>
      <c r="C96" s="644" t="str">
        <f t="shared" si="5"/>
        <v/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46167</v>
      </c>
    </row>
    <row r="97">
      <c r="A97" s="644"/>
      <c r="B97" s="644"/>
      <c r="C97" s="644" t="str">
        <f t="shared" si="5"/>
        <v/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46167</v>
      </c>
    </row>
    <row r="98">
      <c r="A98" s="644"/>
      <c r="B98" s="644"/>
      <c r="C98" s="644" t="str">
        <f t="shared" si="5"/>
        <v/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46167</v>
      </c>
    </row>
    <row r="99">
      <c r="A99" s="644"/>
      <c r="B99" s="644"/>
      <c r="C99" s="644" t="str">
        <f t="shared" si="5"/>
        <v/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46167</v>
      </c>
    </row>
    <row r="100">
      <c r="A100" s="644"/>
      <c r="B100" s="644"/>
      <c r="C100" s="644" t="str">
        <f t="shared" si="5"/>
        <v/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46167</v>
      </c>
    </row>
    <row r="101">
      <c r="A101" s="644"/>
      <c r="B101" s="644"/>
      <c r="C101" s="644" t="str">
        <f t="shared" si="5"/>
        <v/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46167</v>
      </c>
    </row>
    <row r="102">
      <c r="A102" s="644"/>
      <c r="B102" s="644"/>
      <c r="C102" s="644" t="str">
        <f t="shared" si="5"/>
        <v/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46167</v>
      </c>
    </row>
    <row r="103">
      <c r="A103" s="644"/>
      <c r="B103" s="644"/>
      <c r="C103" s="644" t="str">
        <f t="shared" si="5"/>
        <v/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46167</v>
      </c>
    </row>
    <row r="104">
      <c r="A104" s="644"/>
      <c r="B104" s="644"/>
      <c r="C104" s="644" t="str">
        <f t="shared" si="5"/>
        <v/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46167</v>
      </c>
    </row>
    <row r="105">
      <c r="A105" s="644"/>
      <c r="B105" s="644"/>
      <c r="C105" s="644" t="str">
        <f t="shared" si="5"/>
        <v/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46167</v>
      </c>
    </row>
    <row r="106">
      <c r="A106" s="644"/>
      <c r="B106" s="644"/>
      <c r="C106" s="644" t="str">
        <f t="shared" si="5"/>
        <v/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46167</v>
      </c>
    </row>
    <row r="107">
      <c r="A107" s="644"/>
      <c r="B107" s="644"/>
      <c r="C107" s="644" t="str">
        <f t="shared" si="5"/>
        <v/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46167</v>
      </c>
    </row>
    <row r="108">
      <c r="A108" s="644"/>
      <c r="B108" s="644"/>
      <c r="C108" s="644" t="str">
        <f t="shared" si="5"/>
        <v/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46167</v>
      </c>
    </row>
    <row r="109">
      <c r="A109" s="644"/>
      <c r="B109" s="644"/>
      <c r="C109" s="644" t="str">
        <f t="shared" si="5"/>
        <v/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46167</v>
      </c>
    </row>
    <row r="110">
      <c r="A110" s="644"/>
      <c r="B110" s="644"/>
      <c r="C110" s="644" t="str">
        <f t="shared" si="5"/>
        <v/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46167</v>
      </c>
    </row>
    <row r="111">
      <c r="A111" s="644"/>
      <c r="B111" s="644"/>
      <c r="C111" s="644" t="str">
        <f t="shared" si="5"/>
        <v/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46167</v>
      </c>
    </row>
    <row r="112">
      <c r="A112" s="644"/>
      <c r="B112" s="644"/>
      <c r="C112" s="644" t="str">
        <f t="shared" si="5"/>
        <v/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46167</v>
      </c>
    </row>
    <row r="113">
      <c r="A113" s="644"/>
      <c r="B113" s="644"/>
      <c r="C113" s="644" t="str">
        <f t="shared" si="5"/>
        <v/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46167</v>
      </c>
    </row>
    <row r="114">
      <c r="A114" s="644"/>
      <c r="B114" s="644"/>
      <c r="C114" s="644" t="str">
        <f t="shared" si="5"/>
        <v/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46167</v>
      </c>
    </row>
    <row r="115">
      <c r="A115" s="644"/>
      <c r="B115" s="644"/>
      <c r="C115" s="644" t="str">
        <f t="shared" si="5"/>
        <v/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46167</v>
      </c>
    </row>
    <row r="116">
      <c r="A116" s="644"/>
      <c r="B116" s="644"/>
      <c r="C116" s="644" t="str">
        <f t="shared" si="5"/>
        <v/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46167</v>
      </c>
    </row>
    <row r="117">
      <c r="A117" s="644"/>
      <c r="B117" s="644"/>
      <c r="C117" s="644" t="str">
        <f t="shared" si="5"/>
        <v/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46167</v>
      </c>
    </row>
    <row r="118">
      <c r="A118" s="644"/>
      <c r="B118" s="644"/>
      <c r="C118" s="644" t="str">
        <f t="shared" si="5"/>
        <v/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46167</v>
      </c>
    </row>
    <row r="119">
      <c r="A119" s="644"/>
      <c r="B119" s="644"/>
      <c r="C119" s="644" t="str">
        <f t="shared" si="5"/>
        <v/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46167</v>
      </c>
    </row>
    <row r="120">
      <c r="A120" s="644"/>
      <c r="B120" s="644"/>
      <c r="C120" s="644" t="str">
        <f t="shared" si="5"/>
        <v/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46167</v>
      </c>
    </row>
    <row r="121">
      <c r="A121" s="644"/>
      <c r="B121" s="644"/>
      <c r="C121" s="644" t="str">
        <f t="shared" si="5"/>
        <v/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46167</v>
      </c>
    </row>
    <row r="122">
      <c r="A122" s="644"/>
      <c r="B122" s="644"/>
      <c r="C122" s="644" t="str">
        <f t="shared" si="5"/>
        <v/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46167</v>
      </c>
    </row>
    <row r="123">
      <c r="A123" s="644"/>
      <c r="B123" s="644"/>
      <c r="C123" s="644" t="str">
        <f t="shared" si="5"/>
        <v/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46167</v>
      </c>
    </row>
    <row r="124">
      <c r="A124" s="644"/>
      <c r="B124" s="644"/>
      <c r="C124" s="644" t="str">
        <f t="shared" si="5"/>
        <v/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46167</v>
      </c>
    </row>
    <row r="125">
      <c r="A125" s="644"/>
      <c r="B125" s="644"/>
      <c r="C125" s="644" t="str">
        <f t="shared" si="5"/>
        <v/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46167</v>
      </c>
    </row>
    <row r="126">
      <c r="A126" s="644"/>
      <c r="B126" s="644"/>
      <c r="C126" s="644" t="str">
        <f t="shared" si="5"/>
        <v/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46167</v>
      </c>
    </row>
    <row r="127">
      <c r="A127" s="644"/>
      <c r="B127" s="644"/>
      <c r="C127" s="644" t="str">
        <f t="shared" si="5"/>
        <v/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46167</v>
      </c>
    </row>
    <row r="128">
      <c r="A128" s="644"/>
      <c r="B128" s="644"/>
      <c r="C128" s="644" t="str">
        <f t="shared" si="5"/>
        <v/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46167</v>
      </c>
    </row>
    <row r="129">
      <c r="A129" s="644"/>
      <c r="B129" s="644"/>
      <c r="C129" s="644" t="str">
        <f t="shared" si="5"/>
        <v/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46167</v>
      </c>
    </row>
    <row r="130">
      <c r="A130" s="644"/>
      <c r="B130" s="644"/>
      <c r="C130" s="644" t="str">
        <f t="shared" si="5"/>
        <v/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46167</v>
      </c>
    </row>
    <row r="131">
      <c r="A131" s="644"/>
      <c r="B131" s="644"/>
      <c r="C131" s="644">
        <f>B131+7</f>
        <v>7</v>
      </c>
      <c r="D131" s="643"/>
      <c r="E131" s="645" t="b">
        <v>1</v>
      </c>
      <c r="F131" s="646" t="str">
        <f t="shared" si="2"/>
        <v>PAGADO</v>
      </c>
      <c r="G131" s="340" t="s">
        <v>2278</v>
      </c>
      <c r="H131" s="646" t="str">
        <f t="shared" si="3"/>
        <v>VENCIDA</v>
      </c>
      <c r="I131" s="647">
        <f t="shared" si="4"/>
        <v>46160</v>
      </c>
    </row>
    <row r="133">
      <c r="C133" s="771"/>
    </row>
    <row r="134">
      <c r="C134" s="772" t="s">
        <v>55</v>
      </c>
      <c r="D134" s="3">
        <f>SUMIF(F3:F131,C134,D3:D131)</f>
        <v>0</v>
      </c>
    </row>
    <row r="135">
      <c r="C135" s="773" t="s">
        <v>527</v>
      </c>
      <c r="D135" s="3">
        <f>SUMIF(F3:F131,C135,D3:D131)</f>
        <v>238000</v>
      </c>
    </row>
    <row r="136">
      <c r="C136" s="697" t="s">
        <v>28</v>
      </c>
      <c r="D136" s="3">
        <f>D134+D135</f>
        <v>238000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2483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2484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45693.0</v>
      </c>
      <c r="C4" s="644">
        <f t="shared" ref="C4:C60" si="1">B4+1</f>
        <v>45694</v>
      </c>
      <c r="D4" s="643">
        <v>108000.0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473</v>
      </c>
      <c r="J4" s="768" t="s">
        <v>31</v>
      </c>
      <c r="K4" s="769">
        <f>D4+D5+D6</f>
        <v>230000</v>
      </c>
    </row>
    <row r="5">
      <c r="A5" s="643"/>
      <c r="B5" s="644">
        <v>45710.0</v>
      </c>
      <c r="C5" s="644">
        <f t="shared" si="1"/>
        <v>45711</v>
      </c>
      <c r="D5" s="643">
        <v>61000.0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456</v>
      </c>
      <c r="J5" s="768" t="s">
        <v>35</v>
      </c>
      <c r="K5" s="770"/>
    </row>
    <row r="6">
      <c r="A6" s="643"/>
      <c r="B6" s="644">
        <v>45716.0</v>
      </c>
      <c r="C6" s="644">
        <f t="shared" si="1"/>
        <v>45717</v>
      </c>
      <c r="D6" s="643">
        <v>61000.0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450</v>
      </c>
      <c r="J6" s="768" t="s">
        <v>37</v>
      </c>
      <c r="K6" s="770"/>
    </row>
    <row r="7">
      <c r="A7" s="643"/>
      <c r="B7" s="644">
        <v>45726.0</v>
      </c>
      <c r="C7" s="644">
        <f t="shared" si="1"/>
        <v>45727</v>
      </c>
      <c r="D7" s="643">
        <v>61000.0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440</v>
      </c>
      <c r="J7" s="768" t="s">
        <v>39</v>
      </c>
      <c r="K7" s="770"/>
    </row>
    <row r="8">
      <c r="A8" s="643"/>
      <c r="B8" s="644">
        <v>45733.0</v>
      </c>
      <c r="C8" s="644">
        <f t="shared" si="1"/>
        <v>45734</v>
      </c>
      <c r="D8" s="643">
        <v>130000.0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433</v>
      </c>
      <c r="J8" s="768" t="s">
        <v>41</v>
      </c>
      <c r="K8" s="770"/>
    </row>
    <row r="9">
      <c r="A9" s="644"/>
      <c r="B9" s="644">
        <v>45745.0</v>
      </c>
      <c r="C9" s="644">
        <f t="shared" si="1"/>
        <v>45746</v>
      </c>
      <c r="D9" s="643">
        <v>76000.0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421</v>
      </c>
      <c r="J9" s="768" t="s">
        <v>42</v>
      </c>
      <c r="K9" s="770">
        <f>D25+D26+D27+D28+D29</f>
        <v>406500</v>
      </c>
    </row>
    <row r="10">
      <c r="A10" s="644"/>
      <c r="B10" s="644">
        <v>45752.0</v>
      </c>
      <c r="C10" s="644">
        <f t="shared" si="1"/>
        <v>45753</v>
      </c>
      <c r="D10" s="643">
        <v>78000.0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414</v>
      </c>
      <c r="J10" s="768" t="s">
        <v>43</v>
      </c>
      <c r="K10" s="770">
        <f>D30+D31+D32+D33</f>
        <v>294000</v>
      </c>
    </row>
    <row r="11">
      <c r="A11" s="644"/>
      <c r="B11" s="644">
        <v>45759.0</v>
      </c>
      <c r="C11" s="644">
        <f t="shared" si="1"/>
        <v>45760</v>
      </c>
      <c r="D11" s="643">
        <v>78000.0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407</v>
      </c>
      <c r="J11" s="768" t="s">
        <v>45</v>
      </c>
      <c r="K11" s="770"/>
    </row>
    <row r="12">
      <c r="A12" s="644"/>
      <c r="B12" s="644">
        <v>45766.0</v>
      </c>
      <c r="C12" s="644">
        <f t="shared" si="1"/>
        <v>45767</v>
      </c>
      <c r="D12" s="643">
        <v>39000.0</v>
      </c>
      <c r="E12" s="645" t="b">
        <v>1</v>
      </c>
      <c r="F12" s="646" t="str">
        <f t="shared" si="2"/>
        <v>PAGADO</v>
      </c>
      <c r="G12" s="340" t="s">
        <v>2276</v>
      </c>
      <c r="H12" s="646" t="str">
        <f t="shared" si="3"/>
        <v>VENCIDA</v>
      </c>
      <c r="I12" s="647">
        <f t="shared" si="4"/>
        <v>400</v>
      </c>
      <c r="J12" s="768" t="s">
        <v>49</v>
      </c>
      <c r="K12" s="770"/>
    </row>
    <row r="13">
      <c r="A13" s="644"/>
      <c r="B13" s="644">
        <v>45770.0</v>
      </c>
      <c r="C13" s="644">
        <f t="shared" si="1"/>
        <v>45771</v>
      </c>
      <c r="D13" s="643">
        <v>78000.0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396</v>
      </c>
      <c r="J13" s="768" t="s">
        <v>50</v>
      </c>
      <c r="K13" s="770"/>
    </row>
    <row r="14">
      <c r="A14" s="644"/>
      <c r="B14" s="644">
        <v>45776.0</v>
      </c>
      <c r="C14" s="644">
        <f t="shared" si="1"/>
        <v>45777</v>
      </c>
      <c r="D14" s="643">
        <v>78000.0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390</v>
      </c>
      <c r="J14" s="768" t="s">
        <v>51</v>
      </c>
      <c r="K14" s="770">
        <f>SUM(D48:D51)</f>
        <v>273000</v>
      </c>
    </row>
    <row r="15">
      <c r="A15" s="644"/>
      <c r="B15" s="644">
        <v>45783.0</v>
      </c>
      <c r="C15" s="644">
        <f t="shared" si="1"/>
        <v>45784</v>
      </c>
      <c r="D15" s="643">
        <v>78000.0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4"/>
        <v>383</v>
      </c>
    </row>
    <row r="16">
      <c r="A16" s="644"/>
      <c r="B16" s="644">
        <v>45789.0</v>
      </c>
      <c r="C16" s="644">
        <f t="shared" si="1"/>
        <v>45790</v>
      </c>
      <c r="D16" s="643">
        <v>78000.0</v>
      </c>
      <c r="E16" s="654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4"/>
        <v>377</v>
      </c>
      <c r="K16" s="318"/>
    </row>
    <row r="17">
      <c r="A17" s="644"/>
      <c r="B17" s="644">
        <v>45796.0</v>
      </c>
      <c r="C17" s="644">
        <f t="shared" si="1"/>
        <v>45797</v>
      </c>
      <c r="D17" s="643">
        <v>78000.0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370</v>
      </c>
    </row>
    <row r="18">
      <c r="A18" s="644"/>
      <c r="B18" s="644">
        <v>45803.0</v>
      </c>
      <c r="C18" s="644">
        <f t="shared" si="1"/>
        <v>45804</v>
      </c>
      <c r="D18" s="643">
        <v>76000.0</v>
      </c>
      <c r="E18" s="654" t="b">
        <v>1</v>
      </c>
      <c r="F18" s="646" t="str">
        <f t="shared" si="2"/>
        <v>PAGADO</v>
      </c>
      <c r="G18" s="340" t="s">
        <v>2276</v>
      </c>
      <c r="H18" s="646" t="str">
        <f t="shared" si="3"/>
        <v>VENCIDA</v>
      </c>
      <c r="I18" s="647">
        <f t="shared" si="4"/>
        <v>363</v>
      </c>
    </row>
    <row r="19">
      <c r="A19" s="644"/>
      <c r="B19" s="644">
        <v>45810.0</v>
      </c>
      <c r="C19" s="644">
        <f t="shared" si="1"/>
        <v>45811</v>
      </c>
      <c r="D19" s="643">
        <v>76000.0</v>
      </c>
      <c r="E19" s="645" t="b">
        <v>1</v>
      </c>
      <c r="F19" s="646" t="str">
        <f t="shared" si="2"/>
        <v>PAGADO</v>
      </c>
      <c r="G19" s="340" t="s">
        <v>2276</v>
      </c>
      <c r="H19" s="646" t="str">
        <f t="shared" si="3"/>
        <v>VENCIDA</v>
      </c>
      <c r="I19" s="647">
        <f t="shared" si="4"/>
        <v>356</v>
      </c>
    </row>
    <row r="20">
      <c r="A20" s="644"/>
      <c r="B20" s="644">
        <v>45814.0</v>
      </c>
      <c r="C20" s="644">
        <f t="shared" si="1"/>
        <v>45815</v>
      </c>
      <c r="D20" s="643">
        <v>76000.0</v>
      </c>
      <c r="E20" s="645" t="b">
        <v>1</v>
      </c>
      <c r="F20" s="646" t="str">
        <f t="shared" si="2"/>
        <v>PAGADO</v>
      </c>
      <c r="G20" s="340" t="s">
        <v>2276</v>
      </c>
      <c r="H20" s="646" t="str">
        <f t="shared" si="3"/>
        <v>VENCIDA</v>
      </c>
      <c r="I20" s="647">
        <f t="shared" si="4"/>
        <v>352</v>
      </c>
    </row>
    <row r="21">
      <c r="A21" s="644"/>
      <c r="B21" s="644">
        <v>45820.0</v>
      </c>
      <c r="C21" s="644">
        <f t="shared" si="1"/>
        <v>45821</v>
      </c>
      <c r="D21" s="643">
        <v>76000.0</v>
      </c>
      <c r="E21" s="645" t="b">
        <v>1</v>
      </c>
      <c r="F21" s="646" t="str">
        <f t="shared" si="2"/>
        <v>PAGADO</v>
      </c>
      <c r="G21" s="340" t="s">
        <v>2276</v>
      </c>
      <c r="H21" s="646" t="str">
        <f t="shared" si="3"/>
        <v>VENCIDA</v>
      </c>
      <c r="I21" s="647">
        <f t="shared" si="4"/>
        <v>346</v>
      </c>
    </row>
    <row r="22">
      <c r="A22" s="644"/>
      <c r="B22" s="644">
        <v>45825.0</v>
      </c>
      <c r="C22" s="644">
        <f t="shared" si="1"/>
        <v>45826</v>
      </c>
      <c r="D22" s="643">
        <v>76000.0</v>
      </c>
      <c r="E22" s="645" t="b">
        <v>1</v>
      </c>
      <c r="F22" s="646" t="str">
        <f t="shared" si="2"/>
        <v>PAGADO</v>
      </c>
      <c r="G22" s="340" t="s">
        <v>2276</v>
      </c>
      <c r="H22" s="646" t="str">
        <f t="shared" si="3"/>
        <v>VENCIDA</v>
      </c>
      <c r="I22" s="647">
        <f t="shared" si="4"/>
        <v>341</v>
      </c>
    </row>
    <row r="23">
      <c r="A23" s="644"/>
      <c r="B23" s="644">
        <v>45832.0</v>
      </c>
      <c r="C23" s="644">
        <f t="shared" si="1"/>
        <v>45833</v>
      </c>
      <c r="D23" s="643">
        <v>75000.0</v>
      </c>
      <c r="E23" s="645" t="b">
        <v>1</v>
      </c>
      <c r="F23" s="646" t="str">
        <f t="shared" si="2"/>
        <v>PAGADO</v>
      </c>
      <c r="G23" s="340" t="s">
        <v>2276</v>
      </c>
      <c r="H23" s="646" t="str">
        <f t="shared" si="3"/>
        <v>VENCIDA</v>
      </c>
      <c r="I23" s="647">
        <f t="shared" si="4"/>
        <v>334</v>
      </c>
    </row>
    <row r="24">
      <c r="A24" s="644"/>
      <c r="B24" s="644">
        <v>45838.0</v>
      </c>
      <c r="C24" s="644">
        <f t="shared" si="1"/>
        <v>45839</v>
      </c>
      <c r="D24" s="643">
        <v>76000.0</v>
      </c>
      <c r="E24" s="645" t="b">
        <v>1</v>
      </c>
      <c r="F24" s="646" t="str">
        <f t="shared" si="2"/>
        <v>PAGADO</v>
      </c>
      <c r="G24" s="340" t="s">
        <v>2276</v>
      </c>
      <c r="H24" s="646" t="str">
        <f t="shared" si="3"/>
        <v>VENCIDA</v>
      </c>
      <c r="I24" s="647">
        <f t="shared" si="4"/>
        <v>328</v>
      </c>
    </row>
    <row r="25">
      <c r="A25" s="644"/>
      <c r="B25" s="644">
        <v>45842.0</v>
      </c>
      <c r="C25" s="644">
        <f t="shared" si="1"/>
        <v>45843</v>
      </c>
      <c r="D25" s="643">
        <v>76000.0</v>
      </c>
      <c r="E25" s="645" t="b">
        <v>1</v>
      </c>
      <c r="F25" s="646" t="str">
        <f t="shared" si="2"/>
        <v>PAGADO</v>
      </c>
      <c r="G25" s="340" t="s">
        <v>2276</v>
      </c>
      <c r="H25" s="646" t="str">
        <f t="shared" si="3"/>
        <v>VENCIDA</v>
      </c>
      <c r="I25" s="647">
        <f t="shared" si="4"/>
        <v>324</v>
      </c>
    </row>
    <row r="26">
      <c r="A26" s="644"/>
      <c r="B26" s="644">
        <v>45849.0</v>
      </c>
      <c r="C26" s="644">
        <f t="shared" si="1"/>
        <v>45850</v>
      </c>
      <c r="D26" s="643">
        <v>73000.0</v>
      </c>
      <c r="E26" s="645" t="b">
        <v>1</v>
      </c>
      <c r="F26" s="646" t="str">
        <f t="shared" si="2"/>
        <v>PAGADO</v>
      </c>
      <c r="G26" s="340" t="s">
        <v>2276</v>
      </c>
      <c r="H26" s="646" t="str">
        <f t="shared" si="3"/>
        <v>VENCIDA</v>
      </c>
      <c r="I26" s="647">
        <f t="shared" si="4"/>
        <v>317</v>
      </c>
    </row>
    <row r="27">
      <c r="A27" s="644"/>
      <c r="B27" s="644">
        <v>45856.0</v>
      </c>
      <c r="C27" s="644">
        <f t="shared" si="1"/>
        <v>45857</v>
      </c>
      <c r="D27" s="643">
        <v>74000.0</v>
      </c>
      <c r="E27" s="645" t="b">
        <v>1</v>
      </c>
      <c r="F27" s="646" t="str">
        <f t="shared" si="2"/>
        <v>PAGADO</v>
      </c>
      <c r="G27" s="340" t="s">
        <v>2278</v>
      </c>
      <c r="H27" s="646" t="str">
        <f t="shared" si="3"/>
        <v>VENCIDA</v>
      </c>
      <c r="I27" s="647">
        <f t="shared" si="4"/>
        <v>310</v>
      </c>
    </row>
    <row r="28">
      <c r="A28" s="644"/>
      <c r="B28" s="644">
        <v>45860.0</v>
      </c>
      <c r="C28" s="644">
        <f t="shared" si="1"/>
        <v>45861</v>
      </c>
      <c r="D28" s="643">
        <v>109500.0</v>
      </c>
      <c r="E28" s="645" t="b">
        <v>1</v>
      </c>
      <c r="F28" s="646" t="str">
        <f t="shared" si="2"/>
        <v>PAGADO</v>
      </c>
      <c r="G28" s="340" t="s">
        <v>2276</v>
      </c>
      <c r="H28" s="646" t="str">
        <f t="shared" si="3"/>
        <v>VENCIDA</v>
      </c>
      <c r="I28" s="647">
        <f t="shared" si="4"/>
        <v>306</v>
      </c>
    </row>
    <row r="29">
      <c r="A29" s="644"/>
      <c r="B29" s="644">
        <v>45869.0</v>
      </c>
      <c r="C29" s="644">
        <f t="shared" si="1"/>
        <v>45870</v>
      </c>
      <c r="D29" s="643">
        <v>74000.0</v>
      </c>
      <c r="E29" s="645" t="b">
        <v>1</v>
      </c>
      <c r="F29" s="646" t="str">
        <f t="shared" si="2"/>
        <v>PAGADO</v>
      </c>
      <c r="G29" s="340" t="s">
        <v>2276</v>
      </c>
      <c r="H29" s="646" t="str">
        <f t="shared" si="3"/>
        <v>VENCIDA</v>
      </c>
      <c r="I29" s="647">
        <f t="shared" si="4"/>
        <v>297</v>
      </c>
    </row>
    <row r="30">
      <c r="A30" s="644"/>
      <c r="B30" s="644">
        <v>45874.0</v>
      </c>
      <c r="C30" s="644">
        <f t="shared" si="1"/>
        <v>45875</v>
      </c>
      <c r="D30" s="643">
        <v>74000.0</v>
      </c>
      <c r="E30" s="645" t="b">
        <v>1</v>
      </c>
      <c r="F30" s="646" t="str">
        <f t="shared" si="2"/>
        <v>PAGADO</v>
      </c>
      <c r="G30" s="340" t="s">
        <v>2276</v>
      </c>
      <c r="H30" s="646" t="str">
        <f t="shared" si="3"/>
        <v>VENCIDA</v>
      </c>
      <c r="I30" s="647">
        <f t="shared" si="4"/>
        <v>292</v>
      </c>
    </row>
    <row r="31">
      <c r="A31" s="644"/>
      <c r="B31" s="644">
        <v>45880.0</v>
      </c>
      <c r="C31" s="644">
        <f t="shared" si="1"/>
        <v>45881</v>
      </c>
      <c r="D31" s="643">
        <v>74000.0</v>
      </c>
      <c r="E31" s="645" t="b">
        <v>1</v>
      </c>
      <c r="F31" s="646" t="str">
        <f t="shared" si="2"/>
        <v>PAGADO</v>
      </c>
      <c r="G31" s="340" t="s">
        <v>2276</v>
      </c>
      <c r="H31" s="646" t="str">
        <f t="shared" si="3"/>
        <v>VENCIDA</v>
      </c>
      <c r="I31" s="647">
        <f t="shared" si="4"/>
        <v>286</v>
      </c>
    </row>
    <row r="32">
      <c r="A32" s="644"/>
      <c r="B32" s="644">
        <v>45887.0</v>
      </c>
      <c r="C32" s="644">
        <f t="shared" si="1"/>
        <v>45888</v>
      </c>
      <c r="D32" s="643">
        <v>74000.0</v>
      </c>
      <c r="E32" s="645" t="b">
        <v>1</v>
      </c>
      <c r="F32" s="646" t="str">
        <f t="shared" si="2"/>
        <v>PAGADO</v>
      </c>
      <c r="G32" s="340" t="s">
        <v>2276</v>
      </c>
      <c r="H32" s="646" t="str">
        <f t="shared" si="3"/>
        <v>VENCIDA</v>
      </c>
      <c r="I32" s="647">
        <f t="shared" si="4"/>
        <v>279</v>
      </c>
    </row>
    <row r="33">
      <c r="A33" s="644"/>
      <c r="B33" s="644">
        <v>45894.0</v>
      </c>
      <c r="C33" s="644">
        <f t="shared" si="1"/>
        <v>45895</v>
      </c>
      <c r="D33" s="643">
        <v>72000.0</v>
      </c>
      <c r="E33" s="645" t="b">
        <v>1</v>
      </c>
      <c r="F33" s="646" t="str">
        <f t="shared" si="2"/>
        <v>PAGADO</v>
      </c>
      <c r="G33" s="340" t="s">
        <v>2276</v>
      </c>
      <c r="H33" s="646" t="str">
        <f t="shared" si="3"/>
        <v>VENCIDA</v>
      </c>
      <c r="I33" s="647">
        <f t="shared" si="4"/>
        <v>272</v>
      </c>
    </row>
    <row r="34">
      <c r="A34" s="644"/>
      <c r="B34" s="644">
        <v>45901.0</v>
      </c>
      <c r="C34" s="644">
        <f t="shared" si="1"/>
        <v>45902</v>
      </c>
      <c r="D34" s="643">
        <v>72000.0</v>
      </c>
      <c r="E34" s="645" t="b">
        <v>1</v>
      </c>
      <c r="F34" s="646" t="str">
        <f t="shared" si="2"/>
        <v>PAGADO</v>
      </c>
      <c r="G34" s="340" t="s">
        <v>2276</v>
      </c>
      <c r="H34" s="646" t="str">
        <f t="shared" si="3"/>
        <v>VENCIDA</v>
      </c>
      <c r="I34" s="647">
        <f t="shared" si="4"/>
        <v>265</v>
      </c>
    </row>
    <row r="35">
      <c r="A35" s="644"/>
      <c r="B35" s="644">
        <v>45908.0</v>
      </c>
      <c r="C35" s="644">
        <f t="shared" si="1"/>
        <v>45909</v>
      </c>
      <c r="D35" s="643">
        <v>72000.0</v>
      </c>
      <c r="E35" s="645" t="b">
        <v>1</v>
      </c>
      <c r="F35" s="646" t="str">
        <f t="shared" si="2"/>
        <v>PAGADO</v>
      </c>
      <c r="G35" s="340" t="s">
        <v>2278</v>
      </c>
      <c r="H35" s="646" t="str">
        <f t="shared" si="3"/>
        <v>VENCIDA</v>
      </c>
      <c r="I35" s="647">
        <f t="shared" si="4"/>
        <v>258</v>
      </c>
    </row>
    <row r="36">
      <c r="A36" s="644"/>
      <c r="B36" s="644">
        <v>45913.0</v>
      </c>
      <c r="C36" s="644">
        <f t="shared" si="1"/>
        <v>45914</v>
      </c>
      <c r="D36" s="643">
        <v>72000.0</v>
      </c>
      <c r="E36" s="645" t="b">
        <v>1</v>
      </c>
      <c r="F36" s="646" t="str">
        <f t="shared" si="2"/>
        <v>PAGADO</v>
      </c>
      <c r="G36" s="340" t="s">
        <v>2278</v>
      </c>
      <c r="H36" s="646" t="str">
        <f t="shared" si="3"/>
        <v>VENCIDA</v>
      </c>
      <c r="I36" s="647">
        <f t="shared" si="4"/>
        <v>253</v>
      </c>
    </row>
    <row r="37">
      <c r="A37" s="644"/>
      <c r="B37" s="644">
        <v>45920.0</v>
      </c>
      <c r="C37" s="644">
        <f t="shared" si="1"/>
        <v>45921</v>
      </c>
      <c r="D37" s="643">
        <v>72000.0</v>
      </c>
      <c r="E37" s="645" t="b">
        <v>1</v>
      </c>
      <c r="F37" s="646" t="str">
        <f t="shared" si="2"/>
        <v>PAGADO</v>
      </c>
      <c r="G37" s="340" t="s">
        <v>2276</v>
      </c>
      <c r="H37" s="646" t="str">
        <f t="shared" si="3"/>
        <v>VENCIDA</v>
      </c>
      <c r="I37" s="647">
        <f t="shared" si="4"/>
        <v>246</v>
      </c>
    </row>
    <row r="38">
      <c r="A38" s="644"/>
      <c r="B38" s="644">
        <v>45926.0</v>
      </c>
      <c r="C38" s="644">
        <f t="shared" si="1"/>
        <v>45927</v>
      </c>
      <c r="D38" s="643">
        <v>72000.0</v>
      </c>
      <c r="E38" s="645" t="b">
        <v>1</v>
      </c>
      <c r="F38" s="646" t="str">
        <f t="shared" si="2"/>
        <v>PAGADO</v>
      </c>
      <c r="G38" s="340" t="s">
        <v>2276</v>
      </c>
      <c r="H38" s="646" t="str">
        <f t="shared" si="3"/>
        <v>VENCIDA</v>
      </c>
      <c r="I38" s="647">
        <f t="shared" si="4"/>
        <v>240</v>
      </c>
    </row>
    <row r="39">
      <c r="A39" s="644"/>
      <c r="B39" s="644">
        <v>45932.0</v>
      </c>
      <c r="C39" s="644">
        <f t="shared" si="1"/>
        <v>45933</v>
      </c>
      <c r="D39" s="643">
        <v>72000.0</v>
      </c>
      <c r="E39" s="645" t="b">
        <v>1</v>
      </c>
      <c r="F39" s="646" t="str">
        <f t="shared" si="2"/>
        <v>PAGADO</v>
      </c>
      <c r="G39" s="340" t="s">
        <v>2276</v>
      </c>
      <c r="H39" s="646" t="str">
        <f t="shared" si="3"/>
        <v>VENCIDA</v>
      </c>
      <c r="I39" s="647">
        <f t="shared" si="4"/>
        <v>234</v>
      </c>
    </row>
    <row r="40">
      <c r="A40" s="644"/>
      <c r="B40" s="644">
        <v>45939.0</v>
      </c>
      <c r="C40" s="644">
        <f t="shared" si="1"/>
        <v>45940</v>
      </c>
      <c r="D40" s="643">
        <v>72000.0</v>
      </c>
      <c r="E40" s="645" t="b">
        <v>1</v>
      </c>
      <c r="F40" s="646" t="str">
        <f t="shared" si="2"/>
        <v>PAGADO</v>
      </c>
      <c r="G40" s="340" t="s">
        <v>2276</v>
      </c>
      <c r="H40" s="646" t="str">
        <f t="shared" si="3"/>
        <v>VENCIDA</v>
      </c>
      <c r="I40" s="647">
        <f t="shared" si="4"/>
        <v>227</v>
      </c>
    </row>
    <row r="41">
      <c r="A41" s="644"/>
      <c r="B41" s="644">
        <v>45946.0</v>
      </c>
      <c r="C41" s="644">
        <f t="shared" si="1"/>
        <v>45947</v>
      </c>
      <c r="D41" s="643">
        <v>72000.0</v>
      </c>
      <c r="E41" s="645" t="b">
        <v>1</v>
      </c>
      <c r="F41" s="646" t="str">
        <f t="shared" si="2"/>
        <v>PAGADO</v>
      </c>
      <c r="G41" s="340" t="s">
        <v>2276</v>
      </c>
      <c r="H41" s="646" t="str">
        <f t="shared" si="3"/>
        <v>VENCIDA</v>
      </c>
      <c r="I41" s="647">
        <f t="shared" si="4"/>
        <v>220</v>
      </c>
    </row>
    <row r="42">
      <c r="A42" s="644"/>
      <c r="B42" s="644">
        <v>45952.0</v>
      </c>
      <c r="C42" s="644">
        <f t="shared" si="1"/>
        <v>45953</v>
      </c>
      <c r="D42" s="643">
        <v>72000.0</v>
      </c>
      <c r="E42" s="645" t="b">
        <v>1</v>
      </c>
      <c r="F42" s="646" t="str">
        <f t="shared" si="2"/>
        <v>PAGADO</v>
      </c>
      <c r="G42" s="340" t="s">
        <v>2276</v>
      </c>
      <c r="H42" s="646" t="str">
        <f t="shared" si="3"/>
        <v>VENCIDA</v>
      </c>
      <c r="I42" s="647">
        <f t="shared" si="4"/>
        <v>214</v>
      </c>
    </row>
    <row r="43">
      <c r="A43" s="644"/>
      <c r="B43" s="644">
        <v>45957.0</v>
      </c>
      <c r="C43" s="644">
        <f t="shared" si="1"/>
        <v>45958</v>
      </c>
      <c r="D43" s="643">
        <v>72000.0</v>
      </c>
      <c r="E43" s="645" t="b">
        <v>1</v>
      </c>
      <c r="F43" s="646" t="str">
        <f t="shared" si="2"/>
        <v>PAGADO</v>
      </c>
      <c r="G43" s="340" t="s">
        <v>2276</v>
      </c>
      <c r="H43" s="646" t="str">
        <f t="shared" si="3"/>
        <v>VENCIDA</v>
      </c>
      <c r="I43" s="647">
        <f t="shared" si="4"/>
        <v>209</v>
      </c>
    </row>
    <row r="44">
      <c r="A44" s="644"/>
      <c r="B44" s="644">
        <v>45963.0</v>
      </c>
      <c r="C44" s="644">
        <f t="shared" si="1"/>
        <v>45964</v>
      </c>
      <c r="D44" s="643">
        <v>72000.0</v>
      </c>
      <c r="E44" s="645" t="b">
        <v>1</v>
      </c>
      <c r="F44" s="646" t="str">
        <f t="shared" si="2"/>
        <v>PAGADO</v>
      </c>
      <c r="G44" s="340" t="s">
        <v>2276</v>
      </c>
      <c r="H44" s="646" t="str">
        <f t="shared" si="3"/>
        <v>VENCIDA</v>
      </c>
      <c r="I44" s="647">
        <f t="shared" si="4"/>
        <v>203</v>
      </c>
    </row>
    <row r="45">
      <c r="A45" s="644"/>
      <c r="B45" s="644">
        <v>45971.0</v>
      </c>
      <c r="C45" s="644">
        <f t="shared" si="1"/>
        <v>45972</v>
      </c>
      <c r="D45" s="643">
        <v>72000.0</v>
      </c>
      <c r="E45" s="645" t="b">
        <v>1</v>
      </c>
      <c r="F45" s="646" t="str">
        <f t="shared" si="2"/>
        <v>PAGADO</v>
      </c>
      <c r="G45" s="340" t="s">
        <v>2278</v>
      </c>
      <c r="H45" s="646" t="str">
        <f t="shared" si="3"/>
        <v>VENCIDA</v>
      </c>
      <c r="I45" s="647">
        <f t="shared" si="4"/>
        <v>195</v>
      </c>
    </row>
    <row r="46">
      <c r="A46" s="644"/>
      <c r="B46" s="644">
        <v>45975.0</v>
      </c>
      <c r="C46" s="644">
        <f t="shared" si="1"/>
        <v>45976</v>
      </c>
      <c r="D46" s="643">
        <v>72000.0</v>
      </c>
      <c r="E46" s="645" t="b">
        <v>1</v>
      </c>
      <c r="F46" s="646" t="str">
        <f t="shared" si="2"/>
        <v>PAGADO</v>
      </c>
      <c r="G46" s="340" t="s">
        <v>2276</v>
      </c>
      <c r="H46" s="646" t="str">
        <f t="shared" si="3"/>
        <v>VENCIDA</v>
      </c>
      <c r="I46" s="647">
        <f t="shared" si="4"/>
        <v>191</v>
      </c>
    </row>
    <row r="47">
      <c r="A47" s="644"/>
      <c r="B47" s="644">
        <v>45985.0</v>
      </c>
      <c r="C47" s="644">
        <f t="shared" si="1"/>
        <v>45986</v>
      </c>
      <c r="D47" s="643">
        <v>144000.0</v>
      </c>
      <c r="E47" s="645" t="b">
        <v>1</v>
      </c>
      <c r="F47" s="646" t="str">
        <f t="shared" si="2"/>
        <v>PAGADO</v>
      </c>
      <c r="G47" s="340" t="s">
        <v>2276</v>
      </c>
      <c r="H47" s="646" t="str">
        <f t="shared" si="3"/>
        <v>VENCIDA</v>
      </c>
      <c r="I47" s="647">
        <f t="shared" si="4"/>
        <v>181</v>
      </c>
    </row>
    <row r="48">
      <c r="A48" s="644"/>
      <c r="B48" s="644">
        <v>45996.0</v>
      </c>
      <c r="C48" s="644">
        <f t="shared" si="1"/>
        <v>45997</v>
      </c>
      <c r="D48" s="643">
        <v>70000.0</v>
      </c>
      <c r="E48" s="645" t="b">
        <v>1</v>
      </c>
      <c r="F48" s="646" t="str">
        <f t="shared" si="2"/>
        <v>PAGADO</v>
      </c>
      <c r="G48" s="340" t="s">
        <v>2276</v>
      </c>
      <c r="H48" s="646" t="str">
        <f t="shared" si="3"/>
        <v>VENCIDA</v>
      </c>
      <c r="I48" s="647">
        <f t="shared" si="4"/>
        <v>170</v>
      </c>
    </row>
    <row r="49">
      <c r="A49" s="644"/>
      <c r="B49" s="644">
        <v>46002.0</v>
      </c>
      <c r="C49" s="644">
        <f t="shared" si="1"/>
        <v>46003</v>
      </c>
      <c r="D49" s="643">
        <v>70000.0</v>
      </c>
      <c r="E49" s="645" t="b">
        <v>1</v>
      </c>
      <c r="F49" s="646" t="str">
        <f t="shared" si="2"/>
        <v>PAGADO</v>
      </c>
      <c r="G49" s="340" t="s">
        <v>2276</v>
      </c>
      <c r="H49" s="646" t="str">
        <f t="shared" si="3"/>
        <v>VENCIDA</v>
      </c>
      <c r="I49" s="647">
        <f t="shared" si="4"/>
        <v>164</v>
      </c>
    </row>
    <row r="50">
      <c r="A50" s="644"/>
      <c r="B50" s="644">
        <v>46009.0</v>
      </c>
      <c r="C50" s="644">
        <f t="shared" si="1"/>
        <v>46010</v>
      </c>
      <c r="D50" s="643">
        <v>68000.0</v>
      </c>
      <c r="E50" s="645" t="b">
        <v>1</v>
      </c>
      <c r="F50" s="646" t="str">
        <f t="shared" si="2"/>
        <v>PAGADO</v>
      </c>
      <c r="G50" s="340" t="s">
        <v>2276</v>
      </c>
      <c r="H50" s="646" t="str">
        <f t="shared" si="3"/>
        <v>VENCIDA</v>
      </c>
      <c r="I50" s="647">
        <f t="shared" si="4"/>
        <v>157</v>
      </c>
    </row>
    <row r="51">
      <c r="A51" s="644"/>
      <c r="B51" s="644">
        <v>46020.0</v>
      </c>
      <c r="C51" s="644">
        <f t="shared" si="1"/>
        <v>46021</v>
      </c>
      <c r="D51" s="643">
        <v>65000.0</v>
      </c>
      <c r="E51" s="645" t="b">
        <v>1</v>
      </c>
      <c r="F51" s="646" t="str">
        <f t="shared" si="2"/>
        <v>PAGADO</v>
      </c>
      <c r="G51" s="340" t="s">
        <v>2276</v>
      </c>
      <c r="H51" s="646" t="str">
        <f t="shared" si="3"/>
        <v>VENCIDA</v>
      </c>
      <c r="I51" s="647">
        <f t="shared" si="4"/>
        <v>146</v>
      </c>
    </row>
    <row r="52">
      <c r="A52" s="644"/>
      <c r="B52" s="644">
        <v>46027.0</v>
      </c>
      <c r="C52" s="644">
        <f t="shared" si="1"/>
        <v>46028</v>
      </c>
      <c r="D52" s="643">
        <v>65000.0</v>
      </c>
      <c r="E52" s="645" t="b">
        <v>1</v>
      </c>
      <c r="F52" s="646" t="str">
        <f t="shared" si="2"/>
        <v>PAGADO</v>
      </c>
      <c r="G52" s="340" t="s">
        <v>2276</v>
      </c>
      <c r="H52" s="646" t="str">
        <f t="shared" si="3"/>
        <v>VENCIDA</v>
      </c>
      <c r="I52" s="647">
        <f t="shared" si="4"/>
        <v>139</v>
      </c>
    </row>
    <row r="53">
      <c r="A53" s="644"/>
      <c r="B53" s="644">
        <v>46034.0</v>
      </c>
      <c r="C53" s="644">
        <f t="shared" si="1"/>
        <v>46035</v>
      </c>
      <c r="D53" s="643">
        <v>62000.0</v>
      </c>
      <c r="E53" s="645" t="b">
        <v>1</v>
      </c>
      <c r="F53" s="646" t="str">
        <f t="shared" si="2"/>
        <v>PAGADO</v>
      </c>
      <c r="G53" s="340" t="s">
        <v>2276</v>
      </c>
      <c r="H53" s="646" t="str">
        <f t="shared" si="3"/>
        <v>VENCIDA</v>
      </c>
      <c r="I53" s="647">
        <f t="shared" si="4"/>
        <v>132</v>
      </c>
    </row>
    <row r="54">
      <c r="A54" s="644"/>
      <c r="B54" s="644">
        <v>46041.0</v>
      </c>
      <c r="C54" s="644">
        <f t="shared" si="1"/>
        <v>46042</v>
      </c>
      <c r="D54" s="643">
        <v>60000.0</v>
      </c>
      <c r="E54" s="645" t="b">
        <v>1</v>
      </c>
      <c r="F54" s="646" t="str">
        <f t="shared" si="2"/>
        <v>PAGADO</v>
      </c>
      <c r="G54" s="340" t="s">
        <v>2276</v>
      </c>
      <c r="H54" s="646" t="str">
        <f t="shared" si="3"/>
        <v>VENCIDA</v>
      </c>
      <c r="I54" s="647">
        <f t="shared" si="4"/>
        <v>125</v>
      </c>
    </row>
    <row r="55">
      <c r="A55" s="644"/>
      <c r="B55" s="644">
        <v>46048.0</v>
      </c>
      <c r="C55" s="644">
        <f t="shared" si="1"/>
        <v>46049</v>
      </c>
      <c r="D55" s="643">
        <v>65000.0</v>
      </c>
      <c r="E55" s="645" t="b">
        <v>1</v>
      </c>
      <c r="F55" s="646" t="str">
        <f t="shared" si="2"/>
        <v>PAGADO</v>
      </c>
      <c r="G55" s="340" t="s">
        <v>2278</v>
      </c>
      <c r="H55" s="646" t="str">
        <f t="shared" si="3"/>
        <v>VENCIDA</v>
      </c>
      <c r="I55" s="647">
        <f t="shared" si="4"/>
        <v>118</v>
      </c>
    </row>
    <row r="56">
      <c r="A56" s="644"/>
      <c r="B56" s="644">
        <v>46050.0</v>
      </c>
      <c r="C56" s="644">
        <f t="shared" si="1"/>
        <v>46051</v>
      </c>
      <c r="D56" s="643">
        <v>97500.0</v>
      </c>
      <c r="E56" s="645" t="b">
        <v>1</v>
      </c>
      <c r="F56" s="646" t="str">
        <f t="shared" si="2"/>
        <v>PAGADO</v>
      </c>
      <c r="G56" s="340" t="s">
        <v>2276</v>
      </c>
      <c r="H56" s="646" t="str">
        <f t="shared" si="3"/>
        <v>VENCIDA</v>
      </c>
      <c r="I56" s="647">
        <f t="shared" si="4"/>
        <v>116</v>
      </c>
      <c r="J56" s="2" t="s">
        <v>2485</v>
      </c>
    </row>
    <row r="57">
      <c r="A57" s="644"/>
      <c r="B57" s="644">
        <v>46062.0</v>
      </c>
      <c r="C57" s="644">
        <f t="shared" si="1"/>
        <v>46063</v>
      </c>
      <c r="D57" s="643">
        <v>65000.0</v>
      </c>
      <c r="E57" s="645" t="b">
        <v>1</v>
      </c>
      <c r="F57" s="646" t="str">
        <f t="shared" si="2"/>
        <v>PAGADO</v>
      </c>
      <c r="G57" s="340" t="s">
        <v>2276</v>
      </c>
      <c r="H57" s="646" t="str">
        <f t="shared" si="3"/>
        <v>VENCIDA</v>
      </c>
      <c r="I57" s="647">
        <f t="shared" si="4"/>
        <v>104</v>
      </c>
    </row>
    <row r="58">
      <c r="A58" s="644"/>
      <c r="B58" s="644">
        <v>46066.0</v>
      </c>
      <c r="C58" s="644">
        <f t="shared" si="1"/>
        <v>46067</v>
      </c>
      <c r="D58" s="643">
        <v>65000.0</v>
      </c>
      <c r="E58" s="645" t="b">
        <v>1</v>
      </c>
      <c r="F58" s="646" t="str">
        <f t="shared" si="2"/>
        <v>PAGADO</v>
      </c>
      <c r="G58" s="340" t="s">
        <v>2276</v>
      </c>
      <c r="H58" s="646" t="str">
        <f t="shared" si="3"/>
        <v>VENCIDA</v>
      </c>
      <c r="I58" s="647">
        <f t="shared" si="4"/>
        <v>100</v>
      </c>
    </row>
    <row r="59">
      <c r="A59" s="644"/>
      <c r="B59" s="644">
        <v>46076.0</v>
      </c>
      <c r="C59" s="644">
        <f t="shared" si="1"/>
        <v>46077</v>
      </c>
      <c r="D59" s="643">
        <v>65000.0</v>
      </c>
      <c r="E59" s="645" t="b">
        <v>1</v>
      </c>
      <c r="F59" s="646" t="str">
        <f t="shared" si="2"/>
        <v>PAGADO</v>
      </c>
      <c r="G59" s="340" t="s">
        <v>2278</v>
      </c>
      <c r="H59" s="646" t="str">
        <f t="shared" si="3"/>
        <v>VENCIDA</v>
      </c>
      <c r="I59" s="647">
        <f t="shared" si="4"/>
        <v>90</v>
      </c>
    </row>
    <row r="60">
      <c r="A60" s="644"/>
      <c r="B60" s="644">
        <v>46083.0</v>
      </c>
      <c r="C60" s="644">
        <f t="shared" si="1"/>
        <v>46084</v>
      </c>
      <c r="D60" s="643">
        <v>62000.0</v>
      </c>
      <c r="E60" s="645" t="b">
        <v>1</v>
      </c>
      <c r="F60" s="646" t="str">
        <f t="shared" si="2"/>
        <v>PAGADO</v>
      </c>
      <c r="G60" s="340" t="s">
        <v>2276</v>
      </c>
      <c r="H60" s="646" t="str">
        <f t="shared" si="3"/>
        <v>VENCIDA</v>
      </c>
      <c r="I60" s="647">
        <f t="shared" si="4"/>
        <v>83</v>
      </c>
    </row>
    <row r="61">
      <c r="A61" s="783" t="s">
        <v>2486</v>
      </c>
      <c r="B61" s="784"/>
      <c r="C61" s="784"/>
      <c r="D61" s="78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46167</v>
      </c>
    </row>
    <row r="62">
      <c r="A62" s="644"/>
      <c r="B62" s="644">
        <v>46094.0</v>
      </c>
      <c r="C62" s="644">
        <f t="shared" ref="C62:C132" si="5">B62+1</f>
        <v>46095</v>
      </c>
      <c r="D62" s="643">
        <v>52000.0</v>
      </c>
      <c r="E62" s="645" t="b">
        <v>1</v>
      </c>
      <c r="F62" s="646" t="str">
        <f t="shared" si="2"/>
        <v>PAGADO</v>
      </c>
      <c r="G62" s="340" t="s">
        <v>2287</v>
      </c>
      <c r="H62" s="646" t="str">
        <f t="shared" si="3"/>
        <v>VENCIDA</v>
      </c>
      <c r="I62" s="647">
        <f t="shared" si="4"/>
        <v>72</v>
      </c>
    </row>
    <row r="63">
      <c r="A63" s="643" t="s">
        <v>595</v>
      </c>
      <c r="B63" s="644">
        <v>46095.0</v>
      </c>
      <c r="C63" s="644">
        <f t="shared" si="5"/>
        <v>46096</v>
      </c>
      <c r="D63" s="643">
        <v>52000.0</v>
      </c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71</v>
      </c>
    </row>
    <row r="64">
      <c r="A64" s="644"/>
      <c r="B64" s="644">
        <v>46119.0</v>
      </c>
      <c r="C64" s="644">
        <f t="shared" si="5"/>
        <v>46120</v>
      </c>
      <c r="D64" s="643">
        <v>52000.0</v>
      </c>
      <c r="E64" s="645" t="b">
        <v>1</v>
      </c>
      <c r="F64" s="646" t="str">
        <f t="shared" si="2"/>
        <v>PAGADO</v>
      </c>
      <c r="G64" s="340" t="s">
        <v>2287</v>
      </c>
      <c r="H64" s="646" t="str">
        <f t="shared" si="3"/>
        <v>VENCIDA</v>
      </c>
      <c r="I64" s="647">
        <f t="shared" si="4"/>
        <v>47</v>
      </c>
    </row>
    <row r="65">
      <c r="A65" s="644"/>
      <c r="B65" s="644"/>
      <c r="C65" s="644">
        <f t="shared" si="5"/>
        <v>1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46166</v>
      </c>
    </row>
    <row r="66">
      <c r="A66" s="644"/>
      <c r="B66" s="644"/>
      <c r="C66" s="644">
        <f t="shared" si="5"/>
        <v>1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46166</v>
      </c>
    </row>
    <row r="67">
      <c r="A67" s="644"/>
      <c r="B67" s="644"/>
      <c r="C67" s="644">
        <f t="shared" si="5"/>
        <v>1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46166</v>
      </c>
    </row>
    <row r="68">
      <c r="A68" s="644"/>
      <c r="B68" s="644"/>
      <c r="C68" s="644">
        <f t="shared" si="5"/>
        <v>1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46166</v>
      </c>
    </row>
    <row r="69">
      <c r="A69" s="644"/>
      <c r="B69" s="644"/>
      <c r="C69" s="644">
        <f t="shared" si="5"/>
        <v>1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46166</v>
      </c>
    </row>
    <row r="70">
      <c r="A70" s="644"/>
      <c r="B70" s="644"/>
      <c r="C70" s="644">
        <f t="shared" si="5"/>
        <v>1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46166</v>
      </c>
    </row>
    <row r="71">
      <c r="A71" s="644"/>
      <c r="B71" s="644"/>
      <c r="C71" s="644">
        <f t="shared" si="5"/>
        <v>1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46166</v>
      </c>
    </row>
    <row r="72">
      <c r="A72" s="644"/>
      <c r="B72" s="644"/>
      <c r="C72" s="644">
        <f t="shared" si="5"/>
        <v>1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46166</v>
      </c>
    </row>
    <row r="73">
      <c r="A73" s="644"/>
      <c r="B73" s="644"/>
      <c r="C73" s="644">
        <f t="shared" si="5"/>
        <v>1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46166</v>
      </c>
    </row>
    <row r="74">
      <c r="A74" s="644"/>
      <c r="B74" s="644"/>
      <c r="C74" s="644">
        <f t="shared" si="5"/>
        <v>1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46166</v>
      </c>
    </row>
    <row r="75">
      <c r="A75" s="644"/>
      <c r="B75" s="644"/>
      <c r="C75" s="644">
        <f t="shared" si="5"/>
        <v>1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46166</v>
      </c>
    </row>
    <row r="76">
      <c r="A76" s="644"/>
      <c r="B76" s="644"/>
      <c r="C76" s="644">
        <f t="shared" si="5"/>
        <v>1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46166</v>
      </c>
    </row>
    <row r="77">
      <c r="A77" s="644"/>
      <c r="B77" s="644"/>
      <c r="C77" s="644">
        <f t="shared" si="5"/>
        <v>1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46166</v>
      </c>
    </row>
    <row r="78">
      <c r="A78" s="644"/>
      <c r="B78" s="644"/>
      <c r="C78" s="644">
        <f t="shared" si="5"/>
        <v>1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46166</v>
      </c>
    </row>
    <row r="79">
      <c r="A79" s="644"/>
      <c r="B79" s="644"/>
      <c r="C79" s="644">
        <f t="shared" si="5"/>
        <v>1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46166</v>
      </c>
    </row>
    <row r="80">
      <c r="A80" s="644"/>
      <c r="B80" s="644"/>
      <c r="C80" s="644">
        <f t="shared" si="5"/>
        <v>1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46166</v>
      </c>
    </row>
    <row r="81">
      <c r="A81" s="644"/>
      <c r="B81" s="644"/>
      <c r="C81" s="644">
        <f t="shared" si="5"/>
        <v>1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46166</v>
      </c>
    </row>
    <row r="82">
      <c r="A82" s="644"/>
      <c r="B82" s="644"/>
      <c r="C82" s="644">
        <f t="shared" si="5"/>
        <v>1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46166</v>
      </c>
    </row>
    <row r="83">
      <c r="A83" s="644"/>
      <c r="B83" s="644"/>
      <c r="C83" s="644">
        <f t="shared" si="5"/>
        <v>1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46166</v>
      </c>
    </row>
    <row r="84">
      <c r="A84" s="644"/>
      <c r="B84" s="644"/>
      <c r="C84" s="644">
        <f t="shared" si="5"/>
        <v>1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46166</v>
      </c>
    </row>
    <row r="85">
      <c r="A85" s="644"/>
      <c r="B85" s="644"/>
      <c r="C85" s="644">
        <f t="shared" si="5"/>
        <v>1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46166</v>
      </c>
    </row>
    <row r="86">
      <c r="A86" s="644"/>
      <c r="B86" s="644"/>
      <c r="C86" s="644">
        <f t="shared" si="5"/>
        <v>1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46166</v>
      </c>
    </row>
    <row r="87">
      <c r="A87" s="644"/>
      <c r="B87" s="644"/>
      <c r="C87" s="644">
        <f t="shared" si="5"/>
        <v>1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46166</v>
      </c>
    </row>
    <row r="88">
      <c r="A88" s="644"/>
      <c r="B88" s="644"/>
      <c r="C88" s="644">
        <f t="shared" si="5"/>
        <v>1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46166</v>
      </c>
    </row>
    <row r="89">
      <c r="A89" s="644"/>
      <c r="B89" s="644"/>
      <c r="C89" s="644">
        <f t="shared" si="5"/>
        <v>1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46166</v>
      </c>
    </row>
    <row r="90">
      <c r="A90" s="644"/>
      <c r="B90" s="644"/>
      <c r="C90" s="644">
        <f t="shared" si="5"/>
        <v>1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46166</v>
      </c>
    </row>
    <row r="91">
      <c r="A91" s="644"/>
      <c r="B91" s="644"/>
      <c r="C91" s="644">
        <f t="shared" si="5"/>
        <v>1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46166</v>
      </c>
    </row>
    <row r="92">
      <c r="A92" s="644"/>
      <c r="B92" s="644"/>
      <c r="C92" s="644">
        <f t="shared" si="5"/>
        <v>1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46166</v>
      </c>
    </row>
    <row r="93">
      <c r="A93" s="644"/>
      <c r="B93" s="644"/>
      <c r="C93" s="644">
        <f t="shared" si="5"/>
        <v>1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46166</v>
      </c>
    </row>
    <row r="94">
      <c r="A94" s="644"/>
      <c r="B94" s="644"/>
      <c r="C94" s="644">
        <f t="shared" si="5"/>
        <v>1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46166</v>
      </c>
    </row>
    <row r="95">
      <c r="A95" s="644"/>
      <c r="B95" s="644"/>
      <c r="C95" s="644">
        <f t="shared" si="5"/>
        <v>1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46166</v>
      </c>
    </row>
    <row r="96">
      <c r="A96" s="644"/>
      <c r="B96" s="644"/>
      <c r="C96" s="644">
        <f t="shared" si="5"/>
        <v>1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46166</v>
      </c>
    </row>
    <row r="97">
      <c r="A97" s="644"/>
      <c r="B97" s="644"/>
      <c r="C97" s="644">
        <f t="shared" si="5"/>
        <v>1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46166</v>
      </c>
    </row>
    <row r="98">
      <c r="A98" s="644"/>
      <c r="B98" s="644"/>
      <c r="C98" s="644">
        <f t="shared" si="5"/>
        <v>1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46166</v>
      </c>
    </row>
    <row r="99">
      <c r="A99" s="644"/>
      <c r="B99" s="644"/>
      <c r="C99" s="644">
        <f t="shared" si="5"/>
        <v>1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46166</v>
      </c>
    </row>
    <row r="100">
      <c r="A100" s="644"/>
      <c r="B100" s="644"/>
      <c r="C100" s="644">
        <f t="shared" si="5"/>
        <v>1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46166</v>
      </c>
    </row>
    <row r="101">
      <c r="A101" s="644"/>
      <c r="B101" s="644"/>
      <c r="C101" s="644">
        <f t="shared" si="5"/>
        <v>1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46166</v>
      </c>
    </row>
    <row r="102">
      <c r="A102" s="644"/>
      <c r="B102" s="644"/>
      <c r="C102" s="644">
        <f t="shared" si="5"/>
        <v>1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46166</v>
      </c>
    </row>
    <row r="103">
      <c r="A103" s="644"/>
      <c r="B103" s="644"/>
      <c r="C103" s="644">
        <f t="shared" si="5"/>
        <v>1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46166</v>
      </c>
    </row>
    <row r="104">
      <c r="A104" s="644"/>
      <c r="B104" s="644"/>
      <c r="C104" s="644">
        <f t="shared" si="5"/>
        <v>1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46166</v>
      </c>
    </row>
    <row r="105">
      <c r="A105" s="644"/>
      <c r="B105" s="644"/>
      <c r="C105" s="644">
        <f t="shared" si="5"/>
        <v>1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46166</v>
      </c>
    </row>
    <row r="106">
      <c r="A106" s="644"/>
      <c r="B106" s="644"/>
      <c r="C106" s="644">
        <f t="shared" si="5"/>
        <v>1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46166</v>
      </c>
    </row>
    <row r="107">
      <c r="A107" s="644"/>
      <c r="B107" s="644"/>
      <c r="C107" s="644">
        <f t="shared" si="5"/>
        <v>1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46166</v>
      </c>
    </row>
    <row r="108">
      <c r="A108" s="644"/>
      <c r="B108" s="644"/>
      <c r="C108" s="644">
        <f t="shared" si="5"/>
        <v>1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46166</v>
      </c>
    </row>
    <row r="109">
      <c r="A109" s="644"/>
      <c r="B109" s="644"/>
      <c r="C109" s="644">
        <f t="shared" si="5"/>
        <v>1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46166</v>
      </c>
    </row>
    <row r="110">
      <c r="A110" s="644"/>
      <c r="B110" s="644"/>
      <c r="C110" s="644">
        <f t="shared" si="5"/>
        <v>1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46166</v>
      </c>
    </row>
    <row r="111">
      <c r="A111" s="644"/>
      <c r="B111" s="644"/>
      <c r="C111" s="644">
        <f t="shared" si="5"/>
        <v>1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46166</v>
      </c>
    </row>
    <row r="112">
      <c r="A112" s="644"/>
      <c r="B112" s="644"/>
      <c r="C112" s="644">
        <f t="shared" si="5"/>
        <v>1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46166</v>
      </c>
    </row>
    <row r="113">
      <c r="A113" s="644"/>
      <c r="B113" s="644"/>
      <c r="C113" s="644">
        <f t="shared" si="5"/>
        <v>1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46166</v>
      </c>
    </row>
    <row r="114">
      <c r="A114" s="644"/>
      <c r="B114" s="644"/>
      <c r="C114" s="644">
        <f t="shared" si="5"/>
        <v>1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46166</v>
      </c>
    </row>
    <row r="115">
      <c r="A115" s="644"/>
      <c r="B115" s="644"/>
      <c r="C115" s="644">
        <f t="shared" si="5"/>
        <v>1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46166</v>
      </c>
    </row>
    <row r="116">
      <c r="A116" s="644"/>
      <c r="B116" s="644"/>
      <c r="C116" s="644">
        <f t="shared" si="5"/>
        <v>1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46166</v>
      </c>
    </row>
    <row r="117">
      <c r="A117" s="644"/>
      <c r="B117" s="644"/>
      <c r="C117" s="644">
        <f t="shared" si="5"/>
        <v>1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46166</v>
      </c>
    </row>
    <row r="118">
      <c r="A118" s="644"/>
      <c r="B118" s="644"/>
      <c r="C118" s="644">
        <f t="shared" si="5"/>
        <v>1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46166</v>
      </c>
    </row>
    <row r="119">
      <c r="A119" s="644"/>
      <c r="B119" s="644"/>
      <c r="C119" s="644">
        <f t="shared" si="5"/>
        <v>1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46166</v>
      </c>
    </row>
    <row r="120">
      <c r="A120" s="644"/>
      <c r="B120" s="644"/>
      <c r="C120" s="644">
        <f t="shared" si="5"/>
        <v>1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46166</v>
      </c>
    </row>
    <row r="121">
      <c r="A121" s="644"/>
      <c r="B121" s="644"/>
      <c r="C121" s="644">
        <f t="shared" si="5"/>
        <v>1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46166</v>
      </c>
    </row>
    <row r="122">
      <c r="A122" s="644"/>
      <c r="B122" s="644"/>
      <c r="C122" s="644">
        <f t="shared" si="5"/>
        <v>1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46166</v>
      </c>
    </row>
    <row r="123">
      <c r="A123" s="644"/>
      <c r="B123" s="644"/>
      <c r="C123" s="644">
        <f t="shared" si="5"/>
        <v>1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46166</v>
      </c>
    </row>
    <row r="124">
      <c r="A124" s="644"/>
      <c r="B124" s="644"/>
      <c r="C124" s="644">
        <f t="shared" si="5"/>
        <v>1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46166</v>
      </c>
    </row>
    <row r="125">
      <c r="A125" s="644"/>
      <c r="B125" s="644"/>
      <c r="C125" s="644">
        <f t="shared" si="5"/>
        <v>1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46166</v>
      </c>
    </row>
    <row r="126">
      <c r="A126" s="644"/>
      <c r="B126" s="644"/>
      <c r="C126" s="644">
        <f t="shared" si="5"/>
        <v>1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46166</v>
      </c>
    </row>
    <row r="127">
      <c r="A127" s="644"/>
      <c r="B127" s="644"/>
      <c r="C127" s="644">
        <f t="shared" si="5"/>
        <v>1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46166</v>
      </c>
    </row>
    <row r="128">
      <c r="A128" s="644"/>
      <c r="B128" s="644"/>
      <c r="C128" s="644">
        <f t="shared" si="5"/>
        <v>1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46166</v>
      </c>
    </row>
    <row r="129">
      <c r="A129" s="644"/>
      <c r="B129" s="644"/>
      <c r="C129" s="644">
        <f t="shared" si="5"/>
        <v>1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46166</v>
      </c>
    </row>
    <row r="130">
      <c r="A130" s="644"/>
      <c r="B130" s="644"/>
      <c r="C130" s="644">
        <f t="shared" si="5"/>
        <v>1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46166</v>
      </c>
    </row>
    <row r="131">
      <c r="A131" s="644"/>
      <c r="B131" s="644"/>
      <c r="C131" s="644">
        <f t="shared" si="5"/>
        <v>1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46166</v>
      </c>
    </row>
    <row r="132">
      <c r="A132" s="644"/>
      <c r="B132" s="644"/>
      <c r="C132" s="644">
        <f t="shared" si="5"/>
        <v>1</v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46166</v>
      </c>
    </row>
    <row r="134">
      <c r="C134" s="771"/>
    </row>
    <row r="135">
      <c r="C135" s="772" t="s">
        <v>55</v>
      </c>
      <c r="D135" s="3">
        <f>SUMIF(F4:F132,C135,D4:D132)</f>
        <v>52000</v>
      </c>
    </row>
    <row r="136">
      <c r="C136" s="773" t="s">
        <v>527</v>
      </c>
      <c r="D136" s="3">
        <f>SUMIF(F4:F132,C136,D4:D132)</f>
        <v>4377000</v>
      </c>
    </row>
    <row r="137">
      <c r="C137" s="697" t="s">
        <v>28</v>
      </c>
      <c r="D137" s="3">
        <f>D135+D136</f>
        <v>4429000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2487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2488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45692.0</v>
      </c>
      <c r="C4" s="644">
        <f t="shared" ref="C4:C132" si="1">B4</f>
        <v>45692</v>
      </c>
      <c r="D4" s="643">
        <v>34900.0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475</v>
      </c>
      <c r="J4" s="768" t="s">
        <v>31</v>
      </c>
      <c r="K4" s="769">
        <f>D4+D5</f>
        <v>83500</v>
      </c>
    </row>
    <row r="5">
      <c r="A5" s="643"/>
      <c r="B5" s="644">
        <v>45709.0</v>
      </c>
      <c r="C5" s="644">
        <f t="shared" si="1"/>
        <v>45709</v>
      </c>
      <c r="D5" s="643">
        <v>48600.0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458</v>
      </c>
      <c r="J5" s="768" t="s">
        <v>35</v>
      </c>
      <c r="K5" s="770"/>
    </row>
    <row r="6">
      <c r="A6" s="643"/>
      <c r="B6" s="644">
        <v>45723.0</v>
      </c>
      <c r="C6" s="644">
        <f t="shared" si="1"/>
        <v>45723</v>
      </c>
      <c r="D6" s="643">
        <v>49700.0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444</v>
      </c>
      <c r="J6" s="768" t="s">
        <v>37</v>
      </c>
      <c r="K6" s="770"/>
    </row>
    <row r="7">
      <c r="A7" s="643"/>
      <c r="B7" s="644">
        <v>45733.0</v>
      </c>
      <c r="C7" s="644">
        <f t="shared" si="1"/>
        <v>45733</v>
      </c>
      <c r="D7" s="643">
        <v>35000.0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434</v>
      </c>
      <c r="J7" s="768" t="s">
        <v>39</v>
      </c>
      <c r="K7" s="770"/>
    </row>
    <row r="8">
      <c r="A8" s="643"/>
      <c r="B8" s="644">
        <v>45741.0</v>
      </c>
      <c r="C8" s="644">
        <f t="shared" si="1"/>
        <v>45741</v>
      </c>
      <c r="D8" s="643">
        <v>41800.0</v>
      </c>
      <c r="E8" s="645" t="b">
        <v>1</v>
      </c>
      <c r="F8" s="646" t="str">
        <f t="shared" si="2"/>
        <v>PAGADO</v>
      </c>
      <c r="G8" s="340" t="s">
        <v>2276</v>
      </c>
      <c r="H8" s="646" t="str">
        <f t="shared" si="3"/>
        <v>VENCIDA</v>
      </c>
      <c r="I8" s="647">
        <f t="shared" si="4"/>
        <v>426</v>
      </c>
      <c r="J8" s="768" t="s">
        <v>41</v>
      </c>
      <c r="K8" s="770"/>
    </row>
    <row r="9">
      <c r="A9" s="644"/>
      <c r="B9" s="644">
        <v>45762.0</v>
      </c>
      <c r="C9" s="644">
        <f t="shared" si="1"/>
        <v>45762</v>
      </c>
      <c r="D9" s="643">
        <v>39700.0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405</v>
      </c>
      <c r="J9" s="768" t="s">
        <v>42</v>
      </c>
      <c r="K9" s="770">
        <f t="shared" ref="K9:K10" si="5">D12</f>
        <v>99450</v>
      </c>
    </row>
    <row r="10">
      <c r="A10" s="644"/>
      <c r="B10" s="644">
        <v>45768.0</v>
      </c>
      <c r="C10" s="644">
        <f t="shared" si="1"/>
        <v>45768</v>
      </c>
      <c r="D10" s="643">
        <v>106080.0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399</v>
      </c>
      <c r="J10" s="768" t="s">
        <v>43</v>
      </c>
      <c r="K10" s="770">
        <f t="shared" si="5"/>
        <v>107737.5</v>
      </c>
    </row>
    <row r="11">
      <c r="A11" s="644"/>
      <c r="B11" s="644">
        <v>45803.0</v>
      </c>
      <c r="C11" s="644">
        <f t="shared" si="1"/>
        <v>45803</v>
      </c>
      <c r="D11" s="643">
        <v>106080.0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364</v>
      </c>
      <c r="J11" s="768" t="s">
        <v>45</v>
      </c>
      <c r="K11" s="770"/>
    </row>
    <row r="12">
      <c r="A12" s="644"/>
      <c r="B12" s="644">
        <v>45839.0</v>
      </c>
      <c r="C12" s="644">
        <f t="shared" si="1"/>
        <v>45839</v>
      </c>
      <c r="D12" s="643">
        <v>99450.0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4"/>
        <v>328</v>
      </c>
      <c r="J12" s="768" t="s">
        <v>49</v>
      </c>
      <c r="K12" s="770"/>
    </row>
    <row r="13">
      <c r="A13" s="644"/>
      <c r="B13" s="644">
        <v>45876.0</v>
      </c>
      <c r="C13" s="644">
        <f t="shared" si="1"/>
        <v>45876</v>
      </c>
      <c r="D13" s="643">
        <v>107737.5</v>
      </c>
      <c r="E13" s="645" t="b">
        <v>1</v>
      </c>
      <c r="F13" s="646" t="str">
        <f t="shared" si="2"/>
        <v>PAGADO</v>
      </c>
      <c r="G13" s="340" t="s">
        <v>2276</v>
      </c>
      <c r="H13" s="646" t="str">
        <f t="shared" si="3"/>
        <v>VENCIDA</v>
      </c>
      <c r="I13" s="647">
        <f t="shared" si="4"/>
        <v>291</v>
      </c>
      <c r="J13" s="768" t="s">
        <v>50</v>
      </c>
      <c r="K13" s="770"/>
    </row>
    <row r="14">
      <c r="A14" s="644"/>
      <c r="B14" s="644">
        <v>45912.0</v>
      </c>
      <c r="C14" s="644">
        <f t="shared" si="1"/>
        <v>45912</v>
      </c>
      <c r="D14" s="643">
        <v>120334.5</v>
      </c>
      <c r="E14" s="645" t="b">
        <v>1</v>
      </c>
      <c r="F14" s="646" t="str">
        <f t="shared" si="2"/>
        <v>PAGADO</v>
      </c>
      <c r="G14" s="340" t="s">
        <v>2276</v>
      </c>
      <c r="H14" s="646" t="str">
        <f t="shared" si="3"/>
        <v>VENCIDA</v>
      </c>
      <c r="I14" s="647">
        <f t="shared" si="4"/>
        <v>255</v>
      </c>
      <c r="J14" s="768" t="s">
        <v>51</v>
      </c>
      <c r="K14" s="770"/>
    </row>
    <row r="15">
      <c r="A15" s="643">
        <v>2091.0</v>
      </c>
      <c r="B15" s="644">
        <v>45953.0</v>
      </c>
      <c r="C15" s="644">
        <f t="shared" si="1"/>
        <v>45953</v>
      </c>
      <c r="D15" s="643">
        <v>124312.5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4"/>
        <v>214</v>
      </c>
    </row>
    <row r="16">
      <c r="A16" s="643">
        <v>2418.0</v>
      </c>
      <c r="B16" s="644">
        <v>45989.0</v>
      </c>
      <c r="C16" s="644">
        <f t="shared" si="1"/>
        <v>45989</v>
      </c>
      <c r="D16" s="643">
        <v>130942.5</v>
      </c>
      <c r="E16" s="654" t="b">
        <v>1</v>
      </c>
      <c r="F16" s="646" t="str">
        <f t="shared" si="2"/>
        <v>PAGADO</v>
      </c>
      <c r="G16" s="340" t="s">
        <v>2276</v>
      </c>
      <c r="H16" s="646" t="str">
        <f t="shared" si="3"/>
        <v>VENCIDA</v>
      </c>
      <c r="I16" s="647">
        <f t="shared" si="4"/>
        <v>178</v>
      </c>
      <c r="K16" s="318"/>
    </row>
    <row r="17">
      <c r="A17" s="643">
        <v>2836.0</v>
      </c>
      <c r="B17" s="644">
        <v>46037.0</v>
      </c>
      <c r="C17" s="644">
        <f t="shared" si="1"/>
        <v>46037</v>
      </c>
      <c r="D17" s="643">
        <v>167628.5</v>
      </c>
      <c r="E17" s="654" t="b">
        <v>1</v>
      </c>
      <c r="F17" s="646" t="str">
        <f t="shared" si="2"/>
        <v>PAGADO</v>
      </c>
      <c r="G17" s="340" t="s">
        <v>2276</v>
      </c>
      <c r="H17" s="646" t="str">
        <f t="shared" si="3"/>
        <v>VENCIDA</v>
      </c>
      <c r="I17" s="647">
        <f t="shared" si="4"/>
        <v>130</v>
      </c>
    </row>
    <row r="18">
      <c r="A18" s="644"/>
      <c r="B18" s="644">
        <v>46090.0</v>
      </c>
      <c r="C18" s="644">
        <f t="shared" si="1"/>
        <v>46090</v>
      </c>
      <c r="D18" s="643">
        <v>149900.0</v>
      </c>
      <c r="E18" s="654" t="b">
        <v>1</v>
      </c>
      <c r="F18" s="646" t="str">
        <f t="shared" si="2"/>
        <v>PAGADO</v>
      </c>
      <c r="G18" s="340" t="s">
        <v>2287</v>
      </c>
      <c r="H18" s="646" t="str">
        <f t="shared" si="3"/>
        <v>VENCIDA</v>
      </c>
      <c r="I18" s="647">
        <f t="shared" si="4"/>
        <v>77</v>
      </c>
    </row>
    <row r="19">
      <c r="A19" s="644"/>
      <c r="B19" s="644"/>
      <c r="C19" s="644" t="str">
        <f t="shared" si="1"/>
        <v/>
      </c>
      <c r="D19" s="643"/>
      <c r="E19" s="658" t="b">
        <v>0</v>
      </c>
      <c r="F19" s="646" t="str">
        <f t="shared" si="2"/>
        <v>ADEUDA</v>
      </c>
      <c r="G19" s="340" t="s">
        <v>2278</v>
      </c>
      <c r="H19" s="646" t="str">
        <f t="shared" si="3"/>
        <v>VENCIDA</v>
      </c>
      <c r="I19" s="647">
        <f t="shared" si="4"/>
        <v>46167</v>
      </c>
    </row>
    <row r="20">
      <c r="A20" s="644"/>
      <c r="B20" s="644"/>
      <c r="C20" s="644" t="str">
        <f t="shared" si="1"/>
        <v/>
      </c>
      <c r="D20" s="643"/>
      <c r="E20" s="658" t="b">
        <v>0</v>
      </c>
      <c r="F20" s="646" t="str">
        <f t="shared" si="2"/>
        <v>ADEUDA</v>
      </c>
      <c r="G20" s="340" t="s">
        <v>2278</v>
      </c>
      <c r="H20" s="646" t="str">
        <f t="shared" si="3"/>
        <v>VENCIDA</v>
      </c>
      <c r="I20" s="647">
        <f t="shared" si="4"/>
        <v>46167</v>
      </c>
    </row>
    <row r="21">
      <c r="A21" s="644"/>
      <c r="B21" s="644"/>
      <c r="C21" s="644" t="str">
        <f t="shared" si="1"/>
        <v/>
      </c>
      <c r="D21" s="643"/>
      <c r="E21" s="658" t="b">
        <v>0</v>
      </c>
      <c r="F21" s="646" t="str">
        <f t="shared" si="2"/>
        <v>ADEUDA</v>
      </c>
      <c r="G21" s="340" t="s">
        <v>2278</v>
      </c>
      <c r="H21" s="646" t="str">
        <f t="shared" si="3"/>
        <v>VENCIDA</v>
      </c>
      <c r="I21" s="647">
        <f t="shared" si="4"/>
        <v>46167</v>
      </c>
    </row>
    <row r="22">
      <c r="A22" s="644"/>
      <c r="B22" s="644"/>
      <c r="C22" s="644" t="str">
        <f t="shared" si="1"/>
        <v/>
      </c>
      <c r="D22" s="643"/>
      <c r="E22" s="658" t="b">
        <v>0</v>
      </c>
      <c r="F22" s="646" t="str">
        <f t="shared" si="2"/>
        <v>ADEUDA</v>
      </c>
      <c r="G22" s="340" t="s">
        <v>2278</v>
      </c>
      <c r="H22" s="646" t="str">
        <f t="shared" si="3"/>
        <v>VENCIDA</v>
      </c>
      <c r="I22" s="647">
        <f t="shared" si="4"/>
        <v>46167</v>
      </c>
    </row>
    <row r="23">
      <c r="A23" s="644"/>
      <c r="B23" s="644"/>
      <c r="C23" s="644" t="str">
        <f t="shared" si="1"/>
        <v/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4"/>
        <v>46167</v>
      </c>
    </row>
    <row r="24">
      <c r="A24" s="644"/>
      <c r="B24" s="644"/>
      <c r="C24" s="644" t="str">
        <f t="shared" si="1"/>
        <v/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4"/>
        <v>46167</v>
      </c>
    </row>
    <row r="25">
      <c r="A25" s="644"/>
      <c r="B25" s="644"/>
      <c r="C25" s="644" t="str">
        <f t="shared" si="1"/>
        <v/>
      </c>
      <c r="D25" s="643"/>
      <c r="E25" s="658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4"/>
        <v>46167</v>
      </c>
    </row>
    <row r="26">
      <c r="A26" s="644"/>
      <c r="B26" s="644"/>
      <c r="C26" s="644" t="str">
        <f t="shared" si="1"/>
        <v/>
      </c>
      <c r="D26" s="643"/>
      <c r="E26" s="645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4"/>
        <v>46167</v>
      </c>
    </row>
    <row r="27">
      <c r="A27" s="644"/>
      <c r="B27" s="644"/>
      <c r="C27" s="644" t="str">
        <f t="shared" si="1"/>
        <v/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46167</v>
      </c>
    </row>
    <row r="28">
      <c r="A28" s="644"/>
      <c r="B28" s="644"/>
      <c r="C28" s="644" t="str">
        <f t="shared" si="1"/>
        <v/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46167</v>
      </c>
    </row>
    <row r="29">
      <c r="A29" s="644"/>
      <c r="B29" s="644"/>
      <c r="C29" s="644" t="str">
        <f t="shared" si="1"/>
        <v/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46167</v>
      </c>
    </row>
    <row r="30">
      <c r="A30" s="644"/>
      <c r="B30" s="644"/>
      <c r="C30" s="644" t="str">
        <f t="shared" si="1"/>
        <v/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46167</v>
      </c>
    </row>
    <row r="31">
      <c r="A31" s="644"/>
      <c r="B31" s="644"/>
      <c r="C31" s="644" t="str">
        <f t="shared" si="1"/>
        <v/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46167</v>
      </c>
    </row>
    <row r="32">
      <c r="A32" s="644"/>
      <c r="B32" s="644"/>
      <c r="C32" s="644" t="str">
        <f t="shared" si="1"/>
        <v/>
      </c>
      <c r="D32" s="643"/>
      <c r="E32" s="645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46167</v>
      </c>
    </row>
    <row r="33">
      <c r="A33" s="644"/>
      <c r="B33" s="644"/>
      <c r="C33" s="644" t="str">
        <f t="shared" si="1"/>
        <v/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46167</v>
      </c>
    </row>
    <row r="34">
      <c r="A34" s="644"/>
      <c r="B34" s="644"/>
      <c r="C34" s="644" t="str">
        <f t="shared" si="1"/>
        <v/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46167</v>
      </c>
    </row>
    <row r="35">
      <c r="A35" s="644"/>
      <c r="B35" s="644"/>
      <c r="C35" s="644" t="str">
        <f t="shared" si="1"/>
        <v/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46167</v>
      </c>
    </row>
    <row r="36">
      <c r="A36" s="644"/>
      <c r="B36" s="644"/>
      <c r="C36" s="644" t="str">
        <f t="shared" si="1"/>
        <v/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46167</v>
      </c>
    </row>
    <row r="37">
      <c r="A37" s="644"/>
      <c r="B37" s="644"/>
      <c r="C37" s="644" t="str">
        <f t="shared" si="1"/>
        <v/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46167</v>
      </c>
    </row>
    <row r="38">
      <c r="A38" s="644"/>
      <c r="B38" s="644"/>
      <c r="C38" s="644" t="str">
        <f t="shared" si="1"/>
        <v/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46167</v>
      </c>
    </row>
    <row r="39">
      <c r="A39" s="644"/>
      <c r="B39" s="644"/>
      <c r="C39" s="644" t="str">
        <f t="shared" si="1"/>
        <v/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46167</v>
      </c>
    </row>
    <row r="40">
      <c r="A40" s="644"/>
      <c r="B40" s="644"/>
      <c r="C40" s="644" t="str">
        <f t="shared" si="1"/>
        <v/>
      </c>
      <c r="D40" s="643"/>
      <c r="E40" s="645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46167</v>
      </c>
    </row>
    <row r="41">
      <c r="A41" s="644"/>
      <c r="B41" s="644"/>
      <c r="C41" s="644" t="str">
        <f t="shared" si="1"/>
        <v/>
      </c>
      <c r="D41" s="643"/>
      <c r="E41" s="645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46167</v>
      </c>
    </row>
    <row r="42">
      <c r="A42" s="644"/>
      <c r="B42" s="644"/>
      <c r="C42" s="644" t="str">
        <f t="shared" si="1"/>
        <v/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46167</v>
      </c>
    </row>
    <row r="43">
      <c r="A43" s="644"/>
      <c r="B43" s="644"/>
      <c r="C43" s="644" t="str">
        <f t="shared" si="1"/>
        <v/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46167</v>
      </c>
    </row>
    <row r="44">
      <c r="A44" s="644"/>
      <c r="B44" s="644"/>
      <c r="C44" s="644" t="str">
        <f t="shared" si="1"/>
        <v/>
      </c>
      <c r="D44" s="643"/>
      <c r="E44" s="645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46167</v>
      </c>
    </row>
    <row r="45">
      <c r="A45" s="644"/>
      <c r="B45" s="644"/>
      <c r="C45" s="644" t="str">
        <f t="shared" si="1"/>
        <v/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46167</v>
      </c>
    </row>
    <row r="46">
      <c r="A46" s="644"/>
      <c r="B46" s="644"/>
      <c r="C46" s="644" t="str">
        <f t="shared" si="1"/>
        <v/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46167</v>
      </c>
    </row>
    <row r="47">
      <c r="A47" s="644"/>
      <c r="B47" s="644"/>
      <c r="C47" s="644" t="str">
        <f t="shared" si="1"/>
        <v/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46167</v>
      </c>
    </row>
    <row r="48">
      <c r="A48" s="644"/>
      <c r="B48" s="644"/>
      <c r="C48" s="644" t="str">
        <f t="shared" si="1"/>
        <v/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46167</v>
      </c>
    </row>
    <row r="49">
      <c r="A49" s="644"/>
      <c r="B49" s="644"/>
      <c r="C49" s="644" t="str">
        <f t="shared" si="1"/>
        <v/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46167</v>
      </c>
    </row>
    <row r="50">
      <c r="A50" s="644"/>
      <c r="B50" s="644"/>
      <c r="C50" s="644" t="str">
        <f t="shared" si="1"/>
        <v/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46167</v>
      </c>
    </row>
    <row r="51">
      <c r="A51" s="644"/>
      <c r="B51" s="644"/>
      <c r="C51" s="644" t="str">
        <f t="shared" si="1"/>
        <v/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46167</v>
      </c>
    </row>
    <row r="52">
      <c r="A52" s="644"/>
      <c r="B52" s="644"/>
      <c r="C52" s="644" t="str">
        <f t="shared" si="1"/>
        <v/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46167</v>
      </c>
    </row>
    <row r="53">
      <c r="A53" s="644"/>
      <c r="B53" s="644"/>
      <c r="C53" s="644" t="str">
        <f t="shared" si="1"/>
        <v/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46167</v>
      </c>
    </row>
    <row r="54">
      <c r="A54" s="644"/>
      <c r="B54" s="644"/>
      <c r="C54" s="644" t="str">
        <f t="shared" si="1"/>
        <v/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46167</v>
      </c>
    </row>
    <row r="55">
      <c r="A55" s="644"/>
      <c r="B55" s="644"/>
      <c r="C55" s="644" t="str">
        <f t="shared" si="1"/>
        <v/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46167</v>
      </c>
    </row>
    <row r="56">
      <c r="A56" s="644"/>
      <c r="B56" s="644"/>
      <c r="C56" s="644" t="str">
        <f t="shared" si="1"/>
        <v/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46167</v>
      </c>
    </row>
    <row r="57">
      <c r="A57" s="644"/>
      <c r="B57" s="644"/>
      <c r="C57" s="644" t="str">
        <f t="shared" si="1"/>
        <v/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46167</v>
      </c>
    </row>
    <row r="58">
      <c r="A58" s="644"/>
      <c r="B58" s="644"/>
      <c r="C58" s="644" t="str">
        <f t="shared" si="1"/>
        <v/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46167</v>
      </c>
    </row>
    <row r="59">
      <c r="A59" s="644"/>
      <c r="B59" s="644"/>
      <c r="C59" s="644" t="str">
        <f t="shared" si="1"/>
        <v/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46167</v>
      </c>
    </row>
    <row r="60">
      <c r="A60" s="644"/>
      <c r="B60" s="644"/>
      <c r="C60" s="644" t="str">
        <f t="shared" si="1"/>
        <v/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46167</v>
      </c>
    </row>
    <row r="61">
      <c r="A61" s="644"/>
      <c r="B61" s="644"/>
      <c r="C61" s="644" t="str">
        <f t="shared" si="1"/>
        <v/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46167</v>
      </c>
    </row>
    <row r="62">
      <c r="A62" s="644"/>
      <c r="B62" s="644"/>
      <c r="C62" s="644" t="str">
        <f t="shared" si="1"/>
        <v/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46167</v>
      </c>
    </row>
    <row r="63">
      <c r="A63" s="644"/>
      <c r="B63" s="644"/>
      <c r="C63" s="644" t="str">
        <f t="shared" si="1"/>
        <v/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46167</v>
      </c>
    </row>
    <row r="64">
      <c r="A64" s="644"/>
      <c r="B64" s="644"/>
      <c r="C64" s="644" t="str">
        <f t="shared" si="1"/>
        <v/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46167</v>
      </c>
    </row>
    <row r="65">
      <c r="A65" s="644"/>
      <c r="B65" s="644"/>
      <c r="C65" s="644" t="str">
        <f t="shared" si="1"/>
        <v/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46167</v>
      </c>
    </row>
    <row r="66">
      <c r="A66" s="644"/>
      <c r="B66" s="644"/>
      <c r="C66" s="644" t="str">
        <f t="shared" si="1"/>
        <v/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46167</v>
      </c>
    </row>
    <row r="67">
      <c r="A67" s="644"/>
      <c r="B67" s="644"/>
      <c r="C67" s="644" t="str">
        <f t="shared" si="1"/>
        <v/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46167</v>
      </c>
    </row>
    <row r="68">
      <c r="A68" s="644"/>
      <c r="B68" s="644"/>
      <c r="C68" s="644" t="str">
        <f t="shared" si="1"/>
        <v/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46167</v>
      </c>
    </row>
    <row r="69">
      <c r="A69" s="644"/>
      <c r="B69" s="644"/>
      <c r="C69" s="644" t="str">
        <f t="shared" si="1"/>
        <v/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46167</v>
      </c>
    </row>
    <row r="70">
      <c r="A70" s="644"/>
      <c r="B70" s="644"/>
      <c r="C70" s="644" t="str">
        <f t="shared" si="1"/>
        <v/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46167</v>
      </c>
    </row>
    <row r="71">
      <c r="A71" s="644"/>
      <c r="B71" s="644"/>
      <c r="C71" s="644" t="str">
        <f t="shared" si="1"/>
        <v/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46167</v>
      </c>
    </row>
    <row r="72">
      <c r="A72" s="644"/>
      <c r="B72" s="644"/>
      <c r="C72" s="644" t="str">
        <f t="shared" si="1"/>
        <v/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46167</v>
      </c>
    </row>
    <row r="73">
      <c r="A73" s="644"/>
      <c r="B73" s="644"/>
      <c r="C73" s="644" t="str">
        <f t="shared" si="1"/>
        <v/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46167</v>
      </c>
    </row>
    <row r="74">
      <c r="A74" s="644"/>
      <c r="B74" s="644"/>
      <c r="C74" s="644" t="str">
        <f t="shared" si="1"/>
        <v/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46167</v>
      </c>
    </row>
    <row r="75">
      <c r="A75" s="644"/>
      <c r="B75" s="644"/>
      <c r="C75" s="644" t="str">
        <f t="shared" si="1"/>
        <v/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46167</v>
      </c>
    </row>
    <row r="76">
      <c r="A76" s="644"/>
      <c r="B76" s="644"/>
      <c r="C76" s="644" t="str">
        <f t="shared" si="1"/>
        <v/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46167</v>
      </c>
    </row>
    <row r="77">
      <c r="A77" s="644"/>
      <c r="B77" s="644"/>
      <c r="C77" s="644" t="str">
        <f t="shared" si="1"/>
        <v/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46167</v>
      </c>
    </row>
    <row r="78">
      <c r="A78" s="644"/>
      <c r="B78" s="644"/>
      <c r="C78" s="644" t="str">
        <f t="shared" si="1"/>
        <v/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46167</v>
      </c>
    </row>
    <row r="79">
      <c r="A79" s="644"/>
      <c r="B79" s="644"/>
      <c r="C79" s="644" t="str">
        <f t="shared" si="1"/>
        <v/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46167</v>
      </c>
    </row>
    <row r="80">
      <c r="A80" s="644"/>
      <c r="B80" s="644"/>
      <c r="C80" s="644" t="str">
        <f t="shared" si="1"/>
        <v/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46167</v>
      </c>
    </row>
    <row r="81">
      <c r="A81" s="644"/>
      <c r="B81" s="644"/>
      <c r="C81" s="644" t="str">
        <f t="shared" si="1"/>
        <v/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46167</v>
      </c>
    </row>
    <row r="82">
      <c r="A82" s="644"/>
      <c r="B82" s="644"/>
      <c r="C82" s="644" t="str">
        <f t="shared" si="1"/>
        <v/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46167</v>
      </c>
    </row>
    <row r="83">
      <c r="A83" s="644"/>
      <c r="B83" s="644"/>
      <c r="C83" s="644" t="str">
        <f t="shared" si="1"/>
        <v/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46167</v>
      </c>
    </row>
    <row r="84">
      <c r="A84" s="644"/>
      <c r="B84" s="644"/>
      <c r="C84" s="644" t="str">
        <f t="shared" si="1"/>
        <v/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46167</v>
      </c>
    </row>
    <row r="85">
      <c r="A85" s="644"/>
      <c r="B85" s="644"/>
      <c r="C85" s="644" t="str">
        <f t="shared" si="1"/>
        <v/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46167</v>
      </c>
    </row>
    <row r="86">
      <c r="A86" s="644"/>
      <c r="B86" s="644"/>
      <c r="C86" s="644" t="str">
        <f t="shared" si="1"/>
        <v/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46167</v>
      </c>
    </row>
    <row r="87">
      <c r="A87" s="644"/>
      <c r="B87" s="644"/>
      <c r="C87" s="644" t="str">
        <f t="shared" si="1"/>
        <v/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46167</v>
      </c>
    </row>
    <row r="88">
      <c r="A88" s="644"/>
      <c r="B88" s="644"/>
      <c r="C88" s="644" t="str">
        <f t="shared" si="1"/>
        <v/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46167</v>
      </c>
    </row>
    <row r="89">
      <c r="A89" s="644"/>
      <c r="B89" s="644"/>
      <c r="C89" s="644" t="str">
        <f t="shared" si="1"/>
        <v/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46167</v>
      </c>
    </row>
    <row r="90">
      <c r="A90" s="644"/>
      <c r="B90" s="644"/>
      <c r="C90" s="644" t="str">
        <f t="shared" si="1"/>
        <v/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46167</v>
      </c>
    </row>
    <row r="91">
      <c r="A91" s="644"/>
      <c r="B91" s="644"/>
      <c r="C91" s="644" t="str">
        <f t="shared" si="1"/>
        <v/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46167</v>
      </c>
    </row>
    <row r="92">
      <c r="A92" s="644"/>
      <c r="B92" s="644"/>
      <c r="C92" s="644" t="str">
        <f t="shared" si="1"/>
        <v/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46167</v>
      </c>
    </row>
    <row r="93">
      <c r="A93" s="644"/>
      <c r="B93" s="644"/>
      <c r="C93" s="644" t="str">
        <f t="shared" si="1"/>
        <v/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46167</v>
      </c>
    </row>
    <row r="94">
      <c r="A94" s="644"/>
      <c r="B94" s="644"/>
      <c r="C94" s="644" t="str">
        <f t="shared" si="1"/>
        <v/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46167</v>
      </c>
    </row>
    <row r="95">
      <c r="A95" s="644"/>
      <c r="B95" s="644"/>
      <c r="C95" s="644" t="str">
        <f t="shared" si="1"/>
        <v/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46167</v>
      </c>
    </row>
    <row r="96">
      <c r="A96" s="644"/>
      <c r="B96" s="644"/>
      <c r="C96" s="644" t="str">
        <f t="shared" si="1"/>
        <v/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46167</v>
      </c>
    </row>
    <row r="97">
      <c r="A97" s="644"/>
      <c r="B97" s="644"/>
      <c r="C97" s="644" t="str">
        <f t="shared" si="1"/>
        <v/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46167</v>
      </c>
    </row>
    <row r="98">
      <c r="A98" s="644"/>
      <c r="B98" s="644"/>
      <c r="C98" s="644" t="str">
        <f t="shared" si="1"/>
        <v/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46167</v>
      </c>
    </row>
    <row r="99">
      <c r="A99" s="644"/>
      <c r="B99" s="644"/>
      <c r="C99" s="644" t="str">
        <f t="shared" si="1"/>
        <v/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46167</v>
      </c>
    </row>
    <row r="100">
      <c r="A100" s="644"/>
      <c r="B100" s="644"/>
      <c r="C100" s="644" t="str">
        <f t="shared" si="1"/>
        <v/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46167</v>
      </c>
    </row>
    <row r="101">
      <c r="A101" s="644"/>
      <c r="B101" s="644"/>
      <c r="C101" s="644" t="str">
        <f t="shared" si="1"/>
        <v/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46167</v>
      </c>
    </row>
    <row r="102">
      <c r="A102" s="644"/>
      <c r="B102" s="644"/>
      <c r="C102" s="644" t="str">
        <f t="shared" si="1"/>
        <v/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46167</v>
      </c>
    </row>
    <row r="103">
      <c r="A103" s="644"/>
      <c r="B103" s="644"/>
      <c r="C103" s="644" t="str">
        <f t="shared" si="1"/>
        <v/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46167</v>
      </c>
    </row>
    <row r="104">
      <c r="A104" s="644"/>
      <c r="B104" s="644"/>
      <c r="C104" s="644" t="str">
        <f t="shared" si="1"/>
        <v/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46167</v>
      </c>
    </row>
    <row r="105">
      <c r="A105" s="644"/>
      <c r="B105" s="644"/>
      <c r="C105" s="644" t="str">
        <f t="shared" si="1"/>
        <v/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46167</v>
      </c>
    </row>
    <row r="106">
      <c r="A106" s="644"/>
      <c r="B106" s="644"/>
      <c r="C106" s="644" t="str">
        <f t="shared" si="1"/>
        <v/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46167</v>
      </c>
    </row>
    <row r="107">
      <c r="A107" s="644"/>
      <c r="B107" s="644"/>
      <c r="C107" s="644" t="str">
        <f t="shared" si="1"/>
        <v/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46167</v>
      </c>
    </row>
    <row r="108">
      <c r="A108" s="644"/>
      <c r="B108" s="644"/>
      <c r="C108" s="644" t="str">
        <f t="shared" si="1"/>
        <v/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46167</v>
      </c>
    </row>
    <row r="109">
      <c r="A109" s="644"/>
      <c r="B109" s="644"/>
      <c r="C109" s="644" t="str">
        <f t="shared" si="1"/>
        <v/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46167</v>
      </c>
    </row>
    <row r="110">
      <c r="A110" s="644"/>
      <c r="B110" s="644"/>
      <c r="C110" s="644" t="str">
        <f t="shared" si="1"/>
        <v/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46167</v>
      </c>
    </row>
    <row r="111">
      <c r="A111" s="644"/>
      <c r="B111" s="644"/>
      <c r="C111" s="644" t="str">
        <f t="shared" si="1"/>
        <v/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46167</v>
      </c>
    </row>
    <row r="112">
      <c r="A112" s="644"/>
      <c r="B112" s="644"/>
      <c r="C112" s="644" t="str">
        <f t="shared" si="1"/>
        <v/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46167</v>
      </c>
    </row>
    <row r="113">
      <c r="A113" s="644"/>
      <c r="B113" s="644"/>
      <c r="C113" s="644" t="str">
        <f t="shared" si="1"/>
        <v/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46167</v>
      </c>
    </row>
    <row r="114">
      <c r="A114" s="644"/>
      <c r="B114" s="644"/>
      <c r="C114" s="644" t="str">
        <f t="shared" si="1"/>
        <v/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46167</v>
      </c>
    </row>
    <row r="115">
      <c r="A115" s="644"/>
      <c r="B115" s="644"/>
      <c r="C115" s="644" t="str">
        <f t="shared" si="1"/>
        <v/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46167</v>
      </c>
    </row>
    <row r="116">
      <c r="A116" s="644"/>
      <c r="B116" s="644"/>
      <c r="C116" s="644" t="str">
        <f t="shared" si="1"/>
        <v/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46167</v>
      </c>
    </row>
    <row r="117">
      <c r="A117" s="644"/>
      <c r="B117" s="644"/>
      <c r="C117" s="644" t="str">
        <f t="shared" si="1"/>
        <v/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46167</v>
      </c>
    </row>
    <row r="118">
      <c r="A118" s="644"/>
      <c r="B118" s="644"/>
      <c r="C118" s="644" t="str">
        <f t="shared" si="1"/>
        <v/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46167</v>
      </c>
    </row>
    <row r="119">
      <c r="A119" s="644"/>
      <c r="B119" s="644"/>
      <c r="C119" s="644" t="str">
        <f t="shared" si="1"/>
        <v/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46167</v>
      </c>
    </row>
    <row r="120">
      <c r="A120" s="644"/>
      <c r="B120" s="644"/>
      <c r="C120" s="644" t="str">
        <f t="shared" si="1"/>
        <v/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46167</v>
      </c>
    </row>
    <row r="121">
      <c r="A121" s="644"/>
      <c r="B121" s="644"/>
      <c r="C121" s="644" t="str">
        <f t="shared" si="1"/>
        <v/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46167</v>
      </c>
    </row>
    <row r="122">
      <c r="A122" s="644"/>
      <c r="B122" s="644"/>
      <c r="C122" s="644" t="str">
        <f t="shared" si="1"/>
        <v/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46167</v>
      </c>
    </row>
    <row r="123">
      <c r="A123" s="644"/>
      <c r="B123" s="644"/>
      <c r="C123" s="644" t="str">
        <f t="shared" si="1"/>
        <v/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46167</v>
      </c>
    </row>
    <row r="124">
      <c r="A124" s="644"/>
      <c r="B124" s="644"/>
      <c r="C124" s="644" t="str">
        <f t="shared" si="1"/>
        <v/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46167</v>
      </c>
    </row>
    <row r="125">
      <c r="A125" s="644"/>
      <c r="B125" s="644"/>
      <c r="C125" s="644" t="str">
        <f t="shared" si="1"/>
        <v/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46167</v>
      </c>
    </row>
    <row r="126">
      <c r="A126" s="644"/>
      <c r="B126" s="644"/>
      <c r="C126" s="644" t="str">
        <f t="shared" si="1"/>
        <v/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46167</v>
      </c>
    </row>
    <row r="127">
      <c r="A127" s="644"/>
      <c r="B127" s="644"/>
      <c r="C127" s="644" t="str">
        <f t="shared" si="1"/>
        <v/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46167</v>
      </c>
    </row>
    <row r="128">
      <c r="A128" s="644"/>
      <c r="B128" s="644"/>
      <c r="C128" s="644" t="str">
        <f t="shared" si="1"/>
        <v/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46167</v>
      </c>
    </row>
    <row r="129">
      <c r="A129" s="644"/>
      <c r="B129" s="644"/>
      <c r="C129" s="644" t="str">
        <f t="shared" si="1"/>
        <v/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46167</v>
      </c>
    </row>
    <row r="130">
      <c r="A130" s="644"/>
      <c r="B130" s="644"/>
      <c r="C130" s="644" t="str">
        <f t="shared" si="1"/>
        <v/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46167</v>
      </c>
    </row>
    <row r="131">
      <c r="A131" s="644"/>
      <c r="B131" s="644"/>
      <c r="C131" s="644" t="str">
        <f t="shared" si="1"/>
        <v/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46167</v>
      </c>
    </row>
    <row r="132">
      <c r="A132" s="644"/>
      <c r="B132" s="644"/>
      <c r="C132" s="644" t="str">
        <f t="shared" si="1"/>
        <v/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46167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1362165.5</v>
      </c>
    </row>
    <row r="137">
      <c r="C137" s="697" t="s">
        <v>28</v>
      </c>
      <c r="D137" s="3">
        <f>D135+D136</f>
        <v>1362165.5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2489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2490</v>
      </c>
      <c r="B2" s="636"/>
      <c r="C2" s="636"/>
      <c r="D2" s="636"/>
      <c r="E2" s="636"/>
      <c r="F2" s="636"/>
      <c r="G2" s="636"/>
      <c r="H2" s="636"/>
      <c r="I2" s="785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45729.0</v>
      </c>
      <c r="C4" s="644">
        <f>B4</f>
        <v>45729</v>
      </c>
      <c r="D4" s="643">
        <v>59600.0</v>
      </c>
      <c r="E4" s="645" t="b">
        <v>1</v>
      </c>
      <c r="F4" s="646" t="str">
        <f t="shared" ref="F4:F132" si="1">IF(E4,"PAGADO","ADEUDA")</f>
        <v>PAGADO</v>
      </c>
      <c r="G4" s="340" t="s">
        <v>2276</v>
      </c>
      <c r="H4" s="646" t="str">
        <f t="shared" ref="H4:H132" si="2">IF(C4&lt;TODAY(),"VENCIDA",IF(C4=TODAY(),"VENCE HOY",IF(C4&gt;TODAY(),"VIGENTE")))</f>
        <v>VENCIDA</v>
      </c>
      <c r="I4" s="647">
        <f t="shared" ref="I4:I132" si="3">TODAY()-C4</f>
        <v>438</v>
      </c>
      <c r="J4" s="768" t="s">
        <v>31</v>
      </c>
      <c r="K4" s="769"/>
    </row>
    <row r="5">
      <c r="A5" s="643"/>
      <c r="B5" s="644">
        <v>45751.0</v>
      </c>
      <c r="C5" s="644">
        <v>45751.0</v>
      </c>
      <c r="D5" s="643">
        <v>62000.0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416</v>
      </c>
      <c r="J5" s="768" t="s">
        <v>35</v>
      </c>
      <c r="K5" s="770"/>
    </row>
    <row r="6">
      <c r="A6" s="643"/>
      <c r="B6" s="644">
        <v>45777.0</v>
      </c>
      <c r="C6" s="644">
        <v>45777.0</v>
      </c>
      <c r="D6" s="643">
        <v>70000.0</v>
      </c>
      <c r="E6" s="645" t="b">
        <v>1</v>
      </c>
      <c r="F6" s="646" t="str">
        <f t="shared" si="1"/>
        <v>PAGADO</v>
      </c>
      <c r="G6" s="340" t="s">
        <v>2276</v>
      </c>
      <c r="H6" s="646" t="str">
        <f t="shared" si="2"/>
        <v>VENCIDA</v>
      </c>
      <c r="I6" s="647">
        <f t="shared" si="3"/>
        <v>390</v>
      </c>
      <c r="J6" s="768" t="s">
        <v>37</v>
      </c>
      <c r="K6" s="770"/>
    </row>
    <row r="7">
      <c r="A7" s="643"/>
      <c r="B7" s="644">
        <v>45785.0</v>
      </c>
      <c r="C7" s="644">
        <f t="shared" ref="C7:C132" si="4">B7</f>
        <v>45785</v>
      </c>
      <c r="D7" s="643">
        <v>35000.0</v>
      </c>
      <c r="E7" s="645" t="b">
        <v>1</v>
      </c>
      <c r="F7" s="646" t="str">
        <f t="shared" si="1"/>
        <v>PAGADO</v>
      </c>
      <c r="G7" s="340" t="s">
        <v>2276</v>
      </c>
      <c r="H7" s="646" t="str">
        <f t="shared" si="2"/>
        <v>VENCIDA</v>
      </c>
      <c r="I7" s="647">
        <f t="shared" si="3"/>
        <v>382</v>
      </c>
      <c r="J7" s="768" t="s">
        <v>39</v>
      </c>
      <c r="K7" s="770"/>
    </row>
    <row r="8">
      <c r="A8" s="643"/>
      <c r="B8" s="644">
        <v>45799.0</v>
      </c>
      <c r="C8" s="644">
        <f t="shared" si="4"/>
        <v>45799</v>
      </c>
      <c r="D8" s="643">
        <v>70000.0</v>
      </c>
      <c r="E8" s="645" t="b">
        <v>1</v>
      </c>
      <c r="F8" s="646" t="str">
        <f t="shared" si="1"/>
        <v>PAGADO</v>
      </c>
      <c r="G8" s="340" t="s">
        <v>2276</v>
      </c>
      <c r="H8" s="646" t="str">
        <f t="shared" si="2"/>
        <v>VENCIDA</v>
      </c>
      <c r="I8" s="647">
        <f t="shared" si="3"/>
        <v>368</v>
      </c>
      <c r="J8" s="768" t="s">
        <v>41</v>
      </c>
      <c r="K8" s="770"/>
    </row>
    <row r="9">
      <c r="A9" s="644"/>
      <c r="B9" s="644">
        <v>45820.0</v>
      </c>
      <c r="C9" s="644">
        <f t="shared" si="4"/>
        <v>45820</v>
      </c>
      <c r="D9" s="643">
        <v>70000.0</v>
      </c>
      <c r="E9" s="645" t="b">
        <v>1</v>
      </c>
      <c r="F9" s="646" t="str">
        <f t="shared" si="1"/>
        <v>PAGADO</v>
      </c>
      <c r="G9" s="340" t="s">
        <v>2276</v>
      </c>
      <c r="H9" s="646" t="str">
        <f t="shared" si="2"/>
        <v>VENCIDA</v>
      </c>
      <c r="I9" s="647">
        <f t="shared" si="3"/>
        <v>347</v>
      </c>
      <c r="J9" s="768" t="s">
        <v>42</v>
      </c>
      <c r="K9" s="770">
        <f>D10+D11</f>
        <v>140000</v>
      </c>
    </row>
    <row r="10">
      <c r="A10" s="644"/>
      <c r="B10" s="644">
        <v>45842.0</v>
      </c>
      <c r="C10" s="644">
        <f t="shared" si="4"/>
        <v>45842</v>
      </c>
      <c r="D10" s="643">
        <v>70000.0</v>
      </c>
      <c r="E10" s="645" t="b">
        <v>1</v>
      </c>
      <c r="F10" s="646" t="str">
        <f t="shared" si="1"/>
        <v>PAGADO</v>
      </c>
      <c r="G10" s="340" t="s">
        <v>2276</v>
      </c>
      <c r="H10" s="646" t="str">
        <f t="shared" si="2"/>
        <v>VENCIDA</v>
      </c>
      <c r="I10" s="647">
        <f t="shared" si="3"/>
        <v>325</v>
      </c>
      <c r="J10" s="768" t="s">
        <v>43</v>
      </c>
      <c r="K10" s="770">
        <f>D12</f>
        <v>74000</v>
      </c>
    </row>
    <row r="11">
      <c r="A11" s="644"/>
      <c r="B11" s="644">
        <v>45856.0</v>
      </c>
      <c r="C11" s="644">
        <f t="shared" si="4"/>
        <v>45856</v>
      </c>
      <c r="D11" s="643">
        <v>70000.0</v>
      </c>
      <c r="E11" s="645" t="b">
        <v>1</v>
      </c>
      <c r="F11" s="646" t="str">
        <f t="shared" si="1"/>
        <v>PAGADO</v>
      </c>
      <c r="G11" s="340" t="s">
        <v>2276</v>
      </c>
      <c r="H11" s="646" t="str">
        <f t="shared" si="2"/>
        <v>VENCIDA</v>
      </c>
      <c r="I11" s="647">
        <f t="shared" si="3"/>
        <v>311</v>
      </c>
      <c r="J11" s="768" t="s">
        <v>45</v>
      </c>
      <c r="K11" s="770"/>
    </row>
    <row r="12">
      <c r="A12" s="644"/>
      <c r="B12" s="644">
        <v>45877.0</v>
      </c>
      <c r="C12" s="644">
        <f t="shared" si="4"/>
        <v>45877</v>
      </c>
      <c r="D12" s="643">
        <v>74000.0</v>
      </c>
      <c r="E12" s="645" t="b">
        <v>1</v>
      </c>
      <c r="F12" s="646" t="str">
        <f t="shared" si="1"/>
        <v>PAGADO</v>
      </c>
      <c r="G12" s="340" t="s">
        <v>2276</v>
      </c>
      <c r="H12" s="646" t="str">
        <f t="shared" si="2"/>
        <v>VENCIDA</v>
      </c>
      <c r="I12" s="647">
        <f t="shared" si="3"/>
        <v>290</v>
      </c>
      <c r="J12" s="768" t="s">
        <v>49</v>
      </c>
      <c r="K12" s="770"/>
    </row>
    <row r="13">
      <c r="A13" s="644"/>
      <c r="B13" s="644">
        <v>45903.0</v>
      </c>
      <c r="C13" s="644">
        <f t="shared" si="4"/>
        <v>45903</v>
      </c>
      <c r="D13" s="643">
        <v>74000.0</v>
      </c>
      <c r="E13" s="645" t="b">
        <v>1</v>
      </c>
      <c r="F13" s="646" t="str">
        <f t="shared" si="1"/>
        <v>PAGADO</v>
      </c>
      <c r="G13" s="340" t="s">
        <v>2278</v>
      </c>
      <c r="H13" s="646" t="str">
        <f t="shared" si="2"/>
        <v>VENCIDA</v>
      </c>
      <c r="I13" s="647">
        <f t="shared" si="3"/>
        <v>264</v>
      </c>
      <c r="J13" s="768" t="s">
        <v>50</v>
      </c>
      <c r="K13" s="770"/>
    </row>
    <row r="14">
      <c r="A14" s="644"/>
      <c r="B14" s="644">
        <v>45926.0</v>
      </c>
      <c r="C14" s="644">
        <f t="shared" si="4"/>
        <v>45926</v>
      </c>
      <c r="D14" s="643">
        <v>74000.0</v>
      </c>
      <c r="E14" s="645" t="b">
        <v>1</v>
      </c>
      <c r="F14" s="646" t="str">
        <f t="shared" si="1"/>
        <v>PAGADO</v>
      </c>
      <c r="G14" s="340" t="s">
        <v>2276</v>
      </c>
      <c r="H14" s="646" t="str">
        <f t="shared" si="2"/>
        <v>VENCIDA</v>
      </c>
      <c r="I14" s="647">
        <f t="shared" si="3"/>
        <v>241</v>
      </c>
      <c r="J14" s="768" t="s">
        <v>51</v>
      </c>
      <c r="K14" s="770"/>
    </row>
    <row r="15">
      <c r="A15" s="644"/>
      <c r="B15" s="644">
        <v>45945.0</v>
      </c>
      <c r="C15" s="644">
        <f t="shared" si="4"/>
        <v>45945</v>
      </c>
      <c r="D15" s="643">
        <v>78000.0</v>
      </c>
      <c r="E15" s="645" t="b">
        <v>1</v>
      </c>
      <c r="F15" s="646" t="str">
        <f t="shared" si="1"/>
        <v>PAGADO</v>
      </c>
      <c r="G15" s="340" t="s">
        <v>2276</v>
      </c>
      <c r="H15" s="646" t="str">
        <f t="shared" si="2"/>
        <v>VENCIDA</v>
      </c>
      <c r="I15" s="647">
        <f t="shared" si="3"/>
        <v>222</v>
      </c>
    </row>
    <row r="16">
      <c r="A16" s="644"/>
      <c r="B16" s="644">
        <v>45965.0</v>
      </c>
      <c r="C16" s="644">
        <f t="shared" si="4"/>
        <v>45965</v>
      </c>
      <c r="D16" s="643">
        <v>78000.0</v>
      </c>
      <c r="E16" s="654" t="b">
        <v>1</v>
      </c>
      <c r="F16" s="646" t="str">
        <f t="shared" si="1"/>
        <v>PAGADO</v>
      </c>
      <c r="G16" s="340" t="s">
        <v>2276</v>
      </c>
      <c r="H16" s="646" t="str">
        <f t="shared" si="2"/>
        <v>VENCIDA</v>
      </c>
      <c r="I16" s="647">
        <f t="shared" si="3"/>
        <v>202</v>
      </c>
      <c r="K16" s="318"/>
    </row>
    <row r="17">
      <c r="A17" s="644"/>
      <c r="B17" s="644">
        <v>45994.0</v>
      </c>
      <c r="C17" s="644">
        <f t="shared" si="4"/>
        <v>45994</v>
      </c>
      <c r="D17" s="643">
        <v>79600.0</v>
      </c>
      <c r="E17" s="654" t="b">
        <v>1</v>
      </c>
      <c r="F17" s="646" t="str">
        <f t="shared" si="1"/>
        <v>PAGADO</v>
      </c>
      <c r="G17" s="340" t="s">
        <v>2276</v>
      </c>
      <c r="H17" s="646" t="str">
        <f t="shared" si="2"/>
        <v>VENCIDA</v>
      </c>
      <c r="I17" s="647">
        <f t="shared" si="3"/>
        <v>173</v>
      </c>
    </row>
    <row r="18">
      <c r="A18" s="644"/>
      <c r="B18" s="644">
        <v>46028.0</v>
      </c>
      <c r="C18" s="644">
        <f t="shared" si="4"/>
        <v>46028</v>
      </c>
      <c r="D18" s="643">
        <v>86000.0</v>
      </c>
      <c r="E18" s="654" t="b">
        <v>1</v>
      </c>
      <c r="F18" s="646" t="str">
        <f t="shared" si="1"/>
        <v>PAGADO</v>
      </c>
      <c r="G18" s="340" t="s">
        <v>2276</v>
      </c>
      <c r="H18" s="646" t="str">
        <f t="shared" si="2"/>
        <v>VENCIDA</v>
      </c>
      <c r="I18" s="647">
        <f t="shared" si="3"/>
        <v>139</v>
      </c>
    </row>
    <row r="19">
      <c r="A19" s="644"/>
      <c r="B19" s="644">
        <v>46055.0</v>
      </c>
      <c r="C19" s="644">
        <f t="shared" si="4"/>
        <v>46055</v>
      </c>
      <c r="D19" s="643">
        <v>88000.0</v>
      </c>
      <c r="E19" s="645" t="b">
        <v>1</v>
      </c>
      <c r="F19" s="646" t="str">
        <f t="shared" si="1"/>
        <v>PAGADO</v>
      </c>
      <c r="G19" s="340" t="s">
        <v>2276</v>
      </c>
      <c r="H19" s="646" t="str">
        <f t="shared" si="2"/>
        <v>VENCIDA</v>
      </c>
      <c r="I19" s="647">
        <f t="shared" si="3"/>
        <v>112</v>
      </c>
    </row>
    <row r="20">
      <c r="A20" s="644"/>
      <c r="B20" s="644">
        <v>46086.0</v>
      </c>
      <c r="C20" s="644">
        <f t="shared" si="4"/>
        <v>46086</v>
      </c>
      <c r="D20" s="643">
        <v>88000.0</v>
      </c>
      <c r="E20" s="645" t="b">
        <v>1</v>
      </c>
      <c r="F20" s="646" t="str">
        <f t="shared" si="1"/>
        <v>PAGADO</v>
      </c>
      <c r="G20" s="340" t="s">
        <v>2276</v>
      </c>
      <c r="H20" s="646" t="str">
        <f t="shared" si="2"/>
        <v>VENCIDA</v>
      </c>
      <c r="I20" s="647">
        <f t="shared" si="3"/>
        <v>81</v>
      </c>
    </row>
    <row r="21">
      <c r="A21" s="644"/>
      <c r="B21" s="644">
        <v>46102.0</v>
      </c>
      <c r="C21" s="644">
        <f t="shared" si="4"/>
        <v>46102</v>
      </c>
      <c r="D21" s="643">
        <v>88000.0</v>
      </c>
      <c r="E21" s="645" t="b">
        <v>1</v>
      </c>
      <c r="F21" s="646" t="str">
        <f t="shared" si="1"/>
        <v>PAGADO</v>
      </c>
      <c r="G21" s="340" t="s">
        <v>2276</v>
      </c>
      <c r="H21" s="646" t="str">
        <f t="shared" si="2"/>
        <v>VENCIDA</v>
      </c>
      <c r="I21" s="647">
        <f t="shared" si="3"/>
        <v>65</v>
      </c>
    </row>
    <row r="22">
      <c r="A22" s="644"/>
      <c r="B22" s="644">
        <v>46119.0</v>
      </c>
      <c r="C22" s="644">
        <f t="shared" si="4"/>
        <v>46119</v>
      </c>
      <c r="D22" s="643">
        <v>88000.0</v>
      </c>
      <c r="E22" s="645" t="b">
        <v>1</v>
      </c>
      <c r="F22" s="646" t="str">
        <f t="shared" si="1"/>
        <v>PAGADO</v>
      </c>
      <c r="G22" s="340" t="s">
        <v>2278</v>
      </c>
      <c r="H22" s="646" t="str">
        <f t="shared" si="2"/>
        <v>VENCIDA</v>
      </c>
      <c r="I22" s="647">
        <f t="shared" si="3"/>
        <v>48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 t="str">
        <f t="shared" si="4"/>
        <v/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 t="str">
        <f t="shared" si="4"/>
        <v/>
      </c>
      <c r="D25" s="643"/>
      <c r="E25" s="658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 t="str">
        <f t="shared" si="4"/>
        <v/>
      </c>
      <c r="D26" s="643"/>
      <c r="E26" s="645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 t="str">
        <f t="shared" si="4"/>
        <v/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 t="str">
        <f t="shared" si="4"/>
        <v/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/>
      <c r="C29" s="644" t="str">
        <f t="shared" si="4"/>
        <v/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/>
      <c r="C30" s="644" t="str">
        <f t="shared" si="4"/>
        <v/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/>
      <c r="C31" s="644" t="str">
        <f t="shared" si="4"/>
        <v/>
      </c>
      <c r="D31" s="643"/>
      <c r="E31" s="658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/>
      <c r="C32" s="644" t="str">
        <f t="shared" si="4"/>
        <v/>
      </c>
      <c r="D32" s="643"/>
      <c r="E32" s="645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/>
      <c r="C33" s="644" t="str">
        <f t="shared" si="4"/>
        <v/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/>
      <c r="C34" s="644" t="str">
        <f t="shared" si="4"/>
        <v/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/>
      <c r="C35" s="644" t="str">
        <f t="shared" si="4"/>
        <v/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/>
      <c r="C36" s="644" t="str">
        <f t="shared" si="4"/>
        <v/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/>
      <c r="C37" s="644" t="str">
        <f t="shared" si="4"/>
        <v/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/>
      <c r="C38" s="644" t="str">
        <f t="shared" si="4"/>
        <v/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/>
      <c r="C39" s="644" t="str">
        <f t="shared" si="4"/>
        <v/>
      </c>
      <c r="D39" s="643"/>
      <c r="E39" s="658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/>
      <c r="C40" s="644" t="str">
        <f t="shared" si="4"/>
        <v/>
      </c>
      <c r="D40" s="643"/>
      <c r="E40" s="645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/>
      <c r="C41" s="644" t="str">
        <f t="shared" si="4"/>
        <v/>
      </c>
      <c r="D41" s="643"/>
      <c r="E41" s="645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/>
      <c r="C42" s="644" t="str">
        <f t="shared" si="4"/>
        <v/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/>
      <c r="C43" s="644" t="str">
        <f t="shared" si="4"/>
        <v/>
      </c>
      <c r="D43" s="643"/>
      <c r="E43" s="658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/>
      <c r="C44" s="644" t="str">
        <f t="shared" si="4"/>
        <v/>
      </c>
      <c r="D44" s="643"/>
      <c r="E44" s="645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/>
      <c r="C45" s="644" t="str">
        <f t="shared" si="4"/>
        <v/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/>
      <c r="C46" s="644" t="str">
        <f t="shared" si="4"/>
        <v/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46167</v>
      </c>
    </row>
    <row r="47">
      <c r="A47" s="644"/>
      <c r="B47" s="644"/>
      <c r="C47" s="644" t="str">
        <f t="shared" si="4"/>
        <v/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/>
      <c r="C48" s="644" t="str">
        <f t="shared" si="4"/>
        <v/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46167</v>
      </c>
    </row>
    <row r="49">
      <c r="A49" s="644"/>
      <c r="B49" s="644"/>
      <c r="C49" s="644" t="str">
        <f t="shared" si="4"/>
        <v/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46167</v>
      </c>
    </row>
    <row r="50">
      <c r="A50" s="644"/>
      <c r="B50" s="644"/>
      <c r="C50" s="644" t="str">
        <f t="shared" si="4"/>
        <v/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/>
      <c r="C51" s="644" t="str">
        <f t="shared" si="4"/>
        <v/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/>
      <c r="C52" s="644" t="str">
        <f t="shared" si="4"/>
        <v/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/>
      <c r="C53" s="644" t="str">
        <f t="shared" si="4"/>
        <v/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/>
      <c r="C54" s="644" t="str">
        <f t="shared" si="4"/>
        <v/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46167</v>
      </c>
    </row>
    <row r="55">
      <c r="A55" s="644"/>
      <c r="B55" s="644"/>
      <c r="C55" s="644" t="str">
        <f t="shared" si="4"/>
        <v/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/>
      <c r="C56" s="644" t="str">
        <f t="shared" si="4"/>
        <v/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/>
      <c r="C57" s="644" t="str">
        <f t="shared" si="4"/>
        <v/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/>
      <c r="C58" s="644" t="str">
        <f t="shared" si="4"/>
        <v/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/>
      <c r="C59" s="644" t="str">
        <f t="shared" si="4"/>
        <v/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/>
      <c r="C60" s="644" t="str">
        <f t="shared" si="4"/>
        <v/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/>
      <c r="C61" s="644" t="str">
        <f t="shared" si="4"/>
        <v/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46167</v>
      </c>
    </row>
    <row r="62">
      <c r="A62" s="644"/>
      <c r="B62" s="644"/>
      <c r="C62" s="644" t="str">
        <f t="shared" si="4"/>
        <v/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/>
      <c r="C63" s="644" t="str">
        <f t="shared" si="4"/>
        <v/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 t="str">
        <f t="shared" si="4"/>
        <v/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 t="str">
        <f t="shared" si="4"/>
        <v/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 t="str">
        <f t="shared" si="4"/>
        <v/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 t="str">
        <f t="shared" si="4"/>
        <v/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 t="str">
        <f t="shared" si="4"/>
        <v/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 t="str">
        <f t="shared" si="4"/>
        <v/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 t="str">
        <f t="shared" si="4"/>
        <v/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 t="str">
        <f t="shared" si="4"/>
        <v/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 t="str">
        <f t="shared" si="4"/>
        <v/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 t="str">
        <f t="shared" si="4"/>
        <v/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 t="str">
        <f t="shared" si="4"/>
        <v/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 t="str">
        <f t="shared" si="4"/>
        <v/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 t="str">
        <f t="shared" si="4"/>
        <v/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 t="str">
        <f t="shared" si="4"/>
        <v/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 t="str">
        <f t="shared" si="4"/>
        <v/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 t="str">
        <f t="shared" si="4"/>
        <v/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 t="str">
        <f t="shared" si="4"/>
        <v/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 t="str">
        <f t="shared" si="4"/>
        <v/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 t="str">
        <f t="shared" si="4"/>
        <v/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 t="str">
        <f t="shared" si="4"/>
        <v/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 t="str">
        <f t="shared" si="4"/>
        <v/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 t="str">
        <f t="shared" si="4"/>
        <v/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 t="str">
        <f t="shared" si="4"/>
        <v/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 t="str">
        <f t="shared" si="4"/>
        <v/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 t="str">
        <f t="shared" si="4"/>
        <v/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 t="str">
        <f t="shared" si="4"/>
        <v/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 t="str">
        <f t="shared" si="4"/>
        <v/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 t="str">
        <f t="shared" si="4"/>
        <v/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 t="str">
        <f t="shared" si="4"/>
        <v/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 t="str">
        <f t="shared" si="4"/>
        <v/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 t="str">
        <f t="shared" si="4"/>
        <v/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 t="str">
        <f t="shared" si="4"/>
        <v/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 t="str">
        <f t="shared" si="4"/>
        <v/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 t="str">
        <f t="shared" si="4"/>
        <v/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 t="str">
        <f t="shared" si="4"/>
        <v/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 t="str">
        <f t="shared" si="4"/>
        <v/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 t="str">
        <f t="shared" si="4"/>
        <v/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 t="str">
        <f t="shared" si="4"/>
        <v/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 t="str">
        <f t="shared" si="4"/>
        <v/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 t="str">
        <f t="shared" si="4"/>
        <v/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 t="str">
        <f t="shared" si="4"/>
        <v/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 t="str">
        <f t="shared" si="4"/>
        <v/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 t="str">
        <f t="shared" si="4"/>
        <v/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 t="str">
        <f t="shared" si="4"/>
        <v/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 t="str">
        <f t="shared" si="4"/>
        <v/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 t="str">
        <f t="shared" si="4"/>
        <v/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 t="str">
        <f t="shared" si="4"/>
        <v/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 t="str">
        <f t="shared" si="4"/>
        <v/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 t="str">
        <f t="shared" si="4"/>
        <v/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 t="str">
        <f t="shared" si="4"/>
        <v/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 t="str">
        <f t="shared" si="4"/>
        <v/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 t="str">
        <f t="shared" si="4"/>
        <v/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 t="str">
        <f t="shared" si="4"/>
        <v/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 t="str">
        <f t="shared" si="4"/>
        <v/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 t="str">
        <f t="shared" si="4"/>
        <v/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 t="str">
        <f t="shared" si="4"/>
        <v/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 t="str">
        <f t="shared" si="4"/>
        <v/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 t="str">
        <f t="shared" si="4"/>
        <v/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 t="str">
        <f t="shared" si="4"/>
        <v/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 t="str">
        <f t="shared" si="4"/>
        <v/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 t="str">
        <f t="shared" si="4"/>
        <v/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 t="str">
        <f t="shared" si="4"/>
        <v/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 t="str">
        <f t="shared" si="4"/>
        <v/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 t="str">
        <f t="shared" si="4"/>
        <v/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 t="str">
        <f t="shared" si="4"/>
        <v/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 t="str">
        <f t="shared" si="4"/>
        <v/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 t="str">
        <f t="shared" si="4"/>
        <v/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 t="str">
        <f t="shared" si="4"/>
        <v/>
      </c>
      <c r="D131" s="643"/>
      <c r="E131" s="658" t="b">
        <v>0</v>
      </c>
      <c r="F131" s="646" t="str">
        <f t="shared" si="1"/>
        <v>ADEUDA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2">
      <c r="A132" s="644"/>
      <c r="B132" s="644"/>
      <c r="C132" s="644" t="str">
        <f t="shared" si="4"/>
        <v/>
      </c>
      <c r="D132" s="643"/>
      <c r="E132" s="645" t="b">
        <v>1</v>
      </c>
      <c r="F132" s="646" t="str">
        <f t="shared" si="1"/>
        <v>PAGADO</v>
      </c>
      <c r="G132" s="340" t="s">
        <v>2278</v>
      </c>
      <c r="H132" s="646" t="str">
        <f t="shared" si="2"/>
        <v>VENCIDA</v>
      </c>
      <c r="I132" s="647">
        <f t="shared" si="3"/>
        <v>46167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1402200</v>
      </c>
    </row>
    <row r="137">
      <c r="C137" s="697" t="s">
        <v>28</v>
      </c>
      <c r="D137" s="3">
        <f>D135+D136</f>
        <v>1402200</v>
      </c>
    </row>
  </sheetData>
  <mergeCells count="3">
    <mergeCell ref="A1:H1"/>
    <mergeCell ref="A2:H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2491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 t="s">
        <v>2492</v>
      </c>
      <c r="B3" s="644">
        <v>45770.0</v>
      </c>
      <c r="C3" s="644">
        <f>B3+7</f>
        <v>45777</v>
      </c>
      <c r="D3" s="643">
        <v>31500.0</v>
      </c>
      <c r="E3" s="645" t="b">
        <v>1</v>
      </c>
      <c r="F3" s="646" t="str">
        <f t="shared" ref="F3:F131" si="1">IF(E3,"PAGADO","ADEUDA")</f>
        <v>PAGADO</v>
      </c>
      <c r="G3" s="340" t="s">
        <v>2287</v>
      </c>
      <c r="H3" s="646" t="str">
        <f t="shared" ref="H3:H131" si="2">IF(C3&lt;TODAY(),"VENCIDA",IF(C3=TODAY(),"VENCE HOY",IF(C3&gt;TODAY(),"VIGENTE")))</f>
        <v>VENCIDA</v>
      </c>
      <c r="I3" s="647">
        <f t="shared" ref="I3:I131" si="3">TODAY()-C3</f>
        <v>390</v>
      </c>
      <c r="J3" s="768" t="s">
        <v>31</v>
      </c>
      <c r="K3" s="769"/>
    </row>
    <row r="4">
      <c r="A4" s="643" t="s">
        <v>2493</v>
      </c>
      <c r="B4" s="644">
        <v>45777.0</v>
      </c>
      <c r="C4" s="644">
        <v>45777.0</v>
      </c>
      <c r="D4" s="643">
        <v>29400.0</v>
      </c>
      <c r="E4" s="645" t="b">
        <v>1</v>
      </c>
      <c r="F4" s="646" t="str">
        <f t="shared" si="1"/>
        <v>PAGADO</v>
      </c>
      <c r="G4" s="340" t="s">
        <v>2287</v>
      </c>
      <c r="H4" s="646" t="str">
        <f t="shared" si="2"/>
        <v>VENCIDA</v>
      </c>
      <c r="I4" s="647">
        <f t="shared" si="3"/>
        <v>390</v>
      </c>
      <c r="J4" s="768" t="s">
        <v>35</v>
      </c>
      <c r="K4" s="770"/>
    </row>
    <row r="5">
      <c r="A5" s="643" t="s">
        <v>2494</v>
      </c>
      <c r="B5" s="644">
        <v>45791.0</v>
      </c>
      <c r="C5" s="644"/>
      <c r="D5" s="643">
        <v>16800.0</v>
      </c>
      <c r="E5" s="645" t="b">
        <v>1</v>
      </c>
      <c r="F5" s="646" t="str">
        <f t="shared" si="1"/>
        <v>PAGADO</v>
      </c>
      <c r="G5" s="340" t="s">
        <v>2287</v>
      </c>
      <c r="H5" s="646" t="str">
        <f t="shared" si="2"/>
        <v>VENCIDA</v>
      </c>
      <c r="I5" s="647">
        <f t="shared" si="3"/>
        <v>46167</v>
      </c>
      <c r="J5" s="768" t="s">
        <v>37</v>
      </c>
      <c r="K5" s="770"/>
    </row>
    <row r="6">
      <c r="A6" s="643" t="s">
        <v>2495</v>
      </c>
      <c r="B6" s="644">
        <v>45903.0</v>
      </c>
      <c r="C6" s="644">
        <f t="shared" ref="C6:C131" si="4">B6</f>
        <v>45903</v>
      </c>
      <c r="D6" s="643">
        <v>7000.0</v>
      </c>
      <c r="E6" s="645" t="b">
        <v>1</v>
      </c>
      <c r="F6" s="646" t="str">
        <f t="shared" si="1"/>
        <v>PAGADO</v>
      </c>
      <c r="G6" s="340" t="s">
        <v>2287</v>
      </c>
      <c r="H6" s="646" t="str">
        <f t="shared" si="2"/>
        <v>VENCIDA</v>
      </c>
      <c r="I6" s="647">
        <f t="shared" si="3"/>
        <v>264</v>
      </c>
      <c r="J6" s="768" t="s">
        <v>39</v>
      </c>
      <c r="K6" s="770"/>
    </row>
    <row r="7">
      <c r="A7" s="643" t="s">
        <v>2496</v>
      </c>
      <c r="B7" s="644">
        <v>45917.0</v>
      </c>
      <c r="C7" s="644">
        <f t="shared" si="4"/>
        <v>45917</v>
      </c>
      <c r="D7" s="643">
        <v>12000.0</v>
      </c>
      <c r="E7" s="645" t="b">
        <v>1</v>
      </c>
      <c r="F7" s="646" t="str">
        <f t="shared" si="1"/>
        <v>PAGADO</v>
      </c>
      <c r="G7" s="340" t="s">
        <v>2287</v>
      </c>
      <c r="H7" s="646" t="str">
        <f t="shared" si="2"/>
        <v>VENCIDA</v>
      </c>
      <c r="I7" s="647">
        <f t="shared" si="3"/>
        <v>250</v>
      </c>
      <c r="J7" s="768" t="s">
        <v>41</v>
      </c>
      <c r="K7" s="770"/>
    </row>
    <row r="8">
      <c r="A8" s="643">
        <v>6642.0</v>
      </c>
      <c r="B8" s="644">
        <v>45924.0</v>
      </c>
      <c r="C8" s="644">
        <f t="shared" si="4"/>
        <v>45924</v>
      </c>
      <c r="D8" s="643">
        <v>14000.0</v>
      </c>
      <c r="E8" s="645" t="b">
        <v>1</v>
      </c>
      <c r="F8" s="646" t="str">
        <f t="shared" si="1"/>
        <v>PAGADO</v>
      </c>
      <c r="G8" s="340" t="s">
        <v>2287</v>
      </c>
      <c r="H8" s="646" t="str">
        <f t="shared" si="2"/>
        <v>VENCIDA</v>
      </c>
      <c r="I8" s="647">
        <f t="shared" si="3"/>
        <v>243</v>
      </c>
      <c r="J8" s="768" t="s">
        <v>42</v>
      </c>
      <c r="K8" s="770"/>
    </row>
    <row r="9">
      <c r="A9" s="643">
        <v>53480.0</v>
      </c>
      <c r="B9" s="644">
        <v>45930.0</v>
      </c>
      <c r="C9" s="644">
        <f t="shared" si="4"/>
        <v>45930</v>
      </c>
      <c r="D9" s="643">
        <v>19000.0</v>
      </c>
      <c r="E9" s="645" t="b">
        <v>1</v>
      </c>
      <c r="F9" s="646" t="str">
        <f t="shared" si="1"/>
        <v>PAGADO</v>
      </c>
      <c r="G9" s="340" t="s">
        <v>2287</v>
      </c>
      <c r="H9" s="646" t="str">
        <f t="shared" si="2"/>
        <v>VENCIDA</v>
      </c>
      <c r="I9" s="647">
        <f t="shared" si="3"/>
        <v>237</v>
      </c>
      <c r="J9" s="768" t="s">
        <v>43</v>
      </c>
      <c r="K9" s="770"/>
    </row>
    <row r="10">
      <c r="A10" s="643" t="s">
        <v>2418</v>
      </c>
      <c r="B10" s="644">
        <v>45973.0</v>
      </c>
      <c r="C10" s="644">
        <f t="shared" si="4"/>
        <v>45973</v>
      </c>
      <c r="D10" s="643">
        <v>23700.0</v>
      </c>
      <c r="E10" s="645" t="b">
        <v>1</v>
      </c>
      <c r="F10" s="646" t="str">
        <f t="shared" si="1"/>
        <v>PAGADO</v>
      </c>
      <c r="G10" s="340" t="s">
        <v>2287</v>
      </c>
      <c r="H10" s="646" t="str">
        <f t="shared" si="2"/>
        <v>VENCIDA</v>
      </c>
      <c r="I10" s="647">
        <f t="shared" si="3"/>
        <v>194</v>
      </c>
      <c r="J10" s="768" t="s">
        <v>45</v>
      </c>
      <c r="K10" s="770"/>
    </row>
    <row r="11">
      <c r="A11" s="643" t="s">
        <v>2418</v>
      </c>
      <c r="B11" s="644">
        <v>46008.0</v>
      </c>
      <c r="C11" s="644">
        <f t="shared" si="4"/>
        <v>46008</v>
      </c>
      <c r="D11" s="643">
        <v>15000.0</v>
      </c>
      <c r="E11" s="645" t="b">
        <v>1</v>
      </c>
      <c r="F11" s="646" t="str">
        <f t="shared" si="1"/>
        <v>PAGADO</v>
      </c>
      <c r="G11" s="340" t="s">
        <v>2287</v>
      </c>
      <c r="H11" s="646" t="str">
        <f t="shared" si="2"/>
        <v>VENCIDA</v>
      </c>
      <c r="I11" s="647">
        <f t="shared" si="3"/>
        <v>159</v>
      </c>
      <c r="J11" s="768" t="s">
        <v>49</v>
      </c>
      <c r="K11" s="770"/>
    </row>
    <row r="12">
      <c r="A12" s="643" t="s">
        <v>2418</v>
      </c>
      <c r="B12" s="644">
        <v>46036.0</v>
      </c>
      <c r="C12" s="644">
        <f t="shared" si="4"/>
        <v>46036</v>
      </c>
      <c r="D12" s="643">
        <v>39900.0</v>
      </c>
      <c r="E12" s="645" t="b">
        <v>1</v>
      </c>
      <c r="F12" s="646" t="str">
        <f t="shared" si="1"/>
        <v>PAGADO</v>
      </c>
      <c r="G12" s="340" t="s">
        <v>2287</v>
      </c>
      <c r="H12" s="646" t="str">
        <f t="shared" si="2"/>
        <v>VENCIDA</v>
      </c>
      <c r="I12" s="647">
        <f t="shared" si="3"/>
        <v>131</v>
      </c>
      <c r="J12" s="768" t="s">
        <v>50</v>
      </c>
      <c r="K12" s="770"/>
    </row>
    <row r="13">
      <c r="A13" s="643" t="s">
        <v>2418</v>
      </c>
      <c r="B13" s="644">
        <v>46050.0</v>
      </c>
      <c r="C13" s="644">
        <f t="shared" si="4"/>
        <v>46050</v>
      </c>
      <c r="D13" s="643">
        <v>20500.0</v>
      </c>
      <c r="E13" s="645" t="b">
        <v>1</v>
      </c>
      <c r="F13" s="646" t="str">
        <f t="shared" si="1"/>
        <v>PAGADO</v>
      </c>
      <c r="G13" s="340" t="s">
        <v>2287</v>
      </c>
      <c r="H13" s="646" t="str">
        <f t="shared" si="2"/>
        <v>VENCIDA</v>
      </c>
      <c r="I13" s="647">
        <f t="shared" si="3"/>
        <v>117</v>
      </c>
      <c r="J13" s="768" t="s">
        <v>51</v>
      </c>
      <c r="K13" s="770">
        <f>D11</f>
        <v>15000</v>
      </c>
    </row>
    <row r="14">
      <c r="A14" s="643" t="s">
        <v>2418</v>
      </c>
      <c r="B14" s="644">
        <v>46057.0</v>
      </c>
      <c r="C14" s="644">
        <f t="shared" si="4"/>
        <v>46057</v>
      </c>
      <c r="D14" s="643">
        <v>15900.0</v>
      </c>
      <c r="E14" s="645" t="b">
        <v>1</v>
      </c>
      <c r="F14" s="646" t="str">
        <f t="shared" si="1"/>
        <v>PAGADO</v>
      </c>
      <c r="G14" s="340" t="s">
        <v>2287</v>
      </c>
      <c r="H14" s="646" t="str">
        <f t="shared" si="2"/>
        <v>VENCIDA</v>
      </c>
      <c r="I14" s="647">
        <f t="shared" si="3"/>
        <v>110</v>
      </c>
    </row>
    <row r="15">
      <c r="A15" s="643" t="s">
        <v>2418</v>
      </c>
      <c r="B15" s="644">
        <v>46097.0</v>
      </c>
      <c r="C15" s="644">
        <f t="shared" si="4"/>
        <v>46097</v>
      </c>
      <c r="D15" s="643">
        <v>33000.0</v>
      </c>
      <c r="E15" s="654" t="b">
        <v>1</v>
      </c>
      <c r="F15" s="646" t="str">
        <f t="shared" si="1"/>
        <v>PAGADO</v>
      </c>
      <c r="G15" s="340" t="s">
        <v>2276</v>
      </c>
      <c r="H15" s="646" t="str">
        <f t="shared" si="2"/>
        <v>VENCIDA</v>
      </c>
      <c r="I15" s="647">
        <f t="shared" si="3"/>
        <v>70</v>
      </c>
      <c r="K15" s="318"/>
    </row>
    <row r="16">
      <c r="A16" s="643" t="s">
        <v>2418</v>
      </c>
      <c r="B16" s="644">
        <v>46112.0</v>
      </c>
      <c r="C16" s="644">
        <f t="shared" si="4"/>
        <v>46112</v>
      </c>
      <c r="D16" s="643">
        <v>38900.0</v>
      </c>
      <c r="E16" s="654" t="b">
        <v>1</v>
      </c>
      <c r="F16" s="646" t="str">
        <f t="shared" si="1"/>
        <v>PAGADO</v>
      </c>
      <c r="G16" s="340" t="s">
        <v>2278</v>
      </c>
      <c r="H16" s="646" t="str">
        <f t="shared" si="2"/>
        <v>VENCIDA</v>
      </c>
      <c r="I16" s="647">
        <f t="shared" si="3"/>
        <v>55</v>
      </c>
    </row>
    <row r="17">
      <c r="A17" s="643" t="s">
        <v>2418</v>
      </c>
      <c r="B17" s="644">
        <v>46119.0</v>
      </c>
      <c r="C17" s="644">
        <f t="shared" si="4"/>
        <v>46119</v>
      </c>
      <c r="D17" s="643">
        <v>46300.0</v>
      </c>
      <c r="E17" s="654" t="b">
        <v>1</v>
      </c>
      <c r="F17" s="646" t="str">
        <f t="shared" si="1"/>
        <v>PAGADO</v>
      </c>
      <c r="G17" s="340" t="s">
        <v>2278</v>
      </c>
      <c r="H17" s="646" t="str">
        <f t="shared" si="2"/>
        <v>VENCIDA</v>
      </c>
      <c r="I17" s="647">
        <f t="shared" si="3"/>
        <v>48</v>
      </c>
    </row>
    <row r="18">
      <c r="A18" s="644"/>
      <c r="B18" s="644"/>
      <c r="C18" s="644" t="str">
        <f t="shared" si="4"/>
        <v/>
      </c>
      <c r="D18" s="643"/>
      <c r="E18" s="658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4"/>
      <c r="B19" s="644"/>
      <c r="C19" s="644" t="str">
        <f t="shared" si="4"/>
        <v/>
      </c>
      <c r="D19" s="643"/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/>
      <c r="C20" s="644" t="str">
        <f t="shared" si="4"/>
        <v/>
      </c>
      <c r="D20" s="643"/>
      <c r="E20" s="658" t="b">
        <v>0</v>
      </c>
      <c r="F20" s="646" t="str">
        <f t="shared" si="1"/>
        <v>ADEUDA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/>
      <c r="C21" s="644" t="str">
        <f t="shared" si="4"/>
        <v/>
      </c>
      <c r="D21" s="643"/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/>
      <c r="C22" s="644" t="str">
        <f t="shared" si="4"/>
        <v/>
      </c>
      <c r="D22" s="643"/>
      <c r="E22" s="658" t="b">
        <v>0</v>
      </c>
      <c r="F22" s="646" t="str">
        <f t="shared" si="1"/>
        <v>ADEUDA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 t="str">
        <f t="shared" si="4"/>
        <v/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 t="str">
        <f t="shared" si="4"/>
        <v/>
      </c>
      <c r="D25" s="643"/>
      <c r="E25" s="645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 t="str">
        <f t="shared" si="4"/>
        <v/>
      </c>
      <c r="D26" s="643"/>
      <c r="E26" s="658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 t="str">
        <f t="shared" si="4"/>
        <v/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 t="str">
        <f t="shared" si="4"/>
        <v/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/>
      <c r="C29" s="644" t="str">
        <f t="shared" si="4"/>
        <v/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/>
      <c r="C30" s="644" t="str">
        <f t="shared" si="4"/>
        <v/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/>
      <c r="C31" s="644" t="str">
        <f t="shared" si="4"/>
        <v/>
      </c>
      <c r="D31" s="643"/>
      <c r="E31" s="645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/>
      <c r="C32" s="644" t="str">
        <f t="shared" si="4"/>
        <v/>
      </c>
      <c r="D32" s="643"/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/>
      <c r="C33" s="644" t="str">
        <f t="shared" si="4"/>
        <v/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/>
      <c r="C34" s="644" t="str">
        <f t="shared" si="4"/>
        <v/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/>
      <c r="C35" s="644" t="str">
        <f t="shared" si="4"/>
        <v/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/>
      <c r="C36" s="644" t="str">
        <f t="shared" si="4"/>
        <v/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/>
      <c r="C37" s="644" t="str">
        <f t="shared" si="4"/>
        <v/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/>
      <c r="C38" s="644" t="str">
        <f t="shared" si="4"/>
        <v/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/>
      <c r="C39" s="644" t="str">
        <f t="shared" si="4"/>
        <v/>
      </c>
      <c r="D39" s="643"/>
      <c r="E39" s="645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/>
      <c r="C40" s="644" t="str">
        <f t="shared" si="4"/>
        <v/>
      </c>
      <c r="D40" s="643"/>
      <c r="E40" s="645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/>
      <c r="C41" s="644" t="str">
        <f t="shared" si="4"/>
        <v/>
      </c>
      <c r="D41" s="643"/>
      <c r="E41" s="658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/>
      <c r="C42" s="644" t="str">
        <f t="shared" si="4"/>
        <v/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/>
      <c r="C43" s="644" t="str">
        <f t="shared" si="4"/>
        <v/>
      </c>
      <c r="D43" s="643"/>
      <c r="E43" s="645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/>
      <c r="C44" s="644" t="str">
        <f t="shared" si="4"/>
        <v/>
      </c>
      <c r="D44" s="643"/>
      <c r="E44" s="658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/>
      <c r="C45" s="644" t="str">
        <f t="shared" si="4"/>
        <v/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/>
      <c r="C46" s="644" t="str">
        <f t="shared" si="4"/>
        <v/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46167</v>
      </c>
    </row>
    <row r="47">
      <c r="A47" s="644"/>
      <c r="B47" s="644"/>
      <c r="C47" s="644" t="str">
        <f t="shared" si="4"/>
        <v/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/>
      <c r="C48" s="644" t="str">
        <f t="shared" si="4"/>
        <v/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46167</v>
      </c>
    </row>
    <row r="49">
      <c r="A49" s="644"/>
      <c r="B49" s="644"/>
      <c r="C49" s="644" t="str">
        <f t="shared" si="4"/>
        <v/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46167</v>
      </c>
    </row>
    <row r="50">
      <c r="A50" s="644"/>
      <c r="B50" s="644"/>
      <c r="C50" s="644" t="str">
        <f t="shared" si="4"/>
        <v/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/>
      <c r="C51" s="644" t="str">
        <f t="shared" si="4"/>
        <v/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/>
      <c r="C52" s="644" t="str">
        <f t="shared" si="4"/>
        <v/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/>
      <c r="C53" s="644" t="str">
        <f t="shared" si="4"/>
        <v/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/>
      <c r="C54" s="644" t="str">
        <f t="shared" si="4"/>
        <v/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46167</v>
      </c>
    </row>
    <row r="55">
      <c r="A55" s="644"/>
      <c r="B55" s="644"/>
      <c r="C55" s="644" t="str">
        <f t="shared" si="4"/>
        <v/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/>
      <c r="C56" s="644" t="str">
        <f t="shared" si="4"/>
        <v/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/>
      <c r="C57" s="644" t="str">
        <f t="shared" si="4"/>
        <v/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/>
      <c r="C58" s="644" t="str">
        <f t="shared" si="4"/>
        <v/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/>
      <c r="C59" s="644" t="str">
        <f t="shared" si="4"/>
        <v/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/>
      <c r="C60" s="644" t="str">
        <f t="shared" si="4"/>
        <v/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/>
      <c r="C61" s="644" t="str">
        <f t="shared" si="4"/>
        <v/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46167</v>
      </c>
    </row>
    <row r="62">
      <c r="A62" s="644"/>
      <c r="B62" s="644"/>
      <c r="C62" s="644" t="str">
        <f t="shared" si="4"/>
        <v/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/>
      <c r="C63" s="644" t="str">
        <f t="shared" si="4"/>
        <v/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 t="str">
        <f t="shared" si="4"/>
        <v/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 t="str">
        <f t="shared" si="4"/>
        <v/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 t="str">
        <f t="shared" si="4"/>
        <v/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 t="str">
        <f t="shared" si="4"/>
        <v/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 t="str">
        <f t="shared" si="4"/>
        <v/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 t="str">
        <f t="shared" si="4"/>
        <v/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 t="str">
        <f t="shared" si="4"/>
        <v/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 t="str">
        <f t="shared" si="4"/>
        <v/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 t="str">
        <f t="shared" si="4"/>
        <v/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 t="str">
        <f t="shared" si="4"/>
        <v/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 t="str">
        <f t="shared" si="4"/>
        <v/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 t="str">
        <f t="shared" si="4"/>
        <v/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 t="str">
        <f t="shared" si="4"/>
        <v/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 t="str">
        <f t="shared" si="4"/>
        <v/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 t="str">
        <f t="shared" si="4"/>
        <v/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 t="str">
        <f t="shared" si="4"/>
        <v/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 t="str">
        <f t="shared" si="4"/>
        <v/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 t="str">
        <f t="shared" si="4"/>
        <v/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 t="str">
        <f t="shared" si="4"/>
        <v/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 t="str">
        <f t="shared" si="4"/>
        <v/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 t="str">
        <f t="shared" si="4"/>
        <v/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 t="str">
        <f t="shared" si="4"/>
        <v/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 t="str">
        <f t="shared" si="4"/>
        <v/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 t="str">
        <f t="shared" si="4"/>
        <v/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 t="str">
        <f t="shared" si="4"/>
        <v/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 t="str">
        <f t="shared" si="4"/>
        <v/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 t="str">
        <f t="shared" si="4"/>
        <v/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 t="str">
        <f t="shared" si="4"/>
        <v/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 t="str">
        <f t="shared" si="4"/>
        <v/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 t="str">
        <f t="shared" si="4"/>
        <v/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 t="str">
        <f t="shared" si="4"/>
        <v/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 t="str">
        <f t="shared" si="4"/>
        <v/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 t="str">
        <f t="shared" si="4"/>
        <v/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 t="str">
        <f t="shared" si="4"/>
        <v/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 t="str">
        <f t="shared" si="4"/>
        <v/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 t="str">
        <f t="shared" si="4"/>
        <v/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 t="str">
        <f t="shared" si="4"/>
        <v/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 t="str">
        <f t="shared" si="4"/>
        <v/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 t="str">
        <f t="shared" si="4"/>
        <v/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 t="str">
        <f t="shared" si="4"/>
        <v/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 t="str">
        <f t="shared" si="4"/>
        <v/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 t="str">
        <f t="shared" si="4"/>
        <v/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 t="str">
        <f t="shared" si="4"/>
        <v/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 t="str">
        <f t="shared" si="4"/>
        <v/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 t="str">
        <f t="shared" si="4"/>
        <v/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 t="str">
        <f t="shared" si="4"/>
        <v/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 t="str">
        <f t="shared" si="4"/>
        <v/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 t="str">
        <f t="shared" si="4"/>
        <v/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 t="str">
        <f t="shared" si="4"/>
        <v/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 t="str">
        <f t="shared" si="4"/>
        <v/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 t="str">
        <f t="shared" si="4"/>
        <v/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 t="str">
        <f t="shared" si="4"/>
        <v/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 t="str">
        <f t="shared" si="4"/>
        <v/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 t="str">
        <f t="shared" si="4"/>
        <v/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 t="str">
        <f t="shared" si="4"/>
        <v/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 t="str">
        <f t="shared" si="4"/>
        <v/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 t="str">
        <f t="shared" si="4"/>
        <v/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 t="str">
        <f t="shared" si="4"/>
        <v/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 t="str">
        <f t="shared" si="4"/>
        <v/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 t="str">
        <f t="shared" si="4"/>
        <v/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 t="str">
        <f t="shared" si="4"/>
        <v/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 t="str">
        <f t="shared" si="4"/>
        <v/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 t="str">
        <f t="shared" si="4"/>
        <v/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 t="str">
        <f t="shared" si="4"/>
        <v/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 t="str">
        <f t="shared" si="4"/>
        <v/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 t="str">
        <f t="shared" si="4"/>
        <v/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 t="str">
        <f t="shared" si="4"/>
        <v/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 t="str">
        <f t="shared" si="4"/>
        <v/>
      </c>
      <c r="D131" s="643"/>
      <c r="E131" s="645" t="b">
        <v>1</v>
      </c>
      <c r="F131" s="646" t="str">
        <f t="shared" si="1"/>
        <v>PAGADO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3">
      <c r="C133" s="771"/>
    </row>
    <row r="134">
      <c r="C134" s="772" t="s">
        <v>55</v>
      </c>
      <c r="D134" s="3">
        <f>SUMIF(F3:F131,C134,D3:D131)</f>
        <v>0</v>
      </c>
    </row>
    <row r="135">
      <c r="C135" s="773" t="s">
        <v>527</v>
      </c>
      <c r="D135" s="3">
        <f>SUMIF(F3:F131,C135,D3:D131)</f>
        <v>362900</v>
      </c>
    </row>
    <row r="136">
      <c r="C136" s="697" t="s">
        <v>28</v>
      </c>
      <c r="D136" s="3">
        <f>D134+D135</f>
        <v>362900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2497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>
        <v>579.0</v>
      </c>
      <c r="B3" s="644">
        <v>45873.0</v>
      </c>
      <c r="C3" s="644"/>
      <c r="D3" s="643">
        <v>29950.0</v>
      </c>
      <c r="E3" s="645" t="b">
        <v>1</v>
      </c>
      <c r="F3" s="646" t="str">
        <f t="shared" ref="F3:F131" si="1">IF(E3,"PAGADO","ADEUDA")</f>
        <v>PAGADO</v>
      </c>
      <c r="G3" s="340" t="s">
        <v>2276</v>
      </c>
      <c r="H3" s="646" t="str">
        <f t="shared" ref="H3:H131" si="2">IF(C3&lt;TODAY(),"VENCIDA",IF(C3=TODAY(),"VENCE HOY",IF(C3&gt;TODAY(),"VIGENTE")))</f>
        <v>VENCIDA</v>
      </c>
      <c r="I3" s="647">
        <f t="shared" ref="I3:I131" si="3">TODAY()-C3</f>
        <v>46167</v>
      </c>
      <c r="J3" s="768" t="s">
        <v>31</v>
      </c>
      <c r="K3" s="769"/>
    </row>
    <row r="4">
      <c r="A4" s="643">
        <v>588.0</v>
      </c>
      <c r="B4" s="644">
        <v>45889.0</v>
      </c>
      <c r="C4" s="644"/>
      <c r="D4" s="643">
        <v>4850.0</v>
      </c>
      <c r="E4" s="645" t="b">
        <v>1</v>
      </c>
      <c r="F4" s="646" t="str">
        <f t="shared" si="1"/>
        <v>PAGADO</v>
      </c>
      <c r="G4" s="340" t="s">
        <v>2287</v>
      </c>
      <c r="H4" s="646" t="str">
        <f t="shared" si="2"/>
        <v>VENCIDA</v>
      </c>
      <c r="I4" s="647">
        <f t="shared" si="3"/>
        <v>46167</v>
      </c>
      <c r="J4" s="768" t="s">
        <v>35</v>
      </c>
      <c r="K4" s="770"/>
    </row>
    <row r="5">
      <c r="A5" s="643">
        <v>589.0</v>
      </c>
      <c r="B5" s="644">
        <v>45889.0</v>
      </c>
      <c r="C5" s="644"/>
      <c r="D5" s="643">
        <v>32520.0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J5" s="768" t="s">
        <v>37</v>
      </c>
      <c r="K5" s="770"/>
    </row>
    <row r="6">
      <c r="A6" s="643">
        <v>595.0</v>
      </c>
      <c r="B6" s="644">
        <v>45896.0</v>
      </c>
      <c r="C6" s="644">
        <f t="shared" ref="C6:C131" si="4">B6</f>
        <v>45896</v>
      </c>
      <c r="D6" s="643">
        <v>28700.0</v>
      </c>
      <c r="E6" s="645" t="b">
        <v>1</v>
      </c>
      <c r="F6" s="646" t="str">
        <f t="shared" si="1"/>
        <v>PAGADO</v>
      </c>
      <c r="G6" s="340" t="s">
        <v>2278</v>
      </c>
      <c r="H6" s="646" t="str">
        <f t="shared" si="2"/>
        <v>VENCIDA</v>
      </c>
      <c r="I6" s="647">
        <f t="shared" si="3"/>
        <v>271</v>
      </c>
      <c r="J6" s="768" t="s">
        <v>39</v>
      </c>
      <c r="K6" s="770"/>
    </row>
    <row r="7">
      <c r="A7" s="643">
        <v>603.0</v>
      </c>
      <c r="B7" s="644">
        <v>45903.0</v>
      </c>
      <c r="C7" s="644">
        <f t="shared" si="4"/>
        <v>45903</v>
      </c>
      <c r="D7" s="643">
        <v>28700.0</v>
      </c>
      <c r="E7" s="645" t="b">
        <v>1</v>
      </c>
      <c r="F7" s="646" t="str">
        <f t="shared" si="1"/>
        <v>PAGADO</v>
      </c>
      <c r="G7" s="340" t="s">
        <v>2287</v>
      </c>
      <c r="H7" s="646" t="str">
        <f t="shared" si="2"/>
        <v>VENCIDA</v>
      </c>
      <c r="I7" s="647">
        <f t="shared" si="3"/>
        <v>264</v>
      </c>
      <c r="J7" s="768" t="s">
        <v>41</v>
      </c>
      <c r="K7" s="770"/>
    </row>
    <row r="8">
      <c r="A8" s="643">
        <v>839.0</v>
      </c>
      <c r="B8" s="644"/>
      <c r="C8" s="644" t="str">
        <f t="shared" si="4"/>
        <v/>
      </c>
      <c r="D8" s="643">
        <v>24400.0</v>
      </c>
      <c r="E8" s="645" t="b">
        <v>1</v>
      </c>
      <c r="F8" s="646" t="str">
        <f t="shared" si="1"/>
        <v>PAGADO</v>
      </c>
      <c r="G8" s="340" t="s">
        <v>2287</v>
      </c>
      <c r="H8" s="646" t="str">
        <f t="shared" si="2"/>
        <v>VENCIDA</v>
      </c>
      <c r="I8" s="647">
        <f t="shared" si="3"/>
        <v>46167</v>
      </c>
      <c r="J8" s="768" t="s">
        <v>42</v>
      </c>
      <c r="K8" s="770"/>
    </row>
    <row r="9">
      <c r="A9" s="643" t="s">
        <v>2498</v>
      </c>
      <c r="B9" s="644">
        <v>45952.0</v>
      </c>
      <c r="C9" s="644">
        <f t="shared" si="4"/>
        <v>45952</v>
      </c>
      <c r="D9" s="643">
        <v>33000.0</v>
      </c>
      <c r="E9" s="645" t="b">
        <v>1</v>
      </c>
      <c r="F9" s="646" t="str">
        <f t="shared" si="1"/>
        <v>PAGADO</v>
      </c>
      <c r="G9" s="340" t="s">
        <v>2287</v>
      </c>
      <c r="H9" s="646" t="str">
        <f t="shared" si="2"/>
        <v>VENCIDA</v>
      </c>
      <c r="I9" s="647">
        <f t="shared" si="3"/>
        <v>215</v>
      </c>
      <c r="J9" s="768" t="s">
        <v>43</v>
      </c>
      <c r="K9" s="770">
        <f>D6+D5+D4+D3</f>
        <v>96020</v>
      </c>
    </row>
    <row r="10">
      <c r="A10" s="643">
        <v>638.0</v>
      </c>
      <c r="B10" s="644">
        <v>45972.0</v>
      </c>
      <c r="C10" s="644">
        <f t="shared" si="4"/>
        <v>45972</v>
      </c>
      <c r="D10" s="643">
        <v>33660.0</v>
      </c>
      <c r="E10" s="645" t="b">
        <v>1</v>
      </c>
      <c r="F10" s="646" t="str">
        <f t="shared" si="1"/>
        <v>PAGADO</v>
      </c>
      <c r="G10" s="340" t="s">
        <v>2287</v>
      </c>
      <c r="H10" s="646" t="str">
        <f t="shared" si="2"/>
        <v>VENCIDA</v>
      </c>
      <c r="I10" s="647">
        <f t="shared" si="3"/>
        <v>195</v>
      </c>
      <c r="J10" s="768" t="s">
        <v>45</v>
      </c>
      <c r="K10" s="770"/>
    </row>
    <row r="11">
      <c r="A11" s="643">
        <v>646.0</v>
      </c>
      <c r="B11" s="644">
        <v>45987.0</v>
      </c>
      <c r="C11" s="644">
        <f t="shared" si="4"/>
        <v>45987</v>
      </c>
      <c r="D11" s="643">
        <v>10870.0</v>
      </c>
      <c r="E11" s="645" t="b">
        <v>1</v>
      </c>
      <c r="F11" s="646" t="str">
        <f t="shared" si="1"/>
        <v>PAGADO</v>
      </c>
      <c r="G11" s="340" t="s">
        <v>2276</v>
      </c>
      <c r="H11" s="646" t="str">
        <f t="shared" si="2"/>
        <v>VENCIDA</v>
      </c>
      <c r="I11" s="647">
        <f t="shared" si="3"/>
        <v>180</v>
      </c>
      <c r="J11" s="768" t="s">
        <v>49</v>
      </c>
      <c r="K11" s="770"/>
    </row>
    <row r="12">
      <c r="A12" s="643">
        <v>663.0</v>
      </c>
      <c r="B12" s="644">
        <v>46020.0</v>
      </c>
      <c r="C12" s="644">
        <f t="shared" si="4"/>
        <v>46020</v>
      </c>
      <c r="D12" s="643">
        <v>7725.0</v>
      </c>
      <c r="E12" s="645" t="b">
        <v>0</v>
      </c>
      <c r="F12" s="646" t="str">
        <f t="shared" si="1"/>
        <v>ADEUDA</v>
      </c>
      <c r="G12" s="340" t="s">
        <v>2278</v>
      </c>
      <c r="H12" s="646" t="str">
        <f t="shared" si="2"/>
        <v>VENCIDA</v>
      </c>
      <c r="I12" s="647">
        <f t="shared" si="3"/>
        <v>147</v>
      </c>
      <c r="J12" s="768" t="s">
        <v>50</v>
      </c>
      <c r="K12" s="770"/>
    </row>
    <row r="13">
      <c r="A13" s="643">
        <v>669.0</v>
      </c>
      <c r="B13" s="644">
        <v>46036.0</v>
      </c>
      <c r="C13" s="644">
        <f t="shared" si="4"/>
        <v>46036</v>
      </c>
      <c r="D13" s="643">
        <v>33660.0</v>
      </c>
      <c r="E13" s="645" t="b">
        <v>1</v>
      </c>
      <c r="F13" s="646" t="str">
        <f t="shared" si="1"/>
        <v>PAGADO</v>
      </c>
      <c r="G13" s="340" t="s">
        <v>2276</v>
      </c>
      <c r="H13" s="646" t="str">
        <f t="shared" si="2"/>
        <v>VENCIDA</v>
      </c>
      <c r="I13" s="647">
        <f t="shared" si="3"/>
        <v>131</v>
      </c>
      <c r="J13" s="768" t="s">
        <v>51</v>
      </c>
      <c r="K13" s="770">
        <f>D12</f>
        <v>7725</v>
      </c>
    </row>
    <row r="14">
      <c r="A14" s="644"/>
      <c r="B14" s="644"/>
      <c r="C14" s="644" t="str">
        <f t="shared" si="4"/>
        <v/>
      </c>
      <c r="D14" s="643"/>
      <c r="E14" s="645" t="b">
        <v>0</v>
      </c>
      <c r="F14" s="646" t="str">
        <f t="shared" si="1"/>
        <v>ADEUDA</v>
      </c>
      <c r="G14" s="340" t="s">
        <v>2278</v>
      </c>
      <c r="H14" s="646" t="str">
        <f t="shared" si="2"/>
        <v>VENCIDA</v>
      </c>
      <c r="I14" s="647">
        <f t="shared" si="3"/>
        <v>46167</v>
      </c>
    </row>
    <row r="15">
      <c r="A15" s="644"/>
      <c r="B15" s="644"/>
      <c r="C15" s="644" t="str">
        <f t="shared" si="4"/>
        <v/>
      </c>
      <c r="D15" s="643"/>
      <c r="E15" s="654" t="b">
        <v>0</v>
      </c>
      <c r="F15" s="646" t="str">
        <f t="shared" si="1"/>
        <v>ADEUDA</v>
      </c>
      <c r="G15" s="340" t="s">
        <v>2278</v>
      </c>
      <c r="H15" s="646" t="str">
        <f t="shared" si="2"/>
        <v>VENCIDA</v>
      </c>
      <c r="I15" s="647">
        <f t="shared" si="3"/>
        <v>46167</v>
      </c>
      <c r="K15" s="318"/>
    </row>
    <row r="16">
      <c r="A16" s="644"/>
      <c r="B16" s="644"/>
      <c r="C16" s="644" t="str">
        <f t="shared" si="4"/>
        <v/>
      </c>
      <c r="D16" s="643"/>
      <c r="E16" s="654" t="b">
        <v>0</v>
      </c>
      <c r="F16" s="646" t="str">
        <f t="shared" si="1"/>
        <v>ADEUDA</v>
      </c>
      <c r="G16" s="340" t="s">
        <v>2278</v>
      </c>
      <c r="H16" s="646" t="str">
        <f t="shared" si="2"/>
        <v>VENCIDA</v>
      </c>
      <c r="I16" s="647">
        <f t="shared" si="3"/>
        <v>46167</v>
      </c>
    </row>
    <row r="17">
      <c r="A17" s="644"/>
      <c r="B17" s="644"/>
      <c r="C17" s="644" t="str">
        <f t="shared" si="4"/>
        <v/>
      </c>
      <c r="D17" s="643"/>
      <c r="E17" s="654" t="b">
        <v>0</v>
      </c>
      <c r="F17" s="646" t="str">
        <f t="shared" si="1"/>
        <v>ADEUDA</v>
      </c>
      <c r="G17" s="340" t="s">
        <v>2278</v>
      </c>
      <c r="H17" s="646" t="str">
        <f t="shared" si="2"/>
        <v>VENCIDA</v>
      </c>
      <c r="I17" s="647">
        <f t="shared" si="3"/>
        <v>46167</v>
      </c>
    </row>
    <row r="18">
      <c r="A18" s="644"/>
      <c r="B18" s="644"/>
      <c r="C18" s="644" t="str">
        <f t="shared" si="4"/>
        <v/>
      </c>
      <c r="D18" s="643"/>
      <c r="E18" s="658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4"/>
      <c r="B19" s="644"/>
      <c r="C19" s="644" t="str">
        <f t="shared" si="4"/>
        <v/>
      </c>
      <c r="D19" s="643"/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/>
      <c r="C20" s="644" t="str">
        <f t="shared" si="4"/>
        <v/>
      </c>
      <c r="D20" s="643"/>
      <c r="E20" s="658" t="b">
        <v>0</v>
      </c>
      <c r="F20" s="646" t="str">
        <f t="shared" si="1"/>
        <v>ADEUDA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/>
      <c r="C21" s="644" t="str">
        <f t="shared" si="4"/>
        <v/>
      </c>
      <c r="D21" s="643"/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/>
      <c r="C22" s="644" t="str">
        <f t="shared" si="4"/>
        <v/>
      </c>
      <c r="D22" s="643"/>
      <c r="E22" s="658" t="b">
        <v>0</v>
      </c>
      <c r="F22" s="646" t="str">
        <f t="shared" si="1"/>
        <v>ADEUDA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 t="str">
        <f t="shared" si="4"/>
        <v/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 t="str">
        <f t="shared" si="4"/>
        <v/>
      </c>
      <c r="D25" s="643"/>
      <c r="E25" s="645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 t="str">
        <f t="shared" si="4"/>
        <v/>
      </c>
      <c r="D26" s="643"/>
      <c r="E26" s="658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 t="str">
        <f t="shared" si="4"/>
        <v/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 t="str">
        <f t="shared" si="4"/>
        <v/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/>
      <c r="C29" s="644" t="str">
        <f t="shared" si="4"/>
        <v/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/>
      <c r="C30" s="644" t="str">
        <f t="shared" si="4"/>
        <v/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/>
      <c r="C31" s="644" t="str">
        <f t="shared" si="4"/>
        <v/>
      </c>
      <c r="D31" s="643"/>
      <c r="E31" s="645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/>
      <c r="C32" s="644" t="str">
        <f t="shared" si="4"/>
        <v/>
      </c>
      <c r="D32" s="643"/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/>
      <c r="C33" s="644" t="str">
        <f t="shared" si="4"/>
        <v/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/>
      <c r="C34" s="644" t="str">
        <f t="shared" si="4"/>
        <v/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/>
      <c r="C35" s="644" t="str">
        <f t="shared" si="4"/>
        <v/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/>
      <c r="C36" s="644" t="str">
        <f t="shared" si="4"/>
        <v/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/>
      <c r="C37" s="644" t="str">
        <f t="shared" si="4"/>
        <v/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/>
      <c r="C38" s="644" t="str">
        <f t="shared" si="4"/>
        <v/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/>
      <c r="C39" s="644" t="str">
        <f t="shared" si="4"/>
        <v/>
      </c>
      <c r="D39" s="643"/>
      <c r="E39" s="645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/>
      <c r="C40" s="644" t="str">
        <f t="shared" si="4"/>
        <v/>
      </c>
      <c r="D40" s="643"/>
      <c r="E40" s="645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/>
      <c r="C41" s="644" t="str">
        <f t="shared" si="4"/>
        <v/>
      </c>
      <c r="D41" s="643"/>
      <c r="E41" s="658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/>
      <c r="C42" s="644" t="str">
        <f t="shared" si="4"/>
        <v/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/>
      <c r="C43" s="644" t="str">
        <f t="shared" si="4"/>
        <v/>
      </c>
      <c r="D43" s="643"/>
      <c r="E43" s="645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/>
      <c r="C44" s="644" t="str">
        <f t="shared" si="4"/>
        <v/>
      </c>
      <c r="D44" s="643"/>
      <c r="E44" s="658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/>
      <c r="C45" s="644" t="str">
        <f t="shared" si="4"/>
        <v/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/>
      <c r="C46" s="644" t="str">
        <f t="shared" si="4"/>
        <v/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46167</v>
      </c>
    </row>
    <row r="47">
      <c r="A47" s="644"/>
      <c r="B47" s="644"/>
      <c r="C47" s="644" t="str">
        <f t="shared" si="4"/>
        <v/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/>
      <c r="C48" s="644" t="str">
        <f t="shared" si="4"/>
        <v/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46167</v>
      </c>
    </row>
    <row r="49">
      <c r="A49" s="644"/>
      <c r="B49" s="644"/>
      <c r="C49" s="644" t="str">
        <f t="shared" si="4"/>
        <v/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46167</v>
      </c>
    </row>
    <row r="50">
      <c r="A50" s="644"/>
      <c r="B50" s="644"/>
      <c r="C50" s="644" t="str">
        <f t="shared" si="4"/>
        <v/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/>
      <c r="C51" s="644" t="str">
        <f t="shared" si="4"/>
        <v/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/>
      <c r="C52" s="644" t="str">
        <f t="shared" si="4"/>
        <v/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/>
      <c r="C53" s="644" t="str">
        <f t="shared" si="4"/>
        <v/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/>
      <c r="C54" s="644" t="str">
        <f t="shared" si="4"/>
        <v/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46167</v>
      </c>
    </row>
    <row r="55">
      <c r="A55" s="644"/>
      <c r="B55" s="644"/>
      <c r="C55" s="644" t="str">
        <f t="shared" si="4"/>
        <v/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/>
      <c r="C56" s="644" t="str">
        <f t="shared" si="4"/>
        <v/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/>
      <c r="C57" s="644" t="str">
        <f t="shared" si="4"/>
        <v/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/>
      <c r="C58" s="644" t="str">
        <f t="shared" si="4"/>
        <v/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/>
      <c r="C59" s="644" t="str">
        <f t="shared" si="4"/>
        <v/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/>
      <c r="C60" s="644" t="str">
        <f t="shared" si="4"/>
        <v/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/>
      <c r="C61" s="644" t="str">
        <f t="shared" si="4"/>
        <v/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46167</v>
      </c>
    </row>
    <row r="62">
      <c r="A62" s="644"/>
      <c r="B62" s="644"/>
      <c r="C62" s="644" t="str">
        <f t="shared" si="4"/>
        <v/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/>
      <c r="C63" s="644" t="str">
        <f t="shared" si="4"/>
        <v/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 t="str">
        <f t="shared" si="4"/>
        <v/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 t="str">
        <f t="shared" si="4"/>
        <v/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 t="str">
        <f t="shared" si="4"/>
        <v/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 t="str">
        <f t="shared" si="4"/>
        <v/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 t="str">
        <f t="shared" si="4"/>
        <v/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 t="str">
        <f t="shared" si="4"/>
        <v/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 t="str">
        <f t="shared" si="4"/>
        <v/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 t="str">
        <f t="shared" si="4"/>
        <v/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 t="str">
        <f t="shared" si="4"/>
        <v/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 t="str">
        <f t="shared" si="4"/>
        <v/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 t="str">
        <f t="shared" si="4"/>
        <v/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 t="str">
        <f t="shared" si="4"/>
        <v/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 t="str">
        <f t="shared" si="4"/>
        <v/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 t="str">
        <f t="shared" si="4"/>
        <v/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 t="str">
        <f t="shared" si="4"/>
        <v/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 t="str">
        <f t="shared" si="4"/>
        <v/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 t="str">
        <f t="shared" si="4"/>
        <v/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 t="str">
        <f t="shared" si="4"/>
        <v/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 t="str">
        <f t="shared" si="4"/>
        <v/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 t="str">
        <f t="shared" si="4"/>
        <v/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 t="str">
        <f t="shared" si="4"/>
        <v/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 t="str">
        <f t="shared" si="4"/>
        <v/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 t="str">
        <f t="shared" si="4"/>
        <v/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 t="str">
        <f t="shared" si="4"/>
        <v/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 t="str">
        <f t="shared" si="4"/>
        <v/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 t="str">
        <f t="shared" si="4"/>
        <v/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 t="str">
        <f t="shared" si="4"/>
        <v/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 t="str">
        <f t="shared" si="4"/>
        <v/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 t="str">
        <f t="shared" si="4"/>
        <v/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 t="str">
        <f t="shared" si="4"/>
        <v/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 t="str">
        <f t="shared" si="4"/>
        <v/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 t="str">
        <f t="shared" si="4"/>
        <v/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 t="str">
        <f t="shared" si="4"/>
        <v/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 t="str">
        <f t="shared" si="4"/>
        <v/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 t="str">
        <f t="shared" si="4"/>
        <v/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 t="str">
        <f t="shared" si="4"/>
        <v/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 t="str">
        <f t="shared" si="4"/>
        <v/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 t="str">
        <f t="shared" si="4"/>
        <v/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 t="str">
        <f t="shared" si="4"/>
        <v/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 t="str">
        <f t="shared" si="4"/>
        <v/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 t="str">
        <f t="shared" si="4"/>
        <v/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 t="str">
        <f t="shared" si="4"/>
        <v/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 t="str">
        <f t="shared" si="4"/>
        <v/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 t="str">
        <f t="shared" si="4"/>
        <v/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 t="str">
        <f t="shared" si="4"/>
        <v/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 t="str">
        <f t="shared" si="4"/>
        <v/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 t="str">
        <f t="shared" si="4"/>
        <v/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 t="str">
        <f t="shared" si="4"/>
        <v/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 t="str">
        <f t="shared" si="4"/>
        <v/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 t="str">
        <f t="shared" si="4"/>
        <v/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 t="str">
        <f t="shared" si="4"/>
        <v/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 t="str">
        <f t="shared" si="4"/>
        <v/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 t="str">
        <f t="shared" si="4"/>
        <v/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 t="str">
        <f t="shared" si="4"/>
        <v/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 t="str">
        <f t="shared" si="4"/>
        <v/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 t="str">
        <f t="shared" si="4"/>
        <v/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 t="str">
        <f t="shared" si="4"/>
        <v/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 t="str">
        <f t="shared" si="4"/>
        <v/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 t="str">
        <f t="shared" si="4"/>
        <v/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 t="str">
        <f t="shared" si="4"/>
        <v/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 t="str">
        <f t="shared" si="4"/>
        <v/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 t="str">
        <f t="shared" si="4"/>
        <v/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 t="str">
        <f t="shared" si="4"/>
        <v/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 t="str">
        <f t="shared" si="4"/>
        <v/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 t="str">
        <f t="shared" si="4"/>
        <v/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 t="str">
        <f t="shared" si="4"/>
        <v/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 t="str">
        <f t="shared" si="4"/>
        <v/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 t="str">
        <f t="shared" si="4"/>
        <v/>
      </c>
      <c r="D131" s="643"/>
      <c r="E131" s="645" t="b">
        <v>1</v>
      </c>
      <c r="F131" s="646" t="str">
        <f t="shared" si="1"/>
        <v>PAGADO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3">
      <c r="C133" s="771"/>
    </row>
    <row r="134">
      <c r="C134" s="772" t="s">
        <v>55</v>
      </c>
      <c r="D134" s="3">
        <f>SUMIF(F3:F131,C134,D3:D131)</f>
        <v>7725</v>
      </c>
    </row>
    <row r="135">
      <c r="C135" s="773" t="s">
        <v>527</v>
      </c>
      <c r="D135" s="3">
        <f>SUMIF(F3:F131,C135,D3:D131)</f>
        <v>260310</v>
      </c>
    </row>
    <row r="136">
      <c r="C136" s="697" t="s">
        <v>28</v>
      </c>
      <c r="D136" s="3">
        <f>D134+D135</f>
        <v>268035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2499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>
        <v>157.0</v>
      </c>
      <c r="B3" s="644">
        <v>45873.0</v>
      </c>
      <c r="C3" s="644"/>
      <c r="D3" s="643">
        <v>44100.0</v>
      </c>
      <c r="E3" s="645" t="b">
        <v>1</v>
      </c>
      <c r="F3" s="646" t="str">
        <f t="shared" ref="F3:F131" si="1">IF(E3,"PAGADO","ADEUDA")</f>
        <v>PAGADO</v>
      </c>
      <c r="G3" s="340" t="s">
        <v>2276</v>
      </c>
      <c r="H3" s="646" t="str">
        <f t="shared" ref="H3:H131" si="2">IF(C3&lt;TODAY(),"VENCIDA",IF(C3=TODAY(),"VENCE HOY",IF(C3&gt;TODAY(),"VIGENTE")))</f>
        <v>VENCIDA</v>
      </c>
      <c r="I3" s="647">
        <f t="shared" ref="I3:I131" si="3">TODAY()-C3</f>
        <v>46167</v>
      </c>
      <c r="J3" s="768" t="s">
        <v>31</v>
      </c>
      <c r="K3" s="769"/>
    </row>
    <row r="4">
      <c r="A4" s="643">
        <v>158.0</v>
      </c>
      <c r="B4" s="644">
        <v>45877.0</v>
      </c>
      <c r="C4" s="644"/>
      <c r="D4" s="643">
        <v>23200.0</v>
      </c>
      <c r="E4" s="645" t="b">
        <v>1</v>
      </c>
      <c r="F4" s="646" t="str">
        <f t="shared" si="1"/>
        <v>PAGADO</v>
      </c>
      <c r="G4" s="340" t="s">
        <v>2276</v>
      </c>
      <c r="H4" s="646" t="str">
        <f t="shared" si="2"/>
        <v>VENCIDA</v>
      </c>
      <c r="I4" s="647">
        <f t="shared" si="3"/>
        <v>46167</v>
      </c>
      <c r="J4" s="768" t="s">
        <v>35</v>
      </c>
      <c r="K4" s="770"/>
    </row>
    <row r="5">
      <c r="A5" s="643"/>
      <c r="B5" s="644">
        <v>45875.0</v>
      </c>
      <c r="C5" s="644"/>
      <c r="D5" s="643">
        <v>6000.0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J5" s="768" t="s">
        <v>37</v>
      </c>
      <c r="K5" s="770"/>
    </row>
    <row r="6">
      <c r="A6" s="643"/>
      <c r="B6" s="644">
        <v>45877.0</v>
      </c>
      <c r="C6" s="644">
        <f t="shared" ref="C6:C131" si="4">B6</f>
        <v>45877</v>
      </c>
      <c r="D6" s="643">
        <v>7600.0</v>
      </c>
      <c r="E6" s="645" t="b">
        <v>1</v>
      </c>
      <c r="F6" s="646" t="str">
        <f t="shared" si="1"/>
        <v>PAGADO</v>
      </c>
      <c r="G6" s="340" t="s">
        <v>2287</v>
      </c>
      <c r="H6" s="646" t="str">
        <f t="shared" si="2"/>
        <v>VENCIDA</v>
      </c>
      <c r="I6" s="647">
        <f t="shared" si="3"/>
        <v>290</v>
      </c>
      <c r="J6" s="768" t="s">
        <v>39</v>
      </c>
      <c r="K6" s="770"/>
    </row>
    <row r="7">
      <c r="A7" s="643">
        <v>159.0</v>
      </c>
      <c r="B7" s="644">
        <v>45880.0</v>
      </c>
      <c r="C7" s="644">
        <f t="shared" si="4"/>
        <v>45880</v>
      </c>
      <c r="D7" s="643">
        <v>75400.0</v>
      </c>
      <c r="E7" s="645" t="b">
        <v>1</v>
      </c>
      <c r="F7" s="646" t="str">
        <f t="shared" si="1"/>
        <v>PAGADO</v>
      </c>
      <c r="G7" s="340" t="s">
        <v>2276</v>
      </c>
      <c r="H7" s="646" t="str">
        <f t="shared" si="2"/>
        <v>VENCIDA</v>
      </c>
      <c r="I7" s="647">
        <f t="shared" si="3"/>
        <v>287</v>
      </c>
      <c r="J7" s="768" t="s">
        <v>41</v>
      </c>
      <c r="K7" s="770"/>
    </row>
    <row r="8">
      <c r="A8" s="643">
        <v>160.0</v>
      </c>
      <c r="B8" s="644">
        <v>45890.0</v>
      </c>
      <c r="C8" s="644">
        <f t="shared" si="4"/>
        <v>45890</v>
      </c>
      <c r="D8" s="643">
        <v>44100.0</v>
      </c>
      <c r="E8" s="645" t="b">
        <v>1</v>
      </c>
      <c r="F8" s="646" t="str">
        <f t="shared" si="1"/>
        <v>PAGADO</v>
      </c>
      <c r="G8" s="340" t="s">
        <v>2276</v>
      </c>
      <c r="H8" s="646" t="str">
        <f t="shared" si="2"/>
        <v>VENCIDA</v>
      </c>
      <c r="I8" s="647">
        <f t="shared" si="3"/>
        <v>277</v>
      </c>
      <c r="J8" s="768" t="s">
        <v>42</v>
      </c>
      <c r="K8" s="770"/>
    </row>
    <row r="9">
      <c r="A9" s="643" t="s">
        <v>2500</v>
      </c>
      <c r="B9" s="644">
        <v>45896.0</v>
      </c>
      <c r="C9" s="644">
        <f t="shared" si="4"/>
        <v>45896</v>
      </c>
      <c r="D9" s="643">
        <v>41000.0</v>
      </c>
      <c r="E9" s="645" t="b">
        <v>1</v>
      </c>
      <c r="F9" s="646" t="str">
        <f t="shared" si="1"/>
        <v>PAGADO</v>
      </c>
      <c r="G9" s="340" t="s">
        <v>2276</v>
      </c>
      <c r="H9" s="646" t="str">
        <f t="shared" si="2"/>
        <v>VENCIDA</v>
      </c>
      <c r="I9" s="647">
        <f t="shared" si="3"/>
        <v>271</v>
      </c>
      <c r="J9" s="768" t="s">
        <v>43</v>
      </c>
      <c r="K9" s="770">
        <f>D3+D4+D5+D6+D7+D8+D9+D10</f>
        <v>256100</v>
      </c>
    </row>
    <row r="10">
      <c r="A10" s="643">
        <v>161.0</v>
      </c>
      <c r="B10" s="644">
        <v>45896.0</v>
      </c>
      <c r="C10" s="644">
        <f t="shared" si="4"/>
        <v>45896</v>
      </c>
      <c r="D10" s="643">
        <v>14700.0</v>
      </c>
      <c r="E10" s="645" t="b">
        <v>1</v>
      </c>
      <c r="F10" s="646" t="str">
        <f t="shared" si="1"/>
        <v>PAGADO</v>
      </c>
      <c r="G10" s="340" t="s">
        <v>2276</v>
      </c>
      <c r="H10" s="646" t="str">
        <f t="shared" si="2"/>
        <v>VENCIDA</v>
      </c>
      <c r="I10" s="647">
        <f t="shared" si="3"/>
        <v>271</v>
      </c>
      <c r="J10" s="768" t="s">
        <v>45</v>
      </c>
      <c r="K10" s="770"/>
    </row>
    <row r="11">
      <c r="A11" s="643">
        <v>164.0</v>
      </c>
      <c r="B11" s="644">
        <v>45901.0</v>
      </c>
      <c r="C11" s="644">
        <f t="shared" si="4"/>
        <v>45901</v>
      </c>
      <c r="D11" s="643">
        <v>32300.0</v>
      </c>
      <c r="E11" s="645" t="b">
        <v>1</v>
      </c>
      <c r="F11" s="646" t="str">
        <f t="shared" si="1"/>
        <v>PAGADO</v>
      </c>
      <c r="G11" s="340" t="s">
        <v>2287</v>
      </c>
      <c r="H11" s="646" t="str">
        <f t="shared" si="2"/>
        <v>VENCIDA</v>
      </c>
      <c r="I11" s="647">
        <f t="shared" si="3"/>
        <v>266</v>
      </c>
      <c r="J11" s="768" t="s">
        <v>49</v>
      </c>
      <c r="K11" s="770"/>
    </row>
    <row r="12">
      <c r="A12" s="643">
        <v>173.0</v>
      </c>
      <c r="B12" s="644">
        <v>45917.0</v>
      </c>
      <c r="C12" s="644">
        <f t="shared" si="4"/>
        <v>45917</v>
      </c>
      <c r="D12" s="643">
        <v>15500.0</v>
      </c>
      <c r="E12" s="645" t="b">
        <v>1</v>
      </c>
      <c r="F12" s="646" t="str">
        <f t="shared" si="1"/>
        <v>PAGADO</v>
      </c>
      <c r="G12" s="340" t="s">
        <v>2276</v>
      </c>
      <c r="H12" s="646" t="str">
        <f t="shared" si="2"/>
        <v>VENCIDA</v>
      </c>
      <c r="I12" s="647">
        <f t="shared" si="3"/>
        <v>250</v>
      </c>
      <c r="J12" s="768" t="s">
        <v>50</v>
      </c>
      <c r="K12" s="770"/>
    </row>
    <row r="13">
      <c r="A13" s="643">
        <v>174.0</v>
      </c>
      <c r="B13" s="644">
        <v>45922.0</v>
      </c>
      <c r="C13" s="644">
        <f t="shared" si="4"/>
        <v>45922</v>
      </c>
      <c r="D13" s="643">
        <v>45500.0</v>
      </c>
      <c r="E13" s="645" t="b">
        <v>1</v>
      </c>
      <c r="F13" s="646" t="str">
        <f t="shared" si="1"/>
        <v>PAGADO</v>
      </c>
      <c r="G13" s="340" t="s">
        <v>2278</v>
      </c>
      <c r="H13" s="646" t="str">
        <f t="shared" si="2"/>
        <v>VENCIDA</v>
      </c>
      <c r="I13" s="647">
        <f t="shared" si="3"/>
        <v>245</v>
      </c>
      <c r="J13" s="768" t="s">
        <v>51</v>
      </c>
      <c r="K13" s="770">
        <f>D18</f>
        <v>8000</v>
      </c>
    </row>
    <row r="14">
      <c r="A14" s="643">
        <v>175.0</v>
      </c>
      <c r="B14" s="644">
        <v>45923.0</v>
      </c>
      <c r="C14" s="644">
        <f t="shared" si="4"/>
        <v>45923</v>
      </c>
      <c r="D14" s="643">
        <v>30500.0</v>
      </c>
      <c r="E14" s="645" t="b">
        <v>1</v>
      </c>
      <c r="F14" s="646" t="str">
        <f t="shared" si="1"/>
        <v>PAGADO</v>
      </c>
      <c r="G14" s="340" t="s">
        <v>2278</v>
      </c>
      <c r="H14" s="646" t="str">
        <f t="shared" si="2"/>
        <v>VENCIDA</v>
      </c>
      <c r="I14" s="647">
        <f t="shared" si="3"/>
        <v>244</v>
      </c>
    </row>
    <row r="15">
      <c r="A15" s="643">
        <v>179.0</v>
      </c>
      <c r="B15" s="644">
        <v>45945.0</v>
      </c>
      <c r="C15" s="644">
        <f t="shared" si="4"/>
        <v>45945</v>
      </c>
      <c r="D15" s="643">
        <v>11000.0</v>
      </c>
      <c r="E15" s="654" t="b">
        <v>1</v>
      </c>
      <c r="F15" s="646" t="str">
        <f t="shared" si="1"/>
        <v>PAGADO</v>
      </c>
      <c r="G15" s="340" t="s">
        <v>2278</v>
      </c>
      <c r="H15" s="646" t="str">
        <f t="shared" si="2"/>
        <v>VENCIDA</v>
      </c>
      <c r="I15" s="647">
        <f t="shared" si="3"/>
        <v>222</v>
      </c>
      <c r="K15" s="318"/>
    </row>
    <row r="16">
      <c r="A16" s="643">
        <v>180.0</v>
      </c>
      <c r="B16" s="644">
        <v>45946.0</v>
      </c>
      <c r="C16" s="644">
        <f t="shared" si="4"/>
        <v>45946</v>
      </c>
      <c r="D16" s="643">
        <v>41600.0</v>
      </c>
      <c r="E16" s="654" t="b">
        <v>1</v>
      </c>
      <c r="F16" s="646" t="str">
        <f t="shared" si="1"/>
        <v>PAGADO</v>
      </c>
      <c r="G16" s="340" t="s">
        <v>2278</v>
      </c>
      <c r="H16" s="646" t="str">
        <f t="shared" si="2"/>
        <v>VENCIDA</v>
      </c>
      <c r="I16" s="647">
        <f t="shared" si="3"/>
        <v>221</v>
      </c>
    </row>
    <row r="17">
      <c r="A17" s="643">
        <v>196.0</v>
      </c>
      <c r="B17" s="644">
        <v>45975.0</v>
      </c>
      <c r="C17" s="644">
        <f t="shared" si="4"/>
        <v>45975</v>
      </c>
      <c r="D17" s="643">
        <v>33600.0</v>
      </c>
      <c r="E17" s="654" t="b">
        <v>1</v>
      </c>
      <c r="F17" s="646" t="str">
        <f t="shared" si="1"/>
        <v>PAGADO</v>
      </c>
      <c r="G17" s="340" t="s">
        <v>2278</v>
      </c>
      <c r="H17" s="646" t="str">
        <f t="shared" si="2"/>
        <v>VENCIDA</v>
      </c>
      <c r="I17" s="647">
        <f t="shared" si="3"/>
        <v>192</v>
      </c>
    </row>
    <row r="18">
      <c r="A18" s="643">
        <v>199.0</v>
      </c>
      <c r="B18" s="644">
        <v>46002.0</v>
      </c>
      <c r="C18" s="644">
        <f t="shared" si="4"/>
        <v>46002</v>
      </c>
      <c r="D18" s="643">
        <v>8000.0</v>
      </c>
      <c r="E18" s="645" t="b">
        <v>1</v>
      </c>
      <c r="F18" s="646" t="str">
        <f t="shared" si="1"/>
        <v>PAGADO</v>
      </c>
      <c r="G18" s="340" t="s">
        <v>2287</v>
      </c>
      <c r="H18" s="646" t="str">
        <f t="shared" si="2"/>
        <v>VENCIDA</v>
      </c>
      <c r="I18" s="647">
        <f t="shared" si="3"/>
        <v>165</v>
      </c>
    </row>
    <row r="19">
      <c r="A19" s="644"/>
      <c r="B19" s="644"/>
      <c r="C19" s="644" t="str">
        <f t="shared" si="4"/>
        <v/>
      </c>
      <c r="D19" s="643"/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/>
      <c r="C20" s="644" t="str">
        <f t="shared" si="4"/>
        <v/>
      </c>
      <c r="D20" s="643"/>
      <c r="E20" s="658" t="b">
        <v>0</v>
      </c>
      <c r="F20" s="646" t="str">
        <f t="shared" si="1"/>
        <v>ADEUDA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/>
      <c r="C21" s="644" t="str">
        <f t="shared" si="4"/>
        <v/>
      </c>
      <c r="D21" s="643"/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/>
      <c r="C22" s="644" t="str">
        <f t="shared" si="4"/>
        <v/>
      </c>
      <c r="D22" s="643"/>
      <c r="E22" s="658" t="b">
        <v>0</v>
      </c>
      <c r="F22" s="646" t="str">
        <f t="shared" si="1"/>
        <v>ADEUDA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 t="str">
        <f t="shared" si="4"/>
        <v/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 t="str">
        <f t="shared" si="4"/>
        <v/>
      </c>
      <c r="D25" s="643"/>
      <c r="E25" s="645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 t="str">
        <f t="shared" si="4"/>
        <v/>
      </c>
      <c r="D26" s="643"/>
      <c r="E26" s="658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 t="str">
        <f t="shared" si="4"/>
        <v/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 t="str">
        <f t="shared" si="4"/>
        <v/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/>
      <c r="C29" s="644" t="str">
        <f t="shared" si="4"/>
        <v/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/>
      <c r="C30" s="644" t="str">
        <f t="shared" si="4"/>
        <v/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/>
      <c r="C31" s="644" t="str">
        <f t="shared" si="4"/>
        <v/>
      </c>
      <c r="D31" s="643"/>
      <c r="E31" s="645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/>
      <c r="C32" s="644" t="str">
        <f t="shared" si="4"/>
        <v/>
      </c>
      <c r="D32" s="643"/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/>
      <c r="C33" s="644" t="str">
        <f t="shared" si="4"/>
        <v/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/>
      <c r="C34" s="644" t="str">
        <f t="shared" si="4"/>
        <v/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/>
      <c r="C35" s="644" t="str">
        <f t="shared" si="4"/>
        <v/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/>
      <c r="C36" s="644" t="str">
        <f t="shared" si="4"/>
        <v/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/>
      <c r="C37" s="644" t="str">
        <f t="shared" si="4"/>
        <v/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/>
      <c r="C38" s="644" t="str">
        <f t="shared" si="4"/>
        <v/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/>
      <c r="C39" s="644" t="str">
        <f t="shared" si="4"/>
        <v/>
      </c>
      <c r="D39" s="643"/>
      <c r="E39" s="645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/>
      <c r="C40" s="644" t="str">
        <f t="shared" si="4"/>
        <v/>
      </c>
      <c r="D40" s="643"/>
      <c r="E40" s="645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/>
      <c r="C41" s="644" t="str">
        <f t="shared" si="4"/>
        <v/>
      </c>
      <c r="D41" s="643"/>
      <c r="E41" s="658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/>
      <c r="C42" s="644" t="str">
        <f t="shared" si="4"/>
        <v/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/>
      <c r="C43" s="644" t="str">
        <f t="shared" si="4"/>
        <v/>
      </c>
      <c r="D43" s="643"/>
      <c r="E43" s="645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/>
      <c r="C44" s="644" t="str">
        <f t="shared" si="4"/>
        <v/>
      </c>
      <c r="D44" s="643"/>
      <c r="E44" s="658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/>
      <c r="C45" s="644" t="str">
        <f t="shared" si="4"/>
        <v/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/>
      <c r="C46" s="644" t="str">
        <f t="shared" si="4"/>
        <v/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46167</v>
      </c>
    </row>
    <row r="47">
      <c r="A47" s="644"/>
      <c r="B47" s="644"/>
      <c r="C47" s="644" t="str">
        <f t="shared" si="4"/>
        <v/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/>
      <c r="C48" s="644" t="str">
        <f t="shared" si="4"/>
        <v/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46167</v>
      </c>
    </row>
    <row r="49">
      <c r="A49" s="644"/>
      <c r="B49" s="644"/>
      <c r="C49" s="644" t="str">
        <f t="shared" si="4"/>
        <v/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46167</v>
      </c>
    </row>
    <row r="50">
      <c r="A50" s="644"/>
      <c r="B50" s="644"/>
      <c r="C50" s="644" t="str">
        <f t="shared" si="4"/>
        <v/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/>
      <c r="C51" s="644" t="str">
        <f t="shared" si="4"/>
        <v/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/>
      <c r="C52" s="644" t="str">
        <f t="shared" si="4"/>
        <v/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/>
      <c r="C53" s="644" t="str">
        <f t="shared" si="4"/>
        <v/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/>
      <c r="C54" s="644" t="str">
        <f t="shared" si="4"/>
        <v/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46167</v>
      </c>
    </row>
    <row r="55">
      <c r="A55" s="644"/>
      <c r="B55" s="644"/>
      <c r="C55" s="644" t="str">
        <f t="shared" si="4"/>
        <v/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/>
      <c r="C56" s="644" t="str">
        <f t="shared" si="4"/>
        <v/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/>
      <c r="C57" s="644" t="str">
        <f t="shared" si="4"/>
        <v/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/>
      <c r="C58" s="644" t="str">
        <f t="shared" si="4"/>
        <v/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/>
      <c r="C59" s="644" t="str">
        <f t="shared" si="4"/>
        <v/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/>
      <c r="C60" s="644" t="str">
        <f t="shared" si="4"/>
        <v/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/>
      <c r="C61" s="644" t="str">
        <f t="shared" si="4"/>
        <v/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46167</v>
      </c>
    </row>
    <row r="62">
      <c r="A62" s="644"/>
      <c r="B62" s="644"/>
      <c r="C62" s="644" t="str">
        <f t="shared" si="4"/>
        <v/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/>
      <c r="C63" s="644" t="str">
        <f t="shared" si="4"/>
        <v/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 t="str">
        <f t="shared" si="4"/>
        <v/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 t="str">
        <f t="shared" si="4"/>
        <v/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 t="str">
        <f t="shared" si="4"/>
        <v/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 t="str">
        <f t="shared" si="4"/>
        <v/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 t="str">
        <f t="shared" si="4"/>
        <v/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 t="str">
        <f t="shared" si="4"/>
        <v/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 t="str">
        <f t="shared" si="4"/>
        <v/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 t="str">
        <f t="shared" si="4"/>
        <v/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 t="str">
        <f t="shared" si="4"/>
        <v/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 t="str">
        <f t="shared" si="4"/>
        <v/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 t="str">
        <f t="shared" si="4"/>
        <v/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 t="str">
        <f t="shared" si="4"/>
        <v/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 t="str">
        <f t="shared" si="4"/>
        <v/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 t="str">
        <f t="shared" si="4"/>
        <v/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 t="str">
        <f t="shared" si="4"/>
        <v/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 t="str">
        <f t="shared" si="4"/>
        <v/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 t="str">
        <f t="shared" si="4"/>
        <v/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 t="str">
        <f t="shared" si="4"/>
        <v/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 t="str">
        <f t="shared" si="4"/>
        <v/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 t="str">
        <f t="shared" si="4"/>
        <v/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 t="str">
        <f t="shared" si="4"/>
        <v/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 t="str">
        <f t="shared" si="4"/>
        <v/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 t="str">
        <f t="shared" si="4"/>
        <v/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 t="str">
        <f t="shared" si="4"/>
        <v/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 t="str">
        <f t="shared" si="4"/>
        <v/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 t="str">
        <f t="shared" si="4"/>
        <v/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 t="str">
        <f t="shared" si="4"/>
        <v/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 t="str">
        <f t="shared" si="4"/>
        <v/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 t="str">
        <f t="shared" si="4"/>
        <v/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 t="str">
        <f t="shared" si="4"/>
        <v/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 t="str">
        <f t="shared" si="4"/>
        <v/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 t="str">
        <f t="shared" si="4"/>
        <v/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 t="str">
        <f t="shared" si="4"/>
        <v/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 t="str">
        <f t="shared" si="4"/>
        <v/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 t="str">
        <f t="shared" si="4"/>
        <v/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 t="str">
        <f t="shared" si="4"/>
        <v/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 t="str">
        <f t="shared" si="4"/>
        <v/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 t="str">
        <f t="shared" si="4"/>
        <v/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 t="str">
        <f t="shared" si="4"/>
        <v/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 t="str">
        <f t="shared" si="4"/>
        <v/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 t="str">
        <f t="shared" si="4"/>
        <v/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 t="str">
        <f t="shared" si="4"/>
        <v/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 t="str">
        <f t="shared" si="4"/>
        <v/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 t="str">
        <f t="shared" si="4"/>
        <v/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 t="str">
        <f t="shared" si="4"/>
        <v/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 t="str">
        <f t="shared" si="4"/>
        <v/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 t="str">
        <f t="shared" si="4"/>
        <v/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 t="str">
        <f t="shared" si="4"/>
        <v/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 t="str">
        <f t="shared" si="4"/>
        <v/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 t="str">
        <f t="shared" si="4"/>
        <v/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 t="str">
        <f t="shared" si="4"/>
        <v/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 t="str">
        <f t="shared" si="4"/>
        <v/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 t="str">
        <f t="shared" si="4"/>
        <v/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 t="str">
        <f t="shared" si="4"/>
        <v/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 t="str">
        <f t="shared" si="4"/>
        <v/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 t="str">
        <f t="shared" si="4"/>
        <v/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 t="str">
        <f t="shared" si="4"/>
        <v/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 t="str">
        <f t="shared" si="4"/>
        <v/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 t="str">
        <f t="shared" si="4"/>
        <v/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 t="str">
        <f t="shared" si="4"/>
        <v/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 t="str">
        <f t="shared" si="4"/>
        <v/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 t="str">
        <f t="shared" si="4"/>
        <v/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 t="str">
        <f t="shared" si="4"/>
        <v/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 t="str">
        <f t="shared" si="4"/>
        <v/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 t="str">
        <f t="shared" si="4"/>
        <v/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 t="str">
        <f t="shared" si="4"/>
        <v/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 t="str">
        <f t="shared" si="4"/>
        <v/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 t="str">
        <f t="shared" si="4"/>
        <v/>
      </c>
      <c r="D131" s="643"/>
      <c r="E131" s="645" t="b">
        <v>1</v>
      </c>
      <c r="F131" s="646" t="str">
        <f t="shared" si="1"/>
        <v>PAGADO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3">
      <c r="C133" s="771"/>
    </row>
    <row r="134">
      <c r="C134" s="772" t="s">
        <v>55</v>
      </c>
      <c r="D134" s="3">
        <f>SUMIF(F3:F131,C134,D3:D131)</f>
        <v>0</v>
      </c>
    </row>
    <row r="135">
      <c r="C135" s="773" t="s">
        <v>527</v>
      </c>
      <c r="D135" s="3">
        <f>SUMIF(F3:F131,C135,D3:D131)</f>
        <v>474100</v>
      </c>
    </row>
    <row r="136">
      <c r="C136" s="697" t="s">
        <v>28</v>
      </c>
      <c r="D136" s="3">
        <f>D134+D135</f>
        <v>474100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2501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8" t="s">
        <v>2502</v>
      </c>
      <c r="B2" s="636"/>
      <c r="C2" s="636"/>
      <c r="D2" s="636"/>
      <c r="E2" s="636"/>
      <c r="F2" s="636"/>
      <c r="G2" s="636"/>
      <c r="H2" s="636"/>
      <c r="I2" s="636"/>
      <c r="J2" s="765"/>
      <c r="K2" s="765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45947.0</v>
      </c>
      <c r="C4" s="644"/>
      <c r="D4" s="643">
        <v>77848.98</v>
      </c>
      <c r="E4" s="645" t="b">
        <v>1</v>
      </c>
      <c r="F4" s="646" t="str">
        <f t="shared" ref="F4:F132" si="1">IF(E4,"PAGADO","ADEUDA")</f>
        <v>PAGADO</v>
      </c>
      <c r="G4" s="340" t="s">
        <v>2276</v>
      </c>
      <c r="H4" s="646" t="str">
        <f t="shared" ref="H4:H132" si="2">IF(C4&lt;TODAY(),"VENCIDA",IF(C4=TODAY(),"VENCE HOY",IF(C4&gt;TODAY(),"VIGENTE")))</f>
        <v>VENCIDA</v>
      </c>
      <c r="I4" s="647">
        <f t="shared" ref="I4:I132" si="3">TODAY()-C4</f>
        <v>46167</v>
      </c>
      <c r="J4" s="768" t="s">
        <v>31</v>
      </c>
      <c r="K4" s="769"/>
    </row>
    <row r="5">
      <c r="A5" s="643">
        <v>11457.0</v>
      </c>
      <c r="B5" s="644">
        <v>46001.0</v>
      </c>
      <c r="C5" s="644"/>
      <c r="D5" s="643">
        <v>98625.0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J5" s="768" t="s">
        <v>35</v>
      </c>
      <c r="K5" s="770"/>
    </row>
    <row r="6">
      <c r="A6" s="643"/>
      <c r="B6" s="644">
        <v>46378.0</v>
      </c>
      <c r="C6" s="644"/>
      <c r="D6" s="643">
        <v>86745.41</v>
      </c>
      <c r="E6" s="645" t="b">
        <v>1</v>
      </c>
      <c r="F6" s="646" t="str">
        <f t="shared" si="1"/>
        <v>PAGADO</v>
      </c>
      <c r="G6" s="340" t="s">
        <v>2276</v>
      </c>
      <c r="H6" s="646" t="str">
        <f t="shared" si="2"/>
        <v>VENCIDA</v>
      </c>
      <c r="I6" s="647">
        <f t="shared" si="3"/>
        <v>46167</v>
      </c>
      <c r="J6" s="768" t="s">
        <v>37</v>
      </c>
      <c r="K6" s="770"/>
    </row>
    <row r="7">
      <c r="A7" s="643"/>
      <c r="B7" s="644"/>
      <c r="C7" s="644"/>
      <c r="D7" s="643"/>
      <c r="E7" s="645" t="b">
        <v>0</v>
      </c>
      <c r="F7" s="646" t="str">
        <f t="shared" si="1"/>
        <v>ADEUDA</v>
      </c>
      <c r="G7" s="340" t="s">
        <v>2287</v>
      </c>
      <c r="H7" s="646" t="str">
        <f t="shared" si="2"/>
        <v>VENCIDA</v>
      </c>
      <c r="I7" s="647">
        <f t="shared" si="3"/>
        <v>46167</v>
      </c>
      <c r="J7" s="768" t="s">
        <v>39</v>
      </c>
      <c r="K7" s="770"/>
    </row>
    <row r="8">
      <c r="A8" s="643"/>
      <c r="B8" s="644"/>
      <c r="C8" s="644"/>
      <c r="D8" s="643"/>
      <c r="E8" s="645" t="b">
        <v>0</v>
      </c>
      <c r="F8" s="646" t="str">
        <f t="shared" si="1"/>
        <v>ADEUDA</v>
      </c>
      <c r="G8" s="340" t="s">
        <v>2276</v>
      </c>
      <c r="H8" s="646" t="str">
        <f t="shared" si="2"/>
        <v>VENCIDA</v>
      </c>
      <c r="I8" s="647">
        <f t="shared" si="3"/>
        <v>46167</v>
      </c>
      <c r="J8" s="768" t="s">
        <v>41</v>
      </c>
      <c r="K8" s="770"/>
    </row>
    <row r="9">
      <c r="A9" s="643"/>
      <c r="B9" s="644"/>
      <c r="C9" s="644"/>
      <c r="D9" s="643"/>
      <c r="E9" s="645" t="b">
        <v>0</v>
      </c>
      <c r="F9" s="646" t="str">
        <f t="shared" si="1"/>
        <v>ADEUDA</v>
      </c>
      <c r="G9" s="340" t="s">
        <v>2276</v>
      </c>
      <c r="H9" s="646" t="str">
        <f t="shared" si="2"/>
        <v>VENCIDA</v>
      </c>
      <c r="I9" s="647">
        <f t="shared" si="3"/>
        <v>46167</v>
      </c>
      <c r="J9" s="768" t="s">
        <v>42</v>
      </c>
      <c r="K9" s="770"/>
    </row>
    <row r="10">
      <c r="A10" s="643"/>
      <c r="B10" s="644"/>
      <c r="C10" s="644"/>
      <c r="D10" s="643"/>
      <c r="E10" s="645" t="b">
        <v>0</v>
      </c>
      <c r="F10" s="646" t="str">
        <f t="shared" si="1"/>
        <v>ADEUDA</v>
      </c>
      <c r="G10" s="340" t="s">
        <v>2276</v>
      </c>
      <c r="H10" s="646" t="str">
        <f t="shared" si="2"/>
        <v>VENCIDA</v>
      </c>
      <c r="I10" s="647">
        <f t="shared" si="3"/>
        <v>46167</v>
      </c>
      <c r="J10" s="768" t="s">
        <v>43</v>
      </c>
      <c r="K10" s="770">
        <f>D4+D5+D6+D7+D8+D9+D10+D11</f>
        <v>263219.39</v>
      </c>
    </row>
    <row r="11">
      <c r="A11" s="643"/>
      <c r="B11" s="644"/>
      <c r="C11" s="644"/>
      <c r="D11" s="643"/>
      <c r="E11" s="645" t="b">
        <v>0</v>
      </c>
      <c r="F11" s="646" t="str">
        <f t="shared" si="1"/>
        <v>ADEUDA</v>
      </c>
      <c r="G11" s="340" t="s">
        <v>2276</v>
      </c>
      <c r="H11" s="646" t="str">
        <f t="shared" si="2"/>
        <v>VENCIDA</v>
      </c>
      <c r="I11" s="647">
        <f t="shared" si="3"/>
        <v>46167</v>
      </c>
      <c r="J11" s="768" t="s">
        <v>45</v>
      </c>
      <c r="K11" s="770"/>
    </row>
    <row r="12">
      <c r="A12" s="643"/>
      <c r="B12" s="644"/>
      <c r="C12" s="644"/>
      <c r="D12" s="643"/>
      <c r="E12" s="645" t="b">
        <v>0</v>
      </c>
      <c r="F12" s="646" t="str">
        <f t="shared" si="1"/>
        <v>ADEUDA</v>
      </c>
      <c r="G12" s="340" t="s">
        <v>2287</v>
      </c>
      <c r="H12" s="646" t="str">
        <f t="shared" si="2"/>
        <v>VENCIDA</v>
      </c>
      <c r="I12" s="647">
        <f t="shared" si="3"/>
        <v>46167</v>
      </c>
      <c r="J12" s="768" t="s">
        <v>49</v>
      </c>
      <c r="K12" s="770"/>
    </row>
    <row r="13">
      <c r="A13" s="643"/>
      <c r="B13" s="644"/>
      <c r="C13" s="644"/>
      <c r="D13" s="643"/>
      <c r="E13" s="645" t="b">
        <v>0</v>
      </c>
      <c r="F13" s="646" t="str">
        <f t="shared" si="1"/>
        <v>ADEUDA</v>
      </c>
      <c r="G13" s="340" t="s">
        <v>2276</v>
      </c>
      <c r="H13" s="646" t="str">
        <f t="shared" si="2"/>
        <v>VENCIDA</v>
      </c>
      <c r="I13" s="647">
        <f t="shared" si="3"/>
        <v>46167</v>
      </c>
      <c r="J13" s="768" t="s">
        <v>50</v>
      </c>
      <c r="K13" s="770"/>
    </row>
    <row r="14">
      <c r="A14" s="643"/>
      <c r="B14" s="644"/>
      <c r="C14" s="644"/>
      <c r="D14" s="643"/>
      <c r="E14" s="645" t="b">
        <v>0</v>
      </c>
      <c r="F14" s="646" t="str">
        <f t="shared" si="1"/>
        <v>ADEUDA</v>
      </c>
      <c r="G14" s="340" t="s">
        <v>2278</v>
      </c>
      <c r="H14" s="646" t="str">
        <f t="shared" si="2"/>
        <v>VENCIDA</v>
      </c>
      <c r="I14" s="647">
        <f t="shared" si="3"/>
        <v>46167</v>
      </c>
      <c r="J14" s="768" t="s">
        <v>51</v>
      </c>
      <c r="K14" s="770">
        <f>D5+D6</f>
        <v>185370.41</v>
      </c>
    </row>
    <row r="15">
      <c r="A15" s="643"/>
      <c r="B15" s="644"/>
      <c r="C15" s="644"/>
      <c r="D15" s="643"/>
      <c r="E15" s="645" t="b">
        <v>0</v>
      </c>
      <c r="F15" s="646" t="str">
        <f t="shared" si="1"/>
        <v>ADEUDA</v>
      </c>
      <c r="G15" s="340" t="s">
        <v>2278</v>
      </c>
      <c r="H15" s="646" t="str">
        <f t="shared" si="2"/>
        <v>VENCIDA</v>
      </c>
      <c r="I15" s="647">
        <f t="shared" si="3"/>
        <v>46167</v>
      </c>
    </row>
    <row r="16">
      <c r="A16" s="643"/>
      <c r="B16" s="644"/>
      <c r="C16" s="644"/>
      <c r="D16" s="643"/>
      <c r="E16" s="654" t="b">
        <v>0</v>
      </c>
      <c r="F16" s="646" t="str">
        <f t="shared" si="1"/>
        <v>ADEUDA</v>
      </c>
      <c r="G16" s="340" t="s">
        <v>2278</v>
      </c>
      <c r="H16" s="646" t="str">
        <f t="shared" si="2"/>
        <v>VENCIDA</v>
      </c>
      <c r="I16" s="647">
        <f t="shared" si="3"/>
        <v>46167</v>
      </c>
      <c r="K16" s="318"/>
    </row>
    <row r="17">
      <c r="A17" s="643"/>
      <c r="B17" s="644"/>
      <c r="C17" s="644"/>
      <c r="D17" s="643"/>
      <c r="E17" s="654" t="b">
        <v>0</v>
      </c>
      <c r="F17" s="646" t="str">
        <f t="shared" si="1"/>
        <v>ADEUDA</v>
      </c>
      <c r="G17" s="340" t="s">
        <v>2278</v>
      </c>
      <c r="H17" s="646" t="str">
        <f t="shared" si="2"/>
        <v>VENCIDA</v>
      </c>
      <c r="I17" s="647">
        <f t="shared" si="3"/>
        <v>46167</v>
      </c>
    </row>
    <row r="18">
      <c r="A18" s="644"/>
      <c r="B18" s="644"/>
      <c r="C18" s="644"/>
      <c r="D18" s="643"/>
      <c r="E18" s="654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4"/>
      <c r="B19" s="644"/>
      <c r="C19" s="644" t="str">
        <f t="shared" ref="C19:C132" si="4">B19</f>
        <v/>
      </c>
      <c r="D19" s="643"/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/>
      <c r="C20" s="644" t="str">
        <f t="shared" si="4"/>
        <v/>
      </c>
      <c r="D20" s="643"/>
      <c r="E20" s="658" t="b">
        <v>0</v>
      </c>
      <c r="F20" s="646" t="str">
        <f t="shared" si="1"/>
        <v>ADEUDA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/>
      <c r="C21" s="644" t="str">
        <f t="shared" si="4"/>
        <v/>
      </c>
      <c r="D21" s="643"/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/>
      <c r="C22" s="644" t="str">
        <f t="shared" si="4"/>
        <v/>
      </c>
      <c r="D22" s="643"/>
      <c r="E22" s="658" t="b">
        <v>0</v>
      </c>
      <c r="F22" s="646" t="str">
        <f t="shared" si="1"/>
        <v>ADEUDA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 t="str">
        <f t="shared" si="4"/>
        <v/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 t="str">
        <f t="shared" si="4"/>
        <v/>
      </c>
      <c r="D25" s="643"/>
      <c r="E25" s="658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 t="str">
        <f t="shared" si="4"/>
        <v/>
      </c>
      <c r="D26" s="643"/>
      <c r="E26" s="645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 t="str">
        <f t="shared" si="4"/>
        <v/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 t="str">
        <f t="shared" si="4"/>
        <v/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/>
      <c r="C29" s="644" t="str">
        <f t="shared" si="4"/>
        <v/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/>
      <c r="C30" s="644" t="str">
        <f t="shared" si="4"/>
        <v/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/>
      <c r="C31" s="644" t="str">
        <f t="shared" si="4"/>
        <v/>
      </c>
      <c r="D31" s="643"/>
      <c r="E31" s="658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/>
      <c r="C32" s="644" t="str">
        <f t="shared" si="4"/>
        <v/>
      </c>
      <c r="D32" s="643"/>
      <c r="E32" s="645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/>
      <c r="C33" s="644" t="str">
        <f t="shared" si="4"/>
        <v/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/>
      <c r="C34" s="644" t="str">
        <f t="shared" si="4"/>
        <v/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/>
      <c r="C35" s="644" t="str">
        <f t="shared" si="4"/>
        <v/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/>
      <c r="C36" s="644" t="str">
        <f t="shared" si="4"/>
        <v/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/>
      <c r="C37" s="644" t="str">
        <f t="shared" si="4"/>
        <v/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/>
      <c r="C38" s="644" t="str">
        <f t="shared" si="4"/>
        <v/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/>
      <c r="C39" s="644" t="str">
        <f t="shared" si="4"/>
        <v/>
      </c>
      <c r="D39" s="643"/>
      <c r="E39" s="658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/>
      <c r="C40" s="644" t="str">
        <f t="shared" si="4"/>
        <v/>
      </c>
      <c r="D40" s="643"/>
      <c r="E40" s="645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/>
      <c r="C41" s="644" t="str">
        <f t="shared" si="4"/>
        <v/>
      </c>
      <c r="D41" s="643"/>
      <c r="E41" s="645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/>
      <c r="C42" s="644" t="str">
        <f t="shared" si="4"/>
        <v/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/>
      <c r="C43" s="644" t="str">
        <f t="shared" si="4"/>
        <v/>
      </c>
      <c r="D43" s="643"/>
      <c r="E43" s="658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/>
      <c r="C44" s="644" t="str">
        <f t="shared" si="4"/>
        <v/>
      </c>
      <c r="D44" s="643"/>
      <c r="E44" s="645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/>
      <c r="C45" s="644" t="str">
        <f t="shared" si="4"/>
        <v/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/>
      <c r="C46" s="644" t="str">
        <f t="shared" si="4"/>
        <v/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46167</v>
      </c>
    </row>
    <row r="47">
      <c r="A47" s="644"/>
      <c r="B47" s="644"/>
      <c r="C47" s="644" t="str">
        <f t="shared" si="4"/>
        <v/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/>
      <c r="C48" s="644" t="str">
        <f t="shared" si="4"/>
        <v/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46167</v>
      </c>
    </row>
    <row r="49">
      <c r="A49" s="644"/>
      <c r="B49" s="644"/>
      <c r="C49" s="644" t="str">
        <f t="shared" si="4"/>
        <v/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46167</v>
      </c>
    </row>
    <row r="50">
      <c r="A50" s="644"/>
      <c r="B50" s="644"/>
      <c r="C50" s="644" t="str">
        <f t="shared" si="4"/>
        <v/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/>
      <c r="C51" s="644" t="str">
        <f t="shared" si="4"/>
        <v/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/>
      <c r="C52" s="644" t="str">
        <f t="shared" si="4"/>
        <v/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/>
      <c r="C53" s="644" t="str">
        <f t="shared" si="4"/>
        <v/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/>
      <c r="C54" s="644" t="str">
        <f t="shared" si="4"/>
        <v/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46167</v>
      </c>
    </row>
    <row r="55">
      <c r="A55" s="644"/>
      <c r="B55" s="644"/>
      <c r="C55" s="644" t="str">
        <f t="shared" si="4"/>
        <v/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/>
      <c r="C56" s="644" t="str">
        <f t="shared" si="4"/>
        <v/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/>
      <c r="C57" s="644" t="str">
        <f t="shared" si="4"/>
        <v/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/>
      <c r="C58" s="644" t="str">
        <f t="shared" si="4"/>
        <v/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/>
      <c r="C59" s="644" t="str">
        <f t="shared" si="4"/>
        <v/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/>
      <c r="C60" s="644" t="str">
        <f t="shared" si="4"/>
        <v/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/>
      <c r="C61" s="644" t="str">
        <f t="shared" si="4"/>
        <v/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46167</v>
      </c>
    </row>
    <row r="62">
      <c r="A62" s="644"/>
      <c r="B62" s="644"/>
      <c r="C62" s="644" t="str">
        <f t="shared" si="4"/>
        <v/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/>
      <c r="C63" s="644" t="str">
        <f t="shared" si="4"/>
        <v/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 t="str">
        <f t="shared" si="4"/>
        <v/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 t="str">
        <f t="shared" si="4"/>
        <v/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 t="str">
        <f t="shared" si="4"/>
        <v/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 t="str">
        <f t="shared" si="4"/>
        <v/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 t="str">
        <f t="shared" si="4"/>
        <v/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 t="str">
        <f t="shared" si="4"/>
        <v/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 t="str">
        <f t="shared" si="4"/>
        <v/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 t="str">
        <f t="shared" si="4"/>
        <v/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 t="str">
        <f t="shared" si="4"/>
        <v/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 t="str">
        <f t="shared" si="4"/>
        <v/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 t="str">
        <f t="shared" si="4"/>
        <v/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 t="str">
        <f t="shared" si="4"/>
        <v/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 t="str">
        <f t="shared" si="4"/>
        <v/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 t="str">
        <f t="shared" si="4"/>
        <v/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 t="str">
        <f t="shared" si="4"/>
        <v/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 t="str">
        <f t="shared" si="4"/>
        <v/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 t="str">
        <f t="shared" si="4"/>
        <v/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 t="str">
        <f t="shared" si="4"/>
        <v/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 t="str">
        <f t="shared" si="4"/>
        <v/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 t="str">
        <f t="shared" si="4"/>
        <v/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 t="str">
        <f t="shared" si="4"/>
        <v/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 t="str">
        <f t="shared" si="4"/>
        <v/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 t="str">
        <f t="shared" si="4"/>
        <v/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 t="str">
        <f t="shared" si="4"/>
        <v/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 t="str">
        <f t="shared" si="4"/>
        <v/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 t="str">
        <f t="shared" si="4"/>
        <v/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 t="str">
        <f t="shared" si="4"/>
        <v/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 t="str">
        <f t="shared" si="4"/>
        <v/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 t="str">
        <f t="shared" si="4"/>
        <v/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 t="str">
        <f t="shared" si="4"/>
        <v/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 t="str">
        <f t="shared" si="4"/>
        <v/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 t="str">
        <f t="shared" si="4"/>
        <v/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 t="str">
        <f t="shared" si="4"/>
        <v/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 t="str">
        <f t="shared" si="4"/>
        <v/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 t="str">
        <f t="shared" si="4"/>
        <v/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 t="str">
        <f t="shared" si="4"/>
        <v/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 t="str">
        <f t="shared" si="4"/>
        <v/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 t="str">
        <f t="shared" si="4"/>
        <v/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 t="str">
        <f t="shared" si="4"/>
        <v/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 t="str">
        <f t="shared" si="4"/>
        <v/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 t="str">
        <f t="shared" si="4"/>
        <v/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 t="str">
        <f t="shared" si="4"/>
        <v/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 t="str">
        <f t="shared" si="4"/>
        <v/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 t="str">
        <f t="shared" si="4"/>
        <v/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 t="str">
        <f t="shared" si="4"/>
        <v/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 t="str">
        <f t="shared" si="4"/>
        <v/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 t="str">
        <f t="shared" si="4"/>
        <v/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 t="str">
        <f t="shared" si="4"/>
        <v/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 t="str">
        <f t="shared" si="4"/>
        <v/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 t="str">
        <f t="shared" si="4"/>
        <v/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 t="str">
        <f t="shared" si="4"/>
        <v/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 t="str">
        <f t="shared" si="4"/>
        <v/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 t="str">
        <f t="shared" si="4"/>
        <v/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 t="str">
        <f t="shared" si="4"/>
        <v/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 t="str">
        <f t="shared" si="4"/>
        <v/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 t="str">
        <f t="shared" si="4"/>
        <v/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 t="str">
        <f t="shared" si="4"/>
        <v/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 t="str">
        <f t="shared" si="4"/>
        <v/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 t="str">
        <f t="shared" si="4"/>
        <v/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 t="str">
        <f t="shared" si="4"/>
        <v/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 t="str">
        <f t="shared" si="4"/>
        <v/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 t="str">
        <f t="shared" si="4"/>
        <v/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 t="str">
        <f t="shared" si="4"/>
        <v/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 t="str">
        <f t="shared" si="4"/>
        <v/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 t="str">
        <f t="shared" si="4"/>
        <v/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 t="str">
        <f t="shared" si="4"/>
        <v/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 t="str">
        <f t="shared" si="4"/>
        <v/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 t="str">
        <f t="shared" si="4"/>
        <v/>
      </c>
      <c r="D131" s="643"/>
      <c r="E131" s="658" t="b">
        <v>0</v>
      </c>
      <c r="F131" s="646" t="str">
        <f t="shared" si="1"/>
        <v>ADEUDA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2">
      <c r="A132" s="644"/>
      <c r="B132" s="644"/>
      <c r="C132" s="644" t="str">
        <f t="shared" si="4"/>
        <v/>
      </c>
      <c r="D132" s="643"/>
      <c r="E132" s="645" t="b">
        <v>1</v>
      </c>
      <c r="F132" s="646" t="str">
        <f t="shared" si="1"/>
        <v>PAGADO</v>
      </c>
      <c r="G132" s="340" t="s">
        <v>2278</v>
      </c>
      <c r="H132" s="646" t="str">
        <f t="shared" si="2"/>
        <v>VENCIDA</v>
      </c>
      <c r="I132" s="647">
        <f t="shared" si="3"/>
        <v>46167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263219.39</v>
      </c>
    </row>
    <row r="137">
      <c r="C137" s="697" t="s">
        <v>28</v>
      </c>
      <c r="D137" s="3">
        <f>D135+D136</f>
        <v>263219.39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2503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>
        <v>356714.0</v>
      </c>
      <c r="B3" s="644">
        <v>45709.0</v>
      </c>
      <c r="C3" s="644">
        <f t="shared" ref="C3:C131" si="1">B3+7</f>
        <v>45716</v>
      </c>
      <c r="D3" s="643">
        <v>101528.72</v>
      </c>
      <c r="E3" s="645" t="b">
        <v>0</v>
      </c>
      <c r="F3" s="646" t="str">
        <f t="shared" ref="F3:F131" si="2">IF(E3,"PAGADO","ADEUDA")</f>
        <v>ADEUDA</v>
      </c>
      <c r="G3" s="340" t="s">
        <v>2278</v>
      </c>
      <c r="H3" s="646" t="str">
        <f t="shared" ref="H3:H131" si="3">IF(C3&lt;TODAY(),"VENCIDA",IF(C3=TODAY(),"VENCE HOY",IF(C3&gt;TODAY(),"VIGENTE")))</f>
        <v>VENCIDA</v>
      </c>
      <c r="I3" s="647">
        <f t="shared" ref="I3:I131" si="4">TODAY()-C3</f>
        <v>451</v>
      </c>
      <c r="J3" s="768" t="s">
        <v>31</v>
      </c>
      <c r="K3" s="769">
        <f>D3</f>
        <v>101528.72</v>
      </c>
    </row>
    <row r="4">
      <c r="A4" s="643"/>
      <c r="B4" s="644"/>
      <c r="C4" s="644">
        <f t="shared" si="1"/>
        <v>7</v>
      </c>
      <c r="D4" s="643"/>
      <c r="E4" s="645" t="b">
        <v>0</v>
      </c>
      <c r="F4" s="646" t="str">
        <f t="shared" si="2"/>
        <v>ADEUDA</v>
      </c>
      <c r="G4" s="340" t="s">
        <v>2278</v>
      </c>
      <c r="H4" s="646" t="str">
        <f t="shared" si="3"/>
        <v>VENCIDA</v>
      </c>
      <c r="I4" s="647">
        <f t="shared" si="4"/>
        <v>46160</v>
      </c>
      <c r="J4" s="768" t="s">
        <v>35</v>
      </c>
      <c r="K4" s="770"/>
    </row>
    <row r="5">
      <c r="A5" s="643"/>
      <c r="B5" s="644"/>
      <c r="C5" s="644">
        <f t="shared" si="1"/>
        <v>7</v>
      </c>
      <c r="D5" s="643"/>
      <c r="E5" s="645" t="b">
        <v>0</v>
      </c>
      <c r="F5" s="646" t="str">
        <f t="shared" si="2"/>
        <v>ADEUDA</v>
      </c>
      <c r="G5" s="340" t="s">
        <v>2278</v>
      </c>
      <c r="H5" s="646" t="str">
        <f t="shared" si="3"/>
        <v>VENCIDA</v>
      </c>
      <c r="I5" s="647">
        <f t="shared" si="4"/>
        <v>46160</v>
      </c>
      <c r="J5" s="768" t="s">
        <v>37</v>
      </c>
      <c r="K5" s="770"/>
    </row>
    <row r="6">
      <c r="A6" s="643"/>
      <c r="B6" s="644"/>
      <c r="C6" s="644">
        <f t="shared" si="1"/>
        <v>7</v>
      </c>
      <c r="D6" s="643"/>
      <c r="E6" s="645" t="b">
        <v>0</v>
      </c>
      <c r="F6" s="646" t="str">
        <f t="shared" si="2"/>
        <v>ADEUDA</v>
      </c>
      <c r="G6" s="340" t="s">
        <v>2278</v>
      </c>
      <c r="H6" s="646" t="str">
        <f t="shared" si="3"/>
        <v>VENCIDA</v>
      </c>
      <c r="I6" s="647">
        <f t="shared" si="4"/>
        <v>46160</v>
      </c>
      <c r="J6" s="768" t="s">
        <v>39</v>
      </c>
      <c r="K6" s="770"/>
    </row>
    <row r="7">
      <c r="A7" s="643"/>
      <c r="B7" s="644"/>
      <c r="C7" s="644">
        <f t="shared" si="1"/>
        <v>7</v>
      </c>
      <c r="D7" s="643"/>
      <c r="E7" s="658" t="b">
        <v>0</v>
      </c>
      <c r="F7" s="646" t="str">
        <f t="shared" si="2"/>
        <v>ADEUDA</v>
      </c>
      <c r="G7" s="340" t="s">
        <v>2278</v>
      </c>
      <c r="H7" s="646" t="str">
        <f t="shared" si="3"/>
        <v>VENCIDA</v>
      </c>
      <c r="I7" s="647">
        <f t="shared" si="4"/>
        <v>46160</v>
      </c>
      <c r="J7" s="768" t="s">
        <v>41</v>
      </c>
      <c r="K7" s="770"/>
    </row>
    <row r="8">
      <c r="A8" s="644"/>
      <c r="B8" s="644"/>
      <c r="C8" s="644">
        <f t="shared" si="1"/>
        <v>7</v>
      </c>
      <c r="D8" s="643"/>
      <c r="E8" s="658" t="b">
        <v>0</v>
      </c>
      <c r="F8" s="646" t="str">
        <f t="shared" si="2"/>
        <v>ADEUDA</v>
      </c>
      <c r="G8" s="340" t="s">
        <v>2278</v>
      </c>
      <c r="H8" s="646" t="str">
        <f t="shared" si="3"/>
        <v>VENCIDA</v>
      </c>
      <c r="I8" s="647">
        <f t="shared" si="4"/>
        <v>46160</v>
      </c>
      <c r="J8" s="768" t="s">
        <v>42</v>
      </c>
      <c r="K8" s="770"/>
    </row>
    <row r="9">
      <c r="A9" s="644"/>
      <c r="B9" s="644"/>
      <c r="C9" s="644">
        <f t="shared" si="1"/>
        <v>7</v>
      </c>
      <c r="D9" s="643"/>
      <c r="E9" s="658" t="b">
        <v>0</v>
      </c>
      <c r="F9" s="646" t="str">
        <f t="shared" si="2"/>
        <v>ADEUDA</v>
      </c>
      <c r="G9" s="340" t="s">
        <v>2278</v>
      </c>
      <c r="H9" s="646" t="str">
        <f t="shared" si="3"/>
        <v>VENCIDA</v>
      </c>
      <c r="I9" s="647">
        <f t="shared" si="4"/>
        <v>46160</v>
      </c>
      <c r="J9" s="768" t="s">
        <v>43</v>
      </c>
      <c r="K9" s="770"/>
    </row>
    <row r="10">
      <c r="A10" s="644"/>
      <c r="B10" s="644"/>
      <c r="C10" s="644">
        <f t="shared" si="1"/>
        <v>7</v>
      </c>
      <c r="D10" s="643"/>
      <c r="E10" s="658" t="b">
        <v>0</v>
      </c>
      <c r="F10" s="646" t="str">
        <f t="shared" si="2"/>
        <v>ADEUDA</v>
      </c>
      <c r="G10" s="340" t="s">
        <v>2278</v>
      </c>
      <c r="H10" s="646" t="str">
        <f t="shared" si="3"/>
        <v>VENCIDA</v>
      </c>
      <c r="I10" s="647">
        <f t="shared" si="4"/>
        <v>46160</v>
      </c>
      <c r="J10" s="768" t="s">
        <v>45</v>
      </c>
      <c r="K10" s="770"/>
    </row>
    <row r="11">
      <c r="A11" s="644"/>
      <c r="B11" s="644"/>
      <c r="C11" s="644">
        <f t="shared" si="1"/>
        <v>7</v>
      </c>
      <c r="D11" s="643"/>
      <c r="E11" s="658" t="b">
        <v>0</v>
      </c>
      <c r="F11" s="646" t="str">
        <f t="shared" si="2"/>
        <v>ADEUDA</v>
      </c>
      <c r="G11" s="340" t="s">
        <v>2278</v>
      </c>
      <c r="H11" s="646" t="str">
        <f t="shared" si="3"/>
        <v>VENCIDA</v>
      </c>
      <c r="I11" s="647">
        <f t="shared" si="4"/>
        <v>46160</v>
      </c>
      <c r="J11" s="768" t="s">
        <v>49</v>
      </c>
      <c r="K11" s="770"/>
    </row>
    <row r="12">
      <c r="A12" s="644"/>
      <c r="B12" s="644"/>
      <c r="C12" s="644">
        <f t="shared" si="1"/>
        <v>7</v>
      </c>
      <c r="D12" s="643"/>
      <c r="E12" s="645" t="b">
        <v>0</v>
      </c>
      <c r="F12" s="646" t="str">
        <f t="shared" si="2"/>
        <v>ADEUDA</v>
      </c>
      <c r="G12" s="340" t="s">
        <v>2278</v>
      </c>
      <c r="H12" s="646" t="str">
        <f t="shared" si="3"/>
        <v>VENCIDA</v>
      </c>
      <c r="I12" s="647">
        <f t="shared" si="4"/>
        <v>46160</v>
      </c>
      <c r="J12" s="768" t="s">
        <v>50</v>
      </c>
      <c r="K12" s="770"/>
    </row>
    <row r="13">
      <c r="A13" s="644"/>
      <c r="B13" s="644"/>
      <c r="C13" s="644">
        <f t="shared" si="1"/>
        <v>7</v>
      </c>
      <c r="D13" s="643"/>
      <c r="E13" s="658" t="b">
        <v>0</v>
      </c>
      <c r="F13" s="646" t="str">
        <f t="shared" si="2"/>
        <v>ADEUDA</v>
      </c>
      <c r="G13" s="340" t="s">
        <v>2278</v>
      </c>
      <c r="H13" s="646" t="str">
        <f t="shared" si="3"/>
        <v>VENCIDA</v>
      </c>
      <c r="I13" s="647">
        <f t="shared" si="4"/>
        <v>46160</v>
      </c>
      <c r="J13" s="768" t="s">
        <v>51</v>
      </c>
      <c r="K13" s="770"/>
    </row>
    <row r="14">
      <c r="A14" s="644"/>
      <c r="B14" s="644"/>
      <c r="C14" s="644">
        <f t="shared" si="1"/>
        <v>7</v>
      </c>
      <c r="D14" s="643"/>
      <c r="E14" s="645" t="b">
        <v>0</v>
      </c>
      <c r="F14" s="646" t="str">
        <f t="shared" si="2"/>
        <v>ADEUDA</v>
      </c>
      <c r="G14" s="340" t="s">
        <v>2278</v>
      </c>
      <c r="H14" s="646" t="str">
        <f t="shared" si="3"/>
        <v>VENCIDA</v>
      </c>
      <c r="I14" s="647">
        <f t="shared" si="4"/>
        <v>46160</v>
      </c>
    </row>
    <row r="15">
      <c r="A15" s="644"/>
      <c r="B15" s="644"/>
      <c r="C15" s="644">
        <f t="shared" si="1"/>
        <v>7</v>
      </c>
      <c r="D15" s="643"/>
      <c r="E15" s="654" t="b">
        <v>0</v>
      </c>
      <c r="F15" s="646" t="str">
        <f t="shared" si="2"/>
        <v>ADEUDA</v>
      </c>
      <c r="G15" s="340" t="s">
        <v>2278</v>
      </c>
      <c r="H15" s="646" t="str">
        <f t="shared" si="3"/>
        <v>VENCIDA</v>
      </c>
      <c r="I15" s="647">
        <f t="shared" si="4"/>
        <v>46160</v>
      </c>
      <c r="K15" s="318"/>
    </row>
    <row r="16">
      <c r="A16" s="644"/>
      <c r="B16" s="644"/>
      <c r="C16" s="644">
        <f t="shared" si="1"/>
        <v>7</v>
      </c>
      <c r="D16" s="643"/>
      <c r="E16" s="654" t="b">
        <v>0</v>
      </c>
      <c r="F16" s="646" t="str">
        <f t="shared" si="2"/>
        <v>ADEUDA</v>
      </c>
      <c r="G16" s="340" t="s">
        <v>2278</v>
      </c>
      <c r="H16" s="646" t="str">
        <f t="shared" si="3"/>
        <v>VENCIDA</v>
      </c>
      <c r="I16" s="647">
        <f t="shared" si="4"/>
        <v>46160</v>
      </c>
    </row>
    <row r="17">
      <c r="A17" s="644"/>
      <c r="B17" s="644"/>
      <c r="C17" s="644">
        <f t="shared" si="1"/>
        <v>7</v>
      </c>
      <c r="D17" s="643"/>
      <c r="E17" s="654" t="b">
        <v>0</v>
      </c>
      <c r="F17" s="646" t="str">
        <f t="shared" si="2"/>
        <v>ADEUDA</v>
      </c>
      <c r="G17" s="340" t="s">
        <v>2278</v>
      </c>
      <c r="H17" s="646" t="str">
        <f t="shared" si="3"/>
        <v>VENCIDA</v>
      </c>
      <c r="I17" s="647">
        <f t="shared" si="4"/>
        <v>46160</v>
      </c>
    </row>
    <row r="18">
      <c r="A18" s="644"/>
      <c r="B18" s="644"/>
      <c r="C18" s="644">
        <f t="shared" si="1"/>
        <v>7</v>
      </c>
      <c r="D18" s="643"/>
      <c r="E18" s="658" t="b">
        <v>0</v>
      </c>
      <c r="F18" s="646" t="str">
        <f t="shared" si="2"/>
        <v>ADEUDA</v>
      </c>
      <c r="G18" s="340" t="s">
        <v>2278</v>
      </c>
      <c r="H18" s="646" t="str">
        <f t="shared" si="3"/>
        <v>VENCIDA</v>
      </c>
      <c r="I18" s="647">
        <f t="shared" si="4"/>
        <v>46160</v>
      </c>
    </row>
    <row r="19">
      <c r="A19" s="644"/>
      <c r="B19" s="644"/>
      <c r="C19" s="644">
        <f t="shared" si="1"/>
        <v>7</v>
      </c>
      <c r="D19" s="643"/>
      <c r="E19" s="658" t="b">
        <v>0</v>
      </c>
      <c r="F19" s="646" t="str">
        <f t="shared" si="2"/>
        <v>ADEUDA</v>
      </c>
      <c r="G19" s="340" t="s">
        <v>2278</v>
      </c>
      <c r="H19" s="646" t="str">
        <f t="shared" si="3"/>
        <v>VENCIDA</v>
      </c>
      <c r="I19" s="647">
        <f t="shared" si="4"/>
        <v>46160</v>
      </c>
    </row>
    <row r="20">
      <c r="A20" s="644"/>
      <c r="B20" s="644"/>
      <c r="C20" s="644">
        <f t="shared" si="1"/>
        <v>7</v>
      </c>
      <c r="D20" s="643"/>
      <c r="E20" s="658" t="b">
        <v>0</v>
      </c>
      <c r="F20" s="646" t="str">
        <f t="shared" si="2"/>
        <v>ADEUDA</v>
      </c>
      <c r="G20" s="340" t="s">
        <v>2278</v>
      </c>
      <c r="H20" s="646" t="str">
        <f t="shared" si="3"/>
        <v>VENCIDA</v>
      </c>
      <c r="I20" s="647">
        <f t="shared" si="4"/>
        <v>46160</v>
      </c>
    </row>
    <row r="21">
      <c r="A21" s="644"/>
      <c r="B21" s="644"/>
      <c r="C21" s="644">
        <f t="shared" si="1"/>
        <v>7</v>
      </c>
      <c r="D21" s="643"/>
      <c r="E21" s="658" t="b">
        <v>0</v>
      </c>
      <c r="F21" s="646" t="str">
        <f t="shared" si="2"/>
        <v>ADEUDA</v>
      </c>
      <c r="G21" s="340" t="s">
        <v>2278</v>
      </c>
      <c r="H21" s="646" t="str">
        <f t="shared" si="3"/>
        <v>VENCIDA</v>
      </c>
      <c r="I21" s="647">
        <f t="shared" si="4"/>
        <v>46160</v>
      </c>
    </row>
    <row r="22">
      <c r="A22" s="644"/>
      <c r="B22" s="644"/>
      <c r="C22" s="644">
        <f t="shared" si="1"/>
        <v>7</v>
      </c>
      <c r="D22" s="643"/>
      <c r="E22" s="658" t="b">
        <v>0</v>
      </c>
      <c r="F22" s="646" t="str">
        <f t="shared" si="2"/>
        <v>ADEUDA</v>
      </c>
      <c r="G22" s="340" t="s">
        <v>2278</v>
      </c>
      <c r="H22" s="646" t="str">
        <f t="shared" si="3"/>
        <v>VENCIDA</v>
      </c>
      <c r="I22" s="647">
        <f t="shared" si="4"/>
        <v>46160</v>
      </c>
    </row>
    <row r="23">
      <c r="A23" s="644"/>
      <c r="B23" s="644"/>
      <c r="C23" s="644">
        <f t="shared" si="1"/>
        <v>7</v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4"/>
        <v>46160</v>
      </c>
    </row>
    <row r="24">
      <c r="A24" s="644"/>
      <c r="B24" s="644"/>
      <c r="C24" s="644">
        <f t="shared" si="1"/>
        <v>7</v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4"/>
        <v>46160</v>
      </c>
    </row>
    <row r="25">
      <c r="A25" s="644"/>
      <c r="B25" s="644"/>
      <c r="C25" s="644">
        <f t="shared" si="1"/>
        <v>7</v>
      </c>
      <c r="D25" s="643"/>
      <c r="E25" s="645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4"/>
        <v>46160</v>
      </c>
    </row>
    <row r="26">
      <c r="A26" s="644"/>
      <c r="B26" s="644"/>
      <c r="C26" s="644">
        <f t="shared" si="1"/>
        <v>7</v>
      </c>
      <c r="D26" s="643"/>
      <c r="E26" s="658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4"/>
        <v>46160</v>
      </c>
    </row>
    <row r="27">
      <c r="A27" s="644"/>
      <c r="B27" s="644"/>
      <c r="C27" s="644">
        <f t="shared" si="1"/>
        <v>7</v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46160</v>
      </c>
    </row>
    <row r="28">
      <c r="A28" s="644"/>
      <c r="B28" s="644"/>
      <c r="C28" s="644">
        <f t="shared" si="1"/>
        <v>7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46160</v>
      </c>
    </row>
    <row r="29">
      <c r="A29" s="644"/>
      <c r="B29" s="644"/>
      <c r="C29" s="644">
        <f t="shared" si="1"/>
        <v>7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46160</v>
      </c>
    </row>
    <row r="30">
      <c r="A30" s="644"/>
      <c r="B30" s="644"/>
      <c r="C30" s="644">
        <f t="shared" si="1"/>
        <v>7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46160</v>
      </c>
    </row>
    <row r="31">
      <c r="A31" s="644"/>
      <c r="B31" s="644"/>
      <c r="C31" s="644">
        <f t="shared" si="1"/>
        <v>7</v>
      </c>
      <c r="D31" s="643"/>
      <c r="E31" s="645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46160</v>
      </c>
    </row>
    <row r="32">
      <c r="A32" s="644"/>
      <c r="B32" s="644"/>
      <c r="C32" s="644">
        <f t="shared" si="1"/>
        <v>7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46160</v>
      </c>
    </row>
    <row r="33">
      <c r="A33" s="644"/>
      <c r="B33" s="644"/>
      <c r="C33" s="644">
        <f t="shared" si="1"/>
        <v>7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46160</v>
      </c>
    </row>
    <row r="34">
      <c r="A34" s="644"/>
      <c r="B34" s="644"/>
      <c r="C34" s="644">
        <f t="shared" si="1"/>
        <v>7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46160</v>
      </c>
    </row>
    <row r="35">
      <c r="A35" s="644"/>
      <c r="B35" s="644"/>
      <c r="C35" s="644">
        <f t="shared" si="1"/>
        <v>7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46160</v>
      </c>
    </row>
    <row r="36">
      <c r="A36" s="644"/>
      <c r="B36" s="644"/>
      <c r="C36" s="644">
        <f t="shared" si="1"/>
        <v>7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46160</v>
      </c>
    </row>
    <row r="37">
      <c r="A37" s="644"/>
      <c r="B37" s="644"/>
      <c r="C37" s="644">
        <f t="shared" si="1"/>
        <v>7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46160</v>
      </c>
    </row>
    <row r="38">
      <c r="A38" s="644"/>
      <c r="B38" s="644"/>
      <c r="C38" s="644">
        <f t="shared" si="1"/>
        <v>7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46160</v>
      </c>
    </row>
    <row r="39">
      <c r="A39" s="644"/>
      <c r="B39" s="644"/>
      <c r="C39" s="644">
        <f t="shared" si="1"/>
        <v>7</v>
      </c>
      <c r="D39" s="643"/>
      <c r="E39" s="645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46160</v>
      </c>
    </row>
    <row r="40">
      <c r="A40" s="644"/>
      <c r="B40" s="644"/>
      <c r="C40" s="644">
        <f t="shared" si="1"/>
        <v>7</v>
      </c>
      <c r="D40" s="643"/>
      <c r="E40" s="645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46160</v>
      </c>
    </row>
    <row r="41">
      <c r="A41" s="644"/>
      <c r="B41" s="644"/>
      <c r="C41" s="644">
        <f t="shared" si="1"/>
        <v>7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46160</v>
      </c>
    </row>
    <row r="42">
      <c r="A42" s="644"/>
      <c r="B42" s="644"/>
      <c r="C42" s="644">
        <f t="shared" si="1"/>
        <v>7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46160</v>
      </c>
    </row>
    <row r="43">
      <c r="A43" s="644"/>
      <c r="B43" s="644"/>
      <c r="C43" s="644">
        <f t="shared" si="1"/>
        <v>7</v>
      </c>
      <c r="D43" s="643"/>
      <c r="E43" s="645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46160</v>
      </c>
    </row>
    <row r="44">
      <c r="A44" s="644"/>
      <c r="B44" s="644"/>
      <c r="C44" s="644">
        <f t="shared" si="1"/>
        <v>7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46160</v>
      </c>
    </row>
    <row r="45">
      <c r="A45" s="644"/>
      <c r="B45" s="644"/>
      <c r="C45" s="644">
        <f t="shared" si="1"/>
        <v>7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46160</v>
      </c>
    </row>
    <row r="46">
      <c r="A46" s="644"/>
      <c r="B46" s="644"/>
      <c r="C46" s="644">
        <f t="shared" si="1"/>
        <v>7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46160</v>
      </c>
    </row>
    <row r="47">
      <c r="A47" s="644"/>
      <c r="B47" s="644"/>
      <c r="C47" s="644">
        <f t="shared" si="1"/>
        <v>7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46160</v>
      </c>
    </row>
    <row r="48">
      <c r="A48" s="644"/>
      <c r="B48" s="644"/>
      <c r="C48" s="644">
        <f t="shared" si="1"/>
        <v>7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46160</v>
      </c>
    </row>
    <row r="49">
      <c r="A49" s="644"/>
      <c r="B49" s="644"/>
      <c r="C49" s="644">
        <f t="shared" si="1"/>
        <v>7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46160</v>
      </c>
    </row>
    <row r="50">
      <c r="A50" s="644"/>
      <c r="B50" s="644"/>
      <c r="C50" s="644">
        <f t="shared" si="1"/>
        <v>7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46160</v>
      </c>
    </row>
    <row r="51">
      <c r="A51" s="644"/>
      <c r="B51" s="644"/>
      <c r="C51" s="644">
        <f t="shared" si="1"/>
        <v>7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46160</v>
      </c>
    </row>
    <row r="52">
      <c r="A52" s="644"/>
      <c r="B52" s="644"/>
      <c r="C52" s="644">
        <f t="shared" si="1"/>
        <v>7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46160</v>
      </c>
    </row>
    <row r="53">
      <c r="A53" s="644"/>
      <c r="B53" s="644"/>
      <c r="C53" s="644">
        <f t="shared" si="1"/>
        <v>7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46160</v>
      </c>
    </row>
    <row r="54">
      <c r="A54" s="644"/>
      <c r="B54" s="644"/>
      <c r="C54" s="644">
        <f t="shared" si="1"/>
        <v>7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46160</v>
      </c>
    </row>
    <row r="55">
      <c r="A55" s="644"/>
      <c r="B55" s="644"/>
      <c r="C55" s="644">
        <f t="shared" si="1"/>
        <v>7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46160</v>
      </c>
    </row>
    <row r="56">
      <c r="A56" s="644"/>
      <c r="B56" s="644"/>
      <c r="C56" s="644">
        <f t="shared" si="1"/>
        <v>7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46160</v>
      </c>
    </row>
    <row r="57">
      <c r="A57" s="644"/>
      <c r="B57" s="644"/>
      <c r="C57" s="644">
        <f t="shared" si="1"/>
        <v>7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46160</v>
      </c>
    </row>
    <row r="58">
      <c r="A58" s="644"/>
      <c r="B58" s="644"/>
      <c r="C58" s="644">
        <f t="shared" si="1"/>
        <v>7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46160</v>
      </c>
    </row>
    <row r="59">
      <c r="A59" s="644"/>
      <c r="B59" s="644"/>
      <c r="C59" s="644">
        <f t="shared" si="1"/>
        <v>7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46160</v>
      </c>
    </row>
    <row r="60">
      <c r="A60" s="644"/>
      <c r="B60" s="644"/>
      <c r="C60" s="644">
        <f t="shared" si="1"/>
        <v>7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46160</v>
      </c>
    </row>
    <row r="61">
      <c r="A61" s="644"/>
      <c r="B61" s="644"/>
      <c r="C61" s="644">
        <f t="shared" si="1"/>
        <v>7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46160</v>
      </c>
    </row>
    <row r="62">
      <c r="A62" s="644"/>
      <c r="B62" s="644"/>
      <c r="C62" s="644">
        <f t="shared" si="1"/>
        <v>7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46160</v>
      </c>
    </row>
    <row r="63">
      <c r="A63" s="644"/>
      <c r="B63" s="644"/>
      <c r="C63" s="644">
        <f t="shared" si="1"/>
        <v>7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46160</v>
      </c>
    </row>
    <row r="64">
      <c r="A64" s="644"/>
      <c r="B64" s="644"/>
      <c r="C64" s="644">
        <f t="shared" si="1"/>
        <v>7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46160</v>
      </c>
    </row>
    <row r="65">
      <c r="A65" s="644"/>
      <c r="B65" s="644"/>
      <c r="C65" s="644">
        <f t="shared" si="1"/>
        <v>7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46160</v>
      </c>
    </row>
    <row r="66">
      <c r="A66" s="644"/>
      <c r="B66" s="644"/>
      <c r="C66" s="644">
        <f t="shared" si="1"/>
        <v>7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46160</v>
      </c>
    </row>
    <row r="67">
      <c r="A67" s="644"/>
      <c r="B67" s="644"/>
      <c r="C67" s="644">
        <f t="shared" si="1"/>
        <v>7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46160</v>
      </c>
    </row>
    <row r="68">
      <c r="A68" s="644"/>
      <c r="B68" s="644"/>
      <c r="C68" s="644">
        <f t="shared" si="1"/>
        <v>7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46160</v>
      </c>
    </row>
    <row r="69">
      <c r="A69" s="644"/>
      <c r="B69" s="644"/>
      <c r="C69" s="644">
        <f t="shared" si="1"/>
        <v>7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46160</v>
      </c>
    </row>
    <row r="70">
      <c r="A70" s="644"/>
      <c r="B70" s="644"/>
      <c r="C70" s="644">
        <f t="shared" si="1"/>
        <v>7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46160</v>
      </c>
    </row>
    <row r="71">
      <c r="A71" s="644"/>
      <c r="B71" s="644"/>
      <c r="C71" s="644">
        <f t="shared" si="1"/>
        <v>7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46160</v>
      </c>
    </row>
    <row r="72">
      <c r="A72" s="644"/>
      <c r="B72" s="644"/>
      <c r="C72" s="644">
        <f t="shared" si="1"/>
        <v>7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46160</v>
      </c>
    </row>
    <row r="73">
      <c r="A73" s="644"/>
      <c r="B73" s="644"/>
      <c r="C73" s="644">
        <f t="shared" si="1"/>
        <v>7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46160</v>
      </c>
    </row>
    <row r="74">
      <c r="A74" s="644"/>
      <c r="B74" s="644"/>
      <c r="C74" s="644">
        <f t="shared" si="1"/>
        <v>7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46160</v>
      </c>
    </row>
    <row r="75">
      <c r="A75" s="644"/>
      <c r="B75" s="644"/>
      <c r="C75" s="644">
        <f t="shared" si="1"/>
        <v>7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46160</v>
      </c>
    </row>
    <row r="76">
      <c r="A76" s="644"/>
      <c r="B76" s="644"/>
      <c r="C76" s="644">
        <f t="shared" si="1"/>
        <v>7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46160</v>
      </c>
    </row>
    <row r="77">
      <c r="A77" s="644"/>
      <c r="B77" s="644"/>
      <c r="C77" s="644">
        <f t="shared" si="1"/>
        <v>7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46160</v>
      </c>
    </row>
    <row r="78">
      <c r="A78" s="644"/>
      <c r="B78" s="644"/>
      <c r="C78" s="644">
        <f t="shared" si="1"/>
        <v>7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46160</v>
      </c>
    </row>
    <row r="79">
      <c r="A79" s="644"/>
      <c r="B79" s="644"/>
      <c r="C79" s="644">
        <f t="shared" si="1"/>
        <v>7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46160</v>
      </c>
    </row>
    <row r="80">
      <c r="A80" s="644"/>
      <c r="B80" s="644"/>
      <c r="C80" s="644">
        <f t="shared" si="1"/>
        <v>7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46160</v>
      </c>
    </row>
    <row r="81">
      <c r="A81" s="644"/>
      <c r="B81" s="644"/>
      <c r="C81" s="644">
        <f t="shared" si="1"/>
        <v>7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46160</v>
      </c>
    </row>
    <row r="82">
      <c r="A82" s="644"/>
      <c r="B82" s="644"/>
      <c r="C82" s="644">
        <f t="shared" si="1"/>
        <v>7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46160</v>
      </c>
    </row>
    <row r="83">
      <c r="A83" s="644"/>
      <c r="B83" s="644"/>
      <c r="C83" s="644">
        <f t="shared" si="1"/>
        <v>7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46160</v>
      </c>
    </row>
    <row r="84">
      <c r="A84" s="644"/>
      <c r="B84" s="644"/>
      <c r="C84" s="644">
        <f t="shared" si="1"/>
        <v>7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46160</v>
      </c>
    </row>
    <row r="85">
      <c r="A85" s="644"/>
      <c r="B85" s="644"/>
      <c r="C85" s="644">
        <f t="shared" si="1"/>
        <v>7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46160</v>
      </c>
    </row>
    <row r="86">
      <c r="A86" s="644"/>
      <c r="B86" s="644"/>
      <c r="C86" s="644">
        <f t="shared" si="1"/>
        <v>7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46160</v>
      </c>
    </row>
    <row r="87">
      <c r="A87" s="644"/>
      <c r="B87" s="644"/>
      <c r="C87" s="644">
        <f t="shared" si="1"/>
        <v>7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46160</v>
      </c>
    </row>
    <row r="88">
      <c r="A88" s="644"/>
      <c r="B88" s="644"/>
      <c r="C88" s="644">
        <f t="shared" si="1"/>
        <v>7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46160</v>
      </c>
    </row>
    <row r="89">
      <c r="A89" s="644"/>
      <c r="B89" s="644"/>
      <c r="C89" s="644">
        <f t="shared" si="1"/>
        <v>7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46160</v>
      </c>
    </row>
    <row r="90">
      <c r="A90" s="644"/>
      <c r="B90" s="644"/>
      <c r="C90" s="644">
        <f t="shared" si="1"/>
        <v>7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46160</v>
      </c>
    </row>
    <row r="91">
      <c r="A91" s="644"/>
      <c r="B91" s="644"/>
      <c r="C91" s="644">
        <f t="shared" si="1"/>
        <v>7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46160</v>
      </c>
    </row>
    <row r="92">
      <c r="A92" s="644"/>
      <c r="B92" s="644"/>
      <c r="C92" s="644">
        <f t="shared" si="1"/>
        <v>7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46160</v>
      </c>
    </row>
    <row r="93">
      <c r="A93" s="644"/>
      <c r="B93" s="644"/>
      <c r="C93" s="644">
        <f t="shared" si="1"/>
        <v>7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46160</v>
      </c>
    </row>
    <row r="94">
      <c r="A94" s="644"/>
      <c r="B94" s="644"/>
      <c r="C94" s="644">
        <f t="shared" si="1"/>
        <v>7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46160</v>
      </c>
    </row>
    <row r="95">
      <c r="A95" s="644"/>
      <c r="B95" s="644"/>
      <c r="C95" s="644">
        <f t="shared" si="1"/>
        <v>7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46160</v>
      </c>
    </row>
    <row r="96">
      <c r="A96" s="644"/>
      <c r="B96" s="644"/>
      <c r="C96" s="644">
        <f t="shared" si="1"/>
        <v>7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46160</v>
      </c>
    </row>
    <row r="97">
      <c r="A97" s="644"/>
      <c r="B97" s="644"/>
      <c r="C97" s="644">
        <f t="shared" si="1"/>
        <v>7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46160</v>
      </c>
    </row>
    <row r="98">
      <c r="A98" s="644"/>
      <c r="B98" s="644"/>
      <c r="C98" s="644">
        <f t="shared" si="1"/>
        <v>7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46160</v>
      </c>
    </row>
    <row r="99">
      <c r="A99" s="644"/>
      <c r="B99" s="644"/>
      <c r="C99" s="644">
        <f t="shared" si="1"/>
        <v>7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46160</v>
      </c>
    </row>
    <row r="100">
      <c r="A100" s="644"/>
      <c r="B100" s="644"/>
      <c r="C100" s="644">
        <f t="shared" si="1"/>
        <v>7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46160</v>
      </c>
    </row>
    <row r="101">
      <c r="A101" s="644"/>
      <c r="B101" s="644"/>
      <c r="C101" s="644">
        <f t="shared" si="1"/>
        <v>7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46160</v>
      </c>
    </row>
    <row r="102">
      <c r="A102" s="644"/>
      <c r="B102" s="644"/>
      <c r="C102" s="644">
        <f t="shared" si="1"/>
        <v>7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46160</v>
      </c>
    </row>
    <row r="103">
      <c r="A103" s="644"/>
      <c r="B103" s="644"/>
      <c r="C103" s="644">
        <f t="shared" si="1"/>
        <v>7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46160</v>
      </c>
    </row>
    <row r="104">
      <c r="A104" s="644"/>
      <c r="B104" s="644"/>
      <c r="C104" s="644">
        <f t="shared" si="1"/>
        <v>7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46160</v>
      </c>
    </row>
    <row r="105">
      <c r="A105" s="644"/>
      <c r="B105" s="644"/>
      <c r="C105" s="644">
        <f t="shared" si="1"/>
        <v>7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46160</v>
      </c>
    </row>
    <row r="106">
      <c r="A106" s="644"/>
      <c r="B106" s="644"/>
      <c r="C106" s="644">
        <f t="shared" si="1"/>
        <v>7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46160</v>
      </c>
    </row>
    <row r="107">
      <c r="A107" s="644"/>
      <c r="B107" s="644"/>
      <c r="C107" s="644">
        <f t="shared" si="1"/>
        <v>7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46160</v>
      </c>
    </row>
    <row r="108">
      <c r="A108" s="644"/>
      <c r="B108" s="644"/>
      <c r="C108" s="644">
        <f t="shared" si="1"/>
        <v>7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46160</v>
      </c>
    </row>
    <row r="109">
      <c r="A109" s="644"/>
      <c r="B109" s="644"/>
      <c r="C109" s="644">
        <f t="shared" si="1"/>
        <v>7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46160</v>
      </c>
    </row>
    <row r="110">
      <c r="A110" s="644"/>
      <c r="B110" s="644"/>
      <c r="C110" s="644">
        <f t="shared" si="1"/>
        <v>7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46160</v>
      </c>
    </row>
    <row r="111">
      <c r="A111" s="644"/>
      <c r="B111" s="644"/>
      <c r="C111" s="644">
        <f t="shared" si="1"/>
        <v>7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46160</v>
      </c>
    </row>
    <row r="112">
      <c r="A112" s="644"/>
      <c r="B112" s="644"/>
      <c r="C112" s="644">
        <f t="shared" si="1"/>
        <v>7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46160</v>
      </c>
    </row>
    <row r="113">
      <c r="A113" s="644"/>
      <c r="B113" s="644"/>
      <c r="C113" s="644">
        <f t="shared" si="1"/>
        <v>7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46160</v>
      </c>
    </row>
    <row r="114">
      <c r="A114" s="644"/>
      <c r="B114" s="644"/>
      <c r="C114" s="644">
        <f t="shared" si="1"/>
        <v>7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46160</v>
      </c>
    </row>
    <row r="115">
      <c r="A115" s="644"/>
      <c r="B115" s="644"/>
      <c r="C115" s="644">
        <f t="shared" si="1"/>
        <v>7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46160</v>
      </c>
    </row>
    <row r="116">
      <c r="A116" s="644"/>
      <c r="B116" s="644"/>
      <c r="C116" s="644">
        <f t="shared" si="1"/>
        <v>7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46160</v>
      </c>
    </row>
    <row r="117">
      <c r="A117" s="644"/>
      <c r="B117" s="644"/>
      <c r="C117" s="644">
        <f t="shared" si="1"/>
        <v>7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46160</v>
      </c>
    </row>
    <row r="118">
      <c r="A118" s="644"/>
      <c r="B118" s="644"/>
      <c r="C118" s="644">
        <f t="shared" si="1"/>
        <v>7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46160</v>
      </c>
    </row>
    <row r="119">
      <c r="A119" s="644"/>
      <c r="B119" s="644"/>
      <c r="C119" s="644">
        <f t="shared" si="1"/>
        <v>7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46160</v>
      </c>
    </row>
    <row r="120">
      <c r="A120" s="644"/>
      <c r="B120" s="644"/>
      <c r="C120" s="644">
        <f t="shared" si="1"/>
        <v>7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46160</v>
      </c>
    </row>
    <row r="121">
      <c r="A121" s="644"/>
      <c r="B121" s="644"/>
      <c r="C121" s="644">
        <f t="shared" si="1"/>
        <v>7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46160</v>
      </c>
    </row>
    <row r="122">
      <c r="A122" s="644"/>
      <c r="B122" s="644"/>
      <c r="C122" s="644">
        <f t="shared" si="1"/>
        <v>7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46160</v>
      </c>
    </row>
    <row r="123">
      <c r="A123" s="644"/>
      <c r="B123" s="644"/>
      <c r="C123" s="644">
        <f t="shared" si="1"/>
        <v>7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46160</v>
      </c>
    </row>
    <row r="124">
      <c r="A124" s="644"/>
      <c r="B124" s="644"/>
      <c r="C124" s="644">
        <f t="shared" si="1"/>
        <v>7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46160</v>
      </c>
    </row>
    <row r="125">
      <c r="A125" s="644"/>
      <c r="B125" s="644"/>
      <c r="C125" s="644">
        <f t="shared" si="1"/>
        <v>7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46160</v>
      </c>
    </row>
    <row r="126">
      <c r="A126" s="644"/>
      <c r="B126" s="644"/>
      <c r="C126" s="644">
        <f t="shared" si="1"/>
        <v>7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46160</v>
      </c>
    </row>
    <row r="127">
      <c r="A127" s="644"/>
      <c r="B127" s="644"/>
      <c r="C127" s="644">
        <f t="shared" si="1"/>
        <v>7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46160</v>
      </c>
    </row>
    <row r="128">
      <c r="A128" s="644"/>
      <c r="B128" s="644"/>
      <c r="C128" s="644">
        <f t="shared" si="1"/>
        <v>7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46160</v>
      </c>
    </row>
    <row r="129">
      <c r="A129" s="644"/>
      <c r="B129" s="644"/>
      <c r="C129" s="644">
        <f t="shared" si="1"/>
        <v>7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46160</v>
      </c>
    </row>
    <row r="130">
      <c r="A130" s="644"/>
      <c r="B130" s="644"/>
      <c r="C130" s="644">
        <f t="shared" si="1"/>
        <v>7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46160</v>
      </c>
    </row>
    <row r="131">
      <c r="A131" s="644"/>
      <c r="B131" s="644"/>
      <c r="C131" s="644">
        <f t="shared" si="1"/>
        <v>7</v>
      </c>
      <c r="D131" s="643"/>
      <c r="E131" s="645" t="b">
        <v>1</v>
      </c>
      <c r="F131" s="646" t="str">
        <f t="shared" si="2"/>
        <v>PAGADO</v>
      </c>
      <c r="G131" s="340" t="s">
        <v>2278</v>
      </c>
      <c r="H131" s="646" t="str">
        <f t="shared" si="3"/>
        <v>VENCIDA</v>
      </c>
      <c r="I131" s="647">
        <f t="shared" si="4"/>
        <v>46160</v>
      </c>
    </row>
    <row r="133">
      <c r="C133" s="771"/>
    </row>
    <row r="134">
      <c r="C134" s="772" t="s">
        <v>55</v>
      </c>
      <c r="D134" s="3">
        <f>SUMIF(F3:F131,C134,D3:D131)</f>
        <v>101528.72</v>
      </c>
    </row>
    <row r="135">
      <c r="C135" s="773" t="s">
        <v>527</v>
      </c>
      <c r="D135" s="3">
        <f>SUMIF(F3:F131,C135,D3:D131)</f>
        <v>0</v>
      </c>
    </row>
    <row r="136">
      <c r="C136" s="697" t="s">
        <v>28</v>
      </c>
      <c r="D136" s="3">
        <f>D134+D135</f>
        <v>101528.72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2504</v>
      </c>
      <c r="B1" s="636"/>
      <c r="C1" s="636"/>
      <c r="D1" s="636"/>
      <c r="E1" s="636"/>
      <c r="F1" s="636"/>
      <c r="G1" s="636"/>
      <c r="H1" s="636"/>
      <c r="I1" s="252"/>
      <c r="K1" s="765" t="s">
        <v>2393</v>
      </c>
      <c r="L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K2" s="768" t="s">
        <v>29</v>
      </c>
      <c r="L2" s="769">
        <f>D26+D27+D28+D29+D30+D31+D32+D33+D34+D35+D36+D37</f>
        <v>1024000</v>
      </c>
    </row>
    <row r="3">
      <c r="A3" s="643"/>
      <c r="B3" s="644">
        <v>45588.0</v>
      </c>
      <c r="C3" s="644"/>
      <c r="D3" s="643">
        <v>121500.0</v>
      </c>
      <c r="E3" s="645" t="b">
        <v>1</v>
      </c>
      <c r="F3" s="646" t="str">
        <f t="shared" ref="F3:F131" si="1">IF(E3,"PAGADO","ADEUDA")</f>
        <v>PAGADO</v>
      </c>
      <c r="G3" s="340" t="s">
        <v>2276</v>
      </c>
      <c r="H3" s="646" t="str">
        <f t="shared" ref="H3:H131" si="2">IF(C3&lt;TODAY(),"VENCIDA",IF(C3=TODAY(),"VENCE HOY",IF(C3&gt;TODAY(),"VIGENTE")))</f>
        <v>VENCIDA</v>
      </c>
      <c r="I3" s="647">
        <f t="shared" ref="I3:I131" si="3">TODAY()-C3</f>
        <v>46167</v>
      </c>
      <c r="K3" s="768" t="s">
        <v>31</v>
      </c>
      <c r="L3" s="769">
        <f>D38+D39+D40+D41+D42+D43+D44+D45+D46+D47+D48</f>
        <v>950500</v>
      </c>
    </row>
    <row r="4">
      <c r="A4" s="643"/>
      <c r="B4" s="644">
        <v>45593.0</v>
      </c>
      <c r="C4" s="644"/>
      <c r="D4" s="643">
        <v>147500.0</v>
      </c>
      <c r="E4" s="645" t="b">
        <v>0</v>
      </c>
      <c r="F4" s="646" t="str">
        <f t="shared" si="1"/>
        <v>ADEUDA</v>
      </c>
      <c r="G4" s="340" t="s">
        <v>2278</v>
      </c>
      <c r="H4" s="646" t="str">
        <f t="shared" si="2"/>
        <v>VENCIDA</v>
      </c>
      <c r="I4" s="647">
        <f t="shared" si="3"/>
        <v>46167</v>
      </c>
      <c r="K4" s="768" t="s">
        <v>35</v>
      </c>
      <c r="L4" s="770"/>
    </row>
    <row r="5">
      <c r="A5" s="643"/>
      <c r="B5" s="644">
        <v>45597.0</v>
      </c>
      <c r="C5" s="644"/>
      <c r="D5" s="643">
        <v>33000.0</v>
      </c>
      <c r="E5" s="645" t="b">
        <v>1</v>
      </c>
      <c r="F5" s="646" t="str">
        <f t="shared" si="1"/>
        <v>PAGADO</v>
      </c>
      <c r="G5" s="340" t="s">
        <v>2276</v>
      </c>
      <c r="H5" s="646" t="str">
        <f t="shared" si="2"/>
        <v>VENCIDA</v>
      </c>
      <c r="I5" s="647">
        <f t="shared" si="3"/>
        <v>46167</v>
      </c>
      <c r="K5" s="768" t="s">
        <v>37</v>
      </c>
      <c r="L5" s="770"/>
    </row>
    <row r="6">
      <c r="A6" s="643"/>
      <c r="B6" s="644">
        <v>45600.0</v>
      </c>
      <c r="C6" s="644"/>
      <c r="D6" s="643">
        <v>111800.0</v>
      </c>
      <c r="E6" s="645" t="b">
        <v>1</v>
      </c>
      <c r="F6" s="646" t="str">
        <f t="shared" si="1"/>
        <v>PAGADO</v>
      </c>
      <c r="G6" s="340" t="s">
        <v>2276</v>
      </c>
      <c r="H6" s="646" t="str">
        <f t="shared" si="2"/>
        <v>VENCIDA</v>
      </c>
      <c r="I6" s="647">
        <f t="shared" si="3"/>
        <v>46167</v>
      </c>
      <c r="K6" s="768" t="s">
        <v>39</v>
      </c>
      <c r="L6" s="770"/>
    </row>
    <row r="7">
      <c r="A7" s="643"/>
      <c r="B7" s="644">
        <v>45602.0</v>
      </c>
      <c r="C7" s="644"/>
      <c r="D7" s="643">
        <v>127000.0</v>
      </c>
      <c r="E7" s="658" t="b">
        <v>0</v>
      </c>
      <c r="F7" s="646" t="str">
        <f t="shared" si="1"/>
        <v>ADEUDA</v>
      </c>
      <c r="G7" s="340" t="s">
        <v>2278</v>
      </c>
      <c r="H7" s="646" t="str">
        <f t="shared" si="2"/>
        <v>VENCIDA</v>
      </c>
      <c r="I7" s="647">
        <f t="shared" si="3"/>
        <v>46167</v>
      </c>
      <c r="K7" s="768" t="s">
        <v>41</v>
      </c>
      <c r="L7" s="770"/>
    </row>
    <row r="8">
      <c r="A8" s="644"/>
      <c r="B8" s="644">
        <v>45607.0</v>
      </c>
      <c r="C8" s="644"/>
      <c r="D8" s="643">
        <v>139000.0</v>
      </c>
      <c r="E8" s="658" t="b">
        <v>0</v>
      </c>
      <c r="F8" s="646" t="str">
        <f t="shared" si="1"/>
        <v>ADEUDA</v>
      </c>
      <c r="G8" s="340" t="s">
        <v>2278</v>
      </c>
      <c r="H8" s="646" t="str">
        <f t="shared" si="2"/>
        <v>VENCIDA</v>
      </c>
      <c r="I8" s="647">
        <f t="shared" si="3"/>
        <v>46167</v>
      </c>
      <c r="K8" s="768" t="s">
        <v>42</v>
      </c>
      <c r="L8" s="770"/>
    </row>
    <row r="9">
      <c r="A9" s="644"/>
      <c r="B9" s="644">
        <v>45609.0</v>
      </c>
      <c r="C9" s="644"/>
      <c r="D9" s="643">
        <v>85600.0</v>
      </c>
      <c r="E9" s="645" t="b">
        <v>1</v>
      </c>
      <c r="F9" s="646" t="str">
        <f t="shared" si="1"/>
        <v>PAGADO</v>
      </c>
      <c r="G9" s="340" t="s">
        <v>2276</v>
      </c>
      <c r="H9" s="646" t="str">
        <f t="shared" si="2"/>
        <v>VENCIDA</v>
      </c>
      <c r="I9" s="647">
        <f t="shared" si="3"/>
        <v>46167</v>
      </c>
      <c r="K9" s="768" t="s">
        <v>43</v>
      </c>
      <c r="L9" s="770"/>
    </row>
    <row r="10">
      <c r="A10" s="644"/>
      <c r="B10" s="644">
        <v>45611.0</v>
      </c>
      <c r="C10" s="644"/>
      <c r="D10" s="643">
        <v>113500.0</v>
      </c>
      <c r="E10" s="658" t="b">
        <v>0</v>
      </c>
      <c r="F10" s="646" t="str">
        <f t="shared" si="1"/>
        <v>ADEUDA</v>
      </c>
      <c r="G10" s="340" t="s">
        <v>2278</v>
      </c>
      <c r="H10" s="646" t="str">
        <f t="shared" si="2"/>
        <v>VENCIDA</v>
      </c>
      <c r="I10" s="647">
        <f t="shared" si="3"/>
        <v>46167</v>
      </c>
      <c r="K10" s="768" t="s">
        <v>45</v>
      </c>
      <c r="L10" s="770"/>
    </row>
    <row r="11">
      <c r="A11" s="644"/>
      <c r="B11" s="644">
        <v>45616.0</v>
      </c>
      <c r="C11" s="644"/>
      <c r="D11" s="643">
        <v>111000.0</v>
      </c>
      <c r="E11" s="658" t="b">
        <v>0</v>
      </c>
      <c r="F11" s="646" t="str">
        <f t="shared" si="1"/>
        <v>ADEUDA</v>
      </c>
      <c r="G11" s="340" t="s">
        <v>2278</v>
      </c>
      <c r="H11" s="646" t="str">
        <f t="shared" si="2"/>
        <v>VENCIDA</v>
      </c>
      <c r="I11" s="647">
        <f t="shared" si="3"/>
        <v>46167</v>
      </c>
      <c r="K11" s="768" t="s">
        <v>49</v>
      </c>
      <c r="L11" s="770"/>
    </row>
    <row r="12">
      <c r="A12" s="644"/>
      <c r="B12" s="644">
        <v>45618.0</v>
      </c>
      <c r="C12" s="644"/>
      <c r="D12" s="643">
        <v>38000.0</v>
      </c>
      <c r="E12" s="645" t="b">
        <v>1</v>
      </c>
      <c r="F12" s="646" t="str">
        <f t="shared" si="1"/>
        <v>PAGADO</v>
      </c>
      <c r="G12" s="340" t="s">
        <v>2276</v>
      </c>
      <c r="H12" s="646" t="str">
        <f t="shared" si="2"/>
        <v>VENCIDA</v>
      </c>
      <c r="I12" s="647">
        <f t="shared" si="3"/>
        <v>46167</v>
      </c>
      <c r="K12" s="768" t="s">
        <v>50</v>
      </c>
      <c r="L12" s="770"/>
    </row>
    <row r="13">
      <c r="A13" s="644"/>
      <c r="B13" s="644">
        <v>45621.0</v>
      </c>
      <c r="C13" s="644"/>
      <c r="D13" s="643">
        <v>174500.0</v>
      </c>
      <c r="E13" s="658" t="b">
        <v>0</v>
      </c>
      <c r="F13" s="646" t="str">
        <f t="shared" si="1"/>
        <v>ADEUDA</v>
      </c>
      <c r="G13" s="340" t="s">
        <v>2278</v>
      </c>
      <c r="H13" s="646" t="str">
        <f t="shared" si="2"/>
        <v>VENCIDA</v>
      </c>
      <c r="I13" s="647">
        <f t="shared" si="3"/>
        <v>46167</v>
      </c>
      <c r="K13" s="768" t="s">
        <v>51</v>
      </c>
      <c r="L13" s="770"/>
    </row>
    <row r="14">
      <c r="A14" s="644"/>
      <c r="B14" s="644">
        <v>45625.0</v>
      </c>
      <c r="C14" s="644"/>
      <c r="D14" s="643">
        <v>60000.0</v>
      </c>
      <c r="E14" s="645" t="b">
        <v>1</v>
      </c>
      <c r="F14" s="646" t="str">
        <f t="shared" si="1"/>
        <v>PAGADO</v>
      </c>
      <c r="G14" s="340" t="s">
        <v>2276</v>
      </c>
      <c r="H14" s="646" t="str">
        <f t="shared" si="2"/>
        <v>VENCIDA</v>
      </c>
      <c r="I14" s="647">
        <f t="shared" si="3"/>
        <v>46167</v>
      </c>
    </row>
    <row r="15">
      <c r="A15" s="644"/>
      <c r="B15" s="644">
        <v>45628.0</v>
      </c>
      <c r="C15" s="644"/>
      <c r="D15" s="643">
        <v>125000.0</v>
      </c>
      <c r="E15" s="654" t="b">
        <v>0</v>
      </c>
      <c r="F15" s="646" t="str">
        <f t="shared" si="1"/>
        <v>ADEUDA</v>
      </c>
      <c r="G15" s="340" t="s">
        <v>2278</v>
      </c>
      <c r="H15" s="646" t="str">
        <f t="shared" si="2"/>
        <v>VENCIDA</v>
      </c>
      <c r="I15" s="647">
        <f t="shared" si="3"/>
        <v>46167</v>
      </c>
      <c r="K15" s="318"/>
    </row>
    <row r="16">
      <c r="A16" s="644"/>
      <c r="B16" s="644">
        <v>45630.0</v>
      </c>
      <c r="C16" s="644"/>
      <c r="D16" s="643">
        <v>91000.0</v>
      </c>
      <c r="E16" s="654" t="b">
        <v>0</v>
      </c>
      <c r="F16" s="646" t="str">
        <f t="shared" si="1"/>
        <v>ADEUDA</v>
      </c>
      <c r="G16" s="340" t="s">
        <v>2278</v>
      </c>
      <c r="H16" s="646" t="str">
        <f t="shared" si="2"/>
        <v>VENCIDA</v>
      </c>
      <c r="I16" s="647">
        <f t="shared" si="3"/>
        <v>46167</v>
      </c>
    </row>
    <row r="17">
      <c r="A17" s="644"/>
      <c r="B17" s="644">
        <v>45632.0</v>
      </c>
      <c r="C17" s="644"/>
      <c r="D17" s="643">
        <v>50500.0</v>
      </c>
      <c r="E17" s="654" t="b">
        <v>1</v>
      </c>
      <c r="F17" s="646" t="str">
        <f t="shared" si="1"/>
        <v>PAGADO</v>
      </c>
      <c r="G17" s="340" t="s">
        <v>2276</v>
      </c>
      <c r="H17" s="646" t="str">
        <f t="shared" si="2"/>
        <v>VENCIDA</v>
      </c>
      <c r="I17" s="647">
        <f t="shared" si="3"/>
        <v>46167</v>
      </c>
    </row>
    <row r="18">
      <c r="A18" s="644"/>
      <c r="B18" s="644">
        <v>45635.0</v>
      </c>
      <c r="C18" s="644"/>
      <c r="D18" s="643">
        <v>130000.0</v>
      </c>
      <c r="E18" s="658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4"/>
      <c r="B19" s="644">
        <v>45637.0</v>
      </c>
      <c r="C19" s="644"/>
      <c r="D19" s="643">
        <v>140000.0</v>
      </c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>
        <v>45639.0</v>
      </c>
      <c r="C20" s="644"/>
      <c r="D20" s="643">
        <v>50500.0</v>
      </c>
      <c r="E20" s="645" t="b">
        <v>1</v>
      </c>
      <c r="F20" s="646" t="str">
        <f t="shared" si="1"/>
        <v>PAGADO</v>
      </c>
      <c r="G20" s="340" t="s">
        <v>2276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>
        <v>45642.0</v>
      </c>
      <c r="C21" s="644"/>
      <c r="D21" s="643">
        <v>94000.0</v>
      </c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>
        <v>45644.0</v>
      </c>
      <c r="C22" s="644"/>
      <c r="D22" s="643">
        <v>144000.0</v>
      </c>
      <c r="E22" s="645" t="b">
        <v>1</v>
      </c>
      <c r="F22" s="646" t="str">
        <f t="shared" si="1"/>
        <v>PAGADO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>
        <v>45649.0</v>
      </c>
      <c r="C23" s="644"/>
      <c r="D23" s="643">
        <v>100500.0</v>
      </c>
      <c r="E23" s="645" t="b">
        <v>1</v>
      </c>
      <c r="F23" s="646" t="str">
        <f t="shared" si="1"/>
        <v>PAGADO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>
        <v>45653.0</v>
      </c>
      <c r="C24" s="644"/>
      <c r="D24" s="643">
        <v>86500.0</v>
      </c>
      <c r="E24" s="645" t="b">
        <v>1</v>
      </c>
      <c r="F24" s="646" t="str">
        <f t="shared" si="1"/>
        <v>PAGADO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>
        <v>45656.0</v>
      </c>
      <c r="C25" s="644"/>
      <c r="D25" s="643">
        <v>33500.0</v>
      </c>
      <c r="E25" s="645" t="b">
        <v>1</v>
      </c>
      <c r="F25" s="646" t="str">
        <f t="shared" si="1"/>
        <v>PAGADO</v>
      </c>
      <c r="G25" s="340" t="s">
        <v>2276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>
        <v>45660.0</v>
      </c>
      <c r="C26" s="644"/>
      <c r="D26" s="643">
        <v>141500.0</v>
      </c>
      <c r="E26" s="645" t="b">
        <v>1</v>
      </c>
      <c r="F26" s="646" t="str">
        <f t="shared" si="1"/>
        <v>PAGADO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>
        <v>45663.0</v>
      </c>
      <c r="C27" s="644"/>
      <c r="D27" s="643">
        <v>67500.0</v>
      </c>
      <c r="E27" s="645" t="b">
        <v>1</v>
      </c>
      <c r="F27" s="646" t="str">
        <f t="shared" si="1"/>
        <v>PAGADO</v>
      </c>
      <c r="G27" s="340" t="s">
        <v>2276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>
        <v>45665.0</v>
      </c>
      <c r="C28" s="644"/>
      <c r="D28" s="643">
        <v>68500.0</v>
      </c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>
        <v>45667.0</v>
      </c>
      <c r="C29" s="644"/>
      <c r="D29" s="643">
        <v>75000.0</v>
      </c>
      <c r="E29" s="645" t="b">
        <v>1</v>
      </c>
      <c r="F29" s="646" t="str">
        <f t="shared" si="1"/>
        <v>PAGADO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>
        <v>45671.0</v>
      </c>
      <c r="C30" s="644"/>
      <c r="D30" s="643">
        <v>117500.0</v>
      </c>
      <c r="E30" s="645" t="b">
        <v>1</v>
      </c>
      <c r="F30" s="646" t="str">
        <f t="shared" si="1"/>
        <v>PAGADO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>
        <v>45672.0</v>
      </c>
      <c r="C31" s="644"/>
      <c r="D31" s="643">
        <v>44500.0</v>
      </c>
      <c r="E31" s="645" t="b">
        <v>1</v>
      </c>
      <c r="F31" s="646" t="str">
        <f t="shared" si="1"/>
        <v>PAGADO</v>
      </c>
      <c r="G31" s="340" t="s">
        <v>2276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>
        <v>45674.0</v>
      </c>
      <c r="C32" s="644"/>
      <c r="D32" s="643">
        <v>112500.0</v>
      </c>
      <c r="E32" s="645" t="b">
        <v>1</v>
      </c>
      <c r="F32" s="646" t="str">
        <f t="shared" si="1"/>
        <v>PAGADO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>
        <v>45677.0</v>
      </c>
      <c r="C33" s="644"/>
      <c r="D33" s="643">
        <v>93000.0</v>
      </c>
      <c r="E33" s="645" t="b">
        <v>1</v>
      </c>
      <c r="F33" s="646" t="str">
        <f t="shared" si="1"/>
        <v>PAGADO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>
        <v>45679.0</v>
      </c>
      <c r="C34" s="644"/>
      <c r="D34" s="643">
        <v>45500.0</v>
      </c>
      <c r="E34" s="645" t="b">
        <v>1</v>
      </c>
      <c r="F34" s="646" t="str">
        <f t="shared" si="1"/>
        <v>PAGADO</v>
      </c>
      <c r="G34" s="340" t="s">
        <v>2276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>
        <v>45681.0</v>
      </c>
      <c r="C35" s="644"/>
      <c r="D35" s="643">
        <v>55000.0</v>
      </c>
      <c r="E35" s="645" t="b">
        <v>1</v>
      </c>
      <c r="F35" s="646" t="str">
        <f t="shared" si="1"/>
        <v>PAGADO</v>
      </c>
      <c r="G35" s="340" t="s">
        <v>2276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>
        <v>45684.0</v>
      </c>
      <c r="C36" s="644"/>
      <c r="D36" s="643">
        <v>95000.0</v>
      </c>
      <c r="E36" s="645" t="b">
        <v>1</v>
      </c>
      <c r="F36" s="646" t="str">
        <f t="shared" si="1"/>
        <v>PAGADO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>
        <v>45688.0</v>
      </c>
      <c r="C37" s="644"/>
      <c r="D37" s="643">
        <v>108500.0</v>
      </c>
      <c r="E37" s="645" t="b">
        <v>1</v>
      </c>
      <c r="F37" s="646" t="str">
        <f t="shared" si="1"/>
        <v>PAGADO</v>
      </c>
      <c r="G37" s="340" t="s">
        <v>2276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>
        <v>45691.0</v>
      </c>
      <c r="C38" s="644"/>
      <c r="D38" s="643">
        <v>143500.0</v>
      </c>
      <c r="E38" s="645" t="b">
        <v>1</v>
      </c>
      <c r="F38" s="646" t="str">
        <f t="shared" si="1"/>
        <v>PAGADO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>
        <v>45693.0</v>
      </c>
      <c r="C39" s="644"/>
      <c r="D39" s="643">
        <v>50000.0</v>
      </c>
      <c r="E39" s="645" t="b">
        <v>1</v>
      </c>
      <c r="F39" s="646" t="str">
        <f t="shared" si="1"/>
        <v>PAGADO</v>
      </c>
      <c r="G39" s="340" t="s">
        <v>2276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>
        <v>45695.0</v>
      </c>
      <c r="C40" s="644"/>
      <c r="D40" s="643">
        <v>47500.0</v>
      </c>
      <c r="E40" s="645" t="b">
        <v>1</v>
      </c>
      <c r="F40" s="646" t="str">
        <f t="shared" si="1"/>
        <v>PAGADO</v>
      </c>
      <c r="G40" s="340" t="s">
        <v>2276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>
        <v>45698.0</v>
      </c>
      <c r="C41" s="644"/>
      <c r="D41" s="643">
        <v>95500.0</v>
      </c>
      <c r="E41" s="645" t="b">
        <v>1</v>
      </c>
      <c r="F41" s="646" t="str">
        <f t="shared" si="1"/>
        <v>PAGADO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>
        <v>45702.0</v>
      </c>
      <c r="C42" s="644"/>
      <c r="D42" s="643">
        <v>105500.0</v>
      </c>
      <c r="E42" s="645" t="b">
        <v>1</v>
      </c>
      <c r="F42" s="646" t="str">
        <f t="shared" si="1"/>
        <v>PAGADO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>
        <v>45705.0</v>
      </c>
      <c r="C43" s="644"/>
      <c r="D43" s="643">
        <v>67500.0</v>
      </c>
      <c r="E43" s="645" t="b">
        <v>1</v>
      </c>
      <c r="F43" s="646" t="str">
        <f t="shared" si="1"/>
        <v>PAGADO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>
        <v>45707.0</v>
      </c>
      <c r="C44" s="644"/>
      <c r="D44" s="643">
        <v>98500.0</v>
      </c>
      <c r="E44" s="645" t="b">
        <v>1</v>
      </c>
      <c r="F44" s="646" t="str">
        <f t="shared" si="1"/>
        <v>PAGADO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>
        <v>45709.0</v>
      </c>
      <c r="C45" s="644"/>
      <c r="D45" s="643">
        <v>27000.0</v>
      </c>
      <c r="E45" s="645" t="b">
        <v>1</v>
      </c>
      <c r="F45" s="646" t="str">
        <f t="shared" si="1"/>
        <v>PAGADO</v>
      </c>
      <c r="G45" s="340" t="s">
        <v>2276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>
        <v>45712.0</v>
      </c>
      <c r="C46" s="644"/>
      <c r="D46" s="643">
        <f>130000-6000</f>
        <v>124000</v>
      </c>
      <c r="E46" s="645" t="b">
        <v>1</v>
      </c>
      <c r="F46" s="646" t="str">
        <f t="shared" si="1"/>
        <v>PAGADO</v>
      </c>
      <c r="G46" s="340" t="s">
        <v>2278</v>
      </c>
      <c r="H46" s="646" t="str">
        <f t="shared" si="2"/>
        <v>VENCIDA</v>
      </c>
      <c r="I46" s="647">
        <f t="shared" si="3"/>
        <v>46167</v>
      </c>
      <c r="J46" s="2" t="s">
        <v>2505</v>
      </c>
    </row>
    <row r="47">
      <c r="A47" s="644"/>
      <c r="B47" s="644">
        <v>45714.0</v>
      </c>
      <c r="C47" s="644"/>
      <c r="D47" s="643">
        <v>114500.0</v>
      </c>
      <c r="E47" s="645" t="b">
        <v>1</v>
      </c>
      <c r="F47" s="646" t="str">
        <f t="shared" si="1"/>
        <v>PAGADO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>
        <v>45716.0</v>
      </c>
      <c r="C48" s="644"/>
      <c r="D48" s="643">
        <f>78500-1500</f>
        <v>77000</v>
      </c>
      <c r="E48" s="645" t="b">
        <v>1</v>
      </c>
      <c r="F48" s="646" t="str">
        <f t="shared" si="1"/>
        <v>PAGADO</v>
      </c>
      <c r="G48" s="340" t="s">
        <v>2278</v>
      </c>
      <c r="H48" s="646" t="str">
        <f t="shared" si="2"/>
        <v>VENCIDA</v>
      </c>
      <c r="I48" s="647">
        <f t="shared" si="3"/>
        <v>46167</v>
      </c>
      <c r="J48" s="2" t="s">
        <v>2506</v>
      </c>
    </row>
    <row r="49">
      <c r="A49" s="644"/>
      <c r="B49" s="644">
        <v>45721.0</v>
      </c>
      <c r="C49" s="644"/>
      <c r="D49" s="643">
        <f>62500-6000</f>
        <v>56500</v>
      </c>
      <c r="E49" s="645" t="b">
        <v>1</v>
      </c>
      <c r="F49" s="646" t="str">
        <f t="shared" si="1"/>
        <v>PAGADO</v>
      </c>
      <c r="G49" s="340" t="s">
        <v>2276</v>
      </c>
      <c r="H49" s="646" t="str">
        <f t="shared" si="2"/>
        <v>VENCIDA</v>
      </c>
      <c r="I49" s="647">
        <f t="shared" si="3"/>
        <v>46167</v>
      </c>
      <c r="J49" s="2" t="s">
        <v>2505</v>
      </c>
    </row>
    <row r="50">
      <c r="A50" s="644"/>
      <c r="B50" s="644">
        <v>45726.0</v>
      </c>
      <c r="C50" s="644"/>
      <c r="D50" s="643">
        <v>168500.0</v>
      </c>
      <c r="E50" s="645" t="b">
        <v>1</v>
      </c>
      <c r="F50" s="646" t="str">
        <f t="shared" si="1"/>
        <v>PAGADO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>
        <v>45728.0</v>
      </c>
      <c r="C51" s="644"/>
      <c r="D51" s="643">
        <v>58500.0</v>
      </c>
      <c r="E51" s="645" t="b">
        <v>1</v>
      </c>
      <c r="F51" s="646" t="str">
        <f t="shared" si="1"/>
        <v>PAGADO</v>
      </c>
      <c r="G51" s="340" t="s">
        <v>2276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>
        <v>45730.0</v>
      </c>
      <c r="C52" s="644"/>
      <c r="D52" s="643">
        <v>64000.0</v>
      </c>
      <c r="E52" s="645" t="b">
        <v>1</v>
      </c>
      <c r="F52" s="646" t="str">
        <f t="shared" si="1"/>
        <v>PAGADO</v>
      </c>
      <c r="G52" s="340" t="s">
        <v>2276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>
        <v>45733.0</v>
      </c>
      <c r="C53" s="644"/>
      <c r="D53" s="643">
        <v>33500.0</v>
      </c>
      <c r="E53" s="645" t="b">
        <v>1</v>
      </c>
      <c r="F53" s="646" t="str">
        <f t="shared" si="1"/>
        <v>PAGADO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>
        <v>45735.0</v>
      </c>
      <c r="C54" s="644"/>
      <c r="D54" s="643">
        <v>176500.0</v>
      </c>
      <c r="E54" s="645" t="b">
        <v>1</v>
      </c>
      <c r="F54" s="646" t="str">
        <f t="shared" si="1"/>
        <v>PAGADO</v>
      </c>
      <c r="G54" s="340" t="s">
        <v>2278</v>
      </c>
      <c r="H54" s="646" t="str">
        <f t="shared" si="2"/>
        <v>VENCIDA</v>
      </c>
      <c r="I54" s="647">
        <f t="shared" si="3"/>
        <v>46167</v>
      </c>
      <c r="J54" s="2" t="s">
        <v>2507</v>
      </c>
    </row>
    <row r="55">
      <c r="A55" s="644"/>
      <c r="B55" s="644">
        <v>45737.0</v>
      </c>
      <c r="C55" s="644"/>
      <c r="D55" s="643">
        <f>46000-2500</f>
        <v>43500</v>
      </c>
      <c r="E55" s="645" t="b">
        <v>1</v>
      </c>
      <c r="F55" s="646" t="str">
        <f t="shared" si="1"/>
        <v>PAGADO</v>
      </c>
      <c r="G55" s="340" t="s">
        <v>2276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>
        <v>45740.0</v>
      </c>
      <c r="C56" s="644"/>
      <c r="D56" s="643">
        <v>70000.0</v>
      </c>
      <c r="E56" s="645" t="b">
        <v>1</v>
      </c>
      <c r="F56" s="646" t="str">
        <f t="shared" si="1"/>
        <v>PAGADO</v>
      </c>
      <c r="G56" s="340" t="s">
        <v>2276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>
        <v>45742.0</v>
      </c>
      <c r="C57" s="644"/>
      <c r="D57" s="643">
        <v>99500.0</v>
      </c>
      <c r="E57" s="645" t="b">
        <v>1</v>
      </c>
      <c r="F57" s="646" t="str">
        <f t="shared" si="1"/>
        <v>PAGADO</v>
      </c>
      <c r="G57" s="340" t="s">
        <v>2276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>
        <v>45744.0</v>
      </c>
      <c r="C58" s="644"/>
      <c r="D58" s="643">
        <v>76500.0</v>
      </c>
      <c r="E58" s="645" t="b">
        <v>1</v>
      </c>
      <c r="F58" s="646" t="str">
        <f t="shared" si="1"/>
        <v>PAGADO</v>
      </c>
      <c r="G58" s="340" t="s">
        <v>2276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>
        <v>45747.0</v>
      </c>
      <c r="C59" s="644"/>
      <c r="D59" s="643">
        <v>76500.0</v>
      </c>
      <c r="E59" s="645" t="b">
        <v>1</v>
      </c>
      <c r="F59" s="646" t="str">
        <f t="shared" si="1"/>
        <v>PAGADO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>
        <v>45749.0</v>
      </c>
      <c r="C60" s="644"/>
      <c r="D60" s="643">
        <v>111500.0</v>
      </c>
      <c r="E60" s="645" t="b">
        <v>1</v>
      </c>
      <c r="F60" s="646" t="str">
        <f t="shared" si="1"/>
        <v>PAGADO</v>
      </c>
      <c r="G60" s="340" t="s">
        <v>2276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>
        <v>45754.0</v>
      </c>
      <c r="C61" s="644"/>
      <c r="D61" s="643">
        <f>109500-5000</f>
        <v>104500</v>
      </c>
      <c r="E61" s="645" t="b">
        <v>1</v>
      </c>
      <c r="F61" s="646" t="str">
        <f t="shared" si="1"/>
        <v>PAGADO</v>
      </c>
      <c r="G61" s="340" t="s">
        <v>2278</v>
      </c>
      <c r="H61" s="646" t="str">
        <f t="shared" si="2"/>
        <v>VENCIDA</v>
      </c>
      <c r="I61" s="647">
        <f t="shared" si="3"/>
        <v>46167</v>
      </c>
      <c r="J61" s="2" t="s">
        <v>2508</v>
      </c>
    </row>
    <row r="62">
      <c r="A62" s="644"/>
      <c r="B62" s="644">
        <v>45756.0</v>
      </c>
      <c r="C62" s="644"/>
      <c r="D62" s="643">
        <v>74000.0</v>
      </c>
      <c r="E62" s="645" t="b">
        <v>1</v>
      </c>
      <c r="F62" s="646" t="str">
        <f t="shared" si="1"/>
        <v>PAGADO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>
        <v>45761.0</v>
      </c>
      <c r="C63" s="644"/>
      <c r="D63" s="643">
        <v>209500.0</v>
      </c>
      <c r="E63" s="645" t="b">
        <v>1</v>
      </c>
      <c r="F63" s="646" t="str">
        <f t="shared" si="1"/>
        <v>PAGADO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/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/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/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/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/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/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/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/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/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/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/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/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/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/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/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/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/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/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/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/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/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/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/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/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/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/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/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/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/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/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/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/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/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/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/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/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/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/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/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/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/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/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/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/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/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/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/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/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/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/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/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/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/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/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/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/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/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/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/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/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/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/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/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/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/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/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/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/>
      <c r="D131" s="643"/>
      <c r="E131" s="645" t="b">
        <v>1</v>
      </c>
      <c r="F131" s="646" t="str">
        <f t="shared" si="1"/>
        <v>PAGADO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3">
      <c r="C133" s="771"/>
    </row>
    <row r="134">
      <c r="C134" s="772" t="s">
        <v>55</v>
      </c>
      <c r="D134" s="3">
        <f>SUMIF(F3:F131,C134,D3:D131)</f>
        <v>1461000</v>
      </c>
    </row>
    <row r="135">
      <c r="C135" s="773" t="s">
        <v>527</v>
      </c>
      <c r="D135" s="3">
        <f>SUMIF(F3:F131,C135,D3:D131)</f>
        <v>4244400</v>
      </c>
    </row>
    <row r="136">
      <c r="C136" s="697" t="s">
        <v>28</v>
      </c>
      <c r="D136" s="3">
        <f>D134+D135</f>
        <v>5705400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/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2509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>
        <f>D5+D6</f>
        <v>833206</v>
      </c>
    </row>
    <row r="4">
      <c r="A4" s="643">
        <v>4666.0</v>
      </c>
      <c r="B4" s="644">
        <v>45653.0</v>
      </c>
      <c r="C4" s="644">
        <f t="shared" ref="C4:C132" si="1">B4+15</f>
        <v>45668</v>
      </c>
      <c r="D4" s="643">
        <v>450846.0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499</v>
      </c>
      <c r="J4" s="768" t="s">
        <v>31</v>
      </c>
      <c r="K4" s="769">
        <f>D7+D8+D9</f>
        <v>913368.5</v>
      </c>
    </row>
    <row r="5">
      <c r="A5" s="643">
        <v>4740.0</v>
      </c>
      <c r="B5" s="644">
        <v>45671.0</v>
      </c>
      <c r="C5" s="644">
        <f t="shared" si="1"/>
        <v>45686</v>
      </c>
      <c r="D5" s="643">
        <v>370804.5</v>
      </c>
      <c r="E5" s="645" t="b">
        <v>1</v>
      </c>
      <c r="F5" s="646" t="str">
        <f t="shared" si="2"/>
        <v>PAGADO</v>
      </c>
      <c r="G5" s="340" t="s">
        <v>2276</v>
      </c>
      <c r="H5" s="646" t="str">
        <f t="shared" si="3"/>
        <v>VENCIDA</v>
      </c>
      <c r="I5" s="647">
        <f t="shared" si="4"/>
        <v>481</v>
      </c>
      <c r="J5" s="768" t="s">
        <v>35</v>
      </c>
      <c r="K5" s="770">
        <f>D10+D11+D12</f>
        <v>1075569</v>
      </c>
    </row>
    <row r="6">
      <c r="A6" s="643">
        <v>4776.0</v>
      </c>
      <c r="B6" s="644">
        <v>45678.0</v>
      </c>
      <c r="C6" s="644">
        <f t="shared" si="1"/>
        <v>45693</v>
      </c>
      <c r="D6" s="643">
        <v>462401.5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474</v>
      </c>
      <c r="J6" s="768" t="s">
        <v>37</v>
      </c>
      <c r="K6" s="770">
        <f>D13+D14+D15+D16</f>
        <v>1317145.5</v>
      </c>
    </row>
    <row r="7">
      <c r="A7" s="643">
        <v>4856.0</v>
      </c>
      <c r="B7" s="644">
        <v>45693.0</v>
      </c>
      <c r="C7" s="644">
        <f t="shared" si="1"/>
        <v>45708</v>
      </c>
      <c r="D7" s="643">
        <v>265042.5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459</v>
      </c>
      <c r="J7" s="768" t="s">
        <v>39</v>
      </c>
      <c r="K7" s="770"/>
    </row>
    <row r="8">
      <c r="A8" s="643">
        <v>4933.0</v>
      </c>
      <c r="B8" s="644">
        <v>45706.0</v>
      </c>
      <c r="C8" s="644">
        <f t="shared" si="1"/>
        <v>45721</v>
      </c>
      <c r="D8" s="643">
        <f>333839-30000</f>
        <v>303839</v>
      </c>
      <c r="E8" s="645" t="b">
        <v>1</v>
      </c>
      <c r="F8" s="646" t="str">
        <f t="shared" si="2"/>
        <v>PAGADO</v>
      </c>
      <c r="G8" s="340" t="s">
        <v>2278</v>
      </c>
      <c r="H8" s="646" t="str">
        <f t="shared" si="3"/>
        <v>VENCIDA</v>
      </c>
      <c r="I8" s="647">
        <f t="shared" si="4"/>
        <v>446</v>
      </c>
      <c r="J8" s="768" t="s">
        <v>41</v>
      </c>
      <c r="K8" s="770"/>
    </row>
    <row r="9">
      <c r="A9" s="643">
        <v>4976.0</v>
      </c>
      <c r="B9" s="644">
        <v>45713.0</v>
      </c>
      <c r="C9" s="644">
        <f t="shared" si="1"/>
        <v>45728</v>
      </c>
      <c r="D9" s="643">
        <v>344487.0</v>
      </c>
      <c r="E9" s="645" t="b">
        <v>1</v>
      </c>
      <c r="F9" s="646" t="str">
        <f t="shared" si="2"/>
        <v>PAGADO</v>
      </c>
      <c r="G9" s="340" t="s">
        <v>2278</v>
      </c>
      <c r="H9" s="646" t="str">
        <f t="shared" si="3"/>
        <v>VENCIDA</v>
      </c>
      <c r="I9" s="647">
        <f t="shared" si="4"/>
        <v>439</v>
      </c>
      <c r="J9" s="768" t="s">
        <v>42</v>
      </c>
      <c r="K9" s="770"/>
    </row>
    <row r="10">
      <c r="A10" s="643">
        <v>5052.0</v>
      </c>
      <c r="B10" s="644">
        <v>45727.0</v>
      </c>
      <c r="C10" s="644">
        <f t="shared" si="1"/>
        <v>45742</v>
      </c>
      <c r="D10" s="643">
        <v>353743.5</v>
      </c>
      <c r="E10" s="645" t="b">
        <v>1</v>
      </c>
      <c r="F10" s="646" t="str">
        <f t="shared" si="2"/>
        <v>PAGADO</v>
      </c>
      <c r="G10" s="340" t="s">
        <v>2278</v>
      </c>
      <c r="H10" s="646" t="str">
        <f t="shared" si="3"/>
        <v>VENCIDA</v>
      </c>
      <c r="I10" s="647">
        <f t="shared" si="4"/>
        <v>425</v>
      </c>
      <c r="J10" s="768" t="s">
        <v>43</v>
      </c>
      <c r="K10" s="770"/>
    </row>
    <row r="11">
      <c r="A11" s="643">
        <v>5104.0</v>
      </c>
      <c r="B11" s="644">
        <v>45734.0</v>
      </c>
      <c r="C11" s="644">
        <f t="shared" si="1"/>
        <v>45749</v>
      </c>
      <c r="D11" s="643">
        <v>353743.5</v>
      </c>
      <c r="E11" s="645" t="b">
        <v>1</v>
      </c>
      <c r="F11" s="646" t="str">
        <f t="shared" si="2"/>
        <v>PAGADO</v>
      </c>
      <c r="G11" s="340" t="s">
        <v>2278</v>
      </c>
      <c r="H11" s="646" t="str">
        <f t="shared" si="3"/>
        <v>VENCIDA</v>
      </c>
      <c r="I11" s="647">
        <f t="shared" si="4"/>
        <v>418</v>
      </c>
      <c r="J11" s="768" t="s">
        <v>45</v>
      </c>
      <c r="K11" s="770"/>
    </row>
    <row r="12">
      <c r="A12" s="643">
        <v>5148.0</v>
      </c>
      <c r="B12" s="644">
        <v>45741.0</v>
      </c>
      <c r="C12" s="644">
        <f t="shared" si="1"/>
        <v>45756</v>
      </c>
      <c r="D12" s="643">
        <v>368082.0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4"/>
        <v>411</v>
      </c>
      <c r="J12" s="768" t="s">
        <v>49</v>
      </c>
      <c r="K12" s="770"/>
    </row>
    <row r="13">
      <c r="A13" s="643">
        <v>5249.0</v>
      </c>
      <c r="B13" s="644">
        <v>45755.0</v>
      </c>
      <c r="C13" s="644">
        <f t="shared" si="1"/>
        <v>45770</v>
      </c>
      <c r="D13" s="643">
        <v>521691.5</v>
      </c>
      <c r="E13" s="645" t="b">
        <v>1</v>
      </c>
      <c r="F13" s="646" t="str">
        <f t="shared" si="2"/>
        <v>PAGADO</v>
      </c>
      <c r="G13" s="340" t="s">
        <v>2278</v>
      </c>
      <c r="H13" s="646" t="str">
        <f t="shared" si="3"/>
        <v>VENCIDA</v>
      </c>
      <c r="I13" s="647">
        <f t="shared" si="4"/>
        <v>397</v>
      </c>
      <c r="J13" s="768" t="s">
        <v>50</v>
      </c>
      <c r="K13" s="770"/>
    </row>
    <row r="14">
      <c r="A14" s="643">
        <v>5296.0</v>
      </c>
      <c r="B14" s="644">
        <v>45762.0</v>
      </c>
      <c r="C14" s="644">
        <f t="shared" si="1"/>
        <v>45777</v>
      </c>
      <c r="D14" s="643">
        <v>196020.0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>
        <f t="shared" si="4"/>
        <v>390</v>
      </c>
      <c r="J14" s="768" t="s">
        <v>51</v>
      </c>
      <c r="K14" s="770"/>
    </row>
    <row r="15">
      <c r="A15" s="643">
        <v>5345.0</v>
      </c>
      <c r="B15" s="644">
        <v>45769.0</v>
      </c>
      <c r="C15" s="644">
        <f t="shared" si="1"/>
        <v>45784</v>
      </c>
      <c r="D15" s="643">
        <v>349569.0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4"/>
        <v>383</v>
      </c>
    </row>
    <row r="16">
      <c r="A16" s="643">
        <v>5396.0</v>
      </c>
      <c r="B16" s="644">
        <v>45776.0</v>
      </c>
      <c r="C16" s="644">
        <f t="shared" si="1"/>
        <v>45791</v>
      </c>
      <c r="D16" s="643">
        <v>249865.0</v>
      </c>
      <c r="E16" s="654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4"/>
        <v>376</v>
      </c>
    </row>
    <row r="17">
      <c r="A17" s="643">
        <v>5429.0</v>
      </c>
      <c r="B17" s="644">
        <v>45783.0</v>
      </c>
      <c r="C17" s="644">
        <f t="shared" si="1"/>
        <v>45798</v>
      </c>
      <c r="D17" s="643">
        <v>334020.5</v>
      </c>
      <c r="E17" s="654" t="b">
        <v>1</v>
      </c>
      <c r="F17" s="646" t="str">
        <f t="shared" si="2"/>
        <v>PAGADO</v>
      </c>
      <c r="G17" s="340" t="s">
        <v>2278</v>
      </c>
      <c r="H17" s="646" t="str">
        <f t="shared" si="3"/>
        <v>VENCIDA</v>
      </c>
      <c r="I17" s="647">
        <f t="shared" si="4"/>
        <v>369</v>
      </c>
    </row>
    <row r="18">
      <c r="A18" s="643">
        <v>5483.0</v>
      </c>
      <c r="B18" s="644">
        <v>45790.0</v>
      </c>
      <c r="C18" s="644">
        <f t="shared" si="1"/>
        <v>45805</v>
      </c>
      <c r="D18" s="643">
        <v>492445.8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4"/>
        <v>362</v>
      </c>
    </row>
    <row r="19">
      <c r="A19" s="643">
        <v>5523.0</v>
      </c>
      <c r="B19" s="644">
        <v>45797.0</v>
      </c>
      <c r="C19" s="644">
        <f t="shared" si="1"/>
        <v>45812</v>
      </c>
      <c r="D19" s="643">
        <v>259182.0</v>
      </c>
      <c r="E19" s="645" t="b">
        <v>1</v>
      </c>
      <c r="F19" s="646" t="str">
        <f t="shared" si="2"/>
        <v>PAGADO</v>
      </c>
      <c r="G19" s="340" t="s">
        <v>2278</v>
      </c>
      <c r="H19" s="646" t="str">
        <f t="shared" si="3"/>
        <v>VENCIDA</v>
      </c>
      <c r="I19" s="647">
        <f t="shared" si="4"/>
        <v>355</v>
      </c>
    </row>
    <row r="20">
      <c r="A20" s="643">
        <v>5561.0</v>
      </c>
      <c r="B20" s="644">
        <v>45804.0</v>
      </c>
      <c r="C20" s="644">
        <f t="shared" si="1"/>
        <v>45819</v>
      </c>
      <c r="D20" s="643">
        <v>329967.0</v>
      </c>
      <c r="E20" s="645" t="b">
        <v>1</v>
      </c>
      <c r="F20" s="646" t="str">
        <f t="shared" si="2"/>
        <v>PAGADO</v>
      </c>
      <c r="G20" s="340" t="s">
        <v>2278</v>
      </c>
      <c r="H20" s="646" t="str">
        <f t="shared" si="3"/>
        <v>VENCIDA</v>
      </c>
      <c r="I20" s="647">
        <f t="shared" si="4"/>
        <v>348</v>
      </c>
    </row>
    <row r="21">
      <c r="A21" s="643">
        <v>5610.0</v>
      </c>
      <c r="B21" s="644">
        <v>45811.0</v>
      </c>
      <c r="C21" s="644">
        <f t="shared" si="1"/>
        <v>45826</v>
      </c>
      <c r="D21" s="643">
        <v>325127.0</v>
      </c>
      <c r="E21" s="658" t="b">
        <v>0</v>
      </c>
      <c r="F21" s="646" t="str">
        <f t="shared" si="2"/>
        <v>ADEUDA</v>
      </c>
      <c r="G21" s="340" t="s">
        <v>2278</v>
      </c>
      <c r="H21" s="646" t="str">
        <f t="shared" si="3"/>
        <v>VENCIDA</v>
      </c>
      <c r="I21" s="647">
        <f t="shared" si="4"/>
        <v>341</v>
      </c>
      <c r="J21" s="2">
        <v>150.0</v>
      </c>
    </row>
    <row r="22">
      <c r="A22" s="644"/>
      <c r="B22" s="644"/>
      <c r="C22" s="644">
        <f t="shared" si="1"/>
        <v>15</v>
      </c>
      <c r="D22" s="643"/>
      <c r="E22" s="658" t="b">
        <v>0</v>
      </c>
      <c r="F22" s="646" t="str">
        <f t="shared" si="2"/>
        <v>ADEUDA</v>
      </c>
      <c r="G22" s="340" t="s">
        <v>2278</v>
      </c>
      <c r="H22" s="646" t="str">
        <f t="shared" si="3"/>
        <v>VENCIDA</v>
      </c>
      <c r="I22" s="647">
        <f t="shared" si="4"/>
        <v>46152</v>
      </c>
    </row>
    <row r="23">
      <c r="A23" s="644"/>
      <c r="B23" s="644"/>
      <c r="C23" s="644">
        <f t="shared" si="1"/>
        <v>15</v>
      </c>
      <c r="D23" s="643"/>
      <c r="E23" s="658" t="b">
        <v>0</v>
      </c>
      <c r="F23" s="646" t="str">
        <f t="shared" si="2"/>
        <v>ADEUDA</v>
      </c>
      <c r="G23" s="340" t="s">
        <v>2278</v>
      </c>
      <c r="H23" s="646" t="str">
        <f t="shared" si="3"/>
        <v>VENCIDA</v>
      </c>
      <c r="I23" s="647">
        <f t="shared" si="4"/>
        <v>46152</v>
      </c>
    </row>
    <row r="24">
      <c r="A24" s="644"/>
      <c r="B24" s="644"/>
      <c r="C24" s="644">
        <f t="shared" si="1"/>
        <v>15</v>
      </c>
      <c r="D24" s="643"/>
      <c r="E24" s="658" t="b">
        <v>0</v>
      </c>
      <c r="F24" s="646" t="str">
        <f t="shared" si="2"/>
        <v>ADEUDA</v>
      </c>
      <c r="G24" s="340" t="s">
        <v>2278</v>
      </c>
      <c r="H24" s="646" t="str">
        <f t="shared" si="3"/>
        <v>VENCIDA</v>
      </c>
      <c r="I24" s="647">
        <f t="shared" si="4"/>
        <v>46152</v>
      </c>
    </row>
    <row r="25">
      <c r="A25" s="644"/>
      <c r="B25" s="644"/>
      <c r="C25" s="644">
        <f t="shared" si="1"/>
        <v>15</v>
      </c>
      <c r="D25" s="643"/>
      <c r="E25" s="658" t="b">
        <v>0</v>
      </c>
      <c r="F25" s="646" t="str">
        <f t="shared" si="2"/>
        <v>ADEUDA</v>
      </c>
      <c r="G25" s="340" t="s">
        <v>2278</v>
      </c>
      <c r="H25" s="646" t="str">
        <f t="shared" si="3"/>
        <v>VENCIDA</v>
      </c>
      <c r="I25" s="647">
        <f t="shared" si="4"/>
        <v>46152</v>
      </c>
    </row>
    <row r="26">
      <c r="A26" s="644"/>
      <c r="B26" s="644"/>
      <c r="C26" s="644">
        <f t="shared" si="1"/>
        <v>15</v>
      </c>
      <c r="D26" s="643"/>
      <c r="E26" s="658" t="b">
        <v>0</v>
      </c>
      <c r="F26" s="646" t="str">
        <f t="shared" si="2"/>
        <v>ADEUDA</v>
      </c>
      <c r="G26" s="340" t="s">
        <v>2278</v>
      </c>
      <c r="H26" s="646" t="str">
        <f t="shared" si="3"/>
        <v>VENCIDA</v>
      </c>
      <c r="I26" s="647">
        <f t="shared" si="4"/>
        <v>46152</v>
      </c>
    </row>
    <row r="27">
      <c r="A27" s="644"/>
      <c r="B27" s="644"/>
      <c r="C27" s="644">
        <f t="shared" si="1"/>
        <v>15</v>
      </c>
      <c r="D27" s="643"/>
      <c r="E27" s="658" t="b">
        <v>0</v>
      </c>
      <c r="F27" s="646" t="str">
        <f t="shared" si="2"/>
        <v>ADEUDA</v>
      </c>
      <c r="G27" s="340" t="s">
        <v>2278</v>
      </c>
      <c r="H27" s="646" t="str">
        <f t="shared" si="3"/>
        <v>VENCIDA</v>
      </c>
      <c r="I27" s="647">
        <f t="shared" si="4"/>
        <v>46152</v>
      </c>
    </row>
    <row r="28">
      <c r="A28" s="644"/>
      <c r="B28" s="644"/>
      <c r="C28" s="644">
        <f t="shared" si="1"/>
        <v>15</v>
      </c>
      <c r="D28" s="643"/>
      <c r="E28" s="658" t="b">
        <v>0</v>
      </c>
      <c r="F28" s="646" t="str">
        <f t="shared" si="2"/>
        <v>ADEUDA</v>
      </c>
      <c r="G28" s="340" t="s">
        <v>2278</v>
      </c>
      <c r="H28" s="646" t="str">
        <f t="shared" si="3"/>
        <v>VENCIDA</v>
      </c>
      <c r="I28" s="647">
        <f t="shared" si="4"/>
        <v>46152</v>
      </c>
    </row>
    <row r="29">
      <c r="A29" s="644"/>
      <c r="B29" s="644"/>
      <c r="C29" s="644">
        <f t="shared" si="1"/>
        <v>15</v>
      </c>
      <c r="D29" s="643"/>
      <c r="E29" s="658" t="b">
        <v>0</v>
      </c>
      <c r="F29" s="646" t="str">
        <f t="shared" si="2"/>
        <v>ADEUDA</v>
      </c>
      <c r="G29" s="340" t="s">
        <v>2278</v>
      </c>
      <c r="H29" s="646" t="str">
        <f t="shared" si="3"/>
        <v>VENCIDA</v>
      </c>
      <c r="I29" s="647">
        <f t="shared" si="4"/>
        <v>46152</v>
      </c>
    </row>
    <row r="30">
      <c r="A30" s="644"/>
      <c r="B30" s="644"/>
      <c r="C30" s="644">
        <f t="shared" si="1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46152</v>
      </c>
    </row>
    <row r="31">
      <c r="A31" s="644"/>
      <c r="B31" s="644"/>
      <c r="C31" s="644">
        <f t="shared" si="1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46152</v>
      </c>
    </row>
    <row r="32">
      <c r="A32" s="644"/>
      <c r="B32" s="644"/>
      <c r="C32" s="644">
        <f t="shared" si="1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46152</v>
      </c>
    </row>
    <row r="33">
      <c r="A33" s="644"/>
      <c r="B33" s="644"/>
      <c r="C33" s="644">
        <f t="shared" si="1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46152</v>
      </c>
    </row>
    <row r="34">
      <c r="A34" s="644"/>
      <c r="B34" s="644"/>
      <c r="C34" s="644">
        <f t="shared" si="1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46152</v>
      </c>
    </row>
    <row r="35">
      <c r="A35" s="644"/>
      <c r="B35" s="644"/>
      <c r="C35" s="644">
        <f t="shared" si="1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46152</v>
      </c>
    </row>
    <row r="36">
      <c r="A36" s="644"/>
      <c r="B36" s="644"/>
      <c r="C36" s="644">
        <f t="shared" si="1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46152</v>
      </c>
    </row>
    <row r="37">
      <c r="A37" s="644"/>
      <c r="B37" s="644"/>
      <c r="C37" s="644">
        <f t="shared" si="1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46152</v>
      </c>
    </row>
    <row r="38">
      <c r="A38" s="644"/>
      <c r="B38" s="644"/>
      <c r="C38" s="644">
        <f t="shared" si="1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46152</v>
      </c>
    </row>
    <row r="39">
      <c r="A39" s="644"/>
      <c r="B39" s="644"/>
      <c r="C39" s="644">
        <f t="shared" si="1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46152</v>
      </c>
    </row>
    <row r="40">
      <c r="A40" s="644"/>
      <c r="B40" s="644"/>
      <c r="C40" s="644">
        <f t="shared" si="1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46152</v>
      </c>
    </row>
    <row r="41">
      <c r="A41" s="644"/>
      <c r="B41" s="644"/>
      <c r="C41" s="644">
        <f t="shared" si="1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46152</v>
      </c>
    </row>
    <row r="42">
      <c r="A42" s="644"/>
      <c r="B42" s="644"/>
      <c r="C42" s="644">
        <f t="shared" si="1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46152</v>
      </c>
    </row>
    <row r="43">
      <c r="A43" s="644"/>
      <c r="B43" s="644"/>
      <c r="C43" s="644">
        <f t="shared" si="1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46152</v>
      </c>
    </row>
    <row r="44">
      <c r="A44" s="644"/>
      <c r="B44" s="644"/>
      <c r="C44" s="644">
        <f t="shared" si="1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46152</v>
      </c>
    </row>
    <row r="45">
      <c r="A45" s="644"/>
      <c r="B45" s="644"/>
      <c r="C45" s="644">
        <f t="shared" si="1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46152</v>
      </c>
    </row>
    <row r="46">
      <c r="A46" s="644"/>
      <c r="B46" s="644"/>
      <c r="C46" s="644">
        <f t="shared" si="1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46152</v>
      </c>
    </row>
    <row r="47">
      <c r="A47" s="644"/>
      <c r="B47" s="644"/>
      <c r="C47" s="644">
        <f t="shared" si="1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46152</v>
      </c>
    </row>
    <row r="48">
      <c r="A48" s="644"/>
      <c r="B48" s="644"/>
      <c r="C48" s="644">
        <f t="shared" si="1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46152</v>
      </c>
    </row>
    <row r="49">
      <c r="A49" s="644"/>
      <c r="B49" s="644"/>
      <c r="C49" s="644">
        <f t="shared" si="1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46152</v>
      </c>
    </row>
    <row r="50">
      <c r="A50" s="644"/>
      <c r="B50" s="644"/>
      <c r="C50" s="644">
        <f t="shared" si="1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46152</v>
      </c>
    </row>
    <row r="51">
      <c r="A51" s="644"/>
      <c r="B51" s="644"/>
      <c r="C51" s="644">
        <f t="shared" si="1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46152</v>
      </c>
    </row>
    <row r="52">
      <c r="A52" s="644"/>
      <c r="B52" s="644"/>
      <c r="C52" s="644">
        <f t="shared" si="1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46152</v>
      </c>
    </row>
    <row r="53">
      <c r="A53" s="644"/>
      <c r="B53" s="644"/>
      <c r="C53" s="644">
        <f t="shared" si="1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46152</v>
      </c>
    </row>
    <row r="54">
      <c r="A54" s="644"/>
      <c r="B54" s="644"/>
      <c r="C54" s="644">
        <f t="shared" si="1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46152</v>
      </c>
    </row>
    <row r="55">
      <c r="A55" s="644"/>
      <c r="B55" s="644"/>
      <c r="C55" s="644">
        <f t="shared" si="1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46152</v>
      </c>
    </row>
    <row r="56">
      <c r="A56" s="644"/>
      <c r="B56" s="644"/>
      <c r="C56" s="644">
        <f t="shared" si="1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46152</v>
      </c>
    </row>
    <row r="57">
      <c r="A57" s="644"/>
      <c r="B57" s="644"/>
      <c r="C57" s="644">
        <f t="shared" si="1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46152</v>
      </c>
    </row>
    <row r="58">
      <c r="A58" s="644"/>
      <c r="B58" s="644"/>
      <c r="C58" s="644">
        <f t="shared" si="1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46152</v>
      </c>
    </row>
    <row r="59">
      <c r="A59" s="644"/>
      <c r="B59" s="644"/>
      <c r="C59" s="644">
        <f t="shared" si="1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46152</v>
      </c>
    </row>
    <row r="60">
      <c r="A60" s="644"/>
      <c r="B60" s="644"/>
      <c r="C60" s="644">
        <f t="shared" si="1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46152</v>
      </c>
    </row>
    <row r="61">
      <c r="A61" s="644"/>
      <c r="B61" s="644"/>
      <c r="C61" s="644">
        <f t="shared" si="1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46152</v>
      </c>
    </row>
    <row r="62">
      <c r="A62" s="644"/>
      <c r="B62" s="644"/>
      <c r="C62" s="644">
        <f t="shared" si="1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46152</v>
      </c>
    </row>
    <row r="63">
      <c r="A63" s="644"/>
      <c r="B63" s="644"/>
      <c r="C63" s="644">
        <f t="shared" si="1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46152</v>
      </c>
    </row>
    <row r="64">
      <c r="A64" s="644"/>
      <c r="B64" s="644"/>
      <c r="C64" s="644">
        <f t="shared" si="1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46152</v>
      </c>
    </row>
    <row r="65">
      <c r="A65" s="644"/>
      <c r="B65" s="644"/>
      <c r="C65" s="644">
        <f t="shared" si="1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46152</v>
      </c>
    </row>
    <row r="66">
      <c r="A66" s="644"/>
      <c r="B66" s="644"/>
      <c r="C66" s="644">
        <f t="shared" si="1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46152</v>
      </c>
    </row>
    <row r="67">
      <c r="A67" s="644"/>
      <c r="B67" s="644"/>
      <c r="C67" s="644">
        <f t="shared" si="1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46152</v>
      </c>
    </row>
    <row r="68">
      <c r="A68" s="644"/>
      <c r="B68" s="644"/>
      <c r="C68" s="644">
        <f t="shared" si="1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46152</v>
      </c>
    </row>
    <row r="69">
      <c r="A69" s="644"/>
      <c r="B69" s="644"/>
      <c r="C69" s="644">
        <f t="shared" si="1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46152</v>
      </c>
    </row>
    <row r="70">
      <c r="A70" s="644"/>
      <c r="B70" s="644"/>
      <c r="C70" s="644">
        <f t="shared" si="1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46152</v>
      </c>
    </row>
    <row r="71">
      <c r="A71" s="644"/>
      <c r="B71" s="644"/>
      <c r="C71" s="644">
        <f t="shared" si="1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46152</v>
      </c>
    </row>
    <row r="72">
      <c r="A72" s="644"/>
      <c r="B72" s="644"/>
      <c r="C72" s="644">
        <f t="shared" si="1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46152</v>
      </c>
    </row>
    <row r="73">
      <c r="A73" s="644"/>
      <c r="B73" s="644"/>
      <c r="C73" s="644">
        <f t="shared" si="1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46152</v>
      </c>
    </row>
    <row r="74">
      <c r="A74" s="644"/>
      <c r="B74" s="644"/>
      <c r="C74" s="644">
        <f t="shared" si="1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46152</v>
      </c>
    </row>
    <row r="75">
      <c r="A75" s="644"/>
      <c r="B75" s="644"/>
      <c r="C75" s="644">
        <f t="shared" si="1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46152</v>
      </c>
    </row>
    <row r="76">
      <c r="A76" s="644"/>
      <c r="B76" s="644"/>
      <c r="C76" s="644">
        <f t="shared" si="1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46152</v>
      </c>
    </row>
    <row r="77">
      <c r="A77" s="644"/>
      <c r="B77" s="644"/>
      <c r="C77" s="644">
        <f t="shared" si="1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46152</v>
      </c>
    </row>
    <row r="78">
      <c r="A78" s="644"/>
      <c r="B78" s="644"/>
      <c r="C78" s="644">
        <f t="shared" si="1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46152</v>
      </c>
    </row>
    <row r="79">
      <c r="A79" s="644"/>
      <c r="B79" s="644"/>
      <c r="C79" s="644">
        <f t="shared" si="1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46152</v>
      </c>
    </row>
    <row r="80">
      <c r="A80" s="644"/>
      <c r="B80" s="644"/>
      <c r="C80" s="644">
        <f t="shared" si="1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46152</v>
      </c>
    </row>
    <row r="81">
      <c r="A81" s="644"/>
      <c r="B81" s="644"/>
      <c r="C81" s="644">
        <f t="shared" si="1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46152</v>
      </c>
    </row>
    <row r="82">
      <c r="A82" s="644"/>
      <c r="B82" s="644"/>
      <c r="C82" s="644">
        <f t="shared" si="1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46152</v>
      </c>
    </row>
    <row r="83">
      <c r="A83" s="644"/>
      <c r="B83" s="644"/>
      <c r="C83" s="644">
        <f t="shared" si="1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46152</v>
      </c>
    </row>
    <row r="84">
      <c r="A84" s="644"/>
      <c r="B84" s="644"/>
      <c r="C84" s="644">
        <f t="shared" si="1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46152</v>
      </c>
    </row>
    <row r="85">
      <c r="A85" s="644"/>
      <c r="B85" s="644"/>
      <c r="C85" s="644">
        <f t="shared" si="1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46152</v>
      </c>
    </row>
    <row r="86">
      <c r="A86" s="644"/>
      <c r="B86" s="644"/>
      <c r="C86" s="644">
        <f t="shared" si="1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46152</v>
      </c>
    </row>
    <row r="87">
      <c r="A87" s="644"/>
      <c r="B87" s="644"/>
      <c r="C87" s="644">
        <f t="shared" si="1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46152</v>
      </c>
    </row>
    <row r="88">
      <c r="A88" s="644"/>
      <c r="B88" s="644"/>
      <c r="C88" s="644">
        <f t="shared" si="1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46152</v>
      </c>
    </row>
    <row r="89">
      <c r="A89" s="644"/>
      <c r="B89" s="644"/>
      <c r="C89" s="644">
        <f t="shared" si="1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46152</v>
      </c>
    </row>
    <row r="90">
      <c r="A90" s="644"/>
      <c r="B90" s="644"/>
      <c r="C90" s="644">
        <f t="shared" si="1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46152</v>
      </c>
    </row>
    <row r="91">
      <c r="A91" s="644"/>
      <c r="B91" s="644"/>
      <c r="C91" s="644">
        <f t="shared" si="1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46152</v>
      </c>
    </row>
    <row r="92">
      <c r="A92" s="644"/>
      <c r="B92" s="644"/>
      <c r="C92" s="644">
        <f t="shared" si="1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46152</v>
      </c>
    </row>
    <row r="93">
      <c r="A93" s="644"/>
      <c r="B93" s="644"/>
      <c r="C93" s="644">
        <f t="shared" si="1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46152</v>
      </c>
    </row>
    <row r="94">
      <c r="A94" s="644"/>
      <c r="B94" s="644"/>
      <c r="C94" s="644">
        <f t="shared" si="1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46152</v>
      </c>
    </row>
    <row r="95">
      <c r="A95" s="644"/>
      <c r="B95" s="644"/>
      <c r="C95" s="644">
        <f t="shared" si="1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46152</v>
      </c>
    </row>
    <row r="96">
      <c r="A96" s="644"/>
      <c r="B96" s="644"/>
      <c r="C96" s="644">
        <f t="shared" si="1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46152</v>
      </c>
    </row>
    <row r="97">
      <c r="A97" s="644"/>
      <c r="B97" s="644"/>
      <c r="C97" s="644">
        <f t="shared" si="1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46152</v>
      </c>
    </row>
    <row r="98">
      <c r="A98" s="644"/>
      <c r="B98" s="644"/>
      <c r="C98" s="644">
        <f t="shared" si="1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46152</v>
      </c>
    </row>
    <row r="99">
      <c r="A99" s="644"/>
      <c r="B99" s="644"/>
      <c r="C99" s="644">
        <f t="shared" si="1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46152</v>
      </c>
    </row>
    <row r="100">
      <c r="A100" s="644"/>
      <c r="B100" s="644"/>
      <c r="C100" s="644">
        <f t="shared" si="1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46152</v>
      </c>
    </row>
    <row r="101">
      <c r="A101" s="644"/>
      <c r="B101" s="644"/>
      <c r="C101" s="644">
        <f t="shared" si="1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46152</v>
      </c>
    </row>
    <row r="102">
      <c r="A102" s="644"/>
      <c r="B102" s="644"/>
      <c r="C102" s="644">
        <f t="shared" si="1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46152</v>
      </c>
    </row>
    <row r="103">
      <c r="A103" s="644"/>
      <c r="B103" s="644"/>
      <c r="C103" s="644">
        <f t="shared" si="1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46152</v>
      </c>
    </row>
    <row r="104">
      <c r="A104" s="644"/>
      <c r="B104" s="644"/>
      <c r="C104" s="644">
        <f t="shared" si="1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46152</v>
      </c>
    </row>
    <row r="105">
      <c r="A105" s="644"/>
      <c r="B105" s="644"/>
      <c r="C105" s="644">
        <f t="shared" si="1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46152</v>
      </c>
    </row>
    <row r="106">
      <c r="A106" s="644"/>
      <c r="B106" s="644"/>
      <c r="C106" s="644">
        <f t="shared" si="1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46152</v>
      </c>
    </row>
    <row r="107">
      <c r="A107" s="644"/>
      <c r="B107" s="644"/>
      <c r="C107" s="644">
        <f t="shared" si="1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46152</v>
      </c>
    </row>
    <row r="108">
      <c r="A108" s="644"/>
      <c r="B108" s="644"/>
      <c r="C108" s="644">
        <f t="shared" si="1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46152</v>
      </c>
    </row>
    <row r="109">
      <c r="A109" s="644"/>
      <c r="B109" s="644"/>
      <c r="C109" s="644">
        <f t="shared" si="1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46152</v>
      </c>
    </row>
    <row r="110">
      <c r="A110" s="644"/>
      <c r="B110" s="644"/>
      <c r="C110" s="644">
        <f t="shared" si="1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46152</v>
      </c>
    </row>
    <row r="111">
      <c r="A111" s="644"/>
      <c r="B111" s="644"/>
      <c r="C111" s="644">
        <f t="shared" si="1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46152</v>
      </c>
    </row>
    <row r="112">
      <c r="A112" s="644"/>
      <c r="B112" s="644"/>
      <c r="C112" s="644">
        <f t="shared" si="1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46152</v>
      </c>
    </row>
    <row r="113">
      <c r="A113" s="644"/>
      <c r="B113" s="644"/>
      <c r="C113" s="644">
        <f t="shared" si="1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46152</v>
      </c>
    </row>
    <row r="114">
      <c r="A114" s="644"/>
      <c r="B114" s="644"/>
      <c r="C114" s="644">
        <f t="shared" si="1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46152</v>
      </c>
    </row>
    <row r="115">
      <c r="A115" s="644"/>
      <c r="B115" s="644"/>
      <c r="C115" s="644">
        <f t="shared" si="1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46152</v>
      </c>
    </row>
    <row r="116">
      <c r="A116" s="644"/>
      <c r="B116" s="644"/>
      <c r="C116" s="644">
        <f t="shared" si="1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46152</v>
      </c>
    </row>
    <row r="117">
      <c r="A117" s="644"/>
      <c r="B117" s="644"/>
      <c r="C117" s="644">
        <f t="shared" si="1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46152</v>
      </c>
    </row>
    <row r="118">
      <c r="A118" s="644"/>
      <c r="B118" s="644"/>
      <c r="C118" s="644">
        <f t="shared" si="1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46152</v>
      </c>
    </row>
    <row r="119">
      <c r="A119" s="644"/>
      <c r="B119" s="644"/>
      <c r="C119" s="644">
        <f t="shared" si="1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46152</v>
      </c>
    </row>
    <row r="120">
      <c r="A120" s="644"/>
      <c r="B120" s="644"/>
      <c r="C120" s="644">
        <f t="shared" si="1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46152</v>
      </c>
    </row>
    <row r="121">
      <c r="A121" s="644"/>
      <c r="B121" s="644"/>
      <c r="C121" s="644">
        <f t="shared" si="1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46152</v>
      </c>
    </row>
    <row r="122">
      <c r="A122" s="644"/>
      <c r="B122" s="644"/>
      <c r="C122" s="644">
        <f t="shared" si="1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46152</v>
      </c>
    </row>
    <row r="123">
      <c r="A123" s="644"/>
      <c r="B123" s="644"/>
      <c r="C123" s="644">
        <f t="shared" si="1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46152</v>
      </c>
    </row>
    <row r="124">
      <c r="A124" s="644"/>
      <c r="B124" s="644"/>
      <c r="C124" s="644">
        <f t="shared" si="1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46152</v>
      </c>
    </row>
    <row r="125">
      <c r="A125" s="644"/>
      <c r="B125" s="644"/>
      <c r="C125" s="644">
        <f t="shared" si="1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46152</v>
      </c>
    </row>
    <row r="126">
      <c r="A126" s="644"/>
      <c r="B126" s="644"/>
      <c r="C126" s="644">
        <f t="shared" si="1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46152</v>
      </c>
    </row>
    <row r="127">
      <c r="A127" s="644"/>
      <c r="B127" s="644"/>
      <c r="C127" s="644">
        <f t="shared" si="1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46152</v>
      </c>
    </row>
    <row r="128">
      <c r="A128" s="644"/>
      <c r="B128" s="644"/>
      <c r="C128" s="644">
        <f t="shared" si="1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46152</v>
      </c>
    </row>
    <row r="129">
      <c r="A129" s="644"/>
      <c r="B129" s="644"/>
      <c r="C129" s="644">
        <f t="shared" si="1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46152</v>
      </c>
    </row>
    <row r="130">
      <c r="A130" s="644"/>
      <c r="B130" s="644"/>
      <c r="C130" s="644">
        <f t="shared" si="1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46152</v>
      </c>
    </row>
    <row r="131">
      <c r="A131" s="644"/>
      <c r="B131" s="644"/>
      <c r="C131" s="644">
        <f t="shared" si="1"/>
        <v>15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46152</v>
      </c>
    </row>
    <row r="132">
      <c r="A132" s="644"/>
      <c r="B132" s="644"/>
      <c r="C132" s="644">
        <f t="shared" si="1"/>
        <v>15</v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46152</v>
      </c>
    </row>
    <row r="134">
      <c r="C134" s="771"/>
    </row>
    <row r="135">
      <c r="C135" s="772" t="s">
        <v>55</v>
      </c>
      <c r="D135" s="3">
        <f>SUMIF(F4:F132,C135,D4:D132)</f>
        <v>325127</v>
      </c>
    </row>
    <row r="136">
      <c r="C136" s="773" t="s">
        <v>527</v>
      </c>
      <c r="D136" s="3">
        <f>SUMIF(F4:F132,C136,D4:D132)</f>
        <v>6005750.3</v>
      </c>
    </row>
    <row r="137">
      <c r="C137" s="697" t="s">
        <v>28</v>
      </c>
      <c r="D137" s="3">
        <f>D135+D136</f>
        <v>6330877.3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2510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766" t="s">
        <v>2511</v>
      </c>
      <c r="B2" s="636"/>
      <c r="C2" s="636"/>
      <c r="D2" s="636"/>
      <c r="E2" s="636"/>
      <c r="F2" s="636"/>
      <c r="G2" s="636"/>
      <c r="H2" s="636"/>
      <c r="I2" s="636"/>
      <c r="J2" s="765"/>
      <c r="K2" s="767"/>
    </row>
    <row r="3">
      <c r="A3" s="639" t="s">
        <v>2395</v>
      </c>
      <c r="B3" s="639" t="s">
        <v>9</v>
      </c>
      <c r="C3" s="639" t="s">
        <v>2396</v>
      </c>
      <c r="D3" s="639" t="s">
        <v>2269</v>
      </c>
      <c r="E3" s="640" t="s">
        <v>2270</v>
      </c>
      <c r="F3" s="637"/>
      <c r="G3" s="639" t="s">
        <v>2271</v>
      </c>
      <c r="H3" s="641" t="s">
        <v>2272</v>
      </c>
      <c r="I3" s="641" t="s">
        <v>2273</v>
      </c>
      <c r="J3" s="768" t="s">
        <v>29</v>
      </c>
      <c r="K3" s="769"/>
    </row>
    <row r="4">
      <c r="A4" s="643"/>
      <c r="B4" s="644">
        <v>45685.0</v>
      </c>
      <c r="C4" s="644">
        <f t="shared" ref="C4:C23" si="1">B4+7</f>
        <v>45692</v>
      </c>
      <c r="D4" s="643">
        <v>135839.0</v>
      </c>
      <c r="E4" s="645" t="b">
        <v>1</v>
      </c>
      <c r="F4" s="646" t="str">
        <f t="shared" ref="F4:F132" si="2">IF(E4,"PAGADO","ADEUDA")</f>
        <v>PAGADO</v>
      </c>
      <c r="G4" s="340" t="s">
        <v>2276</v>
      </c>
      <c r="H4" s="646" t="str">
        <f t="shared" ref="H4:H132" si="3">IF(C4&lt;TODAY(),"VENCIDA",IF(C4=TODAY(),"VENCE HOY",IF(C4&gt;TODAY(),"VIGENTE")))</f>
        <v>VENCIDA</v>
      </c>
      <c r="I4" s="647">
        <f t="shared" ref="I4:I132" si="4">TODAY()-C4</f>
        <v>475</v>
      </c>
      <c r="J4" s="768" t="s">
        <v>31</v>
      </c>
      <c r="K4" s="769">
        <f>D5+D6+D7+D8</f>
        <v>717679.33</v>
      </c>
    </row>
    <row r="5">
      <c r="A5" s="643"/>
      <c r="B5" s="644">
        <v>45695.0</v>
      </c>
      <c r="C5" s="644">
        <f t="shared" si="1"/>
        <v>45702</v>
      </c>
      <c r="D5" s="643">
        <v>205399.6</v>
      </c>
      <c r="E5" s="645" t="b">
        <v>1</v>
      </c>
      <c r="F5" s="646" t="str">
        <f t="shared" si="2"/>
        <v>PAGADO</v>
      </c>
      <c r="G5" s="340" t="s">
        <v>2278</v>
      </c>
      <c r="H5" s="646" t="str">
        <f t="shared" si="3"/>
        <v>VENCIDA</v>
      </c>
      <c r="I5" s="647">
        <f t="shared" si="4"/>
        <v>465</v>
      </c>
      <c r="J5" s="768" t="s">
        <v>35</v>
      </c>
      <c r="K5" s="770">
        <f>D9+D10+D11+D12</f>
        <v>658083.59</v>
      </c>
    </row>
    <row r="6">
      <c r="A6" s="643">
        <v>597784.0</v>
      </c>
      <c r="B6" s="644">
        <v>45703.0</v>
      </c>
      <c r="C6" s="644">
        <f t="shared" si="1"/>
        <v>45710</v>
      </c>
      <c r="D6" s="643">
        <v>191652.96</v>
      </c>
      <c r="E6" s="645" t="b">
        <v>1</v>
      </c>
      <c r="F6" s="646" t="str">
        <f t="shared" si="2"/>
        <v>PAGADO</v>
      </c>
      <c r="G6" s="340" t="s">
        <v>2276</v>
      </c>
      <c r="H6" s="646" t="str">
        <f t="shared" si="3"/>
        <v>VENCIDA</v>
      </c>
      <c r="I6" s="647">
        <f t="shared" si="4"/>
        <v>457</v>
      </c>
      <c r="J6" s="768" t="s">
        <v>37</v>
      </c>
      <c r="K6" s="770">
        <f>D13+D14+D15+D16+D17</f>
        <v>970886.06</v>
      </c>
    </row>
    <row r="7">
      <c r="A7" s="643">
        <v>598899.0</v>
      </c>
      <c r="B7" s="644">
        <v>45710.0</v>
      </c>
      <c r="C7" s="644">
        <f t="shared" si="1"/>
        <v>45717</v>
      </c>
      <c r="D7" s="643">
        <v>184103.79</v>
      </c>
      <c r="E7" s="645" t="b">
        <v>1</v>
      </c>
      <c r="F7" s="646" t="str">
        <f t="shared" si="2"/>
        <v>PAGADO</v>
      </c>
      <c r="G7" s="340" t="s">
        <v>2276</v>
      </c>
      <c r="H7" s="646" t="str">
        <f t="shared" si="3"/>
        <v>VENCIDA</v>
      </c>
      <c r="I7" s="647">
        <f t="shared" si="4"/>
        <v>450</v>
      </c>
      <c r="J7" s="768" t="s">
        <v>39</v>
      </c>
      <c r="K7" s="770"/>
    </row>
    <row r="8">
      <c r="A8" s="643">
        <v>599669.0</v>
      </c>
      <c r="B8" s="644">
        <v>45715.0</v>
      </c>
      <c r="C8" s="644">
        <f t="shared" si="1"/>
        <v>45722</v>
      </c>
      <c r="D8" s="643">
        <v>136522.98</v>
      </c>
      <c r="E8" s="645" t="b">
        <v>1</v>
      </c>
      <c r="F8" s="646" t="str">
        <f t="shared" si="2"/>
        <v>PAGADO</v>
      </c>
      <c r="G8" s="340" t="s">
        <v>2278</v>
      </c>
      <c r="H8" s="646" t="str">
        <f t="shared" si="3"/>
        <v>VENCIDA</v>
      </c>
      <c r="I8" s="647">
        <f t="shared" si="4"/>
        <v>445</v>
      </c>
      <c r="J8" s="768" t="s">
        <v>41</v>
      </c>
      <c r="K8" s="770"/>
    </row>
    <row r="9">
      <c r="A9" s="643">
        <v>600908.0</v>
      </c>
      <c r="B9" s="644">
        <v>45723.0</v>
      </c>
      <c r="C9" s="644">
        <f t="shared" si="1"/>
        <v>45730</v>
      </c>
      <c r="D9" s="643">
        <v>170608.86</v>
      </c>
      <c r="E9" s="645" t="b">
        <v>1</v>
      </c>
      <c r="F9" s="646" t="str">
        <f t="shared" si="2"/>
        <v>PAGADO</v>
      </c>
      <c r="G9" s="340" t="s">
        <v>2276</v>
      </c>
      <c r="H9" s="646" t="str">
        <f t="shared" si="3"/>
        <v>VENCIDA</v>
      </c>
      <c r="I9" s="647">
        <f t="shared" si="4"/>
        <v>437</v>
      </c>
      <c r="J9" s="768" t="s">
        <v>42</v>
      </c>
      <c r="K9" s="770"/>
    </row>
    <row r="10">
      <c r="A10" s="643">
        <v>601976.0</v>
      </c>
      <c r="B10" s="644">
        <v>45730.0</v>
      </c>
      <c r="C10" s="644">
        <f t="shared" si="1"/>
        <v>45737</v>
      </c>
      <c r="D10" s="643">
        <v>112164.95</v>
      </c>
      <c r="E10" s="645" t="b">
        <v>1</v>
      </c>
      <c r="F10" s="646" t="str">
        <f t="shared" si="2"/>
        <v>PAGADO</v>
      </c>
      <c r="G10" s="340" t="s">
        <v>2276</v>
      </c>
      <c r="H10" s="646" t="str">
        <f t="shared" si="3"/>
        <v>VENCIDA</v>
      </c>
      <c r="I10" s="647">
        <f t="shared" si="4"/>
        <v>430</v>
      </c>
      <c r="J10" s="768" t="s">
        <v>43</v>
      </c>
      <c r="K10" s="770"/>
    </row>
    <row r="11">
      <c r="A11" s="643">
        <v>602743.0</v>
      </c>
      <c r="B11" s="644">
        <v>45735.0</v>
      </c>
      <c r="C11" s="644">
        <f t="shared" si="1"/>
        <v>45742</v>
      </c>
      <c r="D11" s="643">
        <v>214253.28</v>
      </c>
      <c r="E11" s="645" t="b">
        <v>1</v>
      </c>
      <c r="F11" s="646" t="str">
        <f t="shared" si="2"/>
        <v>PAGADO</v>
      </c>
      <c r="G11" s="340" t="s">
        <v>2276</v>
      </c>
      <c r="H11" s="646" t="str">
        <f t="shared" si="3"/>
        <v>VENCIDA</v>
      </c>
      <c r="I11" s="647">
        <f t="shared" si="4"/>
        <v>425</v>
      </c>
      <c r="J11" s="768" t="s">
        <v>45</v>
      </c>
      <c r="K11" s="770"/>
    </row>
    <row r="12">
      <c r="A12" s="643">
        <v>604584.0</v>
      </c>
      <c r="B12" s="644">
        <v>45747.0</v>
      </c>
      <c r="C12" s="644">
        <f t="shared" si="1"/>
        <v>45754</v>
      </c>
      <c r="D12" s="643">
        <v>161056.5</v>
      </c>
      <c r="E12" s="645" t="b">
        <v>1</v>
      </c>
      <c r="F12" s="646" t="str">
        <f t="shared" si="2"/>
        <v>PAGADO</v>
      </c>
      <c r="G12" s="340" t="s">
        <v>2278</v>
      </c>
      <c r="H12" s="646" t="str">
        <f t="shared" si="3"/>
        <v>VENCIDA</v>
      </c>
      <c r="I12" s="647">
        <f t="shared" si="4"/>
        <v>413</v>
      </c>
      <c r="J12" s="768" t="s">
        <v>49</v>
      </c>
      <c r="K12" s="770"/>
    </row>
    <row r="13">
      <c r="A13" s="643">
        <v>604915.0</v>
      </c>
      <c r="B13" s="644">
        <v>45748.0</v>
      </c>
      <c r="C13" s="644">
        <f t="shared" si="1"/>
        <v>45755</v>
      </c>
      <c r="D13" s="643">
        <v>97369.53</v>
      </c>
      <c r="E13" s="645" t="b">
        <v>1</v>
      </c>
      <c r="F13" s="646" t="str">
        <f t="shared" si="2"/>
        <v>PAGADO</v>
      </c>
      <c r="G13" s="340" t="s">
        <v>2278</v>
      </c>
      <c r="H13" s="646" t="str">
        <f t="shared" si="3"/>
        <v>VENCIDA</v>
      </c>
      <c r="I13" s="647">
        <f t="shared" si="4"/>
        <v>412</v>
      </c>
      <c r="J13" s="768" t="s">
        <v>50</v>
      </c>
      <c r="K13" s="770"/>
    </row>
    <row r="14">
      <c r="A14" s="643">
        <v>605724.0</v>
      </c>
      <c r="B14" s="644">
        <v>45754.0</v>
      </c>
      <c r="C14" s="644">
        <f t="shared" si="1"/>
        <v>45761</v>
      </c>
      <c r="D14" s="643">
        <v>163932.82</v>
      </c>
      <c r="E14" s="645" t="b">
        <v>1</v>
      </c>
      <c r="F14" s="646" t="str">
        <f t="shared" si="2"/>
        <v>PAGADO</v>
      </c>
      <c r="G14" s="340" t="s">
        <v>2278</v>
      </c>
      <c r="H14" s="646" t="str">
        <f t="shared" si="3"/>
        <v>VENCIDA</v>
      </c>
      <c r="I14" s="647">
        <f t="shared" si="4"/>
        <v>406</v>
      </c>
      <c r="J14" s="768" t="s">
        <v>51</v>
      </c>
      <c r="K14" s="770"/>
    </row>
    <row r="15">
      <c r="A15" s="643">
        <v>606958.0</v>
      </c>
      <c r="B15" s="644">
        <v>45761.0</v>
      </c>
      <c r="C15" s="644">
        <f t="shared" si="1"/>
        <v>45768</v>
      </c>
      <c r="D15" s="643">
        <v>256583.85</v>
      </c>
      <c r="E15" s="645" t="b">
        <v>1</v>
      </c>
      <c r="F15" s="646" t="str">
        <f t="shared" si="2"/>
        <v>PAGADO</v>
      </c>
      <c r="G15" s="340" t="s">
        <v>2278</v>
      </c>
      <c r="H15" s="646" t="str">
        <f t="shared" si="3"/>
        <v>VENCIDA</v>
      </c>
      <c r="I15" s="647">
        <f t="shared" si="4"/>
        <v>399</v>
      </c>
    </row>
    <row r="16">
      <c r="A16" s="643">
        <v>607965.0</v>
      </c>
      <c r="B16" s="644">
        <v>45768.0</v>
      </c>
      <c r="C16" s="644">
        <f t="shared" si="1"/>
        <v>45775</v>
      </c>
      <c r="D16" s="643">
        <v>197761.62</v>
      </c>
      <c r="E16" s="654" t="b">
        <v>1</v>
      </c>
      <c r="F16" s="646" t="str">
        <f t="shared" si="2"/>
        <v>PAGADO</v>
      </c>
      <c r="G16" s="340" t="s">
        <v>2278</v>
      </c>
      <c r="H16" s="646" t="str">
        <f t="shared" si="3"/>
        <v>VENCIDA</v>
      </c>
      <c r="I16" s="647">
        <f t="shared" si="4"/>
        <v>392</v>
      </c>
    </row>
    <row r="17">
      <c r="A17" s="643">
        <v>609212.0</v>
      </c>
      <c r="B17" s="644">
        <v>45775.0</v>
      </c>
      <c r="C17" s="644">
        <f t="shared" si="1"/>
        <v>45782</v>
      </c>
      <c r="D17" s="643">
        <v>255238.24</v>
      </c>
      <c r="E17" s="654" t="b">
        <v>1</v>
      </c>
      <c r="F17" s="646" t="str">
        <f t="shared" si="2"/>
        <v>PAGADO</v>
      </c>
      <c r="G17" s="340" t="s">
        <v>2278</v>
      </c>
      <c r="H17" s="646" t="str">
        <f t="shared" si="3"/>
        <v>VENCIDA</v>
      </c>
      <c r="I17" s="647">
        <f t="shared" si="4"/>
        <v>385</v>
      </c>
    </row>
    <row r="18">
      <c r="A18" s="643">
        <v>610192.0</v>
      </c>
      <c r="B18" s="644">
        <v>45780.0</v>
      </c>
      <c r="C18" s="644">
        <f t="shared" si="1"/>
        <v>45787</v>
      </c>
      <c r="D18" s="643">
        <v>231917.69</v>
      </c>
      <c r="E18" s="654" t="b">
        <v>1</v>
      </c>
      <c r="F18" s="646" t="str">
        <f t="shared" si="2"/>
        <v>PAGADO</v>
      </c>
      <c r="G18" s="340" t="s">
        <v>2278</v>
      </c>
      <c r="H18" s="646" t="str">
        <f t="shared" si="3"/>
        <v>VENCIDA</v>
      </c>
      <c r="I18" s="647">
        <f t="shared" si="4"/>
        <v>380</v>
      </c>
      <c r="J18" s="2" t="s">
        <v>2427</v>
      </c>
    </row>
    <row r="19">
      <c r="A19" s="643">
        <v>610744.0</v>
      </c>
      <c r="B19" s="644">
        <v>45784.0</v>
      </c>
      <c r="C19" s="644">
        <f t="shared" si="1"/>
        <v>45791</v>
      </c>
      <c r="D19" s="643">
        <v>204465.5</v>
      </c>
      <c r="E19" s="645" t="b">
        <v>1</v>
      </c>
      <c r="F19" s="646" t="str">
        <f t="shared" si="2"/>
        <v>PAGADO</v>
      </c>
      <c r="G19" s="340" t="s">
        <v>2278</v>
      </c>
      <c r="H19" s="646" t="str">
        <f t="shared" si="3"/>
        <v>VENCIDA</v>
      </c>
      <c r="I19" s="647">
        <f t="shared" si="4"/>
        <v>376</v>
      </c>
    </row>
    <row r="20">
      <c r="A20" s="643">
        <v>611533.0</v>
      </c>
      <c r="B20" s="644">
        <v>45789.0</v>
      </c>
      <c r="C20" s="644">
        <f t="shared" si="1"/>
        <v>45796</v>
      </c>
      <c r="D20" s="643">
        <v>169685.0</v>
      </c>
      <c r="E20" s="645" t="b">
        <v>1</v>
      </c>
      <c r="F20" s="646" t="str">
        <f t="shared" si="2"/>
        <v>PAGADO</v>
      </c>
      <c r="G20" s="340" t="s">
        <v>2278</v>
      </c>
      <c r="H20" s="646" t="str">
        <f t="shared" si="3"/>
        <v>VENCIDA</v>
      </c>
      <c r="I20" s="647">
        <f t="shared" si="4"/>
        <v>371</v>
      </c>
    </row>
    <row r="21">
      <c r="A21" s="643">
        <v>612673.0</v>
      </c>
      <c r="B21" s="644">
        <v>45796.0</v>
      </c>
      <c r="C21" s="644">
        <f t="shared" si="1"/>
        <v>45803</v>
      </c>
      <c r="D21" s="643">
        <v>264543.61</v>
      </c>
      <c r="E21" s="645" t="b">
        <v>1</v>
      </c>
      <c r="F21" s="646" t="str">
        <f t="shared" si="2"/>
        <v>PAGADO</v>
      </c>
      <c r="G21" s="340" t="s">
        <v>2278</v>
      </c>
      <c r="H21" s="646" t="str">
        <f t="shared" si="3"/>
        <v>VENCIDA</v>
      </c>
      <c r="I21" s="647">
        <f t="shared" si="4"/>
        <v>364</v>
      </c>
    </row>
    <row r="22">
      <c r="A22" s="643">
        <v>613942.0</v>
      </c>
      <c r="B22" s="644">
        <v>45803.0</v>
      </c>
      <c r="C22" s="644">
        <f t="shared" si="1"/>
        <v>45810</v>
      </c>
      <c r="D22" s="643">
        <v>250774.65</v>
      </c>
      <c r="E22" s="645" t="b">
        <v>1</v>
      </c>
      <c r="F22" s="646" t="str">
        <f t="shared" si="2"/>
        <v>PAGADO</v>
      </c>
      <c r="G22" s="340" t="s">
        <v>2278</v>
      </c>
      <c r="H22" s="646" t="str">
        <f t="shared" si="3"/>
        <v>VENCIDA</v>
      </c>
      <c r="I22" s="647">
        <f t="shared" si="4"/>
        <v>357</v>
      </c>
    </row>
    <row r="23">
      <c r="A23" s="643">
        <v>615156.0</v>
      </c>
      <c r="B23" s="644">
        <v>45810.0</v>
      </c>
      <c r="C23" s="644">
        <f t="shared" si="1"/>
        <v>45817</v>
      </c>
      <c r="D23" s="643">
        <v>226372.63</v>
      </c>
      <c r="E23" s="645" t="b">
        <v>1</v>
      </c>
      <c r="F23" s="646" t="str">
        <f t="shared" si="2"/>
        <v>PAGADO</v>
      </c>
      <c r="G23" s="340" t="s">
        <v>2278</v>
      </c>
      <c r="H23" s="646" t="str">
        <f t="shared" si="3"/>
        <v>VENCIDA</v>
      </c>
      <c r="I23" s="647">
        <f t="shared" si="4"/>
        <v>350</v>
      </c>
    </row>
    <row r="24">
      <c r="A24" s="643">
        <v>616041.0</v>
      </c>
      <c r="B24" s="644">
        <v>45814.0</v>
      </c>
      <c r="C24" s="644">
        <f t="shared" ref="C24:C132" si="5">B24+15</f>
        <v>45829</v>
      </c>
      <c r="D24" s="643">
        <v>285777.67</v>
      </c>
      <c r="E24" s="645" t="b">
        <v>1</v>
      </c>
      <c r="F24" s="646" t="str">
        <f t="shared" si="2"/>
        <v>PAGADO</v>
      </c>
      <c r="G24" s="340" t="s">
        <v>2278</v>
      </c>
      <c r="H24" s="646" t="str">
        <f t="shared" si="3"/>
        <v>VENCIDA</v>
      </c>
      <c r="I24" s="647">
        <f t="shared" si="4"/>
        <v>338</v>
      </c>
    </row>
    <row r="25">
      <c r="A25" s="643">
        <v>617856.0</v>
      </c>
      <c r="B25" s="644">
        <v>45825.0</v>
      </c>
      <c r="C25" s="644">
        <f t="shared" si="5"/>
        <v>45840</v>
      </c>
      <c r="D25" s="643">
        <v>222902.26</v>
      </c>
      <c r="E25" s="645" t="b">
        <v>1</v>
      </c>
      <c r="F25" s="646" t="str">
        <f t="shared" si="2"/>
        <v>PAGADO</v>
      </c>
      <c r="G25" s="340" t="s">
        <v>2278</v>
      </c>
      <c r="H25" s="646" t="str">
        <f t="shared" si="3"/>
        <v>VENCIDA</v>
      </c>
      <c r="I25" s="647">
        <f t="shared" si="4"/>
        <v>327</v>
      </c>
    </row>
    <row r="26">
      <c r="A26" s="643">
        <v>619861.0</v>
      </c>
      <c r="B26" s="644">
        <v>45838.0</v>
      </c>
      <c r="C26" s="644">
        <f t="shared" si="5"/>
        <v>45853</v>
      </c>
      <c r="D26" s="643">
        <v>235684.43</v>
      </c>
      <c r="E26" s="645" t="b">
        <v>1</v>
      </c>
      <c r="F26" s="646" t="str">
        <f t="shared" si="2"/>
        <v>PAGADO</v>
      </c>
      <c r="G26" s="340" t="s">
        <v>2278</v>
      </c>
      <c r="H26" s="646" t="str">
        <f t="shared" si="3"/>
        <v>VENCIDA</v>
      </c>
      <c r="I26" s="647">
        <f t="shared" si="4"/>
        <v>314</v>
      </c>
    </row>
    <row r="27">
      <c r="A27" s="644"/>
      <c r="B27" s="644">
        <v>46029.0</v>
      </c>
      <c r="C27" s="644">
        <f t="shared" si="5"/>
        <v>46044</v>
      </c>
      <c r="D27" s="643">
        <v>330255.48</v>
      </c>
      <c r="E27" s="645" t="b">
        <v>1</v>
      </c>
      <c r="F27" s="646" t="str">
        <f t="shared" si="2"/>
        <v>PAGADO</v>
      </c>
      <c r="G27" s="340" t="s">
        <v>2278</v>
      </c>
      <c r="H27" s="646" t="str">
        <f t="shared" si="3"/>
        <v>VENCIDA</v>
      </c>
      <c r="I27" s="647">
        <f t="shared" si="4"/>
        <v>123</v>
      </c>
      <c r="J27" s="2" t="s">
        <v>2427</v>
      </c>
    </row>
    <row r="28">
      <c r="A28" s="644"/>
      <c r="B28" s="644">
        <v>46108.0</v>
      </c>
      <c r="C28" s="644">
        <f t="shared" si="5"/>
        <v>46123</v>
      </c>
      <c r="D28" s="643">
        <v>326308.52</v>
      </c>
      <c r="E28" s="645" t="b">
        <v>1</v>
      </c>
      <c r="F28" s="646" t="str">
        <f t="shared" si="2"/>
        <v>PAGADO</v>
      </c>
      <c r="G28" s="340" t="s">
        <v>2278</v>
      </c>
      <c r="H28" s="646" t="str">
        <f t="shared" si="3"/>
        <v>VENCIDA</v>
      </c>
      <c r="I28" s="647">
        <f t="shared" si="4"/>
        <v>44</v>
      </c>
      <c r="J28" s="2" t="s">
        <v>2427</v>
      </c>
    </row>
    <row r="29">
      <c r="A29" s="644"/>
      <c r="B29" s="644">
        <v>46141.0</v>
      </c>
      <c r="C29" s="644">
        <f t="shared" si="5"/>
        <v>46156</v>
      </c>
      <c r="D29" s="643">
        <v>237289.46</v>
      </c>
      <c r="E29" s="645" t="b">
        <v>1</v>
      </c>
      <c r="F29" s="646" t="str">
        <f t="shared" si="2"/>
        <v>PAGADO</v>
      </c>
      <c r="G29" s="340" t="s">
        <v>2278</v>
      </c>
      <c r="H29" s="646" t="str">
        <f t="shared" si="3"/>
        <v>VENCIDA</v>
      </c>
      <c r="I29" s="647">
        <f t="shared" si="4"/>
        <v>11</v>
      </c>
    </row>
    <row r="30">
      <c r="A30" s="644"/>
      <c r="B30" s="644"/>
      <c r="C30" s="644">
        <f t="shared" si="5"/>
        <v>15</v>
      </c>
      <c r="D30" s="643"/>
      <c r="E30" s="658" t="b">
        <v>0</v>
      </c>
      <c r="F30" s="646" t="str">
        <f t="shared" si="2"/>
        <v>ADEUDA</v>
      </c>
      <c r="G30" s="340" t="s">
        <v>2278</v>
      </c>
      <c r="H30" s="646" t="str">
        <f t="shared" si="3"/>
        <v>VENCIDA</v>
      </c>
      <c r="I30" s="647">
        <f t="shared" si="4"/>
        <v>46152</v>
      </c>
    </row>
    <row r="31">
      <c r="A31" s="644"/>
      <c r="B31" s="644"/>
      <c r="C31" s="644">
        <f t="shared" si="5"/>
        <v>15</v>
      </c>
      <c r="D31" s="643"/>
      <c r="E31" s="658" t="b">
        <v>0</v>
      </c>
      <c r="F31" s="646" t="str">
        <f t="shared" si="2"/>
        <v>ADEUDA</v>
      </c>
      <c r="G31" s="340" t="s">
        <v>2278</v>
      </c>
      <c r="H31" s="646" t="str">
        <f t="shared" si="3"/>
        <v>VENCIDA</v>
      </c>
      <c r="I31" s="647">
        <f t="shared" si="4"/>
        <v>46152</v>
      </c>
    </row>
    <row r="32">
      <c r="A32" s="644"/>
      <c r="B32" s="644"/>
      <c r="C32" s="644">
        <f t="shared" si="5"/>
        <v>15</v>
      </c>
      <c r="D32" s="643"/>
      <c r="E32" s="658" t="b">
        <v>0</v>
      </c>
      <c r="F32" s="646" t="str">
        <f t="shared" si="2"/>
        <v>ADEUDA</v>
      </c>
      <c r="G32" s="340" t="s">
        <v>2278</v>
      </c>
      <c r="H32" s="646" t="str">
        <f t="shared" si="3"/>
        <v>VENCIDA</v>
      </c>
      <c r="I32" s="647">
        <f t="shared" si="4"/>
        <v>46152</v>
      </c>
    </row>
    <row r="33">
      <c r="A33" s="644"/>
      <c r="B33" s="644"/>
      <c r="C33" s="644">
        <f t="shared" si="5"/>
        <v>15</v>
      </c>
      <c r="D33" s="643"/>
      <c r="E33" s="658" t="b">
        <v>0</v>
      </c>
      <c r="F33" s="646" t="str">
        <f t="shared" si="2"/>
        <v>ADEUDA</v>
      </c>
      <c r="G33" s="340" t="s">
        <v>2278</v>
      </c>
      <c r="H33" s="646" t="str">
        <f t="shared" si="3"/>
        <v>VENCIDA</v>
      </c>
      <c r="I33" s="647">
        <f t="shared" si="4"/>
        <v>46152</v>
      </c>
    </row>
    <row r="34">
      <c r="A34" s="644"/>
      <c r="B34" s="644"/>
      <c r="C34" s="644">
        <f t="shared" si="5"/>
        <v>15</v>
      </c>
      <c r="D34" s="643"/>
      <c r="E34" s="658" t="b">
        <v>0</v>
      </c>
      <c r="F34" s="646" t="str">
        <f t="shared" si="2"/>
        <v>ADEUDA</v>
      </c>
      <c r="G34" s="340" t="s">
        <v>2278</v>
      </c>
      <c r="H34" s="646" t="str">
        <f t="shared" si="3"/>
        <v>VENCIDA</v>
      </c>
      <c r="I34" s="647">
        <f t="shared" si="4"/>
        <v>46152</v>
      </c>
    </row>
    <row r="35">
      <c r="A35" s="644"/>
      <c r="B35" s="644"/>
      <c r="C35" s="644">
        <f t="shared" si="5"/>
        <v>15</v>
      </c>
      <c r="D35" s="643"/>
      <c r="E35" s="658" t="b">
        <v>0</v>
      </c>
      <c r="F35" s="646" t="str">
        <f t="shared" si="2"/>
        <v>ADEUDA</v>
      </c>
      <c r="G35" s="340" t="s">
        <v>2278</v>
      </c>
      <c r="H35" s="646" t="str">
        <f t="shared" si="3"/>
        <v>VENCIDA</v>
      </c>
      <c r="I35" s="647">
        <f t="shared" si="4"/>
        <v>46152</v>
      </c>
    </row>
    <row r="36">
      <c r="A36" s="644"/>
      <c r="B36" s="644"/>
      <c r="C36" s="644">
        <f t="shared" si="5"/>
        <v>15</v>
      </c>
      <c r="D36" s="643"/>
      <c r="E36" s="658" t="b">
        <v>0</v>
      </c>
      <c r="F36" s="646" t="str">
        <f t="shared" si="2"/>
        <v>ADEUDA</v>
      </c>
      <c r="G36" s="340" t="s">
        <v>2278</v>
      </c>
      <c r="H36" s="646" t="str">
        <f t="shared" si="3"/>
        <v>VENCIDA</v>
      </c>
      <c r="I36" s="647">
        <f t="shared" si="4"/>
        <v>46152</v>
      </c>
    </row>
    <row r="37">
      <c r="A37" s="644"/>
      <c r="B37" s="644"/>
      <c r="C37" s="644">
        <f t="shared" si="5"/>
        <v>15</v>
      </c>
      <c r="D37" s="643"/>
      <c r="E37" s="658" t="b">
        <v>0</v>
      </c>
      <c r="F37" s="646" t="str">
        <f t="shared" si="2"/>
        <v>ADEUDA</v>
      </c>
      <c r="G37" s="340" t="s">
        <v>2278</v>
      </c>
      <c r="H37" s="646" t="str">
        <f t="shared" si="3"/>
        <v>VENCIDA</v>
      </c>
      <c r="I37" s="647">
        <f t="shared" si="4"/>
        <v>46152</v>
      </c>
    </row>
    <row r="38">
      <c r="A38" s="644"/>
      <c r="B38" s="644"/>
      <c r="C38" s="644">
        <f t="shared" si="5"/>
        <v>15</v>
      </c>
      <c r="D38" s="643"/>
      <c r="E38" s="658" t="b">
        <v>0</v>
      </c>
      <c r="F38" s="646" t="str">
        <f t="shared" si="2"/>
        <v>ADEUDA</v>
      </c>
      <c r="G38" s="340" t="s">
        <v>2278</v>
      </c>
      <c r="H38" s="646" t="str">
        <f t="shared" si="3"/>
        <v>VENCIDA</v>
      </c>
      <c r="I38" s="647">
        <f t="shared" si="4"/>
        <v>46152</v>
      </c>
    </row>
    <row r="39">
      <c r="A39" s="644"/>
      <c r="B39" s="644"/>
      <c r="C39" s="644">
        <f t="shared" si="5"/>
        <v>15</v>
      </c>
      <c r="D39" s="643"/>
      <c r="E39" s="658" t="b">
        <v>0</v>
      </c>
      <c r="F39" s="646" t="str">
        <f t="shared" si="2"/>
        <v>ADEUDA</v>
      </c>
      <c r="G39" s="340" t="s">
        <v>2278</v>
      </c>
      <c r="H39" s="646" t="str">
        <f t="shared" si="3"/>
        <v>VENCIDA</v>
      </c>
      <c r="I39" s="647">
        <f t="shared" si="4"/>
        <v>46152</v>
      </c>
    </row>
    <row r="40">
      <c r="A40" s="644"/>
      <c r="B40" s="644"/>
      <c r="C40" s="644">
        <f t="shared" si="5"/>
        <v>15</v>
      </c>
      <c r="D40" s="643"/>
      <c r="E40" s="658" t="b">
        <v>0</v>
      </c>
      <c r="F40" s="646" t="str">
        <f t="shared" si="2"/>
        <v>ADEUDA</v>
      </c>
      <c r="G40" s="340" t="s">
        <v>2278</v>
      </c>
      <c r="H40" s="646" t="str">
        <f t="shared" si="3"/>
        <v>VENCIDA</v>
      </c>
      <c r="I40" s="647">
        <f t="shared" si="4"/>
        <v>46152</v>
      </c>
    </row>
    <row r="41">
      <c r="A41" s="644"/>
      <c r="B41" s="644"/>
      <c r="C41" s="644">
        <f t="shared" si="5"/>
        <v>15</v>
      </c>
      <c r="D41" s="643"/>
      <c r="E41" s="658" t="b">
        <v>0</v>
      </c>
      <c r="F41" s="646" t="str">
        <f t="shared" si="2"/>
        <v>ADEUDA</v>
      </c>
      <c r="G41" s="340" t="s">
        <v>2278</v>
      </c>
      <c r="H41" s="646" t="str">
        <f t="shared" si="3"/>
        <v>VENCIDA</v>
      </c>
      <c r="I41" s="647">
        <f t="shared" si="4"/>
        <v>46152</v>
      </c>
    </row>
    <row r="42">
      <c r="A42" s="644"/>
      <c r="B42" s="644"/>
      <c r="C42" s="644">
        <f t="shared" si="5"/>
        <v>15</v>
      </c>
      <c r="D42" s="643"/>
      <c r="E42" s="658" t="b">
        <v>0</v>
      </c>
      <c r="F42" s="646" t="str">
        <f t="shared" si="2"/>
        <v>ADEUDA</v>
      </c>
      <c r="G42" s="340" t="s">
        <v>2278</v>
      </c>
      <c r="H42" s="646" t="str">
        <f t="shared" si="3"/>
        <v>VENCIDA</v>
      </c>
      <c r="I42" s="647">
        <f t="shared" si="4"/>
        <v>46152</v>
      </c>
    </row>
    <row r="43">
      <c r="A43" s="644"/>
      <c r="B43" s="644"/>
      <c r="C43" s="644">
        <f t="shared" si="5"/>
        <v>15</v>
      </c>
      <c r="D43" s="643"/>
      <c r="E43" s="658" t="b">
        <v>0</v>
      </c>
      <c r="F43" s="646" t="str">
        <f t="shared" si="2"/>
        <v>ADEUDA</v>
      </c>
      <c r="G43" s="340" t="s">
        <v>2278</v>
      </c>
      <c r="H43" s="646" t="str">
        <f t="shared" si="3"/>
        <v>VENCIDA</v>
      </c>
      <c r="I43" s="647">
        <f t="shared" si="4"/>
        <v>46152</v>
      </c>
    </row>
    <row r="44">
      <c r="A44" s="644"/>
      <c r="B44" s="644"/>
      <c r="C44" s="644">
        <f t="shared" si="5"/>
        <v>15</v>
      </c>
      <c r="D44" s="643"/>
      <c r="E44" s="658" t="b">
        <v>0</v>
      </c>
      <c r="F44" s="646" t="str">
        <f t="shared" si="2"/>
        <v>ADEUDA</v>
      </c>
      <c r="G44" s="340" t="s">
        <v>2278</v>
      </c>
      <c r="H44" s="646" t="str">
        <f t="shared" si="3"/>
        <v>VENCIDA</v>
      </c>
      <c r="I44" s="647">
        <f t="shared" si="4"/>
        <v>46152</v>
      </c>
    </row>
    <row r="45">
      <c r="A45" s="644"/>
      <c r="B45" s="644"/>
      <c r="C45" s="644">
        <f t="shared" si="5"/>
        <v>15</v>
      </c>
      <c r="D45" s="643"/>
      <c r="E45" s="658" t="b">
        <v>0</v>
      </c>
      <c r="F45" s="646" t="str">
        <f t="shared" si="2"/>
        <v>ADEUDA</v>
      </c>
      <c r="G45" s="340" t="s">
        <v>2278</v>
      </c>
      <c r="H45" s="646" t="str">
        <f t="shared" si="3"/>
        <v>VENCIDA</v>
      </c>
      <c r="I45" s="647">
        <f t="shared" si="4"/>
        <v>46152</v>
      </c>
    </row>
    <row r="46">
      <c r="A46" s="644"/>
      <c r="B46" s="644"/>
      <c r="C46" s="644">
        <f t="shared" si="5"/>
        <v>15</v>
      </c>
      <c r="D46" s="643"/>
      <c r="E46" s="658" t="b">
        <v>0</v>
      </c>
      <c r="F46" s="646" t="str">
        <f t="shared" si="2"/>
        <v>ADEUDA</v>
      </c>
      <c r="G46" s="340" t="s">
        <v>2278</v>
      </c>
      <c r="H46" s="646" t="str">
        <f t="shared" si="3"/>
        <v>VENCIDA</v>
      </c>
      <c r="I46" s="647">
        <f t="shared" si="4"/>
        <v>46152</v>
      </c>
    </row>
    <row r="47">
      <c r="A47" s="644"/>
      <c r="B47" s="644"/>
      <c r="C47" s="644">
        <f t="shared" si="5"/>
        <v>15</v>
      </c>
      <c r="D47" s="643"/>
      <c r="E47" s="658" t="b">
        <v>0</v>
      </c>
      <c r="F47" s="646" t="str">
        <f t="shared" si="2"/>
        <v>ADEUDA</v>
      </c>
      <c r="G47" s="340" t="s">
        <v>2278</v>
      </c>
      <c r="H47" s="646" t="str">
        <f t="shared" si="3"/>
        <v>VENCIDA</v>
      </c>
      <c r="I47" s="647">
        <f t="shared" si="4"/>
        <v>46152</v>
      </c>
    </row>
    <row r="48">
      <c r="A48" s="644"/>
      <c r="B48" s="644"/>
      <c r="C48" s="644">
        <f t="shared" si="5"/>
        <v>15</v>
      </c>
      <c r="D48" s="643"/>
      <c r="E48" s="658" t="b">
        <v>0</v>
      </c>
      <c r="F48" s="646" t="str">
        <f t="shared" si="2"/>
        <v>ADEUDA</v>
      </c>
      <c r="G48" s="340" t="s">
        <v>2278</v>
      </c>
      <c r="H48" s="646" t="str">
        <f t="shared" si="3"/>
        <v>VENCIDA</v>
      </c>
      <c r="I48" s="647">
        <f t="shared" si="4"/>
        <v>46152</v>
      </c>
    </row>
    <row r="49">
      <c r="A49" s="644"/>
      <c r="B49" s="644"/>
      <c r="C49" s="644">
        <f t="shared" si="5"/>
        <v>15</v>
      </c>
      <c r="D49" s="643"/>
      <c r="E49" s="658" t="b">
        <v>0</v>
      </c>
      <c r="F49" s="646" t="str">
        <f t="shared" si="2"/>
        <v>ADEUDA</v>
      </c>
      <c r="G49" s="340" t="s">
        <v>2278</v>
      </c>
      <c r="H49" s="646" t="str">
        <f t="shared" si="3"/>
        <v>VENCIDA</v>
      </c>
      <c r="I49" s="647">
        <f t="shared" si="4"/>
        <v>46152</v>
      </c>
    </row>
    <row r="50">
      <c r="A50" s="644"/>
      <c r="B50" s="644"/>
      <c r="C50" s="644">
        <f t="shared" si="5"/>
        <v>15</v>
      </c>
      <c r="D50" s="643"/>
      <c r="E50" s="658" t="b">
        <v>0</v>
      </c>
      <c r="F50" s="646" t="str">
        <f t="shared" si="2"/>
        <v>ADEUDA</v>
      </c>
      <c r="G50" s="340" t="s">
        <v>2278</v>
      </c>
      <c r="H50" s="646" t="str">
        <f t="shared" si="3"/>
        <v>VENCIDA</v>
      </c>
      <c r="I50" s="647">
        <f t="shared" si="4"/>
        <v>46152</v>
      </c>
    </row>
    <row r="51">
      <c r="A51" s="644"/>
      <c r="B51" s="644"/>
      <c r="C51" s="644">
        <f t="shared" si="5"/>
        <v>15</v>
      </c>
      <c r="D51" s="643"/>
      <c r="E51" s="658" t="b">
        <v>0</v>
      </c>
      <c r="F51" s="646" t="str">
        <f t="shared" si="2"/>
        <v>ADEUDA</v>
      </c>
      <c r="G51" s="340" t="s">
        <v>2278</v>
      </c>
      <c r="H51" s="646" t="str">
        <f t="shared" si="3"/>
        <v>VENCIDA</v>
      </c>
      <c r="I51" s="647">
        <f t="shared" si="4"/>
        <v>46152</v>
      </c>
    </row>
    <row r="52">
      <c r="A52" s="644"/>
      <c r="B52" s="644"/>
      <c r="C52" s="644">
        <f t="shared" si="5"/>
        <v>15</v>
      </c>
      <c r="D52" s="643"/>
      <c r="E52" s="658" t="b">
        <v>0</v>
      </c>
      <c r="F52" s="646" t="str">
        <f t="shared" si="2"/>
        <v>ADEUDA</v>
      </c>
      <c r="G52" s="340" t="s">
        <v>2278</v>
      </c>
      <c r="H52" s="646" t="str">
        <f t="shared" si="3"/>
        <v>VENCIDA</v>
      </c>
      <c r="I52" s="647">
        <f t="shared" si="4"/>
        <v>46152</v>
      </c>
    </row>
    <row r="53">
      <c r="A53" s="644"/>
      <c r="B53" s="644"/>
      <c r="C53" s="644">
        <f t="shared" si="5"/>
        <v>15</v>
      </c>
      <c r="D53" s="643"/>
      <c r="E53" s="658" t="b">
        <v>0</v>
      </c>
      <c r="F53" s="646" t="str">
        <f t="shared" si="2"/>
        <v>ADEUDA</v>
      </c>
      <c r="G53" s="340" t="s">
        <v>2278</v>
      </c>
      <c r="H53" s="646" t="str">
        <f t="shared" si="3"/>
        <v>VENCIDA</v>
      </c>
      <c r="I53" s="647">
        <f t="shared" si="4"/>
        <v>46152</v>
      </c>
    </row>
    <row r="54">
      <c r="A54" s="644"/>
      <c r="B54" s="644"/>
      <c r="C54" s="644">
        <f t="shared" si="5"/>
        <v>15</v>
      </c>
      <c r="D54" s="643"/>
      <c r="E54" s="658" t="b">
        <v>0</v>
      </c>
      <c r="F54" s="646" t="str">
        <f t="shared" si="2"/>
        <v>ADEUDA</v>
      </c>
      <c r="G54" s="340" t="s">
        <v>2278</v>
      </c>
      <c r="H54" s="646" t="str">
        <f t="shared" si="3"/>
        <v>VENCIDA</v>
      </c>
      <c r="I54" s="647">
        <f t="shared" si="4"/>
        <v>46152</v>
      </c>
    </row>
    <row r="55">
      <c r="A55" s="644"/>
      <c r="B55" s="644"/>
      <c r="C55" s="644">
        <f t="shared" si="5"/>
        <v>15</v>
      </c>
      <c r="D55" s="643"/>
      <c r="E55" s="658" t="b">
        <v>0</v>
      </c>
      <c r="F55" s="646" t="str">
        <f t="shared" si="2"/>
        <v>ADEUDA</v>
      </c>
      <c r="G55" s="340" t="s">
        <v>2278</v>
      </c>
      <c r="H55" s="646" t="str">
        <f t="shared" si="3"/>
        <v>VENCIDA</v>
      </c>
      <c r="I55" s="647">
        <f t="shared" si="4"/>
        <v>46152</v>
      </c>
    </row>
    <row r="56">
      <c r="A56" s="644"/>
      <c r="B56" s="644"/>
      <c r="C56" s="644">
        <f t="shared" si="5"/>
        <v>15</v>
      </c>
      <c r="D56" s="643"/>
      <c r="E56" s="658" t="b">
        <v>0</v>
      </c>
      <c r="F56" s="646" t="str">
        <f t="shared" si="2"/>
        <v>ADEUDA</v>
      </c>
      <c r="G56" s="340" t="s">
        <v>2278</v>
      </c>
      <c r="H56" s="646" t="str">
        <f t="shared" si="3"/>
        <v>VENCIDA</v>
      </c>
      <c r="I56" s="647">
        <f t="shared" si="4"/>
        <v>46152</v>
      </c>
    </row>
    <row r="57">
      <c r="A57" s="644"/>
      <c r="B57" s="644"/>
      <c r="C57" s="644">
        <f t="shared" si="5"/>
        <v>15</v>
      </c>
      <c r="D57" s="643"/>
      <c r="E57" s="658" t="b">
        <v>0</v>
      </c>
      <c r="F57" s="646" t="str">
        <f t="shared" si="2"/>
        <v>ADEUDA</v>
      </c>
      <c r="G57" s="340" t="s">
        <v>2278</v>
      </c>
      <c r="H57" s="646" t="str">
        <f t="shared" si="3"/>
        <v>VENCIDA</v>
      </c>
      <c r="I57" s="647">
        <f t="shared" si="4"/>
        <v>46152</v>
      </c>
    </row>
    <row r="58">
      <c r="A58" s="644"/>
      <c r="B58" s="644"/>
      <c r="C58" s="644">
        <f t="shared" si="5"/>
        <v>15</v>
      </c>
      <c r="D58" s="643"/>
      <c r="E58" s="658" t="b">
        <v>0</v>
      </c>
      <c r="F58" s="646" t="str">
        <f t="shared" si="2"/>
        <v>ADEUDA</v>
      </c>
      <c r="G58" s="340" t="s">
        <v>2278</v>
      </c>
      <c r="H58" s="646" t="str">
        <f t="shared" si="3"/>
        <v>VENCIDA</v>
      </c>
      <c r="I58" s="647">
        <f t="shared" si="4"/>
        <v>46152</v>
      </c>
    </row>
    <row r="59">
      <c r="A59" s="644"/>
      <c r="B59" s="644"/>
      <c r="C59" s="644">
        <f t="shared" si="5"/>
        <v>15</v>
      </c>
      <c r="D59" s="643"/>
      <c r="E59" s="658" t="b">
        <v>0</v>
      </c>
      <c r="F59" s="646" t="str">
        <f t="shared" si="2"/>
        <v>ADEUDA</v>
      </c>
      <c r="G59" s="340" t="s">
        <v>2278</v>
      </c>
      <c r="H59" s="646" t="str">
        <f t="shared" si="3"/>
        <v>VENCIDA</v>
      </c>
      <c r="I59" s="647">
        <f t="shared" si="4"/>
        <v>46152</v>
      </c>
    </row>
    <row r="60">
      <c r="A60" s="644"/>
      <c r="B60" s="644"/>
      <c r="C60" s="644">
        <f t="shared" si="5"/>
        <v>15</v>
      </c>
      <c r="D60" s="643"/>
      <c r="E60" s="658" t="b">
        <v>0</v>
      </c>
      <c r="F60" s="646" t="str">
        <f t="shared" si="2"/>
        <v>ADEUDA</v>
      </c>
      <c r="G60" s="340" t="s">
        <v>2278</v>
      </c>
      <c r="H60" s="646" t="str">
        <f t="shared" si="3"/>
        <v>VENCIDA</v>
      </c>
      <c r="I60" s="647">
        <f t="shared" si="4"/>
        <v>46152</v>
      </c>
    </row>
    <row r="61">
      <c r="A61" s="644"/>
      <c r="B61" s="644"/>
      <c r="C61" s="644">
        <f t="shared" si="5"/>
        <v>15</v>
      </c>
      <c r="D61" s="643"/>
      <c r="E61" s="658" t="b">
        <v>0</v>
      </c>
      <c r="F61" s="646" t="str">
        <f t="shared" si="2"/>
        <v>ADEUDA</v>
      </c>
      <c r="G61" s="340" t="s">
        <v>2278</v>
      </c>
      <c r="H61" s="646" t="str">
        <f t="shared" si="3"/>
        <v>VENCIDA</v>
      </c>
      <c r="I61" s="647">
        <f t="shared" si="4"/>
        <v>46152</v>
      </c>
    </row>
    <row r="62">
      <c r="A62" s="644"/>
      <c r="B62" s="644"/>
      <c r="C62" s="644">
        <f t="shared" si="5"/>
        <v>15</v>
      </c>
      <c r="D62" s="643"/>
      <c r="E62" s="658" t="b">
        <v>0</v>
      </c>
      <c r="F62" s="646" t="str">
        <f t="shared" si="2"/>
        <v>ADEUDA</v>
      </c>
      <c r="G62" s="340" t="s">
        <v>2278</v>
      </c>
      <c r="H62" s="646" t="str">
        <f t="shared" si="3"/>
        <v>VENCIDA</v>
      </c>
      <c r="I62" s="647">
        <f t="shared" si="4"/>
        <v>46152</v>
      </c>
    </row>
    <row r="63">
      <c r="A63" s="644"/>
      <c r="B63" s="644"/>
      <c r="C63" s="644">
        <f t="shared" si="5"/>
        <v>15</v>
      </c>
      <c r="D63" s="643"/>
      <c r="E63" s="658" t="b">
        <v>0</v>
      </c>
      <c r="F63" s="646" t="str">
        <f t="shared" si="2"/>
        <v>ADEUDA</v>
      </c>
      <c r="G63" s="340" t="s">
        <v>2278</v>
      </c>
      <c r="H63" s="646" t="str">
        <f t="shared" si="3"/>
        <v>VENCIDA</v>
      </c>
      <c r="I63" s="647">
        <f t="shared" si="4"/>
        <v>46152</v>
      </c>
    </row>
    <row r="64">
      <c r="A64" s="644"/>
      <c r="B64" s="644"/>
      <c r="C64" s="644">
        <f t="shared" si="5"/>
        <v>15</v>
      </c>
      <c r="D64" s="643"/>
      <c r="E64" s="658" t="b">
        <v>0</v>
      </c>
      <c r="F64" s="646" t="str">
        <f t="shared" si="2"/>
        <v>ADEUDA</v>
      </c>
      <c r="G64" s="340" t="s">
        <v>2278</v>
      </c>
      <c r="H64" s="646" t="str">
        <f t="shared" si="3"/>
        <v>VENCIDA</v>
      </c>
      <c r="I64" s="647">
        <f t="shared" si="4"/>
        <v>46152</v>
      </c>
    </row>
    <row r="65">
      <c r="A65" s="644"/>
      <c r="B65" s="644"/>
      <c r="C65" s="644">
        <f t="shared" si="5"/>
        <v>15</v>
      </c>
      <c r="D65" s="643"/>
      <c r="E65" s="658" t="b">
        <v>0</v>
      </c>
      <c r="F65" s="646" t="str">
        <f t="shared" si="2"/>
        <v>ADEUDA</v>
      </c>
      <c r="G65" s="340" t="s">
        <v>2278</v>
      </c>
      <c r="H65" s="646" t="str">
        <f t="shared" si="3"/>
        <v>VENCIDA</v>
      </c>
      <c r="I65" s="647">
        <f t="shared" si="4"/>
        <v>46152</v>
      </c>
    </row>
    <row r="66">
      <c r="A66" s="644"/>
      <c r="B66" s="644"/>
      <c r="C66" s="644">
        <f t="shared" si="5"/>
        <v>15</v>
      </c>
      <c r="D66" s="643"/>
      <c r="E66" s="658" t="b">
        <v>0</v>
      </c>
      <c r="F66" s="646" t="str">
        <f t="shared" si="2"/>
        <v>ADEUDA</v>
      </c>
      <c r="G66" s="340" t="s">
        <v>2278</v>
      </c>
      <c r="H66" s="646" t="str">
        <f t="shared" si="3"/>
        <v>VENCIDA</v>
      </c>
      <c r="I66" s="647">
        <f t="shared" si="4"/>
        <v>46152</v>
      </c>
    </row>
    <row r="67">
      <c r="A67" s="644"/>
      <c r="B67" s="644"/>
      <c r="C67" s="644">
        <f t="shared" si="5"/>
        <v>15</v>
      </c>
      <c r="D67" s="643"/>
      <c r="E67" s="658" t="b">
        <v>0</v>
      </c>
      <c r="F67" s="646" t="str">
        <f t="shared" si="2"/>
        <v>ADEUDA</v>
      </c>
      <c r="G67" s="340" t="s">
        <v>2278</v>
      </c>
      <c r="H67" s="646" t="str">
        <f t="shared" si="3"/>
        <v>VENCIDA</v>
      </c>
      <c r="I67" s="647">
        <f t="shared" si="4"/>
        <v>46152</v>
      </c>
    </row>
    <row r="68">
      <c r="A68" s="644"/>
      <c r="B68" s="644"/>
      <c r="C68" s="644">
        <f t="shared" si="5"/>
        <v>15</v>
      </c>
      <c r="D68" s="643"/>
      <c r="E68" s="658" t="b">
        <v>0</v>
      </c>
      <c r="F68" s="646" t="str">
        <f t="shared" si="2"/>
        <v>ADEUDA</v>
      </c>
      <c r="G68" s="340" t="s">
        <v>2278</v>
      </c>
      <c r="H68" s="646" t="str">
        <f t="shared" si="3"/>
        <v>VENCIDA</v>
      </c>
      <c r="I68" s="647">
        <f t="shared" si="4"/>
        <v>46152</v>
      </c>
    </row>
    <row r="69">
      <c r="A69" s="644"/>
      <c r="B69" s="644"/>
      <c r="C69" s="644">
        <f t="shared" si="5"/>
        <v>15</v>
      </c>
      <c r="D69" s="643"/>
      <c r="E69" s="658" t="b">
        <v>0</v>
      </c>
      <c r="F69" s="646" t="str">
        <f t="shared" si="2"/>
        <v>ADEUDA</v>
      </c>
      <c r="G69" s="340" t="s">
        <v>2278</v>
      </c>
      <c r="H69" s="646" t="str">
        <f t="shared" si="3"/>
        <v>VENCIDA</v>
      </c>
      <c r="I69" s="647">
        <f t="shared" si="4"/>
        <v>46152</v>
      </c>
    </row>
    <row r="70">
      <c r="A70" s="644"/>
      <c r="B70" s="644"/>
      <c r="C70" s="644">
        <f t="shared" si="5"/>
        <v>15</v>
      </c>
      <c r="D70" s="643"/>
      <c r="E70" s="658" t="b">
        <v>0</v>
      </c>
      <c r="F70" s="646" t="str">
        <f t="shared" si="2"/>
        <v>ADEUDA</v>
      </c>
      <c r="G70" s="340" t="s">
        <v>2278</v>
      </c>
      <c r="H70" s="646" t="str">
        <f t="shared" si="3"/>
        <v>VENCIDA</v>
      </c>
      <c r="I70" s="647">
        <f t="shared" si="4"/>
        <v>46152</v>
      </c>
    </row>
    <row r="71">
      <c r="A71" s="644"/>
      <c r="B71" s="644"/>
      <c r="C71" s="644">
        <f t="shared" si="5"/>
        <v>15</v>
      </c>
      <c r="D71" s="643"/>
      <c r="E71" s="658" t="b">
        <v>0</v>
      </c>
      <c r="F71" s="646" t="str">
        <f t="shared" si="2"/>
        <v>ADEUDA</v>
      </c>
      <c r="G71" s="340" t="s">
        <v>2278</v>
      </c>
      <c r="H71" s="646" t="str">
        <f t="shared" si="3"/>
        <v>VENCIDA</v>
      </c>
      <c r="I71" s="647">
        <f t="shared" si="4"/>
        <v>46152</v>
      </c>
    </row>
    <row r="72">
      <c r="A72" s="644"/>
      <c r="B72" s="644"/>
      <c r="C72" s="644">
        <f t="shared" si="5"/>
        <v>15</v>
      </c>
      <c r="D72" s="643"/>
      <c r="E72" s="658" t="b">
        <v>0</v>
      </c>
      <c r="F72" s="646" t="str">
        <f t="shared" si="2"/>
        <v>ADEUDA</v>
      </c>
      <c r="G72" s="340" t="s">
        <v>2278</v>
      </c>
      <c r="H72" s="646" t="str">
        <f t="shared" si="3"/>
        <v>VENCIDA</v>
      </c>
      <c r="I72" s="647">
        <f t="shared" si="4"/>
        <v>46152</v>
      </c>
    </row>
    <row r="73">
      <c r="A73" s="644"/>
      <c r="B73" s="644"/>
      <c r="C73" s="644">
        <f t="shared" si="5"/>
        <v>15</v>
      </c>
      <c r="D73" s="643"/>
      <c r="E73" s="658" t="b">
        <v>0</v>
      </c>
      <c r="F73" s="646" t="str">
        <f t="shared" si="2"/>
        <v>ADEUDA</v>
      </c>
      <c r="G73" s="340" t="s">
        <v>2278</v>
      </c>
      <c r="H73" s="646" t="str">
        <f t="shared" si="3"/>
        <v>VENCIDA</v>
      </c>
      <c r="I73" s="647">
        <f t="shared" si="4"/>
        <v>46152</v>
      </c>
    </row>
    <row r="74">
      <c r="A74" s="644"/>
      <c r="B74" s="644"/>
      <c r="C74" s="644">
        <f t="shared" si="5"/>
        <v>15</v>
      </c>
      <c r="D74" s="643"/>
      <c r="E74" s="658" t="b">
        <v>0</v>
      </c>
      <c r="F74" s="646" t="str">
        <f t="shared" si="2"/>
        <v>ADEUDA</v>
      </c>
      <c r="G74" s="340" t="s">
        <v>2278</v>
      </c>
      <c r="H74" s="646" t="str">
        <f t="shared" si="3"/>
        <v>VENCIDA</v>
      </c>
      <c r="I74" s="647">
        <f t="shared" si="4"/>
        <v>46152</v>
      </c>
    </row>
    <row r="75">
      <c r="A75" s="644"/>
      <c r="B75" s="644"/>
      <c r="C75" s="644">
        <f t="shared" si="5"/>
        <v>15</v>
      </c>
      <c r="D75" s="643"/>
      <c r="E75" s="658" t="b">
        <v>0</v>
      </c>
      <c r="F75" s="646" t="str">
        <f t="shared" si="2"/>
        <v>ADEUDA</v>
      </c>
      <c r="G75" s="340" t="s">
        <v>2278</v>
      </c>
      <c r="H75" s="646" t="str">
        <f t="shared" si="3"/>
        <v>VENCIDA</v>
      </c>
      <c r="I75" s="647">
        <f t="shared" si="4"/>
        <v>46152</v>
      </c>
    </row>
    <row r="76">
      <c r="A76" s="644"/>
      <c r="B76" s="644"/>
      <c r="C76" s="644">
        <f t="shared" si="5"/>
        <v>15</v>
      </c>
      <c r="D76" s="643"/>
      <c r="E76" s="658" t="b">
        <v>0</v>
      </c>
      <c r="F76" s="646" t="str">
        <f t="shared" si="2"/>
        <v>ADEUDA</v>
      </c>
      <c r="G76" s="340" t="s">
        <v>2278</v>
      </c>
      <c r="H76" s="646" t="str">
        <f t="shared" si="3"/>
        <v>VENCIDA</v>
      </c>
      <c r="I76" s="647">
        <f t="shared" si="4"/>
        <v>46152</v>
      </c>
    </row>
    <row r="77">
      <c r="A77" s="644"/>
      <c r="B77" s="644"/>
      <c r="C77" s="644">
        <f t="shared" si="5"/>
        <v>15</v>
      </c>
      <c r="D77" s="643"/>
      <c r="E77" s="658" t="b">
        <v>0</v>
      </c>
      <c r="F77" s="646" t="str">
        <f t="shared" si="2"/>
        <v>ADEUDA</v>
      </c>
      <c r="G77" s="340" t="s">
        <v>2278</v>
      </c>
      <c r="H77" s="646" t="str">
        <f t="shared" si="3"/>
        <v>VENCIDA</v>
      </c>
      <c r="I77" s="647">
        <f t="shared" si="4"/>
        <v>46152</v>
      </c>
    </row>
    <row r="78">
      <c r="A78" s="644"/>
      <c r="B78" s="644"/>
      <c r="C78" s="644">
        <f t="shared" si="5"/>
        <v>15</v>
      </c>
      <c r="D78" s="643"/>
      <c r="E78" s="658" t="b">
        <v>0</v>
      </c>
      <c r="F78" s="646" t="str">
        <f t="shared" si="2"/>
        <v>ADEUDA</v>
      </c>
      <c r="G78" s="340" t="s">
        <v>2278</v>
      </c>
      <c r="H78" s="646" t="str">
        <f t="shared" si="3"/>
        <v>VENCIDA</v>
      </c>
      <c r="I78" s="647">
        <f t="shared" si="4"/>
        <v>46152</v>
      </c>
    </row>
    <row r="79">
      <c r="A79" s="644"/>
      <c r="B79" s="644"/>
      <c r="C79" s="644">
        <f t="shared" si="5"/>
        <v>15</v>
      </c>
      <c r="D79" s="643"/>
      <c r="E79" s="658" t="b">
        <v>0</v>
      </c>
      <c r="F79" s="646" t="str">
        <f t="shared" si="2"/>
        <v>ADEUDA</v>
      </c>
      <c r="G79" s="340" t="s">
        <v>2278</v>
      </c>
      <c r="H79" s="646" t="str">
        <f t="shared" si="3"/>
        <v>VENCIDA</v>
      </c>
      <c r="I79" s="647">
        <f t="shared" si="4"/>
        <v>46152</v>
      </c>
    </row>
    <row r="80">
      <c r="A80" s="644"/>
      <c r="B80" s="644"/>
      <c r="C80" s="644">
        <f t="shared" si="5"/>
        <v>15</v>
      </c>
      <c r="D80" s="643"/>
      <c r="E80" s="658" t="b">
        <v>0</v>
      </c>
      <c r="F80" s="646" t="str">
        <f t="shared" si="2"/>
        <v>ADEUDA</v>
      </c>
      <c r="G80" s="340" t="s">
        <v>2278</v>
      </c>
      <c r="H80" s="646" t="str">
        <f t="shared" si="3"/>
        <v>VENCIDA</v>
      </c>
      <c r="I80" s="647">
        <f t="shared" si="4"/>
        <v>46152</v>
      </c>
    </row>
    <row r="81">
      <c r="A81" s="644"/>
      <c r="B81" s="644"/>
      <c r="C81" s="644">
        <f t="shared" si="5"/>
        <v>15</v>
      </c>
      <c r="D81" s="643"/>
      <c r="E81" s="658" t="b">
        <v>0</v>
      </c>
      <c r="F81" s="646" t="str">
        <f t="shared" si="2"/>
        <v>ADEUDA</v>
      </c>
      <c r="G81" s="340" t="s">
        <v>2278</v>
      </c>
      <c r="H81" s="646" t="str">
        <f t="shared" si="3"/>
        <v>VENCIDA</v>
      </c>
      <c r="I81" s="647">
        <f t="shared" si="4"/>
        <v>46152</v>
      </c>
    </row>
    <row r="82">
      <c r="A82" s="644"/>
      <c r="B82" s="644"/>
      <c r="C82" s="644">
        <f t="shared" si="5"/>
        <v>15</v>
      </c>
      <c r="D82" s="643"/>
      <c r="E82" s="658" t="b">
        <v>0</v>
      </c>
      <c r="F82" s="646" t="str">
        <f t="shared" si="2"/>
        <v>ADEUDA</v>
      </c>
      <c r="G82" s="340" t="s">
        <v>2278</v>
      </c>
      <c r="H82" s="646" t="str">
        <f t="shared" si="3"/>
        <v>VENCIDA</v>
      </c>
      <c r="I82" s="647">
        <f t="shared" si="4"/>
        <v>46152</v>
      </c>
    </row>
    <row r="83">
      <c r="A83" s="644"/>
      <c r="B83" s="644"/>
      <c r="C83" s="644">
        <f t="shared" si="5"/>
        <v>15</v>
      </c>
      <c r="D83" s="643"/>
      <c r="E83" s="658" t="b">
        <v>0</v>
      </c>
      <c r="F83" s="646" t="str">
        <f t="shared" si="2"/>
        <v>ADEUDA</v>
      </c>
      <c r="G83" s="340" t="s">
        <v>2278</v>
      </c>
      <c r="H83" s="646" t="str">
        <f t="shared" si="3"/>
        <v>VENCIDA</v>
      </c>
      <c r="I83" s="647">
        <f t="shared" si="4"/>
        <v>46152</v>
      </c>
    </row>
    <row r="84">
      <c r="A84" s="644"/>
      <c r="B84" s="644"/>
      <c r="C84" s="644">
        <f t="shared" si="5"/>
        <v>15</v>
      </c>
      <c r="D84" s="643"/>
      <c r="E84" s="658" t="b">
        <v>0</v>
      </c>
      <c r="F84" s="646" t="str">
        <f t="shared" si="2"/>
        <v>ADEUDA</v>
      </c>
      <c r="G84" s="340" t="s">
        <v>2278</v>
      </c>
      <c r="H84" s="646" t="str">
        <f t="shared" si="3"/>
        <v>VENCIDA</v>
      </c>
      <c r="I84" s="647">
        <f t="shared" si="4"/>
        <v>46152</v>
      </c>
    </row>
    <row r="85">
      <c r="A85" s="644"/>
      <c r="B85" s="644"/>
      <c r="C85" s="644">
        <f t="shared" si="5"/>
        <v>15</v>
      </c>
      <c r="D85" s="643"/>
      <c r="E85" s="658" t="b">
        <v>0</v>
      </c>
      <c r="F85" s="646" t="str">
        <f t="shared" si="2"/>
        <v>ADEUDA</v>
      </c>
      <c r="G85" s="340" t="s">
        <v>2278</v>
      </c>
      <c r="H85" s="646" t="str">
        <f t="shared" si="3"/>
        <v>VENCIDA</v>
      </c>
      <c r="I85" s="647">
        <f t="shared" si="4"/>
        <v>46152</v>
      </c>
    </row>
    <row r="86">
      <c r="A86" s="644"/>
      <c r="B86" s="644"/>
      <c r="C86" s="644">
        <f t="shared" si="5"/>
        <v>15</v>
      </c>
      <c r="D86" s="643"/>
      <c r="E86" s="658" t="b">
        <v>0</v>
      </c>
      <c r="F86" s="646" t="str">
        <f t="shared" si="2"/>
        <v>ADEUDA</v>
      </c>
      <c r="G86" s="340" t="s">
        <v>2278</v>
      </c>
      <c r="H86" s="646" t="str">
        <f t="shared" si="3"/>
        <v>VENCIDA</v>
      </c>
      <c r="I86" s="647">
        <f t="shared" si="4"/>
        <v>46152</v>
      </c>
    </row>
    <row r="87">
      <c r="A87" s="644"/>
      <c r="B87" s="644"/>
      <c r="C87" s="644">
        <f t="shared" si="5"/>
        <v>15</v>
      </c>
      <c r="D87" s="643"/>
      <c r="E87" s="658" t="b">
        <v>0</v>
      </c>
      <c r="F87" s="646" t="str">
        <f t="shared" si="2"/>
        <v>ADEUDA</v>
      </c>
      <c r="G87" s="340" t="s">
        <v>2278</v>
      </c>
      <c r="H87" s="646" t="str">
        <f t="shared" si="3"/>
        <v>VENCIDA</v>
      </c>
      <c r="I87" s="647">
        <f t="shared" si="4"/>
        <v>46152</v>
      </c>
    </row>
    <row r="88">
      <c r="A88" s="644"/>
      <c r="B88" s="644"/>
      <c r="C88" s="644">
        <f t="shared" si="5"/>
        <v>15</v>
      </c>
      <c r="D88" s="643"/>
      <c r="E88" s="658" t="b">
        <v>0</v>
      </c>
      <c r="F88" s="646" t="str">
        <f t="shared" si="2"/>
        <v>ADEUDA</v>
      </c>
      <c r="G88" s="340" t="s">
        <v>2278</v>
      </c>
      <c r="H88" s="646" t="str">
        <f t="shared" si="3"/>
        <v>VENCIDA</v>
      </c>
      <c r="I88" s="647">
        <f t="shared" si="4"/>
        <v>46152</v>
      </c>
    </row>
    <row r="89">
      <c r="A89" s="644"/>
      <c r="B89" s="644"/>
      <c r="C89" s="644">
        <f t="shared" si="5"/>
        <v>15</v>
      </c>
      <c r="D89" s="643"/>
      <c r="E89" s="658" t="b">
        <v>0</v>
      </c>
      <c r="F89" s="646" t="str">
        <f t="shared" si="2"/>
        <v>ADEUDA</v>
      </c>
      <c r="G89" s="340" t="s">
        <v>2278</v>
      </c>
      <c r="H89" s="646" t="str">
        <f t="shared" si="3"/>
        <v>VENCIDA</v>
      </c>
      <c r="I89" s="647">
        <f t="shared" si="4"/>
        <v>46152</v>
      </c>
    </row>
    <row r="90">
      <c r="A90" s="644"/>
      <c r="B90" s="644"/>
      <c r="C90" s="644">
        <f t="shared" si="5"/>
        <v>15</v>
      </c>
      <c r="D90" s="643"/>
      <c r="E90" s="658" t="b">
        <v>0</v>
      </c>
      <c r="F90" s="646" t="str">
        <f t="shared" si="2"/>
        <v>ADEUDA</v>
      </c>
      <c r="G90" s="340" t="s">
        <v>2278</v>
      </c>
      <c r="H90" s="646" t="str">
        <f t="shared" si="3"/>
        <v>VENCIDA</v>
      </c>
      <c r="I90" s="647">
        <f t="shared" si="4"/>
        <v>46152</v>
      </c>
    </row>
    <row r="91">
      <c r="A91" s="644"/>
      <c r="B91" s="644"/>
      <c r="C91" s="644">
        <f t="shared" si="5"/>
        <v>15</v>
      </c>
      <c r="D91" s="643"/>
      <c r="E91" s="658" t="b">
        <v>0</v>
      </c>
      <c r="F91" s="646" t="str">
        <f t="shared" si="2"/>
        <v>ADEUDA</v>
      </c>
      <c r="G91" s="340" t="s">
        <v>2278</v>
      </c>
      <c r="H91" s="646" t="str">
        <f t="shared" si="3"/>
        <v>VENCIDA</v>
      </c>
      <c r="I91" s="647">
        <f t="shared" si="4"/>
        <v>46152</v>
      </c>
    </row>
    <row r="92">
      <c r="A92" s="644"/>
      <c r="B92" s="644"/>
      <c r="C92" s="644">
        <f t="shared" si="5"/>
        <v>15</v>
      </c>
      <c r="D92" s="643"/>
      <c r="E92" s="658" t="b">
        <v>0</v>
      </c>
      <c r="F92" s="646" t="str">
        <f t="shared" si="2"/>
        <v>ADEUDA</v>
      </c>
      <c r="G92" s="340" t="s">
        <v>2278</v>
      </c>
      <c r="H92" s="646" t="str">
        <f t="shared" si="3"/>
        <v>VENCIDA</v>
      </c>
      <c r="I92" s="647">
        <f t="shared" si="4"/>
        <v>46152</v>
      </c>
    </row>
    <row r="93">
      <c r="A93" s="644"/>
      <c r="B93" s="644"/>
      <c r="C93" s="644">
        <f t="shared" si="5"/>
        <v>15</v>
      </c>
      <c r="D93" s="643"/>
      <c r="E93" s="658" t="b">
        <v>0</v>
      </c>
      <c r="F93" s="646" t="str">
        <f t="shared" si="2"/>
        <v>ADEUDA</v>
      </c>
      <c r="G93" s="340" t="s">
        <v>2278</v>
      </c>
      <c r="H93" s="646" t="str">
        <f t="shared" si="3"/>
        <v>VENCIDA</v>
      </c>
      <c r="I93" s="647">
        <f t="shared" si="4"/>
        <v>46152</v>
      </c>
    </row>
    <row r="94">
      <c r="A94" s="644"/>
      <c r="B94" s="644"/>
      <c r="C94" s="644">
        <f t="shared" si="5"/>
        <v>15</v>
      </c>
      <c r="D94" s="643"/>
      <c r="E94" s="658" t="b">
        <v>0</v>
      </c>
      <c r="F94" s="646" t="str">
        <f t="shared" si="2"/>
        <v>ADEUDA</v>
      </c>
      <c r="G94" s="340" t="s">
        <v>2278</v>
      </c>
      <c r="H94" s="646" t="str">
        <f t="shared" si="3"/>
        <v>VENCIDA</v>
      </c>
      <c r="I94" s="647">
        <f t="shared" si="4"/>
        <v>46152</v>
      </c>
    </row>
    <row r="95">
      <c r="A95" s="644"/>
      <c r="B95" s="644"/>
      <c r="C95" s="644">
        <f t="shared" si="5"/>
        <v>15</v>
      </c>
      <c r="D95" s="643"/>
      <c r="E95" s="658" t="b">
        <v>0</v>
      </c>
      <c r="F95" s="646" t="str">
        <f t="shared" si="2"/>
        <v>ADEUDA</v>
      </c>
      <c r="G95" s="340" t="s">
        <v>2278</v>
      </c>
      <c r="H95" s="646" t="str">
        <f t="shared" si="3"/>
        <v>VENCIDA</v>
      </c>
      <c r="I95" s="647">
        <f t="shared" si="4"/>
        <v>46152</v>
      </c>
    </row>
    <row r="96">
      <c r="A96" s="644"/>
      <c r="B96" s="644"/>
      <c r="C96" s="644">
        <f t="shared" si="5"/>
        <v>15</v>
      </c>
      <c r="D96" s="643"/>
      <c r="E96" s="658" t="b">
        <v>0</v>
      </c>
      <c r="F96" s="646" t="str">
        <f t="shared" si="2"/>
        <v>ADEUDA</v>
      </c>
      <c r="G96" s="340" t="s">
        <v>2278</v>
      </c>
      <c r="H96" s="646" t="str">
        <f t="shared" si="3"/>
        <v>VENCIDA</v>
      </c>
      <c r="I96" s="647">
        <f t="shared" si="4"/>
        <v>46152</v>
      </c>
    </row>
    <row r="97">
      <c r="A97" s="644"/>
      <c r="B97" s="644"/>
      <c r="C97" s="644">
        <f t="shared" si="5"/>
        <v>15</v>
      </c>
      <c r="D97" s="643"/>
      <c r="E97" s="658" t="b">
        <v>0</v>
      </c>
      <c r="F97" s="646" t="str">
        <f t="shared" si="2"/>
        <v>ADEUDA</v>
      </c>
      <c r="G97" s="340" t="s">
        <v>2278</v>
      </c>
      <c r="H97" s="646" t="str">
        <f t="shared" si="3"/>
        <v>VENCIDA</v>
      </c>
      <c r="I97" s="647">
        <f t="shared" si="4"/>
        <v>46152</v>
      </c>
    </row>
    <row r="98">
      <c r="A98" s="644"/>
      <c r="B98" s="644"/>
      <c r="C98" s="644">
        <f t="shared" si="5"/>
        <v>15</v>
      </c>
      <c r="D98" s="643"/>
      <c r="E98" s="658" t="b">
        <v>0</v>
      </c>
      <c r="F98" s="646" t="str">
        <f t="shared" si="2"/>
        <v>ADEUDA</v>
      </c>
      <c r="G98" s="340" t="s">
        <v>2278</v>
      </c>
      <c r="H98" s="646" t="str">
        <f t="shared" si="3"/>
        <v>VENCIDA</v>
      </c>
      <c r="I98" s="647">
        <f t="shared" si="4"/>
        <v>46152</v>
      </c>
    </row>
    <row r="99">
      <c r="A99" s="644"/>
      <c r="B99" s="644"/>
      <c r="C99" s="644">
        <f t="shared" si="5"/>
        <v>15</v>
      </c>
      <c r="D99" s="643"/>
      <c r="E99" s="658" t="b">
        <v>0</v>
      </c>
      <c r="F99" s="646" t="str">
        <f t="shared" si="2"/>
        <v>ADEUDA</v>
      </c>
      <c r="G99" s="340" t="s">
        <v>2278</v>
      </c>
      <c r="H99" s="646" t="str">
        <f t="shared" si="3"/>
        <v>VENCIDA</v>
      </c>
      <c r="I99" s="647">
        <f t="shared" si="4"/>
        <v>46152</v>
      </c>
    </row>
    <row r="100">
      <c r="A100" s="644"/>
      <c r="B100" s="644"/>
      <c r="C100" s="644">
        <f t="shared" si="5"/>
        <v>15</v>
      </c>
      <c r="D100" s="643"/>
      <c r="E100" s="658" t="b">
        <v>0</v>
      </c>
      <c r="F100" s="646" t="str">
        <f t="shared" si="2"/>
        <v>ADEUDA</v>
      </c>
      <c r="G100" s="340" t="s">
        <v>2278</v>
      </c>
      <c r="H100" s="646" t="str">
        <f t="shared" si="3"/>
        <v>VENCIDA</v>
      </c>
      <c r="I100" s="647">
        <f t="shared" si="4"/>
        <v>46152</v>
      </c>
    </row>
    <row r="101">
      <c r="A101" s="644"/>
      <c r="B101" s="644"/>
      <c r="C101" s="644">
        <f t="shared" si="5"/>
        <v>15</v>
      </c>
      <c r="D101" s="643"/>
      <c r="E101" s="658" t="b">
        <v>0</v>
      </c>
      <c r="F101" s="646" t="str">
        <f t="shared" si="2"/>
        <v>ADEUDA</v>
      </c>
      <c r="G101" s="340" t="s">
        <v>2278</v>
      </c>
      <c r="H101" s="646" t="str">
        <f t="shared" si="3"/>
        <v>VENCIDA</v>
      </c>
      <c r="I101" s="647">
        <f t="shared" si="4"/>
        <v>46152</v>
      </c>
    </row>
    <row r="102">
      <c r="A102" s="644"/>
      <c r="B102" s="644"/>
      <c r="C102" s="644">
        <f t="shared" si="5"/>
        <v>15</v>
      </c>
      <c r="D102" s="643"/>
      <c r="E102" s="658" t="b">
        <v>0</v>
      </c>
      <c r="F102" s="646" t="str">
        <f t="shared" si="2"/>
        <v>ADEUDA</v>
      </c>
      <c r="G102" s="340" t="s">
        <v>2278</v>
      </c>
      <c r="H102" s="646" t="str">
        <f t="shared" si="3"/>
        <v>VENCIDA</v>
      </c>
      <c r="I102" s="647">
        <f t="shared" si="4"/>
        <v>46152</v>
      </c>
    </row>
    <row r="103">
      <c r="A103" s="644"/>
      <c r="B103" s="644"/>
      <c r="C103" s="644">
        <f t="shared" si="5"/>
        <v>15</v>
      </c>
      <c r="D103" s="643"/>
      <c r="E103" s="658" t="b">
        <v>0</v>
      </c>
      <c r="F103" s="646" t="str">
        <f t="shared" si="2"/>
        <v>ADEUDA</v>
      </c>
      <c r="G103" s="340" t="s">
        <v>2278</v>
      </c>
      <c r="H103" s="646" t="str">
        <f t="shared" si="3"/>
        <v>VENCIDA</v>
      </c>
      <c r="I103" s="647">
        <f t="shared" si="4"/>
        <v>46152</v>
      </c>
    </row>
    <row r="104">
      <c r="A104" s="644"/>
      <c r="B104" s="644"/>
      <c r="C104" s="644">
        <f t="shared" si="5"/>
        <v>15</v>
      </c>
      <c r="D104" s="643"/>
      <c r="E104" s="658" t="b">
        <v>0</v>
      </c>
      <c r="F104" s="646" t="str">
        <f t="shared" si="2"/>
        <v>ADEUDA</v>
      </c>
      <c r="G104" s="340" t="s">
        <v>2278</v>
      </c>
      <c r="H104" s="646" t="str">
        <f t="shared" si="3"/>
        <v>VENCIDA</v>
      </c>
      <c r="I104" s="647">
        <f t="shared" si="4"/>
        <v>46152</v>
      </c>
    </row>
    <row r="105">
      <c r="A105" s="644"/>
      <c r="B105" s="644"/>
      <c r="C105" s="644">
        <f t="shared" si="5"/>
        <v>15</v>
      </c>
      <c r="D105" s="643"/>
      <c r="E105" s="658" t="b">
        <v>0</v>
      </c>
      <c r="F105" s="646" t="str">
        <f t="shared" si="2"/>
        <v>ADEUDA</v>
      </c>
      <c r="G105" s="340" t="s">
        <v>2278</v>
      </c>
      <c r="H105" s="646" t="str">
        <f t="shared" si="3"/>
        <v>VENCIDA</v>
      </c>
      <c r="I105" s="647">
        <f t="shared" si="4"/>
        <v>46152</v>
      </c>
    </row>
    <row r="106">
      <c r="A106" s="644"/>
      <c r="B106" s="644"/>
      <c r="C106" s="644">
        <f t="shared" si="5"/>
        <v>15</v>
      </c>
      <c r="D106" s="643"/>
      <c r="E106" s="658" t="b">
        <v>0</v>
      </c>
      <c r="F106" s="646" t="str">
        <f t="shared" si="2"/>
        <v>ADEUDA</v>
      </c>
      <c r="G106" s="340" t="s">
        <v>2278</v>
      </c>
      <c r="H106" s="646" t="str">
        <f t="shared" si="3"/>
        <v>VENCIDA</v>
      </c>
      <c r="I106" s="647">
        <f t="shared" si="4"/>
        <v>46152</v>
      </c>
    </row>
    <row r="107">
      <c r="A107" s="644"/>
      <c r="B107" s="644"/>
      <c r="C107" s="644">
        <f t="shared" si="5"/>
        <v>15</v>
      </c>
      <c r="D107" s="643"/>
      <c r="E107" s="658" t="b">
        <v>0</v>
      </c>
      <c r="F107" s="646" t="str">
        <f t="shared" si="2"/>
        <v>ADEUDA</v>
      </c>
      <c r="G107" s="340" t="s">
        <v>2278</v>
      </c>
      <c r="H107" s="646" t="str">
        <f t="shared" si="3"/>
        <v>VENCIDA</v>
      </c>
      <c r="I107" s="647">
        <f t="shared" si="4"/>
        <v>46152</v>
      </c>
    </row>
    <row r="108">
      <c r="A108" s="644"/>
      <c r="B108" s="644"/>
      <c r="C108" s="644">
        <f t="shared" si="5"/>
        <v>15</v>
      </c>
      <c r="D108" s="643"/>
      <c r="E108" s="658" t="b">
        <v>0</v>
      </c>
      <c r="F108" s="646" t="str">
        <f t="shared" si="2"/>
        <v>ADEUDA</v>
      </c>
      <c r="G108" s="340" t="s">
        <v>2278</v>
      </c>
      <c r="H108" s="646" t="str">
        <f t="shared" si="3"/>
        <v>VENCIDA</v>
      </c>
      <c r="I108" s="647">
        <f t="shared" si="4"/>
        <v>46152</v>
      </c>
    </row>
    <row r="109">
      <c r="A109" s="644"/>
      <c r="B109" s="644"/>
      <c r="C109" s="644">
        <f t="shared" si="5"/>
        <v>15</v>
      </c>
      <c r="D109" s="643"/>
      <c r="E109" s="658" t="b">
        <v>0</v>
      </c>
      <c r="F109" s="646" t="str">
        <f t="shared" si="2"/>
        <v>ADEUDA</v>
      </c>
      <c r="G109" s="340" t="s">
        <v>2278</v>
      </c>
      <c r="H109" s="646" t="str">
        <f t="shared" si="3"/>
        <v>VENCIDA</v>
      </c>
      <c r="I109" s="647">
        <f t="shared" si="4"/>
        <v>46152</v>
      </c>
    </row>
    <row r="110">
      <c r="A110" s="644"/>
      <c r="B110" s="644"/>
      <c r="C110" s="644">
        <f t="shared" si="5"/>
        <v>15</v>
      </c>
      <c r="D110" s="643"/>
      <c r="E110" s="658" t="b">
        <v>0</v>
      </c>
      <c r="F110" s="646" t="str">
        <f t="shared" si="2"/>
        <v>ADEUDA</v>
      </c>
      <c r="G110" s="340" t="s">
        <v>2278</v>
      </c>
      <c r="H110" s="646" t="str">
        <f t="shared" si="3"/>
        <v>VENCIDA</v>
      </c>
      <c r="I110" s="647">
        <f t="shared" si="4"/>
        <v>46152</v>
      </c>
    </row>
    <row r="111">
      <c r="A111" s="644"/>
      <c r="B111" s="644"/>
      <c r="C111" s="644">
        <f t="shared" si="5"/>
        <v>15</v>
      </c>
      <c r="D111" s="643"/>
      <c r="E111" s="658" t="b">
        <v>0</v>
      </c>
      <c r="F111" s="646" t="str">
        <f t="shared" si="2"/>
        <v>ADEUDA</v>
      </c>
      <c r="G111" s="340" t="s">
        <v>2278</v>
      </c>
      <c r="H111" s="646" t="str">
        <f t="shared" si="3"/>
        <v>VENCIDA</v>
      </c>
      <c r="I111" s="647">
        <f t="shared" si="4"/>
        <v>46152</v>
      </c>
    </row>
    <row r="112">
      <c r="A112" s="644"/>
      <c r="B112" s="644"/>
      <c r="C112" s="644">
        <f t="shared" si="5"/>
        <v>15</v>
      </c>
      <c r="D112" s="643"/>
      <c r="E112" s="658" t="b">
        <v>0</v>
      </c>
      <c r="F112" s="646" t="str">
        <f t="shared" si="2"/>
        <v>ADEUDA</v>
      </c>
      <c r="G112" s="340" t="s">
        <v>2278</v>
      </c>
      <c r="H112" s="646" t="str">
        <f t="shared" si="3"/>
        <v>VENCIDA</v>
      </c>
      <c r="I112" s="647">
        <f t="shared" si="4"/>
        <v>46152</v>
      </c>
    </row>
    <row r="113">
      <c r="A113" s="644"/>
      <c r="B113" s="644"/>
      <c r="C113" s="644">
        <f t="shared" si="5"/>
        <v>15</v>
      </c>
      <c r="D113" s="643"/>
      <c r="E113" s="658" t="b">
        <v>0</v>
      </c>
      <c r="F113" s="646" t="str">
        <f t="shared" si="2"/>
        <v>ADEUDA</v>
      </c>
      <c r="G113" s="340" t="s">
        <v>2278</v>
      </c>
      <c r="H113" s="646" t="str">
        <f t="shared" si="3"/>
        <v>VENCIDA</v>
      </c>
      <c r="I113" s="647">
        <f t="shared" si="4"/>
        <v>46152</v>
      </c>
    </row>
    <row r="114">
      <c r="A114" s="644"/>
      <c r="B114" s="644"/>
      <c r="C114" s="644">
        <f t="shared" si="5"/>
        <v>15</v>
      </c>
      <c r="D114" s="643"/>
      <c r="E114" s="658" t="b">
        <v>0</v>
      </c>
      <c r="F114" s="646" t="str">
        <f t="shared" si="2"/>
        <v>ADEUDA</v>
      </c>
      <c r="G114" s="340" t="s">
        <v>2278</v>
      </c>
      <c r="H114" s="646" t="str">
        <f t="shared" si="3"/>
        <v>VENCIDA</v>
      </c>
      <c r="I114" s="647">
        <f t="shared" si="4"/>
        <v>46152</v>
      </c>
    </row>
    <row r="115">
      <c r="A115" s="644"/>
      <c r="B115" s="644"/>
      <c r="C115" s="644">
        <f t="shared" si="5"/>
        <v>15</v>
      </c>
      <c r="D115" s="643"/>
      <c r="E115" s="658" t="b">
        <v>0</v>
      </c>
      <c r="F115" s="646" t="str">
        <f t="shared" si="2"/>
        <v>ADEUDA</v>
      </c>
      <c r="G115" s="340" t="s">
        <v>2278</v>
      </c>
      <c r="H115" s="646" t="str">
        <f t="shared" si="3"/>
        <v>VENCIDA</v>
      </c>
      <c r="I115" s="647">
        <f t="shared" si="4"/>
        <v>46152</v>
      </c>
    </row>
    <row r="116">
      <c r="A116" s="644"/>
      <c r="B116" s="644"/>
      <c r="C116" s="644">
        <f t="shared" si="5"/>
        <v>15</v>
      </c>
      <c r="D116" s="643"/>
      <c r="E116" s="658" t="b">
        <v>0</v>
      </c>
      <c r="F116" s="646" t="str">
        <f t="shared" si="2"/>
        <v>ADEUDA</v>
      </c>
      <c r="G116" s="340" t="s">
        <v>2278</v>
      </c>
      <c r="H116" s="646" t="str">
        <f t="shared" si="3"/>
        <v>VENCIDA</v>
      </c>
      <c r="I116" s="647">
        <f t="shared" si="4"/>
        <v>46152</v>
      </c>
    </row>
    <row r="117">
      <c r="A117" s="644"/>
      <c r="B117" s="644"/>
      <c r="C117" s="644">
        <f t="shared" si="5"/>
        <v>15</v>
      </c>
      <c r="D117" s="643"/>
      <c r="E117" s="658" t="b">
        <v>0</v>
      </c>
      <c r="F117" s="646" t="str">
        <f t="shared" si="2"/>
        <v>ADEUDA</v>
      </c>
      <c r="G117" s="340" t="s">
        <v>2278</v>
      </c>
      <c r="H117" s="646" t="str">
        <f t="shared" si="3"/>
        <v>VENCIDA</v>
      </c>
      <c r="I117" s="647">
        <f t="shared" si="4"/>
        <v>46152</v>
      </c>
    </row>
    <row r="118">
      <c r="A118" s="644"/>
      <c r="B118" s="644"/>
      <c r="C118" s="644">
        <f t="shared" si="5"/>
        <v>15</v>
      </c>
      <c r="D118" s="643"/>
      <c r="E118" s="658" t="b">
        <v>0</v>
      </c>
      <c r="F118" s="646" t="str">
        <f t="shared" si="2"/>
        <v>ADEUDA</v>
      </c>
      <c r="G118" s="340" t="s">
        <v>2278</v>
      </c>
      <c r="H118" s="646" t="str">
        <f t="shared" si="3"/>
        <v>VENCIDA</v>
      </c>
      <c r="I118" s="647">
        <f t="shared" si="4"/>
        <v>46152</v>
      </c>
    </row>
    <row r="119">
      <c r="A119" s="644"/>
      <c r="B119" s="644"/>
      <c r="C119" s="644">
        <f t="shared" si="5"/>
        <v>15</v>
      </c>
      <c r="D119" s="643"/>
      <c r="E119" s="658" t="b">
        <v>0</v>
      </c>
      <c r="F119" s="646" t="str">
        <f t="shared" si="2"/>
        <v>ADEUDA</v>
      </c>
      <c r="G119" s="340" t="s">
        <v>2278</v>
      </c>
      <c r="H119" s="646" t="str">
        <f t="shared" si="3"/>
        <v>VENCIDA</v>
      </c>
      <c r="I119" s="647">
        <f t="shared" si="4"/>
        <v>46152</v>
      </c>
    </row>
    <row r="120">
      <c r="A120" s="644"/>
      <c r="B120" s="644"/>
      <c r="C120" s="644">
        <f t="shared" si="5"/>
        <v>15</v>
      </c>
      <c r="D120" s="643"/>
      <c r="E120" s="658" t="b">
        <v>0</v>
      </c>
      <c r="F120" s="646" t="str">
        <f t="shared" si="2"/>
        <v>ADEUDA</v>
      </c>
      <c r="G120" s="340" t="s">
        <v>2278</v>
      </c>
      <c r="H120" s="646" t="str">
        <f t="shared" si="3"/>
        <v>VENCIDA</v>
      </c>
      <c r="I120" s="647">
        <f t="shared" si="4"/>
        <v>46152</v>
      </c>
    </row>
    <row r="121">
      <c r="A121" s="644"/>
      <c r="B121" s="644"/>
      <c r="C121" s="644">
        <f t="shared" si="5"/>
        <v>15</v>
      </c>
      <c r="D121" s="643"/>
      <c r="E121" s="658" t="b">
        <v>0</v>
      </c>
      <c r="F121" s="646" t="str">
        <f t="shared" si="2"/>
        <v>ADEUDA</v>
      </c>
      <c r="G121" s="340" t="s">
        <v>2278</v>
      </c>
      <c r="H121" s="646" t="str">
        <f t="shared" si="3"/>
        <v>VENCIDA</v>
      </c>
      <c r="I121" s="647">
        <f t="shared" si="4"/>
        <v>46152</v>
      </c>
    </row>
    <row r="122">
      <c r="A122" s="644"/>
      <c r="B122" s="644"/>
      <c r="C122" s="644">
        <f t="shared" si="5"/>
        <v>15</v>
      </c>
      <c r="D122" s="643"/>
      <c r="E122" s="658" t="b">
        <v>0</v>
      </c>
      <c r="F122" s="646" t="str">
        <f t="shared" si="2"/>
        <v>ADEUDA</v>
      </c>
      <c r="G122" s="340" t="s">
        <v>2278</v>
      </c>
      <c r="H122" s="646" t="str">
        <f t="shared" si="3"/>
        <v>VENCIDA</v>
      </c>
      <c r="I122" s="647">
        <f t="shared" si="4"/>
        <v>46152</v>
      </c>
    </row>
    <row r="123">
      <c r="A123" s="644"/>
      <c r="B123" s="644"/>
      <c r="C123" s="644">
        <f t="shared" si="5"/>
        <v>15</v>
      </c>
      <c r="D123" s="643"/>
      <c r="E123" s="658" t="b">
        <v>0</v>
      </c>
      <c r="F123" s="646" t="str">
        <f t="shared" si="2"/>
        <v>ADEUDA</v>
      </c>
      <c r="G123" s="340" t="s">
        <v>2278</v>
      </c>
      <c r="H123" s="646" t="str">
        <f t="shared" si="3"/>
        <v>VENCIDA</v>
      </c>
      <c r="I123" s="647">
        <f t="shared" si="4"/>
        <v>46152</v>
      </c>
    </row>
    <row r="124">
      <c r="A124" s="644"/>
      <c r="B124" s="644"/>
      <c r="C124" s="644">
        <f t="shared" si="5"/>
        <v>15</v>
      </c>
      <c r="D124" s="643"/>
      <c r="E124" s="658" t="b">
        <v>0</v>
      </c>
      <c r="F124" s="646" t="str">
        <f t="shared" si="2"/>
        <v>ADEUDA</v>
      </c>
      <c r="G124" s="340" t="s">
        <v>2278</v>
      </c>
      <c r="H124" s="646" t="str">
        <f t="shared" si="3"/>
        <v>VENCIDA</v>
      </c>
      <c r="I124" s="647">
        <f t="shared" si="4"/>
        <v>46152</v>
      </c>
    </row>
    <row r="125">
      <c r="A125" s="644"/>
      <c r="B125" s="644"/>
      <c r="C125" s="644">
        <f t="shared" si="5"/>
        <v>15</v>
      </c>
      <c r="D125" s="643"/>
      <c r="E125" s="658" t="b">
        <v>0</v>
      </c>
      <c r="F125" s="646" t="str">
        <f t="shared" si="2"/>
        <v>ADEUDA</v>
      </c>
      <c r="G125" s="340" t="s">
        <v>2278</v>
      </c>
      <c r="H125" s="646" t="str">
        <f t="shared" si="3"/>
        <v>VENCIDA</v>
      </c>
      <c r="I125" s="647">
        <f t="shared" si="4"/>
        <v>46152</v>
      </c>
    </row>
    <row r="126">
      <c r="A126" s="644"/>
      <c r="B126" s="644"/>
      <c r="C126" s="644">
        <f t="shared" si="5"/>
        <v>15</v>
      </c>
      <c r="D126" s="643"/>
      <c r="E126" s="658" t="b">
        <v>0</v>
      </c>
      <c r="F126" s="646" t="str">
        <f t="shared" si="2"/>
        <v>ADEUDA</v>
      </c>
      <c r="G126" s="340" t="s">
        <v>2278</v>
      </c>
      <c r="H126" s="646" t="str">
        <f t="shared" si="3"/>
        <v>VENCIDA</v>
      </c>
      <c r="I126" s="647">
        <f t="shared" si="4"/>
        <v>46152</v>
      </c>
    </row>
    <row r="127">
      <c r="A127" s="644"/>
      <c r="B127" s="644"/>
      <c r="C127" s="644">
        <f t="shared" si="5"/>
        <v>15</v>
      </c>
      <c r="D127" s="643"/>
      <c r="E127" s="658" t="b">
        <v>0</v>
      </c>
      <c r="F127" s="646" t="str">
        <f t="shared" si="2"/>
        <v>ADEUDA</v>
      </c>
      <c r="G127" s="340" t="s">
        <v>2278</v>
      </c>
      <c r="H127" s="646" t="str">
        <f t="shared" si="3"/>
        <v>VENCIDA</v>
      </c>
      <c r="I127" s="647">
        <f t="shared" si="4"/>
        <v>46152</v>
      </c>
    </row>
    <row r="128">
      <c r="A128" s="644"/>
      <c r="B128" s="644"/>
      <c r="C128" s="644">
        <f t="shared" si="5"/>
        <v>15</v>
      </c>
      <c r="D128" s="643"/>
      <c r="E128" s="658" t="b">
        <v>0</v>
      </c>
      <c r="F128" s="646" t="str">
        <f t="shared" si="2"/>
        <v>ADEUDA</v>
      </c>
      <c r="G128" s="340" t="s">
        <v>2278</v>
      </c>
      <c r="H128" s="646" t="str">
        <f t="shared" si="3"/>
        <v>VENCIDA</v>
      </c>
      <c r="I128" s="647">
        <f t="shared" si="4"/>
        <v>46152</v>
      </c>
    </row>
    <row r="129">
      <c r="A129" s="644"/>
      <c r="B129" s="644"/>
      <c r="C129" s="644">
        <f t="shared" si="5"/>
        <v>15</v>
      </c>
      <c r="D129" s="643"/>
      <c r="E129" s="658" t="b">
        <v>0</v>
      </c>
      <c r="F129" s="646" t="str">
        <f t="shared" si="2"/>
        <v>ADEUDA</v>
      </c>
      <c r="G129" s="340" t="s">
        <v>2278</v>
      </c>
      <c r="H129" s="646" t="str">
        <f t="shared" si="3"/>
        <v>VENCIDA</v>
      </c>
      <c r="I129" s="647">
        <f t="shared" si="4"/>
        <v>46152</v>
      </c>
    </row>
    <row r="130">
      <c r="A130" s="644"/>
      <c r="B130" s="644"/>
      <c r="C130" s="644">
        <f t="shared" si="5"/>
        <v>15</v>
      </c>
      <c r="D130" s="643"/>
      <c r="E130" s="658" t="b">
        <v>0</v>
      </c>
      <c r="F130" s="646" t="str">
        <f t="shared" si="2"/>
        <v>ADEUDA</v>
      </c>
      <c r="G130" s="340" t="s">
        <v>2278</v>
      </c>
      <c r="H130" s="646" t="str">
        <f t="shared" si="3"/>
        <v>VENCIDA</v>
      </c>
      <c r="I130" s="647">
        <f t="shared" si="4"/>
        <v>46152</v>
      </c>
    </row>
    <row r="131">
      <c r="A131" s="644"/>
      <c r="B131" s="644"/>
      <c r="C131" s="644">
        <f t="shared" si="5"/>
        <v>15</v>
      </c>
      <c r="D131" s="643"/>
      <c r="E131" s="658" t="b">
        <v>0</v>
      </c>
      <c r="F131" s="646" t="str">
        <f t="shared" si="2"/>
        <v>ADEUDA</v>
      </c>
      <c r="G131" s="340" t="s">
        <v>2278</v>
      </c>
      <c r="H131" s="646" t="str">
        <f t="shared" si="3"/>
        <v>VENCIDA</v>
      </c>
      <c r="I131" s="647">
        <f t="shared" si="4"/>
        <v>46152</v>
      </c>
    </row>
    <row r="132">
      <c r="A132" s="644"/>
      <c r="B132" s="644"/>
      <c r="C132" s="644">
        <f t="shared" si="5"/>
        <v>15</v>
      </c>
      <c r="D132" s="643"/>
      <c r="E132" s="645" t="b">
        <v>1</v>
      </c>
      <c r="F132" s="646" t="str">
        <f t="shared" si="2"/>
        <v>PAGADO</v>
      </c>
      <c r="G132" s="340" t="s">
        <v>2278</v>
      </c>
      <c r="H132" s="646" t="str">
        <f t="shared" si="3"/>
        <v>VENCIDA</v>
      </c>
      <c r="I132" s="647">
        <f t="shared" si="4"/>
        <v>46152</v>
      </c>
    </row>
    <row r="134">
      <c r="C134" s="771"/>
    </row>
    <row r="135">
      <c r="C135" s="772" t="s">
        <v>55</v>
      </c>
      <c r="D135" s="3">
        <f>SUMIF(F4:F132,C135,D4:D132)</f>
        <v>0</v>
      </c>
    </row>
    <row r="136">
      <c r="C136" s="773" t="s">
        <v>527</v>
      </c>
      <c r="D136" s="3">
        <f>SUMIF(F4:F132,C136,D4:D132)</f>
        <v>5468464.88</v>
      </c>
    </row>
    <row r="137">
      <c r="C137" s="697" t="s">
        <v>28</v>
      </c>
      <c r="D137" s="3">
        <f>D135+D136</f>
        <v>5468464.88</v>
      </c>
    </row>
  </sheetData>
  <mergeCells count="3">
    <mergeCell ref="A1:H1"/>
    <mergeCell ref="A2:I2"/>
    <mergeCell ref="E3:F3"/>
  </mergeCells>
  <conditionalFormatting sqref="F4:F132">
    <cfRule type="expression" dxfId="1" priority="1">
      <formula>F4="PAGADO"</formula>
    </cfRule>
  </conditionalFormatting>
  <conditionalFormatting sqref="F4:F132">
    <cfRule type="expression" dxfId="2" priority="2">
      <formula>F4="ADEUDA"</formula>
    </cfRule>
  </conditionalFormatting>
  <conditionalFormatting sqref="H4:H132">
    <cfRule type="cellIs" dxfId="3" priority="3" operator="equal">
      <formula>"VENCIDA"</formula>
    </cfRule>
  </conditionalFormatting>
  <conditionalFormatting sqref="H4:H132">
    <cfRule type="cellIs" dxfId="4" priority="4" operator="equal">
      <formula>"VIGENTE"</formula>
    </cfRule>
  </conditionalFormatting>
  <conditionalFormatting sqref="H4:H132">
    <cfRule type="cellIs" dxfId="2" priority="5" operator="equal">
      <formula>"VENCE HOY"</formula>
    </cfRule>
  </conditionalFormatting>
  <dataValidations>
    <dataValidation type="list" allowBlank="1" showErrorMessage="1" sqref="G4:G132">
      <formula1>"transferencia,mercado pago,efectivo"</formula1>
    </dataValidation>
  </dataValidation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7.88"/>
    <col customWidth="1" min="7" max="7" width="17.88"/>
    <col customWidth="1" min="8" max="8" width="14.0"/>
  </cols>
  <sheetData>
    <row r="1">
      <c r="A1" s="638" t="s">
        <v>2512</v>
      </c>
      <c r="B1" s="636"/>
      <c r="C1" s="636"/>
      <c r="D1" s="636"/>
      <c r="E1" s="636"/>
      <c r="F1" s="636"/>
      <c r="G1" s="636"/>
      <c r="H1" s="636"/>
      <c r="I1" s="252"/>
      <c r="J1" s="765" t="s">
        <v>2393</v>
      </c>
      <c r="K1" s="765"/>
    </row>
    <row r="2">
      <c r="A2" s="639" t="s">
        <v>2395</v>
      </c>
      <c r="B2" s="639" t="s">
        <v>9</v>
      </c>
      <c r="C2" s="639" t="s">
        <v>2396</v>
      </c>
      <c r="D2" s="639" t="s">
        <v>2269</v>
      </c>
      <c r="E2" s="640" t="s">
        <v>2270</v>
      </c>
      <c r="F2" s="637"/>
      <c r="G2" s="639" t="s">
        <v>2271</v>
      </c>
      <c r="H2" s="641" t="s">
        <v>2272</v>
      </c>
      <c r="I2" s="641" t="s">
        <v>2273</v>
      </c>
      <c r="J2" s="768" t="s">
        <v>29</v>
      </c>
      <c r="K2" s="769"/>
    </row>
    <row r="3">
      <c r="A3" s="643">
        <v>1052.0</v>
      </c>
      <c r="B3" s="644">
        <v>45736.0</v>
      </c>
      <c r="C3" s="644">
        <f>B3+7</f>
        <v>45743</v>
      </c>
      <c r="D3" s="643">
        <v>120408.09</v>
      </c>
      <c r="E3" s="645" t="b">
        <v>1</v>
      </c>
      <c r="F3" s="646" t="str">
        <f t="shared" ref="F3:F131" si="1">IF(E3,"PAGADO","ADEUDA")</f>
        <v>PAGADO</v>
      </c>
      <c r="G3" s="340" t="s">
        <v>2276</v>
      </c>
      <c r="H3" s="646" t="str">
        <f t="shared" ref="H3:H131" si="2">IF(C3&lt;TODAY(),"VENCIDA",IF(C3=TODAY(),"VENCE HOY",IF(C3&gt;TODAY(),"VIGENTE")))</f>
        <v>VENCIDA</v>
      </c>
      <c r="I3" s="647">
        <f t="shared" ref="I3:I131" si="3">TODAY()-C3</f>
        <v>424</v>
      </c>
      <c r="J3" s="768" t="s">
        <v>31</v>
      </c>
      <c r="K3" s="769"/>
    </row>
    <row r="4">
      <c r="A4" s="643">
        <v>1170.0</v>
      </c>
      <c r="B4" s="644">
        <v>45776.0</v>
      </c>
      <c r="C4" s="644"/>
      <c r="D4" s="643">
        <v>170792.47</v>
      </c>
      <c r="E4" s="645" t="b">
        <v>1</v>
      </c>
      <c r="F4" s="646" t="str">
        <f t="shared" si="1"/>
        <v>PAGADO</v>
      </c>
      <c r="G4" s="340" t="s">
        <v>2278</v>
      </c>
      <c r="H4" s="646" t="str">
        <f t="shared" si="2"/>
        <v>VENCIDA</v>
      </c>
      <c r="I4" s="647">
        <f t="shared" si="3"/>
        <v>46167</v>
      </c>
      <c r="J4" s="768" t="s">
        <v>35</v>
      </c>
      <c r="K4" s="770"/>
    </row>
    <row r="5">
      <c r="A5" s="643"/>
      <c r="B5" s="644"/>
      <c r="C5" s="644"/>
      <c r="D5" s="643"/>
      <c r="E5" s="645" t="b">
        <v>0</v>
      </c>
      <c r="F5" s="646" t="str">
        <f t="shared" si="1"/>
        <v>ADEUDA</v>
      </c>
      <c r="G5" s="340" t="s">
        <v>2278</v>
      </c>
      <c r="H5" s="646" t="str">
        <f t="shared" si="2"/>
        <v>VENCIDA</v>
      </c>
      <c r="I5" s="647">
        <f t="shared" si="3"/>
        <v>46167</v>
      </c>
      <c r="J5" s="768" t="s">
        <v>37</v>
      </c>
      <c r="K5" s="770"/>
    </row>
    <row r="6">
      <c r="A6" s="643"/>
      <c r="B6" s="644"/>
      <c r="C6" s="644" t="str">
        <f t="shared" ref="C6:C131" si="4">B6</f>
        <v/>
      </c>
      <c r="D6" s="643"/>
      <c r="E6" s="645" t="b">
        <v>0</v>
      </c>
      <c r="F6" s="646" t="str">
        <f t="shared" si="1"/>
        <v>ADEUDA</v>
      </c>
      <c r="G6" s="340" t="s">
        <v>2278</v>
      </c>
      <c r="H6" s="646" t="str">
        <f t="shared" si="2"/>
        <v>VENCIDA</v>
      </c>
      <c r="I6" s="647">
        <f t="shared" si="3"/>
        <v>46167</v>
      </c>
      <c r="J6" s="768" t="s">
        <v>39</v>
      </c>
      <c r="K6" s="770"/>
    </row>
    <row r="7">
      <c r="A7" s="643"/>
      <c r="B7" s="644"/>
      <c r="C7" s="644" t="str">
        <f t="shared" si="4"/>
        <v/>
      </c>
      <c r="D7" s="643"/>
      <c r="E7" s="658" t="b">
        <v>0</v>
      </c>
      <c r="F7" s="646" t="str">
        <f t="shared" si="1"/>
        <v>ADEUDA</v>
      </c>
      <c r="G7" s="340" t="s">
        <v>2278</v>
      </c>
      <c r="H7" s="646" t="str">
        <f t="shared" si="2"/>
        <v>VENCIDA</v>
      </c>
      <c r="I7" s="647">
        <f t="shared" si="3"/>
        <v>46167</v>
      </c>
      <c r="J7" s="768" t="s">
        <v>41</v>
      </c>
      <c r="K7" s="770"/>
    </row>
    <row r="8">
      <c r="A8" s="644"/>
      <c r="B8" s="644"/>
      <c r="C8" s="644" t="str">
        <f t="shared" si="4"/>
        <v/>
      </c>
      <c r="D8" s="643"/>
      <c r="E8" s="658" t="b">
        <v>0</v>
      </c>
      <c r="F8" s="646" t="str">
        <f t="shared" si="1"/>
        <v>ADEUDA</v>
      </c>
      <c r="G8" s="340" t="s">
        <v>2278</v>
      </c>
      <c r="H8" s="646" t="str">
        <f t="shared" si="2"/>
        <v>VENCIDA</v>
      </c>
      <c r="I8" s="647">
        <f t="shared" si="3"/>
        <v>46167</v>
      </c>
      <c r="J8" s="768" t="s">
        <v>42</v>
      </c>
      <c r="K8" s="770"/>
    </row>
    <row r="9">
      <c r="A9" s="644"/>
      <c r="B9" s="644"/>
      <c r="C9" s="644" t="str">
        <f t="shared" si="4"/>
        <v/>
      </c>
      <c r="D9" s="643"/>
      <c r="E9" s="658" t="b">
        <v>0</v>
      </c>
      <c r="F9" s="646" t="str">
        <f t="shared" si="1"/>
        <v>ADEUDA</v>
      </c>
      <c r="G9" s="340" t="s">
        <v>2278</v>
      </c>
      <c r="H9" s="646" t="str">
        <f t="shared" si="2"/>
        <v>VENCIDA</v>
      </c>
      <c r="I9" s="647">
        <f t="shared" si="3"/>
        <v>46167</v>
      </c>
      <c r="J9" s="768" t="s">
        <v>43</v>
      </c>
      <c r="K9" s="770"/>
    </row>
    <row r="10">
      <c r="A10" s="644"/>
      <c r="B10" s="644"/>
      <c r="C10" s="644" t="str">
        <f t="shared" si="4"/>
        <v/>
      </c>
      <c r="D10" s="643"/>
      <c r="E10" s="658" t="b">
        <v>0</v>
      </c>
      <c r="F10" s="646" t="str">
        <f t="shared" si="1"/>
        <v>ADEUDA</v>
      </c>
      <c r="G10" s="340" t="s">
        <v>2278</v>
      </c>
      <c r="H10" s="646" t="str">
        <f t="shared" si="2"/>
        <v>VENCIDA</v>
      </c>
      <c r="I10" s="647">
        <f t="shared" si="3"/>
        <v>46167</v>
      </c>
      <c r="J10" s="768" t="s">
        <v>45</v>
      </c>
      <c r="K10" s="770"/>
    </row>
    <row r="11">
      <c r="A11" s="644"/>
      <c r="B11" s="644"/>
      <c r="C11" s="644" t="str">
        <f t="shared" si="4"/>
        <v/>
      </c>
      <c r="D11" s="643"/>
      <c r="E11" s="658" t="b">
        <v>0</v>
      </c>
      <c r="F11" s="646" t="str">
        <f t="shared" si="1"/>
        <v>ADEUDA</v>
      </c>
      <c r="G11" s="340" t="s">
        <v>2278</v>
      </c>
      <c r="H11" s="646" t="str">
        <f t="shared" si="2"/>
        <v>VENCIDA</v>
      </c>
      <c r="I11" s="647">
        <f t="shared" si="3"/>
        <v>46167</v>
      </c>
      <c r="J11" s="768" t="s">
        <v>49</v>
      </c>
      <c r="K11" s="770"/>
    </row>
    <row r="12">
      <c r="A12" s="644"/>
      <c r="B12" s="644"/>
      <c r="C12" s="644" t="str">
        <f t="shared" si="4"/>
        <v/>
      </c>
      <c r="D12" s="643"/>
      <c r="E12" s="645" t="b">
        <v>0</v>
      </c>
      <c r="F12" s="646" t="str">
        <f t="shared" si="1"/>
        <v>ADEUDA</v>
      </c>
      <c r="G12" s="340" t="s">
        <v>2278</v>
      </c>
      <c r="H12" s="646" t="str">
        <f t="shared" si="2"/>
        <v>VENCIDA</v>
      </c>
      <c r="I12" s="647">
        <f t="shared" si="3"/>
        <v>46167</v>
      </c>
      <c r="J12" s="768" t="s">
        <v>50</v>
      </c>
      <c r="K12" s="770"/>
    </row>
    <row r="13">
      <c r="A13" s="644"/>
      <c r="B13" s="644"/>
      <c r="C13" s="644" t="str">
        <f t="shared" si="4"/>
        <v/>
      </c>
      <c r="D13" s="643"/>
      <c r="E13" s="658" t="b">
        <v>0</v>
      </c>
      <c r="F13" s="646" t="str">
        <f t="shared" si="1"/>
        <v>ADEUDA</v>
      </c>
      <c r="G13" s="340" t="s">
        <v>2278</v>
      </c>
      <c r="H13" s="646" t="str">
        <f t="shared" si="2"/>
        <v>VENCIDA</v>
      </c>
      <c r="I13" s="647">
        <f t="shared" si="3"/>
        <v>46167</v>
      </c>
      <c r="J13" s="768" t="s">
        <v>51</v>
      </c>
      <c r="K13" s="770"/>
    </row>
    <row r="14">
      <c r="A14" s="644"/>
      <c r="B14" s="644"/>
      <c r="C14" s="644" t="str">
        <f t="shared" si="4"/>
        <v/>
      </c>
      <c r="D14" s="643"/>
      <c r="E14" s="645" t="b">
        <v>0</v>
      </c>
      <c r="F14" s="646" t="str">
        <f t="shared" si="1"/>
        <v>ADEUDA</v>
      </c>
      <c r="G14" s="340" t="s">
        <v>2278</v>
      </c>
      <c r="H14" s="646" t="str">
        <f t="shared" si="2"/>
        <v>VENCIDA</v>
      </c>
      <c r="I14" s="647">
        <f t="shared" si="3"/>
        <v>46167</v>
      </c>
    </row>
    <row r="15">
      <c r="A15" s="644"/>
      <c r="B15" s="644"/>
      <c r="C15" s="644" t="str">
        <f t="shared" si="4"/>
        <v/>
      </c>
      <c r="D15" s="643"/>
      <c r="E15" s="654" t="b">
        <v>0</v>
      </c>
      <c r="F15" s="646" t="str">
        <f t="shared" si="1"/>
        <v>ADEUDA</v>
      </c>
      <c r="G15" s="340" t="s">
        <v>2278</v>
      </c>
      <c r="H15" s="646" t="str">
        <f t="shared" si="2"/>
        <v>VENCIDA</v>
      </c>
      <c r="I15" s="647">
        <f t="shared" si="3"/>
        <v>46167</v>
      </c>
      <c r="K15" s="318"/>
    </row>
    <row r="16">
      <c r="A16" s="644"/>
      <c r="B16" s="644"/>
      <c r="C16" s="644" t="str">
        <f t="shared" si="4"/>
        <v/>
      </c>
      <c r="D16" s="643"/>
      <c r="E16" s="654" t="b">
        <v>0</v>
      </c>
      <c r="F16" s="646" t="str">
        <f t="shared" si="1"/>
        <v>ADEUDA</v>
      </c>
      <c r="G16" s="340" t="s">
        <v>2278</v>
      </c>
      <c r="H16" s="646" t="str">
        <f t="shared" si="2"/>
        <v>VENCIDA</v>
      </c>
      <c r="I16" s="647">
        <f t="shared" si="3"/>
        <v>46167</v>
      </c>
    </row>
    <row r="17">
      <c r="A17" s="644"/>
      <c r="B17" s="644"/>
      <c r="C17" s="644" t="str">
        <f t="shared" si="4"/>
        <v/>
      </c>
      <c r="D17" s="643"/>
      <c r="E17" s="654" t="b">
        <v>0</v>
      </c>
      <c r="F17" s="646" t="str">
        <f t="shared" si="1"/>
        <v>ADEUDA</v>
      </c>
      <c r="G17" s="340" t="s">
        <v>2278</v>
      </c>
      <c r="H17" s="646" t="str">
        <f t="shared" si="2"/>
        <v>VENCIDA</v>
      </c>
      <c r="I17" s="647">
        <f t="shared" si="3"/>
        <v>46167</v>
      </c>
    </row>
    <row r="18">
      <c r="A18" s="644"/>
      <c r="B18" s="644"/>
      <c r="C18" s="644" t="str">
        <f t="shared" si="4"/>
        <v/>
      </c>
      <c r="D18" s="643"/>
      <c r="E18" s="658" t="b">
        <v>0</v>
      </c>
      <c r="F18" s="646" t="str">
        <f t="shared" si="1"/>
        <v>ADEUDA</v>
      </c>
      <c r="G18" s="340" t="s">
        <v>2278</v>
      </c>
      <c r="H18" s="646" t="str">
        <f t="shared" si="2"/>
        <v>VENCIDA</v>
      </c>
      <c r="I18" s="647">
        <f t="shared" si="3"/>
        <v>46167</v>
      </c>
    </row>
    <row r="19">
      <c r="A19" s="644"/>
      <c r="B19" s="644"/>
      <c r="C19" s="644" t="str">
        <f t="shared" si="4"/>
        <v/>
      </c>
      <c r="D19" s="643"/>
      <c r="E19" s="658" t="b">
        <v>0</v>
      </c>
      <c r="F19" s="646" t="str">
        <f t="shared" si="1"/>
        <v>ADEUDA</v>
      </c>
      <c r="G19" s="340" t="s">
        <v>2278</v>
      </c>
      <c r="H19" s="646" t="str">
        <f t="shared" si="2"/>
        <v>VENCIDA</v>
      </c>
      <c r="I19" s="647">
        <f t="shared" si="3"/>
        <v>46167</v>
      </c>
    </row>
    <row r="20">
      <c r="A20" s="644"/>
      <c r="B20" s="644"/>
      <c r="C20" s="644" t="str">
        <f t="shared" si="4"/>
        <v/>
      </c>
      <c r="D20" s="643"/>
      <c r="E20" s="658" t="b">
        <v>0</v>
      </c>
      <c r="F20" s="646" t="str">
        <f t="shared" si="1"/>
        <v>ADEUDA</v>
      </c>
      <c r="G20" s="340" t="s">
        <v>2278</v>
      </c>
      <c r="H20" s="646" t="str">
        <f t="shared" si="2"/>
        <v>VENCIDA</v>
      </c>
      <c r="I20" s="647">
        <f t="shared" si="3"/>
        <v>46167</v>
      </c>
    </row>
    <row r="21">
      <c r="A21" s="644"/>
      <c r="B21" s="644"/>
      <c r="C21" s="644" t="str">
        <f t="shared" si="4"/>
        <v/>
      </c>
      <c r="D21" s="643"/>
      <c r="E21" s="658" t="b">
        <v>0</v>
      </c>
      <c r="F21" s="646" t="str">
        <f t="shared" si="1"/>
        <v>ADEUDA</v>
      </c>
      <c r="G21" s="340" t="s">
        <v>2278</v>
      </c>
      <c r="H21" s="646" t="str">
        <f t="shared" si="2"/>
        <v>VENCIDA</v>
      </c>
      <c r="I21" s="647">
        <f t="shared" si="3"/>
        <v>46167</v>
      </c>
    </row>
    <row r="22">
      <c r="A22" s="644"/>
      <c r="B22" s="644"/>
      <c r="C22" s="644" t="str">
        <f t="shared" si="4"/>
        <v/>
      </c>
      <c r="D22" s="643"/>
      <c r="E22" s="658" t="b">
        <v>0</v>
      </c>
      <c r="F22" s="646" t="str">
        <f t="shared" si="1"/>
        <v>ADEUDA</v>
      </c>
      <c r="G22" s="340" t="s">
        <v>2278</v>
      </c>
      <c r="H22" s="646" t="str">
        <f t="shared" si="2"/>
        <v>VENCIDA</v>
      </c>
      <c r="I22" s="647">
        <f t="shared" si="3"/>
        <v>46167</v>
      </c>
    </row>
    <row r="23">
      <c r="A23" s="644"/>
      <c r="B23" s="644"/>
      <c r="C23" s="644" t="str">
        <f t="shared" si="4"/>
        <v/>
      </c>
      <c r="D23" s="643"/>
      <c r="E23" s="658" t="b">
        <v>0</v>
      </c>
      <c r="F23" s="646" t="str">
        <f t="shared" si="1"/>
        <v>ADEUDA</v>
      </c>
      <c r="G23" s="340" t="s">
        <v>2278</v>
      </c>
      <c r="H23" s="646" t="str">
        <f t="shared" si="2"/>
        <v>VENCIDA</v>
      </c>
      <c r="I23" s="647">
        <f t="shared" si="3"/>
        <v>46167</v>
      </c>
    </row>
    <row r="24">
      <c r="A24" s="644"/>
      <c r="B24" s="644"/>
      <c r="C24" s="644" t="str">
        <f t="shared" si="4"/>
        <v/>
      </c>
      <c r="D24" s="643"/>
      <c r="E24" s="658" t="b">
        <v>0</v>
      </c>
      <c r="F24" s="646" t="str">
        <f t="shared" si="1"/>
        <v>ADEUDA</v>
      </c>
      <c r="G24" s="340" t="s">
        <v>2278</v>
      </c>
      <c r="H24" s="646" t="str">
        <f t="shared" si="2"/>
        <v>VENCIDA</v>
      </c>
      <c r="I24" s="647">
        <f t="shared" si="3"/>
        <v>46167</v>
      </c>
    </row>
    <row r="25">
      <c r="A25" s="644"/>
      <c r="B25" s="644"/>
      <c r="C25" s="644" t="str">
        <f t="shared" si="4"/>
        <v/>
      </c>
      <c r="D25" s="643"/>
      <c r="E25" s="645" t="b">
        <v>0</v>
      </c>
      <c r="F25" s="646" t="str">
        <f t="shared" si="1"/>
        <v>ADEUDA</v>
      </c>
      <c r="G25" s="340" t="s">
        <v>2278</v>
      </c>
      <c r="H25" s="646" t="str">
        <f t="shared" si="2"/>
        <v>VENCIDA</v>
      </c>
      <c r="I25" s="647">
        <f t="shared" si="3"/>
        <v>46167</v>
      </c>
    </row>
    <row r="26">
      <c r="A26" s="644"/>
      <c r="B26" s="644"/>
      <c r="C26" s="644" t="str">
        <f t="shared" si="4"/>
        <v/>
      </c>
      <c r="D26" s="643"/>
      <c r="E26" s="658" t="b">
        <v>0</v>
      </c>
      <c r="F26" s="646" t="str">
        <f t="shared" si="1"/>
        <v>ADEUDA</v>
      </c>
      <c r="G26" s="340" t="s">
        <v>2278</v>
      </c>
      <c r="H26" s="646" t="str">
        <f t="shared" si="2"/>
        <v>VENCIDA</v>
      </c>
      <c r="I26" s="647">
        <f t="shared" si="3"/>
        <v>46167</v>
      </c>
    </row>
    <row r="27">
      <c r="A27" s="644"/>
      <c r="B27" s="644"/>
      <c r="C27" s="644" t="str">
        <f t="shared" si="4"/>
        <v/>
      </c>
      <c r="D27" s="643"/>
      <c r="E27" s="658" t="b">
        <v>0</v>
      </c>
      <c r="F27" s="646" t="str">
        <f t="shared" si="1"/>
        <v>ADEUDA</v>
      </c>
      <c r="G27" s="340" t="s">
        <v>2278</v>
      </c>
      <c r="H27" s="646" t="str">
        <f t="shared" si="2"/>
        <v>VENCIDA</v>
      </c>
      <c r="I27" s="647">
        <f t="shared" si="3"/>
        <v>46167</v>
      </c>
    </row>
    <row r="28">
      <c r="A28" s="644"/>
      <c r="B28" s="644"/>
      <c r="C28" s="644" t="str">
        <f t="shared" si="4"/>
        <v/>
      </c>
      <c r="D28" s="643"/>
      <c r="E28" s="658" t="b">
        <v>0</v>
      </c>
      <c r="F28" s="646" t="str">
        <f t="shared" si="1"/>
        <v>ADEUDA</v>
      </c>
      <c r="G28" s="340" t="s">
        <v>2278</v>
      </c>
      <c r="H28" s="646" t="str">
        <f t="shared" si="2"/>
        <v>VENCIDA</v>
      </c>
      <c r="I28" s="647">
        <f t="shared" si="3"/>
        <v>46167</v>
      </c>
    </row>
    <row r="29">
      <c r="A29" s="644"/>
      <c r="B29" s="644"/>
      <c r="C29" s="644" t="str">
        <f t="shared" si="4"/>
        <v/>
      </c>
      <c r="D29" s="643"/>
      <c r="E29" s="658" t="b">
        <v>0</v>
      </c>
      <c r="F29" s="646" t="str">
        <f t="shared" si="1"/>
        <v>ADEUDA</v>
      </c>
      <c r="G29" s="340" t="s">
        <v>2278</v>
      </c>
      <c r="H29" s="646" t="str">
        <f t="shared" si="2"/>
        <v>VENCIDA</v>
      </c>
      <c r="I29" s="647">
        <f t="shared" si="3"/>
        <v>46167</v>
      </c>
    </row>
    <row r="30">
      <c r="A30" s="644"/>
      <c r="B30" s="644"/>
      <c r="C30" s="644" t="str">
        <f t="shared" si="4"/>
        <v/>
      </c>
      <c r="D30" s="643"/>
      <c r="E30" s="658" t="b">
        <v>0</v>
      </c>
      <c r="F30" s="646" t="str">
        <f t="shared" si="1"/>
        <v>ADEUDA</v>
      </c>
      <c r="G30" s="340" t="s">
        <v>2278</v>
      </c>
      <c r="H30" s="646" t="str">
        <f t="shared" si="2"/>
        <v>VENCIDA</v>
      </c>
      <c r="I30" s="647">
        <f t="shared" si="3"/>
        <v>46167</v>
      </c>
    </row>
    <row r="31">
      <c r="A31" s="644"/>
      <c r="B31" s="644"/>
      <c r="C31" s="644" t="str">
        <f t="shared" si="4"/>
        <v/>
      </c>
      <c r="D31" s="643"/>
      <c r="E31" s="645" t="b">
        <v>0</v>
      </c>
      <c r="F31" s="646" t="str">
        <f t="shared" si="1"/>
        <v>ADEUDA</v>
      </c>
      <c r="G31" s="340" t="s">
        <v>2278</v>
      </c>
      <c r="H31" s="646" t="str">
        <f t="shared" si="2"/>
        <v>VENCIDA</v>
      </c>
      <c r="I31" s="647">
        <f t="shared" si="3"/>
        <v>46167</v>
      </c>
    </row>
    <row r="32">
      <c r="A32" s="644"/>
      <c r="B32" s="644"/>
      <c r="C32" s="644" t="str">
        <f t="shared" si="4"/>
        <v/>
      </c>
      <c r="D32" s="643"/>
      <c r="E32" s="658" t="b">
        <v>0</v>
      </c>
      <c r="F32" s="646" t="str">
        <f t="shared" si="1"/>
        <v>ADEUDA</v>
      </c>
      <c r="G32" s="340" t="s">
        <v>2278</v>
      </c>
      <c r="H32" s="646" t="str">
        <f t="shared" si="2"/>
        <v>VENCIDA</v>
      </c>
      <c r="I32" s="647">
        <f t="shared" si="3"/>
        <v>46167</v>
      </c>
    </row>
    <row r="33">
      <c r="A33" s="644"/>
      <c r="B33" s="644"/>
      <c r="C33" s="644" t="str">
        <f t="shared" si="4"/>
        <v/>
      </c>
      <c r="D33" s="643"/>
      <c r="E33" s="658" t="b">
        <v>0</v>
      </c>
      <c r="F33" s="646" t="str">
        <f t="shared" si="1"/>
        <v>ADEUDA</v>
      </c>
      <c r="G33" s="340" t="s">
        <v>2278</v>
      </c>
      <c r="H33" s="646" t="str">
        <f t="shared" si="2"/>
        <v>VENCIDA</v>
      </c>
      <c r="I33" s="647">
        <f t="shared" si="3"/>
        <v>46167</v>
      </c>
    </row>
    <row r="34">
      <c r="A34" s="644"/>
      <c r="B34" s="644"/>
      <c r="C34" s="644" t="str">
        <f t="shared" si="4"/>
        <v/>
      </c>
      <c r="D34" s="643"/>
      <c r="E34" s="658" t="b">
        <v>0</v>
      </c>
      <c r="F34" s="646" t="str">
        <f t="shared" si="1"/>
        <v>ADEUDA</v>
      </c>
      <c r="G34" s="340" t="s">
        <v>2278</v>
      </c>
      <c r="H34" s="646" t="str">
        <f t="shared" si="2"/>
        <v>VENCIDA</v>
      </c>
      <c r="I34" s="647">
        <f t="shared" si="3"/>
        <v>46167</v>
      </c>
    </row>
    <row r="35">
      <c r="A35" s="644"/>
      <c r="B35" s="644"/>
      <c r="C35" s="644" t="str">
        <f t="shared" si="4"/>
        <v/>
      </c>
      <c r="D35" s="643"/>
      <c r="E35" s="658" t="b">
        <v>0</v>
      </c>
      <c r="F35" s="646" t="str">
        <f t="shared" si="1"/>
        <v>ADEUDA</v>
      </c>
      <c r="G35" s="340" t="s">
        <v>2278</v>
      </c>
      <c r="H35" s="646" t="str">
        <f t="shared" si="2"/>
        <v>VENCIDA</v>
      </c>
      <c r="I35" s="647">
        <f t="shared" si="3"/>
        <v>46167</v>
      </c>
    </row>
    <row r="36">
      <c r="A36" s="644"/>
      <c r="B36" s="644"/>
      <c r="C36" s="644" t="str">
        <f t="shared" si="4"/>
        <v/>
      </c>
      <c r="D36" s="643"/>
      <c r="E36" s="658" t="b">
        <v>0</v>
      </c>
      <c r="F36" s="646" t="str">
        <f t="shared" si="1"/>
        <v>ADEUDA</v>
      </c>
      <c r="G36" s="340" t="s">
        <v>2278</v>
      </c>
      <c r="H36" s="646" t="str">
        <f t="shared" si="2"/>
        <v>VENCIDA</v>
      </c>
      <c r="I36" s="647">
        <f t="shared" si="3"/>
        <v>46167</v>
      </c>
    </row>
    <row r="37">
      <c r="A37" s="644"/>
      <c r="B37" s="644"/>
      <c r="C37" s="644" t="str">
        <f t="shared" si="4"/>
        <v/>
      </c>
      <c r="D37" s="643"/>
      <c r="E37" s="658" t="b">
        <v>0</v>
      </c>
      <c r="F37" s="646" t="str">
        <f t="shared" si="1"/>
        <v>ADEUDA</v>
      </c>
      <c r="G37" s="340" t="s">
        <v>2278</v>
      </c>
      <c r="H37" s="646" t="str">
        <f t="shared" si="2"/>
        <v>VENCIDA</v>
      </c>
      <c r="I37" s="647">
        <f t="shared" si="3"/>
        <v>46167</v>
      </c>
    </row>
    <row r="38">
      <c r="A38" s="644"/>
      <c r="B38" s="644"/>
      <c r="C38" s="644" t="str">
        <f t="shared" si="4"/>
        <v/>
      </c>
      <c r="D38" s="643"/>
      <c r="E38" s="658" t="b">
        <v>0</v>
      </c>
      <c r="F38" s="646" t="str">
        <f t="shared" si="1"/>
        <v>ADEUDA</v>
      </c>
      <c r="G38" s="340" t="s">
        <v>2278</v>
      </c>
      <c r="H38" s="646" t="str">
        <f t="shared" si="2"/>
        <v>VENCIDA</v>
      </c>
      <c r="I38" s="647">
        <f t="shared" si="3"/>
        <v>46167</v>
      </c>
    </row>
    <row r="39">
      <c r="A39" s="644"/>
      <c r="B39" s="644"/>
      <c r="C39" s="644" t="str">
        <f t="shared" si="4"/>
        <v/>
      </c>
      <c r="D39" s="643"/>
      <c r="E39" s="645" t="b">
        <v>0</v>
      </c>
      <c r="F39" s="646" t="str">
        <f t="shared" si="1"/>
        <v>ADEUDA</v>
      </c>
      <c r="G39" s="340" t="s">
        <v>2278</v>
      </c>
      <c r="H39" s="646" t="str">
        <f t="shared" si="2"/>
        <v>VENCIDA</v>
      </c>
      <c r="I39" s="647">
        <f t="shared" si="3"/>
        <v>46167</v>
      </c>
    </row>
    <row r="40">
      <c r="A40" s="644"/>
      <c r="B40" s="644"/>
      <c r="C40" s="644" t="str">
        <f t="shared" si="4"/>
        <v/>
      </c>
      <c r="D40" s="643"/>
      <c r="E40" s="645" t="b">
        <v>0</v>
      </c>
      <c r="F40" s="646" t="str">
        <f t="shared" si="1"/>
        <v>ADEUDA</v>
      </c>
      <c r="G40" s="340" t="s">
        <v>2278</v>
      </c>
      <c r="H40" s="646" t="str">
        <f t="shared" si="2"/>
        <v>VENCIDA</v>
      </c>
      <c r="I40" s="647">
        <f t="shared" si="3"/>
        <v>46167</v>
      </c>
    </row>
    <row r="41">
      <c r="A41" s="644"/>
      <c r="B41" s="644"/>
      <c r="C41" s="644" t="str">
        <f t="shared" si="4"/>
        <v/>
      </c>
      <c r="D41" s="643"/>
      <c r="E41" s="658" t="b">
        <v>0</v>
      </c>
      <c r="F41" s="646" t="str">
        <f t="shared" si="1"/>
        <v>ADEUDA</v>
      </c>
      <c r="G41" s="340" t="s">
        <v>2278</v>
      </c>
      <c r="H41" s="646" t="str">
        <f t="shared" si="2"/>
        <v>VENCIDA</v>
      </c>
      <c r="I41" s="647">
        <f t="shared" si="3"/>
        <v>46167</v>
      </c>
    </row>
    <row r="42">
      <c r="A42" s="644"/>
      <c r="B42" s="644"/>
      <c r="C42" s="644" t="str">
        <f t="shared" si="4"/>
        <v/>
      </c>
      <c r="D42" s="643"/>
      <c r="E42" s="658" t="b">
        <v>0</v>
      </c>
      <c r="F42" s="646" t="str">
        <f t="shared" si="1"/>
        <v>ADEUDA</v>
      </c>
      <c r="G42" s="340" t="s">
        <v>2278</v>
      </c>
      <c r="H42" s="646" t="str">
        <f t="shared" si="2"/>
        <v>VENCIDA</v>
      </c>
      <c r="I42" s="647">
        <f t="shared" si="3"/>
        <v>46167</v>
      </c>
    </row>
    <row r="43">
      <c r="A43" s="644"/>
      <c r="B43" s="644"/>
      <c r="C43" s="644" t="str">
        <f t="shared" si="4"/>
        <v/>
      </c>
      <c r="D43" s="643"/>
      <c r="E43" s="645" t="b">
        <v>0</v>
      </c>
      <c r="F43" s="646" t="str">
        <f t="shared" si="1"/>
        <v>ADEUDA</v>
      </c>
      <c r="G43" s="340" t="s">
        <v>2278</v>
      </c>
      <c r="H43" s="646" t="str">
        <f t="shared" si="2"/>
        <v>VENCIDA</v>
      </c>
      <c r="I43" s="647">
        <f t="shared" si="3"/>
        <v>46167</v>
      </c>
    </row>
    <row r="44">
      <c r="A44" s="644"/>
      <c r="B44" s="644"/>
      <c r="C44" s="644" t="str">
        <f t="shared" si="4"/>
        <v/>
      </c>
      <c r="D44" s="643"/>
      <c r="E44" s="658" t="b">
        <v>0</v>
      </c>
      <c r="F44" s="646" t="str">
        <f t="shared" si="1"/>
        <v>ADEUDA</v>
      </c>
      <c r="G44" s="340" t="s">
        <v>2278</v>
      </c>
      <c r="H44" s="646" t="str">
        <f t="shared" si="2"/>
        <v>VENCIDA</v>
      </c>
      <c r="I44" s="647">
        <f t="shared" si="3"/>
        <v>46167</v>
      </c>
    </row>
    <row r="45">
      <c r="A45" s="644"/>
      <c r="B45" s="644"/>
      <c r="C45" s="644" t="str">
        <f t="shared" si="4"/>
        <v/>
      </c>
      <c r="D45" s="643"/>
      <c r="E45" s="658" t="b">
        <v>0</v>
      </c>
      <c r="F45" s="646" t="str">
        <f t="shared" si="1"/>
        <v>ADEUDA</v>
      </c>
      <c r="G45" s="340" t="s">
        <v>2278</v>
      </c>
      <c r="H45" s="646" t="str">
        <f t="shared" si="2"/>
        <v>VENCIDA</v>
      </c>
      <c r="I45" s="647">
        <f t="shared" si="3"/>
        <v>46167</v>
      </c>
    </row>
    <row r="46">
      <c r="A46" s="644"/>
      <c r="B46" s="644"/>
      <c r="C46" s="644" t="str">
        <f t="shared" si="4"/>
        <v/>
      </c>
      <c r="D46" s="643"/>
      <c r="E46" s="658" t="b">
        <v>0</v>
      </c>
      <c r="F46" s="646" t="str">
        <f t="shared" si="1"/>
        <v>ADEUDA</v>
      </c>
      <c r="G46" s="340" t="s">
        <v>2278</v>
      </c>
      <c r="H46" s="646" t="str">
        <f t="shared" si="2"/>
        <v>VENCIDA</v>
      </c>
      <c r="I46" s="647">
        <f t="shared" si="3"/>
        <v>46167</v>
      </c>
    </row>
    <row r="47">
      <c r="A47" s="644"/>
      <c r="B47" s="644"/>
      <c r="C47" s="644" t="str">
        <f t="shared" si="4"/>
        <v/>
      </c>
      <c r="D47" s="643"/>
      <c r="E47" s="658" t="b">
        <v>0</v>
      </c>
      <c r="F47" s="646" t="str">
        <f t="shared" si="1"/>
        <v>ADEUDA</v>
      </c>
      <c r="G47" s="340" t="s">
        <v>2278</v>
      </c>
      <c r="H47" s="646" t="str">
        <f t="shared" si="2"/>
        <v>VENCIDA</v>
      </c>
      <c r="I47" s="647">
        <f t="shared" si="3"/>
        <v>46167</v>
      </c>
    </row>
    <row r="48">
      <c r="A48" s="644"/>
      <c r="B48" s="644"/>
      <c r="C48" s="644" t="str">
        <f t="shared" si="4"/>
        <v/>
      </c>
      <c r="D48" s="643"/>
      <c r="E48" s="658" t="b">
        <v>0</v>
      </c>
      <c r="F48" s="646" t="str">
        <f t="shared" si="1"/>
        <v>ADEUDA</v>
      </c>
      <c r="G48" s="340" t="s">
        <v>2278</v>
      </c>
      <c r="H48" s="646" t="str">
        <f t="shared" si="2"/>
        <v>VENCIDA</v>
      </c>
      <c r="I48" s="647">
        <f t="shared" si="3"/>
        <v>46167</v>
      </c>
    </row>
    <row r="49">
      <c r="A49" s="644"/>
      <c r="B49" s="644"/>
      <c r="C49" s="644" t="str">
        <f t="shared" si="4"/>
        <v/>
      </c>
      <c r="D49" s="643"/>
      <c r="E49" s="658" t="b">
        <v>0</v>
      </c>
      <c r="F49" s="646" t="str">
        <f t="shared" si="1"/>
        <v>ADEUDA</v>
      </c>
      <c r="G49" s="340" t="s">
        <v>2278</v>
      </c>
      <c r="H49" s="646" t="str">
        <f t="shared" si="2"/>
        <v>VENCIDA</v>
      </c>
      <c r="I49" s="647">
        <f t="shared" si="3"/>
        <v>46167</v>
      </c>
    </row>
    <row r="50">
      <c r="A50" s="644"/>
      <c r="B50" s="644"/>
      <c r="C50" s="644" t="str">
        <f t="shared" si="4"/>
        <v/>
      </c>
      <c r="D50" s="643"/>
      <c r="E50" s="658" t="b">
        <v>0</v>
      </c>
      <c r="F50" s="646" t="str">
        <f t="shared" si="1"/>
        <v>ADEUDA</v>
      </c>
      <c r="G50" s="340" t="s">
        <v>2278</v>
      </c>
      <c r="H50" s="646" t="str">
        <f t="shared" si="2"/>
        <v>VENCIDA</v>
      </c>
      <c r="I50" s="647">
        <f t="shared" si="3"/>
        <v>46167</v>
      </c>
    </row>
    <row r="51">
      <c r="A51" s="644"/>
      <c r="B51" s="644"/>
      <c r="C51" s="644" t="str">
        <f t="shared" si="4"/>
        <v/>
      </c>
      <c r="D51" s="643"/>
      <c r="E51" s="658" t="b">
        <v>0</v>
      </c>
      <c r="F51" s="646" t="str">
        <f t="shared" si="1"/>
        <v>ADEUDA</v>
      </c>
      <c r="G51" s="340" t="s">
        <v>2278</v>
      </c>
      <c r="H51" s="646" t="str">
        <f t="shared" si="2"/>
        <v>VENCIDA</v>
      </c>
      <c r="I51" s="647">
        <f t="shared" si="3"/>
        <v>46167</v>
      </c>
    </row>
    <row r="52">
      <c r="A52" s="644"/>
      <c r="B52" s="644"/>
      <c r="C52" s="644" t="str">
        <f t="shared" si="4"/>
        <v/>
      </c>
      <c r="D52" s="643"/>
      <c r="E52" s="658" t="b">
        <v>0</v>
      </c>
      <c r="F52" s="646" t="str">
        <f t="shared" si="1"/>
        <v>ADEUDA</v>
      </c>
      <c r="G52" s="340" t="s">
        <v>2278</v>
      </c>
      <c r="H52" s="646" t="str">
        <f t="shared" si="2"/>
        <v>VENCIDA</v>
      </c>
      <c r="I52" s="647">
        <f t="shared" si="3"/>
        <v>46167</v>
      </c>
    </row>
    <row r="53">
      <c r="A53" s="644"/>
      <c r="B53" s="644"/>
      <c r="C53" s="644" t="str">
        <f t="shared" si="4"/>
        <v/>
      </c>
      <c r="D53" s="643"/>
      <c r="E53" s="658" t="b">
        <v>0</v>
      </c>
      <c r="F53" s="646" t="str">
        <f t="shared" si="1"/>
        <v>ADEUDA</v>
      </c>
      <c r="G53" s="340" t="s">
        <v>2278</v>
      </c>
      <c r="H53" s="646" t="str">
        <f t="shared" si="2"/>
        <v>VENCIDA</v>
      </c>
      <c r="I53" s="647">
        <f t="shared" si="3"/>
        <v>46167</v>
      </c>
    </row>
    <row r="54">
      <c r="A54" s="644"/>
      <c r="B54" s="644"/>
      <c r="C54" s="644" t="str">
        <f t="shared" si="4"/>
        <v/>
      </c>
      <c r="D54" s="643"/>
      <c r="E54" s="658" t="b">
        <v>0</v>
      </c>
      <c r="F54" s="646" t="str">
        <f t="shared" si="1"/>
        <v>ADEUDA</v>
      </c>
      <c r="G54" s="340" t="s">
        <v>2278</v>
      </c>
      <c r="H54" s="646" t="str">
        <f t="shared" si="2"/>
        <v>VENCIDA</v>
      </c>
      <c r="I54" s="647">
        <f t="shared" si="3"/>
        <v>46167</v>
      </c>
    </row>
    <row r="55">
      <c r="A55" s="644"/>
      <c r="B55" s="644"/>
      <c r="C55" s="644" t="str">
        <f t="shared" si="4"/>
        <v/>
      </c>
      <c r="D55" s="643"/>
      <c r="E55" s="658" t="b">
        <v>0</v>
      </c>
      <c r="F55" s="646" t="str">
        <f t="shared" si="1"/>
        <v>ADEUDA</v>
      </c>
      <c r="G55" s="340" t="s">
        <v>2278</v>
      </c>
      <c r="H55" s="646" t="str">
        <f t="shared" si="2"/>
        <v>VENCIDA</v>
      </c>
      <c r="I55" s="647">
        <f t="shared" si="3"/>
        <v>46167</v>
      </c>
    </row>
    <row r="56">
      <c r="A56" s="644"/>
      <c r="B56" s="644"/>
      <c r="C56" s="644" t="str">
        <f t="shared" si="4"/>
        <v/>
      </c>
      <c r="D56" s="643"/>
      <c r="E56" s="658" t="b">
        <v>0</v>
      </c>
      <c r="F56" s="646" t="str">
        <f t="shared" si="1"/>
        <v>ADEUDA</v>
      </c>
      <c r="G56" s="340" t="s">
        <v>2278</v>
      </c>
      <c r="H56" s="646" t="str">
        <f t="shared" si="2"/>
        <v>VENCIDA</v>
      </c>
      <c r="I56" s="647">
        <f t="shared" si="3"/>
        <v>46167</v>
      </c>
    </row>
    <row r="57">
      <c r="A57" s="644"/>
      <c r="B57" s="644"/>
      <c r="C57" s="644" t="str">
        <f t="shared" si="4"/>
        <v/>
      </c>
      <c r="D57" s="643"/>
      <c r="E57" s="658" t="b">
        <v>0</v>
      </c>
      <c r="F57" s="646" t="str">
        <f t="shared" si="1"/>
        <v>ADEUDA</v>
      </c>
      <c r="G57" s="340" t="s">
        <v>2278</v>
      </c>
      <c r="H57" s="646" t="str">
        <f t="shared" si="2"/>
        <v>VENCIDA</v>
      </c>
      <c r="I57" s="647">
        <f t="shared" si="3"/>
        <v>46167</v>
      </c>
    </row>
    <row r="58">
      <c r="A58" s="644"/>
      <c r="B58" s="644"/>
      <c r="C58" s="644" t="str">
        <f t="shared" si="4"/>
        <v/>
      </c>
      <c r="D58" s="643"/>
      <c r="E58" s="658" t="b">
        <v>0</v>
      </c>
      <c r="F58" s="646" t="str">
        <f t="shared" si="1"/>
        <v>ADEUDA</v>
      </c>
      <c r="G58" s="340" t="s">
        <v>2278</v>
      </c>
      <c r="H58" s="646" t="str">
        <f t="shared" si="2"/>
        <v>VENCIDA</v>
      </c>
      <c r="I58" s="647">
        <f t="shared" si="3"/>
        <v>46167</v>
      </c>
    </row>
    <row r="59">
      <c r="A59" s="644"/>
      <c r="B59" s="644"/>
      <c r="C59" s="644" t="str">
        <f t="shared" si="4"/>
        <v/>
      </c>
      <c r="D59" s="643"/>
      <c r="E59" s="658" t="b">
        <v>0</v>
      </c>
      <c r="F59" s="646" t="str">
        <f t="shared" si="1"/>
        <v>ADEUDA</v>
      </c>
      <c r="G59" s="340" t="s">
        <v>2278</v>
      </c>
      <c r="H59" s="646" t="str">
        <f t="shared" si="2"/>
        <v>VENCIDA</v>
      </c>
      <c r="I59" s="647">
        <f t="shared" si="3"/>
        <v>46167</v>
      </c>
    </row>
    <row r="60">
      <c r="A60" s="644"/>
      <c r="B60" s="644"/>
      <c r="C60" s="644" t="str">
        <f t="shared" si="4"/>
        <v/>
      </c>
      <c r="D60" s="643"/>
      <c r="E60" s="658" t="b">
        <v>0</v>
      </c>
      <c r="F60" s="646" t="str">
        <f t="shared" si="1"/>
        <v>ADEUDA</v>
      </c>
      <c r="G60" s="340" t="s">
        <v>2278</v>
      </c>
      <c r="H60" s="646" t="str">
        <f t="shared" si="2"/>
        <v>VENCIDA</v>
      </c>
      <c r="I60" s="647">
        <f t="shared" si="3"/>
        <v>46167</v>
      </c>
    </row>
    <row r="61">
      <c r="A61" s="644"/>
      <c r="B61" s="644"/>
      <c r="C61" s="644" t="str">
        <f t="shared" si="4"/>
        <v/>
      </c>
      <c r="D61" s="643"/>
      <c r="E61" s="658" t="b">
        <v>0</v>
      </c>
      <c r="F61" s="646" t="str">
        <f t="shared" si="1"/>
        <v>ADEUDA</v>
      </c>
      <c r="G61" s="340" t="s">
        <v>2278</v>
      </c>
      <c r="H61" s="646" t="str">
        <f t="shared" si="2"/>
        <v>VENCIDA</v>
      </c>
      <c r="I61" s="647">
        <f t="shared" si="3"/>
        <v>46167</v>
      </c>
    </row>
    <row r="62">
      <c r="A62" s="644"/>
      <c r="B62" s="644"/>
      <c r="C62" s="644" t="str">
        <f t="shared" si="4"/>
        <v/>
      </c>
      <c r="D62" s="643"/>
      <c r="E62" s="658" t="b">
        <v>0</v>
      </c>
      <c r="F62" s="646" t="str">
        <f t="shared" si="1"/>
        <v>ADEUDA</v>
      </c>
      <c r="G62" s="340" t="s">
        <v>2278</v>
      </c>
      <c r="H62" s="646" t="str">
        <f t="shared" si="2"/>
        <v>VENCIDA</v>
      </c>
      <c r="I62" s="647">
        <f t="shared" si="3"/>
        <v>46167</v>
      </c>
    </row>
    <row r="63">
      <c r="A63" s="644"/>
      <c r="B63" s="644"/>
      <c r="C63" s="644" t="str">
        <f t="shared" si="4"/>
        <v/>
      </c>
      <c r="D63" s="643"/>
      <c r="E63" s="658" t="b">
        <v>0</v>
      </c>
      <c r="F63" s="646" t="str">
        <f t="shared" si="1"/>
        <v>ADEUDA</v>
      </c>
      <c r="G63" s="340" t="s">
        <v>2278</v>
      </c>
      <c r="H63" s="646" t="str">
        <f t="shared" si="2"/>
        <v>VENCIDA</v>
      </c>
      <c r="I63" s="647">
        <f t="shared" si="3"/>
        <v>46167</v>
      </c>
    </row>
    <row r="64">
      <c r="A64" s="644"/>
      <c r="B64" s="644"/>
      <c r="C64" s="644" t="str">
        <f t="shared" si="4"/>
        <v/>
      </c>
      <c r="D64" s="643"/>
      <c r="E64" s="658" t="b">
        <v>0</v>
      </c>
      <c r="F64" s="646" t="str">
        <f t="shared" si="1"/>
        <v>ADEUDA</v>
      </c>
      <c r="G64" s="340" t="s">
        <v>2278</v>
      </c>
      <c r="H64" s="646" t="str">
        <f t="shared" si="2"/>
        <v>VENCIDA</v>
      </c>
      <c r="I64" s="647">
        <f t="shared" si="3"/>
        <v>46167</v>
      </c>
    </row>
    <row r="65">
      <c r="A65" s="644"/>
      <c r="B65" s="644"/>
      <c r="C65" s="644" t="str">
        <f t="shared" si="4"/>
        <v/>
      </c>
      <c r="D65" s="643"/>
      <c r="E65" s="658" t="b">
        <v>0</v>
      </c>
      <c r="F65" s="646" t="str">
        <f t="shared" si="1"/>
        <v>ADEUDA</v>
      </c>
      <c r="G65" s="340" t="s">
        <v>2278</v>
      </c>
      <c r="H65" s="646" t="str">
        <f t="shared" si="2"/>
        <v>VENCIDA</v>
      </c>
      <c r="I65" s="647">
        <f t="shared" si="3"/>
        <v>46167</v>
      </c>
    </row>
    <row r="66">
      <c r="A66" s="644"/>
      <c r="B66" s="644"/>
      <c r="C66" s="644" t="str">
        <f t="shared" si="4"/>
        <v/>
      </c>
      <c r="D66" s="643"/>
      <c r="E66" s="658" t="b">
        <v>0</v>
      </c>
      <c r="F66" s="646" t="str">
        <f t="shared" si="1"/>
        <v>ADEUDA</v>
      </c>
      <c r="G66" s="340" t="s">
        <v>2278</v>
      </c>
      <c r="H66" s="646" t="str">
        <f t="shared" si="2"/>
        <v>VENCIDA</v>
      </c>
      <c r="I66" s="647">
        <f t="shared" si="3"/>
        <v>46167</v>
      </c>
    </row>
    <row r="67">
      <c r="A67" s="644"/>
      <c r="B67" s="644"/>
      <c r="C67" s="644" t="str">
        <f t="shared" si="4"/>
        <v/>
      </c>
      <c r="D67" s="643"/>
      <c r="E67" s="658" t="b">
        <v>0</v>
      </c>
      <c r="F67" s="646" t="str">
        <f t="shared" si="1"/>
        <v>ADEUDA</v>
      </c>
      <c r="G67" s="340" t="s">
        <v>2278</v>
      </c>
      <c r="H67" s="646" t="str">
        <f t="shared" si="2"/>
        <v>VENCIDA</v>
      </c>
      <c r="I67" s="647">
        <f t="shared" si="3"/>
        <v>46167</v>
      </c>
    </row>
    <row r="68">
      <c r="A68" s="644"/>
      <c r="B68" s="644"/>
      <c r="C68" s="644" t="str">
        <f t="shared" si="4"/>
        <v/>
      </c>
      <c r="D68" s="643"/>
      <c r="E68" s="658" t="b">
        <v>0</v>
      </c>
      <c r="F68" s="646" t="str">
        <f t="shared" si="1"/>
        <v>ADEUDA</v>
      </c>
      <c r="G68" s="340" t="s">
        <v>2278</v>
      </c>
      <c r="H68" s="646" t="str">
        <f t="shared" si="2"/>
        <v>VENCIDA</v>
      </c>
      <c r="I68" s="647">
        <f t="shared" si="3"/>
        <v>46167</v>
      </c>
    </row>
    <row r="69">
      <c r="A69" s="644"/>
      <c r="B69" s="644"/>
      <c r="C69" s="644" t="str">
        <f t="shared" si="4"/>
        <v/>
      </c>
      <c r="D69" s="643"/>
      <c r="E69" s="658" t="b">
        <v>0</v>
      </c>
      <c r="F69" s="646" t="str">
        <f t="shared" si="1"/>
        <v>ADEUDA</v>
      </c>
      <c r="G69" s="340" t="s">
        <v>2278</v>
      </c>
      <c r="H69" s="646" t="str">
        <f t="shared" si="2"/>
        <v>VENCIDA</v>
      </c>
      <c r="I69" s="647">
        <f t="shared" si="3"/>
        <v>46167</v>
      </c>
    </row>
    <row r="70">
      <c r="A70" s="644"/>
      <c r="B70" s="644"/>
      <c r="C70" s="644" t="str">
        <f t="shared" si="4"/>
        <v/>
      </c>
      <c r="D70" s="643"/>
      <c r="E70" s="658" t="b">
        <v>0</v>
      </c>
      <c r="F70" s="646" t="str">
        <f t="shared" si="1"/>
        <v>ADEUDA</v>
      </c>
      <c r="G70" s="340" t="s">
        <v>2278</v>
      </c>
      <c r="H70" s="646" t="str">
        <f t="shared" si="2"/>
        <v>VENCIDA</v>
      </c>
      <c r="I70" s="647">
        <f t="shared" si="3"/>
        <v>46167</v>
      </c>
    </row>
    <row r="71">
      <c r="A71" s="644"/>
      <c r="B71" s="644"/>
      <c r="C71" s="644" t="str">
        <f t="shared" si="4"/>
        <v/>
      </c>
      <c r="D71" s="643"/>
      <c r="E71" s="658" t="b">
        <v>0</v>
      </c>
      <c r="F71" s="646" t="str">
        <f t="shared" si="1"/>
        <v>ADEUDA</v>
      </c>
      <c r="G71" s="340" t="s">
        <v>2278</v>
      </c>
      <c r="H71" s="646" t="str">
        <f t="shared" si="2"/>
        <v>VENCIDA</v>
      </c>
      <c r="I71" s="647">
        <f t="shared" si="3"/>
        <v>46167</v>
      </c>
    </row>
    <row r="72">
      <c r="A72" s="644"/>
      <c r="B72" s="644"/>
      <c r="C72" s="644" t="str">
        <f t="shared" si="4"/>
        <v/>
      </c>
      <c r="D72" s="643"/>
      <c r="E72" s="658" t="b">
        <v>0</v>
      </c>
      <c r="F72" s="646" t="str">
        <f t="shared" si="1"/>
        <v>ADEUDA</v>
      </c>
      <c r="G72" s="340" t="s">
        <v>2278</v>
      </c>
      <c r="H72" s="646" t="str">
        <f t="shared" si="2"/>
        <v>VENCIDA</v>
      </c>
      <c r="I72" s="647">
        <f t="shared" si="3"/>
        <v>46167</v>
      </c>
    </row>
    <row r="73">
      <c r="A73" s="644"/>
      <c r="B73" s="644"/>
      <c r="C73" s="644" t="str">
        <f t="shared" si="4"/>
        <v/>
      </c>
      <c r="D73" s="643"/>
      <c r="E73" s="658" t="b">
        <v>0</v>
      </c>
      <c r="F73" s="646" t="str">
        <f t="shared" si="1"/>
        <v>ADEUDA</v>
      </c>
      <c r="G73" s="340" t="s">
        <v>2278</v>
      </c>
      <c r="H73" s="646" t="str">
        <f t="shared" si="2"/>
        <v>VENCIDA</v>
      </c>
      <c r="I73" s="647">
        <f t="shared" si="3"/>
        <v>46167</v>
      </c>
    </row>
    <row r="74">
      <c r="A74" s="644"/>
      <c r="B74" s="644"/>
      <c r="C74" s="644" t="str">
        <f t="shared" si="4"/>
        <v/>
      </c>
      <c r="D74" s="643"/>
      <c r="E74" s="658" t="b">
        <v>0</v>
      </c>
      <c r="F74" s="646" t="str">
        <f t="shared" si="1"/>
        <v>ADEUDA</v>
      </c>
      <c r="G74" s="340" t="s">
        <v>2278</v>
      </c>
      <c r="H74" s="646" t="str">
        <f t="shared" si="2"/>
        <v>VENCIDA</v>
      </c>
      <c r="I74" s="647">
        <f t="shared" si="3"/>
        <v>46167</v>
      </c>
    </row>
    <row r="75">
      <c r="A75" s="644"/>
      <c r="B75" s="644"/>
      <c r="C75" s="644" t="str">
        <f t="shared" si="4"/>
        <v/>
      </c>
      <c r="D75" s="643"/>
      <c r="E75" s="658" t="b">
        <v>0</v>
      </c>
      <c r="F75" s="646" t="str">
        <f t="shared" si="1"/>
        <v>ADEUDA</v>
      </c>
      <c r="G75" s="340" t="s">
        <v>2278</v>
      </c>
      <c r="H75" s="646" t="str">
        <f t="shared" si="2"/>
        <v>VENCIDA</v>
      </c>
      <c r="I75" s="647">
        <f t="shared" si="3"/>
        <v>46167</v>
      </c>
    </row>
    <row r="76">
      <c r="A76" s="644"/>
      <c r="B76" s="644"/>
      <c r="C76" s="644" t="str">
        <f t="shared" si="4"/>
        <v/>
      </c>
      <c r="D76" s="643"/>
      <c r="E76" s="658" t="b">
        <v>0</v>
      </c>
      <c r="F76" s="646" t="str">
        <f t="shared" si="1"/>
        <v>ADEUDA</v>
      </c>
      <c r="G76" s="340" t="s">
        <v>2278</v>
      </c>
      <c r="H76" s="646" t="str">
        <f t="shared" si="2"/>
        <v>VENCIDA</v>
      </c>
      <c r="I76" s="647">
        <f t="shared" si="3"/>
        <v>46167</v>
      </c>
    </row>
    <row r="77">
      <c r="A77" s="644"/>
      <c r="B77" s="644"/>
      <c r="C77" s="644" t="str">
        <f t="shared" si="4"/>
        <v/>
      </c>
      <c r="D77" s="643"/>
      <c r="E77" s="658" t="b">
        <v>0</v>
      </c>
      <c r="F77" s="646" t="str">
        <f t="shared" si="1"/>
        <v>ADEUDA</v>
      </c>
      <c r="G77" s="340" t="s">
        <v>2278</v>
      </c>
      <c r="H77" s="646" t="str">
        <f t="shared" si="2"/>
        <v>VENCIDA</v>
      </c>
      <c r="I77" s="647">
        <f t="shared" si="3"/>
        <v>46167</v>
      </c>
    </row>
    <row r="78">
      <c r="A78" s="644"/>
      <c r="B78" s="644"/>
      <c r="C78" s="644" t="str">
        <f t="shared" si="4"/>
        <v/>
      </c>
      <c r="D78" s="643"/>
      <c r="E78" s="658" t="b">
        <v>0</v>
      </c>
      <c r="F78" s="646" t="str">
        <f t="shared" si="1"/>
        <v>ADEUDA</v>
      </c>
      <c r="G78" s="340" t="s">
        <v>2278</v>
      </c>
      <c r="H78" s="646" t="str">
        <f t="shared" si="2"/>
        <v>VENCIDA</v>
      </c>
      <c r="I78" s="647">
        <f t="shared" si="3"/>
        <v>46167</v>
      </c>
    </row>
    <row r="79">
      <c r="A79" s="644"/>
      <c r="B79" s="644"/>
      <c r="C79" s="644" t="str">
        <f t="shared" si="4"/>
        <v/>
      </c>
      <c r="D79" s="643"/>
      <c r="E79" s="658" t="b">
        <v>0</v>
      </c>
      <c r="F79" s="646" t="str">
        <f t="shared" si="1"/>
        <v>ADEUDA</v>
      </c>
      <c r="G79" s="340" t="s">
        <v>2278</v>
      </c>
      <c r="H79" s="646" t="str">
        <f t="shared" si="2"/>
        <v>VENCIDA</v>
      </c>
      <c r="I79" s="647">
        <f t="shared" si="3"/>
        <v>46167</v>
      </c>
    </row>
    <row r="80">
      <c r="A80" s="644"/>
      <c r="B80" s="644"/>
      <c r="C80" s="644" t="str">
        <f t="shared" si="4"/>
        <v/>
      </c>
      <c r="D80" s="643"/>
      <c r="E80" s="658" t="b">
        <v>0</v>
      </c>
      <c r="F80" s="646" t="str">
        <f t="shared" si="1"/>
        <v>ADEUDA</v>
      </c>
      <c r="G80" s="340" t="s">
        <v>2278</v>
      </c>
      <c r="H80" s="646" t="str">
        <f t="shared" si="2"/>
        <v>VENCIDA</v>
      </c>
      <c r="I80" s="647">
        <f t="shared" si="3"/>
        <v>46167</v>
      </c>
    </row>
    <row r="81">
      <c r="A81" s="644"/>
      <c r="B81" s="644"/>
      <c r="C81" s="644" t="str">
        <f t="shared" si="4"/>
        <v/>
      </c>
      <c r="D81" s="643"/>
      <c r="E81" s="658" t="b">
        <v>0</v>
      </c>
      <c r="F81" s="646" t="str">
        <f t="shared" si="1"/>
        <v>ADEUDA</v>
      </c>
      <c r="G81" s="340" t="s">
        <v>2278</v>
      </c>
      <c r="H81" s="646" t="str">
        <f t="shared" si="2"/>
        <v>VENCIDA</v>
      </c>
      <c r="I81" s="647">
        <f t="shared" si="3"/>
        <v>46167</v>
      </c>
    </row>
    <row r="82">
      <c r="A82" s="644"/>
      <c r="B82" s="644"/>
      <c r="C82" s="644" t="str">
        <f t="shared" si="4"/>
        <v/>
      </c>
      <c r="D82" s="643"/>
      <c r="E82" s="658" t="b">
        <v>0</v>
      </c>
      <c r="F82" s="646" t="str">
        <f t="shared" si="1"/>
        <v>ADEUDA</v>
      </c>
      <c r="G82" s="340" t="s">
        <v>2278</v>
      </c>
      <c r="H82" s="646" t="str">
        <f t="shared" si="2"/>
        <v>VENCIDA</v>
      </c>
      <c r="I82" s="647">
        <f t="shared" si="3"/>
        <v>46167</v>
      </c>
    </row>
    <row r="83">
      <c r="A83" s="644"/>
      <c r="B83" s="644"/>
      <c r="C83" s="644" t="str">
        <f t="shared" si="4"/>
        <v/>
      </c>
      <c r="D83" s="643"/>
      <c r="E83" s="658" t="b">
        <v>0</v>
      </c>
      <c r="F83" s="646" t="str">
        <f t="shared" si="1"/>
        <v>ADEUDA</v>
      </c>
      <c r="G83" s="340" t="s">
        <v>2278</v>
      </c>
      <c r="H83" s="646" t="str">
        <f t="shared" si="2"/>
        <v>VENCIDA</v>
      </c>
      <c r="I83" s="647">
        <f t="shared" si="3"/>
        <v>46167</v>
      </c>
    </row>
    <row r="84">
      <c r="A84" s="644"/>
      <c r="B84" s="644"/>
      <c r="C84" s="644" t="str">
        <f t="shared" si="4"/>
        <v/>
      </c>
      <c r="D84" s="643"/>
      <c r="E84" s="658" t="b">
        <v>0</v>
      </c>
      <c r="F84" s="646" t="str">
        <f t="shared" si="1"/>
        <v>ADEUDA</v>
      </c>
      <c r="G84" s="340" t="s">
        <v>2278</v>
      </c>
      <c r="H84" s="646" t="str">
        <f t="shared" si="2"/>
        <v>VENCIDA</v>
      </c>
      <c r="I84" s="647">
        <f t="shared" si="3"/>
        <v>46167</v>
      </c>
    </row>
    <row r="85">
      <c r="A85" s="644"/>
      <c r="B85" s="644"/>
      <c r="C85" s="644" t="str">
        <f t="shared" si="4"/>
        <v/>
      </c>
      <c r="D85" s="643"/>
      <c r="E85" s="658" t="b">
        <v>0</v>
      </c>
      <c r="F85" s="646" t="str">
        <f t="shared" si="1"/>
        <v>ADEUDA</v>
      </c>
      <c r="G85" s="340" t="s">
        <v>2278</v>
      </c>
      <c r="H85" s="646" t="str">
        <f t="shared" si="2"/>
        <v>VENCIDA</v>
      </c>
      <c r="I85" s="647">
        <f t="shared" si="3"/>
        <v>46167</v>
      </c>
    </row>
    <row r="86">
      <c r="A86" s="644"/>
      <c r="B86" s="644"/>
      <c r="C86" s="644" t="str">
        <f t="shared" si="4"/>
        <v/>
      </c>
      <c r="D86" s="643"/>
      <c r="E86" s="658" t="b">
        <v>0</v>
      </c>
      <c r="F86" s="646" t="str">
        <f t="shared" si="1"/>
        <v>ADEUDA</v>
      </c>
      <c r="G86" s="340" t="s">
        <v>2278</v>
      </c>
      <c r="H86" s="646" t="str">
        <f t="shared" si="2"/>
        <v>VENCIDA</v>
      </c>
      <c r="I86" s="647">
        <f t="shared" si="3"/>
        <v>46167</v>
      </c>
    </row>
    <row r="87">
      <c r="A87" s="644"/>
      <c r="B87" s="644"/>
      <c r="C87" s="644" t="str">
        <f t="shared" si="4"/>
        <v/>
      </c>
      <c r="D87" s="643"/>
      <c r="E87" s="658" t="b">
        <v>0</v>
      </c>
      <c r="F87" s="646" t="str">
        <f t="shared" si="1"/>
        <v>ADEUDA</v>
      </c>
      <c r="G87" s="340" t="s">
        <v>2278</v>
      </c>
      <c r="H87" s="646" t="str">
        <f t="shared" si="2"/>
        <v>VENCIDA</v>
      </c>
      <c r="I87" s="647">
        <f t="shared" si="3"/>
        <v>46167</v>
      </c>
    </row>
    <row r="88">
      <c r="A88" s="644"/>
      <c r="B88" s="644"/>
      <c r="C88" s="644" t="str">
        <f t="shared" si="4"/>
        <v/>
      </c>
      <c r="D88" s="643"/>
      <c r="E88" s="658" t="b">
        <v>0</v>
      </c>
      <c r="F88" s="646" t="str">
        <f t="shared" si="1"/>
        <v>ADEUDA</v>
      </c>
      <c r="G88" s="340" t="s">
        <v>2278</v>
      </c>
      <c r="H88" s="646" t="str">
        <f t="shared" si="2"/>
        <v>VENCIDA</v>
      </c>
      <c r="I88" s="647">
        <f t="shared" si="3"/>
        <v>46167</v>
      </c>
    </row>
    <row r="89">
      <c r="A89" s="644"/>
      <c r="B89" s="644"/>
      <c r="C89" s="644" t="str">
        <f t="shared" si="4"/>
        <v/>
      </c>
      <c r="D89" s="643"/>
      <c r="E89" s="658" t="b">
        <v>0</v>
      </c>
      <c r="F89" s="646" t="str">
        <f t="shared" si="1"/>
        <v>ADEUDA</v>
      </c>
      <c r="G89" s="340" t="s">
        <v>2278</v>
      </c>
      <c r="H89" s="646" t="str">
        <f t="shared" si="2"/>
        <v>VENCIDA</v>
      </c>
      <c r="I89" s="647">
        <f t="shared" si="3"/>
        <v>46167</v>
      </c>
    </row>
    <row r="90">
      <c r="A90" s="644"/>
      <c r="B90" s="644"/>
      <c r="C90" s="644" t="str">
        <f t="shared" si="4"/>
        <v/>
      </c>
      <c r="D90" s="643"/>
      <c r="E90" s="658" t="b">
        <v>0</v>
      </c>
      <c r="F90" s="646" t="str">
        <f t="shared" si="1"/>
        <v>ADEUDA</v>
      </c>
      <c r="G90" s="340" t="s">
        <v>2278</v>
      </c>
      <c r="H90" s="646" t="str">
        <f t="shared" si="2"/>
        <v>VENCIDA</v>
      </c>
      <c r="I90" s="647">
        <f t="shared" si="3"/>
        <v>46167</v>
      </c>
    </row>
    <row r="91">
      <c r="A91" s="644"/>
      <c r="B91" s="644"/>
      <c r="C91" s="644" t="str">
        <f t="shared" si="4"/>
        <v/>
      </c>
      <c r="D91" s="643"/>
      <c r="E91" s="658" t="b">
        <v>0</v>
      </c>
      <c r="F91" s="646" t="str">
        <f t="shared" si="1"/>
        <v>ADEUDA</v>
      </c>
      <c r="G91" s="340" t="s">
        <v>2278</v>
      </c>
      <c r="H91" s="646" t="str">
        <f t="shared" si="2"/>
        <v>VENCIDA</v>
      </c>
      <c r="I91" s="647">
        <f t="shared" si="3"/>
        <v>46167</v>
      </c>
    </row>
    <row r="92">
      <c r="A92" s="644"/>
      <c r="B92" s="644"/>
      <c r="C92" s="644" t="str">
        <f t="shared" si="4"/>
        <v/>
      </c>
      <c r="D92" s="643"/>
      <c r="E92" s="658" t="b">
        <v>0</v>
      </c>
      <c r="F92" s="646" t="str">
        <f t="shared" si="1"/>
        <v>ADEUDA</v>
      </c>
      <c r="G92" s="340" t="s">
        <v>2278</v>
      </c>
      <c r="H92" s="646" t="str">
        <f t="shared" si="2"/>
        <v>VENCIDA</v>
      </c>
      <c r="I92" s="647">
        <f t="shared" si="3"/>
        <v>46167</v>
      </c>
    </row>
    <row r="93">
      <c r="A93" s="644"/>
      <c r="B93" s="644"/>
      <c r="C93" s="644" t="str">
        <f t="shared" si="4"/>
        <v/>
      </c>
      <c r="D93" s="643"/>
      <c r="E93" s="658" t="b">
        <v>0</v>
      </c>
      <c r="F93" s="646" t="str">
        <f t="shared" si="1"/>
        <v>ADEUDA</v>
      </c>
      <c r="G93" s="340" t="s">
        <v>2278</v>
      </c>
      <c r="H93" s="646" t="str">
        <f t="shared" si="2"/>
        <v>VENCIDA</v>
      </c>
      <c r="I93" s="647">
        <f t="shared" si="3"/>
        <v>46167</v>
      </c>
    </row>
    <row r="94">
      <c r="A94" s="644"/>
      <c r="B94" s="644"/>
      <c r="C94" s="644" t="str">
        <f t="shared" si="4"/>
        <v/>
      </c>
      <c r="D94" s="643"/>
      <c r="E94" s="658" t="b">
        <v>0</v>
      </c>
      <c r="F94" s="646" t="str">
        <f t="shared" si="1"/>
        <v>ADEUDA</v>
      </c>
      <c r="G94" s="340" t="s">
        <v>2278</v>
      </c>
      <c r="H94" s="646" t="str">
        <f t="shared" si="2"/>
        <v>VENCIDA</v>
      </c>
      <c r="I94" s="647">
        <f t="shared" si="3"/>
        <v>46167</v>
      </c>
    </row>
    <row r="95">
      <c r="A95" s="644"/>
      <c r="B95" s="644"/>
      <c r="C95" s="644" t="str">
        <f t="shared" si="4"/>
        <v/>
      </c>
      <c r="D95" s="643"/>
      <c r="E95" s="658" t="b">
        <v>0</v>
      </c>
      <c r="F95" s="646" t="str">
        <f t="shared" si="1"/>
        <v>ADEUDA</v>
      </c>
      <c r="G95" s="340" t="s">
        <v>2278</v>
      </c>
      <c r="H95" s="646" t="str">
        <f t="shared" si="2"/>
        <v>VENCIDA</v>
      </c>
      <c r="I95" s="647">
        <f t="shared" si="3"/>
        <v>46167</v>
      </c>
    </row>
    <row r="96">
      <c r="A96" s="644"/>
      <c r="B96" s="644"/>
      <c r="C96" s="644" t="str">
        <f t="shared" si="4"/>
        <v/>
      </c>
      <c r="D96" s="643"/>
      <c r="E96" s="658" t="b">
        <v>0</v>
      </c>
      <c r="F96" s="646" t="str">
        <f t="shared" si="1"/>
        <v>ADEUDA</v>
      </c>
      <c r="G96" s="340" t="s">
        <v>2278</v>
      </c>
      <c r="H96" s="646" t="str">
        <f t="shared" si="2"/>
        <v>VENCIDA</v>
      </c>
      <c r="I96" s="647">
        <f t="shared" si="3"/>
        <v>46167</v>
      </c>
    </row>
    <row r="97">
      <c r="A97" s="644"/>
      <c r="B97" s="644"/>
      <c r="C97" s="644" t="str">
        <f t="shared" si="4"/>
        <v/>
      </c>
      <c r="D97" s="643"/>
      <c r="E97" s="658" t="b">
        <v>0</v>
      </c>
      <c r="F97" s="646" t="str">
        <f t="shared" si="1"/>
        <v>ADEUDA</v>
      </c>
      <c r="G97" s="340" t="s">
        <v>2278</v>
      </c>
      <c r="H97" s="646" t="str">
        <f t="shared" si="2"/>
        <v>VENCIDA</v>
      </c>
      <c r="I97" s="647">
        <f t="shared" si="3"/>
        <v>46167</v>
      </c>
    </row>
    <row r="98">
      <c r="A98" s="644"/>
      <c r="B98" s="644"/>
      <c r="C98" s="644" t="str">
        <f t="shared" si="4"/>
        <v/>
      </c>
      <c r="D98" s="643"/>
      <c r="E98" s="658" t="b">
        <v>0</v>
      </c>
      <c r="F98" s="646" t="str">
        <f t="shared" si="1"/>
        <v>ADEUDA</v>
      </c>
      <c r="G98" s="340" t="s">
        <v>2278</v>
      </c>
      <c r="H98" s="646" t="str">
        <f t="shared" si="2"/>
        <v>VENCIDA</v>
      </c>
      <c r="I98" s="647">
        <f t="shared" si="3"/>
        <v>46167</v>
      </c>
    </row>
    <row r="99">
      <c r="A99" s="644"/>
      <c r="B99" s="644"/>
      <c r="C99" s="644" t="str">
        <f t="shared" si="4"/>
        <v/>
      </c>
      <c r="D99" s="643"/>
      <c r="E99" s="658" t="b">
        <v>0</v>
      </c>
      <c r="F99" s="646" t="str">
        <f t="shared" si="1"/>
        <v>ADEUDA</v>
      </c>
      <c r="G99" s="340" t="s">
        <v>2278</v>
      </c>
      <c r="H99" s="646" t="str">
        <f t="shared" si="2"/>
        <v>VENCIDA</v>
      </c>
      <c r="I99" s="647">
        <f t="shared" si="3"/>
        <v>46167</v>
      </c>
    </row>
    <row r="100">
      <c r="A100" s="644"/>
      <c r="B100" s="644"/>
      <c r="C100" s="644" t="str">
        <f t="shared" si="4"/>
        <v/>
      </c>
      <c r="D100" s="643"/>
      <c r="E100" s="658" t="b">
        <v>0</v>
      </c>
      <c r="F100" s="646" t="str">
        <f t="shared" si="1"/>
        <v>ADEUDA</v>
      </c>
      <c r="G100" s="340" t="s">
        <v>2278</v>
      </c>
      <c r="H100" s="646" t="str">
        <f t="shared" si="2"/>
        <v>VENCIDA</v>
      </c>
      <c r="I100" s="647">
        <f t="shared" si="3"/>
        <v>46167</v>
      </c>
    </row>
    <row r="101">
      <c r="A101" s="644"/>
      <c r="B101" s="644"/>
      <c r="C101" s="644" t="str">
        <f t="shared" si="4"/>
        <v/>
      </c>
      <c r="D101" s="643"/>
      <c r="E101" s="658" t="b">
        <v>0</v>
      </c>
      <c r="F101" s="646" t="str">
        <f t="shared" si="1"/>
        <v>ADEUDA</v>
      </c>
      <c r="G101" s="340" t="s">
        <v>2278</v>
      </c>
      <c r="H101" s="646" t="str">
        <f t="shared" si="2"/>
        <v>VENCIDA</v>
      </c>
      <c r="I101" s="647">
        <f t="shared" si="3"/>
        <v>46167</v>
      </c>
    </row>
    <row r="102">
      <c r="A102" s="644"/>
      <c r="B102" s="644"/>
      <c r="C102" s="644" t="str">
        <f t="shared" si="4"/>
        <v/>
      </c>
      <c r="D102" s="643"/>
      <c r="E102" s="658" t="b">
        <v>0</v>
      </c>
      <c r="F102" s="646" t="str">
        <f t="shared" si="1"/>
        <v>ADEUDA</v>
      </c>
      <c r="G102" s="340" t="s">
        <v>2278</v>
      </c>
      <c r="H102" s="646" t="str">
        <f t="shared" si="2"/>
        <v>VENCIDA</v>
      </c>
      <c r="I102" s="647">
        <f t="shared" si="3"/>
        <v>46167</v>
      </c>
    </row>
    <row r="103">
      <c r="A103" s="644"/>
      <c r="B103" s="644"/>
      <c r="C103" s="644" t="str">
        <f t="shared" si="4"/>
        <v/>
      </c>
      <c r="D103" s="643"/>
      <c r="E103" s="658" t="b">
        <v>0</v>
      </c>
      <c r="F103" s="646" t="str">
        <f t="shared" si="1"/>
        <v>ADEUDA</v>
      </c>
      <c r="G103" s="340" t="s">
        <v>2278</v>
      </c>
      <c r="H103" s="646" t="str">
        <f t="shared" si="2"/>
        <v>VENCIDA</v>
      </c>
      <c r="I103" s="647">
        <f t="shared" si="3"/>
        <v>46167</v>
      </c>
    </row>
    <row r="104">
      <c r="A104" s="644"/>
      <c r="B104" s="644"/>
      <c r="C104" s="644" t="str">
        <f t="shared" si="4"/>
        <v/>
      </c>
      <c r="D104" s="643"/>
      <c r="E104" s="658" t="b">
        <v>0</v>
      </c>
      <c r="F104" s="646" t="str">
        <f t="shared" si="1"/>
        <v>ADEUDA</v>
      </c>
      <c r="G104" s="340" t="s">
        <v>2278</v>
      </c>
      <c r="H104" s="646" t="str">
        <f t="shared" si="2"/>
        <v>VENCIDA</v>
      </c>
      <c r="I104" s="647">
        <f t="shared" si="3"/>
        <v>46167</v>
      </c>
    </row>
    <row r="105">
      <c r="A105" s="644"/>
      <c r="B105" s="644"/>
      <c r="C105" s="644" t="str">
        <f t="shared" si="4"/>
        <v/>
      </c>
      <c r="D105" s="643"/>
      <c r="E105" s="658" t="b">
        <v>0</v>
      </c>
      <c r="F105" s="646" t="str">
        <f t="shared" si="1"/>
        <v>ADEUDA</v>
      </c>
      <c r="G105" s="340" t="s">
        <v>2278</v>
      </c>
      <c r="H105" s="646" t="str">
        <f t="shared" si="2"/>
        <v>VENCIDA</v>
      </c>
      <c r="I105" s="647">
        <f t="shared" si="3"/>
        <v>46167</v>
      </c>
    </row>
    <row r="106">
      <c r="A106" s="644"/>
      <c r="B106" s="644"/>
      <c r="C106" s="644" t="str">
        <f t="shared" si="4"/>
        <v/>
      </c>
      <c r="D106" s="643"/>
      <c r="E106" s="658" t="b">
        <v>0</v>
      </c>
      <c r="F106" s="646" t="str">
        <f t="shared" si="1"/>
        <v>ADEUDA</v>
      </c>
      <c r="G106" s="340" t="s">
        <v>2278</v>
      </c>
      <c r="H106" s="646" t="str">
        <f t="shared" si="2"/>
        <v>VENCIDA</v>
      </c>
      <c r="I106" s="647">
        <f t="shared" si="3"/>
        <v>46167</v>
      </c>
    </row>
    <row r="107">
      <c r="A107" s="644"/>
      <c r="B107" s="644"/>
      <c r="C107" s="644" t="str">
        <f t="shared" si="4"/>
        <v/>
      </c>
      <c r="D107" s="643"/>
      <c r="E107" s="658" t="b">
        <v>0</v>
      </c>
      <c r="F107" s="646" t="str">
        <f t="shared" si="1"/>
        <v>ADEUDA</v>
      </c>
      <c r="G107" s="340" t="s">
        <v>2278</v>
      </c>
      <c r="H107" s="646" t="str">
        <f t="shared" si="2"/>
        <v>VENCIDA</v>
      </c>
      <c r="I107" s="647">
        <f t="shared" si="3"/>
        <v>46167</v>
      </c>
    </row>
    <row r="108">
      <c r="A108" s="644"/>
      <c r="B108" s="644"/>
      <c r="C108" s="644" t="str">
        <f t="shared" si="4"/>
        <v/>
      </c>
      <c r="D108" s="643"/>
      <c r="E108" s="658" t="b">
        <v>0</v>
      </c>
      <c r="F108" s="646" t="str">
        <f t="shared" si="1"/>
        <v>ADEUDA</v>
      </c>
      <c r="G108" s="340" t="s">
        <v>2278</v>
      </c>
      <c r="H108" s="646" t="str">
        <f t="shared" si="2"/>
        <v>VENCIDA</v>
      </c>
      <c r="I108" s="647">
        <f t="shared" si="3"/>
        <v>46167</v>
      </c>
    </row>
    <row r="109">
      <c r="A109" s="644"/>
      <c r="B109" s="644"/>
      <c r="C109" s="644" t="str">
        <f t="shared" si="4"/>
        <v/>
      </c>
      <c r="D109" s="643"/>
      <c r="E109" s="658" t="b">
        <v>0</v>
      </c>
      <c r="F109" s="646" t="str">
        <f t="shared" si="1"/>
        <v>ADEUDA</v>
      </c>
      <c r="G109" s="340" t="s">
        <v>2278</v>
      </c>
      <c r="H109" s="646" t="str">
        <f t="shared" si="2"/>
        <v>VENCIDA</v>
      </c>
      <c r="I109" s="647">
        <f t="shared" si="3"/>
        <v>46167</v>
      </c>
    </row>
    <row r="110">
      <c r="A110" s="644"/>
      <c r="B110" s="644"/>
      <c r="C110" s="644" t="str">
        <f t="shared" si="4"/>
        <v/>
      </c>
      <c r="D110" s="643"/>
      <c r="E110" s="658" t="b">
        <v>0</v>
      </c>
      <c r="F110" s="646" t="str">
        <f t="shared" si="1"/>
        <v>ADEUDA</v>
      </c>
      <c r="G110" s="340" t="s">
        <v>2278</v>
      </c>
      <c r="H110" s="646" t="str">
        <f t="shared" si="2"/>
        <v>VENCIDA</v>
      </c>
      <c r="I110" s="647">
        <f t="shared" si="3"/>
        <v>46167</v>
      </c>
    </row>
    <row r="111">
      <c r="A111" s="644"/>
      <c r="B111" s="644"/>
      <c r="C111" s="644" t="str">
        <f t="shared" si="4"/>
        <v/>
      </c>
      <c r="D111" s="643"/>
      <c r="E111" s="658" t="b">
        <v>0</v>
      </c>
      <c r="F111" s="646" t="str">
        <f t="shared" si="1"/>
        <v>ADEUDA</v>
      </c>
      <c r="G111" s="340" t="s">
        <v>2278</v>
      </c>
      <c r="H111" s="646" t="str">
        <f t="shared" si="2"/>
        <v>VENCIDA</v>
      </c>
      <c r="I111" s="647">
        <f t="shared" si="3"/>
        <v>46167</v>
      </c>
    </row>
    <row r="112">
      <c r="A112" s="644"/>
      <c r="B112" s="644"/>
      <c r="C112" s="644" t="str">
        <f t="shared" si="4"/>
        <v/>
      </c>
      <c r="D112" s="643"/>
      <c r="E112" s="658" t="b">
        <v>0</v>
      </c>
      <c r="F112" s="646" t="str">
        <f t="shared" si="1"/>
        <v>ADEUDA</v>
      </c>
      <c r="G112" s="340" t="s">
        <v>2278</v>
      </c>
      <c r="H112" s="646" t="str">
        <f t="shared" si="2"/>
        <v>VENCIDA</v>
      </c>
      <c r="I112" s="647">
        <f t="shared" si="3"/>
        <v>46167</v>
      </c>
    </row>
    <row r="113">
      <c r="A113" s="644"/>
      <c r="B113" s="644"/>
      <c r="C113" s="644" t="str">
        <f t="shared" si="4"/>
        <v/>
      </c>
      <c r="D113" s="643"/>
      <c r="E113" s="658" t="b">
        <v>0</v>
      </c>
      <c r="F113" s="646" t="str">
        <f t="shared" si="1"/>
        <v>ADEUDA</v>
      </c>
      <c r="G113" s="340" t="s">
        <v>2278</v>
      </c>
      <c r="H113" s="646" t="str">
        <f t="shared" si="2"/>
        <v>VENCIDA</v>
      </c>
      <c r="I113" s="647">
        <f t="shared" si="3"/>
        <v>46167</v>
      </c>
    </row>
    <row r="114">
      <c r="A114" s="644"/>
      <c r="B114" s="644"/>
      <c r="C114" s="644" t="str">
        <f t="shared" si="4"/>
        <v/>
      </c>
      <c r="D114" s="643"/>
      <c r="E114" s="658" t="b">
        <v>0</v>
      </c>
      <c r="F114" s="646" t="str">
        <f t="shared" si="1"/>
        <v>ADEUDA</v>
      </c>
      <c r="G114" s="340" t="s">
        <v>2278</v>
      </c>
      <c r="H114" s="646" t="str">
        <f t="shared" si="2"/>
        <v>VENCIDA</v>
      </c>
      <c r="I114" s="647">
        <f t="shared" si="3"/>
        <v>46167</v>
      </c>
    </row>
    <row r="115">
      <c r="A115" s="644"/>
      <c r="B115" s="644"/>
      <c r="C115" s="644" t="str">
        <f t="shared" si="4"/>
        <v/>
      </c>
      <c r="D115" s="643"/>
      <c r="E115" s="658" t="b">
        <v>0</v>
      </c>
      <c r="F115" s="646" t="str">
        <f t="shared" si="1"/>
        <v>ADEUDA</v>
      </c>
      <c r="G115" s="340" t="s">
        <v>2278</v>
      </c>
      <c r="H115" s="646" t="str">
        <f t="shared" si="2"/>
        <v>VENCIDA</v>
      </c>
      <c r="I115" s="647">
        <f t="shared" si="3"/>
        <v>46167</v>
      </c>
    </row>
    <row r="116">
      <c r="A116" s="644"/>
      <c r="B116" s="644"/>
      <c r="C116" s="644" t="str">
        <f t="shared" si="4"/>
        <v/>
      </c>
      <c r="D116" s="643"/>
      <c r="E116" s="658" t="b">
        <v>0</v>
      </c>
      <c r="F116" s="646" t="str">
        <f t="shared" si="1"/>
        <v>ADEUDA</v>
      </c>
      <c r="G116" s="340" t="s">
        <v>2278</v>
      </c>
      <c r="H116" s="646" t="str">
        <f t="shared" si="2"/>
        <v>VENCIDA</v>
      </c>
      <c r="I116" s="647">
        <f t="shared" si="3"/>
        <v>46167</v>
      </c>
    </row>
    <row r="117">
      <c r="A117" s="644"/>
      <c r="B117" s="644"/>
      <c r="C117" s="644" t="str">
        <f t="shared" si="4"/>
        <v/>
      </c>
      <c r="D117" s="643"/>
      <c r="E117" s="658" t="b">
        <v>0</v>
      </c>
      <c r="F117" s="646" t="str">
        <f t="shared" si="1"/>
        <v>ADEUDA</v>
      </c>
      <c r="G117" s="340" t="s">
        <v>2278</v>
      </c>
      <c r="H117" s="646" t="str">
        <f t="shared" si="2"/>
        <v>VENCIDA</v>
      </c>
      <c r="I117" s="647">
        <f t="shared" si="3"/>
        <v>46167</v>
      </c>
    </row>
    <row r="118">
      <c r="A118" s="644"/>
      <c r="B118" s="644"/>
      <c r="C118" s="644" t="str">
        <f t="shared" si="4"/>
        <v/>
      </c>
      <c r="D118" s="643"/>
      <c r="E118" s="658" t="b">
        <v>0</v>
      </c>
      <c r="F118" s="646" t="str">
        <f t="shared" si="1"/>
        <v>ADEUDA</v>
      </c>
      <c r="G118" s="340" t="s">
        <v>2278</v>
      </c>
      <c r="H118" s="646" t="str">
        <f t="shared" si="2"/>
        <v>VENCIDA</v>
      </c>
      <c r="I118" s="647">
        <f t="shared" si="3"/>
        <v>46167</v>
      </c>
    </row>
    <row r="119">
      <c r="A119" s="644"/>
      <c r="B119" s="644"/>
      <c r="C119" s="644" t="str">
        <f t="shared" si="4"/>
        <v/>
      </c>
      <c r="D119" s="643"/>
      <c r="E119" s="658" t="b">
        <v>0</v>
      </c>
      <c r="F119" s="646" t="str">
        <f t="shared" si="1"/>
        <v>ADEUDA</v>
      </c>
      <c r="G119" s="340" t="s">
        <v>2278</v>
      </c>
      <c r="H119" s="646" t="str">
        <f t="shared" si="2"/>
        <v>VENCIDA</v>
      </c>
      <c r="I119" s="647">
        <f t="shared" si="3"/>
        <v>46167</v>
      </c>
    </row>
    <row r="120">
      <c r="A120" s="644"/>
      <c r="B120" s="644"/>
      <c r="C120" s="644" t="str">
        <f t="shared" si="4"/>
        <v/>
      </c>
      <c r="D120" s="643"/>
      <c r="E120" s="658" t="b">
        <v>0</v>
      </c>
      <c r="F120" s="646" t="str">
        <f t="shared" si="1"/>
        <v>ADEUDA</v>
      </c>
      <c r="G120" s="340" t="s">
        <v>2278</v>
      </c>
      <c r="H120" s="646" t="str">
        <f t="shared" si="2"/>
        <v>VENCIDA</v>
      </c>
      <c r="I120" s="647">
        <f t="shared" si="3"/>
        <v>46167</v>
      </c>
    </row>
    <row r="121">
      <c r="A121" s="644"/>
      <c r="B121" s="644"/>
      <c r="C121" s="644" t="str">
        <f t="shared" si="4"/>
        <v/>
      </c>
      <c r="D121" s="643"/>
      <c r="E121" s="658" t="b">
        <v>0</v>
      </c>
      <c r="F121" s="646" t="str">
        <f t="shared" si="1"/>
        <v>ADEUDA</v>
      </c>
      <c r="G121" s="340" t="s">
        <v>2278</v>
      </c>
      <c r="H121" s="646" t="str">
        <f t="shared" si="2"/>
        <v>VENCIDA</v>
      </c>
      <c r="I121" s="647">
        <f t="shared" si="3"/>
        <v>46167</v>
      </c>
    </row>
    <row r="122">
      <c r="A122" s="644"/>
      <c r="B122" s="644"/>
      <c r="C122" s="644" t="str">
        <f t="shared" si="4"/>
        <v/>
      </c>
      <c r="D122" s="643"/>
      <c r="E122" s="658" t="b">
        <v>0</v>
      </c>
      <c r="F122" s="646" t="str">
        <f t="shared" si="1"/>
        <v>ADEUDA</v>
      </c>
      <c r="G122" s="340" t="s">
        <v>2278</v>
      </c>
      <c r="H122" s="646" t="str">
        <f t="shared" si="2"/>
        <v>VENCIDA</v>
      </c>
      <c r="I122" s="647">
        <f t="shared" si="3"/>
        <v>46167</v>
      </c>
    </row>
    <row r="123">
      <c r="A123" s="644"/>
      <c r="B123" s="644"/>
      <c r="C123" s="644" t="str">
        <f t="shared" si="4"/>
        <v/>
      </c>
      <c r="D123" s="643"/>
      <c r="E123" s="658" t="b">
        <v>0</v>
      </c>
      <c r="F123" s="646" t="str">
        <f t="shared" si="1"/>
        <v>ADEUDA</v>
      </c>
      <c r="G123" s="340" t="s">
        <v>2278</v>
      </c>
      <c r="H123" s="646" t="str">
        <f t="shared" si="2"/>
        <v>VENCIDA</v>
      </c>
      <c r="I123" s="647">
        <f t="shared" si="3"/>
        <v>46167</v>
      </c>
    </row>
    <row r="124">
      <c r="A124" s="644"/>
      <c r="B124" s="644"/>
      <c r="C124" s="644" t="str">
        <f t="shared" si="4"/>
        <v/>
      </c>
      <c r="D124" s="643"/>
      <c r="E124" s="658" t="b">
        <v>0</v>
      </c>
      <c r="F124" s="646" t="str">
        <f t="shared" si="1"/>
        <v>ADEUDA</v>
      </c>
      <c r="G124" s="340" t="s">
        <v>2278</v>
      </c>
      <c r="H124" s="646" t="str">
        <f t="shared" si="2"/>
        <v>VENCIDA</v>
      </c>
      <c r="I124" s="647">
        <f t="shared" si="3"/>
        <v>46167</v>
      </c>
    </row>
    <row r="125">
      <c r="A125" s="644"/>
      <c r="B125" s="644"/>
      <c r="C125" s="644" t="str">
        <f t="shared" si="4"/>
        <v/>
      </c>
      <c r="D125" s="643"/>
      <c r="E125" s="658" t="b">
        <v>0</v>
      </c>
      <c r="F125" s="646" t="str">
        <f t="shared" si="1"/>
        <v>ADEUDA</v>
      </c>
      <c r="G125" s="340" t="s">
        <v>2278</v>
      </c>
      <c r="H125" s="646" t="str">
        <f t="shared" si="2"/>
        <v>VENCIDA</v>
      </c>
      <c r="I125" s="647">
        <f t="shared" si="3"/>
        <v>46167</v>
      </c>
    </row>
    <row r="126">
      <c r="A126" s="644"/>
      <c r="B126" s="644"/>
      <c r="C126" s="644" t="str">
        <f t="shared" si="4"/>
        <v/>
      </c>
      <c r="D126" s="643"/>
      <c r="E126" s="658" t="b">
        <v>0</v>
      </c>
      <c r="F126" s="646" t="str">
        <f t="shared" si="1"/>
        <v>ADEUDA</v>
      </c>
      <c r="G126" s="340" t="s">
        <v>2278</v>
      </c>
      <c r="H126" s="646" t="str">
        <f t="shared" si="2"/>
        <v>VENCIDA</v>
      </c>
      <c r="I126" s="647">
        <f t="shared" si="3"/>
        <v>46167</v>
      </c>
    </row>
    <row r="127">
      <c r="A127" s="644"/>
      <c r="B127" s="644"/>
      <c r="C127" s="644" t="str">
        <f t="shared" si="4"/>
        <v/>
      </c>
      <c r="D127" s="643"/>
      <c r="E127" s="658" t="b">
        <v>0</v>
      </c>
      <c r="F127" s="646" t="str">
        <f t="shared" si="1"/>
        <v>ADEUDA</v>
      </c>
      <c r="G127" s="340" t="s">
        <v>2278</v>
      </c>
      <c r="H127" s="646" t="str">
        <f t="shared" si="2"/>
        <v>VENCIDA</v>
      </c>
      <c r="I127" s="647">
        <f t="shared" si="3"/>
        <v>46167</v>
      </c>
    </row>
    <row r="128">
      <c r="A128" s="644"/>
      <c r="B128" s="644"/>
      <c r="C128" s="644" t="str">
        <f t="shared" si="4"/>
        <v/>
      </c>
      <c r="D128" s="643"/>
      <c r="E128" s="658" t="b">
        <v>0</v>
      </c>
      <c r="F128" s="646" t="str">
        <f t="shared" si="1"/>
        <v>ADEUDA</v>
      </c>
      <c r="G128" s="340" t="s">
        <v>2278</v>
      </c>
      <c r="H128" s="646" t="str">
        <f t="shared" si="2"/>
        <v>VENCIDA</v>
      </c>
      <c r="I128" s="647">
        <f t="shared" si="3"/>
        <v>46167</v>
      </c>
    </row>
    <row r="129">
      <c r="A129" s="644"/>
      <c r="B129" s="644"/>
      <c r="C129" s="644" t="str">
        <f t="shared" si="4"/>
        <v/>
      </c>
      <c r="D129" s="643"/>
      <c r="E129" s="658" t="b">
        <v>0</v>
      </c>
      <c r="F129" s="646" t="str">
        <f t="shared" si="1"/>
        <v>ADEUDA</v>
      </c>
      <c r="G129" s="340" t="s">
        <v>2278</v>
      </c>
      <c r="H129" s="646" t="str">
        <f t="shared" si="2"/>
        <v>VENCIDA</v>
      </c>
      <c r="I129" s="647">
        <f t="shared" si="3"/>
        <v>46167</v>
      </c>
    </row>
    <row r="130">
      <c r="A130" s="644"/>
      <c r="B130" s="644"/>
      <c r="C130" s="644" t="str">
        <f t="shared" si="4"/>
        <v/>
      </c>
      <c r="D130" s="643"/>
      <c r="E130" s="658" t="b">
        <v>0</v>
      </c>
      <c r="F130" s="646" t="str">
        <f t="shared" si="1"/>
        <v>ADEUDA</v>
      </c>
      <c r="G130" s="340" t="s">
        <v>2278</v>
      </c>
      <c r="H130" s="646" t="str">
        <f t="shared" si="2"/>
        <v>VENCIDA</v>
      </c>
      <c r="I130" s="647">
        <f t="shared" si="3"/>
        <v>46167</v>
      </c>
    </row>
    <row r="131">
      <c r="A131" s="644"/>
      <c r="B131" s="644"/>
      <c r="C131" s="644" t="str">
        <f t="shared" si="4"/>
        <v/>
      </c>
      <c r="D131" s="643"/>
      <c r="E131" s="645" t="b">
        <v>1</v>
      </c>
      <c r="F131" s="646" t="str">
        <f t="shared" si="1"/>
        <v>PAGADO</v>
      </c>
      <c r="G131" s="340" t="s">
        <v>2278</v>
      </c>
      <c r="H131" s="646" t="str">
        <f t="shared" si="2"/>
        <v>VENCIDA</v>
      </c>
      <c r="I131" s="647">
        <f t="shared" si="3"/>
        <v>46167</v>
      </c>
    </row>
    <row r="133">
      <c r="C133" s="771"/>
    </row>
    <row r="134">
      <c r="C134" s="772" t="s">
        <v>55</v>
      </c>
      <c r="D134" s="3">
        <f>SUMIF(F3:F131,C134,D3:D131)</f>
        <v>0</v>
      </c>
    </row>
    <row r="135">
      <c r="C135" s="773" t="s">
        <v>527</v>
      </c>
      <c r="D135" s="3">
        <f>SUMIF(F3:F131,C135,D3:D131)</f>
        <v>291200.56</v>
      </c>
    </row>
    <row r="136">
      <c r="C136" s="697" t="s">
        <v>28</v>
      </c>
      <c r="D136" s="3">
        <f>D134+D135</f>
        <v>291200.56</v>
      </c>
    </row>
  </sheetData>
  <mergeCells count="2">
    <mergeCell ref="A1:H1"/>
    <mergeCell ref="E2:F2"/>
  </mergeCells>
  <conditionalFormatting sqref="F3:F131">
    <cfRule type="expression" dxfId="1" priority="1">
      <formula>F3="PAGADO"</formula>
    </cfRule>
  </conditionalFormatting>
  <conditionalFormatting sqref="F3:F131">
    <cfRule type="expression" dxfId="2" priority="2">
      <formula>F3="ADEUDA"</formula>
    </cfRule>
  </conditionalFormatting>
  <conditionalFormatting sqref="H3:H131">
    <cfRule type="cellIs" dxfId="3" priority="3" operator="equal">
      <formula>"VENCIDA"</formula>
    </cfRule>
  </conditionalFormatting>
  <conditionalFormatting sqref="H3:H131">
    <cfRule type="cellIs" dxfId="4" priority="4" operator="equal">
      <formula>"VIGENTE"</formula>
    </cfRule>
  </conditionalFormatting>
  <conditionalFormatting sqref="H3:H131">
    <cfRule type="cellIs" dxfId="2" priority="5" operator="equal">
      <formula>"VENCE HOY"</formula>
    </cfRule>
  </conditionalFormatting>
  <dataValidations>
    <dataValidation type="list" allowBlank="1" showErrorMessage="1" sqref="G3:G131">
      <formula1>"transferencia,mercado pago,efectivo"</formula1>
    </dataValidation>
  </dataValidation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/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39">
        <v>23400.0</v>
      </c>
      <c r="C2" s="240"/>
      <c r="D2" s="241"/>
      <c r="E2" s="242"/>
      <c r="F2" s="243"/>
      <c r="G2" s="244" t="s">
        <v>64</v>
      </c>
      <c r="H2" s="245">
        <v>87.0</v>
      </c>
      <c r="I2" s="2" t="s">
        <v>2513</v>
      </c>
    </row>
    <row r="3">
      <c r="A3" s="246"/>
      <c r="B3" s="247"/>
      <c r="C3" s="248"/>
      <c r="D3" s="249"/>
      <c r="F3" s="250">
        <v>7200.0</v>
      </c>
      <c r="G3" s="2" t="s">
        <v>120</v>
      </c>
      <c r="H3" s="251"/>
    </row>
    <row r="4">
      <c r="A4" s="246"/>
      <c r="B4" s="247">
        <v>12124.2</v>
      </c>
      <c r="C4" s="252"/>
      <c r="D4" s="253"/>
      <c r="F4" s="250"/>
      <c r="G4" s="2" t="s">
        <v>615</v>
      </c>
      <c r="H4" s="251"/>
    </row>
    <row r="5">
      <c r="A5" s="246"/>
      <c r="B5" s="247">
        <v>17360.0</v>
      </c>
      <c r="C5" s="248"/>
      <c r="D5" s="249"/>
      <c r="F5" s="250"/>
      <c r="G5" s="2" t="s">
        <v>2514</v>
      </c>
      <c r="H5" s="251"/>
    </row>
    <row r="6">
      <c r="A6" s="246"/>
      <c r="B6" s="247"/>
      <c r="C6" s="248"/>
      <c r="D6" s="249"/>
      <c r="F6" s="250">
        <v>500.0</v>
      </c>
      <c r="G6" s="254" t="s">
        <v>1731</v>
      </c>
      <c r="H6" s="251"/>
    </row>
    <row r="7">
      <c r="A7" s="246" t="s">
        <v>2515</v>
      </c>
      <c r="B7" s="247">
        <v>9600.0</v>
      </c>
      <c r="C7" s="248"/>
      <c r="D7" s="249"/>
      <c r="F7" s="250"/>
      <c r="G7" s="254" t="s">
        <v>2516</v>
      </c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534</v>
      </c>
      <c r="B15" s="239"/>
      <c r="C15" s="263"/>
      <c r="D15" s="264"/>
      <c r="E15" s="242"/>
      <c r="F15" s="250">
        <v>536.0</v>
      </c>
      <c r="G15" s="2" t="s">
        <v>2517</v>
      </c>
      <c r="H15" s="245">
        <v>50.0</v>
      </c>
      <c r="I15">
        <f>SUM(H15,H2)</f>
        <v>137</v>
      </c>
    </row>
    <row r="16">
      <c r="A16" s="265"/>
      <c r="B16" s="247">
        <v>32300.0</v>
      </c>
      <c r="C16" s="248"/>
      <c r="D16" s="249"/>
      <c r="F16" s="266"/>
      <c r="G16" s="2" t="s">
        <v>75</v>
      </c>
      <c r="H16" s="251"/>
      <c r="I16" s="2">
        <v>109.0</v>
      </c>
    </row>
    <row r="17">
      <c r="A17" s="265"/>
      <c r="B17" s="247"/>
      <c r="C17" s="248"/>
      <c r="D17" s="249"/>
      <c r="F17" s="250">
        <v>600.0</v>
      </c>
      <c r="G17" s="2" t="s">
        <v>374</v>
      </c>
      <c r="H17" s="251"/>
      <c r="I17">
        <f>SUM(I15:I16)</f>
        <v>246</v>
      </c>
    </row>
    <row r="18">
      <c r="A18" s="265"/>
      <c r="B18" s="247"/>
      <c r="C18" s="252"/>
      <c r="D18" s="249"/>
      <c r="F18" s="250">
        <v>224.0</v>
      </c>
      <c r="G18" s="2" t="s">
        <v>172</v>
      </c>
      <c r="H18" s="251"/>
    </row>
    <row r="19">
      <c r="A19" s="265"/>
      <c r="B19" s="247">
        <v>10756.64</v>
      </c>
      <c r="C19" s="248"/>
      <c r="D19" s="249"/>
      <c r="F19" s="250"/>
      <c r="G19" s="2" t="s">
        <v>82</v>
      </c>
      <c r="H19" s="251"/>
    </row>
    <row r="20">
      <c r="A20" s="265"/>
      <c r="B20" s="247"/>
      <c r="C20" s="252"/>
      <c r="D20" s="249"/>
      <c r="F20" s="250">
        <v>2500.0</v>
      </c>
      <c r="G20" s="2" t="s">
        <v>101</v>
      </c>
      <c r="H20" s="251"/>
    </row>
    <row r="21">
      <c r="A21" s="265"/>
      <c r="B21" s="247">
        <v>5002.5</v>
      </c>
      <c r="C21" s="252"/>
      <c r="D21" s="253"/>
      <c r="F21" s="250"/>
      <c r="G21" s="254" t="s">
        <v>915</v>
      </c>
      <c r="H21" s="251"/>
    </row>
    <row r="22">
      <c r="A22" s="265"/>
      <c r="B22" s="247"/>
      <c r="C22" s="252"/>
      <c r="D22" s="249"/>
      <c r="F22" s="250">
        <v>20000.0</v>
      </c>
      <c r="G22" s="254" t="s">
        <v>1743</v>
      </c>
      <c r="H22" s="267"/>
    </row>
    <row r="23">
      <c r="A23" s="265"/>
      <c r="B23" s="247">
        <v>3700.0</v>
      </c>
      <c r="C23" s="252"/>
      <c r="D23" s="253"/>
      <c r="F23" s="250"/>
      <c r="G23" s="254" t="s">
        <v>717</v>
      </c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538</v>
      </c>
      <c r="B28" s="239">
        <v>23795.8</v>
      </c>
      <c r="C28" s="240"/>
      <c r="D28" s="241"/>
      <c r="E28" s="242"/>
      <c r="F28" s="243"/>
      <c r="G28" s="276" t="s">
        <v>74</v>
      </c>
      <c r="H28" s="245">
        <v>33.0</v>
      </c>
      <c r="I28" s="2" t="s">
        <v>59</v>
      </c>
    </row>
    <row r="29">
      <c r="A29" s="265"/>
      <c r="B29" s="247">
        <v>35504.19</v>
      </c>
      <c r="C29" s="248"/>
      <c r="D29" s="249"/>
      <c r="F29" s="250"/>
      <c r="G29" s="2" t="s">
        <v>73</v>
      </c>
      <c r="H29" s="267"/>
    </row>
    <row r="30">
      <c r="A30" s="265"/>
      <c r="B30" s="247"/>
      <c r="C30" s="248"/>
      <c r="D30" s="249"/>
      <c r="F30" s="250">
        <v>838.0</v>
      </c>
      <c r="G30" s="254" t="s">
        <v>97</v>
      </c>
      <c r="H30" s="251"/>
    </row>
    <row r="31">
      <c r="A31" s="265"/>
      <c r="B31" s="247"/>
      <c r="C31" s="248">
        <v>38622.35</v>
      </c>
      <c r="D31" s="249"/>
      <c r="F31" s="250"/>
      <c r="G31" s="254" t="s">
        <v>71</v>
      </c>
      <c r="H31" s="251"/>
    </row>
    <row r="32">
      <c r="A32" s="265"/>
      <c r="B32" s="247"/>
      <c r="C32" s="252"/>
      <c r="D32" s="249"/>
      <c r="F32" s="250">
        <v>1980.0</v>
      </c>
      <c r="G32" s="254" t="s">
        <v>143</v>
      </c>
      <c r="H32" s="251"/>
    </row>
    <row r="33">
      <c r="A33" s="265"/>
      <c r="B33" s="247"/>
      <c r="C33" s="252"/>
      <c r="D33" s="249"/>
      <c r="F33" s="250"/>
      <c r="G33" s="254"/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8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9441.1</v>
      </c>
      <c r="C42" s="248"/>
      <c r="D42" s="249"/>
      <c r="F42" s="250"/>
      <c r="G42" s="254" t="s">
        <v>82</v>
      </c>
      <c r="H42" s="267">
        <v>68.0</v>
      </c>
      <c r="I42" s="2" t="s">
        <v>2518</v>
      </c>
    </row>
    <row r="43">
      <c r="A43" s="280"/>
      <c r="B43" s="277"/>
      <c r="C43" s="252"/>
      <c r="D43" s="249"/>
      <c r="F43" s="250">
        <v>340.0</v>
      </c>
      <c r="G43" s="254" t="s">
        <v>97</v>
      </c>
      <c r="H43" s="251"/>
      <c r="I43" s="2" t="s">
        <v>2519</v>
      </c>
    </row>
    <row r="44">
      <c r="A44" s="280" t="s">
        <v>541</v>
      </c>
      <c r="B44" s="247">
        <v>21340.0</v>
      </c>
      <c r="C44" s="248"/>
      <c r="D44" s="249"/>
      <c r="F44" s="250"/>
      <c r="G44" s="254" t="s">
        <v>75</v>
      </c>
      <c r="H44" s="251"/>
      <c r="I44" s="2" t="s">
        <v>2520</v>
      </c>
    </row>
    <row r="45">
      <c r="A45" s="265"/>
      <c r="B45" s="247">
        <v>23400.0</v>
      </c>
      <c r="C45" s="252"/>
      <c r="D45" s="249"/>
      <c r="F45" s="250"/>
      <c r="G45" s="254" t="s">
        <v>87</v>
      </c>
      <c r="H45" s="251"/>
    </row>
    <row r="46">
      <c r="A46" s="265"/>
      <c r="B46" s="247"/>
      <c r="C46" s="248">
        <v>28013.4</v>
      </c>
      <c r="D46" s="249"/>
      <c r="F46" s="250"/>
      <c r="G46" s="254" t="s">
        <v>84</v>
      </c>
      <c r="H46" s="251"/>
    </row>
    <row r="47">
      <c r="A47" s="265"/>
      <c r="B47" s="247">
        <v>10219.97</v>
      </c>
      <c r="C47" s="252"/>
      <c r="D47" s="253"/>
      <c r="F47" s="250"/>
      <c r="G47" s="254" t="s">
        <v>114</v>
      </c>
      <c r="H47" s="251"/>
    </row>
    <row r="48">
      <c r="A48" s="265"/>
      <c r="B48" s="247"/>
      <c r="C48" s="248"/>
      <c r="D48" s="249"/>
      <c r="F48" s="250">
        <v>2500.0</v>
      </c>
      <c r="G48" s="254" t="s">
        <v>160</v>
      </c>
      <c r="H48" s="267"/>
    </row>
    <row r="49">
      <c r="A49" s="265"/>
      <c r="B49" s="247"/>
      <c r="C49" s="252"/>
      <c r="D49" s="253"/>
      <c r="F49" s="250">
        <v>750.0</v>
      </c>
      <c r="G49" s="254" t="s">
        <v>260</v>
      </c>
      <c r="H49" s="251"/>
    </row>
    <row r="50">
      <c r="A50" s="265"/>
      <c r="B50" s="247"/>
      <c r="C50" s="248"/>
      <c r="D50" s="253"/>
      <c r="F50" s="250">
        <v>7200.0</v>
      </c>
      <c r="G50" s="254" t="s">
        <v>120</v>
      </c>
      <c r="H50" s="251"/>
    </row>
    <row r="51">
      <c r="A51" s="265"/>
      <c r="B51" s="268"/>
      <c r="C51" s="252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2521</v>
      </c>
      <c r="B54" s="239"/>
      <c r="C54" s="263"/>
      <c r="D54" s="241"/>
      <c r="E54" s="242"/>
      <c r="F54" s="243">
        <v>4.0</v>
      </c>
      <c r="G54" s="276" t="s">
        <v>122</v>
      </c>
      <c r="H54" s="245">
        <v>85.0</v>
      </c>
      <c r="I54" s="2" t="s">
        <v>72</v>
      </c>
    </row>
    <row r="55">
      <c r="A55" s="265"/>
      <c r="B55" s="247">
        <v>20100.0</v>
      </c>
      <c r="C55" s="248"/>
      <c r="D55" s="253"/>
      <c r="F55" s="250"/>
      <c r="G55" s="254" t="s">
        <v>122</v>
      </c>
      <c r="H55" s="251"/>
    </row>
    <row r="56">
      <c r="A56" s="265"/>
      <c r="B56" s="247"/>
      <c r="C56" s="248">
        <v>17065.0</v>
      </c>
      <c r="D56" s="253"/>
      <c r="F56" s="250"/>
      <c r="G56" s="254" t="s">
        <v>89</v>
      </c>
      <c r="H56" s="251"/>
    </row>
    <row r="57">
      <c r="A57" s="265"/>
      <c r="B57" s="247">
        <v>39370.38</v>
      </c>
      <c r="C57" s="248"/>
      <c r="D57" s="249"/>
      <c r="F57" s="250"/>
      <c r="G57" s="254" t="s">
        <v>92</v>
      </c>
      <c r="H57" s="267"/>
    </row>
    <row r="58">
      <c r="A58" s="265"/>
      <c r="B58" s="247">
        <v>23700.52</v>
      </c>
      <c r="C58" s="248"/>
      <c r="D58" s="253"/>
      <c r="F58" s="250"/>
      <c r="G58" s="254" t="s">
        <v>103</v>
      </c>
      <c r="H58" s="251"/>
    </row>
    <row r="59">
      <c r="A59" s="265"/>
      <c r="B59" s="247"/>
      <c r="C59" s="252"/>
      <c r="D59" s="249"/>
      <c r="F59" s="250">
        <v>3600.0</v>
      </c>
      <c r="G59" s="254" t="s">
        <v>2522</v>
      </c>
      <c r="H59" s="251"/>
    </row>
    <row r="60">
      <c r="A60" s="265"/>
      <c r="B60" s="247">
        <v>3900.0</v>
      </c>
      <c r="C60" s="252"/>
      <c r="D60" s="253"/>
      <c r="F60" s="250"/>
      <c r="G60" s="254" t="s">
        <v>2523</v>
      </c>
      <c r="H60" s="251"/>
    </row>
    <row r="61">
      <c r="A61" s="265"/>
      <c r="B61" s="247"/>
      <c r="C61" s="252"/>
      <c r="D61" s="253"/>
      <c r="F61" s="250">
        <v>2060.0</v>
      </c>
      <c r="G61" s="254" t="s">
        <v>2524</v>
      </c>
      <c r="H61" s="251"/>
    </row>
    <row r="62">
      <c r="A62" s="265"/>
      <c r="B62" s="268"/>
      <c r="C62" s="248"/>
      <c r="D62" s="253"/>
      <c r="F62" s="250"/>
      <c r="G62" s="254"/>
      <c r="H62" s="251"/>
    </row>
    <row r="63">
      <c r="A63" s="265"/>
      <c r="B63" s="268"/>
      <c r="C63" s="248"/>
      <c r="D63" s="249"/>
      <c r="F63" s="250"/>
      <c r="G63" s="254"/>
      <c r="H63" s="251"/>
    </row>
    <row r="64">
      <c r="A64" s="265"/>
      <c r="B64" s="268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550</v>
      </c>
      <c r="B68" s="239">
        <v>9441.1</v>
      </c>
      <c r="C68" s="263"/>
      <c r="D68" s="264"/>
      <c r="E68" s="242"/>
      <c r="F68" s="243"/>
      <c r="G68" s="276" t="s">
        <v>82</v>
      </c>
      <c r="H68" s="245">
        <v>12.0</v>
      </c>
      <c r="I68" s="2" t="s">
        <v>2525</v>
      </c>
    </row>
    <row r="69">
      <c r="A69" s="265"/>
      <c r="B69" s="247"/>
      <c r="C69" s="248"/>
      <c r="D69" s="249"/>
      <c r="F69" s="250">
        <v>256.0</v>
      </c>
      <c r="G69" s="254" t="s">
        <v>97</v>
      </c>
      <c r="H69" s="251"/>
      <c r="I69" s="2" t="s">
        <v>2526</v>
      </c>
    </row>
    <row r="70">
      <c r="A70" s="265"/>
      <c r="B70" s="247"/>
      <c r="C70" s="252"/>
      <c r="D70" s="253"/>
      <c r="E70" s="2">
        <v>9600.0</v>
      </c>
      <c r="F70" s="250"/>
      <c r="G70" s="254" t="s">
        <v>351</v>
      </c>
      <c r="H70" s="267"/>
    </row>
    <row r="71">
      <c r="A71" s="265"/>
      <c r="B71" s="247">
        <v>19200.0</v>
      </c>
      <c r="C71" s="248"/>
      <c r="D71" s="253"/>
      <c r="F71" s="250"/>
      <c r="G71" s="254" t="s">
        <v>2527</v>
      </c>
      <c r="H71" s="251"/>
    </row>
    <row r="72">
      <c r="A72" s="265"/>
      <c r="B72" s="247">
        <v>6262.27</v>
      </c>
      <c r="C72" s="248"/>
      <c r="D72" s="249"/>
      <c r="F72" s="250"/>
      <c r="G72" s="254" t="s">
        <v>114</v>
      </c>
      <c r="H72" s="251"/>
    </row>
    <row r="73">
      <c r="A73" s="265"/>
      <c r="B73" s="247"/>
      <c r="C73" s="248"/>
      <c r="D73" s="253"/>
      <c r="F73" s="250">
        <v>600.0</v>
      </c>
      <c r="G73" s="254" t="s">
        <v>2528</v>
      </c>
      <c r="H73" s="251"/>
    </row>
    <row r="74">
      <c r="A74" s="265"/>
      <c r="B74" s="247">
        <v>6500.0</v>
      </c>
      <c r="C74" s="252"/>
      <c r="D74" s="253"/>
      <c r="F74" s="250"/>
      <c r="G74" s="254" t="s">
        <v>2529</v>
      </c>
      <c r="H74" s="251"/>
    </row>
    <row r="75">
      <c r="A75" s="265"/>
      <c r="B75" s="247"/>
      <c r="C75" s="252"/>
      <c r="D75" s="253"/>
      <c r="F75" s="250">
        <v>2080.0</v>
      </c>
      <c r="G75" s="254" t="s">
        <v>260</v>
      </c>
      <c r="H75" s="251"/>
    </row>
    <row r="76">
      <c r="A76" s="265"/>
      <c r="B76" s="247">
        <v>21508.8</v>
      </c>
      <c r="C76" s="252"/>
      <c r="D76" s="253"/>
      <c r="F76" s="250"/>
      <c r="G76" s="254" t="s">
        <v>131</v>
      </c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551</v>
      </c>
      <c r="B80" s="239"/>
      <c r="C80" s="263"/>
      <c r="D80" s="241"/>
      <c r="E80" s="242"/>
      <c r="F80" s="243">
        <v>1530.0</v>
      </c>
      <c r="G80" s="276" t="s">
        <v>1169</v>
      </c>
      <c r="H80" s="245">
        <v>30.0</v>
      </c>
      <c r="I80" s="2" t="s">
        <v>59</v>
      </c>
    </row>
    <row r="81">
      <c r="A81" s="265"/>
      <c r="B81" s="247"/>
      <c r="C81" s="248"/>
      <c r="D81" s="253"/>
      <c r="F81" s="250"/>
      <c r="G81" s="254" t="s">
        <v>2530</v>
      </c>
      <c r="H81" s="251"/>
    </row>
    <row r="82">
      <c r="A82" s="265"/>
      <c r="B82" s="247">
        <v>23400.0</v>
      </c>
      <c r="C82" s="248"/>
      <c r="D82" s="249"/>
      <c r="F82" s="250"/>
      <c r="G82" s="254" t="s">
        <v>64</v>
      </c>
      <c r="H82" s="251"/>
    </row>
    <row r="83">
      <c r="A83" s="265"/>
      <c r="B83" s="247"/>
      <c r="C83" s="248"/>
      <c r="D83" s="249"/>
      <c r="F83" s="250"/>
      <c r="G83" s="254"/>
      <c r="H83" s="251"/>
    </row>
    <row r="84">
      <c r="A84" s="265"/>
      <c r="B84" s="85"/>
      <c r="C84" s="248"/>
      <c r="D84" s="249"/>
      <c r="F84" s="250"/>
      <c r="G84" s="254"/>
      <c r="H84" s="251"/>
    </row>
    <row r="85">
      <c r="A85" s="265"/>
      <c r="B85" s="281"/>
      <c r="C85" s="252"/>
      <c r="D85" s="249"/>
      <c r="F85" s="266"/>
      <c r="G85" s="254"/>
      <c r="H85" s="251"/>
    </row>
    <row r="86">
      <c r="A86" s="265"/>
      <c r="B86" s="281"/>
      <c r="C86" s="252"/>
      <c r="D86" s="249"/>
      <c r="F86" s="250"/>
      <c r="G86" s="254"/>
      <c r="H86" s="251"/>
    </row>
    <row r="87">
      <c r="A87" s="265"/>
      <c r="B87" s="247"/>
      <c r="C87" s="252"/>
      <c r="D87" s="249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553</v>
      </c>
      <c r="B96" s="239"/>
      <c r="C96" s="263"/>
      <c r="D96" s="264"/>
      <c r="E96" s="242"/>
      <c r="F96" s="250"/>
      <c r="G96" s="276"/>
      <c r="H96" s="245"/>
    </row>
    <row r="97">
      <c r="A97" s="265"/>
      <c r="B97" s="247"/>
      <c r="C97" s="248"/>
      <c r="D97" s="249"/>
      <c r="F97" s="250"/>
      <c r="G97" s="254"/>
      <c r="H97" s="251"/>
    </row>
    <row r="98">
      <c r="A98" s="265"/>
      <c r="B98" s="247"/>
      <c r="C98" s="248"/>
      <c r="D98" s="249"/>
      <c r="F98" s="250"/>
      <c r="G98" s="254"/>
      <c r="H98" s="251"/>
    </row>
    <row r="99">
      <c r="A99" s="265"/>
      <c r="B99" s="247"/>
      <c r="C99" s="248"/>
      <c r="D99" s="249"/>
      <c r="F99" s="250"/>
      <c r="G99" s="254"/>
      <c r="H99" s="251"/>
    </row>
    <row r="100">
      <c r="A100" s="265"/>
      <c r="B100" s="247"/>
      <c r="C100" s="248"/>
      <c r="D100" s="253"/>
      <c r="F100" s="250"/>
      <c r="G100" s="254"/>
      <c r="H100" s="251"/>
    </row>
    <row r="101">
      <c r="A101" s="265"/>
      <c r="B101" s="247"/>
      <c r="C101" s="252"/>
      <c r="D101" s="253"/>
      <c r="F101" s="250"/>
      <c r="G101" s="254"/>
      <c r="H101" s="251"/>
    </row>
    <row r="102">
      <c r="A102" s="265"/>
      <c r="B102" s="247"/>
      <c r="C102" s="252"/>
      <c r="D102" s="249"/>
      <c r="F102" s="250"/>
      <c r="G102" s="254"/>
      <c r="H102" s="251"/>
    </row>
    <row r="103">
      <c r="A103" s="265"/>
      <c r="B103" s="247"/>
      <c r="C103" s="252"/>
      <c r="D103" s="253"/>
      <c r="F103" s="250"/>
      <c r="G103" s="254"/>
      <c r="H103" s="251"/>
    </row>
    <row r="104">
      <c r="A104" s="265"/>
      <c r="B104" s="247"/>
      <c r="C104" s="248"/>
      <c r="D104" s="253"/>
      <c r="F104" s="250"/>
      <c r="G104" s="254"/>
      <c r="H104" s="251"/>
    </row>
    <row r="105">
      <c r="A105" s="265"/>
      <c r="B105" s="247"/>
      <c r="C105" s="252"/>
      <c r="D105" s="253"/>
      <c r="F105" s="250"/>
      <c r="G105" s="254"/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559</v>
      </c>
      <c r="B110" s="239"/>
      <c r="C110" s="263"/>
      <c r="D110" s="264"/>
      <c r="E110" s="242"/>
      <c r="F110" s="243">
        <v>802.0</v>
      </c>
      <c r="G110" s="276" t="s">
        <v>2531</v>
      </c>
      <c r="H110" s="245">
        <v>40.0</v>
      </c>
      <c r="I110" s="2" t="s">
        <v>59</v>
      </c>
    </row>
    <row r="111">
      <c r="A111" s="265"/>
      <c r="B111" s="247"/>
      <c r="C111" s="252"/>
      <c r="D111" s="249"/>
      <c r="F111" s="250">
        <v>1200.0</v>
      </c>
      <c r="G111" s="254" t="s">
        <v>1729</v>
      </c>
      <c r="H111" s="251"/>
    </row>
    <row r="112">
      <c r="A112" s="265"/>
      <c r="B112" s="247"/>
      <c r="C112" s="248"/>
      <c r="D112" s="249"/>
      <c r="F112" s="250">
        <v>600.0</v>
      </c>
      <c r="G112" s="26" t="s">
        <v>1732</v>
      </c>
      <c r="H112" s="251"/>
    </row>
    <row r="113">
      <c r="A113" s="265"/>
      <c r="B113" s="247"/>
      <c r="C113" s="248"/>
      <c r="D113" s="249"/>
      <c r="F113" s="250">
        <v>805.0</v>
      </c>
      <c r="G113" s="254" t="s">
        <v>63</v>
      </c>
      <c r="H113" s="251"/>
    </row>
    <row r="114">
      <c r="A114" s="265"/>
      <c r="B114" s="247">
        <v>9570.0</v>
      </c>
      <c r="C114" s="252"/>
      <c r="D114" s="249"/>
      <c r="F114" s="250"/>
      <c r="G114" s="254" t="s">
        <v>66</v>
      </c>
      <c r="H114" s="251"/>
    </row>
    <row r="115">
      <c r="A115" s="265"/>
      <c r="B115" s="247"/>
      <c r="C115" s="252"/>
      <c r="D115" s="253"/>
      <c r="F115" s="250">
        <v>2500.0</v>
      </c>
      <c r="G115" s="254" t="s">
        <v>101</v>
      </c>
      <c r="H115" s="251"/>
    </row>
    <row r="116">
      <c r="A116" s="265"/>
      <c r="B116" s="247"/>
      <c r="C116" s="252"/>
      <c r="D116" s="253"/>
      <c r="F116" s="250">
        <f>343+712</f>
        <v>1055</v>
      </c>
      <c r="G116" s="254" t="s">
        <v>97</v>
      </c>
      <c r="H116" s="251"/>
    </row>
    <row r="117">
      <c r="A117" s="265"/>
      <c r="B117" s="247"/>
      <c r="C117" s="252"/>
      <c r="D117" s="249"/>
      <c r="F117" s="250">
        <v>6400.0</v>
      </c>
      <c r="G117" s="254" t="s">
        <v>110</v>
      </c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2532</v>
      </c>
      <c r="B128" s="239"/>
      <c r="C128" s="263"/>
      <c r="D128" s="264"/>
      <c r="E128" s="242"/>
      <c r="F128" s="243">
        <v>840.0</v>
      </c>
      <c r="G128" s="276" t="s">
        <v>1196</v>
      </c>
      <c r="H128" s="245">
        <v>41.0</v>
      </c>
      <c r="I128" s="2" t="s">
        <v>59</v>
      </c>
    </row>
    <row r="129">
      <c r="A129" s="265"/>
      <c r="B129" s="247">
        <v>12221.02</v>
      </c>
      <c r="C129" s="252"/>
      <c r="D129" s="249"/>
      <c r="F129" s="250" t="str">
        <f>G12</f>
        <v/>
      </c>
      <c r="G129" s="254" t="s">
        <v>82</v>
      </c>
      <c r="H129" s="251"/>
      <c r="I129" s="2" t="s">
        <v>2533</v>
      </c>
    </row>
    <row r="130">
      <c r="A130" s="265"/>
      <c r="B130" s="247">
        <v>43740.0</v>
      </c>
      <c r="C130" s="248"/>
      <c r="D130" s="249"/>
      <c r="F130" s="250"/>
      <c r="G130" s="254" t="s">
        <v>75</v>
      </c>
      <c r="H130" s="251"/>
    </row>
    <row r="131">
      <c r="A131" s="265"/>
      <c r="B131" s="247"/>
      <c r="C131" s="248">
        <f>32844.49+18388.35</f>
        <v>51232.84</v>
      </c>
      <c r="D131" s="249"/>
      <c r="F131" s="250"/>
      <c r="G131" s="254" t="s">
        <v>71</v>
      </c>
      <c r="H131" s="251"/>
    </row>
    <row r="132">
      <c r="A132" s="265"/>
      <c r="B132" s="247"/>
      <c r="C132" s="248"/>
      <c r="D132" s="253"/>
      <c r="F132" s="250">
        <v>14000.0</v>
      </c>
      <c r="G132" s="254" t="s">
        <v>2534</v>
      </c>
      <c r="H132" s="251"/>
    </row>
    <row r="133">
      <c r="A133" s="265"/>
      <c r="B133" s="247"/>
      <c r="C133" s="252"/>
      <c r="D133" s="249"/>
      <c r="F133" s="250">
        <v>4800.0</v>
      </c>
      <c r="G133" s="254" t="s">
        <v>524</v>
      </c>
      <c r="H133" s="251"/>
    </row>
    <row r="134">
      <c r="A134" s="265"/>
      <c r="B134" s="247"/>
      <c r="C134" s="252"/>
      <c r="D134" s="249"/>
      <c r="F134" s="250"/>
      <c r="G134" s="254"/>
      <c r="H134" s="251"/>
    </row>
    <row r="135">
      <c r="A135" s="265"/>
      <c r="B135" s="283"/>
      <c r="C135" s="248"/>
      <c r="D135" s="253"/>
      <c r="F135" s="250"/>
      <c r="G135" s="254"/>
      <c r="H135" s="251"/>
    </row>
    <row r="136">
      <c r="A136" s="265"/>
      <c r="B136" s="247"/>
      <c r="C136" s="248"/>
      <c r="D136" s="253"/>
      <c r="F136" s="250"/>
      <c r="G136" s="254"/>
      <c r="H136" s="251"/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563</v>
      </c>
      <c r="B143" s="239"/>
      <c r="C143" s="263">
        <v>17109.0</v>
      </c>
      <c r="D143" s="241"/>
      <c r="E143" s="242"/>
      <c r="F143" s="243"/>
      <c r="G143" s="276" t="s">
        <v>89</v>
      </c>
      <c r="H143" s="245">
        <v>45.0</v>
      </c>
      <c r="I143" s="2" t="s">
        <v>72</v>
      </c>
    </row>
    <row r="144">
      <c r="A144" s="265"/>
      <c r="B144" s="247">
        <f>22794.4+1760.09+3207.21</f>
        <v>27761.7</v>
      </c>
      <c r="C144" s="252"/>
      <c r="D144" s="253"/>
      <c r="F144" s="250"/>
      <c r="G144" s="254" t="s">
        <v>73</v>
      </c>
      <c r="H144" s="251"/>
    </row>
    <row r="145">
      <c r="A145" s="265"/>
      <c r="B145" s="247">
        <f>972.77+17300.17</f>
        <v>18272.94</v>
      </c>
      <c r="C145" s="252"/>
      <c r="D145" s="249"/>
      <c r="F145" s="284"/>
      <c r="G145" s="285" t="s">
        <v>74</v>
      </c>
      <c r="H145" s="251"/>
    </row>
    <row r="146">
      <c r="A146" s="265"/>
      <c r="B146" s="247">
        <v>1699.0</v>
      </c>
      <c r="C146" s="252"/>
      <c r="D146" s="253"/>
      <c r="F146" s="250"/>
      <c r="G146" s="254" t="s">
        <v>227</v>
      </c>
      <c r="H146" s="251"/>
    </row>
    <row r="147">
      <c r="A147" s="265"/>
      <c r="B147" s="247">
        <v>3350.0</v>
      </c>
      <c r="C147" s="252"/>
      <c r="D147" s="249"/>
      <c r="F147" s="250"/>
      <c r="G147" s="254" t="s">
        <v>2535</v>
      </c>
      <c r="H147" s="251"/>
    </row>
    <row r="148">
      <c r="A148" s="265"/>
      <c r="B148" s="247"/>
      <c r="C148" s="248"/>
      <c r="D148" s="249"/>
      <c r="F148" s="250">
        <v>1800.0</v>
      </c>
      <c r="G148" s="254" t="s">
        <v>2536</v>
      </c>
      <c r="H148" s="251"/>
    </row>
    <row r="149">
      <c r="A149" s="265"/>
      <c r="B149" s="247"/>
      <c r="C149" s="248"/>
      <c r="D149" s="249"/>
      <c r="F149" s="250">
        <v>700.0</v>
      </c>
      <c r="G149" s="254" t="s">
        <v>2537</v>
      </c>
      <c r="H149" s="251"/>
    </row>
    <row r="150">
      <c r="A150" s="265"/>
      <c r="B150" s="247">
        <v>19200.0</v>
      </c>
      <c r="C150" s="252"/>
      <c r="D150" s="249"/>
      <c r="F150" s="250"/>
      <c r="G150" s="254" t="s">
        <v>79</v>
      </c>
      <c r="H150" s="251"/>
    </row>
    <row r="151">
      <c r="A151" s="265"/>
      <c r="B151" s="268"/>
      <c r="C151" s="252"/>
      <c r="D151" s="249"/>
      <c r="F151" s="250">
        <v>1000.0</v>
      </c>
      <c r="G151" s="254" t="s">
        <v>85</v>
      </c>
      <c r="H151" s="251"/>
    </row>
    <row r="152">
      <c r="A152" s="265"/>
      <c r="B152" s="247"/>
      <c r="C152" s="252"/>
      <c r="D152" s="253"/>
      <c r="F152" s="250">
        <v>1700.0</v>
      </c>
      <c r="G152" s="254" t="s">
        <v>2538</v>
      </c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2539</v>
      </c>
      <c r="B158" s="239"/>
      <c r="C158" s="263">
        <v>59503.58</v>
      </c>
      <c r="D158" s="264"/>
      <c r="E158" s="242"/>
      <c r="F158" s="243"/>
      <c r="G158" s="276" t="s">
        <v>84</v>
      </c>
      <c r="H158" s="245">
        <v>46.0</v>
      </c>
      <c r="I158" s="2" t="s">
        <v>72</v>
      </c>
    </row>
    <row r="159">
      <c r="A159" s="265"/>
      <c r="B159" s="247">
        <v>23400.0</v>
      </c>
      <c r="C159" s="252"/>
      <c r="D159" s="253"/>
      <c r="F159" s="250"/>
      <c r="G159" s="254" t="s">
        <v>87</v>
      </c>
      <c r="H159" s="251"/>
    </row>
    <row r="160">
      <c r="A160" s="265"/>
      <c r="B160" s="247">
        <v>6294.07</v>
      </c>
      <c r="C160" s="248"/>
      <c r="D160" s="249"/>
      <c r="F160" s="250"/>
      <c r="G160" s="254" t="s">
        <v>82</v>
      </c>
      <c r="H160" s="251"/>
    </row>
    <row r="161">
      <c r="A161" s="265"/>
      <c r="B161" s="247"/>
      <c r="C161" s="248"/>
      <c r="D161" s="249"/>
      <c r="F161" s="250">
        <v>5000.0</v>
      </c>
      <c r="G161" s="254" t="s">
        <v>2540</v>
      </c>
      <c r="H161" s="251"/>
    </row>
    <row r="162">
      <c r="A162" s="265"/>
      <c r="B162" s="247">
        <v>12800.0</v>
      </c>
      <c r="C162" s="252"/>
      <c r="D162" s="253"/>
      <c r="F162" s="250"/>
      <c r="G162" s="254" t="s">
        <v>859</v>
      </c>
      <c r="H162" s="251"/>
    </row>
    <row r="163">
      <c r="A163" s="265"/>
      <c r="B163" s="247"/>
      <c r="C163" s="248">
        <v>52272.0</v>
      </c>
      <c r="D163" s="249"/>
      <c r="F163" s="250"/>
      <c r="G163" s="254" t="s">
        <v>167</v>
      </c>
      <c r="H163" s="251"/>
    </row>
    <row r="164">
      <c r="A164" s="265"/>
      <c r="B164" s="247"/>
      <c r="C164" s="248"/>
      <c r="D164" s="249"/>
      <c r="F164" s="250">
        <v>1600.0</v>
      </c>
      <c r="G164" s="254" t="s">
        <v>2541</v>
      </c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2542</v>
      </c>
      <c r="B168" s="239"/>
      <c r="C168" s="263"/>
      <c r="D168" s="264"/>
      <c r="E168" s="244"/>
      <c r="F168" s="250">
        <v>2000.0</v>
      </c>
      <c r="G168" s="276" t="s">
        <v>2543</v>
      </c>
      <c r="H168" s="245">
        <v>54.0</v>
      </c>
      <c r="I168" s="2" t="s">
        <v>59</v>
      </c>
    </row>
    <row r="169">
      <c r="A169" s="265"/>
      <c r="B169" s="247"/>
      <c r="C169" s="252"/>
      <c r="D169" s="249"/>
      <c r="F169" s="250">
        <v>7300.0</v>
      </c>
      <c r="G169" s="254" t="s">
        <v>68</v>
      </c>
      <c r="H169" s="267">
        <v>5.0</v>
      </c>
      <c r="I169" s="2" t="s">
        <v>72</v>
      </c>
    </row>
    <row r="170">
      <c r="A170" s="265"/>
      <c r="B170" s="247"/>
      <c r="C170" s="248"/>
      <c r="D170" s="249"/>
      <c r="F170" s="250">
        <v>2210.0</v>
      </c>
      <c r="G170" s="254" t="s">
        <v>97</v>
      </c>
      <c r="H170" s="251"/>
    </row>
    <row r="171">
      <c r="A171" s="265"/>
      <c r="B171" s="247">
        <v>8778.55</v>
      </c>
      <c r="C171" s="248"/>
      <c r="D171" s="249"/>
      <c r="F171" s="250"/>
      <c r="G171" s="254" t="s">
        <v>91</v>
      </c>
      <c r="H171" s="251"/>
    </row>
    <row r="172">
      <c r="A172" s="265"/>
      <c r="B172" s="247"/>
      <c r="C172" s="248"/>
      <c r="D172" s="249"/>
      <c r="E172" s="254"/>
      <c r="F172" s="250">
        <f>641+691</f>
        <v>1332</v>
      </c>
      <c r="G172" s="254" t="s">
        <v>63</v>
      </c>
      <c r="H172" s="251"/>
      <c r="I172" s="269"/>
    </row>
    <row r="173">
      <c r="A173" s="265"/>
      <c r="B173" s="247"/>
      <c r="C173" s="252"/>
      <c r="D173" s="249"/>
      <c r="F173" s="250">
        <v>600.0</v>
      </c>
      <c r="G173" s="254" t="s">
        <v>161</v>
      </c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2544</v>
      </c>
      <c r="B183" s="247"/>
      <c r="C183" s="248"/>
      <c r="D183" s="253"/>
      <c r="F183" s="250">
        <v>2500.0</v>
      </c>
      <c r="G183" s="254" t="s">
        <v>160</v>
      </c>
      <c r="H183" s="286">
        <v>50.0</v>
      </c>
      <c r="I183" s="2" t="s">
        <v>72</v>
      </c>
    </row>
    <row r="184">
      <c r="A184" s="265"/>
      <c r="B184" s="247"/>
      <c r="C184" s="248"/>
      <c r="D184" s="249"/>
      <c r="F184" s="250">
        <f>297+386</f>
        <v>683</v>
      </c>
      <c r="G184" s="254" t="s">
        <v>97</v>
      </c>
      <c r="H184" s="251"/>
    </row>
    <row r="185">
      <c r="A185" s="265"/>
      <c r="B185" s="247">
        <v>23190.0</v>
      </c>
      <c r="C185" s="252"/>
      <c r="D185" s="249"/>
      <c r="F185" s="250"/>
      <c r="G185" s="254" t="s">
        <v>75</v>
      </c>
      <c r="H185" s="251"/>
    </row>
    <row r="186">
      <c r="A186" s="265"/>
      <c r="B186" s="247">
        <v>12536.17</v>
      </c>
      <c r="C186" s="248"/>
      <c r="D186" s="249"/>
      <c r="F186" s="250"/>
      <c r="G186" s="254" t="s">
        <v>114</v>
      </c>
      <c r="H186" s="251"/>
    </row>
    <row r="187">
      <c r="A187" s="265"/>
      <c r="B187" s="247">
        <v>6294.07</v>
      </c>
      <c r="C187" s="248"/>
      <c r="D187" s="249"/>
      <c r="F187" s="250"/>
      <c r="G187" s="254" t="s">
        <v>82</v>
      </c>
      <c r="H187" s="251"/>
    </row>
    <row r="188">
      <c r="A188" s="265"/>
      <c r="B188" s="247">
        <v>29705.0</v>
      </c>
      <c r="C188" s="252"/>
      <c r="D188" s="249"/>
      <c r="F188" s="250"/>
      <c r="G188" s="254" t="s">
        <v>103</v>
      </c>
      <c r="H188" s="251"/>
    </row>
    <row r="189">
      <c r="A189" s="265"/>
      <c r="B189" s="247"/>
      <c r="C189" s="252"/>
      <c r="D189" s="253"/>
      <c r="F189" s="250">
        <v>1000.0</v>
      </c>
      <c r="G189" s="254" t="s">
        <v>85</v>
      </c>
      <c r="H189" s="251"/>
    </row>
    <row r="190">
      <c r="A190" s="265"/>
      <c r="B190" s="247"/>
      <c r="C190" s="252"/>
      <c r="D190" s="249"/>
      <c r="F190" s="250">
        <v>1100.0</v>
      </c>
      <c r="G190" s="254" t="s">
        <v>2545</v>
      </c>
      <c r="H190" s="251"/>
    </row>
    <row r="191">
      <c r="A191" s="265"/>
      <c r="B191" s="247">
        <v>4653.74</v>
      </c>
      <c r="C191" s="248"/>
      <c r="D191" s="253"/>
      <c r="F191" s="250"/>
      <c r="G191" s="254" t="s">
        <v>434</v>
      </c>
      <c r="H191" s="251"/>
    </row>
    <row r="192">
      <c r="A192" s="265"/>
      <c r="B192" s="247"/>
      <c r="C192" s="252"/>
      <c r="D192" s="253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2546</v>
      </c>
      <c r="B199" s="239"/>
      <c r="C199" s="263"/>
      <c r="D199" s="264"/>
      <c r="E199" s="242"/>
      <c r="F199" s="243"/>
      <c r="G199" s="276" t="s">
        <v>71</v>
      </c>
      <c r="H199" s="245">
        <v>48.0</v>
      </c>
      <c r="I199" s="2" t="s">
        <v>59</v>
      </c>
    </row>
    <row r="200">
      <c r="A200" s="265"/>
      <c r="B200" s="247">
        <v>23400.0</v>
      </c>
      <c r="C200" s="248"/>
      <c r="D200" s="249"/>
      <c r="F200" s="250"/>
      <c r="G200" s="254" t="s">
        <v>87</v>
      </c>
      <c r="H200" s="267"/>
    </row>
    <row r="201">
      <c r="A201" s="265"/>
      <c r="B201" s="247"/>
      <c r="C201" s="252"/>
      <c r="D201" s="253"/>
      <c r="F201" s="250">
        <v>1554.0</v>
      </c>
      <c r="G201" s="254" t="s">
        <v>97</v>
      </c>
      <c r="H201" s="251"/>
    </row>
    <row r="202">
      <c r="A202" s="265"/>
      <c r="B202" s="247"/>
      <c r="C202" s="248">
        <v>16893.45</v>
      </c>
      <c r="D202" s="249"/>
      <c r="F202" s="250"/>
      <c r="G202" s="254" t="s">
        <v>89</v>
      </c>
      <c r="H202" s="251"/>
    </row>
    <row r="203">
      <c r="A203" s="265"/>
      <c r="B203" s="247"/>
      <c r="C203" s="248"/>
      <c r="D203" s="249"/>
      <c r="F203" s="250">
        <v>3200.0</v>
      </c>
      <c r="G203" s="254" t="s">
        <v>110</v>
      </c>
      <c r="H203" s="251"/>
    </row>
    <row r="204">
      <c r="A204" s="265"/>
      <c r="B204" s="247"/>
      <c r="C204" s="248"/>
      <c r="D204" s="249"/>
      <c r="F204" s="250">
        <v>1813.0</v>
      </c>
      <c r="G204" s="254" t="s">
        <v>344</v>
      </c>
      <c r="H204" s="267"/>
    </row>
    <row r="205">
      <c r="A205" s="265"/>
      <c r="B205" s="247"/>
      <c r="C205" s="248"/>
      <c r="D205" s="249"/>
      <c r="F205" s="250"/>
      <c r="G205" s="254"/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2547</v>
      </c>
      <c r="B214" s="239"/>
      <c r="C214" s="263"/>
      <c r="D214" s="264"/>
      <c r="E214" s="242"/>
      <c r="F214" s="243">
        <v>1100.0</v>
      </c>
      <c r="G214" s="276" t="s">
        <v>323</v>
      </c>
      <c r="H214" s="245">
        <v>76.0</v>
      </c>
      <c r="I214" s="2" t="s">
        <v>107</v>
      </c>
    </row>
    <row r="215">
      <c r="A215" s="265"/>
      <c r="B215" s="247"/>
      <c r="C215" s="248"/>
      <c r="D215" s="249"/>
      <c r="F215" s="250">
        <v>297.0</v>
      </c>
      <c r="G215" s="254" t="s">
        <v>97</v>
      </c>
      <c r="H215" s="251"/>
    </row>
    <row r="216">
      <c r="A216" s="265"/>
      <c r="B216" s="247">
        <v>39540.0</v>
      </c>
      <c r="C216" s="252"/>
      <c r="D216" s="249"/>
      <c r="F216" s="250"/>
      <c r="G216" s="254" t="s">
        <v>75</v>
      </c>
      <c r="H216" s="251"/>
    </row>
    <row r="217">
      <c r="A217" s="265"/>
      <c r="B217" s="247">
        <v>20100.0</v>
      </c>
      <c r="C217" s="248"/>
      <c r="D217" s="249"/>
      <c r="F217" s="250"/>
      <c r="G217" s="254" t="s">
        <v>122</v>
      </c>
      <c r="H217" s="251"/>
    </row>
    <row r="218">
      <c r="A218" s="265"/>
      <c r="B218" s="247"/>
      <c r="C218" s="252"/>
      <c r="D218" s="253"/>
      <c r="F218" s="250">
        <v>520.0</v>
      </c>
      <c r="G218" s="254" t="s">
        <v>99</v>
      </c>
      <c r="H218" s="251"/>
    </row>
    <row r="219">
      <c r="A219" s="265"/>
      <c r="B219" s="247">
        <v>8537.6</v>
      </c>
      <c r="C219" s="252"/>
      <c r="D219" s="253"/>
      <c r="F219" s="250"/>
      <c r="G219" s="254" t="s">
        <v>2548</v>
      </c>
      <c r="H219" s="251"/>
    </row>
    <row r="220">
      <c r="A220" s="265"/>
      <c r="B220" s="247"/>
      <c r="C220" s="252"/>
      <c r="D220" s="253"/>
      <c r="F220" s="250">
        <v>1813.0</v>
      </c>
      <c r="G220" s="254" t="s">
        <v>344</v>
      </c>
      <c r="H220" s="251"/>
    </row>
    <row r="221">
      <c r="A221" s="265"/>
      <c r="B221" s="247"/>
      <c r="C221" s="252"/>
      <c r="D221" s="253"/>
      <c r="F221" s="250">
        <v>2500.0</v>
      </c>
      <c r="G221" s="254" t="s">
        <v>101</v>
      </c>
      <c r="H221" s="251"/>
      <c r="I221" s="269"/>
      <c r="J221" s="269"/>
      <c r="K221" s="269"/>
    </row>
    <row r="222">
      <c r="A222" s="265"/>
      <c r="B222" s="247"/>
      <c r="C222" s="248">
        <v>43696.77</v>
      </c>
      <c r="D222" s="249"/>
      <c r="E222" s="269"/>
      <c r="F222" s="250"/>
      <c r="G222" s="254" t="s">
        <v>71</v>
      </c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>
        <v>11600.0</v>
      </c>
      <c r="G223" s="254" t="s">
        <v>128</v>
      </c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2549</v>
      </c>
      <c r="B226" s="239"/>
      <c r="C226" s="263"/>
      <c r="D226" s="264"/>
      <c r="E226" s="287"/>
      <c r="F226" s="243"/>
      <c r="G226" s="276"/>
      <c r="H226" s="245">
        <v>16.0</v>
      </c>
      <c r="I226" s="254" t="s">
        <v>72</v>
      </c>
      <c r="J226" s="269"/>
      <c r="K226" s="269"/>
    </row>
    <row r="227">
      <c r="A227" s="265"/>
      <c r="B227" s="247"/>
      <c r="C227" s="252"/>
      <c r="D227" s="249"/>
      <c r="F227" s="250"/>
      <c r="G227" s="254"/>
      <c r="H227" s="251"/>
      <c r="I227" s="269"/>
      <c r="J227" s="269"/>
      <c r="K227" s="269"/>
    </row>
    <row r="228">
      <c r="A228" s="265"/>
      <c r="B228" s="247"/>
      <c r="C228" s="252"/>
      <c r="D228" s="249"/>
      <c r="F228" s="250"/>
      <c r="G228" s="254"/>
      <c r="H228" s="251"/>
      <c r="I228" s="269"/>
      <c r="J228" s="269"/>
      <c r="K228" s="269"/>
    </row>
    <row r="229">
      <c r="A229" s="265"/>
      <c r="B229" s="247"/>
      <c r="C229" s="248"/>
      <c r="D229" s="253"/>
      <c r="E229" s="269"/>
      <c r="F229" s="250"/>
      <c r="G229" s="254"/>
      <c r="H229" s="251"/>
      <c r="I229" s="269"/>
      <c r="J229" s="269"/>
      <c r="K229" s="269"/>
    </row>
    <row r="230">
      <c r="A230" s="265"/>
      <c r="B230" s="247"/>
      <c r="C230" s="248"/>
      <c r="D230" s="253"/>
      <c r="E230" s="269"/>
      <c r="F230" s="250"/>
      <c r="G230" s="254"/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/>
      <c r="G231" s="254"/>
      <c r="H231" s="251"/>
      <c r="I231" s="269"/>
      <c r="J231" s="269"/>
      <c r="K231" s="269"/>
    </row>
    <row r="232">
      <c r="A232" s="265"/>
      <c r="B232" s="247"/>
      <c r="C232" s="252"/>
      <c r="D232" s="253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2550</v>
      </c>
      <c r="B241" s="239"/>
      <c r="C241" s="263"/>
      <c r="D241" s="241"/>
      <c r="E241" s="242"/>
      <c r="F241" s="243">
        <v>1000.0</v>
      </c>
      <c r="G241" s="2" t="s">
        <v>85</v>
      </c>
      <c r="H241" s="245">
        <v>20.0</v>
      </c>
      <c r="I241" s="2" t="s">
        <v>2551</v>
      </c>
    </row>
    <row r="242">
      <c r="A242" s="265"/>
      <c r="B242" s="247">
        <v>6294.07</v>
      </c>
      <c r="C242" s="252"/>
      <c r="D242" s="253"/>
      <c r="F242" s="250"/>
      <c r="G242" s="254" t="s">
        <v>82</v>
      </c>
      <c r="H242" s="267">
        <v>75.0</v>
      </c>
      <c r="I242" s="2" t="s">
        <v>72</v>
      </c>
    </row>
    <row r="243">
      <c r="A243" s="265"/>
      <c r="B243" s="247"/>
      <c r="C243" s="248">
        <v>39399.29</v>
      </c>
      <c r="D243" s="249"/>
      <c r="F243" s="250"/>
      <c r="G243" s="254" t="s">
        <v>84</v>
      </c>
      <c r="H243" s="251"/>
    </row>
    <row r="244">
      <c r="A244" s="265"/>
      <c r="B244" s="247">
        <v>29465.0</v>
      </c>
      <c r="C244" s="248"/>
      <c r="D244" s="253"/>
      <c r="F244" s="250"/>
      <c r="G244" s="254" t="s">
        <v>399</v>
      </c>
      <c r="H244" s="251"/>
    </row>
    <row r="245">
      <c r="A245" s="265"/>
      <c r="B245" s="247">
        <f>5131.54+26364.09</f>
        <v>31495.63</v>
      </c>
      <c r="C245" s="252"/>
      <c r="D245" s="253"/>
      <c r="F245" s="250"/>
      <c r="G245" s="254" t="s">
        <v>73</v>
      </c>
      <c r="H245" s="267"/>
    </row>
    <row r="246">
      <c r="A246" s="265"/>
      <c r="B246" s="247">
        <v>18736.4</v>
      </c>
      <c r="C246" s="248"/>
      <c r="D246" s="253"/>
      <c r="F246" s="250"/>
      <c r="G246" s="254" t="s">
        <v>74</v>
      </c>
      <c r="H246" s="267"/>
    </row>
    <row r="247">
      <c r="A247" s="265"/>
      <c r="B247" s="247">
        <v>36209.25</v>
      </c>
      <c r="C247" s="248"/>
      <c r="D247" s="249"/>
      <c r="F247" s="250"/>
      <c r="G247" s="254" t="s">
        <v>92</v>
      </c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2552</v>
      </c>
      <c r="B255" s="239">
        <v>24000.0</v>
      </c>
      <c r="C255" s="263"/>
      <c r="D255" s="264"/>
      <c r="E255" s="242"/>
      <c r="F255" s="243"/>
      <c r="G255" s="276" t="s">
        <v>64</v>
      </c>
      <c r="H255" s="245">
        <v>60.0</v>
      </c>
      <c r="I255" s="2" t="s">
        <v>59</v>
      </c>
    </row>
    <row r="256">
      <c r="A256" s="265"/>
      <c r="B256" s="247">
        <v>19200.0</v>
      </c>
      <c r="C256" s="248"/>
      <c r="D256" s="253"/>
      <c r="F256" s="250"/>
      <c r="G256" s="254" t="s">
        <v>394</v>
      </c>
      <c r="H256" s="251"/>
    </row>
    <row r="257">
      <c r="A257" s="265"/>
      <c r="B257" s="247"/>
      <c r="C257" s="252"/>
      <c r="D257" s="249"/>
      <c r="F257" s="250">
        <v>551.0</v>
      </c>
      <c r="G257" s="254" t="s">
        <v>63</v>
      </c>
      <c r="H257" s="251"/>
    </row>
    <row r="258">
      <c r="A258" s="265"/>
      <c r="B258" s="247">
        <v>70320.0</v>
      </c>
      <c r="C258" s="248"/>
      <c r="D258" s="249"/>
      <c r="F258" s="250"/>
      <c r="G258" s="254" t="s">
        <v>542</v>
      </c>
      <c r="H258" s="251"/>
    </row>
    <row r="259">
      <c r="A259" s="265"/>
      <c r="B259" s="247"/>
      <c r="C259" s="248"/>
      <c r="D259" s="249"/>
      <c r="F259" s="250">
        <v>7200.0</v>
      </c>
      <c r="G259" s="254" t="s">
        <v>68</v>
      </c>
      <c r="H259" s="251"/>
    </row>
    <row r="260">
      <c r="A260" s="265"/>
      <c r="B260" s="247"/>
      <c r="C260" s="248"/>
      <c r="D260" s="249"/>
      <c r="F260" s="250"/>
      <c r="G260" s="254"/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52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53"/>
      <c r="F264" s="250"/>
      <c r="G264" s="254"/>
      <c r="H264" s="251"/>
    </row>
    <row r="265">
      <c r="A265" s="265"/>
      <c r="B265" s="268"/>
      <c r="C265" s="252"/>
      <c r="D265" s="253"/>
      <c r="F265" s="250"/>
      <c r="G265" s="254"/>
      <c r="H265" s="267"/>
    </row>
    <row r="266">
      <c r="A266" s="265"/>
      <c r="B266" s="268"/>
      <c r="C266" s="252"/>
      <c r="D266" s="253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70"/>
      <c r="B268" s="271"/>
      <c r="C268" s="272"/>
      <c r="D268" s="273"/>
      <c r="E268" s="18"/>
      <c r="F268" s="259"/>
      <c r="G268" s="260"/>
      <c r="H268" s="261"/>
    </row>
    <row r="269">
      <c r="A269" s="262" t="s">
        <v>2553</v>
      </c>
      <c r="B269" s="239">
        <f>47350-1200-300</f>
        <v>45850</v>
      </c>
      <c r="C269" s="263"/>
      <c r="D269" s="264"/>
      <c r="E269" s="244"/>
      <c r="F269" s="243"/>
      <c r="G269" s="276" t="s">
        <v>75</v>
      </c>
      <c r="H269" s="245"/>
    </row>
    <row r="270">
      <c r="A270" s="265"/>
      <c r="B270" s="247">
        <v>9513.93</v>
      </c>
      <c r="C270" s="248"/>
      <c r="D270" s="249"/>
      <c r="F270" s="250"/>
      <c r="G270" s="254" t="s">
        <v>82</v>
      </c>
      <c r="H270" s="267"/>
    </row>
    <row r="271">
      <c r="A271" s="265"/>
      <c r="B271" s="247"/>
      <c r="C271" s="252"/>
      <c r="D271" s="249"/>
      <c r="F271" s="250">
        <v>710.0</v>
      </c>
      <c r="G271" s="254" t="s">
        <v>97</v>
      </c>
      <c r="H271" s="251"/>
    </row>
    <row r="272">
      <c r="A272" s="265"/>
      <c r="B272" s="247"/>
      <c r="C272" s="248"/>
      <c r="D272" s="249"/>
      <c r="F272" s="250">
        <v>290.0</v>
      </c>
      <c r="G272" s="254" t="s">
        <v>2554</v>
      </c>
      <c r="H272" s="251"/>
    </row>
    <row r="273">
      <c r="A273" s="265"/>
      <c r="B273" s="247">
        <v>30120.05</v>
      </c>
      <c r="C273" s="252"/>
      <c r="D273" s="249"/>
      <c r="F273" s="250"/>
      <c r="G273" s="254" t="s">
        <v>89</v>
      </c>
      <c r="H273" s="251"/>
    </row>
    <row r="274">
      <c r="A274" s="265"/>
      <c r="B274" s="247"/>
      <c r="C274" s="248"/>
      <c r="D274" s="249"/>
      <c r="F274" s="250">
        <v>3000.0</v>
      </c>
      <c r="G274" s="254" t="s">
        <v>101</v>
      </c>
      <c r="H274" s="251"/>
    </row>
    <row r="275">
      <c r="A275" s="265"/>
      <c r="B275" s="247"/>
      <c r="C275" s="248"/>
      <c r="D275" s="249"/>
      <c r="F275" s="250"/>
      <c r="G275" s="254"/>
      <c r="H275" s="251"/>
    </row>
    <row r="276">
      <c r="A276" s="265"/>
      <c r="B276" s="247"/>
      <c r="C276" s="248"/>
      <c r="D276" s="249"/>
      <c r="F276" s="250"/>
      <c r="G276" s="254"/>
      <c r="H276" s="251"/>
    </row>
    <row r="277">
      <c r="A277" s="265"/>
      <c r="B277" s="247"/>
      <c r="C277" s="252"/>
      <c r="D277" s="249"/>
      <c r="F277" s="250"/>
      <c r="G277" s="254"/>
      <c r="H277" s="251"/>
    </row>
    <row r="278">
      <c r="A278" s="265"/>
      <c r="B278" s="247"/>
      <c r="C278" s="252"/>
      <c r="D278" s="786"/>
      <c r="E278" s="322"/>
      <c r="F278" s="323"/>
      <c r="G278" s="787"/>
      <c r="H278" s="251"/>
    </row>
    <row r="279">
      <c r="A279" s="265"/>
      <c r="B279" s="247"/>
      <c r="C279" s="252"/>
      <c r="D279" s="253"/>
      <c r="F279" s="250"/>
      <c r="G279" s="254"/>
      <c r="H279" s="251"/>
    </row>
    <row r="280">
      <c r="A280" s="265"/>
      <c r="B280" s="268"/>
      <c r="C280" s="252"/>
      <c r="D280" s="253"/>
      <c r="F280" s="250"/>
      <c r="G280" s="269"/>
      <c r="H280" s="251"/>
    </row>
    <row r="281">
      <c r="A281" s="270"/>
      <c r="B281" s="271"/>
      <c r="C281" s="272"/>
      <c r="D281" s="273"/>
      <c r="E281" s="18"/>
      <c r="F281" s="259"/>
      <c r="G281" s="260"/>
      <c r="H281" s="261"/>
    </row>
    <row r="282">
      <c r="A282" s="262" t="s">
        <v>2555</v>
      </c>
      <c r="B282" s="239"/>
      <c r="C282" s="263"/>
      <c r="D282" s="264"/>
      <c r="E282" s="244"/>
      <c r="F282" s="243">
        <v>16000.0</v>
      </c>
      <c r="G282" s="276" t="s">
        <v>2556</v>
      </c>
      <c r="H282" s="245">
        <v>14.0</v>
      </c>
      <c r="I282" s="2" t="s">
        <v>72</v>
      </c>
    </row>
    <row r="283">
      <c r="A283" s="265"/>
      <c r="B283" s="247"/>
      <c r="C283" s="252"/>
      <c r="D283" s="249"/>
      <c r="F283" s="250"/>
      <c r="G283" s="254"/>
      <c r="H283" s="267"/>
    </row>
    <row r="284">
      <c r="A284" s="265"/>
      <c r="B284" s="247"/>
      <c r="C284" s="248"/>
      <c r="D284" s="249"/>
      <c r="F284" s="250"/>
      <c r="G284" s="254"/>
      <c r="H284" s="251"/>
    </row>
    <row r="285">
      <c r="A285" s="265"/>
      <c r="B285" s="247"/>
      <c r="C285" s="248"/>
      <c r="D285" s="249"/>
      <c r="F285" s="250"/>
      <c r="G285" s="254"/>
      <c r="H285" s="251"/>
    </row>
    <row r="286">
      <c r="A286" s="265"/>
      <c r="B286" s="247"/>
      <c r="C286" s="252"/>
      <c r="D286" s="249"/>
      <c r="F286" s="250"/>
      <c r="G286" s="254"/>
      <c r="H286" s="251"/>
    </row>
    <row r="287">
      <c r="A287" s="265"/>
      <c r="B287" s="247"/>
      <c r="C287" s="248"/>
      <c r="D287" s="249"/>
      <c r="F287" s="250"/>
      <c r="G287" s="254"/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52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53"/>
      <c r="F292" s="250"/>
      <c r="G292" s="254"/>
      <c r="H292" s="251"/>
    </row>
    <row r="293">
      <c r="A293" s="265"/>
      <c r="B293" s="268"/>
      <c r="C293" s="252"/>
      <c r="D293" s="253"/>
      <c r="F293" s="250"/>
      <c r="G293" s="269"/>
      <c r="H293" s="251"/>
    </row>
    <row r="294">
      <c r="A294" s="265"/>
      <c r="B294" s="268"/>
      <c r="C294" s="252"/>
      <c r="D294" s="253"/>
      <c r="F294" s="250"/>
      <c r="G294" s="269"/>
      <c r="H294" s="251"/>
    </row>
    <row r="295">
      <c r="A295" s="270"/>
      <c r="B295" s="271"/>
      <c r="C295" s="272"/>
      <c r="D295" s="273"/>
      <c r="E295" s="18"/>
      <c r="F295" s="274"/>
      <c r="G295" s="275"/>
      <c r="H295" s="261"/>
    </row>
    <row r="296">
      <c r="A296" s="262" t="s">
        <v>2557</v>
      </c>
      <c r="B296" s="239"/>
      <c r="C296" s="263"/>
      <c r="D296" s="241"/>
      <c r="E296" s="242"/>
      <c r="F296" s="243">
        <v>1300.0</v>
      </c>
      <c r="G296" s="276" t="s">
        <v>2558</v>
      </c>
      <c r="H296" s="245">
        <v>36.0</v>
      </c>
      <c r="I296" s="2" t="s">
        <v>2559</v>
      </c>
    </row>
    <row r="297">
      <c r="A297" s="265"/>
      <c r="B297" s="247"/>
      <c r="C297" s="248"/>
      <c r="D297" s="249"/>
      <c r="F297" s="250">
        <v>1740.0</v>
      </c>
      <c r="G297" s="254" t="s">
        <v>63</v>
      </c>
      <c r="H297" s="267">
        <v>-100.0</v>
      </c>
      <c r="I297" s="2" t="s">
        <v>2560</v>
      </c>
    </row>
    <row r="298">
      <c r="A298" s="265"/>
      <c r="B298" s="247"/>
      <c r="C298" s="248"/>
      <c r="D298" s="253"/>
      <c r="F298" s="250">
        <v>3000.0</v>
      </c>
      <c r="G298" s="254" t="s">
        <v>160</v>
      </c>
      <c r="H298" s="251"/>
    </row>
    <row r="299">
      <c r="A299" s="265"/>
      <c r="B299" s="247">
        <v>10532.75</v>
      </c>
      <c r="C299" s="248"/>
      <c r="D299" s="249"/>
      <c r="F299" s="250"/>
      <c r="G299" s="254" t="s">
        <v>114</v>
      </c>
      <c r="H299" s="251"/>
    </row>
    <row r="300">
      <c r="A300" s="265"/>
      <c r="B300" s="247">
        <v>25500.0</v>
      </c>
      <c r="C300" s="252"/>
      <c r="D300" s="253"/>
      <c r="F300" s="250"/>
      <c r="G300" s="254" t="s">
        <v>87</v>
      </c>
      <c r="H300" s="251"/>
    </row>
    <row r="301">
      <c r="A301" s="265"/>
      <c r="B301" s="247">
        <v>16000.0</v>
      </c>
      <c r="C301" s="248"/>
      <c r="D301" s="249"/>
      <c r="F301" s="250"/>
      <c r="G301" s="254" t="s">
        <v>76</v>
      </c>
      <c r="H301" s="251"/>
    </row>
    <row r="302">
      <c r="A302" s="265"/>
      <c r="B302" s="247">
        <v>9364.97</v>
      </c>
      <c r="C302" s="248"/>
      <c r="D302" s="253"/>
      <c r="F302" s="250"/>
      <c r="G302" s="254" t="s">
        <v>82</v>
      </c>
      <c r="H302" s="251"/>
    </row>
    <row r="303">
      <c r="A303" s="265"/>
      <c r="B303" s="247"/>
      <c r="C303" s="248">
        <v>34840.17</v>
      </c>
      <c r="D303" s="253"/>
      <c r="F303" s="250"/>
      <c r="G303" s="254" t="s">
        <v>71</v>
      </c>
      <c r="H303" s="251"/>
    </row>
    <row r="304">
      <c r="A304" s="265"/>
      <c r="B304" s="247"/>
      <c r="C304" s="252"/>
      <c r="D304" s="253"/>
      <c r="F304" s="250">
        <v>17500.0</v>
      </c>
      <c r="G304" s="254" t="s">
        <v>2561</v>
      </c>
      <c r="H304" s="251"/>
    </row>
    <row r="305">
      <c r="A305" s="265"/>
      <c r="B305" s="268"/>
      <c r="C305" s="252"/>
      <c r="D305" s="253"/>
      <c r="F305" s="250"/>
      <c r="G305" s="254"/>
      <c r="H305" s="251"/>
    </row>
    <row r="306">
      <c r="A306" s="265"/>
      <c r="B306" s="268"/>
      <c r="C306" s="252"/>
      <c r="D306" s="253"/>
      <c r="F306" s="250"/>
      <c r="G306" s="254"/>
      <c r="H306" s="251"/>
    </row>
    <row r="307">
      <c r="A307" s="265"/>
      <c r="B307" s="268"/>
      <c r="C307" s="252"/>
      <c r="D307" s="253"/>
      <c r="F307" s="250"/>
      <c r="G307" s="269"/>
      <c r="H307" s="251"/>
    </row>
    <row r="308">
      <c r="A308" s="265"/>
      <c r="B308" s="268"/>
      <c r="C308" s="252"/>
      <c r="D308" s="253"/>
      <c r="F308" s="250"/>
      <c r="G308" s="269"/>
      <c r="H308" s="251"/>
    </row>
    <row r="309">
      <c r="A309" s="265"/>
      <c r="B309" s="268"/>
      <c r="C309" s="252"/>
      <c r="D309" s="253"/>
      <c r="F309" s="250"/>
      <c r="G309" s="269"/>
      <c r="H309" s="251"/>
    </row>
    <row r="310">
      <c r="A310" s="270"/>
      <c r="B310" s="271"/>
      <c r="C310" s="272"/>
      <c r="D310" s="273"/>
      <c r="E310" s="18"/>
      <c r="F310" s="274"/>
      <c r="G310" s="275"/>
      <c r="H310" s="261"/>
    </row>
    <row r="311">
      <c r="A311" s="262" t="s">
        <v>2562</v>
      </c>
      <c r="B311" s="239">
        <v>13700.0</v>
      </c>
      <c r="C311" s="263"/>
      <c r="D311" s="264"/>
      <c r="E311" s="242"/>
      <c r="F311" s="250"/>
      <c r="G311" s="254" t="s">
        <v>75</v>
      </c>
      <c r="H311" s="245">
        <v>65.0</v>
      </c>
      <c r="I311" s="2" t="s">
        <v>72</v>
      </c>
    </row>
    <row r="312">
      <c r="A312" s="265"/>
      <c r="B312" s="247">
        <v>17549.84</v>
      </c>
      <c r="C312" s="252"/>
      <c r="D312" s="253"/>
      <c r="F312" s="250"/>
      <c r="G312" s="254" t="s">
        <v>91</v>
      </c>
      <c r="H312" s="267"/>
    </row>
    <row r="313">
      <c r="A313" s="265"/>
      <c r="B313" s="247">
        <v>16095.35</v>
      </c>
      <c r="C313" s="248"/>
      <c r="D313" s="249"/>
      <c r="F313" s="250"/>
      <c r="G313" s="254" t="s">
        <v>73</v>
      </c>
      <c r="H313" s="251"/>
    </row>
    <row r="314">
      <c r="A314" s="265"/>
      <c r="B314" s="247">
        <v>13472.9</v>
      </c>
      <c r="C314" s="248"/>
      <c r="D314" s="249"/>
      <c r="F314" s="250"/>
      <c r="G314" s="254" t="s">
        <v>74</v>
      </c>
      <c r="H314" s="251"/>
    </row>
    <row r="315">
      <c r="A315" s="265"/>
      <c r="B315" s="247"/>
      <c r="C315" s="252"/>
      <c r="D315" s="249"/>
      <c r="F315" s="250">
        <v>1000.0</v>
      </c>
      <c r="G315" s="254" t="s">
        <v>85</v>
      </c>
      <c r="H315" s="251"/>
    </row>
    <row r="316">
      <c r="A316" s="265"/>
      <c r="B316" s="247"/>
      <c r="C316" s="252"/>
      <c r="D316" s="249">
        <v>30492.0</v>
      </c>
      <c r="F316" s="250"/>
      <c r="G316" s="254"/>
      <c r="H316" s="267" t="s">
        <v>235</v>
      </c>
    </row>
    <row r="317">
      <c r="A317" s="265"/>
      <c r="B317" s="247">
        <v>33880.0</v>
      </c>
      <c r="C317" s="252"/>
      <c r="D317" s="249"/>
      <c r="F317" s="250"/>
      <c r="G317" s="254" t="s">
        <v>2563</v>
      </c>
      <c r="H317" s="251"/>
    </row>
    <row r="318">
      <c r="A318" s="265"/>
      <c r="B318" s="247"/>
      <c r="C318" s="252"/>
      <c r="D318" s="253"/>
      <c r="F318" s="250"/>
      <c r="G318" s="254"/>
      <c r="H318" s="251"/>
    </row>
    <row r="319">
      <c r="A319" s="265"/>
      <c r="B319" s="268"/>
      <c r="C319" s="252"/>
      <c r="D319" s="253"/>
      <c r="F319" s="250"/>
      <c r="G319" s="254"/>
      <c r="H319" s="251"/>
    </row>
    <row r="320">
      <c r="A320" s="265"/>
      <c r="B320" s="268"/>
      <c r="C320" s="252"/>
      <c r="D320" s="253"/>
      <c r="F320" s="250"/>
      <c r="G320" s="254"/>
      <c r="H320" s="251"/>
    </row>
    <row r="321">
      <c r="A321" s="265"/>
      <c r="B321" s="268"/>
      <c r="C321" s="252"/>
      <c r="D321" s="253"/>
      <c r="F321" s="250"/>
      <c r="G321" s="254"/>
      <c r="H321" s="251"/>
    </row>
    <row r="322">
      <c r="A322" s="265"/>
      <c r="B322" s="247"/>
      <c r="C322" s="252"/>
      <c r="D322" s="253"/>
      <c r="F322" s="250"/>
      <c r="G322" s="269"/>
      <c r="H322" s="251"/>
    </row>
    <row r="323">
      <c r="A323" s="265"/>
      <c r="B323" s="268"/>
      <c r="C323" s="252"/>
      <c r="D323" s="253"/>
      <c r="F323" s="250"/>
      <c r="G323" s="269"/>
      <c r="H323" s="251"/>
    </row>
    <row r="324">
      <c r="A324" s="265"/>
      <c r="B324" s="268"/>
      <c r="C324" s="252"/>
      <c r="D324" s="253"/>
      <c r="F324" s="250"/>
      <c r="G324" s="269"/>
      <c r="H324" s="251"/>
    </row>
    <row r="325">
      <c r="A325" s="270"/>
      <c r="B325" s="271"/>
      <c r="C325" s="272"/>
      <c r="D325" s="273"/>
      <c r="E325" s="18"/>
      <c r="F325" s="274"/>
      <c r="G325" s="18"/>
      <c r="H325" s="261"/>
    </row>
    <row r="326">
      <c r="A326" s="262" t="s">
        <v>2564</v>
      </c>
      <c r="B326" s="239"/>
      <c r="C326" s="263"/>
      <c r="D326" s="264"/>
      <c r="E326" s="242"/>
      <c r="F326" s="243">
        <v>7300.0</v>
      </c>
      <c r="G326" s="244" t="s">
        <v>68</v>
      </c>
      <c r="H326" s="245">
        <v>62.0</v>
      </c>
      <c r="I326" s="2" t="s">
        <v>72</v>
      </c>
    </row>
    <row r="327">
      <c r="A327" s="265"/>
      <c r="B327" s="247"/>
      <c r="C327" s="248"/>
      <c r="D327" s="249"/>
      <c r="F327" s="250">
        <v>2000.0</v>
      </c>
      <c r="G327" s="2" t="s">
        <v>344</v>
      </c>
      <c r="H327" s="267"/>
    </row>
    <row r="328">
      <c r="A328" s="265"/>
      <c r="B328" s="247"/>
      <c r="C328" s="248">
        <v>21908.82</v>
      </c>
      <c r="D328" s="249"/>
      <c r="F328" s="250"/>
      <c r="G328" s="2" t="s">
        <v>84</v>
      </c>
      <c r="H328" s="251"/>
    </row>
    <row r="329">
      <c r="A329" s="265"/>
      <c r="B329" s="247">
        <v>12420.34</v>
      </c>
      <c r="C329" s="252"/>
      <c r="D329" s="253"/>
      <c r="F329" s="250"/>
      <c r="G329" s="2" t="s">
        <v>73</v>
      </c>
      <c r="H329" s="251"/>
    </row>
    <row r="330">
      <c r="A330" s="265"/>
      <c r="B330" s="247">
        <v>3705.56</v>
      </c>
      <c r="C330" s="248"/>
      <c r="D330" s="249"/>
      <c r="F330" s="250"/>
      <c r="G330" s="2" t="s">
        <v>74</v>
      </c>
      <c r="H330" s="251"/>
    </row>
    <row r="331">
      <c r="A331" s="265"/>
      <c r="B331" s="247"/>
      <c r="C331" s="252"/>
      <c r="D331" s="249"/>
      <c r="F331" s="250"/>
      <c r="H331" s="251"/>
    </row>
    <row r="332">
      <c r="A332" s="265"/>
      <c r="B332" s="247"/>
      <c r="C332" s="252"/>
      <c r="D332" s="249"/>
      <c r="F332" s="250"/>
      <c r="H332" s="251"/>
    </row>
    <row r="333">
      <c r="A333" s="265"/>
      <c r="B333" s="247"/>
      <c r="C333" s="252"/>
      <c r="D333" s="253"/>
      <c r="F333" s="250"/>
      <c r="H333" s="251"/>
    </row>
    <row r="334">
      <c r="A334" s="265"/>
      <c r="B334" s="247"/>
      <c r="C334" s="252"/>
      <c r="D334" s="249"/>
      <c r="F334" s="250"/>
      <c r="H334" s="251"/>
    </row>
    <row r="335">
      <c r="A335" s="265"/>
      <c r="B335" s="247"/>
      <c r="C335" s="252"/>
      <c r="D335" s="253"/>
      <c r="F335" s="250"/>
      <c r="H335" s="251"/>
    </row>
    <row r="336">
      <c r="A336" s="265"/>
      <c r="B336" s="247"/>
      <c r="C336" s="252"/>
      <c r="D336" s="253"/>
      <c r="F336" s="250"/>
      <c r="H336" s="251"/>
    </row>
    <row r="337">
      <c r="A337" s="265"/>
      <c r="B337" s="247"/>
      <c r="C337" s="252"/>
      <c r="D337" s="249"/>
      <c r="F337" s="250"/>
      <c r="H337" s="251"/>
    </row>
    <row r="338">
      <c r="A338" s="270"/>
      <c r="B338" s="271"/>
      <c r="C338" s="272"/>
      <c r="D338" s="273"/>
      <c r="E338" s="18"/>
      <c r="F338" s="259"/>
      <c r="G338" s="293"/>
      <c r="H338" s="261"/>
    </row>
    <row r="339">
      <c r="A339" s="262" t="s">
        <v>2565</v>
      </c>
      <c r="B339" s="239"/>
      <c r="C339" s="263"/>
      <c r="D339" s="264"/>
      <c r="E339" s="242"/>
      <c r="F339" s="243">
        <f>3874+1747</f>
        <v>5621</v>
      </c>
      <c r="G339" s="244" t="s">
        <v>63</v>
      </c>
      <c r="H339" s="245">
        <v>100.0</v>
      </c>
      <c r="I339" s="2" t="s">
        <v>2566</v>
      </c>
    </row>
    <row r="340">
      <c r="A340" s="265"/>
      <c r="B340" s="247">
        <v>6294.07</v>
      </c>
      <c r="C340" s="248"/>
      <c r="D340" s="249"/>
      <c r="F340" s="250"/>
      <c r="G340" s="2" t="s">
        <v>82</v>
      </c>
      <c r="H340" s="267">
        <v>50.0</v>
      </c>
      <c r="I340" s="2" t="s">
        <v>2567</v>
      </c>
    </row>
    <row r="341">
      <c r="A341" s="265"/>
      <c r="B341" s="247">
        <v>25500.0</v>
      </c>
      <c r="C341" s="248"/>
      <c r="D341" s="249"/>
      <c r="F341" s="250"/>
      <c r="G341" s="2" t="s">
        <v>87</v>
      </c>
      <c r="H341" s="267" t="s">
        <v>2568</v>
      </c>
    </row>
    <row r="342">
      <c r="A342" s="265"/>
      <c r="B342" s="247">
        <v>13018.42</v>
      </c>
      <c r="C342" s="248"/>
      <c r="D342" s="249"/>
      <c r="F342" s="250"/>
      <c r="G342" s="2" t="s">
        <v>114</v>
      </c>
      <c r="H342" s="251"/>
    </row>
    <row r="343">
      <c r="A343" s="265"/>
      <c r="B343" s="247">
        <v>9600.0</v>
      </c>
      <c r="C343" s="248"/>
      <c r="D343" s="249"/>
      <c r="F343" s="250"/>
      <c r="G343" s="2" t="s">
        <v>79</v>
      </c>
      <c r="H343" s="251"/>
    </row>
    <row r="344">
      <c r="A344" s="265"/>
      <c r="B344" s="247"/>
      <c r="C344" s="252"/>
      <c r="D344" s="249">
        <v>36334.67</v>
      </c>
      <c r="F344" s="250"/>
      <c r="G344" s="2" t="s">
        <v>103</v>
      </c>
      <c r="H344" s="251"/>
    </row>
    <row r="345">
      <c r="A345" s="265"/>
      <c r="B345" s="247"/>
      <c r="C345" s="252"/>
      <c r="D345" s="249"/>
      <c r="F345" s="250"/>
      <c r="H345" s="251"/>
    </row>
    <row r="346">
      <c r="A346" s="265"/>
      <c r="B346" s="247"/>
      <c r="C346" s="252"/>
      <c r="D346" s="249"/>
      <c r="F346" s="250"/>
      <c r="H346" s="251"/>
    </row>
    <row r="347">
      <c r="A347" s="265"/>
      <c r="B347" s="247"/>
      <c r="C347" s="252"/>
      <c r="D347" s="253"/>
      <c r="F347" s="250"/>
      <c r="H347" s="251"/>
    </row>
    <row r="348">
      <c r="A348" s="265"/>
      <c r="B348" s="247"/>
      <c r="C348" s="252"/>
      <c r="D348" s="253"/>
      <c r="F348" s="250"/>
      <c r="H348" s="251"/>
    </row>
    <row r="349">
      <c r="A349" s="265"/>
      <c r="B349" s="268"/>
      <c r="C349" s="252"/>
      <c r="D349" s="253"/>
      <c r="F349" s="250"/>
      <c r="H349" s="251"/>
    </row>
    <row r="350">
      <c r="A350" s="265"/>
      <c r="B350" s="247"/>
      <c r="C350" s="252"/>
      <c r="D350" s="253"/>
      <c r="F350" s="250"/>
      <c r="H350" s="251"/>
    </row>
    <row r="351">
      <c r="A351" s="265"/>
      <c r="B351" s="268"/>
      <c r="C351" s="252"/>
      <c r="D351" s="253"/>
      <c r="F351" s="250"/>
      <c r="H351" s="251"/>
    </row>
    <row r="352">
      <c r="A352" s="265"/>
      <c r="B352" s="268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68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70"/>
      <c r="B356" s="271"/>
      <c r="C356" s="272"/>
      <c r="D356" s="273"/>
      <c r="E356" s="18"/>
      <c r="F356" s="274"/>
      <c r="G356" s="18"/>
      <c r="H356" s="261"/>
    </row>
    <row r="357">
      <c r="A357" s="262" t="s">
        <v>2569</v>
      </c>
      <c r="B357" s="239"/>
      <c r="C357" s="240"/>
      <c r="D357" s="264">
        <f>23440+16200</f>
        <v>39640</v>
      </c>
      <c r="E357" s="242"/>
      <c r="F357" s="243"/>
      <c r="G357" s="244" t="s">
        <v>75</v>
      </c>
      <c r="H357" s="245">
        <v>10950.0</v>
      </c>
      <c r="I357" s="2" t="s">
        <v>257</v>
      </c>
    </row>
    <row r="358">
      <c r="A358" s="265"/>
      <c r="B358" s="247"/>
      <c r="C358" s="248">
        <v>21801.88</v>
      </c>
      <c r="D358" s="249"/>
      <c r="F358" s="250"/>
      <c r="G358" s="2" t="s">
        <v>89</v>
      </c>
      <c r="H358" s="267">
        <v>30.0</v>
      </c>
      <c r="I358" s="2" t="s">
        <v>59</v>
      </c>
    </row>
    <row r="359">
      <c r="A359" s="265"/>
      <c r="B359" s="247"/>
      <c r="C359" s="248"/>
      <c r="D359" s="253"/>
      <c r="F359" s="250">
        <v>207.0</v>
      </c>
      <c r="G359" s="2" t="s">
        <v>97</v>
      </c>
      <c r="H359" s="251"/>
    </row>
    <row r="360">
      <c r="A360" s="265"/>
      <c r="B360" s="247"/>
      <c r="C360" s="248"/>
      <c r="D360" s="249"/>
      <c r="F360" s="250">
        <v>392.0</v>
      </c>
      <c r="G360" s="2" t="s">
        <v>374</v>
      </c>
      <c r="H360" s="251"/>
    </row>
    <row r="361">
      <c r="A361" s="265"/>
      <c r="B361" s="247">
        <v>3147.04</v>
      </c>
      <c r="C361" s="252"/>
      <c r="D361" s="249"/>
      <c r="F361" s="250"/>
      <c r="G361" s="2" t="s">
        <v>82</v>
      </c>
      <c r="H361" s="251"/>
    </row>
    <row r="362">
      <c r="A362" s="265"/>
      <c r="B362" s="247">
        <v>20100.0</v>
      </c>
      <c r="C362" s="252"/>
      <c r="D362" s="253"/>
      <c r="F362" s="250"/>
      <c r="G362" s="2" t="s">
        <v>122</v>
      </c>
      <c r="H362" s="251"/>
    </row>
    <row r="363">
      <c r="A363" s="265"/>
      <c r="B363" s="247"/>
      <c r="C363" s="252"/>
      <c r="D363" s="253"/>
      <c r="F363" s="250">
        <v>3000.0</v>
      </c>
      <c r="G363" s="2" t="s">
        <v>160</v>
      </c>
      <c r="H363" s="251"/>
    </row>
    <row r="364">
      <c r="A364" s="265"/>
      <c r="B364" s="268"/>
      <c r="C364" s="252"/>
      <c r="D364" s="249"/>
      <c r="F364" s="250">
        <v>3200.0</v>
      </c>
      <c r="G364" s="2" t="s">
        <v>110</v>
      </c>
      <c r="H364" s="251"/>
    </row>
    <row r="365">
      <c r="A365" s="265"/>
      <c r="B365" s="268"/>
      <c r="C365" s="252"/>
      <c r="D365" s="253"/>
      <c r="F365" s="250">
        <v>6000.0</v>
      </c>
      <c r="G365" s="2" t="s">
        <v>2570</v>
      </c>
      <c r="H365" s="251"/>
    </row>
    <row r="366">
      <c r="A366" s="265"/>
      <c r="B366" s="247"/>
      <c r="C366" s="252"/>
      <c r="D366" s="253"/>
      <c r="F366" s="250"/>
      <c r="H366" s="251"/>
    </row>
    <row r="367">
      <c r="A367" s="265"/>
      <c r="B367" s="268"/>
      <c r="C367" s="252"/>
      <c r="D367" s="253"/>
      <c r="F367" s="250"/>
      <c r="H367" s="251"/>
    </row>
    <row r="368">
      <c r="A368" s="265"/>
      <c r="B368" s="247"/>
      <c r="C368" s="252"/>
      <c r="D368" s="253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68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68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70"/>
      <c r="B374" s="271"/>
      <c r="C374" s="272"/>
      <c r="D374" s="273"/>
      <c r="E374" s="18"/>
      <c r="F374" s="274"/>
      <c r="G374" s="18"/>
      <c r="H374" s="261"/>
    </row>
    <row r="375">
      <c r="A375" s="262" t="s">
        <v>2571</v>
      </c>
      <c r="B375" s="239"/>
      <c r="C375" s="240"/>
      <c r="D375" s="264"/>
      <c r="E375" s="242"/>
      <c r="F375" s="243"/>
      <c r="H375" s="245">
        <v>50.0</v>
      </c>
      <c r="I375" s="2" t="s">
        <v>59</v>
      </c>
    </row>
    <row r="376">
      <c r="A376" s="265"/>
      <c r="B376" s="247"/>
      <c r="C376" s="248"/>
      <c r="D376" s="288"/>
      <c r="F376" s="250"/>
      <c r="H376" s="267"/>
    </row>
    <row r="377">
      <c r="A377" s="265"/>
      <c r="B377" s="247"/>
      <c r="C377" s="248"/>
      <c r="D377" s="249"/>
      <c r="F377" s="250"/>
      <c r="H377" s="267"/>
    </row>
    <row r="378">
      <c r="A378" s="265"/>
      <c r="B378" s="247"/>
      <c r="C378" s="252"/>
      <c r="D378" s="249"/>
      <c r="F378" s="250"/>
      <c r="H378" s="251"/>
    </row>
    <row r="379">
      <c r="A379" s="265"/>
      <c r="B379" s="268"/>
      <c r="C379" s="252"/>
      <c r="D379" s="253"/>
      <c r="F379" s="250"/>
      <c r="H379" s="294"/>
    </row>
    <row r="380">
      <c r="A380" s="265"/>
      <c r="B380" s="247"/>
      <c r="C380" s="252"/>
      <c r="D380" s="249"/>
      <c r="F380" s="250"/>
      <c r="H380" s="251"/>
    </row>
    <row r="381">
      <c r="A381" s="265"/>
      <c r="B381" s="247"/>
      <c r="C381" s="252"/>
      <c r="D381" s="249"/>
      <c r="F381" s="250"/>
      <c r="H381" s="251"/>
    </row>
    <row r="382">
      <c r="A382" s="265"/>
      <c r="B382" s="268"/>
      <c r="C382" s="252"/>
      <c r="D382" s="249"/>
      <c r="F382" s="250"/>
      <c r="H382" s="267"/>
    </row>
    <row r="383">
      <c r="A383" s="265"/>
      <c r="B383" s="268"/>
      <c r="C383" s="252"/>
      <c r="D383" s="249"/>
      <c r="F383" s="250"/>
      <c r="H383" s="251"/>
    </row>
    <row r="384">
      <c r="A384" s="265"/>
      <c r="B384" s="247"/>
      <c r="C384" s="252"/>
      <c r="D384" s="249"/>
      <c r="F384" s="250"/>
      <c r="H384" s="267"/>
    </row>
    <row r="385">
      <c r="A385" s="270"/>
      <c r="B385" s="271"/>
      <c r="C385" s="272"/>
      <c r="D385" s="295"/>
      <c r="E385" s="18"/>
      <c r="F385" s="274"/>
      <c r="G385" s="293"/>
      <c r="H385" s="261"/>
    </row>
    <row r="386">
      <c r="A386" s="262" t="s">
        <v>187</v>
      </c>
      <c r="B386" s="239"/>
      <c r="C386" s="240"/>
      <c r="D386" s="428">
        <v>38482.24</v>
      </c>
      <c r="E386" s="242"/>
      <c r="F386" s="243"/>
      <c r="G386" s="2" t="s">
        <v>188</v>
      </c>
      <c r="H386" s="297">
        <v>44897.0</v>
      </c>
      <c r="I386" s="2" t="s">
        <v>189</v>
      </c>
    </row>
    <row r="387">
      <c r="A387" s="265"/>
      <c r="B387" s="247"/>
      <c r="C387" s="248"/>
      <c r="D387" s="298">
        <v>16624.74</v>
      </c>
      <c r="F387" s="250"/>
      <c r="G387" s="2" t="s">
        <v>190</v>
      </c>
      <c r="H387" s="294">
        <v>44907.0</v>
      </c>
    </row>
    <row r="388">
      <c r="A388" s="265"/>
      <c r="B388" s="247"/>
      <c r="C388" s="248"/>
      <c r="D388" s="249">
        <v>2449.66</v>
      </c>
      <c r="F388" s="250"/>
      <c r="G388" s="2" t="s">
        <v>191</v>
      </c>
      <c r="H388" s="294">
        <v>44917.0</v>
      </c>
    </row>
    <row r="389">
      <c r="A389" s="265"/>
      <c r="B389" s="268"/>
      <c r="C389" s="252"/>
      <c r="D389" s="249">
        <v>66550.0</v>
      </c>
      <c r="F389" s="250"/>
      <c r="G389" s="2" t="s">
        <v>192</v>
      </c>
      <c r="H389" s="294">
        <v>44910.0</v>
      </c>
    </row>
    <row r="390">
      <c r="A390" s="265"/>
      <c r="B390" s="268"/>
      <c r="C390" s="252"/>
      <c r="D390" s="253"/>
      <c r="F390" s="250">
        <v>46000.0</v>
      </c>
      <c r="G390" s="2" t="s">
        <v>193</v>
      </c>
      <c r="H390" s="294">
        <v>44922.0</v>
      </c>
    </row>
    <row r="391">
      <c r="A391" s="265"/>
      <c r="B391" s="247"/>
      <c r="C391" s="252"/>
      <c r="D391" s="249"/>
      <c r="F391" s="250"/>
      <c r="G391" s="2" t="s">
        <v>194</v>
      </c>
      <c r="H391" s="294"/>
    </row>
    <row r="392">
      <c r="A392" s="265"/>
      <c r="B392" s="247"/>
      <c r="C392" s="252"/>
      <c r="D392" s="249">
        <v>30000.0</v>
      </c>
      <c r="F392" s="250"/>
      <c r="G392" s="2" t="s">
        <v>196</v>
      </c>
      <c r="H392" s="294">
        <v>44911.0</v>
      </c>
    </row>
    <row r="393">
      <c r="A393" s="265"/>
      <c r="B393" s="247">
        <v>7326.74</v>
      </c>
      <c r="C393" s="252"/>
      <c r="D393" s="249"/>
      <c r="F393" s="250"/>
      <c r="G393" s="2" t="s">
        <v>2285</v>
      </c>
      <c r="H393" s="251"/>
      <c r="I393" s="2" t="s">
        <v>189</v>
      </c>
    </row>
    <row r="394">
      <c r="A394" s="265"/>
      <c r="B394" s="268"/>
      <c r="C394" s="252"/>
      <c r="D394" s="249">
        <v>7747.65</v>
      </c>
      <c r="F394" s="250"/>
      <c r="G394" s="2" t="s">
        <v>199</v>
      </c>
      <c r="H394" s="294">
        <v>44900.0</v>
      </c>
      <c r="I394" s="2" t="s">
        <v>189</v>
      </c>
    </row>
    <row r="395">
      <c r="A395" s="265"/>
      <c r="B395" s="247"/>
      <c r="C395" s="252"/>
      <c r="D395" s="249">
        <v>17419.0</v>
      </c>
      <c r="F395" s="250"/>
      <c r="G395" s="2" t="s">
        <v>200</v>
      </c>
      <c r="H395" s="294">
        <v>44902.0</v>
      </c>
      <c r="I395" s="2" t="s">
        <v>189</v>
      </c>
    </row>
    <row r="396">
      <c r="A396" s="265"/>
      <c r="B396" s="278"/>
      <c r="C396" s="248"/>
      <c r="D396" s="296">
        <v>7260.43</v>
      </c>
      <c r="F396" s="282"/>
      <c r="G396" s="2" t="s">
        <v>201</v>
      </c>
      <c r="H396" s="294">
        <v>44900.0</v>
      </c>
      <c r="I396" s="2" t="s">
        <v>189</v>
      </c>
    </row>
    <row r="397">
      <c r="A397" s="270"/>
      <c r="B397" s="278"/>
      <c r="C397" s="248"/>
      <c r="D397" s="295"/>
      <c r="F397" s="282"/>
      <c r="H397" s="294"/>
    </row>
    <row r="398">
      <c r="A398" s="299"/>
      <c r="B398" s="278"/>
      <c r="C398" s="248"/>
      <c r="D398" s="300">
        <v>133274.37</v>
      </c>
      <c r="F398" s="282"/>
      <c r="G398" s="2" t="s">
        <v>202</v>
      </c>
      <c r="H398" s="301">
        <v>44907.0</v>
      </c>
      <c r="I398" s="2" t="s">
        <v>203</v>
      </c>
    </row>
    <row r="399">
      <c r="A399" s="299"/>
      <c r="B399" s="278"/>
      <c r="C399" s="248"/>
      <c r="D399" s="295"/>
      <c r="F399" s="250"/>
      <c r="G399" s="2" t="s">
        <v>204</v>
      </c>
      <c r="H399" s="301"/>
    </row>
    <row r="400">
      <c r="A400" s="299"/>
      <c r="B400" s="278"/>
      <c r="C400" s="252"/>
      <c r="D400" s="253"/>
      <c r="F400" s="250"/>
      <c r="G400" s="2" t="s">
        <v>205</v>
      </c>
      <c r="H400" s="302"/>
    </row>
    <row r="401">
      <c r="A401" s="303"/>
      <c r="B401" s="268"/>
      <c r="C401" s="252"/>
      <c r="D401" s="249">
        <v>337879.36</v>
      </c>
      <c r="F401" s="250"/>
      <c r="G401" s="2" t="s">
        <v>206</v>
      </c>
      <c r="H401" s="294">
        <v>44917.0</v>
      </c>
      <c r="I401" s="2" t="s">
        <v>207</v>
      </c>
    </row>
    <row r="402">
      <c r="A402" s="303"/>
      <c r="B402" s="247">
        <v>7160.83</v>
      </c>
      <c r="C402" s="252"/>
      <c r="D402" s="249"/>
      <c r="F402" s="250"/>
      <c r="G402" s="2" t="s">
        <v>208</v>
      </c>
      <c r="H402" s="294">
        <v>44907.0</v>
      </c>
    </row>
    <row r="403">
      <c r="A403" s="303"/>
      <c r="B403" s="268"/>
      <c r="C403" s="252"/>
      <c r="D403" s="249">
        <v>24847.5</v>
      </c>
      <c r="F403" s="250"/>
      <c r="G403" s="2" t="s">
        <v>2572</v>
      </c>
      <c r="H403" s="251"/>
    </row>
    <row r="404">
      <c r="A404" s="303"/>
      <c r="B404" s="268"/>
      <c r="C404" s="252"/>
      <c r="D404" s="249">
        <v>550000.0</v>
      </c>
      <c r="F404" s="250"/>
      <c r="G404" s="2" t="s">
        <v>2573</v>
      </c>
      <c r="H404" s="294">
        <v>44924.0</v>
      </c>
    </row>
    <row r="405">
      <c r="A405" s="303"/>
      <c r="B405" s="268"/>
      <c r="C405" s="252"/>
      <c r="D405" s="253"/>
      <c r="F405" s="250"/>
      <c r="H405" s="251"/>
    </row>
    <row r="406">
      <c r="A406" s="303"/>
      <c r="B406" s="268"/>
      <c r="C406" s="252"/>
      <c r="D406" s="253"/>
      <c r="F406" s="250"/>
      <c r="H406" s="251"/>
    </row>
    <row r="407">
      <c r="A407" s="304"/>
      <c r="B407" s="271"/>
      <c r="C407" s="272"/>
      <c r="D407" s="273"/>
      <c r="E407" s="18"/>
      <c r="F407" s="274"/>
      <c r="G407" s="18"/>
      <c r="H407" s="261"/>
    </row>
    <row r="408">
      <c r="A408" s="305"/>
      <c r="B408" s="306"/>
      <c r="C408" s="240"/>
      <c r="D408" s="241"/>
      <c r="E408" s="242"/>
      <c r="F408" s="243"/>
      <c r="G408" s="244"/>
      <c r="H408" s="307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70"/>
      <c r="B417" s="271"/>
      <c r="C417" s="272"/>
      <c r="D417" s="273"/>
      <c r="E417" s="18"/>
      <c r="F417" s="274"/>
      <c r="G417" s="18"/>
      <c r="H417" s="261"/>
    </row>
    <row r="418">
      <c r="A418" s="305"/>
      <c r="B418" s="306"/>
      <c r="C418" s="240"/>
      <c r="D418" s="241"/>
      <c r="E418" s="242"/>
      <c r="F418" s="243"/>
      <c r="G418" s="244"/>
      <c r="H418" s="307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70"/>
      <c r="B427" s="271"/>
      <c r="C427" s="272"/>
      <c r="D427" s="273"/>
      <c r="E427" s="18"/>
      <c r="F427" s="274"/>
      <c r="G427" s="18"/>
      <c r="H427" s="261"/>
    </row>
    <row r="428">
      <c r="B428" s="306"/>
      <c r="C428" s="240"/>
      <c r="D428" s="241"/>
      <c r="E428" s="242"/>
      <c r="F428" s="243"/>
      <c r="G428" s="244"/>
      <c r="H428" s="307"/>
    </row>
    <row r="429">
      <c r="B429" s="268"/>
      <c r="C429" s="252"/>
      <c r="D429" s="253"/>
      <c r="F429" s="250"/>
      <c r="H429" s="251"/>
    </row>
    <row r="430">
      <c r="B430" s="268"/>
      <c r="C430" s="252"/>
      <c r="D430" s="253"/>
      <c r="F430" s="250"/>
      <c r="H430" s="251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1:A325"/>
    <mergeCell ref="A326:A338"/>
    <mergeCell ref="A339:A356"/>
    <mergeCell ref="A357:A374"/>
    <mergeCell ref="A375:A385"/>
    <mergeCell ref="A386:A397"/>
    <mergeCell ref="A408:A417"/>
    <mergeCell ref="A418:A427"/>
    <mergeCell ref="A214:A225"/>
    <mergeCell ref="A226:A240"/>
    <mergeCell ref="A241:A254"/>
    <mergeCell ref="A255:A268"/>
    <mergeCell ref="A269:A281"/>
    <mergeCell ref="A282:A295"/>
    <mergeCell ref="A296:A3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13.25"/>
    <col customWidth="1" min="3" max="3" width="9.13"/>
    <col customWidth="1" min="4" max="5" width="7.75"/>
    <col customWidth="1" min="6" max="6" width="8.0"/>
    <col customWidth="1" min="7" max="7" width="9.13"/>
    <col customWidth="1" min="8" max="8" width="10.75"/>
    <col customWidth="1" min="9" max="10" width="9.13"/>
    <col customWidth="1" min="11" max="11" width="16.88"/>
    <col customWidth="1" min="12" max="12" width="60.5"/>
    <col customWidth="1" min="13" max="34" width="9.13"/>
  </cols>
  <sheetData>
    <row r="1" ht="25.5" customHeight="1">
      <c r="A1" s="6"/>
      <c r="B1" s="6" t="s">
        <v>9</v>
      </c>
      <c r="C1" s="7" t="s">
        <v>10</v>
      </c>
      <c r="D1" s="8" t="s">
        <v>11</v>
      </c>
      <c r="E1" s="9" t="s">
        <v>12</v>
      </c>
      <c r="F1" s="10" t="s">
        <v>13</v>
      </c>
      <c r="G1" s="6" t="s">
        <v>14</v>
      </c>
      <c r="H1" s="11" t="s">
        <v>2574</v>
      </c>
      <c r="I1" s="13" t="s">
        <v>17</v>
      </c>
      <c r="J1" s="14" t="s">
        <v>18</v>
      </c>
      <c r="K1" s="15" t="s">
        <v>19</v>
      </c>
      <c r="L1" s="16" t="s">
        <v>20</v>
      </c>
      <c r="M1" s="6"/>
      <c r="N1" s="17"/>
      <c r="O1" s="18"/>
      <c r="P1" s="6"/>
      <c r="Q1" s="6"/>
      <c r="R1" s="6"/>
      <c r="S1" s="6"/>
      <c r="T1" s="6"/>
      <c r="U1" s="6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>
      <c r="A2" s="20" t="s">
        <v>21</v>
      </c>
      <c r="B2" s="21">
        <v>44564.0</v>
      </c>
      <c r="C2" s="22">
        <v>77935.0</v>
      </c>
      <c r="D2" s="23">
        <v>33250.0</v>
      </c>
      <c r="E2" s="24">
        <v>2660.0</v>
      </c>
      <c r="F2" s="25">
        <v>1000.0</v>
      </c>
      <c r="G2" s="26">
        <f>3550+8420</f>
        <v>11970</v>
      </c>
      <c r="H2" s="27">
        <v>12350.0</v>
      </c>
      <c r="I2" s="29">
        <v>19120.0</v>
      </c>
      <c r="J2" s="30">
        <f t="shared" ref="J2:J7" si="1">C2-G2-H2-I2</f>
        <v>34495</v>
      </c>
      <c r="K2" s="31">
        <f>C31+C62+C95+C126+C157+C188+C220+C252+C283</f>
        <v>38703147</v>
      </c>
      <c r="L2" s="32" t="s">
        <v>2575</v>
      </c>
      <c r="M2" s="33"/>
      <c r="N2" s="34"/>
      <c r="O2" s="35"/>
      <c r="P2" s="33"/>
      <c r="Q2" s="33"/>
      <c r="R2" s="35"/>
      <c r="S2" s="35"/>
      <c r="T2" s="33"/>
      <c r="U2" s="3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>
      <c r="A3" s="38" t="s">
        <v>22</v>
      </c>
      <c r="B3" s="41">
        <v>44565.0</v>
      </c>
      <c r="C3" s="22">
        <v>92700.0</v>
      </c>
      <c r="D3" s="23">
        <v>49120.0</v>
      </c>
      <c r="E3" s="24">
        <v>1500.0</v>
      </c>
      <c r="F3" s="25">
        <v>1600.0</v>
      </c>
      <c r="G3" s="35">
        <v>13160.0</v>
      </c>
      <c r="H3" s="27">
        <v>16240.0</v>
      </c>
      <c r="I3" s="29">
        <v>18600.0</v>
      </c>
      <c r="J3" s="30">
        <f t="shared" si="1"/>
        <v>44700</v>
      </c>
      <c r="K3" s="31"/>
      <c r="L3" s="39"/>
      <c r="M3" s="33"/>
      <c r="N3" s="40"/>
      <c r="O3" s="35"/>
      <c r="P3" s="33"/>
      <c r="Q3" s="33"/>
      <c r="R3" s="35"/>
      <c r="S3" s="35"/>
      <c r="T3" s="33"/>
      <c r="U3" s="36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>
      <c r="A4" s="38" t="s">
        <v>23</v>
      </c>
      <c r="B4" s="41">
        <v>44566.0</v>
      </c>
      <c r="C4" s="22">
        <v>104770.0</v>
      </c>
      <c r="D4" s="23">
        <v>53760.0</v>
      </c>
      <c r="E4" s="24">
        <v>1100.0</v>
      </c>
      <c r="F4" s="25">
        <v>710.0</v>
      </c>
      <c r="G4" s="35">
        <v>14600.0</v>
      </c>
      <c r="H4" s="27">
        <v>21440.0</v>
      </c>
      <c r="I4" s="29">
        <v>22010.0</v>
      </c>
      <c r="J4" s="30">
        <f t="shared" si="1"/>
        <v>46720</v>
      </c>
      <c r="K4" s="31"/>
      <c r="L4" s="39"/>
      <c r="M4" s="33"/>
      <c r="N4" s="40"/>
      <c r="O4" s="35"/>
      <c r="P4" s="33"/>
      <c r="Q4" s="33"/>
      <c r="R4" s="35"/>
      <c r="S4" s="35"/>
      <c r="T4" s="33"/>
      <c r="U4" s="36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38" t="s">
        <v>24</v>
      </c>
      <c r="B5" s="41">
        <v>44567.0</v>
      </c>
      <c r="C5" s="22">
        <v>91500.0</v>
      </c>
      <c r="D5" s="23">
        <v>50040.0</v>
      </c>
      <c r="E5" s="24">
        <v>1900.0</v>
      </c>
      <c r="F5" s="25">
        <v>780.0</v>
      </c>
      <c r="G5" s="35">
        <v>13930.0</v>
      </c>
      <c r="H5" s="27">
        <v>19240.0</v>
      </c>
      <c r="I5" s="29">
        <v>18390.0</v>
      </c>
      <c r="J5" s="30">
        <f t="shared" si="1"/>
        <v>39940</v>
      </c>
      <c r="K5" s="31"/>
      <c r="L5" s="39"/>
      <c r="M5" s="33"/>
      <c r="N5" s="40"/>
      <c r="O5" s="35"/>
      <c r="P5" s="33"/>
      <c r="Q5" s="33"/>
      <c r="R5" s="35"/>
      <c r="S5" s="35"/>
      <c r="T5" s="33"/>
      <c r="U5" s="36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38" t="s">
        <v>25</v>
      </c>
      <c r="B6" s="41">
        <v>44568.0</v>
      </c>
      <c r="C6" s="22">
        <v>95170.0</v>
      </c>
      <c r="D6" s="23">
        <v>53900.0</v>
      </c>
      <c r="E6" s="24">
        <f>1000+1700+100+300+180</f>
        <v>3280</v>
      </c>
      <c r="F6" s="25">
        <v>500.0</v>
      </c>
      <c r="G6" s="35">
        <f>500+6560+4650</f>
        <v>11710</v>
      </c>
      <c r="H6" s="27">
        <v>18640.0</v>
      </c>
      <c r="I6" s="29">
        <v>28850.0</v>
      </c>
      <c r="J6" s="30">
        <f t="shared" si="1"/>
        <v>35970</v>
      </c>
      <c r="K6" s="31"/>
      <c r="L6" s="39"/>
      <c r="M6" s="33"/>
      <c r="N6" s="40"/>
      <c r="O6" s="35"/>
      <c r="P6" s="33"/>
      <c r="Q6" s="33"/>
      <c r="R6" s="35"/>
      <c r="S6" s="35"/>
      <c r="T6" s="33"/>
      <c r="U6" s="36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>
      <c r="A7" s="38" t="s">
        <v>26</v>
      </c>
      <c r="B7" s="41">
        <v>44569.0</v>
      </c>
      <c r="C7" s="22">
        <v>85330.0</v>
      </c>
      <c r="D7" s="23">
        <v>53930.0</v>
      </c>
      <c r="E7" s="24"/>
      <c r="F7" s="25"/>
      <c r="G7" s="35">
        <f>14340+6150+2040</f>
        <v>22530</v>
      </c>
      <c r="H7" s="27">
        <v>5040.0</v>
      </c>
      <c r="I7" s="29">
        <v>23400.0</v>
      </c>
      <c r="J7" s="30">
        <f t="shared" si="1"/>
        <v>34360</v>
      </c>
      <c r="K7" s="31"/>
      <c r="L7" s="39"/>
      <c r="M7" s="33"/>
      <c r="N7" s="40"/>
      <c r="O7" s="35"/>
      <c r="P7" s="33"/>
      <c r="Q7" s="33"/>
      <c r="R7" s="35"/>
      <c r="S7" s="35"/>
      <c r="T7" s="33"/>
      <c r="U7" s="36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42" t="s">
        <v>27</v>
      </c>
      <c r="B8" s="51">
        <v>44570.0</v>
      </c>
      <c r="C8" s="44"/>
      <c r="D8" s="45"/>
      <c r="E8" s="44"/>
      <c r="F8" s="44"/>
      <c r="G8" s="44"/>
      <c r="H8" s="44"/>
      <c r="I8" s="44"/>
      <c r="J8" s="44"/>
      <c r="K8" s="46"/>
      <c r="L8" s="46"/>
      <c r="M8" s="46"/>
      <c r="N8" s="47"/>
      <c r="O8" s="44"/>
      <c r="P8" s="46"/>
      <c r="Q8" s="46"/>
      <c r="R8" s="44"/>
      <c r="S8" s="44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>
      <c r="A9" s="20" t="s">
        <v>21</v>
      </c>
      <c r="B9" s="41">
        <v>44571.0</v>
      </c>
      <c r="C9" s="22">
        <v>86270.0</v>
      </c>
      <c r="D9" s="23">
        <v>39300.0</v>
      </c>
      <c r="E9" s="24">
        <f>500+1500+200+280+290</f>
        <v>2770</v>
      </c>
      <c r="F9" s="25">
        <v>1200.0</v>
      </c>
      <c r="G9" s="26">
        <f>7570+1470</f>
        <v>9040</v>
      </c>
      <c r="H9" s="27">
        <v>7170.0</v>
      </c>
      <c r="I9" s="29">
        <v>19730.0</v>
      </c>
      <c r="J9" s="30">
        <f>C9-G9-H9-I9</f>
        <v>50330</v>
      </c>
      <c r="K9" s="31"/>
      <c r="L9" s="32" t="s">
        <v>2576</v>
      </c>
      <c r="M9" s="33"/>
      <c r="N9" s="40"/>
      <c r="O9" s="35"/>
      <c r="P9" s="33"/>
      <c r="Q9" s="33"/>
      <c r="R9" s="35"/>
      <c r="S9" s="35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>
      <c r="A10" s="38" t="s">
        <v>22</v>
      </c>
      <c r="B10" s="41">
        <v>44572.0</v>
      </c>
      <c r="C10" s="22">
        <v>78519.0</v>
      </c>
      <c r="D10" s="23">
        <v>38319.0</v>
      </c>
      <c r="E10" s="24">
        <f>1700+500+150+220+270</f>
        <v>2840</v>
      </c>
      <c r="F10" s="25">
        <v>1200.0</v>
      </c>
      <c r="G10" s="35">
        <f>4960+1030</f>
        <v>5990</v>
      </c>
      <c r="H10" s="27">
        <v>16670.0</v>
      </c>
      <c r="I10" s="29">
        <v>12870.0</v>
      </c>
      <c r="J10" s="30">
        <f>C10-I10-G10-H10</f>
        <v>42989</v>
      </c>
      <c r="K10" s="31"/>
      <c r="L10" s="32" t="s">
        <v>2577</v>
      </c>
      <c r="M10" s="33"/>
      <c r="N10" s="40"/>
      <c r="O10" s="35"/>
      <c r="P10" s="33"/>
      <c r="Q10" s="33"/>
      <c r="R10" s="35"/>
      <c r="S10" s="35"/>
      <c r="T10" s="33"/>
      <c r="U10" s="36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38" t="s">
        <v>23</v>
      </c>
      <c r="B11" s="41">
        <v>44573.0</v>
      </c>
      <c r="C11" s="22">
        <v>91320.0</v>
      </c>
      <c r="D11" s="23">
        <v>45890.0</v>
      </c>
      <c r="E11" s="24">
        <f>700+1900+100+180+190</f>
        <v>3070</v>
      </c>
      <c r="F11" s="25">
        <v>900.0</v>
      </c>
      <c r="G11" s="35">
        <f>1260+3270+10200+2690</f>
        <v>17420</v>
      </c>
      <c r="H11" s="27">
        <v>12130.0</v>
      </c>
      <c r="I11" s="29">
        <v>14090.0</v>
      </c>
      <c r="J11" s="30">
        <f>C11-G11-H11-I11</f>
        <v>47680</v>
      </c>
      <c r="K11" s="31"/>
      <c r="L11" s="39"/>
      <c r="M11" s="33"/>
      <c r="N11" s="40"/>
      <c r="O11" s="35"/>
      <c r="P11" s="33"/>
      <c r="Q11" s="33"/>
      <c r="R11" s="35"/>
      <c r="S11" s="35"/>
      <c r="T11" s="33"/>
      <c r="U11" s="36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38" t="s">
        <v>24</v>
      </c>
      <c r="B12" s="41">
        <v>44574.0</v>
      </c>
      <c r="C12" s="22">
        <v>86800.0</v>
      </c>
      <c r="D12" s="23"/>
      <c r="E12" s="24"/>
      <c r="F12" s="25"/>
      <c r="G12" s="35">
        <f>8250+3120</f>
        <v>11370</v>
      </c>
      <c r="H12" s="27"/>
      <c r="I12" s="29">
        <v>14550.0</v>
      </c>
      <c r="J12" s="30">
        <v>44940.0</v>
      </c>
      <c r="K12" s="31"/>
      <c r="L12" s="39"/>
      <c r="M12" s="33"/>
      <c r="N12" s="40"/>
      <c r="O12" s="35"/>
      <c r="P12" s="33"/>
      <c r="Q12" s="33"/>
      <c r="R12" s="35"/>
      <c r="S12" s="35"/>
      <c r="T12" s="33"/>
      <c r="U12" s="36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38" t="s">
        <v>25</v>
      </c>
      <c r="B13" s="41">
        <v>44575.0</v>
      </c>
      <c r="C13" s="22">
        <v>71675.0</v>
      </c>
      <c r="D13" s="23"/>
      <c r="E13" s="24"/>
      <c r="F13" s="25"/>
      <c r="G13" s="35">
        <f>5260+2060+1460+290</f>
        <v>9070</v>
      </c>
      <c r="H13" s="27"/>
      <c r="I13" s="29">
        <v>19560.0</v>
      </c>
      <c r="J13" s="30"/>
      <c r="K13" s="31"/>
      <c r="L13" s="39"/>
      <c r="M13" s="33"/>
      <c r="N13" s="40"/>
      <c r="O13" s="35"/>
      <c r="P13" s="33"/>
      <c r="Q13" s="33"/>
      <c r="R13" s="35"/>
      <c r="S13" s="35"/>
      <c r="T13" s="33"/>
      <c r="U13" s="36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>
      <c r="A14" s="38" t="s">
        <v>26</v>
      </c>
      <c r="B14" s="41">
        <v>44576.0</v>
      </c>
      <c r="C14" s="22">
        <v>52590.0</v>
      </c>
      <c r="D14" s="23"/>
      <c r="E14" s="24"/>
      <c r="F14" s="25"/>
      <c r="G14" s="35"/>
      <c r="H14" s="27"/>
      <c r="I14" s="29">
        <v>13730.0</v>
      </c>
      <c r="J14" s="30">
        <v>22850.0</v>
      </c>
      <c r="K14" s="31"/>
      <c r="L14" s="39"/>
      <c r="M14" s="33"/>
      <c r="N14" s="40"/>
      <c r="O14" s="35"/>
      <c r="P14" s="33"/>
      <c r="Q14" s="33"/>
      <c r="R14" s="35"/>
      <c r="S14" s="35"/>
      <c r="T14" s="33"/>
      <c r="U14" s="36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50" t="s">
        <v>27</v>
      </c>
      <c r="B15" s="788">
        <v>44577.0</v>
      </c>
      <c r="C15" s="45"/>
      <c r="D15" s="45"/>
      <c r="E15" s="45"/>
      <c r="F15" s="45"/>
      <c r="G15" s="45"/>
      <c r="H15" s="44"/>
      <c r="I15" s="45"/>
      <c r="J15" s="45"/>
      <c r="K15" s="48"/>
      <c r="L15" s="48"/>
      <c r="M15" s="48"/>
      <c r="N15" s="52"/>
      <c r="O15" s="45"/>
      <c r="P15" s="48"/>
      <c r="Q15" s="48"/>
      <c r="R15" s="45"/>
      <c r="S15" s="45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</row>
    <row r="16">
      <c r="A16" s="53" t="s">
        <v>21</v>
      </c>
      <c r="B16" s="41">
        <v>44578.0</v>
      </c>
      <c r="C16" s="22">
        <v>98090.0</v>
      </c>
      <c r="D16" s="23">
        <v>49680.0</v>
      </c>
      <c r="E16" s="24">
        <v>2800.0</v>
      </c>
      <c r="F16" s="25">
        <v>1200.0</v>
      </c>
      <c r="G16" s="26">
        <v>7740.0</v>
      </c>
      <c r="H16" s="27">
        <v>14410.0</v>
      </c>
      <c r="I16" s="29">
        <v>17560.0</v>
      </c>
      <c r="J16" s="30">
        <f t="shared" ref="J16:J21" si="2">C16-G16-H16-I16</f>
        <v>58380</v>
      </c>
      <c r="K16" s="31"/>
      <c r="L16" s="39"/>
      <c r="M16" s="33"/>
      <c r="N16" s="40"/>
      <c r="O16" s="35"/>
      <c r="P16" s="33"/>
      <c r="Q16" s="33"/>
      <c r="R16" s="35"/>
      <c r="S16" s="35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</row>
    <row r="17">
      <c r="A17" s="54" t="s">
        <v>22</v>
      </c>
      <c r="B17" s="41">
        <v>44579.0</v>
      </c>
      <c r="C17" s="22">
        <v>118020.0</v>
      </c>
      <c r="D17" s="23">
        <v>62570.0</v>
      </c>
      <c r="E17" s="24">
        <f>1000+700+140+150+1000+340</f>
        <v>3330</v>
      </c>
      <c r="F17" s="25">
        <v>900.0</v>
      </c>
      <c r="G17" s="35">
        <f>990+450+10950+3350</f>
        <v>15740</v>
      </c>
      <c r="H17" s="27">
        <v>15380.0</v>
      </c>
      <c r="I17" s="29">
        <v>22132.0</v>
      </c>
      <c r="J17" s="30">
        <f t="shared" si="2"/>
        <v>64768</v>
      </c>
      <c r="K17" s="31"/>
      <c r="L17" s="39"/>
      <c r="M17" s="33"/>
      <c r="N17" s="40"/>
      <c r="O17" s="35"/>
      <c r="P17" s="33"/>
      <c r="Q17" s="33"/>
      <c r="R17" s="35"/>
      <c r="S17" s="35"/>
      <c r="T17" s="33"/>
      <c r="U17" s="36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54" t="s">
        <v>23</v>
      </c>
      <c r="B18" s="41">
        <v>44580.0</v>
      </c>
      <c r="C18" s="22">
        <v>87365.0</v>
      </c>
      <c r="D18" s="23">
        <v>54995.0</v>
      </c>
      <c r="E18" s="24">
        <f>500+400+900+50+340+350</f>
        <v>2540</v>
      </c>
      <c r="F18" s="25">
        <v>600.0</v>
      </c>
      <c r="G18" s="35">
        <f>1530+3400+7150+2540</f>
        <v>14620</v>
      </c>
      <c r="H18" s="27">
        <v>10220.0</v>
      </c>
      <c r="I18" s="29">
        <v>19965.0</v>
      </c>
      <c r="J18" s="30">
        <f t="shared" si="2"/>
        <v>42560</v>
      </c>
      <c r="K18" s="31"/>
      <c r="L18" s="39"/>
      <c r="M18" s="33"/>
      <c r="N18" s="40"/>
      <c r="O18" s="35"/>
      <c r="P18" s="33"/>
      <c r="Q18" s="33"/>
      <c r="R18" s="35"/>
      <c r="S18" s="35"/>
      <c r="T18" s="33"/>
      <c r="U18" s="36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>
      <c r="A19" s="54" t="s">
        <v>24</v>
      </c>
      <c r="B19" s="41">
        <v>44581.0</v>
      </c>
      <c r="C19" s="22">
        <v>85900.0</v>
      </c>
      <c r="D19" s="23">
        <v>42400.0</v>
      </c>
      <c r="E19" s="24">
        <v>2000.0</v>
      </c>
      <c r="F19" s="25">
        <v>400.0</v>
      </c>
      <c r="G19" s="35">
        <f>4400+2360</f>
        <v>6760</v>
      </c>
      <c r="H19" s="27">
        <v>20910.0</v>
      </c>
      <c r="I19" s="29">
        <v>12400.0</v>
      </c>
      <c r="J19" s="30">
        <f t="shared" si="2"/>
        <v>45830</v>
      </c>
      <c r="K19" s="31"/>
      <c r="L19" s="39"/>
      <c r="M19" s="33"/>
      <c r="N19" s="40"/>
      <c r="O19" s="35"/>
      <c r="P19" s="33"/>
      <c r="Q19" s="33"/>
      <c r="R19" s="35"/>
      <c r="S19" s="35"/>
      <c r="T19" s="33"/>
      <c r="U19" s="36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54" t="s">
        <v>25</v>
      </c>
      <c r="B20" s="41">
        <v>44582.0</v>
      </c>
      <c r="C20" s="22">
        <v>100650.0</v>
      </c>
      <c r="D20" s="23">
        <v>60490.0</v>
      </c>
      <c r="E20" s="24"/>
      <c r="F20" s="25"/>
      <c r="G20" s="35">
        <f>10720+2800+1580+1800+2610</f>
        <v>19510</v>
      </c>
      <c r="H20" s="27">
        <v>15820.0</v>
      </c>
      <c r="I20" s="29">
        <v>14670.0</v>
      </c>
      <c r="J20" s="30">
        <f t="shared" si="2"/>
        <v>50650</v>
      </c>
      <c r="K20" s="31"/>
      <c r="L20" s="39"/>
      <c r="M20" s="33"/>
      <c r="N20" s="40"/>
      <c r="O20" s="35"/>
      <c r="P20" s="33"/>
      <c r="Q20" s="33"/>
      <c r="R20" s="35"/>
      <c r="S20" s="35"/>
      <c r="T20" s="33"/>
      <c r="U20" s="36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>
      <c r="A21" s="54" t="s">
        <v>26</v>
      </c>
      <c r="B21" s="41">
        <v>44583.0</v>
      </c>
      <c r="C21" s="22">
        <v>101650.0</v>
      </c>
      <c r="D21" s="23">
        <v>60770.0</v>
      </c>
      <c r="E21" s="24">
        <f>1500+1800+80+410-1000</f>
        <v>2790</v>
      </c>
      <c r="F21" s="25">
        <v>2900.0</v>
      </c>
      <c r="G21" s="35">
        <f>680+1060+3070+23870+3780</f>
        <v>32460</v>
      </c>
      <c r="H21" s="27">
        <v>12540.0</v>
      </c>
      <c r="I21" s="29">
        <v>19460.0</v>
      </c>
      <c r="J21" s="30">
        <f t="shared" si="2"/>
        <v>37190</v>
      </c>
      <c r="K21" s="31"/>
      <c r="L21" s="39"/>
      <c r="M21" s="33"/>
      <c r="N21" s="40"/>
      <c r="O21" s="35"/>
      <c r="P21" s="33"/>
      <c r="Q21" s="33"/>
      <c r="R21" s="35"/>
      <c r="S21" s="35"/>
      <c r="T21" s="33"/>
      <c r="U21" s="36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>
      <c r="A22" s="55" t="s">
        <v>27</v>
      </c>
      <c r="B22" s="788">
        <v>44584.0</v>
      </c>
      <c r="C22" s="45"/>
      <c r="D22" s="45"/>
      <c r="E22" s="45"/>
      <c r="F22" s="45"/>
      <c r="G22" s="45"/>
      <c r="H22" s="44"/>
      <c r="I22" s="45"/>
      <c r="J22" s="45"/>
      <c r="K22" s="48"/>
      <c r="L22" s="48"/>
      <c r="M22" s="48"/>
      <c r="N22" s="52"/>
      <c r="O22" s="45"/>
      <c r="P22" s="48"/>
      <c r="Q22" s="48"/>
      <c r="R22" s="45"/>
      <c r="S22" s="45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</row>
    <row r="23">
      <c r="A23" s="53" t="s">
        <v>21</v>
      </c>
      <c r="B23" s="41">
        <v>44585.0</v>
      </c>
      <c r="C23" s="22">
        <v>98210.0</v>
      </c>
      <c r="D23" s="23">
        <v>52181.0</v>
      </c>
      <c r="E23" s="24">
        <f>1000+200+1700+200+260+220</f>
        <v>3580</v>
      </c>
      <c r="F23" s="25">
        <v>1800.0</v>
      </c>
      <c r="G23" s="26">
        <f>2420+7200+1860</f>
        <v>11480</v>
      </c>
      <c r="H23" s="27">
        <v>14400.0</v>
      </c>
      <c r="I23" s="29">
        <v>22080.0</v>
      </c>
      <c r="J23" s="30">
        <f>C23-G23-H23-I23</f>
        <v>50250</v>
      </c>
      <c r="K23" s="31"/>
      <c r="L23" s="32" t="s">
        <v>2578</v>
      </c>
      <c r="M23" s="33"/>
      <c r="N23" s="40"/>
      <c r="O23" s="35"/>
      <c r="P23" s="33"/>
      <c r="Q23" s="33"/>
      <c r="R23" s="35"/>
      <c r="S23" s="35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</row>
    <row r="24">
      <c r="A24" s="54" t="s">
        <v>22</v>
      </c>
      <c r="B24" s="41">
        <v>44586.0</v>
      </c>
      <c r="C24" s="22">
        <v>105610.0</v>
      </c>
      <c r="D24" s="23">
        <v>66550.0</v>
      </c>
      <c r="E24" s="24">
        <v>2800.0</v>
      </c>
      <c r="F24" s="25">
        <v>1600.0</v>
      </c>
      <c r="G24" s="35">
        <v>14580.0</v>
      </c>
      <c r="H24" s="27">
        <v>22270.0</v>
      </c>
      <c r="I24" s="29">
        <v>34600.0</v>
      </c>
      <c r="J24" s="30">
        <v>33150.0</v>
      </c>
      <c r="K24" s="31"/>
      <c r="L24" s="39"/>
      <c r="M24" s="33"/>
      <c r="N24" s="40"/>
      <c r="O24" s="35"/>
      <c r="P24" s="33"/>
      <c r="Q24" s="33"/>
      <c r="R24" s="35"/>
      <c r="S24" s="35"/>
      <c r="T24" s="33"/>
      <c r="U24" s="36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>
      <c r="A25" s="54" t="s">
        <v>23</v>
      </c>
      <c r="B25" s="41">
        <v>44587.0</v>
      </c>
      <c r="C25" s="22">
        <v>127480.0</v>
      </c>
      <c r="D25" s="23">
        <v>77040.0</v>
      </c>
      <c r="E25" s="24">
        <v>2100.0</v>
      </c>
      <c r="F25" s="25">
        <v>1000.0</v>
      </c>
      <c r="G25" s="35">
        <v>18040.0</v>
      </c>
      <c r="H25" s="27">
        <v>27520.0</v>
      </c>
      <c r="I25" s="29">
        <v>21970.0</v>
      </c>
      <c r="J25" s="30">
        <v>50120.0</v>
      </c>
      <c r="K25" s="31"/>
      <c r="L25" s="39"/>
      <c r="M25" s="33"/>
      <c r="N25" s="40"/>
      <c r="O25" s="35"/>
      <c r="P25" s="33"/>
      <c r="Q25" s="33"/>
      <c r="R25" s="35"/>
      <c r="S25" s="35"/>
      <c r="T25" s="33"/>
      <c r="U25" s="36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>
      <c r="A26" s="54" t="s">
        <v>24</v>
      </c>
      <c r="B26" s="41">
        <v>44588.0</v>
      </c>
      <c r="C26" s="22">
        <v>106260.0</v>
      </c>
      <c r="D26" s="23">
        <v>57620.0</v>
      </c>
      <c r="E26" s="24">
        <f>1400+1300+460+350</f>
        <v>3510</v>
      </c>
      <c r="F26" s="25">
        <v>900.0</v>
      </c>
      <c r="G26" s="35">
        <f>15890+1510</f>
        <v>17400</v>
      </c>
      <c r="H26" s="27">
        <v>15680.0</v>
      </c>
      <c r="I26" s="29">
        <v>24190.0</v>
      </c>
      <c r="J26" s="30">
        <f t="shared" ref="J26:J28" si="3">C26-G26-H26-I26</f>
        <v>48990</v>
      </c>
      <c r="K26" s="31"/>
      <c r="L26" s="32" t="s">
        <v>2579</v>
      </c>
      <c r="M26" s="33"/>
      <c r="N26" s="40"/>
      <c r="O26" s="35"/>
      <c r="P26" s="33"/>
      <c r="Q26" s="33"/>
      <c r="R26" s="35"/>
      <c r="S26" s="35"/>
      <c r="T26" s="33"/>
      <c r="U26" s="36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>
      <c r="A27" s="54" t="s">
        <v>25</v>
      </c>
      <c r="B27" s="41">
        <v>44589.0</v>
      </c>
      <c r="C27" s="22">
        <v>116780.0</v>
      </c>
      <c r="D27" s="23">
        <v>73860.0</v>
      </c>
      <c r="E27" s="24">
        <f>1200+1400+150+280+330</f>
        <v>3360</v>
      </c>
      <c r="F27" s="25">
        <v>600.0</v>
      </c>
      <c r="G27" s="35">
        <f>15570+5860</f>
        <v>21430</v>
      </c>
      <c r="H27" s="27">
        <v>26870.0</v>
      </c>
      <c r="I27" s="29">
        <v>21110.0</v>
      </c>
      <c r="J27" s="30">
        <f t="shared" si="3"/>
        <v>47370</v>
      </c>
      <c r="K27" s="31"/>
      <c r="L27" s="32" t="s">
        <v>2580</v>
      </c>
      <c r="M27" s="33"/>
      <c r="N27" s="40"/>
      <c r="O27" s="35"/>
      <c r="P27" s="33"/>
      <c r="Q27" s="33"/>
      <c r="R27" s="35"/>
      <c r="S27" s="35"/>
      <c r="T27" s="33"/>
      <c r="U27" s="36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>
      <c r="A28" s="54" t="s">
        <v>26</v>
      </c>
      <c r="B28" s="41">
        <v>44590.0</v>
      </c>
      <c r="C28" s="22">
        <v>94160.0</v>
      </c>
      <c r="D28" s="23">
        <v>65250.0</v>
      </c>
      <c r="E28" s="24">
        <f>1400+1500180+150+300</f>
        <v>1502030</v>
      </c>
      <c r="F28" s="25">
        <v>2500.0</v>
      </c>
      <c r="G28" s="35">
        <f>24750+1580+2290</f>
        <v>28620</v>
      </c>
      <c r="H28" s="27">
        <v>24660.0</v>
      </c>
      <c r="I28" s="29">
        <v>12770.0</v>
      </c>
      <c r="J28" s="30">
        <f t="shared" si="3"/>
        <v>28110</v>
      </c>
      <c r="K28" s="31"/>
      <c r="L28" s="32" t="s">
        <v>2581</v>
      </c>
      <c r="M28" s="33"/>
      <c r="N28" s="40"/>
      <c r="O28" s="35"/>
      <c r="P28" s="33"/>
      <c r="Q28" s="33"/>
      <c r="R28" s="35"/>
      <c r="S28" s="35"/>
      <c r="T28" s="33"/>
      <c r="U28" s="36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>
      <c r="A29" s="55" t="s">
        <v>27</v>
      </c>
      <c r="B29" s="788">
        <v>44591.0</v>
      </c>
      <c r="C29" s="45"/>
      <c r="D29" s="45"/>
      <c r="E29" s="45"/>
      <c r="F29" s="45"/>
      <c r="G29" s="45"/>
      <c r="H29" s="44"/>
      <c r="I29" s="45"/>
      <c r="J29" s="45"/>
      <c r="K29" s="48"/>
      <c r="L29" s="48"/>
      <c r="M29" s="48"/>
      <c r="N29" s="52"/>
      <c r="O29" s="45"/>
      <c r="P29" s="48"/>
      <c r="Q29" s="48"/>
      <c r="R29" s="45"/>
      <c r="S29" s="45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</row>
    <row r="30">
      <c r="A30" s="20" t="s">
        <v>21</v>
      </c>
      <c r="B30" s="41">
        <v>44592.0</v>
      </c>
      <c r="C30" s="22">
        <v>114360.0</v>
      </c>
      <c r="D30" s="23">
        <v>70470.0</v>
      </c>
      <c r="E30" s="24">
        <v>1800.0</v>
      </c>
      <c r="F30" s="25">
        <v>3500.0</v>
      </c>
      <c r="G30" s="26">
        <v>18100.0</v>
      </c>
      <c r="H30" s="27">
        <v>18780.0</v>
      </c>
      <c r="I30" s="29">
        <v>17430.0</v>
      </c>
      <c r="J30" s="30">
        <v>43380.0</v>
      </c>
      <c r="K30" s="31"/>
      <c r="L30" s="39"/>
      <c r="M30" s="33"/>
      <c r="N30" s="40"/>
      <c r="O30" s="35"/>
      <c r="P30" s="33"/>
      <c r="Q30" s="33"/>
      <c r="R30" s="35"/>
      <c r="S30" s="35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</row>
    <row r="31">
      <c r="A31" s="68" t="s">
        <v>28</v>
      </c>
      <c r="B31" s="69" t="s">
        <v>29</v>
      </c>
      <c r="C31" s="70">
        <f>SUM(C2:C30)</f>
        <v>2369114</v>
      </c>
      <c r="D31" s="71"/>
      <c r="E31" s="71"/>
      <c r="F31" s="71"/>
      <c r="G31" s="70"/>
      <c r="H31" s="70"/>
      <c r="I31" s="70"/>
      <c r="J31" s="73"/>
      <c r="K31" s="74"/>
      <c r="L31" s="75"/>
      <c r="M31" s="76"/>
      <c r="N31" s="77"/>
      <c r="O31" s="77"/>
      <c r="P31" s="77"/>
      <c r="Q31" s="77"/>
      <c r="R31" s="76"/>
      <c r="S31" s="76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>
      <c r="A32" s="38"/>
      <c r="B32" s="41"/>
      <c r="C32" s="22"/>
      <c r="D32" s="23"/>
      <c r="E32" s="24"/>
      <c r="F32" s="25"/>
      <c r="G32" s="35"/>
      <c r="H32" s="143"/>
      <c r="I32" s="29"/>
      <c r="J32" s="30"/>
      <c r="K32" s="31"/>
      <c r="L32" s="39"/>
      <c r="M32" s="33"/>
      <c r="N32" s="40"/>
      <c r="O32" s="35"/>
      <c r="P32" s="33"/>
      <c r="Q32" s="33"/>
      <c r="R32" s="35"/>
      <c r="S32" s="35"/>
      <c r="T32" s="33"/>
      <c r="U32" s="36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>
      <c r="A33" s="789" t="s">
        <v>22</v>
      </c>
      <c r="B33" s="79">
        <v>44593.0</v>
      </c>
      <c r="C33" s="790">
        <v>108280.0</v>
      </c>
      <c r="D33" s="791">
        <v>72430.0</v>
      </c>
      <c r="E33" s="792">
        <v>2000.0</v>
      </c>
      <c r="F33" s="793">
        <v>3000.0</v>
      </c>
      <c r="G33" s="794">
        <v>16320.0</v>
      </c>
      <c r="H33" s="795">
        <v>19940.0</v>
      </c>
      <c r="I33" s="796">
        <v>27910.0</v>
      </c>
      <c r="J33" s="30">
        <v>41050.0</v>
      </c>
      <c r="K33" s="797"/>
      <c r="L33" s="798"/>
      <c r="M33" s="799"/>
      <c r="N33" s="800"/>
      <c r="O33" s="794"/>
      <c r="P33" s="799"/>
      <c r="Q33" s="799"/>
      <c r="R33" s="794"/>
      <c r="S33" s="794"/>
      <c r="T33" s="33"/>
      <c r="U33" s="36"/>
      <c r="V33" s="799"/>
      <c r="W33" s="799"/>
      <c r="X33" s="799"/>
      <c r="Y33" s="799"/>
      <c r="Z33" s="799"/>
      <c r="AA33" s="799"/>
      <c r="AB33" s="799"/>
      <c r="AC33" s="799"/>
      <c r="AD33" s="799"/>
      <c r="AE33" s="799"/>
      <c r="AF33" s="799"/>
      <c r="AG33" s="799"/>
      <c r="AH33" s="799"/>
    </row>
    <row r="34">
      <c r="A34" s="20" t="s">
        <v>23</v>
      </c>
      <c r="B34" s="21">
        <v>44594.0</v>
      </c>
      <c r="C34" s="22">
        <v>116140.0</v>
      </c>
      <c r="D34" s="23">
        <v>69070.0</v>
      </c>
      <c r="E34" s="24">
        <f>1400+700+1000+150+620+410</f>
        <v>4280</v>
      </c>
      <c r="F34" s="25">
        <f>1000+800</f>
        <v>1800</v>
      </c>
      <c r="G34" s="26">
        <f>10690+520</f>
        <v>11210</v>
      </c>
      <c r="H34" s="27">
        <v>21770.0</v>
      </c>
      <c r="I34" s="29">
        <v>24380.0</v>
      </c>
      <c r="J34" s="30">
        <f>C34-G34-H34-I34</f>
        <v>58780</v>
      </c>
      <c r="K34" s="31"/>
      <c r="L34" s="39"/>
      <c r="M34" s="33"/>
      <c r="N34" s="40"/>
      <c r="O34" s="35"/>
      <c r="P34" s="33"/>
      <c r="Q34" s="33"/>
      <c r="R34" s="35"/>
      <c r="S34" s="35"/>
      <c r="T34" s="33"/>
      <c r="U34" s="36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>
      <c r="A35" s="38" t="s">
        <v>24</v>
      </c>
      <c r="B35" s="41">
        <v>44595.0</v>
      </c>
      <c r="C35" s="22">
        <f>121700+1080</f>
        <v>122780</v>
      </c>
      <c r="D35" s="23">
        <v>68840.0</v>
      </c>
      <c r="E35" s="24">
        <f>1500+200+900+50+440+310</f>
        <v>3400</v>
      </c>
      <c r="F35" s="25">
        <v>2200.0</v>
      </c>
      <c r="G35" s="35">
        <f>20920+4730+1080</f>
        <v>26730</v>
      </c>
      <c r="H35" s="27">
        <v>16740.0</v>
      </c>
      <c r="I35" s="29">
        <v>18050.0</v>
      </c>
      <c r="J35" s="30"/>
      <c r="K35" s="31"/>
      <c r="L35" s="32" t="s">
        <v>2582</v>
      </c>
      <c r="M35" s="33"/>
      <c r="N35" s="40"/>
      <c r="O35" s="35"/>
      <c r="P35" s="33"/>
      <c r="Q35" s="33"/>
      <c r="R35" s="35"/>
      <c r="S35" s="35"/>
      <c r="T35" s="33"/>
      <c r="U35" s="36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>
      <c r="A36" s="38" t="s">
        <v>25</v>
      </c>
      <c r="B36" s="41">
        <v>44596.0</v>
      </c>
      <c r="C36" s="22">
        <v>138440.0</v>
      </c>
      <c r="D36" s="23">
        <v>92860.0</v>
      </c>
      <c r="E36" s="24">
        <v>3000.0</v>
      </c>
      <c r="F36" s="25">
        <v>1500.0</v>
      </c>
      <c r="G36" s="35">
        <v>23100.0</v>
      </c>
      <c r="H36" s="27">
        <v>17210.0</v>
      </c>
      <c r="I36" s="29">
        <v>32960.0</v>
      </c>
      <c r="J36" s="30">
        <v>47770.0</v>
      </c>
      <c r="K36" s="31"/>
      <c r="L36" s="39"/>
      <c r="M36" s="33"/>
      <c r="N36" s="40"/>
      <c r="O36" s="35"/>
      <c r="P36" s="33"/>
      <c r="Q36" s="33"/>
      <c r="R36" s="35"/>
      <c r="S36" s="35"/>
      <c r="T36" s="33"/>
      <c r="U36" s="36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>
      <c r="A37" s="38" t="s">
        <v>26</v>
      </c>
      <c r="B37" s="41">
        <v>44597.0</v>
      </c>
      <c r="C37" s="22">
        <v>109750.0</v>
      </c>
      <c r="D37" s="23">
        <v>82190.0</v>
      </c>
      <c r="E37" s="24">
        <f>1000+400+1500+400+340+150</f>
        <v>3790</v>
      </c>
      <c r="F37" s="25">
        <f>2700+1500</f>
        <v>4200</v>
      </c>
      <c r="G37" s="35">
        <f>26840+1680</f>
        <v>28520</v>
      </c>
      <c r="H37" s="27">
        <v>21980.0</v>
      </c>
      <c r="I37" s="29">
        <v>30160.0</v>
      </c>
      <c r="J37" s="30">
        <f>C37-G37-H37-I37</f>
        <v>29090</v>
      </c>
      <c r="K37" s="31"/>
      <c r="L37" s="32"/>
      <c r="M37" s="33"/>
      <c r="N37" s="40"/>
      <c r="O37" s="35"/>
      <c r="P37" s="33"/>
      <c r="Q37" s="33"/>
      <c r="R37" s="35"/>
      <c r="S37" s="35"/>
      <c r="T37" s="33"/>
      <c r="U37" s="36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>
      <c r="A38" s="38"/>
      <c r="B38" s="41">
        <v>44598.0</v>
      </c>
      <c r="C38" s="22"/>
      <c r="D38" s="23"/>
      <c r="E38" s="24"/>
      <c r="F38" s="25"/>
      <c r="G38" s="35"/>
      <c r="H38" s="27"/>
      <c r="I38" s="29"/>
      <c r="J38" s="30"/>
      <c r="K38" s="31"/>
      <c r="L38" s="32"/>
      <c r="M38" s="33"/>
      <c r="N38" s="40"/>
      <c r="O38" s="35"/>
      <c r="P38" s="33"/>
      <c r="Q38" s="33"/>
      <c r="R38" s="35"/>
      <c r="S38" s="35"/>
      <c r="T38" s="33"/>
      <c r="U38" s="36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>
      <c r="A39" s="38" t="s">
        <v>21</v>
      </c>
      <c r="B39" s="41">
        <v>44599.0</v>
      </c>
      <c r="C39" s="22">
        <v>121900.0</v>
      </c>
      <c r="D39" s="23">
        <v>76430.0</v>
      </c>
      <c r="E39" s="24">
        <v>3230.0</v>
      </c>
      <c r="F39" s="25">
        <v>4200.0</v>
      </c>
      <c r="G39" s="35">
        <v>17330.0</v>
      </c>
      <c r="H39" s="27">
        <v>20380.0</v>
      </c>
      <c r="I39" s="29">
        <v>25460.0</v>
      </c>
      <c r="J39" s="30">
        <v>52140.0</v>
      </c>
      <c r="K39" s="31"/>
      <c r="L39" s="32" t="s">
        <v>2583</v>
      </c>
      <c r="M39" s="33"/>
      <c r="N39" s="40"/>
      <c r="O39" s="35"/>
      <c r="P39" s="33"/>
      <c r="Q39" s="33"/>
      <c r="R39" s="35"/>
      <c r="S39" s="35"/>
      <c r="T39" s="33"/>
      <c r="U39" s="36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>
      <c r="A40" s="38" t="s">
        <v>22</v>
      </c>
      <c r="B40" s="41">
        <v>44600.0</v>
      </c>
      <c r="C40" s="22">
        <v>122730.0</v>
      </c>
      <c r="D40" s="23">
        <v>83590.0</v>
      </c>
      <c r="E40" s="24">
        <v>1500.0</v>
      </c>
      <c r="F40" s="25">
        <v>4200.0</v>
      </c>
      <c r="G40" s="35">
        <v>14600.0</v>
      </c>
      <c r="H40" s="27">
        <v>21610.0</v>
      </c>
      <c r="I40" s="29">
        <v>27860.0</v>
      </c>
      <c r="J40" s="30">
        <v>46820.0</v>
      </c>
      <c r="K40" s="31"/>
      <c r="L40" s="39"/>
      <c r="M40" s="33"/>
      <c r="N40" s="40"/>
      <c r="O40" s="35"/>
      <c r="P40" s="33"/>
      <c r="Q40" s="33"/>
      <c r="R40" s="35"/>
      <c r="S40" s="35"/>
      <c r="T40" s="33"/>
      <c r="U40" s="36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>
      <c r="A41" s="20" t="s">
        <v>23</v>
      </c>
      <c r="B41" s="21">
        <v>44601.0</v>
      </c>
      <c r="C41" s="80">
        <v>99090.0</v>
      </c>
      <c r="D41" s="81">
        <v>58660.0</v>
      </c>
      <c r="E41" s="82">
        <v>3020.0</v>
      </c>
      <c r="F41" s="83">
        <v>3800.0</v>
      </c>
      <c r="G41" s="2">
        <v>15720.0</v>
      </c>
      <c r="H41" s="84">
        <v>13440.0</v>
      </c>
      <c r="I41" s="86">
        <v>18420.0</v>
      </c>
      <c r="J41" s="30">
        <v>40430.0</v>
      </c>
      <c r="K41" s="31"/>
      <c r="L41" s="39"/>
      <c r="M41" s="33"/>
      <c r="N41" s="40"/>
      <c r="O41" s="35"/>
      <c r="P41" s="33"/>
      <c r="Q41" s="33"/>
      <c r="R41" s="35"/>
      <c r="S41" s="35"/>
      <c r="T41" s="33"/>
      <c r="U41" s="3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>
      <c r="A42" s="38" t="s">
        <v>30</v>
      </c>
      <c r="B42" s="41">
        <v>44602.0</v>
      </c>
      <c r="C42" s="22">
        <v>111670.0</v>
      </c>
      <c r="D42" s="23">
        <v>72990.0</v>
      </c>
      <c r="E42" s="24">
        <f>1000+1700+700+250</f>
        <v>3650</v>
      </c>
      <c r="F42" s="25">
        <v>3000.0</v>
      </c>
      <c r="G42" s="26">
        <f>500+8940+1530</f>
        <v>10970</v>
      </c>
      <c r="H42" s="27">
        <v>28980.0</v>
      </c>
      <c r="I42" s="29">
        <v>21970.0</v>
      </c>
      <c r="J42" s="30">
        <f>C42-G42-H42-I42</f>
        <v>49750</v>
      </c>
      <c r="K42" s="31"/>
      <c r="L42" s="32" t="s">
        <v>2584</v>
      </c>
      <c r="M42" s="33"/>
      <c r="N42" s="40"/>
      <c r="O42" s="35"/>
      <c r="P42" s="33"/>
      <c r="Q42" s="33"/>
      <c r="R42" s="35"/>
      <c r="S42" s="35"/>
      <c r="T42" s="33"/>
      <c r="U42" s="36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>
      <c r="A43" s="38" t="s">
        <v>25</v>
      </c>
      <c r="B43" s="41">
        <v>44603.0</v>
      </c>
      <c r="C43" s="22">
        <v>113265.0</v>
      </c>
      <c r="D43" s="23">
        <v>66525.0</v>
      </c>
      <c r="E43" s="24">
        <v>1800.0</v>
      </c>
      <c r="F43" s="25">
        <v>2600.0</v>
      </c>
      <c r="G43" s="35">
        <v>14410.0</v>
      </c>
      <c r="H43" s="27">
        <v>14915.0</v>
      </c>
      <c r="I43" s="29">
        <v>25080.0</v>
      </c>
      <c r="J43" s="30">
        <v>48720.0</v>
      </c>
      <c r="K43" s="31"/>
      <c r="L43" s="39"/>
      <c r="M43" s="33"/>
      <c r="N43" s="40"/>
      <c r="O43" s="35"/>
      <c r="P43" s="33"/>
      <c r="Q43" s="33"/>
      <c r="R43" s="35"/>
      <c r="S43" s="35"/>
      <c r="T43" s="33"/>
      <c r="U43" s="36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>
      <c r="A44" s="38" t="s">
        <v>26</v>
      </c>
      <c r="B44" s="41">
        <v>44604.0</v>
      </c>
      <c r="C44" s="22">
        <v>124450.0</v>
      </c>
      <c r="D44" s="23">
        <v>80000.0</v>
      </c>
      <c r="E44" s="24">
        <f>1500+1500+360+420</f>
        <v>3780</v>
      </c>
      <c r="F44" s="25">
        <v>1400.0</v>
      </c>
      <c r="G44" s="35">
        <f>11610+2440+5160+21440</f>
        <v>40650</v>
      </c>
      <c r="H44" s="27">
        <v>17990.0</v>
      </c>
      <c r="I44" s="29">
        <v>18900.0</v>
      </c>
      <c r="J44" s="30">
        <f>C44-G44-H44-I44</f>
        <v>46910</v>
      </c>
      <c r="K44" s="31"/>
      <c r="L44" s="39"/>
      <c r="M44" s="33"/>
      <c r="N44" s="40"/>
      <c r="O44" s="35"/>
      <c r="P44" s="33"/>
      <c r="Q44" s="33"/>
      <c r="R44" s="35"/>
      <c r="S44" s="35"/>
      <c r="T44" s="33"/>
      <c r="U44" s="36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>
      <c r="A45" s="38"/>
      <c r="B45" s="41">
        <v>43874.0</v>
      </c>
      <c r="C45" s="22"/>
      <c r="D45" s="23"/>
      <c r="E45" s="24"/>
      <c r="F45" s="25"/>
      <c r="G45" s="35"/>
      <c r="H45" s="27"/>
      <c r="I45" s="29"/>
      <c r="J45" s="30"/>
      <c r="K45" s="31"/>
      <c r="L45" s="39"/>
      <c r="M45" s="33"/>
      <c r="N45" s="40"/>
      <c r="O45" s="35"/>
      <c r="P45" s="33"/>
      <c r="Q45" s="33"/>
      <c r="R45" s="35"/>
      <c r="S45" s="35"/>
      <c r="T45" s="33"/>
      <c r="U45" s="36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>
      <c r="A46" s="38" t="s">
        <v>21</v>
      </c>
      <c r="B46" s="41">
        <v>43875.0</v>
      </c>
      <c r="C46" s="22">
        <v>133196.0</v>
      </c>
      <c r="D46" s="23">
        <v>79096.0</v>
      </c>
      <c r="E46" s="24">
        <f>1000+2000+150+200+370</f>
        <v>3720</v>
      </c>
      <c r="F46" s="25">
        <v>2100.0</v>
      </c>
      <c r="G46" s="35">
        <f>280+500+8910+2440+5160+13370+8690</f>
        <v>39350</v>
      </c>
      <c r="H46" s="27">
        <v>14050.0</v>
      </c>
      <c r="I46" s="29">
        <v>23250.0</v>
      </c>
      <c r="J46" s="30">
        <f t="shared" ref="J46:J47" si="4">C46-G46-H46-I46</f>
        <v>56546</v>
      </c>
      <c r="K46" s="31"/>
      <c r="L46" s="39"/>
      <c r="M46" s="33"/>
      <c r="N46" s="40"/>
      <c r="O46" s="35"/>
      <c r="P46" s="33"/>
      <c r="Q46" s="33"/>
      <c r="R46" s="35"/>
      <c r="S46" s="35"/>
      <c r="T46" s="33"/>
      <c r="U46" s="36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>
      <c r="A47" s="38" t="s">
        <v>22</v>
      </c>
      <c r="B47" s="41">
        <v>43876.0</v>
      </c>
      <c r="C47" s="22">
        <v>121290.0</v>
      </c>
      <c r="D47" s="23">
        <v>67780.0</v>
      </c>
      <c r="E47" s="24">
        <v>2730.0</v>
      </c>
      <c r="F47" s="25">
        <v>2200.0</v>
      </c>
      <c r="G47" s="35">
        <v>19070.0</v>
      </c>
      <c r="H47" s="27">
        <v>23300.0</v>
      </c>
      <c r="I47" s="29">
        <v>25850.0</v>
      </c>
      <c r="J47" s="30">
        <f t="shared" si="4"/>
        <v>53070</v>
      </c>
      <c r="K47" s="31"/>
      <c r="L47" s="32" t="s">
        <v>2585</v>
      </c>
      <c r="M47" s="33"/>
      <c r="N47" s="40"/>
      <c r="O47" s="35"/>
      <c r="P47" s="33"/>
      <c r="Q47" s="33"/>
      <c r="R47" s="35"/>
      <c r="S47" s="35"/>
      <c r="T47" s="33"/>
      <c r="U47" s="36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>
      <c r="A48" s="20" t="s">
        <v>23</v>
      </c>
      <c r="B48" s="21">
        <v>43877.0</v>
      </c>
      <c r="C48" s="22">
        <v>116969.0</v>
      </c>
      <c r="D48" s="23">
        <v>70245.0</v>
      </c>
      <c r="E48" s="24">
        <v>2430.0</v>
      </c>
      <c r="F48" s="25">
        <v>1000.0</v>
      </c>
      <c r="G48" s="26">
        <v>12282.0</v>
      </c>
      <c r="H48" s="27">
        <v>14995.0</v>
      </c>
      <c r="I48" s="29">
        <v>33760.0</v>
      </c>
      <c r="J48" s="30">
        <v>48074.0</v>
      </c>
      <c r="K48" s="31"/>
      <c r="L48" s="39"/>
      <c r="M48" s="33"/>
      <c r="N48" s="40"/>
      <c r="O48" s="35"/>
      <c r="P48" s="33"/>
      <c r="Q48" s="33"/>
      <c r="R48" s="35"/>
      <c r="S48" s="35"/>
      <c r="T48" s="33"/>
      <c r="U48" s="3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>
      <c r="A49" s="38" t="s">
        <v>24</v>
      </c>
      <c r="B49" s="41">
        <v>43878.0</v>
      </c>
      <c r="C49" s="22">
        <v>124395.0</v>
      </c>
      <c r="D49" s="23">
        <v>76535.0</v>
      </c>
      <c r="E49" s="24">
        <f>500+600+1900+240+100+310</f>
        <v>3650</v>
      </c>
      <c r="F49" s="25"/>
      <c r="G49" s="35">
        <f>3160+7160+330+930+4010+2250</f>
        <v>17840</v>
      </c>
      <c r="H49" s="27">
        <v>26565.0</v>
      </c>
      <c r="I49" s="29">
        <v>28550.0</v>
      </c>
      <c r="J49" s="30">
        <f>C49-G49-H49-I49</f>
        <v>51440</v>
      </c>
      <c r="K49" s="31"/>
      <c r="L49" s="32" t="s">
        <v>2586</v>
      </c>
      <c r="M49" s="33"/>
      <c r="N49" s="40"/>
      <c r="O49" s="35"/>
      <c r="P49" s="33"/>
      <c r="Q49" s="33"/>
      <c r="R49" s="35"/>
      <c r="S49" s="35"/>
      <c r="T49" s="33"/>
      <c r="U49" s="36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>
      <c r="A50" s="38" t="s">
        <v>25</v>
      </c>
      <c r="B50" s="41">
        <v>43879.0</v>
      </c>
      <c r="C50" s="22">
        <v>155525.0</v>
      </c>
      <c r="D50" s="23">
        <v>94527.0</v>
      </c>
      <c r="E50" s="24">
        <v>2650.0</v>
      </c>
      <c r="F50" s="25"/>
      <c r="G50" s="35">
        <v>21480.0</v>
      </c>
      <c r="H50" s="27">
        <v>29085.0</v>
      </c>
      <c r="I50" s="29">
        <v>35170.0</v>
      </c>
      <c r="J50" s="30">
        <v>62538.0</v>
      </c>
      <c r="K50" s="31"/>
      <c r="L50" s="39"/>
      <c r="M50" s="33"/>
      <c r="N50" s="40"/>
      <c r="O50" s="35"/>
      <c r="P50" s="33"/>
      <c r="Q50" s="33"/>
      <c r="R50" s="35"/>
      <c r="S50" s="35"/>
      <c r="T50" s="33"/>
      <c r="U50" s="36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>
      <c r="A51" s="38" t="s">
        <v>26</v>
      </c>
      <c r="B51" s="41">
        <v>43880.0</v>
      </c>
      <c r="C51" s="22">
        <v>130705.0</v>
      </c>
      <c r="D51" s="23">
        <v>89325.0</v>
      </c>
      <c r="E51" s="24">
        <f>2000+200+1100+180+140</f>
        <v>3620</v>
      </c>
      <c r="F51" s="25">
        <v>2900.0</v>
      </c>
      <c r="G51" s="35">
        <v>31310.0</v>
      </c>
      <c r="H51" s="27">
        <v>17315.0</v>
      </c>
      <c r="I51" s="29">
        <v>40500.0</v>
      </c>
      <c r="J51" s="30">
        <f>C51-G51-H51-I51</f>
        <v>41580</v>
      </c>
      <c r="K51" s="31"/>
      <c r="L51" s="32" t="s">
        <v>2587</v>
      </c>
      <c r="M51" s="33"/>
      <c r="N51" s="40"/>
      <c r="O51" s="35"/>
      <c r="P51" s="33"/>
      <c r="Q51" s="33"/>
      <c r="R51" s="35"/>
      <c r="S51" s="35"/>
      <c r="T51" s="33"/>
      <c r="U51" s="36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>
      <c r="A52" s="38"/>
      <c r="B52" s="41">
        <v>43881.0</v>
      </c>
      <c r="C52" s="22"/>
      <c r="D52" s="23"/>
      <c r="E52" s="24"/>
      <c r="F52" s="25"/>
      <c r="G52" s="35"/>
      <c r="H52" s="27"/>
      <c r="I52" s="29"/>
      <c r="J52" s="30"/>
      <c r="K52" s="31"/>
      <c r="L52" s="39"/>
      <c r="M52" s="33"/>
      <c r="N52" s="40"/>
      <c r="O52" s="35"/>
      <c r="P52" s="33"/>
      <c r="Q52" s="33"/>
      <c r="R52" s="35"/>
      <c r="S52" s="35"/>
      <c r="T52" s="33"/>
      <c r="U52" s="36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>
      <c r="A53" s="38" t="s">
        <v>21</v>
      </c>
      <c r="B53" s="41">
        <v>43882.0</v>
      </c>
      <c r="C53" s="22">
        <v>128480.0</v>
      </c>
      <c r="D53" s="23">
        <v>75390.0</v>
      </c>
      <c r="E53" s="24">
        <f>1000+2300+220+110</f>
        <v>3630</v>
      </c>
      <c r="F53" s="25">
        <v>1700.0</v>
      </c>
      <c r="G53" s="35">
        <v>30730.0</v>
      </c>
      <c r="H53" s="27">
        <v>9830.0</v>
      </c>
      <c r="I53" s="29">
        <v>25760.0</v>
      </c>
      <c r="J53" s="30">
        <f>C53-G53-H53-I53</f>
        <v>62160</v>
      </c>
      <c r="K53" s="31"/>
      <c r="L53" s="32" t="s">
        <v>2588</v>
      </c>
      <c r="M53" s="33"/>
      <c r="N53" s="40"/>
      <c r="O53" s="35"/>
      <c r="P53" s="33"/>
      <c r="Q53" s="33"/>
      <c r="R53" s="35"/>
      <c r="S53" s="35"/>
      <c r="T53" s="33"/>
      <c r="U53" s="36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>
      <c r="A54" s="20" t="s">
        <v>22</v>
      </c>
      <c r="B54" s="21">
        <v>44247.0</v>
      </c>
      <c r="C54" s="22">
        <v>127935.0</v>
      </c>
      <c r="D54" s="23">
        <v>70795.0</v>
      </c>
      <c r="E54" s="24">
        <v>2793.0</v>
      </c>
      <c r="F54" s="25">
        <v>1400.0</v>
      </c>
      <c r="G54" s="26">
        <v>27530.0</v>
      </c>
      <c r="H54" s="90">
        <v>12095.0</v>
      </c>
      <c r="I54" s="92">
        <v>24580.0</v>
      </c>
      <c r="J54" s="30">
        <v>58190.0</v>
      </c>
      <c r="K54" s="31"/>
      <c r="L54" s="39"/>
      <c r="M54" s="33"/>
      <c r="N54" s="40"/>
      <c r="O54" s="35"/>
      <c r="P54" s="33"/>
      <c r="Q54" s="33"/>
      <c r="R54" s="35"/>
      <c r="S54" s="35"/>
      <c r="T54" s="33"/>
      <c r="U54" s="36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>
      <c r="A55" s="20" t="s">
        <v>23</v>
      </c>
      <c r="B55" s="21">
        <v>43884.0</v>
      </c>
      <c r="C55" s="22">
        <f>13780+103165</f>
        <v>116945</v>
      </c>
      <c r="D55" s="23">
        <v>65125.0</v>
      </c>
      <c r="E55" s="24">
        <v>3420.0</v>
      </c>
      <c r="F55" s="25">
        <v>700.0</v>
      </c>
      <c r="G55" s="26">
        <v>21720.0</v>
      </c>
      <c r="H55" s="27">
        <v>10245.0</v>
      </c>
      <c r="I55" s="29">
        <v>26190.0</v>
      </c>
      <c r="J55" s="30">
        <v>37650.0</v>
      </c>
      <c r="K55" s="31"/>
      <c r="L55" s="39"/>
      <c r="M55" s="33"/>
      <c r="N55" s="40"/>
      <c r="O55" s="35"/>
      <c r="P55" s="33"/>
      <c r="Q55" s="33"/>
      <c r="R55" s="35"/>
      <c r="S55" s="35"/>
      <c r="T55" s="33"/>
      <c r="U55" s="3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>
      <c r="A56" s="20" t="s">
        <v>24</v>
      </c>
      <c r="B56" s="21">
        <v>44249.0</v>
      </c>
      <c r="C56" s="22">
        <v>103800.0</v>
      </c>
      <c r="D56" s="23">
        <v>59820.0</v>
      </c>
      <c r="E56" s="24">
        <f>1000+1000+1500+50+100+320</f>
        <v>3970</v>
      </c>
      <c r="F56" s="25">
        <v>300.0</v>
      </c>
      <c r="G56" s="26">
        <v>18130.0</v>
      </c>
      <c r="H56" s="87">
        <v>15820.0</v>
      </c>
      <c r="I56" s="89">
        <v>26230.0</v>
      </c>
      <c r="J56" s="30">
        <f>C56-G56-H56-I56</f>
        <v>43620</v>
      </c>
      <c r="K56" s="31"/>
      <c r="L56" s="32" t="s">
        <v>2589</v>
      </c>
      <c r="M56" s="33"/>
      <c r="N56" s="40"/>
      <c r="O56" s="35"/>
      <c r="P56" s="33"/>
      <c r="Q56" s="33"/>
      <c r="R56" s="35"/>
      <c r="S56" s="35"/>
      <c r="T56" s="33"/>
      <c r="U56" s="36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>
      <c r="A57" s="20" t="s">
        <v>25</v>
      </c>
      <c r="B57" s="21">
        <v>44250.0</v>
      </c>
      <c r="C57" s="22">
        <v>129410.0</v>
      </c>
      <c r="D57" s="23">
        <v>78331.0</v>
      </c>
      <c r="E57" s="24">
        <v>3501.0</v>
      </c>
      <c r="F57" s="25">
        <v>500.0</v>
      </c>
      <c r="G57" s="26">
        <v>28110.0</v>
      </c>
      <c r="H57" s="87">
        <v>25380.0</v>
      </c>
      <c r="I57" s="89">
        <v>28530.0</v>
      </c>
      <c r="J57" s="30">
        <v>50779.0</v>
      </c>
      <c r="K57" s="31"/>
      <c r="L57" s="39"/>
      <c r="M57" s="33"/>
      <c r="N57" s="40"/>
      <c r="O57" s="35"/>
      <c r="P57" s="33"/>
      <c r="Q57" s="33"/>
      <c r="R57" s="35"/>
      <c r="S57" s="35"/>
      <c r="T57" s="33"/>
      <c r="U57" s="36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>
      <c r="A58" s="38" t="s">
        <v>26</v>
      </c>
      <c r="B58" s="41">
        <v>44253.0</v>
      </c>
      <c r="C58" s="22">
        <v>114633.0</v>
      </c>
      <c r="D58" s="23">
        <v>72450.0</v>
      </c>
      <c r="E58" s="24">
        <v>3170.0</v>
      </c>
      <c r="F58" s="25">
        <v>1800.0</v>
      </c>
      <c r="G58" s="35">
        <v>36390.0</v>
      </c>
      <c r="H58" s="90">
        <v>13450.0</v>
      </c>
      <c r="I58" s="92">
        <v>17680.0</v>
      </c>
      <c r="J58" s="30">
        <v>44253.0</v>
      </c>
      <c r="K58" s="31"/>
      <c r="L58" s="39"/>
      <c r="M58" s="33"/>
      <c r="N58" s="40"/>
      <c r="O58" s="35"/>
      <c r="P58" s="33"/>
      <c r="Q58" s="33"/>
      <c r="R58" s="35"/>
      <c r="S58" s="35"/>
      <c r="T58" s="33"/>
      <c r="U58" s="36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>
      <c r="A59" s="38"/>
      <c r="B59" s="41">
        <v>43888.0</v>
      </c>
      <c r="C59" s="22"/>
      <c r="D59" s="23"/>
      <c r="E59" s="24"/>
      <c r="F59" s="25"/>
      <c r="G59" s="35"/>
      <c r="H59" s="90"/>
      <c r="I59" s="92"/>
      <c r="J59" s="30"/>
      <c r="K59" s="31"/>
      <c r="L59" s="39"/>
      <c r="M59" s="33"/>
      <c r="N59" s="40"/>
      <c r="O59" s="35"/>
      <c r="P59" s="33"/>
      <c r="Q59" s="33"/>
      <c r="R59" s="35"/>
      <c r="S59" s="35"/>
      <c r="T59" s="33"/>
      <c r="U59" s="36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>
      <c r="A60" s="38" t="s">
        <v>21</v>
      </c>
      <c r="B60" s="41">
        <v>43889.0</v>
      </c>
      <c r="C60" s="22"/>
      <c r="D60" s="23"/>
      <c r="E60" s="24"/>
      <c r="F60" s="25"/>
      <c r="G60" s="35"/>
      <c r="H60" s="90"/>
      <c r="I60" s="92"/>
      <c r="J60" s="30"/>
      <c r="K60" s="31"/>
      <c r="L60" s="32" t="s">
        <v>48</v>
      </c>
      <c r="M60" s="33"/>
      <c r="N60" s="40"/>
      <c r="O60" s="35"/>
      <c r="P60" s="33"/>
      <c r="Q60" s="33"/>
      <c r="R60" s="35"/>
      <c r="S60" s="35"/>
      <c r="T60" s="33"/>
      <c r="U60" s="36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>
      <c r="A61" s="38"/>
      <c r="B61" s="41"/>
      <c r="C61" s="22"/>
      <c r="D61" s="23"/>
      <c r="E61" s="24"/>
      <c r="F61" s="25"/>
      <c r="G61" s="35"/>
      <c r="H61" s="90"/>
      <c r="I61" s="92"/>
      <c r="J61" s="30"/>
      <c r="K61" s="31"/>
      <c r="L61" s="39"/>
      <c r="M61" s="33"/>
      <c r="N61" s="40"/>
      <c r="O61" s="35"/>
      <c r="P61" s="33"/>
      <c r="Q61" s="33"/>
      <c r="R61" s="35"/>
      <c r="S61" s="35"/>
      <c r="T61" s="33"/>
      <c r="U61" s="36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>
      <c r="A62" s="93" t="s">
        <v>28</v>
      </c>
      <c r="B62" s="94" t="s">
        <v>31</v>
      </c>
      <c r="C62" s="95">
        <f>SUM(C33:C60)</f>
        <v>2791778</v>
      </c>
      <c r="D62" s="801"/>
      <c r="E62" s="95"/>
      <c r="F62" s="95"/>
      <c r="G62" s="95"/>
      <c r="H62" s="802"/>
      <c r="I62" s="95"/>
      <c r="J62" s="30"/>
      <c r="K62" s="97"/>
      <c r="L62" s="39"/>
      <c r="M62" s="97"/>
      <c r="N62" s="98"/>
      <c r="O62" s="73"/>
      <c r="P62" s="97"/>
      <c r="Q62" s="97"/>
      <c r="R62" s="73"/>
      <c r="S62" s="73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</row>
    <row r="63">
      <c r="A63" s="99"/>
      <c r="B63" s="100"/>
      <c r="C63" s="22"/>
      <c r="D63" s="23"/>
      <c r="E63" s="24"/>
      <c r="F63" s="25"/>
      <c r="G63" s="101"/>
      <c r="H63" s="27"/>
      <c r="I63" s="29"/>
      <c r="J63" s="30"/>
      <c r="K63" s="31"/>
      <c r="L63" s="39"/>
      <c r="M63" s="33"/>
      <c r="N63" s="40"/>
      <c r="O63" s="35"/>
      <c r="P63" s="33"/>
      <c r="Q63" s="33"/>
      <c r="R63" s="35"/>
      <c r="S63" s="35"/>
      <c r="T63" s="33"/>
      <c r="U63" s="36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>
      <c r="A64" s="99" t="s">
        <v>22</v>
      </c>
      <c r="B64" s="100">
        <v>44256.0</v>
      </c>
      <c r="C64" s="22">
        <v>106765.0</v>
      </c>
      <c r="D64" s="23">
        <v>80070.0</v>
      </c>
      <c r="E64" s="24">
        <f>1500+1700+150+100+130</f>
        <v>3580</v>
      </c>
      <c r="F64" s="25">
        <v>1600.0</v>
      </c>
      <c r="G64" s="101">
        <f>24560+1540</f>
        <v>26100</v>
      </c>
      <c r="H64" s="27">
        <v>24070.0</v>
      </c>
      <c r="I64" s="29">
        <v>28890.0</v>
      </c>
      <c r="J64" s="30">
        <f>C64-G64-H64-I64</f>
        <v>27705</v>
      </c>
      <c r="K64" s="102"/>
      <c r="L64" s="103" t="s">
        <v>2590</v>
      </c>
      <c r="M64" s="33"/>
      <c r="N64" s="40"/>
      <c r="O64" s="35"/>
      <c r="P64" s="33"/>
      <c r="Q64" s="33"/>
      <c r="R64" s="35"/>
      <c r="S64" s="35"/>
      <c r="T64" s="33"/>
      <c r="U64" s="36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>
      <c r="A65" s="99" t="s">
        <v>32</v>
      </c>
      <c r="B65" s="100">
        <v>44257.0</v>
      </c>
      <c r="C65" s="22">
        <v>102180.0</v>
      </c>
      <c r="D65" s="101">
        <v>59610.0</v>
      </c>
      <c r="E65" s="24">
        <v>3570.0</v>
      </c>
      <c r="F65" s="25">
        <v>1200.0</v>
      </c>
      <c r="G65" s="103">
        <v>20450.0</v>
      </c>
      <c r="H65" s="27">
        <v>22410.0</v>
      </c>
      <c r="I65" s="104">
        <v>15920.0</v>
      </c>
      <c r="J65" s="30">
        <v>39660.0</v>
      </c>
      <c r="K65" s="103"/>
      <c r="L65" s="102">
        <f>E65+F65</f>
        <v>4770</v>
      </c>
      <c r="M65" s="102">
        <f>(E65+F65+K65)-L65</f>
        <v>0</v>
      </c>
      <c r="N65" s="40"/>
      <c r="O65" s="35"/>
      <c r="P65" s="33"/>
      <c r="Q65" s="33"/>
      <c r="R65" s="35"/>
      <c r="S65" s="35"/>
      <c r="T65" s="33"/>
      <c r="U65" s="36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>
      <c r="A66" s="99" t="s">
        <v>24</v>
      </c>
      <c r="B66" s="100">
        <v>44258.0</v>
      </c>
      <c r="C66" s="22">
        <v>134590.0</v>
      </c>
      <c r="D66" s="101">
        <v>73500.0</v>
      </c>
      <c r="E66" s="24">
        <f>1000+400+2000+200+330+300</f>
        <v>4230</v>
      </c>
      <c r="F66" s="25">
        <v>2200.0</v>
      </c>
      <c r="G66" s="103">
        <v>25040.0</v>
      </c>
      <c r="H66" s="27">
        <v>15580.0</v>
      </c>
      <c r="I66" s="104">
        <v>27650.0</v>
      </c>
      <c r="J66" s="30">
        <f>C66-G66-H66-I66</f>
        <v>66320</v>
      </c>
      <c r="K66" s="31"/>
      <c r="L66" s="39"/>
      <c r="M66" s="33"/>
      <c r="N66" s="40"/>
      <c r="O66" s="35"/>
      <c r="P66" s="33"/>
      <c r="Q66" s="33"/>
      <c r="R66" s="35"/>
      <c r="S66" s="35"/>
      <c r="T66" s="33"/>
      <c r="U66" s="36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>
      <c r="A67" s="99" t="s">
        <v>25</v>
      </c>
      <c r="B67" s="100">
        <v>44259.0</v>
      </c>
      <c r="C67" s="22">
        <v>176795.0</v>
      </c>
      <c r="D67" s="23">
        <v>90915.0</v>
      </c>
      <c r="E67" s="24">
        <v>2760.0</v>
      </c>
      <c r="F67" s="25">
        <v>500.0</v>
      </c>
      <c r="G67" s="101">
        <v>30930.0</v>
      </c>
      <c r="H67" s="27">
        <v>17865.0</v>
      </c>
      <c r="I67" s="29">
        <v>34290.0</v>
      </c>
      <c r="J67" s="30">
        <v>82580.0</v>
      </c>
      <c r="K67" s="31"/>
      <c r="L67" s="39"/>
      <c r="M67" s="33"/>
      <c r="N67" s="40"/>
      <c r="O67" s="35"/>
      <c r="P67" s="33"/>
      <c r="Q67" s="33"/>
      <c r="R67" s="35"/>
      <c r="S67" s="35"/>
      <c r="T67" s="33"/>
      <c r="U67" s="36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>
      <c r="A68" s="99" t="s">
        <v>33</v>
      </c>
      <c r="B68" s="100">
        <v>44260.0</v>
      </c>
      <c r="C68" s="22">
        <v>125466.0</v>
      </c>
      <c r="D68" s="23">
        <v>88105.0</v>
      </c>
      <c r="E68" s="24">
        <f>1500+200+1700+280+450</f>
        <v>4130</v>
      </c>
      <c r="F68" s="25">
        <v>2900.0</v>
      </c>
      <c r="G68" s="101">
        <v>26340.0</v>
      </c>
      <c r="H68" s="27">
        <v>18275.0</v>
      </c>
      <c r="I68" s="29">
        <v>42130.0</v>
      </c>
      <c r="J68" s="30">
        <f>C68-G68-H68-I68</f>
        <v>38721</v>
      </c>
      <c r="K68" s="31"/>
      <c r="L68" s="39"/>
      <c r="M68" s="33"/>
      <c r="N68" s="40"/>
      <c r="O68" s="35"/>
      <c r="P68" s="33"/>
      <c r="Q68" s="33"/>
      <c r="R68" s="35"/>
      <c r="S68" s="35"/>
      <c r="T68" s="33"/>
      <c r="U68" s="36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>
      <c r="A69" s="105" t="s">
        <v>27</v>
      </c>
      <c r="B69" s="100">
        <v>44261.0</v>
      </c>
      <c r="C69" s="110"/>
      <c r="D69" s="23"/>
      <c r="E69" s="110"/>
      <c r="F69" s="110"/>
      <c r="G69" s="110"/>
      <c r="H69" s="143"/>
      <c r="I69" s="108"/>
      <c r="K69" s="108"/>
      <c r="L69" s="39"/>
      <c r="M69" s="108"/>
      <c r="N69" s="109"/>
      <c r="O69" s="110"/>
      <c r="P69" s="108"/>
      <c r="Q69" s="108"/>
      <c r="R69" s="110"/>
      <c r="S69" s="110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99" t="s">
        <v>21</v>
      </c>
      <c r="B70" s="43">
        <v>44262.0</v>
      </c>
      <c r="C70" s="22">
        <v>116485.0</v>
      </c>
      <c r="D70" s="23">
        <v>57685.0</v>
      </c>
      <c r="E70" s="24">
        <f>1000+400+2300+220+380</f>
        <v>4300</v>
      </c>
      <c r="F70" s="25">
        <f>1100+1000</f>
        <v>2100</v>
      </c>
      <c r="G70" s="101">
        <v>22670.0</v>
      </c>
      <c r="H70" s="27">
        <v>10685.0</v>
      </c>
      <c r="I70" s="29">
        <v>26240.0</v>
      </c>
      <c r="J70" s="30">
        <f>C70-G70-H70-I70</f>
        <v>56890</v>
      </c>
      <c r="K70" s="31"/>
      <c r="L70" s="39"/>
      <c r="M70" s="33"/>
      <c r="N70" s="40"/>
      <c r="O70" s="35"/>
      <c r="P70" s="33"/>
      <c r="Q70" s="33"/>
      <c r="R70" s="35"/>
      <c r="S70" s="35"/>
      <c r="T70" s="33"/>
      <c r="U70" s="36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>
      <c r="A71" s="99" t="s">
        <v>22</v>
      </c>
      <c r="B71" s="100">
        <v>44263.0</v>
      </c>
      <c r="C71" s="22">
        <v>140760.0</v>
      </c>
      <c r="D71" s="23">
        <v>68752.0</v>
      </c>
      <c r="E71" s="24">
        <v>2750.0</v>
      </c>
      <c r="F71" s="25">
        <v>2000.0</v>
      </c>
      <c r="G71" s="101">
        <v>28720.0</v>
      </c>
      <c r="H71" s="27">
        <v>25500.0</v>
      </c>
      <c r="I71" s="29">
        <v>17400.0</v>
      </c>
      <c r="J71" s="30">
        <v>63205.0</v>
      </c>
      <c r="K71" s="31"/>
      <c r="L71" s="39"/>
      <c r="M71" s="33"/>
      <c r="N71" s="40"/>
      <c r="O71" s="35"/>
      <c r="P71" s="33"/>
      <c r="Q71" s="33"/>
      <c r="R71" s="35"/>
      <c r="S71" s="35"/>
      <c r="T71" s="33"/>
      <c r="U71" s="36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>
      <c r="A72" s="99" t="s">
        <v>32</v>
      </c>
      <c r="B72" s="100">
        <v>44264.0</v>
      </c>
      <c r="C72" s="22">
        <v>152075.0</v>
      </c>
      <c r="D72" s="23">
        <v>96250.0</v>
      </c>
      <c r="E72" s="24">
        <v>3000.0</v>
      </c>
      <c r="F72" s="25">
        <v>1100.0</v>
      </c>
      <c r="G72" s="101">
        <v>34550.0</v>
      </c>
      <c r="H72" s="27">
        <v>23325.0</v>
      </c>
      <c r="I72" s="29">
        <v>31840.0</v>
      </c>
      <c r="J72" s="30">
        <f t="shared" ref="J72:J75" si="5">C72-G72-H72-I72</f>
        <v>62360</v>
      </c>
      <c r="K72" s="31"/>
      <c r="L72" s="39"/>
      <c r="M72" s="33"/>
      <c r="N72" s="40"/>
      <c r="O72" s="35"/>
      <c r="P72" s="33"/>
      <c r="Q72" s="33"/>
      <c r="R72" s="35"/>
      <c r="S72" s="35"/>
      <c r="T72" s="33"/>
      <c r="U72" s="36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>
      <c r="A73" s="99" t="s">
        <v>24</v>
      </c>
      <c r="B73" s="100">
        <v>44265.0</v>
      </c>
      <c r="C73" s="22">
        <v>137945.0</v>
      </c>
      <c r="D73" s="23">
        <v>84680.0</v>
      </c>
      <c r="E73" s="24">
        <f>1500+400+1700+200+180+380</f>
        <v>4360</v>
      </c>
      <c r="F73" s="25">
        <v>600.0</v>
      </c>
      <c r="G73" s="101">
        <v>27483.0</v>
      </c>
      <c r="H73" s="27">
        <v>9840.0</v>
      </c>
      <c r="I73" s="29">
        <v>29870.0</v>
      </c>
      <c r="J73" s="30">
        <f t="shared" si="5"/>
        <v>70752</v>
      </c>
      <c r="K73" s="31"/>
      <c r="L73" s="39"/>
      <c r="M73" s="33"/>
      <c r="N73" s="40"/>
      <c r="O73" s="35"/>
      <c r="P73" s="33"/>
      <c r="Q73" s="33"/>
      <c r="R73" s="35"/>
      <c r="S73" s="35"/>
      <c r="T73" s="33"/>
      <c r="U73" s="36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>
      <c r="A74" s="99" t="s">
        <v>25</v>
      </c>
      <c r="B74" s="100">
        <v>44266.0</v>
      </c>
      <c r="C74" s="22">
        <v>135785.0</v>
      </c>
      <c r="D74" s="23">
        <v>61805.0</v>
      </c>
      <c r="E74" s="24">
        <v>2010.0</v>
      </c>
      <c r="F74" s="25">
        <v>200.0</v>
      </c>
      <c r="G74" s="101">
        <v>21210.0</v>
      </c>
      <c r="H74" s="27">
        <v>21695.0</v>
      </c>
      <c r="I74" s="29">
        <v>31400.0</v>
      </c>
      <c r="J74" s="30">
        <f t="shared" si="5"/>
        <v>61480</v>
      </c>
      <c r="K74" s="49">
        <v>9000.0</v>
      </c>
      <c r="L74" s="39"/>
      <c r="M74" s="33"/>
      <c r="N74" s="40"/>
      <c r="O74" s="35"/>
      <c r="P74" s="33"/>
      <c r="Q74" s="33"/>
      <c r="R74" s="35"/>
      <c r="S74" s="35"/>
      <c r="T74" s="33"/>
      <c r="U74" s="36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>
      <c r="A75" s="99" t="s">
        <v>33</v>
      </c>
      <c r="B75" s="100">
        <v>44267.0</v>
      </c>
      <c r="C75" s="22">
        <v>123645.0</v>
      </c>
      <c r="D75" s="23">
        <v>72405.0</v>
      </c>
      <c r="E75" s="24">
        <f>1400+1300+240+320</f>
        <v>3260</v>
      </c>
      <c r="F75" s="25">
        <v>2500.0</v>
      </c>
      <c r="G75" s="101">
        <v>32130.0</v>
      </c>
      <c r="H75" s="27">
        <v>11965.0</v>
      </c>
      <c r="I75" s="29">
        <v>27530.0</v>
      </c>
      <c r="J75" s="30">
        <f t="shared" si="5"/>
        <v>52020</v>
      </c>
      <c r="K75" s="31"/>
      <c r="L75" s="32" t="s">
        <v>2591</v>
      </c>
      <c r="M75" s="33"/>
      <c r="N75" s="40"/>
      <c r="O75" s="35"/>
      <c r="P75" s="33"/>
      <c r="Q75" s="33"/>
      <c r="R75" s="35"/>
      <c r="S75" s="35"/>
      <c r="T75" s="33"/>
      <c r="U75" s="36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>
      <c r="A76" s="105" t="s">
        <v>27</v>
      </c>
      <c r="B76" s="100">
        <v>44268.0</v>
      </c>
      <c r="C76" s="110"/>
      <c r="D76" s="23"/>
      <c r="E76" s="110"/>
      <c r="F76" s="110"/>
      <c r="G76" s="110"/>
      <c r="H76" s="143"/>
      <c r="I76" s="108"/>
      <c r="J76" s="30"/>
      <c r="K76" s="108"/>
      <c r="L76" s="39"/>
      <c r="M76" s="108"/>
      <c r="N76" s="109"/>
      <c r="O76" s="110"/>
      <c r="P76" s="108"/>
      <c r="Q76" s="108"/>
      <c r="R76" s="110"/>
      <c r="S76" s="110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99" t="s">
        <v>21</v>
      </c>
      <c r="B77" s="43">
        <v>44269.0</v>
      </c>
      <c r="C77" s="22">
        <v>127415.0</v>
      </c>
      <c r="D77" s="23">
        <v>56055.0</v>
      </c>
      <c r="E77" s="24">
        <f>2000+1500+200+100+400</f>
        <v>4200</v>
      </c>
      <c r="F77" s="25">
        <v>2000.0</v>
      </c>
      <c r="G77" s="101">
        <v>25690.0</v>
      </c>
      <c r="H77" s="27">
        <v>14015.0</v>
      </c>
      <c r="I77" s="29">
        <v>24780.0</v>
      </c>
      <c r="J77" s="30">
        <f>C77-G77-H77-I77</f>
        <v>62930</v>
      </c>
      <c r="K77" s="31"/>
      <c r="L77" s="32" t="s">
        <v>2592</v>
      </c>
      <c r="M77" s="33"/>
      <c r="N77" s="40"/>
      <c r="O77" s="35"/>
      <c r="P77" s="33"/>
      <c r="Q77" s="33"/>
      <c r="R77" s="35"/>
      <c r="S77" s="35"/>
      <c r="T77" s="33"/>
      <c r="U77" s="36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</row>
    <row r="78">
      <c r="A78" s="99" t="s">
        <v>22</v>
      </c>
      <c r="B78" s="100">
        <v>44270.0</v>
      </c>
      <c r="C78" s="22">
        <v>140755.0</v>
      </c>
      <c r="D78" s="23">
        <v>76657.0</v>
      </c>
      <c r="E78" s="24">
        <v>1980.0</v>
      </c>
      <c r="F78" s="25">
        <v>1500.0</v>
      </c>
      <c r="G78" s="101">
        <v>20160.0</v>
      </c>
      <c r="H78" s="27">
        <v>25335.0</v>
      </c>
      <c r="I78" s="29">
        <v>29280.0</v>
      </c>
      <c r="J78" s="30">
        <v>47570.0</v>
      </c>
      <c r="K78" s="31"/>
      <c r="L78" s="39"/>
      <c r="M78" s="33"/>
      <c r="N78" s="40"/>
      <c r="O78" s="35"/>
      <c r="P78" s="33"/>
      <c r="Q78" s="33"/>
      <c r="R78" s="35"/>
      <c r="S78" s="35"/>
      <c r="T78" s="33"/>
      <c r="U78" s="36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</row>
    <row r="79">
      <c r="A79" s="99" t="s">
        <v>32</v>
      </c>
      <c r="B79" s="100">
        <v>44271.0</v>
      </c>
      <c r="C79" s="22">
        <v>125091.0</v>
      </c>
      <c r="D79" s="23">
        <v>87031.0</v>
      </c>
      <c r="E79" s="24">
        <f>2500+1500+250+200+340</f>
        <v>4790</v>
      </c>
      <c r="F79" s="25">
        <v>800.0</v>
      </c>
      <c r="G79" s="101">
        <v>24400.0</v>
      </c>
      <c r="H79" s="27">
        <v>12250.0</v>
      </c>
      <c r="I79" s="29">
        <v>27370.0</v>
      </c>
      <c r="J79" s="30">
        <f t="shared" ref="J79:J80" si="6">C79-G79-H79-I79</f>
        <v>61071</v>
      </c>
      <c r="K79" s="31"/>
      <c r="L79" s="32" t="s">
        <v>2593</v>
      </c>
      <c r="M79" s="33"/>
      <c r="N79" s="40"/>
      <c r="O79" s="35"/>
      <c r="P79" s="33"/>
      <c r="Q79" s="33"/>
      <c r="R79" s="35"/>
      <c r="S79" s="35"/>
      <c r="T79" s="33"/>
      <c r="U79" s="36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</row>
    <row r="80">
      <c r="A80" s="99" t="s">
        <v>24</v>
      </c>
      <c r="B80" s="100">
        <v>44272.0</v>
      </c>
      <c r="C80" s="22">
        <v>135975.0</v>
      </c>
      <c r="D80" s="23">
        <v>58435.0</v>
      </c>
      <c r="E80" s="24">
        <f>1500+1800+50+180+300</f>
        <v>3830</v>
      </c>
      <c r="F80" s="25"/>
      <c r="G80" s="101">
        <v>19370.0</v>
      </c>
      <c r="H80" s="27">
        <v>18685.0</v>
      </c>
      <c r="I80" s="29">
        <v>28190.0</v>
      </c>
      <c r="J80" s="30">
        <f t="shared" si="6"/>
        <v>69730</v>
      </c>
      <c r="K80" s="31"/>
      <c r="L80" s="39"/>
      <c r="M80" s="33"/>
      <c r="N80" s="40"/>
      <c r="O80" s="35"/>
      <c r="P80" s="33"/>
      <c r="Q80" s="33"/>
      <c r="R80" s="35"/>
      <c r="S80" s="35"/>
      <c r="T80" s="33"/>
      <c r="U80" s="36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</row>
    <row r="81">
      <c r="A81" s="99" t="s">
        <v>25</v>
      </c>
      <c r="B81" s="100">
        <v>44273.0</v>
      </c>
      <c r="C81" s="22">
        <v>131750.0</v>
      </c>
      <c r="D81" s="23">
        <v>55600.0</v>
      </c>
      <c r="E81" s="24">
        <v>2800.0</v>
      </c>
      <c r="F81" s="25">
        <v>200.0</v>
      </c>
      <c r="G81" s="101">
        <v>16660.0</v>
      </c>
      <c r="H81" s="27">
        <v>11080.0</v>
      </c>
      <c r="I81" s="29">
        <v>33810.0</v>
      </c>
      <c r="J81" s="30">
        <v>55600.0</v>
      </c>
      <c r="K81" s="31"/>
      <c r="L81" s="39"/>
      <c r="M81" s="33"/>
      <c r="N81" s="40"/>
      <c r="O81" s="35"/>
      <c r="P81" s="33"/>
      <c r="Q81" s="33"/>
      <c r="R81" s="35"/>
      <c r="S81" s="35"/>
      <c r="T81" s="33"/>
      <c r="U81" s="36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99" t="s">
        <v>33</v>
      </c>
      <c r="B82" s="100">
        <v>44274.0</v>
      </c>
      <c r="C82" s="22">
        <v>107020.0</v>
      </c>
      <c r="D82" s="23">
        <v>64430.0</v>
      </c>
      <c r="E82" s="24">
        <f>1500+2100+150+420+300</f>
        <v>4470</v>
      </c>
      <c r="F82" s="25">
        <f>500+1600</f>
        <v>2100</v>
      </c>
      <c r="G82" s="101">
        <v>34970.0</v>
      </c>
      <c r="H82" s="27">
        <v>10210.0</v>
      </c>
      <c r="I82" s="29">
        <v>19900.0</v>
      </c>
      <c r="J82" s="30">
        <f>C82-G82-H82-I82</f>
        <v>41940</v>
      </c>
      <c r="K82" s="31"/>
      <c r="L82" s="32" t="s">
        <v>2591</v>
      </c>
      <c r="M82" s="33"/>
      <c r="N82" s="40"/>
      <c r="O82" s="35"/>
      <c r="P82" s="33"/>
      <c r="Q82" s="33"/>
      <c r="R82" s="35"/>
      <c r="S82" s="35"/>
      <c r="T82" s="33"/>
      <c r="U82" s="36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5" t="s">
        <v>27</v>
      </c>
      <c r="B83" s="100">
        <v>44275.0</v>
      </c>
      <c r="C83" s="110"/>
      <c r="D83" s="23"/>
      <c r="E83" s="110"/>
      <c r="F83" s="110"/>
      <c r="G83" s="110"/>
      <c r="H83" s="143"/>
      <c r="I83" s="108"/>
      <c r="J83" s="30"/>
      <c r="K83" s="108"/>
      <c r="L83" s="39"/>
      <c r="M83" s="108"/>
      <c r="N83" s="109"/>
      <c r="O83" s="110"/>
      <c r="P83" s="108"/>
      <c r="Q83" s="108"/>
      <c r="R83" s="110"/>
      <c r="S83" s="110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99" t="s">
        <v>21</v>
      </c>
      <c r="B84" s="43">
        <v>44283.0</v>
      </c>
      <c r="C84" s="22">
        <v>147090.0</v>
      </c>
      <c r="D84" s="23">
        <v>83710.0</v>
      </c>
      <c r="E84" s="24">
        <f>4000+700+180+200</f>
        <v>5080</v>
      </c>
      <c r="F84" s="25">
        <v>2400.0</v>
      </c>
      <c r="G84" s="101">
        <f>29110+620</f>
        <v>29730</v>
      </c>
      <c r="H84" s="27">
        <v>19080.0</v>
      </c>
      <c r="I84" s="29">
        <v>25170.0</v>
      </c>
      <c r="J84" s="30">
        <f>C84-G84-H84-I84</f>
        <v>73110</v>
      </c>
      <c r="K84" s="31"/>
      <c r="L84" s="32" t="s">
        <v>2594</v>
      </c>
      <c r="M84" s="33"/>
      <c r="N84" s="40"/>
      <c r="O84" s="35"/>
      <c r="P84" s="33"/>
      <c r="Q84" s="33"/>
      <c r="R84" s="35"/>
      <c r="S84" s="35"/>
      <c r="T84" s="33"/>
      <c r="U84" s="36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99" t="s">
        <v>22</v>
      </c>
      <c r="B85" s="100">
        <v>44276.0</v>
      </c>
      <c r="C85" s="22">
        <v>140140.0</v>
      </c>
      <c r="D85" s="23">
        <v>73680.0</v>
      </c>
      <c r="E85" s="24">
        <v>2450.0</v>
      </c>
      <c r="F85" s="25">
        <v>1400.0</v>
      </c>
      <c r="G85" s="101">
        <v>19200.0</v>
      </c>
      <c r="H85" s="27">
        <v>25880.0</v>
      </c>
      <c r="I85" s="29">
        <v>39530.0</v>
      </c>
      <c r="J85" s="30">
        <v>58350.0</v>
      </c>
      <c r="K85" s="31"/>
      <c r="L85" s="39"/>
      <c r="M85" s="33"/>
      <c r="N85" s="40"/>
      <c r="O85" s="35"/>
      <c r="P85" s="33"/>
      <c r="Q85" s="33"/>
      <c r="R85" s="35"/>
      <c r="S85" s="35"/>
      <c r="T85" s="33"/>
      <c r="U85" s="36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99" t="s">
        <v>23</v>
      </c>
      <c r="B86" s="100">
        <v>44277.0</v>
      </c>
      <c r="C86" s="22">
        <v>149335.0</v>
      </c>
      <c r="D86" s="23">
        <v>89471.0</v>
      </c>
      <c r="E86" s="24">
        <v>4940.0</v>
      </c>
      <c r="F86" s="25">
        <v>600.0</v>
      </c>
      <c r="G86" s="101">
        <v>19530.0</v>
      </c>
      <c r="H86" s="27">
        <v>27045.0</v>
      </c>
      <c r="I86" s="29">
        <v>36710.0</v>
      </c>
      <c r="J86" s="30">
        <v>59184.0</v>
      </c>
      <c r="K86" s="31"/>
      <c r="L86" s="39"/>
      <c r="M86" s="33"/>
      <c r="N86" s="40"/>
      <c r="O86" s="35"/>
      <c r="P86" s="33"/>
      <c r="Q86" s="33"/>
      <c r="R86" s="35"/>
      <c r="S86" s="35"/>
      <c r="T86" s="33"/>
      <c r="U86" s="36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99" t="s">
        <v>24</v>
      </c>
      <c r="B87" s="100">
        <v>44278.0</v>
      </c>
      <c r="C87" s="22">
        <v>113670.0</v>
      </c>
      <c r="D87" s="23">
        <v>72690.0</v>
      </c>
      <c r="E87" s="24">
        <f>3400+350+200+320</f>
        <v>4270</v>
      </c>
      <c r="F87" s="25">
        <v>1300.0</v>
      </c>
      <c r="G87" s="101">
        <v>35970.0</v>
      </c>
      <c r="H87" s="27">
        <v>8860.0</v>
      </c>
      <c r="I87" s="29">
        <v>21320.0</v>
      </c>
      <c r="J87" s="30">
        <f>C87-G87-H87-I87</f>
        <v>47520</v>
      </c>
      <c r="K87" s="31"/>
      <c r="L87" s="39"/>
      <c r="M87" s="33"/>
      <c r="N87" s="40"/>
      <c r="O87" s="35"/>
      <c r="P87" s="33"/>
      <c r="Q87" s="33"/>
      <c r="R87" s="35"/>
      <c r="S87" s="35"/>
      <c r="T87" s="33"/>
      <c r="U87" s="36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</row>
    <row r="88">
      <c r="A88" s="99" t="s">
        <v>25</v>
      </c>
      <c r="B88" s="100">
        <v>44279.0</v>
      </c>
      <c r="C88" s="22">
        <v>128360.0</v>
      </c>
      <c r="D88" s="23">
        <v>64311.0</v>
      </c>
      <c r="E88" s="24">
        <v>1500.0</v>
      </c>
      <c r="F88" s="25">
        <v>900.0</v>
      </c>
      <c r="G88" s="101">
        <v>23950.0</v>
      </c>
      <c r="H88" s="27">
        <v>13880.0</v>
      </c>
      <c r="I88" s="29">
        <v>29740.0</v>
      </c>
      <c r="J88" s="30">
        <v>58629.0</v>
      </c>
      <c r="K88" s="31"/>
      <c r="L88" s="39"/>
      <c r="M88" s="33"/>
      <c r="N88" s="40"/>
      <c r="O88" s="35"/>
      <c r="P88" s="33"/>
      <c r="Q88" s="33"/>
      <c r="R88" s="35"/>
      <c r="S88" s="35"/>
      <c r="T88" s="33"/>
      <c r="U88" s="36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</row>
    <row r="89">
      <c r="A89" s="99" t="s">
        <v>26</v>
      </c>
      <c r="B89" s="100">
        <v>44280.0</v>
      </c>
      <c r="C89" s="22">
        <v>116720.0</v>
      </c>
      <c r="D89" s="23">
        <v>77930.0</v>
      </c>
      <c r="E89" s="24">
        <f>500+2100+250+220+350</f>
        <v>3420</v>
      </c>
      <c r="F89" s="25">
        <f>1800+1000+1000+800</f>
        <v>4600</v>
      </c>
      <c r="G89" s="101">
        <f>27300</f>
        <v>27300</v>
      </c>
      <c r="H89" s="27">
        <v>21800.0</v>
      </c>
      <c r="I89" s="29">
        <v>25290.0</v>
      </c>
      <c r="J89" s="30">
        <f>C89-G89-H89-I89</f>
        <v>42330</v>
      </c>
      <c r="K89" s="31"/>
      <c r="L89" s="39"/>
      <c r="M89" s="33"/>
      <c r="N89" s="40"/>
      <c r="O89" s="35"/>
      <c r="P89" s="33"/>
      <c r="Q89" s="33"/>
      <c r="R89" s="35"/>
      <c r="S89" s="35"/>
      <c r="T89" s="33"/>
      <c r="U89" s="36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</row>
    <row r="90">
      <c r="A90" s="105" t="s">
        <v>27</v>
      </c>
      <c r="B90" s="100">
        <v>44281.0</v>
      </c>
      <c r="C90" s="110"/>
      <c r="D90" s="23"/>
      <c r="E90" s="110"/>
      <c r="F90" s="110"/>
      <c r="G90" s="110"/>
      <c r="H90" s="143"/>
      <c r="I90" s="108"/>
      <c r="J90" s="30"/>
      <c r="K90" s="108"/>
      <c r="L90" s="39"/>
      <c r="M90" s="108"/>
      <c r="N90" s="109"/>
      <c r="O90" s="110"/>
      <c r="P90" s="108"/>
      <c r="Q90" s="108"/>
      <c r="R90" s="110"/>
      <c r="S90" s="110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99" t="s">
        <v>21</v>
      </c>
      <c r="B91" s="43">
        <v>44283.0</v>
      </c>
      <c r="C91" s="116">
        <v>121535.0</v>
      </c>
      <c r="D91" s="23">
        <v>66065.0</v>
      </c>
      <c r="E91" s="24">
        <f>500+2200+200+420+270</f>
        <v>3590</v>
      </c>
      <c r="F91" s="25">
        <f>1000+1000+1900</f>
        <v>3900</v>
      </c>
      <c r="G91" s="101">
        <v>21420.0</v>
      </c>
      <c r="H91" s="27">
        <v>26925.0</v>
      </c>
      <c r="I91" s="29">
        <v>12500.0</v>
      </c>
      <c r="J91" s="30">
        <f>C91-G91-H91-I91</f>
        <v>60690</v>
      </c>
      <c r="K91" s="31"/>
      <c r="L91" s="32" t="s">
        <v>2595</v>
      </c>
      <c r="M91" s="33"/>
      <c r="N91" s="40"/>
      <c r="O91" s="35"/>
      <c r="P91" s="33"/>
      <c r="Q91" s="33"/>
      <c r="R91" s="35"/>
      <c r="S91" s="35"/>
      <c r="T91" s="33"/>
      <c r="U91" s="36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>
      <c r="A92" s="99" t="s">
        <v>22</v>
      </c>
      <c r="B92" s="100">
        <v>44284.0</v>
      </c>
      <c r="C92" s="116">
        <v>182165.0</v>
      </c>
      <c r="D92" s="23">
        <v>104045.0</v>
      </c>
      <c r="E92" s="24">
        <v>4100.0</v>
      </c>
      <c r="F92" s="25">
        <v>1800.0</v>
      </c>
      <c r="G92" s="101">
        <v>34330.0</v>
      </c>
      <c r="H92" s="27">
        <v>26065.0</v>
      </c>
      <c r="I92" s="29">
        <v>36540.0</v>
      </c>
      <c r="J92" s="30">
        <v>73540.0</v>
      </c>
      <c r="K92" s="31"/>
      <c r="L92" s="39"/>
      <c r="M92" s="33"/>
      <c r="N92" s="40"/>
      <c r="O92" s="35"/>
      <c r="P92" s="33"/>
      <c r="Q92" s="33"/>
      <c r="R92" s="35"/>
      <c r="S92" s="35"/>
      <c r="T92" s="33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>
      <c r="A93" s="99" t="s">
        <v>23</v>
      </c>
      <c r="B93" s="100">
        <v>44285.0</v>
      </c>
      <c r="C93" s="116">
        <v>183535.0</v>
      </c>
      <c r="D93" s="23">
        <v>118781.0</v>
      </c>
      <c r="E93" s="24">
        <v>4320.0</v>
      </c>
      <c r="F93" s="25">
        <v>1300.0</v>
      </c>
      <c r="G93" s="101">
        <v>36270.0</v>
      </c>
      <c r="H93" s="27">
        <v>23895.0</v>
      </c>
      <c r="I93" s="29">
        <v>46850.0</v>
      </c>
      <c r="J93" s="30">
        <v>59814.0</v>
      </c>
      <c r="K93" s="49"/>
      <c r="L93" s="32"/>
      <c r="M93" s="33"/>
      <c r="N93" s="40"/>
      <c r="O93" s="35"/>
      <c r="P93" s="33"/>
      <c r="Q93" s="33"/>
      <c r="R93" s="35"/>
      <c r="S93" s="35"/>
      <c r="T93" s="33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>
      <c r="A94" s="99" t="s">
        <v>24</v>
      </c>
      <c r="B94" s="100">
        <v>44286.0</v>
      </c>
      <c r="C94" s="117">
        <v>159730.0</v>
      </c>
      <c r="D94" s="118">
        <v>80660.0</v>
      </c>
      <c r="E94" s="119">
        <v>3260.0</v>
      </c>
      <c r="F94" s="120">
        <v>2700.0</v>
      </c>
      <c r="G94" s="121">
        <v>34350.0</v>
      </c>
      <c r="H94" s="122">
        <v>19360.0</v>
      </c>
      <c r="I94" s="124">
        <v>37550.0</v>
      </c>
      <c r="J94" s="30">
        <v>63410.0</v>
      </c>
      <c r="K94" s="31"/>
      <c r="L94" s="39"/>
      <c r="M94" s="125"/>
      <c r="N94" s="126"/>
      <c r="O94" s="127"/>
      <c r="P94" s="125"/>
      <c r="Q94" s="125"/>
      <c r="R94" s="127"/>
      <c r="S94" s="127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8"/>
    </row>
    <row r="95">
      <c r="A95" s="803" t="s">
        <v>28</v>
      </c>
      <c r="B95" s="627"/>
      <c r="C95" s="130">
        <f t="shared" ref="C95:D95" si="7">SUM(C64:C94)</f>
        <v>3662777</v>
      </c>
      <c r="D95" s="130">
        <f t="shared" si="7"/>
        <v>2063328</v>
      </c>
      <c r="E95" s="130"/>
      <c r="F95" s="130"/>
      <c r="G95" s="130">
        <f t="shared" ref="G95:J95" si="8">SUM(G64:G94)</f>
        <v>718923</v>
      </c>
      <c r="H95" s="130">
        <f t="shared" si="8"/>
        <v>505575</v>
      </c>
      <c r="I95" s="130">
        <f t="shared" si="8"/>
        <v>787690</v>
      </c>
      <c r="J95" s="170">
        <f t="shared" si="8"/>
        <v>1557111</v>
      </c>
      <c r="K95" s="132"/>
      <c r="L95" s="39"/>
      <c r="M95" s="33"/>
      <c r="N95" s="40"/>
      <c r="O95" s="35"/>
      <c r="P95" s="33"/>
      <c r="Q95" s="33"/>
      <c r="R95" s="35"/>
      <c r="S95" s="35"/>
      <c r="T95" s="33"/>
      <c r="U95" s="36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>
      <c r="A96" s="99" t="s">
        <v>2596</v>
      </c>
      <c r="B96" s="100">
        <v>44287.0</v>
      </c>
      <c r="C96" s="22">
        <v>174991.0</v>
      </c>
      <c r="D96" s="23">
        <v>113981.0</v>
      </c>
      <c r="E96" s="24">
        <v>2130.0</v>
      </c>
      <c r="F96" s="25">
        <v>300.0</v>
      </c>
      <c r="G96" s="101">
        <v>34290.0</v>
      </c>
      <c r="H96" s="27">
        <v>41150.0</v>
      </c>
      <c r="I96" s="29">
        <v>39770.0</v>
      </c>
      <c r="J96" s="30">
        <v>57640.0</v>
      </c>
      <c r="K96" s="49"/>
      <c r="L96" s="39"/>
      <c r="M96" s="33"/>
      <c r="N96" s="40"/>
      <c r="O96" s="35"/>
      <c r="P96" s="33"/>
      <c r="Q96" s="33"/>
      <c r="R96" s="35"/>
      <c r="S96" s="35"/>
      <c r="T96" s="33"/>
      <c r="U96" s="36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>
      <c r="A97" s="99" t="s">
        <v>26</v>
      </c>
      <c r="B97" s="100">
        <v>44288.0</v>
      </c>
      <c r="C97" s="22">
        <v>137500.0</v>
      </c>
      <c r="D97" s="23">
        <v>93790.0</v>
      </c>
      <c r="E97" s="24">
        <f>600+180+460</f>
        <v>1240</v>
      </c>
      <c r="F97" s="25">
        <f>1000+900+2200</f>
        <v>4100</v>
      </c>
      <c r="G97" s="101">
        <v>49910.0</v>
      </c>
      <c r="H97" s="27">
        <v>14140.0</v>
      </c>
      <c r="I97" s="29">
        <v>27810.0</v>
      </c>
      <c r="J97" s="30">
        <f>C97-G97-H97-I97</f>
        <v>45640</v>
      </c>
      <c r="K97" s="31"/>
      <c r="L97" s="32"/>
      <c r="M97" s="33"/>
      <c r="N97" s="40"/>
      <c r="O97" s="35"/>
      <c r="P97" s="33"/>
      <c r="Q97" s="33"/>
      <c r="R97" s="35"/>
      <c r="S97" s="35"/>
      <c r="T97" s="33"/>
      <c r="U97" s="36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>
      <c r="A98" s="42" t="s">
        <v>27</v>
      </c>
      <c r="B98" s="100">
        <v>44289.0</v>
      </c>
      <c r="C98" s="44"/>
      <c r="D98" s="44"/>
      <c r="E98" s="44"/>
      <c r="F98" s="44"/>
      <c r="G98" s="44"/>
      <c r="H98" s="46"/>
      <c r="I98" s="46"/>
      <c r="J98" s="44"/>
      <c r="K98" s="46"/>
      <c r="L98" s="39"/>
      <c r="M98" s="46"/>
      <c r="N98" s="47"/>
      <c r="O98" s="44"/>
      <c r="P98" s="46"/>
      <c r="Q98" s="46"/>
      <c r="R98" s="44"/>
      <c r="S98" s="44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</row>
    <row r="99">
      <c r="A99" s="99" t="s">
        <v>21</v>
      </c>
      <c r="B99" s="100">
        <v>44290.0</v>
      </c>
      <c r="C99" s="22">
        <v>137480.0</v>
      </c>
      <c r="D99" s="23">
        <v>85190.0</v>
      </c>
      <c r="E99" s="24">
        <v>2470.0</v>
      </c>
      <c r="F99" s="25">
        <v>1500.0</v>
      </c>
      <c r="G99" s="101">
        <v>20300.0</v>
      </c>
      <c r="H99" s="27">
        <v>27090.0</v>
      </c>
      <c r="I99" s="29">
        <v>33040.0</v>
      </c>
      <c r="J99" s="30">
        <v>49240.0</v>
      </c>
      <c r="K99" s="49"/>
      <c r="L99" s="32"/>
      <c r="M99" s="33"/>
      <c r="N99" s="40"/>
      <c r="O99" s="35"/>
      <c r="P99" s="33"/>
      <c r="Q99" s="33"/>
      <c r="R99" s="35"/>
      <c r="S99" s="35"/>
      <c r="T99" s="33"/>
      <c r="U99" s="36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>
      <c r="A100" s="99" t="s">
        <v>22</v>
      </c>
      <c r="B100" s="100">
        <v>44291.0</v>
      </c>
      <c r="C100" s="22">
        <v>183540.0</v>
      </c>
      <c r="D100" s="23">
        <v>102550.0</v>
      </c>
      <c r="E100" s="24">
        <v>2640.0</v>
      </c>
      <c r="F100" s="25">
        <v>1500.0</v>
      </c>
      <c r="G100" s="101">
        <v>39270.0</v>
      </c>
      <c r="H100" s="27">
        <v>20510.0</v>
      </c>
      <c r="I100" s="29">
        <v>49890.0</v>
      </c>
      <c r="J100" s="30">
        <v>72350.0</v>
      </c>
      <c r="K100" s="49"/>
      <c r="L100" s="32"/>
      <c r="M100" s="33"/>
      <c r="N100" s="40"/>
      <c r="O100" s="35"/>
      <c r="P100" s="33"/>
      <c r="Q100" s="33"/>
      <c r="R100" s="35"/>
      <c r="S100" s="35"/>
      <c r="T100" s="33"/>
      <c r="U100" s="36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>
      <c r="A101" s="99" t="s">
        <v>32</v>
      </c>
      <c r="B101" s="100">
        <v>44292.0</v>
      </c>
      <c r="C101" s="22">
        <v>168763.0</v>
      </c>
      <c r="D101" s="23">
        <v>98118.0</v>
      </c>
      <c r="E101" s="24">
        <v>2200.0</v>
      </c>
      <c r="F101" s="25">
        <v>1500.0</v>
      </c>
      <c r="G101" s="101">
        <v>35120.0</v>
      </c>
      <c r="H101" s="27">
        <v>30065.0</v>
      </c>
      <c r="I101" s="29">
        <v>26570.0</v>
      </c>
      <c r="J101" s="30">
        <v>65105.0</v>
      </c>
      <c r="K101" s="49"/>
      <c r="L101" s="32"/>
      <c r="M101" s="33"/>
      <c r="N101" s="40"/>
      <c r="O101" s="35"/>
      <c r="P101" s="33"/>
      <c r="Q101" s="33"/>
      <c r="R101" s="35"/>
      <c r="S101" s="35"/>
      <c r="T101" s="33"/>
      <c r="U101" s="36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>
      <c r="A102" s="99" t="s">
        <v>24</v>
      </c>
      <c r="B102" s="100">
        <v>44293.0</v>
      </c>
      <c r="C102" s="22">
        <v>168435.0</v>
      </c>
      <c r="D102" s="23">
        <v>96375.0</v>
      </c>
      <c r="E102" s="24">
        <f>1200+1800+50+300+300</f>
        <v>3650</v>
      </c>
      <c r="F102" s="25">
        <v>800.0</v>
      </c>
      <c r="G102" s="101">
        <f>1300+29040</f>
        <v>30340</v>
      </c>
      <c r="H102" s="27">
        <v>19915.0</v>
      </c>
      <c r="I102" s="29">
        <v>34400.0</v>
      </c>
      <c r="J102" s="30">
        <f t="shared" ref="J102:J104" si="9">C102-G102-H102-I102</f>
        <v>83780</v>
      </c>
      <c r="K102" s="49"/>
      <c r="L102" s="32"/>
      <c r="M102" s="33"/>
      <c r="N102" s="40"/>
      <c r="O102" s="35"/>
      <c r="P102" s="33"/>
      <c r="Q102" s="33"/>
      <c r="R102" s="35"/>
      <c r="S102" s="35"/>
      <c r="T102" s="33"/>
      <c r="U102" s="36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>
      <c r="A103" s="99" t="s">
        <v>25</v>
      </c>
      <c r="B103" s="100">
        <v>44294.0</v>
      </c>
      <c r="C103" s="133">
        <v>192475.0</v>
      </c>
      <c r="D103" s="23">
        <v>124815.0</v>
      </c>
      <c r="E103" s="24">
        <v>2300.0</v>
      </c>
      <c r="F103" s="25">
        <v>300.0</v>
      </c>
      <c r="G103" s="101">
        <v>46160.0</v>
      </c>
      <c r="H103" s="27">
        <v>31815.0</v>
      </c>
      <c r="I103" s="29">
        <v>39330.0</v>
      </c>
      <c r="J103" s="30">
        <f t="shared" si="9"/>
        <v>75170</v>
      </c>
      <c r="K103" s="31"/>
      <c r="L103" s="39"/>
      <c r="M103" s="33"/>
      <c r="N103" s="40"/>
      <c r="O103" s="35"/>
      <c r="P103" s="33"/>
      <c r="Q103" s="33"/>
      <c r="R103" s="35"/>
      <c r="S103" s="35"/>
      <c r="T103" s="33"/>
      <c r="U103" s="36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>
      <c r="A104" s="99" t="s">
        <v>33</v>
      </c>
      <c r="B104" s="100">
        <v>44295.0</v>
      </c>
      <c r="C104" s="22">
        <v>151055.0</v>
      </c>
      <c r="D104" s="23">
        <v>109215.0</v>
      </c>
      <c r="E104" s="24">
        <f>1000+1500+1000+260+140</f>
        <v>3900</v>
      </c>
      <c r="F104" s="25">
        <f>1600+1000+1000</f>
        <v>3600</v>
      </c>
      <c r="G104" s="101">
        <v>38750.0</v>
      </c>
      <c r="H104" s="27">
        <v>21780.0</v>
      </c>
      <c r="I104" s="29">
        <v>42105.0</v>
      </c>
      <c r="J104" s="30">
        <f t="shared" si="9"/>
        <v>48420</v>
      </c>
      <c r="K104" s="49"/>
      <c r="L104" s="32"/>
      <c r="M104" s="33"/>
      <c r="N104" s="40"/>
      <c r="O104" s="35"/>
      <c r="P104" s="33"/>
      <c r="Q104" s="33"/>
      <c r="R104" s="35"/>
      <c r="S104" s="35"/>
      <c r="T104" s="33"/>
      <c r="U104" s="36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>
      <c r="A105" s="105" t="s">
        <v>27</v>
      </c>
      <c r="B105" s="100">
        <v>44296.0</v>
      </c>
      <c r="C105" s="110"/>
      <c r="D105" s="110"/>
      <c r="E105" s="110"/>
      <c r="F105" s="110"/>
      <c r="G105" s="110"/>
      <c r="H105" s="108"/>
      <c r="I105" s="108"/>
      <c r="J105" s="110"/>
      <c r="K105" s="108"/>
      <c r="L105" s="39"/>
      <c r="M105" s="108"/>
      <c r="N105" s="109"/>
      <c r="O105" s="110"/>
      <c r="P105" s="108"/>
      <c r="Q105" s="108"/>
      <c r="R105" s="110"/>
      <c r="S105" s="110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99" t="s">
        <v>21</v>
      </c>
      <c r="B106" s="100">
        <v>44297.0</v>
      </c>
      <c r="C106" s="22">
        <v>134624.0</v>
      </c>
      <c r="D106" s="23">
        <v>69740.0</v>
      </c>
      <c r="E106" s="24">
        <v>4700.0</v>
      </c>
      <c r="F106" s="25">
        <v>3100.0</v>
      </c>
      <c r="G106" s="101">
        <v>23520.0</v>
      </c>
      <c r="H106" s="27">
        <v>11410.0</v>
      </c>
      <c r="I106" s="29">
        <v>18080.0</v>
      </c>
      <c r="J106" s="30">
        <v>69774.0</v>
      </c>
      <c r="K106" s="49"/>
      <c r="L106" s="32"/>
      <c r="M106" s="33"/>
      <c r="N106" s="40"/>
      <c r="O106" s="35"/>
      <c r="P106" s="33"/>
      <c r="Q106" s="33"/>
      <c r="R106" s="35"/>
      <c r="S106" s="35"/>
      <c r="T106" s="33"/>
      <c r="U106" s="36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>
      <c r="A107" s="99" t="s">
        <v>22</v>
      </c>
      <c r="B107" s="100">
        <v>44298.0</v>
      </c>
      <c r="C107" s="22">
        <v>173175.0</v>
      </c>
      <c r="D107" s="23">
        <v>99695.0</v>
      </c>
      <c r="E107" s="24">
        <v>2480.0</v>
      </c>
      <c r="F107" s="25">
        <v>1500.0</v>
      </c>
      <c r="G107" s="101">
        <v>25240.0</v>
      </c>
      <c r="H107" s="27">
        <v>37675.0</v>
      </c>
      <c r="I107" s="29">
        <v>25260.0</v>
      </c>
      <c r="J107" s="30">
        <f>C107-G107-H107-I107</f>
        <v>85000</v>
      </c>
      <c r="K107" s="49"/>
      <c r="L107" s="32"/>
      <c r="M107" s="33"/>
      <c r="N107" s="40"/>
      <c r="O107" s="35"/>
      <c r="P107" s="33"/>
      <c r="Q107" s="33"/>
      <c r="R107" s="35"/>
      <c r="S107" s="35"/>
      <c r="T107" s="33"/>
      <c r="U107" s="36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>
      <c r="A108" s="99" t="s">
        <v>32</v>
      </c>
      <c r="B108" s="100">
        <v>44299.0</v>
      </c>
      <c r="C108" s="22">
        <v>172815.0</v>
      </c>
      <c r="D108" s="23">
        <v>89545.0</v>
      </c>
      <c r="E108" s="24">
        <v>1700.0</v>
      </c>
      <c r="F108" s="25">
        <v>1200.0</v>
      </c>
      <c r="G108" s="101">
        <v>24680.0</v>
      </c>
      <c r="H108" s="27">
        <v>19915.0</v>
      </c>
      <c r="I108" s="29">
        <v>47500.0</v>
      </c>
      <c r="J108" s="30">
        <v>62640.0</v>
      </c>
      <c r="K108" s="49"/>
      <c r="L108" s="32"/>
      <c r="M108" s="33"/>
      <c r="N108" s="40"/>
      <c r="O108" s="35"/>
      <c r="P108" s="33"/>
      <c r="Q108" s="33"/>
      <c r="R108" s="35"/>
      <c r="S108" s="35"/>
      <c r="T108" s="33"/>
      <c r="U108" s="36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>
      <c r="A109" s="99" t="s">
        <v>24</v>
      </c>
      <c r="B109" s="100">
        <v>44300.0</v>
      </c>
      <c r="C109" s="22">
        <v>144559.0</v>
      </c>
      <c r="D109" s="23">
        <v>90470.0</v>
      </c>
      <c r="E109" s="24">
        <f>200+1500+200+180+180</f>
        <v>2260</v>
      </c>
      <c r="F109" s="25">
        <v>3800.0</v>
      </c>
      <c r="G109" s="101">
        <v>33420.0</v>
      </c>
      <c r="H109" s="27">
        <v>29910.0</v>
      </c>
      <c r="I109" s="29">
        <v>20660.0</v>
      </c>
      <c r="J109" s="30">
        <f t="shared" ref="J109:J111" si="10">C109-G109-H109-I109</f>
        <v>60569</v>
      </c>
      <c r="K109" s="49"/>
      <c r="L109" s="32"/>
      <c r="M109" s="33"/>
      <c r="N109" s="40"/>
      <c r="O109" s="35"/>
      <c r="P109" s="33"/>
      <c r="Q109" s="33"/>
      <c r="R109" s="35"/>
      <c r="S109" s="35"/>
      <c r="T109" s="33"/>
      <c r="U109" s="36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>
      <c r="A110" s="99" t="s">
        <v>25</v>
      </c>
      <c r="B110" s="100">
        <v>44301.0</v>
      </c>
      <c r="C110" s="22"/>
      <c r="D110" s="23"/>
      <c r="E110" s="24"/>
      <c r="F110" s="25"/>
      <c r="G110" s="101"/>
      <c r="H110" s="27"/>
      <c r="I110" s="29"/>
      <c r="J110" s="30">
        <f t="shared" si="10"/>
        <v>0</v>
      </c>
      <c r="K110" s="49" t="s">
        <v>48</v>
      </c>
      <c r="L110" s="32"/>
      <c r="M110" s="33"/>
      <c r="N110" s="40"/>
      <c r="O110" s="35"/>
      <c r="P110" s="33"/>
      <c r="Q110" s="33"/>
      <c r="R110" s="35"/>
      <c r="S110" s="35"/>
      <c r="T110" s="33"/>
      <c r="U110" s="36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>
      <c r="A111" s="99" t="s">
        <v>33</v>
      </c>
      <c r="B111" s="100">
        <v>44302.0</v>
      </c>
      <c r="C111" s="22">
        <v>121850.0</v>
      </c>
      <c r="D111" s="23">
        <v>72850.0</v>
      </c>
      <c r="E111" s="24">
        <f>1100+850+180+160</f>
        <v>2290</v>
      </c>
      <c r="F111" s="25">
        <v>4200.0</v>
      </c>
      <c r="G111" s="101">
        <v>25380.0</v>
      </c>
      <c r="H111" s="27">
        <v>17085.0</v>
      </c>
      <c r="I111" s="29">
        <v>29200.0</v>
      </c>
      <c r="J111" s="30">
        <f t="shared" si="10"/>
        <v>50185</v>
      </c>
      <c r="K111" s="49"/>
      <c r="L111" s="32"/>
      <c r="M111" s="33"/>
      <c r="N111" s="40"/>
      <c r="O111" s="35"/>
      <c r="P111" s="33"/>
      <c r="Q111" s="33"/>
      <c r="R111" s="35"/>
      <c r="S111" s="35"/>
      <c r="T111" s="33"/>
      <c r="U111" s="36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>
      <c r="A112" s="105" t="s">
        <v>27</v>
      </c>
      <c r="B112" s="100">
        <v>44303.0</v>
      </c>
      <c r="C112" s="110"/>
      <c r="D112" s="110"/>
      <c r="E112" s="110"/>
      <c r="F112" s="110"/>
      <c r="G112" s="110"/>
      <c r="H112" s="108"/>
      <c r="I112" s="108"/>
      <c r="J112" s="110"/>
      <c r="K112" s="108"/>
      <c r="L112" s="39"/>
      <c r="M112" s="108"/>
      <c r="N112" s="109"/>
      <c r="O112" s="110"/>
      <c r="P112" s="108"/>
      <c r="Q112" s="108"/>
      <c r="R112" s="110"/>
      <c r="S112" s="110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99" t="s">
        <v>21</v>
      </c>
      <c r="B113" s="100">
        <v>44304.0</v>
      </c>
      <c r="C113" s="22">
        <f>177860-39100</f>
        <v>138760</v>
      </c>
      <c r="D113" s="23">
        <v>108390.0</v>
      </c>
      <c r="E113" s="24">
        <f>3100+650+300+140</f>
        <v>4190</v>
      </c>
      <c r="F113" s="25">
        <f>2700+400+700+200</f>
        <v>4000</v>
      </c>
      <c r="G113" s="101">
        <v>27030.0</v>
      </c>
      <c r="H113" s="27">
        <v>16310.0</v>
      </c>
      <c r="I113" s="29">
        <v>26320.0</v>
      </c>
      <c r="J113" s="30">
        <f>C113-G113-H113-I113</f>
        <v>69100</v>
      </c>
      <c r="K113" s="49" t="s">
        <v>2597</v>
      </c>
      <c r="L113" s="32"/>
      <c r="M113" s="35"/>
      <c r="N113" s="40"/>
      <c r="O113" s="35"/>
      <c r="P113" s="33"/>
      <c r="Q113" s="33"/>
      <c r="R113" s="35"/>
      <c r="S113" s="35"/>
      <c r="T113" s="33"/>
      <c r="U113" s="36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>
      <c r="A114" s="99" t="s">
        <v>22</v>
      </c>
      <c r="B114" s="100">
        <v>44305.0</v>
      </c>
      <c r="C114" s="22">
        <v>170330.0</v>
      </c>
      <c r="D114" s="23">
        <v>67074.0</v>
      </c>
      <c r="E114" s="24">
        <v>2500.0</v>
      </c>
      <c r="F114" s="25">
        <v>3700.0</v>
      </c>
      <c r="G114" s="101">
        <v>23680.0</v>
      </c>
      <c r="H114" s="27">
        <v>16410.0</v>
      </c>
      <c r="I114" s="29">
        <v>41700.0</v>
      </c>
      <c r="J114" s="30">
        <v>62640.0</v>
      </c>
      <c r="K114" s="49"/>
      <c r="L114" s="32"/>
      <c r="M114" s="33"/>
      <c r="N114" s="40"/>
      <c r="O114" s="35"/>
      <c r="P114" s="33"/>
      <c r="Q114" s="33"/>
      <c r="R114" s="35"/>
      <c r="S114" s="35"/>
      <c r="T114" s="33"/>
      <c r="U114" s="36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>
      <c r="A115" s="99" t="s">
        <v>32</v>
      </c>
      <c r="B115" s="100">
        <v>44306.0</v>
      </c>
      <c r="C115" s="22">
        <v>134550.0</v>
      </c>
      <c r="D115" s="23">
        <v>77470.0</v>
      </c>
      <c r="E115" s="24"/>
      <c r="F115" s="25"/>
      <c r="G115" s="101">
        <v>22080.0</v>
      </c>
      <c r="H115" s="27">
        <v>21990.0</v>
      </c>
      <c r="I115" s="29">
        <v>32090.0</v>
      </c>
      <c r="J115" s="30">
        <v>51720.0</v>
      </c>
      <c r="K115" s="49"/>
      <c r="L115" s="32"/>
      <c r="M115" s="33"/>
      <c r="N115" s="40"/>
      <c r="O115" s="35"/>
      <c r="P115" s="33"/>
      <c r="Q115" s="33"/>
      <c r="R115" s="35"/>
      <c r="S115" s="35"/>
      <c r="T115" s="33"/>
      <c r="U115" s="36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>
      <c r="A116" s="99" t="s">
        <v>24</v>
      </c>
      <c r="B116" s="100">
        <v>44307.0</v>
      </c>
      <c r="C116" s="22">
        <v>175370.0</v>
      </c>
      <c r="D116" s="23">
        <v>99220.0</v>
      </c>
      <c r="E116" s="24">
        <f>500+1800+150+120+180</f>
        <v>2750</v>
      </c>
      <c r="F116" s="25">
        <v>3000.0</v>
      </c>
      <c r="G116" s="101">
        <v>29630.0</v>
      </c>
      <c r="H116" s="27">
        <v>26260.0</v>
      </c>
      <c r="I116" s="29">
        <v>40290.0</v>
      </c>
      <c r="J116" s="30">
        <f>C116-G116-H116-I116</f>
        <v>79190</v>
      </c>
      <c r="K116" s="49"/>
      <c r="L116" s="32"/>
      <c r="M116" s="33"/>
      <c r="N116" s="40"/>
      <c r="O116" s="35"/>
      <c r="P116" s="33"/>
      <c r="Q116" s="33"/>
      <c r="R116" s="35"/>
      <c r="S116" s="35"/>
      <c r="T116" s="33"/>
      <c r="U116" s="36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>
      <c r="A117" s="99" t="s">
        <v>25</v>
      </c>
      <c r="B117" s="100">
        <v>44308.0</v>
      </c>
      <c r="C117" s="22">
        <v>195910.0</v>
      </c>
      <c r="D117" s="23">
        <v>123090.0</v>
      </c>
      <c r="E117" s="24">
        <v>3000.0</v>
      </c>
      <c r="F117" s="25">
        <v>3900.0</v>
      </c>
      <c r="G117" s="101">
        <v>38430.0</v>
      </c>
      <c r="H117" s="27">
        <v>19780.0</v>
      </c>
      <c r="I117" s="29">
        <v>37270.0</v>
      </c>
      <c r="J117" s="30">
        <v>92340.0</v>
      </c>
      <c r="K117" s="49"/>
      <c r="L117" s="32"/>
      <c r="M117" s="33"/>
      <c r="N117" s="40"/>
      <c r="O117" s="35"/>
      <c r="P117" s="33"/>
      <c r="Q117" s="33"/>
      <c r="R117" s="35"/>
      <c r="S117" s="35"/>
      <c r="T117" s="33"/>
      <c r="U117" s="36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>
      <c r="A118" s="99" t="s">
        <v>33</v>
      </c>
      <c r="B118" s="100">
        <v>44309.0</v>
      </c>
      <c r="C118" s="22">
        <v>112761.0</v>
      </c>
      <c r="D118" s="23">
        <v>76149.0</v>
      </c>
      <c r="E118" s="24">
        <v>3300.0</v>
      </c>
      <c r="F118" s="25">
        <v>2500.0</v>
      </c>
      <c r="G118" s="101">
        <f>22750+13470</f>
        <v>36220</v>
      </c>
      <c r="H118" s="27">
        <v>12430.0</v>
      </c>
      <c r="I118" s="29">
        <v>42610.0</v>
      </c>
      <c r="J118" s="30">
        <v>22290.0</v>
      </c>
      <c r="K118" s="49"/>
      <c r="L118" s="32"/>
      <c r="M118" s="33"/>
      <c r="N118" s="40"/>
      <c r="O118" s="35"/>
      <c r="P118" s="33"/>
      <c r="Q118" s="33"/>
      <c r="R118" s="35"/>
      <c r="S118" s="35"/>
      <c r="T118" s="33"/>
      <c r="U118" s="36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>
      <c r="A119" s="105" t="s">
        <v>27</v>
      </c>
      <c r="B119" s="100">
        <v>44310.0</v>
      </c>
      <c r="C119" s="110"/>
      <c r="D119" s="110"/>
      <c r="E119" s="110"/>
      <c r="F119" s="110"/>
      <c r="G119" s="110"/>
      <c r="H119" s="108"/>
      <c r="I119" s="108"/>
      <c r="J119" s="110"/>
      <c r="K119" s="108"/>
      <c r="L119" s="39"/>
      <c r="M119" s="108"/>
      <c r="N119" s="109"/>
      <c r="O119" s="110"/>
      <c r="P119" s="108"/>
      <c r="Q119" s="108"/>
      <c r="R119" s="110"/>
      <c r="S119" s="110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99" t="s">
        <v>21</v>
      </c>
      <c r="B120" s="100">
        <v>44311.0</v>
      </c>
      <c r="C120" s="22">
        <v>131500.0</v>
      </c>
      <c r="D120" s="23">
        <v>62490.0</v>
      </c>
      <c r="E120" s="24">
        <f>2500+500+150+180+400</f>
        <v>3730</v>
      </c>
      <c r="F120" s="25">
        <f>1000+1400+2000</f>
        <v>4400</v>
      </c>
      <c r="G120" s="101">
        <v>10810.0</v>
      </c>
      <c r="H120" s="27">
        <v>17520.0</v>
      </c>
      <c r="I120" s="29">
        <v>26950.0</v>
      </c>
      <c r="J120" s="30">
        <f t="shared" ref="J120:J121" si="11">C120-G120-H120-I120</f>
        <v>76220</v>
      </c>
      <c r="K120" s="49"/>
      <c r="L120" s="32"/>
      <c r="M120" s="33"/>
      <c r="N120" s="40"/>
      <c r="O120" s="35"/>
      <c r="P120" s="33"/>
      <c r="Q120" s="33"/>
      <c r="R120" s="35"/>
      <c r="S120" s="35"/>
      <c r="T120" s="33"/>
      <c r="U120" s="36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>
      <c r="A121" s="99" t="s">
        <v>22</v>
      </c>
      <c r="B121" s="100">
        <v>44312.0</v>
      </c>
      <c r="C121" s="22">
        <v>170700.0</v>
      </c>
      <c r="D121" s="23">
        <v>105360.0</v>
      </c>
      <c r="E121" s="24">
        <v>2180.0</v>
      </c>
      <c r="F121" s="25">
        <v>2000.0</v>
      </c>
      <c r="G121" s="101">
        <v>34710.0</v>
      </c>
      <c r="H121" s="27">
        <v>15260.0</v>
      </c>
      <c r="I121" s="29">
        <v>45440.0</v>
      </c>
      <c r="J121" s="30">
        <f t="shared" si="11"/>
        <v>75290</v>
      </c>
      <c r="K121" s="49"/>
      <c r="L121" s="32"/>
      <c r="M121" s="33"/>
      <c r="N121" s="40"/>
      <c r="O121" s="35"/>
      <c r="P121" s="33"/>
      <c r="Q121" s="33"/>
      <c r="R121" s="35"/>
      <c r="S121" s="35"/>
      <c r="T121" s="33"/>
      <c r="U121" s="36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>
      <c r="A122" s="99" t="s">
        <v>32</v>
      </c>
      <c r="B122" s="100">
        <v>44313.0</v>
      </c>
      <c r="C122" s="22">
        <v>216805.0</v>
      </c>
      <c r="D122" s="23">
        <v>98194.0</v>
      </c>
      <c r="E122" s="24">
        <v>1500.0</v>
      </c>
      <c r="F122" s="25">
        <v>5000.0</v>
      </c>
      <c r="G122" s="101">
        <v>35390.0</v>
      </c>
      <c r="H122" s="27">
        <v>35165.0</v>
      </c>
      <c r="I122" s="29">
        <v>50420.0</v>
      </c>
      <c r="J122" s="30">
        <v>79270.0</v>
      </c>
      <c r="K122" s="49"/>
      <c r="L122" s="32"/>
      <c r="M122" s="33"/>
      <c r="N122" s="40"/>
      <c r="O122" s="35"/>
      <c r="P122" s="33"/>
      <c r="Q122" s="33"/>
      <c r="R122" s="35"/>
      <c r="S122" s="35"/>
      <c r="T122" s="33"/>
      <c r="U122" s="36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>
      <c r="A123" s="99" t="s">
        <v>24</v>
      </c>
      <c r="B123" s="100">
        <v>44314.0</v>
      </c>
      <c r="C123" s="22">
        <v>170270.0</v>
      </c>
      <c r="D123" s="23">
        <v>85820.0</v>
      </c>
      <c r="E123" s="24">
        <f>1600+1400+250+200+210</f>
        <v>3660</v>
      </c>
      <c r="F123" s="25">
        <f>700+800</f>
        <v>1500</v>
      </c>
      <c r="G123" s="101">
        <f>13660+20470</f>
        <v>34130</v>
      </c>
      <c r="H123" s="27">
        <v>10880.0</v>
      </c>
      <c r="I123" s="29">
        <v>42030.0</v>
      </c>
      <c r="J123" s="30">
        <f>C123-G123-H123-I123</f>
        <v>83230</v>
      </c>
      <c r="K123" s="49"/>
      <c r="L123" s="32"/>
      <c r="M123" s="33"/>
      <c r="N123" s="40"/>
      <c r="O123" s="35"/>
      <c r="P123" s="33"/>
      <c r="Q123" s="33"/>
      <c r="R123" s="35"/>
      <c r="S123" s="35"/>
      <c r="T123" s="33"/>
      <c r="U123" s="36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>
      <c r="A124" s="99" t="s">
        <v>25</v>
      </c>
      <c r="B124" s="100">
        <v>44315.0</v>
      </c>
      <c r="C124" s="22">
        <v>228390.0</v>
      </c>
      <c r="D124" s="23">
        <v>183429.0</v>
      </c>
      <c r="E124" s="24">
        <v>2150.0</v>
      </c>
      <c r="F124" s="25">
        <v>2500.0</v>
      </c>
      <c r="G124" s="101">
        <v>49330.0</v>
      </c>
      <c r="H124" s="27">
        <v>29370.0</v>
      </c>
      <c r="I124" s="29">
        <v>49910.0</v>
      </c>
      <c r="J124" s="30">
        <v>98080.0</v>
      </c>
      <c r="K124" s="49"/>
      <c r="L124" s="39"/>
      <c r="M124" s="33"/>
      <c r="N124" s="40"/>
      <c r="O124" s="35"/>
      <c r="P124" s="33"/>
      <c r="Q124" s="33"/>
      <c r="R124" s="35"/>
      <c r="S124" s="35"/>
      <c r="T124" s="33"/>
      <c r="U124" s="36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>
      <c r="A125" s="99" t="s">
        <v>26</v>
      </c>
      <c r="B125" s="100">
        <v>44316.0</v>
      </c>
      <c r="C125" s="22">
        <v>150063.0</v>
      </c>
      <c r="D125" s="23">
        <v>102411.0</v>
      </c>
      <c r="E125" s="24">
        <f>700+200+500+1700+50+220+150</f>
        <v>3520</v>
      </c>
      <c r="F125" s="25">
        <f>1000+700+1900</f>
        <v>3600</v>
      </c>
      <c r="G125" s="101">
        <f>17830+16780+3190</f>
        <v>37800</v>
      </c>
      <c r="H125" s="27">
        <v>19570.0</v>
      </c>
      <c r="I125" s="29">
        <v>44640.0</v>
      </c>
      <c r="J125" s="30">
        <f>C125-G125-H125-I125</f>
        <v>48053</v>
      </c>
      <c r="K125" s="36"/>
      <c r="L125" s="39"/>
      <c r="M125" s="97"/>
      <c r="N125" s="98"/>
      <c r="O125" s="73"/>
      <c r="P125" s="97"/>
      <c r="Q125" s="97"/>
      <c r="R125" s="73"/>
      <c r="S125" s="73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</row>
    <row r="126">
      <c r="A126" s="134" t="s">
        <v>28</v>
      </c>
      <c r="B126" s="135" t="s">
        <v>37</v>
      </c>
      <c r="C126" s="136">
        <f t="shared" ref="C126:D126" si="12">SUM(C96:C125)</f>
        <v>4056671</v>
      </c>
      <c r="D126" s="136">
        <f t="shared" si="12"/>
        <v>2435431</v>
      </c>
      <c r="E126" s="136"/>
      <c r="F126" s="136"/>
      <c r="G126" s="136">
        <f t="shared" ref="G126:J126" si="13">SUM(G96:G125)</f>
        <v>805620</v>
      </c>
      <c r="H126" s="136">
        <f t="shared" si="13"/>
        <v>563405</v>
      </c>
      <c r="I126" s="136">
        <f t="shared" si="13"/>
        <v>913285</v>
      </c>
      <c r="J126" s="73">
        <f t="shared" si="13"/>
        <v>1662936</v>
      </c>
      <c r="K126" s="125"/>
      <c r="L126" s="138"/>
      <c r="M126" s="125"/>
      <c r="N126" s="126"/>
      <c r="O126" s="127"/>
      <c r="P126" s="125"/>
      <c r="Q126" s="125"/>
      <c r="R126" s="127"/>
      <c r="S126" s="127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8"/>
    </row>
    <row r="127">
      <c r="A127" s="99" t="s">
        <v>21</v>
      </c>
      <c r="B127" s="100">
        <v>44318.0</v>
      </c>
      <c r="C127" s="22">
        <v>156684.0</v>
      </c>
      <c r="D127" s="23">
        <v>86260.0</v>
      </c>
      <c r="E127" s="24">
        <f>1200+2200+320+50+350</f>
        <v>4120</v>
      </c>
      <c r="F127" s="25">
        <f>1900+1300</f>
        <v>3200</v>
      </c>
      <c r="G127" s="101">
        <f>28460</f>
        <v>28460</v>
      </c>
      <c r="H127" s="27">
        <v>23770.0</v>
      </c>
      <c r="I127" s="140">
        <v>32350.0</v>
      </c>
      <c r="J127" s="30">
        <f>C127-G127-H127-I127</f>
        <v>72104</v>
      </c>
      <c r="K127" s="140"/>
      <c r="L127" s="141"/>
      <c r="M127" s="33"/>
      <c r="N127" s="40"/>
      <c r="O127" s="35"/>
      <c r="P127" s="33"/>
      <c r="Q127" s="33"/>
      <c r="R127" s="35"/>
      <c r="S127" s="35"/>
      <c r="T127" s="33"/>
      <c r="U127" s="36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>
      <c r="A128" s="99" t="s">
        <v>22</v>
      </c>
      <c r="B128" s="100">
        <v>44319.0</v>
      </c>
      <c r="C128" s="22">
        <v>195480.0</v>
      </c>
      <c r="D128" s="23">
        <v>109600.0</v>
      </c>
      <c r="E128" s="24">
        <v>1629.0</v>
      </c>
      <c r="F128" s="25">
        <v>1500.0</v>
      </c>
      <c r="G128" s="101">
        <v>18240.0</v>
      </c>
      <c r="H128" s="27">
        <v>21690.0</v>
      </c>
      <c r="I128" s="29">
        <v>39150.0</v>
      </c>
      <c r="J128" s="30">
        <v>61920.0</v>
      </c>
      <c r="K128" s="49"/>
      <c r="L128" s="32"/>
      <c r="M128" s="33"/>
      <c r="N128" s="40"/>
      <c r="O128" s="35"/>
      <c r="P128" s="33"/>
      <c r="Q128" s="33"/>
      <c r="R128" s="35"/>
      <c r="S128" s="35"/>
      <c r="T128" s="33"/>
      <c r="U128" s="36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>
      <c r="A129" s="99" t="s">
        <v>23</v>
      </c>
      <c r="B129" s="100">
        <v>44320.0</v>
      </c>
      <c r="C129" s="22">
        <v>223400.0</v>
      </c>
      <c r="D129" s="23">
        <v>117669.0</v>
      </c>
      <c r="E129" s="24">
        <v>3030.0</v>
      </c>
      <c r="F129" s="25">
        <v>2800.0</v>
      </c>
      <c r="G129" s="101">
        <f>980+51460</f>
        <v>52440</v>
      </c>
      <c r="H129" s="27">
        <v>22900.0</v>
      </c>
      <c r="I129" s="29">
        <v>40750.0</v>
      </c>
      <c r="J129" s="30">
        <v>70470.0</v>
      </c>
      <c r="K129" s="49"/>
      <c r="L129" s="32"/>
      <c r="M129" s="33"/>
      <c r="N129" s="40"/>
      <c r="O129" s="35"/>
      <c r="P129" s="33"/>
      <c r="Q129" s="33"/>
      <c r="R129" s="35"/>
      <c r="S129" s="35"/>
      <c r="T129" s="33"/>
      <c r="U129" s="36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>
      <c r="A130" s="99" t="s">
        <v>24</v>
      </c>
      <c r="B130" s="100">
        <v>44321.0</v>
      </c>
      <c r="C130" s="22">
        <v>265080.0</v>
      </c>
      <c r="D130" s="23">
        <v>169360.0</v>
      </c>
      <c r="E130" s="24">
        <f>1600+1400+100+260+250</f>
        <v>3610</v>
      </c>
      <c r="F130" s="25">
        <v>900.0</v>
      </c>
      <c r="G130" s="101">
        <f>23280+29410+600</f>
        <v>53290</v>
      </c>
      <c r="H130" s="27">
        <v>57120.0</v>
      </c>
      <c r="I130" s="29">
        <v>50720.0</v>
      </c>
      <c r="J130" s="30">
        <f>C130-G130-H130-I130</f>
        <v>103950</v>
      </c>
      <c r="K130" s="49"/>
      <c r="L130" s="32"/>
      <c r="M130" s="33"/>
      <c r="N130" s="40"/>
      <c r="O130" s="35"/>
      <c r="P130" s="33"/>
      <c r="Q130" s="33"/>
      <c r="R130" s="35"/>
      <c r="S130" s="35"/>
      <c r="T130" s="33"/>
      <c r="U130" s="36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>
      <c r="A131" s="99" t="s">
        <v>25</v>
      </c>
      <c r="B131" s="100">
        <v>44322.0</v>
      </c>
      <c r="C131" s="22">
        <v>222030.0</v>
      </c>
      <c r="D131" s="23">
        <v>127215.0</v>
      </c>
      <c r="E131" s="24">
        <v>1700.0</v>
      </c>
      <c r="F131" s="25">
        <v>1600.0</v>
      </c>
      <c r="G131" s="101">
        <f>34870+750</f>
        <v>35620</v>
      </c>
      <c r="H131" s="27">
        <v>31260.0</v>
      </c>
      <c r="I131" s="29">
        <v>12200.0</v>
      </c>
      <c r="J131" s="30">
        <v>62039.0</v>
      </c>
      <c r="K131" s="49"/>
      <c r="L131" s="32"/>
      <c r="M131" s="33"/>
      <c r="N131" s="40"/>
      <c r="O131" s="35"/>
      <c r="P131" s="33"/>
      <c r="Q131" s="33"/>
      <c r="R131" s="35"/>
      <c r="S131" s="35"/>
      <c r="T131" s="33"/>
      <c r="U131" s="36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>
      <c r="A132" s="99" t="s">
        <v>26</v>
      </c>
      <c r="B132" s="100">
        <v>44323.0</v>
      </c>
      <c r="C132" s="22">
        <v>169385.0</v>
      </c>
      <c r="D132" s="23">
        <v>101845.0</v>
      </c>
      <c r="E132" s="24">
        <f>700+2900+220+180+200</f>
        <v>4200</v>
      </c>
      <c r="F132" s="25">
        <f>3100+2600</f>
        <v>5700</v>
      </c>
      <c r="G132" s="101">
        <f>41950+1450</f>
        <v>43400</v>
      </c>
      <c r="H132" s="27">
        <v>16705.0</v>
      </c>
      <c r="I132" s="29">
        <v>36040.0</v>
      </c>
      <c r="J132" s="30">
        <f>C132-G132-H132-I132</f>
        <v>73240</v>
      </c>
      <c r="K132" s="49"/>
      <c r="L132" s="32"/>
      <c r="M132" s="33"/>
      <c r="N132" s="40"/>
      <c r="O132" s="35"/>
      <c r="P132" s="33"/>
      <c r="Q132" s="33"/>
      <c r="R132" s="35"/>
      <c r="S132" s="35"/>
      <c r="T132" s="33"/>
      <c r="U132" s="36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>
      <c r="A133" s="105" t="s">
        <v>27</v>
      </c>
      <c r="B133" s="43">
        <v>44324.0</v>
      </c>
      <c r="C133" s="110"/>
      <c r="D133" s="23"/>
      <c r="E133" s="110"/>
      <c r="F133" s="110"/>
      <c r="G133" s="110"/>
      <c r="H133" s="143"/>
      <c r="I133" s="108"/>
      <c r="J133" s="30"/>
      <c r="K133" s="108"/>
      <c r="L133" s="39"/>
      <c r="M133" s="33"/>
      <c r="N133" s="40"/>
      <c r="O133" s="35"/>
      <c r="P133" s="33"/>
      <c r="Q133" s="33"/>
      <c r="R133" s="35"/>
      <c r="S133" s="35"/>
      <c r="T133" s="33"/>
      <c r="U133" s="36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>
      <c r="A134" s="99" t="s">
        <v>21</v>
      </c>
      <c r="B134" s="100">
        <v>44325.0</v>
      </c>
      <c r="C134" s="22">
        <f>177791+600</f>
        <v>178391</v>
      </c>
      <c r="D134" s="23">
        <v>100460.0</v>
      </c>
      <c r="E134" s="24">
        <f>2900+250+160+190+900</f>
        <v>4400</v>
      </c>
      <c r="F134" s="25">
        <f>2900+2100</f>
        <v>5000</v>
      </c>
      <c r="G134" s="101">
        <f>36170+1550</f>
        <v>37720</v>
      </c>
      <c r="H134" s="27">
        <v>11160.0</v>
      </c>
      <c r="I134" s="29">
        <v>42880.0</v>
      </c>
      <c r="J134" s="30">
        <f>C134-G134-H134-I134</f>
        <v>86631</v>
      </c>
      <c r="K134" s="49"/>
      <c r="L134" s="32"/>
      <c r="M134" s="33"/>
      <c r="N134" s="40"/>
      <c r="O134" s="35"/>
      <c r="P134" s="33"/>
      <c r="Q134" s="33"/>
      <c r="R134" s="35"/>
      <c r="S134" s="35"/>
      <c r="T134" s="33"/>
      <c r="U134" s="36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>
      <c r="A135" s="99" t="s">
        <v>22</v>
      </c>
      <c r="B135" s="100">
        <v>44326.0</v>
      </c>
      <c r="C135" s="22">
        <v>178870.0</v>
      </c>
      <c r="D135" s="23">
        <v>111425.0</v>
      </c>
      <c r="E135" s="24">
        <v>3500.0</v>
      </c>
      <c r="F135" s="25">
        <v>5000.0</v>
      </c>
      <c r="G135" s="101">
        <v>44560.0</v>
      </c>
      <c r="H135" s="27">
        <v>23580.0</v>
      </c>
      <c r="I135" s="29">
        <v>35960.0</v>
      </c>
      <c r="J135" s="30">
        <v>63835.0</v>
      </c>
      <c r="K135" s="49"/>
      <c r="L135" s="32"/>
      <c r="M135" s="33"/>
      <c r="N135" s="40"/>
      <c r="O135" s="35"/>
      <c r="P135" s="33"/>
      <c r="Q135" s="33"/>
      <c r="R135" s="35"/>
      <c r="S135" s="35"/>
      <c r="T135" s="33"/>
      <c r="U135" s="36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>
      <c r="A136" s="99" t="s">
        <v>23</v>
      </c>
      <c r="B136" s="100">
        <v>44327.0</v>
      </c>
      <c r="C136" s="22">
        <v>196550.0</v>
      </c>
      <c r="D136" s="23">
        <v>118458.0</v>
      </c>
      <c r="E136" s="24">
        <v>1700.0</v>
      </c>
      <c r="F136" s="25">
        <v>2500.0</v>
      </c>
      <c r="G136" s="101">
        <f>4270+46680</f>
        <v>50950</v>
      </c>
      <c r="H136" s="27">
        <v>30710.0</v>
      </c>
      <c r="I136" s="29">
        <v>47240.0</v>
      </c>
      <c r="J136" s="30">
        <v>50855.0</v>
      </c>
      <c r="K136" s="31"/>
      <c r="L136" s="32"/>
      <c r="M136" s="33"/>
      <c r="N136" s="40"/>
      <c r="O136" s="35"/>
      <c r="P136" s="33"/>
      <c r="Q136" s="33"/>
      <c r="R136" s="35"/>
      <c r="S136" s="35"/>
      <c r="T136" s="33"/>
      <c r="U136" s="36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>
      <c r="A137" s="99" t="s">
        <v>24</v>
      </c>
      <c r="B137" s="100">
        <v>44328.0</v>
      </c>
      <c r="C137" s="22">
        <v>191983.0</v>
      </c>
      <c r="D137" s="23">
        <v>123913.0</v>
      </c>
      <c r="E137" s="24">
        <f>2100+750+480+450</f>
        <v>3780</v>
      </c>
      <c r="F137" s="25">
        <v>1500.0</v>
      </c>
      <c r="G137" s="101">
        <f>7850+28820+300</f>
        <v>36970</v>
      </c>
      <c r="H137" s="27">
        <v>32382.0</v>
      </c>
      <c r="I137" s="29">
        <v>50120.0</v>
      </c>
      <c r="J137" s="30">
        <f>C137-G137-H137-I137</f>
        <v>72511</v>
      </c>
      <c r="K137" s="31"/>
      <c r="L137" s="32"/>
      <c r="M137" s="33"/>
      <c r="N137" s="40"/>
      <c r="O137" s="35"/>
      <c r="P137" s="33"/>
      <c r="Q137" s="33"/>
      <c r="R137" s="35"/>
      <c r="S137" s="35"/>
      <c r="T137" s="33"/>
      <c r="U137" s="36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>
      <c r="A138" s="99" t="s">
        <v>25</v>
      </c>
      <c r="B138" s="100">
        <v>44329.0</v>
      </c>
      <c r="C138" s="22">
        <v>164931.0</v>
      </c>
      <c r="D138" s="23">
        <v>106643.0</v>
      </c>
      <c r="E138" s="24">
        <v>2000.0</v>
      </c>
      <c r="F138" s="25">
        <v>1500.0</v>
      </c>
      <c r="G138" s="101">
        <v>28040.0</v>
      </c>
      <c r="H138" s="27">
        <v>25380.0</v>
      </c>
      <c r="I138" s="29">
        <v>46579.0</v>
      </c>
      <c r="J138" s="30">
        <v>46622.0</v>
      </c>
      <c r="K138" s="31"/>
      <c r="L138" s="39"/>
      <c r="M138" s="33"/>
      <c r="N138" s="40"/>
      <c r="O138" s="35"/>
      <c r="P138" s="33"/>
      <c r="Q138" s="33"/>
      <c r="R138" s="35"/>
      <c r="S138" s="35"/>
      <c r="T138" s="33"/>
      <c r="U138" s="36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>
      <c r="A139" s="99" t="s">
        <v>26</v>
      </c>
      <c r="B139" s="100">
        <v>44330.0</v>
      </c>
      <c r="C139" s="22">
        <v>177885.0</v>
      </c>
      <c r="D139" s="23">
        <v>122995.0</v>
      </c>
      <c r="E139" s="24"/>
      <c r="F139" s="25"/>
      <c r="G139" s="101">
        <f>33830+14460</f>
        <v>48290</v>
      </c>
      <c r="H139" s="27">
        <v>29235.0</v>
      </c>
      <c r="I139" s="29">
        <v>45470.0</v>
      </c>
      <c r="J139" s="30"/>
      <c r="K139" s="49"/>
      <c r="L139" s="32"/>
      <c r="M139" s="33"/>
      <c r="N139" s="40"/>
      <c r="O139" s="35"/>
      <c r="P139" s="33"/>
      <c r="Q139" s="33"/>
      <c r="R139" s="35"/>
      <c r="S139" s="35"/>
      <c r="T139" s="33"/>
      <c r="U139" s="36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>
      <c r="A140" s="105" t="s">
        <v>27</v>
      </c>
      <c r="B140" s="43">
        <v>44331.0</v>
      </c>
      <c r="C140" s="110"/>
      <c r="D140" s="23"/>
      <c r="E140" s="110"/>
      <c r="F140" s="110"/>
      <c r="G140" s="110"/>
      <c r="H140" s="143"/>
      <c r="I140" s="108"/>
      <c r="J140" s="30"/>
      <c r="K140" s="108"/>
      <c r="L140" s="39"/>
      <c r="M140" s="33"/>
      <c r="N140" s="40"/>
      <c r="O140" s="35"/>
      <c r="P140" s="33"/>
      <c r="Q140" s="33"/>
      <c r="R140" s="35"/>
      <c r="S140" s="35"/>
      <c r="T140" s="33"/>
      <c r="U140" s="36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>
      <c r="A141" s="99" t="s">
        <v>21</v>
      </c>
      <c r="B141" s="100">
        <v>44332.0</v>
      </c>
      <c r="C141" s="22">
        <f>344395-C139</f>
        <v>166510</v>
      </c>
      <c r="D141" s="23">
        <v>78990.0</v>
      </c>
      <c r="E141" s="24">
        <f>1300+180+500+130</f>
        <v>2110</v>
      </c>
      <c r="F141" s="25">
        <f>2900+500</f>
        <v>3400</v>
      </c>
      <c r="G141" s="101">
        <v>28220.0</v>
      </c>
      <c r="H141" s="27">
        <v>5870.0</v>
      </c>
      <c r="I141" s="29">
        <v>35770.0</v>
      </c>
      <c r="J141" s="30">
        <f>C141-G141-H141-I141</f>
        <v>96650</v>
      </c>
      <c r="K141" s="49"/>
      <c r="L141" s="32"/>
      <c r="M141" s="33"/>
      <c r="N141" s="40"/>
      <c r="O141" s="35"/>
      <c r="P141" s="33"/>
      <c r="Q141" s="33"/>
      <c r="R141" s="35"/>
      <c r="S141" s="35"/>
      <c r="T141" s="33"/>
      <c r="U141" s="36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>
      <c r="A142" s="99" t="s">
        <v>22</v>
      </c>
      <c r="B142" s="100">
        <v>44333.0</v>
      </c>
      <c r="C142" s="22">
        <v>219817.0</v>
      </c>
      <c r="D142" s="23">
        <v>115590.0</v>
      </c>
      <c r="E142" s="24">
        <v>1800.0</v>
      </c>
      <c r="F142" s="25">
        <v>2700.0</v>
      </c>
      <c r="G142" s="101">
        <v>27550.0</v>
      </c>
      <c r="H142" s="27">
        <v>43045.0</v>
      </c>
      <c r="I142" s="29">
        <v>55250.0</v>
      </c>
      <c r="J142" s="30">
        <v>60642.0</v>
      </c>
      <c r="K142" s="49"/>
      <c r="L142" s="32"/>
      <c r="M142" s="33"/>
      <c r="N142" s="40"/>
      <c r="O142" s="35"/>
      <c r="P142" s="33"/>
      <c r="Q142" s="33"/>
      <c r="R142" s="35"/>
      <c r="S142" s="35"/>
      <c r="T142" s="33"/>
      <c r="U142" s="36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>
      <c r="A143" s="99" t="s">
        <v>23</v>
      </c>
      <c r="B143" s="100">
        <v>44334.0</v>
      </c>
      <c r="C143" s="22">
        <v>195980.0</v>
      </c>
      <c r="D143" s="23">
        <v>98140.0</v>
      </c>
      <c r="E143" s="24">
        <v>2000.0</v>
      </c>
      <c r="F143" s="25">
        <v>2500.0</v>
      </c>
      <c r="G143" s="101">
        <f>55180+10080</f>
        <v>65260</v>
      </c>
      <c r="H143" s="27"/>
      <c r="I143" s="29">
        <v>55750.0</v>
      </c>
      <c r="J143" s="30">
        <v>73580.0</v>
      </c>
      <c r="K143" s="49"/>
      <c r="L143" s="32"/>
      <c r="M143" s="33"/>
      <c r="N143" s="40"/>
      <c r="O143" s="35"/>
      <c r="P143" s="33"/>
      <c r="Q143" s="33"/>
      <c r="R143" s="35"/>
      <c r="S143" s="35"/>
      <c r="T143" s="33"/>
      <c r="U143" s="36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>
      <c r="A144" s="99" t="s">
        <v>24</v>
      </c>
      <c r="B144" s="100">
        <v>44335.0</v>
      </c>
      <c r="C144" s="22">
        <v>233178.0</v>
      </c>
      <c r="D144" s="23">
        <v>120040.0</v>
      </c>
      <c r="E144" s="24">
        <f>1600+2400+200+40+210</f>
        <v>4450</v>
      </c>
      <c r="F144" s="25">
        <v>1700.0</v>
      </c>
      <c r="G144" s="101">
        <f>16480+48320</f>
        <v>64800</v>
      </c>
      <c r="H144" s="27">
        <v>13910.0</v>
      </c>
      <c r="I144" s="29">
        <v>41460.0</v>
      </c>
      <c r="J144" s="30">
        <f>C144-G144-H144-I144</f>
        <v>113008</v>
      </c>
      <c r="K144" s="49"/>
      <c r="L144" s="32"/>
      <c r="M144" s="33"/>
      <c r="N144" s="40"/>
      <c r="O144" s="35"/>
      <c r="P144" s="33"/>
      <c r="Q144" s="33"/>
      <c r="R144" s="35"/>
      <c r="S144" s="35"/>
      <c r="T144" s="33"/>
      <c r="U144" s="36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>
      <c r="A145" s="99" t="s">
        <v>25</v>
      </c>
      <c r="B145" s="100">
        <v>44336.0</v>
      </c>
      <c r="C145" s="22">
        <v>185050.0</v>
      </c>
      <c r="D145" s="23">
        <v>95404.0</v>
      </c>
      <c r="E145" s="24">
        <v>1300.0</v>
      </c>
      <c r="F145" s="25">
        <v>1000.0</v>
      </c>
      <c r="G145" s="101">
        <f>10530+24100</f>
        <v>34630</v>
      </c>
      <c r="H145" s="27">
        <v>30520.0</v>
      </c>
      <c r="I145" s="29">
        <v>36640.0</v>
      </c>
      <c r="J145" s="30">
        <v>65570.0</v>
      </c>
      <c r="K145" s="49"/>
      <c r="L145" s="32"/>
      <c r="M145" s="33"/>
      <c r="N145" s="40"/>
      <c r="O145" s="35"/>
      <c r="P145" s="33"/>
      <c r="Q145" s="33"/>
      <c r="R145" s="35"/>
      <c r="S145" s="35"/>
      <c r="T145" s="33"/>
      <c r="U145" s="36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>
      <c r="A146" s="99" t="s">
        <v>26</v>
      </c>
      <c r="B146" s="100">
        <v>44337.0</v>
      </c>
      <c r="C146" s="22">
        <v>136299.0</v>
      </c>
      <c r="D146" s="23">
        <v>66548.0</v>
      </c>
      <c r="E146" s="24">
        <v>1800.0</v>
      </c>
      <c r="F146" s="25">
        <v>3100.0</v>
      </c>
      <c r="G146" s="101">
        <v>40270.0</v>
      </c>
      <c r="H146" s="27">
        <v>12225.0</v>
      </c>
      <c r="I146" s="29">
        <v>31654.0</v>
      </c>
      <c r="J146" s="30">
        <v>53755.0</v>
      </c>
      <c r="K146" s="31"/>
      <c r="L146" s="32"/>
      <c r="M146" s="33"/>
      <c r="N146" s="40"/>
      <c r="O146" s="35"/>
      <c r="P146" s="33"/>
      <c r="Q146" s="33"/>
      <c r="R146" s="35"/>
      <c r="S146" s="35"/>
      <c r="T146" s="33"/>
      <c r="U146" s="36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>
      <c r="A147" s="105" t="s">
        <v>27</v>
      </c>
      <c r="B147" s="43">
        <v>44338.0</v>
      </c>
      <c r="C147" s="110"/>
      <c r="D147" s="23"/>
      <c r="E147" s="110"/>
      <c r="F147" s="110"/>
      <c r="G147" s="110"/>
      <c r="H147" s="143"/>
      <c r="I147" s="108"/>
      <c r="J147" s="30"/>
      <c r="K147" s="108"/>
      <c r="L147" s="39"/>
      <c r="M147" s="33"/>
      <c r="N147" s="40"/>
      <c r="O147" s="35"/>
      <c r="P147" s="33"/>
      <c r="Q147" s="33"/>
      <c r="R147" s="35"/>
      <c r="S147" s="35"/>
      <c r="T147" s="33"/>
      <c r="U147" s="36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>
      <c r="A148" s="99" t="s">
        <v>21</v>
      </c>
      <c r="B148" s="100">
        <v>44339.0</v>
      </c>
      <c r="C148" s="22">
        <f>183490-38100</f>
        <v>145390</v>
      </c>
      <c r="D148" s="23">
        <v>117850.0</v>
      </c>
      <c r="E148" s="24">
        <f>1800+1600+250+200+240</f>
        <v>4090</v>
      </c>
      <c r="F148" s="25">
        <f>2900+700+600+2000</f>
        <v>6200</v>
      </c>
      <c r="G148" s="101">
        <f>700+20620</f>
        <v>21320</v>
      </c>
      <c r="H148" s="27">
        <v>16920.0</v>
      </c>
      <c r="I148" s="29">
        <v>23980.0</v>
      </c>
      <c r="J148" s="30">
        <f>C148-H148-I148</f>
        <v>104490</v>
      </c>
      <c r="K148" s="31"/>
      <c r="L148" s="39"/>
      <c r="M148" s="33"/>
      <c r="N148" s="40"/>
      <c r="O148" s="35"/>
      <c r="P148" s="33"/>
      <c r="Q148" s="33"/>
      <c r="R148" s="35"/>
      <c r="S148" s="35"/>
      <c r="T148" s="33"/>
      <c r="U148" s="36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>
      <c r="A149" s="99" t="s">
        <v>22</v>
      </c>
      <c r="B149" s="100">
        <v>44340.0</v>
      </c>
      <c r="C149" s="22">
        <v>222100.0</v>
      </c>
      <c r="D149" s="23">
        <v>139190.0</v>
      </c>
      <c r="E149" s="24"/>
      <c r="F149" s="25"/>
      <c r="G149" s="101">
        <v>38550.0</v>
      </c>
      <c r="H149" s="27">
        <v>20000.0</v>
      </c>
      <c r="I149" s="29">
        <v>62410.0</v>
      </c>
      <c r="J149" s="30">
        <v>43180.0</v>
      </c>
      <c r="K149" s="31"/>
      <c r="L149" s="39"/>
      <c r="M149" s="33"/>
      <c r="N149" s="40"/>
      <c r="O149" s="35"/>
      <c r="P149" s="33"/>
      <c r="Q149" s="33"/>
      <c r="R149" s="35"/>
      <c r="S149" s="35"/>
      <c r="T149" s="33"/>
      <c r="U149" s="36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>
      <c r="A150" s="99" t="s">
        <v>23</v>
      </c>
      <c r="B150" s="100">
        <v>44341.0</v>
      </c>
      <c r="C150" s="22">
        <v>110650.0</v>
      </c>
      <c r="D150" s="23">
        <v>65590.0</v>
      </c>
      <c r="E150" s="24">
        <f>800+1700</f>
        <v>2500</v>
      </c>
      <c r="F150" s="25">
        <f>2600+700+2000</f>
        <v>5300</v>
      </c>
      <c r="G150" s="101">
        <v>15200.0</v>
      </c>
      <c r="H150" s="27">
        <v>13930.0</v>
      </c>
      <c r="I150" s="29">
        <v>24270.0</v>
      </c>
      <c r="J150" s="30">
        <f t="shared" ref="J150:J151" si="14">C150-G150-H150-I150</f>
        <v>57250</v>
      </c>
      <c r="K150" s="31"/>
      <c r="L150" s="32"/>
      <c r="M150" s="33"/>
      <c r="N150" s="40"/>
      <c r="O150" s="35"/>
      <c r="P150" s="33"/>
      <c r="Q150" s="33"/>
      <c r="R150" s="35"/>
      <c r="S150" s="35"/>
      <c r="T150" s="33"/>
      <c r="U150" s="36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>
      <c r="A151" s="99" t="s">
        <v>24</v>
      </c>
      <c r="B151" s="100">
        <v>44342.0</v>
      </c>
      <c r="C151" s="22">
        <v>199560.0</v>
      </c>
      <c r="D151" s="23">
        <v>117760.0</v>
      </c>
      <c r="E151" s="24">
        <f>1600+2400+450+500+200</f>
        <v>5150</v>
      </c>
      <c r="F151" s="25">
        <f>2000+1900+350</f>
        <v>4250</v>
      </c>
      <c r="G151" s="101">
        <f>36970+6300</f>
        <v>43270</v>
      </c>
      <c r="H151" s="27">
        <v>21260.0</v>
      </c>
      <c r="I151" s="29">
        <v>49130.0</v>
      </c>
      <c r="J151" s="30">
        <f t="shared" si="14"/>
        <v>85900</v>
      </c>
      <c r="K151" s="49"/>
      <c r="L151" s="32"/>
      <c r="M151" s="33"/>
      <c r="N151" s="40"/>
      <c r="O151" s="35"/>
      <c r="P151" s="33"/>
      <c r="Q151" s="33"/>
      <c r="R151" s="35"/>
      <c r="S151" s="35"/>
      <c r="T151" s="33"/>
      <c r="U151" s="36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>
      <c r="A152" s="99" t="s">
        <v>25</v>
      </c>
      <c r="B152" s="100">
        <v>44343.0</v>
      </c>
      <c r="C152" s="22">
        <v>174970.0</v>
      </c>
      <c r="D152" s="23">
        <v>154540.0</v>
      </c>
      <c r="E152" s="24">
        <v>1340.0</v>
      </c>
      <c r="F152" s="25"/>
      <c r="G152" s="101">
        <v>37580.0</v>
      </c>
      <c r="H152" s="27">
        <v>12330.0</v>
      </c>
      <c r="I152" s="29">
        <v>60830.0</v>
      </c>
      <c r="J152" s="30">
        <v>46180.0</v>
      </c>
      <c r="K152" s="49"/>
      <c r="L152" s="32"/>
      <c r="M152" s="33"/>
      <c r="N152" s="40"/>
      <c r="O152" s="35"/>
      <c r="P152" s="33"/>
      <c r="Q152" s="33"/>
      <c r="R152" s="35"/>
      <c r="S152" s="35"/>
      <c r="T152" s="33"/>
      <c r="U152" s="36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>
      <c r="A153" s="99" t="s">
        <v>26</v>
      </c>
      <c r="B153" s="100">
        <v>44344.0</v>
      </c>
      <c r="C153" s="22">
        <v>132540.0</v>
      </c>
      <c r="D153" s="23">
        <v>89900.0</v>
      </c>
      <c r="E153" s="24">
        <f>1700+50+140+150</f>
        <v>2040</v>
      </c>
      <c r="F153" s="25">
        <f>1000+600+700+200</f>
        <v>2500</v>
      </c>
      <c r="G153" s="101">
        <f>330+33860</f>
        <v>34190</v>
      </c>
      <c r="H153" s="27">
        <v>9740.0</v>
      </c>
      <c r="I153" s="29">
        <v>44490.0</v>
      </c>
      <c r="J153" s="30">
        <f>C153-G153-H153-I153</f>
        <v>44120</v>
      </c>
      <c r="K153" s="31"/>
      <c r="L153" s="39"/>
      <c r="M153" s="33"/>
      <c r="N153" s="40"/>
      <c r="O153" s="35"/>
      <c r="P153" s="33"/>
      <c r="Q153" s="33"/>
      <c r="R153" s="35"/>
      <c r="S153" s="35"/>
      <c r="T153" s="33"/>
      <c r="U153" s="36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>
      <c r="A154" s="105" t="s">
        <v>27</v>
      </c>
      <c r="B154" s="43">
        <v>44345.0</v>
      </c>
      <c r="C154" s="44"/>
      <c r="D154" s="44"/>
      <c r="E154" s="44"/>
      <c r="F154" s="44"/>
      <c r="G154" s="44"/>
      <c r="H154" s="44"/>
      <c r="I154" s="44"/>
      <c r="J154" s="44"/>
      <c r="K154" s="46"/>
      <c r="L154" s="39"/>
      <c r="M154" s="33"/>
      <c r="N154" s="40"/>
      <c r="O154" s="35"/>
      <c r="P154" s="33"/>
      <c r="Q154" s="33"/>
      <c r="R154" s="35"/>
      <c r="S154" s="35"/>
      <c r="T154" s="33"/>
      <c r="U154" s="36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>
      <c r="A155" s="99" t="s">
        <v>21</v>
      </c>
      <c r="B155" s="100">
        <v>44346.0</v>
      </c>
      <c r="C155" s="22">
        <v>166350.0</v>
      </c>
      <c r="D155" s="23">
        <v>87730.0</v>
      </c>
      <c r="E155" s="24">
        <f>1400+1900+500+240+180</f>
        <v>4220</v>
      </c>
      <c r="F155" s="25">
        <f>400+800+800+1000+1000</f>
        <v>4000</v>
      </c>
      <c r="G155" s="101">
        <f>22730+5100</f>
        <v>27830</v>
      </c>
      <c r="H155" s="27">
        <v>23480.0</v>
      </c>
      <c r="I155" s="29">
        <v>35810.0</v>
      </c>
      <c r="J155" s="30">
        <f>C155-G155-H155-I155</f>
        <v>79230</v>
      </c>
      <c r="K155" s="108"/>
      <c r="L155" s="144"/>
      <c r="M155" s="145"/>
      <c r="N155" s="146"/>
      <c r="O155" s="147"/>
      <c r="P155" s="145"/>
      <c r="Q155" s="145"/>
      <c r="R155" s="147"/>
      <c r="S155" s="147"/>
      <c r="T155" s="33"/>
      <c r="U155" s="36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48"/>
    </row>
    <row r="156">
      <c r="A156" s="99" t="s">
        <v>22</v>
      </c>
      <c r="B156" s="100">
        <v>44712.0</v>
      </c>
      <c r="C156" s="22">
        <v>206010.0</v>
      </c>
      <c r="D156" s="23">
        <v>108010.0</v>
      </c>
      <c r="E156" s="24">
        <v>2350.0</v>
      </c>
      <c r="F156" s="25">
        <v>900.0</v>
      </c>
      <c r="G156" s="101">
        <v>35110.0</v>
      </c>
      <c r="H156" s="27">
        <v>28040.0</v>
      </c>
      <c r="I156" s="29">
        <v>43020.0</v>
      </c>
      <c r="J156" s="30">
        <v>83800.0</v>
      </c>
      <c r="K156" s="108"/>
      <c r="L156" s="39"/>
      <c r="M156" s="33"/>
      <c r="N156" s="40"/>
      <c r="O156" s="35"/>
      <c r="P156" s="33"/>
      <c r="Q156" s="33"/>
      <c r="R156" s="35"/>
      <c r="S156" s="35"/>
      <c r="T156" s="33"/>
      <c r="U156" s="36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>
      <c r="A157" s="134" t="s">
        <v>28</v>
      </c>
      <c r="B157" s="135" t="s">
        <v>39</v>
      </c>
      <c r="C157" s="136">
        <f t="shared" ref="C157:D157" si="15">SUM(C127:C156)</f>
        <v>4815073</v>
      </c>
      <c r="D157" s="136">
        <f t="shared" si="15"/>
        <v>2851125</v>
      </c>
      <c r="E157" s="149" t="s">
        <v>38</v>
      </c>
      <c r="F157" s="149" t="s">
        <v>38</v>
      </c>
      <c r="G157" s="136">
        <f t="shared" ref="G157:J157" si="16">SUM(G127:G156)</f>
        <v>991760</v>
      </c>
      <c r="H157" s="136">
        <f t="shared" si="16"/>
        <v>577162</v>
      </c>
      <c r="I157" s="136">
        <f t="shared" si="16"/>
        <v>1079923</v>
      </c>
      <c r="J157" s="136">
        <f t="shared" si="16"/>
        <v>1771532</v>
      </c>
      <c r="K157" s="31"/>
      <c r="L157" s="39"/>
      <c r="M157" s="33"/>
      <c r="N157" s="40"/>
      <c r="O157" s="35"/>
      <c r="P157" s="33"/>
      <c r="Q157" s="33"/>
      <c r="R157" s="35"/>
      <c r="S157" s="35"/>
      <c r="T157" s="33"/>
      <c r="U157" s="36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>
      <c r="A158" s="99" t="s">
        <v>32</v>
      </c>
      <c r="B158" s="100">
        <v>44713.0</v>
      </c>
      <c r="C158" s="22">
        <v>180920.0</v>
      </c>
      <c r="D158" s="23">
        <v>107060.0</v>
      </c>
      <c r="E158" s="24">
        <f>1700+100+220+150</f>
        <v>2170</v>
      </c>
      <c r="F158" s="25">
        <f>1400+1200+1000</f>
        <v>3600</v>
      </c>
      <c r="G158" s="35">
        <f>22930+8630</f>
        <v>31560</v>
      </c>
      <c r="H158" s="27">
        <v>22670.0</v>
      </c>
      <c r="I158" s="29">
        <v>26490.0</v>
      </c>
      <c r="J158" s="30">
        <f t="shared" ref="J158:J159" si="17">C158-G158-H158-I158</f>
        <v>100200</v>
      </c>
      <c r="K158" s="31"/>
      <c r="L158" s="32"/>
      <c r="M158" s="33"/>
      <c r="N158" s="40"/>
      <c r="O158" s="35"/>
      <c r="P158" s="33"/>
      <c r="Q158" s="33"/>
      <c r="R158" s="35"/>
      <c r="S158" s="35"/>
      <c r="T158" s="33"/>
      <c r="U158" s="36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>
      <c r="A159" s="99" t="s">
        <v>24</v>
      </c>
      <c r="B159" s="100">
        <v>44714.0</v>
      </c>
      <c r="C159" s="22">
        <v>177170.0</v>
      </c>
      <c r="D159" s="23">
        <v>106580.0</v>
      </c>
      <c r="E159" s="24">
        <f>900</f>
        <v>900</v>
      </c>
      <c r="F159" s="25">
        <f>1200+1000+500+400</f>
        <v>3100</v>
      </c>
      <c r="G159" s="35">
        <f>650+34820</f>
        <v>35470</v>
      </c>
      <c r="H159" s="27">
        <v>32220.0</v>
      </c>
      <c r="I159" s="29">
        <v>37800.0</v>
      </c>
      <c r="J159" s="30">
        <f t="shared" si="17"/>
        <v>71680</v>
      </c>
      <c r="K159" s="31"/>
      <c r="L159" s="39"/>
      <c r="M159" s="33"/>
      <c r="N159" s="40"/>
      <c r="O159" s="35"/>
      <c r="P159" s="33"/>
      <c r="Q159" s="33"/>
      <c r="R159" s="35"/>
      <c r="S159" s="35"/>
      <c r="T159" s="33"/>
      <c r="U159" s="36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>
      <c r="A160" s="99" t="s">
        <v>25</v>
      </c>
      <c r="B160" s="100">
        <v>44715.0</v>
      </c>
      <c r="C160" s="22">
        <v>170030.0</v>
      </c>
      <c r="D160" s="23">
        <v>112206.0</v>
      </c>
      <c r="E160" s="24">
        <v>2020.0</v>
      </c>
      <c r="F160" s="25">
        <v>3000.0</v>
      </c>
      <c r="G160" s="35">
        <v>44770.0</v>
      </c>
      <c r="H160" s="27">
        <v>32940.0</v>
      </c>
      <c r="I160" s="29">
        <v>26280.0</v>
      </c>
      <c r="J160" s="30">
        <v>59060.0</v>
      </c>
      <c r="K160" s="49"/>
      <c r="L160" s="39"/>
      <c r="M160" s="33"/>
      <c r="N160" s="40"/>
      <c r="O160" s="35"/>
      <c r="P160" s="33"/>
      <c r="Q160" s="33"/>
      <c r="R160" s="35"/>
      <c r="S160" s="35"/>
      <c r="T160" s="33"/>
      <c r="U160" s="36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>
      <c r="A161" s="99" t="s">
        <v>33</v>
      </c>
      <c r="B161" s="100">
        <v>44716.0</v>
      </c>
      <c r="C161" s="22">
        <v>143590.0</v>
      </c>
      <c r="D161" s="23">
        <v>85360.0</v>
      </c>
      <c r="E161" s="24">
        <f>1900+250+220+200+1400</f>
        <v>3970</v>
      </c>
      <c r="F161" s="25">
        <f>1500+1000</f>
        <v>2500</v>
      </c>
      <c r="G161" s="35">
        <f>14320+19270</f>
        <v>33590</v>
      </c>
      <c r="H161" s="27">
        <v>14490.0</v>
      </c>
      <c r="I161" s="29">
        <v>35480.0</v>
      </c>
      <c r="J161" s="30">
        <f>C161-G161-H161-I161</f>
        <v>60030</v>
      </c>
      <c r="K161" s="31"/>
      <c r="L161" s="32"/>
      <c r="M161" s="33"/>
      <c r="N161" s="40"/>
      <c r="O161" s="35"/>
      <c r="P161" s="33"/>
      <c r="Q161" s="33"/>
      <c r="R161" s="35"/>
      <c r="S161" s="35"/>
      <c r="T161" s="33"/>
      <c r="U161" s="36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>
      <c r="A162" s="150" t="s">
        <v>27</v>
      </c>
      <c r="B162" s="162">
        <v>44717.0</v>
      </c>
      <c r="C162" s="160"/>
      <c r="D162" s="160"/>
      <c r="E162" s="160"/>
      <c r="F162" s="160"/>
      <c r="G162" s="160"/>
      <c r="H162" s="160"/>
      <c r="I162" s="160"/>
      <c r="J162" s="160"/>
      <c r="K162" s="31"/>
      <c r="L162" s="32"/>
      <c r="M162" s="33"/>
      <c r="N162" s="40"/>
      <c r="O162" s="35"/>
      <c r="P162" s="33"/>
      <c r="Q162" s="33"/>
      <c r="R162" s="35"/>
      <c r="S162" s="35"/>
      <c r="T162" s="33"/>
      <c r="U162" s="36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>
      <c r="A163" s="99" t="s">
        <v>21</v>
      </c>
      <c r="B163" s="100">
        <v>44718.0</v>
      </c>
      <c r="C163" s="152">
        <v>153455.0</v>
      </c>
      <c r="D163" s="153">
        <v>73375.0</v>
      </c>
      <c r="E163" s="154">
        <f>700+2300+800+100+200</f>
        <v>4100</v>
      </c>
      <c r="F163" s="155">
        <v>1500.0</v>
      </c>
      <c r="G163" s="156">
        <f>17080+7110</f>
        <v>24190</v>
      </c>
      <c r="H163" s="157">
        <v>15075.0</v>
      </c>
      <c r="I163" s="158">
        <v>23530.0</v>
      </c>
      <c r="J163" s="30">
        <f>C163-G163-H163-I163</f>
        <v>90660</v>
      </c>
      <c r="K163" s="31"/>
      <c r="L163" s="141"/>
      <c r="M163" s="33"/>
      <c r="N163" s="40"/>
      <c r="O163" s="35"/>
      <c r="P163" s="33"/>
      <c r="Q163" s="33"/>
      <c r="R163" s="35"/>
      <c r="S163" s="35"/>
      <c r="T163" s="33"/>
      <c r="U163" s="36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>
      <c r="A164" s="99" t="s">
        <v>22</v>
      </c>
      <c r="B164" s="100">
        <v>44719.0</v>
      </c>
      <c r="C164" s="22">
        <v>210395.0</v>
      </c>
      <c r="D164" s="23">
        <v>96677.0</v>
      </c>
      <c r="E164" s="24">
        <v>2100.0</v>
      </c>
      <c r="F164" s="25">
        <v>800.0</v>
      </c>
      <c r="G164" s="35">
        <v>34280.0</v>
      </c>
      <c r="H164" s="27">
        <v>43545.0</v>
      </c>
      <c r="I164" s="29">
        <v>28990.0</v>
      </c>
      <c r="J164" s="30">
        <v>75085.0</v>
      </c>
      <c r="K164" s="49"/>
      <c r="L164" s="32"/>
      <c r="M164" s="33"/>
      <c r="N164" s="40"/>
      <c r="O164" s="35"/>
      <c r="P164" s="33"/>
      <c r="Q164" s="33"/>
      <c r="R164" s="35"/>
      <c r="S164" s="35"/>
      <c r="T164" s="33"/>
      <c r="U164" s="36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>
      <c r="A165" s="99" t="s">
        <v>32</v>
      </c>
      <c r="B165" s="100">
        <v>44720.0</v>
      </c>
      <c r="C165" s="22">
        <v>228748.0</v>
      </c>
      <c r="D165" s="23">
        <v>139023.0</v>
      </c>
      <c r="E165" s="24">
        <v>1000.0</v>
      </c>
      <c r="F165" s="25">
        <v>2600.0</v>
      </c>
      <c r="G165" s="35">
        <v>54320.0</v>
      </c>
      <c r="H165" s="27">
        <v>64790.0</v>
      </c>
      <c r="I165" s="29">
        <v>30228.0</v>
      </c>
      <c r="J165" s="30">
        <v>54350.0</v>
      </c>
      <c r="K165" s="49" t="s">
        <v>2598</v>
      </c>
      <c r="L165" s="32"/>
      <c r="M165" s="33"/>
      <c r="N165" s="40"/>
      <c r="O165" s="35"/>
      <c r="P165" s="33"/>
      <c r="Q165" s="33"/>
      <c r="R165" s="35"/>
      <c r="S165" s="35"/>
      <c r="T165" s="33"/>
      <c r="U165" s="36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>
      <c r="A166" s="99" t="s">
        <v>24</v>
      </c>
      <c r="B166" s="100">
        <v>44721.0</v>
      </c>
      <c r="C166" s="22">
        <v>217470.0</v>
      </c>
      <c r="D166" s="23">
        <v>142490.0</v>
      </c>
      <c r="E166" s="24">
        <v>3180.0</v>
      </c>
      <c r="F166" s="25">
        <v>800.0</v>
      </c>
      <c r="G166" s="35">
        <v>46790.0</v>
      </c>
      <c r="H166" s="27">
        <v>42480.0</v>
      </c>
      <c r="I166" s="29">
        <v>54770.0</v>
      </c>
      <c r="J166" s="30">
        <v>51780.0</v>
      </c>
      <c r="K166" s="49"/>
      <c r="L166" s="39"/>
      <c r="M166" s="33"/>
      <c r="N166" s="40"/>
      <c r="O166" s="35"/>
      <c r="P166" s="33"/>
      <c r="Q166" s="33"/>
      <c r="R166" s="35"/>
      <c r="S166" s="35"/>
      <c r="T166" s="33"/>
      <c r="U166" s="36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>
      <c r="A167" s="99" t="s">
        <v>25</v>
      </c>
      <c r="B167" s="100">
        <v>44722.0</v>
      </c>
      <c r="C167" s="22">
        <v>194910.0</v>
      </c>
      <c r="D167" s="23">
        <v>144249.0</v>
      </c>
      <c r="E167" s="24">
        <v>1500.0</v>
      </c>
      <c r="F167" s="25"/>
      <c r="G167" s="35">
        <v>32920.0</v>
      </c>
      <c r="H167" s="27">
        <v>29110.0</v>
      </c>
      <c r="I167" s="29">
        <v>44990.0</v>
      </c>
      <c r="J167" s="30">
        <v>72030.0</v>
      </c>
      <c r="K167" s="49"/>
      <c r="L167" s="32"/>
      <c r="M167" s="33"/>
      <c r="N167" s="40"/>
      <c r="O167" s="35"/>
      <c r="P167" s="33"/>
      <c r="Q167" s="33"/>
      <c r="R167" s="35"/>
      <c r="S167" s="35"/>
      <c r="T167" s="33"/>
      <c r="U167" s="36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>
      <c r="A168" s="99" t="s">
        <v>33</v>
      </c>
      <c r="B168" s="100">
        <v>44723.0</v>
      </c>
      <c r="C168" s="22">
        <v>147864.0</v>
      </c>
      <c r="D168" s="23">
        <v>108044.0</v>
      </c>
      <c r="E168" s="24">
        <f>1000+1000+950+320+320</f>
        <v>3590</v>
      </c>
      <c r="F168" s="25">
        <v>2700.0</v>
      </c>
      <c r="G168" s="35">
        <v>46520.0</v>
      </c>
      <c r="H168" s="27">
        <f>11615+1225</f>
        <v>12840</v>
      </c>
      <c r="I168" s="29">
        <v>46730.0</v>
      </c>
      <c r="J168" s="30">
        <f>C168-G168-H168-I168</f>
        <v>41774</v>
      </c>
      <c r="K168" s="49"/>
      <c r="L168" s="32"/>
      <c r="M168" s="33"/>
      <c r="N168" s="40"/>
      <c r="O168" s="35"/>
      <c r="P168" s="33"/>
      <c r="Q168" s="33"/>
      <c r="R168" s="35"/>
      <c r="S168" s="35"/>
      <c r="T168" s="33"/>
      <c r="U168" s="36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>
      <c r="A169" s="150" t="s">
        <v>27</v>
      </c>
      <c r="B169" s="162">
        <v>44724.0</v>
      </c>
      <c r="C169" s="160"/>
      <c r="D169" s="160"/>
      <c r="E169" s="160"/>
      <c r="F169" s="160"/>
      <c r="G169" s="160"/>
      <c r="H169" s="160"/>
      <c r="I169" s="160"/>
      <c r="J169" s="160"/>
      <c r="K169" s="49"/>
      <c r="L169" s="39"/>
      <c r="M169" s="33"/>
      <c r="N169" s="40"/>
      <c r="O169" s="35"/>
      <c r="P169" s="33"/>
      <c r="Q169" s="33"/>
      <c r="R169" s="35"/>
      <c r="S169" s="35"/>
      <c r="T169" s="33"/>
      <c r="U169" s="36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>
      <c r="A170" s="99" t="s">
        <v>21</v>
      </c>
      <c r="B170" s="100">
        <v>44725.0</v>
      </c>
      <c r="C170" s="22">
        <v>186050.0</v>
      </c>
      <c r="D170" s="23">
        <v>102230.0</v>
      </c>
      <c r="E170" s="24">
        <f>900+2700+650+160+190</f>
        <v>4600</v>
      </c>
      <c r="F170" s="25">
        <v>2500.0</v>
      </c>
      <c r="G170" s="26">
        <f>6890+24140</f>
        <v>31030</v>
      </c>
      <c r="H170" s="27">
        <v>32850.0</v>
      </c>
      <c r="I170" s="29">
        <v>36470.0</v>
      </c>
      <c r="J170" s="30">
        <f t="shared" ref="J170:J171" si="18">C170-G170-H170-I170</f>
        <v>85700</v>
      </c>
      <c r="K170" s="49"/>
      <c r="L170" s="39"/>
      <c r="M170" s="33"/>
      <c r="N170" s="40"/>
      <c r="O170" s="35"/>
      <c r="P170" s="33"/>
      <c r="Q170" s="33"/>
      <c r="R170" s="35"/>
      <c r="S170" s="35"/>
      <c r="T170" s="33"/>
      <c r="U170" s="36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>
      <c r="A171" s="99" t="s">
        <v>22</v>
      </c>
      <c r="B171" s="100">
        <v>44726.0</v>
      </c>
      <c r="C171" s="22">
        <v>191380.0</v>
      </c>
      <c r="D171" s="23">
        <v>117450.0</v>
      </c>
      <c r="E171" s="24">
        <v>2500.0</v>
      </c>
      <c r="F171" s="25">
        <v>600.0</v>
      </c>
      <c r="G171" s="35">
        <v>42950.0</v>
      </c>
      <c r="H171" s="27">
        <v>36350.0</v>
      </c>
      <c r="I171" s="29">
        <v>41120.0</v>
      </c>
      <c r="J171" s="30">
        <f t="shared" si="18"/>
        <v>70960</v>
      </c>
      <c r="K171" s="49"/>
      <c r="L171" s="32"/>
      <c r="M171" s="33"/>
      <c r="N171" s="40"/>
      <c r="O171" s="35"/>
      <c r="P171" s="33"/>
      <c r="Q171" s="33"/>
      <c r="R171" s="35"/>
      <c r="S171" s="35"/>
      <c r="T171" s="33"/>
      <c r="U171" s="36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>
      <c r="A172" s="99" t="s">
        <v>32</v>
      </c>
      <c r="B172" s="100">
        <v>44727.0</v>
      </c>
      <c r="C172" s="22">
        <v>175481.0</v>
      </c>
      <c r="D172" s="23">
        <v>86268.0</v>
      </c>
      <c r="E172" s="24">
        <v>2800.0</v>
      </c>
      <c r="F172" s="25">
        <v>1800.0</v>
      </c>
      <c r="G172" s="35">
        <v>44900.0</v>
      </c>
      <c r="H172" s="27">
        <v>30365.0</v>
      </c>
      <c r="I172" s="29">
        <v>30370.0</v>
      </c>
      <c r="J172" s="30">
        <v>49570.0</v>
      </c>
      <c r="K172" s="31"/>
      <c r="L172" s="32"/>
      <c r="M172" s="33"/>
      <c r="N172" s="40"/>
      <c r="O172" s="35"/>
      <c r="P172" s="33"/>
      <c r="Q172" s="33"/>
      <c r="R172" s="35"/>
      <c r="S172" s="35"/>
      <c r="T172" s="33"/>
      <c r="U172" s="36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>
      <c r="A173" s="99" t="s">
        <v>24</v>
      </c>
      <c r="B173" s="100">
        <v>44728.0</v>
      </c>
      <c r="C173" s="22">
        <v>228665.0</v>
      </c>
      <c r="D173" s="23">
        <v>140655.0</v>
      </c>
      <c r="E173" s="24">
        <f>1400+2300+50+240+230</f>
        <v>4220</v>
      </c>
      <c r="F173" s="25">
        <v>700.0</v>
      </c>
      <c r="G173" s="35">
        <f>49070+700</f>
        <v>49770</v>
      </c>
      <c r="H173" s="27">
        <v>29845.0</v>
      </c>
      <c r="I173" s="29">
        <f>41430+2050</f>
        <v>43480</v>
      </c>
      <c r="J173" s="30">
        <f>C173-G173-H173-I173</f>
        <v>105570</v>
      </c>
      <c r="K173" s="31"/>
      <c r="L173" s="39"/>
      <c r="M173" s="33"/>
      <c r="N173" s="40"/>
      <c r="O173" s="35"/>
      <c r="P173" s="33"/>
      <c r="Q173" s="33"/>
      <c r="R173" s="35"/>
      <c r="S173" s="35"/>
      <c r="T173" s="33"/>
      <c r="U173" s="36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>
      <c r="A174" s="99" t="s">
        <v>25</v>
      </c>
      <c r="B174" s="100">
        <v>44729.0</v>
      </c>
      <c r="C174" s="22">
        <v>144804.0</v>
      </c>
      <c r="D174" s="23">
        <v>122930.0</v>
      </c>
      <c r="E174" s="24">
        <v>650.0</v>
      </c>
      <c r="F174" s="25">
        <v>500.0</v>
      </c>
      <c r="G174" s="35">
        <v>44190.0</v>
      </c>
      <c r="H174" s="27">
        <v>23310.0</v>
      </c>
      <c r="I174" s="29">
        <v>29100.0</v>
      </c>
      <c r="J174" s="30">
        <v>46194.0</v>
      </c>
      <c r="K174" s="49"/>
      <c r="L174" s="39"/>
      <c r="M174" s="33"/>
      <c r="N174" s="40"/>
      <c r="O174" s="35"/>
      <c r="P174" s="33"/>
      <c r="Q174" s="33"/>
      <c r="R174" s="35"/>
      <c r="S174" s="35"/>
      <c r="T174" s="33"/>
      <c r="U174" s="36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>
      <c r="A175" s="99" t="s">
        <v>33</v>
      </c>
      <c r="B175" s="100">
        <v>44730.0</v>
      </c>
      <c r="C175" s="22">
        <v>175010.0</v>
      </c>
      <c r="D175" s="23">
        <v>122070.0</v>
      </c>
      <c r="E175" s="24">
        <f>900+1600+150+360+160</f>
        <v>3170</v>
      </c>
      <c r="F175" s="25">
        <f>1500+3000+700</f>
        <v>5200</v>
      </c>
      <c r="G175" s="35">
        <f>10360+35220</f>
        <v>45580</v>
      </c>
      <c r="H175" s="27">
        <v>18940.0</v>
      </c>
      <c r="I175" s="29">
        <v>50700.0</v>
      </c>
      <c r="J175" s="30">
        <f>C175-G175-H175-I175</f>
        <v>59790</v>
      </c>
      <c r="K175" s="31"/>
      <c r="L175" s="32"/>
      <c r="M175" s="33"/>
      <c r="N175" s="40"/>
      <c r="O175" s="35"/>
      <c r="P175" s="33"/>
      <c r="Q175" s="33"/>
      <c r="R175" s="35"/>
      <c r="S175" s="35"/>
      <c r="T175" s="33"/>
      <c r="U175" s="36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>
      <c r="A176" s="150" t="s">
        <v>27</v>
      </c>
      <c r="B176" s="162">
        <v>44731.0</v>
      </c>
      <c r="C176" s="160"/>
      <c r="D176" s="160"/>
      <c r="E176" s="160"/>
      <c r="F176" s="160"/>
      <c r="G176" s="160"/>
      <c r="H176" s="160"/>
      <c r="I176" s="160"/>
      <c r="J176" s="160"/>
      <c r="K176" s="31"/>
      <c r="L176" s="39"/>
      <c r="M176" s="33"/>
      <c r="N176" s="40"/>
      <c r="O176" s="35"/>
      <c r="P176" s="33"/>
      <c r="Q176" s="33"/>
      <c r="R176" s="35"/>
      <c r="S176" s="35"/>
      <c r="T176" s="33"/>
      <c r="U176" s="36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>
      <c r="A177" s="99" t="s">
        <v>21</v>
      </c>
      <c r="B177" s="100">
        <v>44732.0</v>
      </c>
      <c r="C177" s="161"/>
      <c r="D177" s="23"/>
      <c r="E177" s="24"/>
      <c r="F177" s="25"/>
      <c r="G177" s="26"/>
      <c r="H177" s="27"/>
      <c r="I177" s="29"/>
      <c r="J177" s="30">
        <f>C177-G177-H177-I177</f>
        <v>0</v>
      </c>
      <c r="K177" s="31"/>
      <c r="L177" s="39"/>
      <c r="M177" s="33"/>
      <c r="N177" s="40"/>
      <c r="O177" s="35"/>
      <c r="P177" s="33"/>
      <c r="Q177" s="33"/>
      <c r="R177" s="35"/>
      <c r="S177" s="35"/>
      <c r="T177" s="33"/>
      <c r="U177" s="36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>
      <c r="A178" s="99" t="s">
        <v>22</v>
      </c>
      <c r="B178" s="100">
        <v>44733.0</v>
      </c>
      <c r="C178" s="22">
        <v>150740.0</v>
      </c>
      <c r="D178" s="23">
        <v>68600.0</v>
      </c>
      <c r="E178" s="24">
        <v>710.0</v>
      </c>
      <c r="F178" s="25">
        <v>1000.0</v>
      </c>
      <c r="G178" s="35">
        <v>18960.0</v>
      </c>
      <c r="H178" s="27">
        <v>14390.0</v>
      </c>
      <c r="I178" s="29">
        <v>35220.0</v>
      </c>
      <c r="J178" s="30">
        <v>61700.0</v>
      </c>
      <c r="K178" s="31"/>
      <c r="L178" s="39"/>
      <c r="M178" s="33"/>
      <c r="N178" s="40"/>
      <c r="O178" s="35"/>
      <c r="P178" s="33"/>
      <c r="Q178" s="33"/>
      <c r="R178" s="35"/>
      <c r="S178" s="35"/>
      <c r="T178" s="33"/>
      <c r="U178" s="36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>
      <c r="A179" s="99" t="s">
        <v>32</v>
      </c>
      <c r="B179" s="100">
        <v>44734.0</v>
      </c>
      <c r="C179" s="22">
        <v>206420.0</v>
      </c>
      <c r="D179" s="23">
        <v>108958.0</v>
      </c>
      <c r="E179" s="24">
        <v>3230.0</v>
      </c>
      <c r="F179" s="25">
        <v>2900.0</v>
      </c>
      <c r="G179" s="35">
        <f>24070+36060</f>
        <v>60130</v>
      </c>
      <c r="H179" s="27">
        <v>31280.0</v>
      </c>
      <c r="I179" s="29">
        <v>38620.0</v>
      </c>
      <c r="J179" s="30">
        <v>57580.0</v>
      </c>
      <c r="K179" s="31"/>
      <c r="L179" s="39"/>
      <c r="M179" s="33"/>
      <c r="N179" s="40"/>
      <c r="O179" s="35"/>
      <c r="P179" s="33"/>
      <c r="Q179" s="33"/>
      <c r="R179" s="35"/>
      <c r="S179" s="35"/>
      <c r="T179" s="33"/>
      <c r="U179" s="36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>
      <c r="A180" s="99" t="s">
        <v>24</v>
      </c>
      <c r="B180" s="100">
        <v>44735.0</v>
      </c>
      <c r="C180" s="22">
        <v>210658.0</v>
      </c>
      <c r="D180" s="23">
        <v>116618.0</v>
      </c>
      <c r="E180" s="24">
        <f>1000+1300+240+320+500</f>
        <v>3360</v>
      </c>
      <c r="F180" s="25">
        <f>500+400</f>
        <v>900</v>
      </c>
      <c r="G180" s="35">
        <f>35330+21786</f>
        <v>57116</v>
      </c>
      <c r="H180" s="27">
        <v>9670.0</v>
      </c>
      <c r="I180" s="29">
        <v>56530.0</v>
      </c>
      <c r="J180" s="30">
        <f t="shared" ref="J180:J181" si="19">C180-G180-H180-I180</f>
        <v>87342</v>
      </c>
      <c r="K180" s="31"/>
      <c r="L180" s="39"/>
      <c r="M180" s="33"/>
      <c r="N180" s="40"/>
      <c r="O180" s="35"/>
      <c r="P180" s="33"/>
      <c r="Q180" s="33"/>
      <c r="R180" s="35"/>
      <c r="S180" s="35"/>
      <c r="T180" s="33"/>
      <c r="U180" s="36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>
      <c r="A181" s="99" t="s">
        <v>25</v>
      </c>
      <c r="B181" s="100">
        <v>44736.0</v>
      </c>
      <c r="C181" s="22">
        <v>181900.0</v>
      </c>
      <c r="D181" s="23">
        <v>86272.0</v>
      </c>
      <c r="E181" s="24">
        <f>500+2500+20+190</f>
        <v>3210</v>
      </c>
      <c r="F181" s="25">
        <v>300.0</v>
      </c>
      <c r="G181" s="35">
        <f>10590+39150</f>
        <v>49740</v>
      </c>
      <c r="H181" s="27">
        <v>14900.0</v>
      </c>
      <c r="I181" s="29">
        <v>40800.0</v>
      </c>
      <c r="J181" s="30">
        <f t="shared" si="19"/>
        <v>76460</v>
      </c>
      <c r="K181" s="49"/>
      <c r="L181" s="39"/>
      <c r="M181" s="33"/>
      <c r="N181" s="40"/>
      <c r="O181" s="35"/>
      <c r="P181" s="33"/>
      <c r="Q181" s="33"/>
      <c r="R181" s="35"/>
      <c r="S181" s="35"/>
      <c r="T181" s="33"/>
      <c r="U181" s="36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>
      <c r="A182" s="99" t="s">
        <v>33</v>
      </c>
      <c r="B182" s="100">
        <v>44737.0</v>
      </c>
      <c r="C182" s="22">
        <v>142728.0</v>
      </c>
      <c r="D182" s="23">
        <v>91911.0</v>
      </c>
      <c r="E182" s="24"/>
      <c r="F182" s="25"/>
      <c r="G182" s="35">
        <v>38630.0</v>
      </c>
      <c r="H182" s="27"/>
      <c r="I182" s="29">
        <v>47258.0</v>
      </c>
      <c r="J182" s="30">
        <v>33515.0</v>
      </c>
      <c r="K182" s="31"/>
      <c r="L182" s="39"/>
      <c r="M182" s="33"/>
      <c r="N182" s="40"/>
      <c r="O182" s="35"/>
      <c r="P182" s="33"/>
      <c r="Q182" s="33"/>
      <c r="R182" s="35"/>
      <c r="S182" s="35"/>
      <c r="T182" s="33"/>
      <c r="U182" s="36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>
      <c r="A183" s="150" t="s">
        <v>27</v>
      </c>
      <c r="B183" s="162">
        <v>44738.0</v>
      </c>
      <c r="C183" s="160"/>
      <c r="D183" s="160"/>
      <c r="E183" s="160"/>
      <c r="F183" s="160"/>
      <c r="G183" s="160"/>
      <c r="H183" s="160"/>
      <c r="I183" s="160"/>
      <c r="J183" s="160"/>
      <c r="K183" s="31"/>
      <c r="L183" s="39"/>
      <c r="M183" s="33"/>
      <c r="N183" s="40"/>
      <c r="O183" s="35"/>
      <c r="P183" s="33"/>
      <c r="Q183" s="33"/>
      <c r="R183" s="35"/>
      <c r="S183" s="35"/>
      <c r="T183" s="33"/>
      <c r="U183" s="36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>
      <c r="A184" s="99" t="s">
        <v>21</v>
      </c>
      <c r="B184" s="100">
        <v>44739.0</v>
      </c>
      <c r="C184" s="22">
        <v>173180.0</v>
      </c>
      <c r="D184" s="23">
        <v>127289.0</v>
      </c>
      <c r="E184" s="24">
        <v>4970.0</v>
      </c>
      <c r="F184" s="25">
        <v>2000.0</v>
      </c>
      <c r="G184" s="35">
        <v>41870.0</v>
      </c>
      <c r="H184" s="27">
        <v>24080.0</v>
      </c>
      <c r="I184" s="29">
        <v>39360.0</v>
      </c>
      <c r="J184" s="30">
        <f>C184-G184-H184-I184</f>
        <v>67870</v>
      </c>
      <c r="K184" s="31"/>
      <c r="L184" s="32"/>
      <c r="M184" s="33"/>
      <c r="N184" s="40"/>
      <c r="O184" s="35"/>
      <c r="P184" s="33"/>
      <c r="Q184" s="33"/>
      <c r="R184" s="35"/>
      <c r="S184" s="35"/>
      <c r="T184" s="33"/>
      <c r="U184" s="36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>
      <c r="A185" s="99" t="s">
        <v>22</v>
      </c>
      <c r="B185" s="100">
        <v>44740.0</v>
      </c>
      <c r="C185" s="22">
        <v>184834.0</v>
      </c>
      <c r="D185" s="23">
        <v>94099.0</v>
      </c>
      <c r="E185" s="24">
        <v>5250.0</v>
      </c>
      <c r="F185" s="25"/>
      <c r="G185" s="35">
        <f>29360+18790</f>
        <v>48150</v>
      </c>
      <c r="H185" s="27">
        <v>38590.0</v>
      </c>
      <c r="I185" s="29">
        <v>39340.0</v>
      </c>
      <c r="J185" s="30">
        <v>51074.0</v>
      </c>
      <c r="K185" s="49"/>
      <c r="L185" s="39"/>
      <c r="M185" s="145"/>
      <c r="N185" s="146"/>
      <c r="O185" s="147"/>
      <c r="P185" s="145"/>
      <c r="Q185" s="145"/>
      <c r="R185" s="147"/>
      <c r="S185" s="147"/>
      <c r="T185" s="33"/>
      <c r="U185" s="36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</row>
    <row r="186">
      <c r="A186" s="99" t="s">
        <v>23</v>
      </c>
      <c r="B186" s="100">
        <v>44741.0</v>
      </c>
      <c r="C186" s="22">
        <v>289335.0</v>
      </c>
      <c r="D186" s="23">
        <v>158128.0</v>
      </c>
      <c r="E186" s="24">
        <v>5000.0</v>
      </c>
      <c r="F186" s="25">
        <v>5000.0</v>
      </c>
      <c r="G186" s="35">
        <v>60870.0</v>
      </c>
      <c r="H186" s="27">
        <v>45630.0</v>
      </c>
      <c r="I186" s="29">
        <v>79115.0</v>
      </c>
      <c r="J186" s="30">
        <v>69290.0</v>
      </c>
      <c r="K186" s="31"/>
      <c r="L186" s="39"/>
      <c r="M186" s="33"/>
      <c r="N186" s="40"/>
      <c r="O186" s="35"/>
      <c r="P186" s="33"/>
      <c r="Q186" s="33"/>
      <c r="R186" s="35"/>
      <c r="S186" s="35"/>
      <c r="T186" s="33"/>
      <c r="U186" s="36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>
      <c r="A187" s="99" t="s">
        <v>24</v>
      </c>
      <c r="B187" s="100">
        <v>44742.0</v>
      </c>
      <c r="C187" s="22">
        <v>23310.0</v>
      </c>
      <c r="D187" s="118">
        <v>137030.0</v>
      </c>
      <c r="E187" s="119">
        <f>300+200+3000+120+1300</f>
        <v>4920</v>
      </c>
      <c r="F187" s="120">
        <v>700.0</v>
      </c>
      <c r="G187" s="163">
        <f>29770+33070</f>
        <v>62840</v>
      </c>
      <c r="H187" s="122">
        <v>25580.0</v>
      </c>
      <c r="I187" s="164">
        <v>50140.0</v>
      </c>
      <c r="J187" s="30">
        <f>C187-G187-H187-I187</f>
        <v>-115250</v>
      </c>
      <c r="K187" s="31"/>
      <c r="L187" s="39"/>
      <c r="M187" s="33"/>
      <c r="N187" s="40"/>
      <c r="O187" s="35"/>
      <c r="P187" s="33"/>
      <c r="Q187" s="33"/>
      <c r="R187" s="35"/>
      <c r="S187" s="35"/>
      <c r="T187" s="33"/>
      <c r="U187" s="36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>
      <c r="A188" s="165" t="s">
        <v>28</v>
      </c>
      <c r="B188" s="129" t="s">
        <v>41</v>
      </c>
      <c r="C188" s="73">
        <f t="shared" ref="C188:D188" si="20">SUM(C158:C187)</f>
        <v>4489047</v>
      </c>
      <c r="D188" s="73">
        <f t="shared" si="20"/>
        <v>2795572</v>
      </c>
      <c r="E188" s="73"/>
      <c r="F188" s="73"/>
      <c r="G188" s="73">
        <f t="shared" ref="G188:J188" si="21">SUM(G158:G187)</f>
        <v>1081136</v>
      </c>
      <c r="H188" s="73">
        <f t="shared" si="21"/>
        <v>685940</v>
      </c>
      <c r="I188" s="73">
        <f t="shared" si="21"/>
        <v>1012911</v>
      </c>
      <c r="J188" s="73">
        <f t="shared" si="21"/>
        <v>1484014</v>
      </c>
      <c r="K188" s="31"/>
      <c r="L188" s="32"/>
      <c r="M188" s="33"/>
      <c r="N188" s="40"/>
      <c r="O188" s="35"/>
      <c r="P188" s="33"/>
      <c r="Q188" s="33"/>
      <c r="R188" s="35"/>
      <c r="S188" s="35"/>
      <c r="T188" s="33"/>
      <c r="U188" s="36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>
      <c r="A189" s="99" t="s">
        <v>25</v>
      </c>
      <c r="B189" s="100">
        <v>44378.0</v>
      </c>
      <c r="C189" s="22">
        <v>195470.0</v>
      </c>
      <c r="D189" s="23">
        <v>112495.0</v>
      </c>
      <c r="E189" s="24">
        <v>3600.0</v>
      </c>
      <c r="F189" s="25">
        <v>1000.0</v>
      </c>
      <c r="G189" s="35">
        <v>34990.0</v>
      </c>
      <c r="H189" s="27">
        <v>32810.0</v>
      </c>
      <c r="I189" s="29">
        <v>54970.0</v>
      </c>
      <c r="J189" s="30">
        <v>47760.0</v>
      </c>
      <c r="K189" s="31"/>
      <c r="L189" s="32"/>
      <c r="M189" s="33"/>
      <c r="N189" s="40"/>
      <c r="O189" s="35"/>
      <c r="P189" s="33"/>
      <c r="Q189" s="33"/>
      <c r="R189" s="35"/>
      <c r="S189" s="35"/>
      <c r="T189" s="33"/>
      <c r="U189" s="36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>
      <c r="A190" s="99" t="s">
        <v>26</v>
      </c>
      <c r="B190" s="100">
        <v>44379.0</v>
      </c>
      <c r="C190" s="22">
        <f>255423-44550</f>
        <v>210873</v>
      </c>
      <c r="D190" s="23">
        <v>195096.0</v>
      </c>
      <c r="E190" s="24">
        <f>900+2600+450+240+180</f>
        <v>4370</v>
      </c>
      <c r="F190" s="25"/>
      <c r="G190" s="35">
        <v>72500.0</v>
      </c>
      <c r="H190" s="27">
        <v>28280.0</v>
      </c>
      <c r="I190" s="29">
        <v>46325.0</v>
      </c>
      <c r="J190" s="30">
        <f>C190-G190-H190-I190</f>
        <v>63768</v>
      </c>
      <c r="K190" s="31"/>
      <c r="L190" s="39"/>
      <c r="M190" s="33"/>
      <c r="N190" s="40"/>
      <c r="O190" s="35"/>
      <c r="P190" s="33"/>
      <c r="Q190" s="33"/>
      <c r="R190" s="35"/>
      <c r="S190" s="35"/>
      <c r="T190" s="33"/>
      <c r="U190" s="36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>
      <c r="A191" s="150" t="s">
        <v>27</v>
      </c>
      <c r="B191" s="162">
        <v>44380.0</v>
      </c>
      <c r="C191" s="160"/>
      <c r="D191" s="160"/>
      <c r="E191" s="160"/>
      <c r="F191" s="160"/>
      <c r="G191" s="160"/>
      <c r="H191" s="160"/>
      <c r="I191" s="160"/>
      <c r="J191" s="160"/>
      <c r="K191" s="31"/>
      <c r="L191" s="39"/>
      <c r="M191" s="33"/>
      <c r="N191" s="40"/>
      <c r="O191" s="35"/>
      <c r="P191" s="33"/>
      <c r="Q191" s="33"/>
      <c r="R191" s="35"/>
      <c r="S191" s="35"/>
      <c r="T191" s="33"/>
      <c r="U191" s="36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</row>
    <row r="192">
      <c r="A192" s="99" t="s">
        <v>21</v>
      </c>
      <c r="B192" s="100">
        <v>44381.0</v>
      </c>
      <c r="C192" s="22">
        <v>156100.0</v>
      </c>
      <c r="D192" s="23">
        <v>86890.0</v>
      </c>
      <c r="E192" s="24">
        <f>3400+550+200+200</f>
        <v>4350</v>
      </c>
      <c r="F192" s="25"/>
      <c r="G192" s="35">
        <f>16020+14170</f>
        <v>30190</v>
      </c>
      <c r="H192" s="27">
        <v>9230.0</v>
      </c>
      <c r="I192" s="29">
        <v>40510.0</v>
      </c>
      <c r="J192" s="30">
        <f>C192-G192-H192-I192</f>
        <v>76170</v>
      </c>
      <c r="K192" s="31"/>
      <c r="L192" s="32"/>
      <c r="M192" s="33"/>
      <c r="N192" s="40"/>
      <c r="O192" s="35"/>
      <c r="P192" s="33"/>
      <c r="Q192" s="33"/>
      <c r="R192" s="35"/>
      <c r="S192" s="35"/>
      <c r="T192" s="33"/>
      <c r="U192" s="36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>
      <c r="A193" s="99" t="s">
        <v>22</v>
      </c>
      <c r="B193" s="100">
        <v>44382.0</v>
      </c>
      <c r="C193" s="22">
        <v>217220.0</v>
      </c>
      <c r="D193" s="23">
        <v>108661.0</v>
      </c>
      <c r="E193" s="24">
        <v>1820.0</v>
      </c>
      <c r="F193" s="25">
        <v>2400.0</v>
      </c>
      <c r="G193" s="35">
        <f>1870+42500</f>
        <v>44370</v>
      </c>
      <c r="H193" s="27">
        <v>42710.0</v>
      </c>
      <c r="I193" s="29">
        <v>45910.0</v>
      </c>
      <c r="J193" s="30">
        <v>67850.0</v>
      </c>
      <c r="K193" s="31"/>
      <c r="L193" s="32"/>
      <c r="M193" s="33"/>
      <c r="N193" s="40"/>
      <c r="O193" s="35"/>
      <c r="P193" s="33"/>
      <c r="Q193" s="33"/>
      <c r="R193" s="35"/>
      <c r="S193" s="35"/>
      <c r="T193" s="33"/>
      <c r="U193" s="36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>
      <c r="A194" s="99" t="s">
        <v>32</v>
      </c>
      <c r="B194" s="100">
        <v>44383.0</v>
      </c>
      <c r="C194" s="22">
        <v>190399.0</v>
      </c>
      <c r="D194" s="23">
        <v>90062.0</v>
      </c>
      <c r="E194" s="24">
        <v>2700.0</v>
      </c>
      <c r="F194" s="25">
        <v>2400.0</v>
      </c>
      <c r="G194" s="35">
        <f>47020+3860</f>
        <v>50880</v>
      </c>
      <c r="H194" s="27">
        <v>28540.0</v>
      </c>
      <c r="I194" s="29">
        <v>38585.0</v>
      </c>
      <c r="J194" s="30">
        <v>61790.0</v>
      </c>
      <c r="K194" s="49"/>
      <c r="L194" s="39"/>
      <c r="M194" s="33"/>
      <c r="N194" s="40"/>
      <c r="O194" s="35"/>
      <c r="P194" s="33"/>
      <c r="Q194" s="33"/>
      <c r="R194" s="35"/>
      <c r="S194" s="35"/>
      <c r="T194" s="33"/>
      <c r="U194" s="36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>
      <c r="A195" s="99" t="s">
        <v>24</v>
      </c>
      <c r="B195" s="100">
        <v>44384.0</v>
      </c>
      <c r="C195" s="22">
        <f>290227+750</f>
        <v>290977</v>
      </c>
      <c r="D195" s="23">
        <v>2000.0</v>
      </c>
      <c r="E195" s="24">
        <f>700+2300</f>
        <v>3000</v>
      </c>
      <c r="F195" s="25">
        <v>2000.0</v>
      </c>
      <c r="G195" s="35">
        <f>1650+52240</f>
        <v>53890</v>
      </c>
      <c r="H195" s="27">
        <v>48320.0</v>
      </c>
      <c r="I195" s="29">
        <f>82315+750</f>
        <v>83065</v>
      </c>
      <c r="J195" s="30">
        <f>C195-G195-H195-I195</f>
        <v>105702</v>
      </c>
      <c r="K195" s="31"/>
      <c r="L195" s="39"/>
      <c r="M195" s="33"/>
      <c r="N195" s="40"/>
      <c r="O195" s="35"/>
      <c r="P195" s="33"/>
      <c r="Q195" s="33"/>
      <c r="R195" s="35"/>
      <c r="S195" s="35"/>
      <c r="T195" s="33"/>
      <c r="U195" s="36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>
      <c r="A196" s="99" t="s">
        <v>25</v>
      </c>
      <c r="B196" s="100">
        <v>44385.0</v>
      </c>
      <c r="C196" s="22">
        <f>236415-43400</f>
        <v>193015</v>
      </c>
      <c r="D196" s="23">
        <v>115566.0</v>
      </c>
      <c r="E196" s="24">
        <v>1640.0</v>
      </c>
      <c r="F196" s="25">
        <v>1500.0</v>
      </c>
      <c r="G196" s="35">
        <v>39270.0</v>
      </c>
      <c r="H196" s="27">
        <v>16100.0</v>
      </c>
      <c r="I196" s="29">
        <v>41025.0</v>
      </c>
      <c r="J196" s="30">
        <v>94440.0</v>
      </c>
      <c r="K196" s="49"/>
      <c r="L196" s="39"/>
      <c r="M196" s="33"/>
      <c r="N196" s="40"/>
      <c r="O196" s="35"/>
      <c r="P196" s="33"/>
      <c r="Q196" s="33"/>
      <c r="R196" s="35"/>
      <c r="S196" s="35"/>
      <c r="T196" s="33"/>
      <c r="U196" s="36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>
      <c r="A197" s="99" t="s">
        <v>33</v>
      </c>
      <c r="B197" s="100">
        <v>44386.0</v>
      </c>
      <c r="C197" s="22">
        <v>197265.0</v>
      </c>
      <c r="D197" s="23">
        <v>109070.0</v>
      </c>
      <c r="E197" s="24">
        <f>3700+50+200</f>
        <v>3950</v>
      </c>
      <c r="F197" s="25">
        <f>800+800</f>
        <v>1600</v>
      </c>
      <c r="G197" s="35">
        <v>43180.0</v>
      </c>
      <c r="H197" s="27">
        <v>36870.0</v>
      </c>
      <c r="I197" s="29">
        <v>50415.0</v>
      </c>
      <c r="J197" s="30">
        <f>C197-G197-H197-I197</f>
        <v>66800</v>
      </c>
      <c r="K197" s="31"/>
      <c r="L197" s="32"/>
      <c r="M197" s="33"/>
      <c r="N197" s="40"/>
      <c r="O197" s="35"/>
      <c r="P197" s="33"/>
      <c r="Q197" s="33"/>
      <c r="R197" s="35"/>
      <c r="S197" s="35"/>
      <c r="T197" s="33"/>
      <c r="U197" s="36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>
      <c r="A198" s="150" t="s">
        <v>27</v>
      </c>
      <c r="B198" s="162">
        <v>44387.0</v>
      </c>
      <c r="C198" s="160"/>
      <c r="D198" s="160"/>
      <c r="E198" s="160"/>
      <c r="F198" s="160"/>
      <c r="G198" s="160"/>
      <c r="H198" s="160"/>
      <c r="I198" s="160"/>
      <c r="J198" s="160"/>
      <c r="K198" s="31"/>
      <c r="L198" s="39"/>
      <c r="M198" s="33"/>
      <c r="N198" s="40"/>
      <c r="O198" s="35"/>
      <c r="P198" s="33"/>
      <c r="Q198" s="33"/>
      <c r="R198" s="35"/>
      <c r="S198" s="35"/>
      <c r="T198" s="33"/>
      <c r="U198" s="36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>
      <c r="A199" s="99" t="s">
        <v>21</v>
      </c>
      <c r="B199" s="100">
        <v>44388.0</v>
      </c>
      <c r="C199" s="22">
        <v>160384.0</v>
      </c>
      <c r="D199" s="23">
        <v>77380.0</v>
      </c>
      <c r="E199" s="24">
        <f>1400+2900+450+260+280</f>
        <v>5290</v>
      </c>
      <c r="F199" s="25">
        <v>600.0</v>
      </c>
      <c r="G199" s="35">
        <f>1450+27290</f>
        <v>28740</v>
      </c>
      <c r="H199" s="27">
        <v>16900.0</v>
      </c>
      <c r="I199" s="29">
        <v>32660.0</v>
      </c>
      <c r="J199" s="30">
        <v>61874.0</v>
      </c>
      <c r="K199" s="31"/>
      <c r="L199" s="32"/>
      <c r="M199" s="33"/>
      <c r="N199" s="40"/>
      <c r="O199" s="35"/>
      <c r="P199" s="33"/>
      <c r="Q199" s="33"/>
      <c r="R199" s="35"/>
      <c r="S199" s="35"/>
      <c r="T199" s="33"/>
      <c r="U199" s="36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>
      <c r="A200" s="99" t="s">
        <v>22</v>
      </c>
      <c r="B200" s="100">
        <v>44389.0</v>
      </c>
      <c r="C200" s="22">
        <v>239864.0</v>
      </c>
      <c r="D200" s="23">
        <v>142474.0</v>
      </c>
      <c r="E200" s="24">
        <v>1580.0</v>
      </c>
      <c r="F200" s="25">
        <v>0.0</v>
      </c>
      <c r="G200" s="35">
        <v>60470.0</v>
      </c>
      <c r="H200" s="27">
        <v>19290.0</v>
      </c>
      <c r="I200" s="29">
        <v>58320.0</v>
      </c>
      <c r="J200" s="30">
        <v>66040.0</v>
      </c>
      <c r="K200" s="31"/>
      <c r="L200" s="39"/>
      <c r="M200" s="33"/>
      <c r="N200" s="40"/>
      <c r="O200" s="35"/>
      <c r="P200" s="33"/>
      <c r="Q200" s="33"/>
      <c r="R200" s="35"/>
      <c r="S200" s="35"/>
      <c r="T200" s="33"/>
      <c r="U200" s="36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>
      <c r="A201" s="99" t="s">
        <v>32</v>
      </c>
      <c r="B201" s="100">
        <v>44390.0</v>
      </c>
      <c r="C201" s="22">
        <v>225700.0</v>
      </c>
      <c r="D201" s="23">
        <v>148540.0</v>
      </c>
      <c r="E201" s="24">
        <v>1800.0</v>
      </c>
      <c r="F201" s="25">
        <v>200.0</v>
      </c>
      <c r="G201" s="35">
        <v>45570.0</v>
      </c>
      <c r="H201" s="27">
        <v>61040.0</v>
      </c>
      <c r="I201" s="29">
        <v>47260.0</v>
      </c>
      <c r="J201" s="30">
        <v>63770.0</v>
      </c>
      <c r="K201" s="31"/>
      <c r="L201" s="39"/>
      <c r="M201" s="33"/>
      <c r="N201" s="40"/>
      <c r="O201" s="35"/>
      <c r="P201" s="33"/>
      <c r="Q201" s="33"/>
      <c r="R201" s="35"/>
      <c r="S201" s="35"/>
      <c r="T201" s="33"/>
      <c r="U201" s="36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>
      <c r="A202" s="99" t="s">
        <v>24</v>
      </c>
      <c r="B202" s="100">
        <v>44391.0</v>
      </c>
      <c r="C202" s="22">
        <v>267380.0</v>
      </c>
      <c r="D202" s="23">
        <v>155840.0</v>
      </c>
      <c r="E202" s="24">
        <f>1200+1500+1400+50+200+180</f>
        <v>4530</v>
      </c>
      <c r="F202" s="25">
        <v>2400.0</v>
      </c>
      <c r="G202" s="35">
        <f>11130+66030</f>
        <v>77160</v>
      </c>
      <c r="H202" s="27">
        <v>7900.0</v>
      </c>
      <c r="I202" s="29">
        <v>55400.0</v>
      </c>
      <c r="J202" s="30">
        <f>C202-G202-H202-I202</f>
        <v>126920</v>
      </c>
      <c r="K202" s="31"/>
      <c r="L202" s="39"/>
      <c r="M202" s="33"/>
      <c r="N202" s="40"/>
      <c r="O202" s="35"/>
      <c r="P202" s="33"/>
      <c r="Q202" s="33"/>
      <c r="R202" s="35"/>
      <c r="S202" s="35"/>
      <c r="T202" s="33"/>
      <c r="U202" s="36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>
      <c r="A203" s="99" t="s">
        <v>25</v>
      </c>
      <c r="B203" s="100">
        <v>44392.0</v>
      </c>
      <c r="C203" s="22">
        <v>221088.0</v>
      </c>
      <c r="D203" s="23">
        <v>130105.0</v>
      </c>
      <c r="E203" s="24">
        <v>2600.0</v>
      </c>
      <c r="F203" s="25">
        <v>200.0</v>
      </c>
      <c r="G203" s="35">
        <f>46230+4460</f>
        <v>50690</v>
      </c>
      <c r="H203" s="27">
        <v>25130.0</v>
      </c>
      <c r="I203" s="29">
        <v>47000.0</v>
      </c>
      <c r="J203" s="30">
        <v>77170.0</v>
      </c>
      <c r="K203" s="31"/>
      <c r="L203" s="39"/>
      <c r="M203" s="33"/>
      <c r="N203" s="40"/>
      <c r="O203" s="35"/>
      <c r="P203" s="33"/>
      <c r="Q203" s="33"/>
      <c r="R203" s="35"/>
      <c r="S203" s="35"/>
      <c r="T203" s="33"/>
      <c r="U203" s="36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>
      <c r="A204" s="99" t="s">
        <v>33</v>
      </c>
      <c r="B204" s="100">
        <v>44393.0</v>
      </c>
      <c r="C204" s="22">
        <v>163300.0</v>
      </c>
      <c r="D204" s="23">
        <v>107180.0</v>
      </c>
      <c r="E204" s="24">
        <f>1900+3000+120+180</f>
        <v>5200</v>
      </c>
      <c r="F204" s="25">
        <v>1400.0</v>
      </c>
      <c r="G204" s="35">
        <f>9450+27510</f>
        <v>36960</v>
      </c>
      <c r="H204" s="27">
        <v>16800.0</v>
      </c>
      <c r="I204" s="29">
        <v>45620.0</v>
      </c>
      <c r="J204" s="30">
        <f>C204-G204-H204-I204</f>
        <v>63920</v>
      </c>
      <c r="K204" s="49"/>
      <c r="L204" s="32"/>
      <c r="M204" s="33"/>
      <c r="N204" s="40"/>
      <c r="O204" s="35"/>
      <c r="P204" s="33"/>
      <c r="Q204" s="33"/>
      <c r="R204" s="35"/>
      <c r="S204" s="35"/>
      <c r="T204" s="33"/>
      <c r="U204" s="36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>
      <c r="A205" s="150" t="s">
        <v>27</v>
      </c>
      <c r="B205" s="100">
        <v>44394.0</v>
      </c>
      <c r="C205" s="160"/>
      <c r="D205" s="160"/>
      <c r="E205" s="160"/>
      <c r="F205" s="160"/>
      <c r="G205" s="160"/>
      <c r="H205" s="160"/>
      <c r="I205" s="160"/>
      <c r="J205" s="160"/>
      <c r="K205" s="49"/>
      <c r="L205" s="39"/>
      <c r="M205" s="33"/>
      <c r="N205" s="40"/>
      <c r="O205" s="35"/>
      <c r="P205" s="33"/>
      <c r="Q205" s="33"/>
      <c r="R205" s="35"/>
      <c r="S205" s="35"/>
      <c r="T205" s="33"/>
      <c r="U205" s="36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>
      <c r="A206" s="99" t="s">
        <v>21</v>
      </c>
      <c r="B206" s="100">
        <v>44395.0</v>
      </c>
      <c r="C206" s="22">
        <v>192462.0</v>
      </c>
      <c r="D206" s="23">
        <v>127250.0</v>
      </c>
      <c r="E206" s="24">
        <f>2600+50+160+80</f>
        <v>2890</v>
      </c>
      <c r="F206" s="25">
        <f>700+2000</f>
        <v>2700</v>
      </c>
      <c r="G206" s="35">
        <f>34750+6700</f>
        <v>41450</v>
      </c>
      <c r="H206" s="27">
        <v>26570.0</v>
      </c>
      <c r="I206" s="29">
        <v>44310.0</v>
      </c>
      <c r="J206" s="30">
        <f>C206-G206-H206-I206</f>
        <v>80132</v>
      </c>
      <c r="K206" s="31"/>
      <c r="L206" s="39"/>
      <c r="M206" s="33"/>
      <c r="N206" s="40"/>
      <c r="O206" s="35"/>
      <c r="P206" s="33"/>
      <c r="Q206" s="33"/>
      <c r="R206" s="35"/>
      <c r="S206" s="35"/>
      <c r="T206" s="33"/>
      <c r="U206" s="36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>
      <c r="A207" s="99" t="s">
        <v>22</v>
      </c>
      <c r="B207" s="100">
        <v>44396.0</v>
      </c>
      <c r="C207" s="22">
        <v>214557.0</v>
      </c>
      <c r="D207" s="23">
        <v>118636.0</v>
      </c>
      <c r="E207" s="24">
        <v>3000.0</v>
      </c>
      <c r="F207" s="25">
        <v>2200.0</v>
      </c>
      <c r="G207" s="35">
        <f>43700+7110</f>
        <v>50810</v>
      </c>
      <c r="H207" s="27">
        <v>19140.0</v>
      </c>
      <c r="I207" s="29">
        <v>57960.0</v>
      </c>
      <c r="J207" s="30">
        <v>58837.0</v>
      </c>
      <c r="K207" s="31"/>
      <c r="L207" s="39"/>
      <c r="M207" s="33"/>
      <c r="N207" s="40"/>
      <c r="O207" s="35"/>
      <c r="P207" s="33"/>
      <c r="Q207" s="33"/>
      <c r="R207" s="35"/>
      <c r="S207" s="35"/>
      <c r="T207" s="33"/>
      <c r="U207" s="36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>
      <c r="A208" s="99" t="s">
        <v>32</v>
      </c>
      <c r="B208" s="100">
        <v>44397.0</v>
      </c>
      <c r="C208" s="22">
        <v>200190.0</v>
      </c>
      <c r="D208" s="23">
        <v>140560.0</v>
      </c>
      <c r="E208" s="24">
        <v>3500.0</v>
      </c>
      <c r="F208" s="25">
        <v>2200.0</v>
      </c>
      <c r="G208" s="35">
        <f>47360+4190</f>
        <v>51550</v>
      </c>
      <c r="H208" s="27">
        <v>19230.0</v>
      </c>
      <c r="I208" s="29">
        <v>47040.0</v>
      </c>
      <c r="J208" s="30">
        <v>63420.0</v>
      </c>
      <c r="K208" s="31"/>
      <c r="L208" s="39"/>
      <c r="M208" s="33"/>
      <c r="N208" s="40"/>
      <c r="O208" s="35"/>
      <c r="P208" s="33"/>
      <c r="Q208" s="33"/>
      <c r="R208" s="35"/>
      <c r="S208" s="35"/>
      <c r="T208" s="33"/>
      <c r="U208" s="36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>
      <c r="A209" s="99" t="s">
        <v>24</v>
      </c>
      <c r="B209" s="100">
        <v>44398.0</v>
      </c>
      <c r="C209" s="22">
        <v>252520.0</v>
      </c>
      <c r="D209" s="23">
        <v>141487.0</v>
      </c>
      <c r="E209" s="24">
        <v>4500.0</v>
      </c>
      <c r="F209" s="25">
        <v>2200.0</v>
      </c>
      <c r="G209" s="35">
        <f>21810+30100</f>
        <v>51910</v>
      </c>
      <c r="H209" s="27">
        <v>21050.0</v>
      </c>
      <c r="I209" s="29">
        <v>81880.0</v>
      </c>
      <c r="J209" s="30">
        <v>61820.0</v>
      </c>
      <c r="K209" s="31"/>
      <c r="L209" s="39"/>
      <c r="M209" s="33"/>
      <c r="N209" s="40"/>
      <c r="O209" s="35"/>
      <c r="P209" s="33"/>
      <c r="Q209" s="33"/>
      <c r="R209" s="35"/>
      <c r="S209" s="35"/>
      <c r="T209" s="33"/>
      <c r="U209" s="36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>
      <c r="A210" s="99" t="s">
        <v>25</v>
      </c>
      <c r="B210" s="100">
        <v>44399.0</v>
      </c>
      <c r="C210" s="22">
        <v>166140.0</v>
      </c>
      <c r="D210" s="23">
        <v>89363.0</v>
      </c>
      <c r="E210" s="24">
        <v>1600.0</v>
      </c>
      <c r="F210" s="25">
        <v>2000.0</v>
      </c>
      <c r="G210" s="35">
        <f>42860+2530</f>
        <v>45390</v>
      </c>
      <c r="H210" s="27">
        <v>28700.0</v>
      </c>
      <c r="I210" s="29">
        <v>29670.0</v>
      </c>
      <c r="J210" s="30">
        <v>59250.0</v>
      </c>
      <c r="K210" s="31"/>
      <c r="L210" s="39"/>
      <c r="M210" s="33"/>
      <c r="N210" s="40"/>
      <c r="O210" s="35"/>
      <c r="P210" s="33"/>
      <c r="Q210" s="33"/>
      <c r="R210" s="35"/>
      <c r="S210" s="35"/>
      <c r="T210" s="33"/>
      <c r="U210" s="36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>
      <c r="A211" s="99" t="s">
        <v>33</v>
      </c>
      <c r="B211" s="100">
        <v>44400.0</v>
      </c>
      <c r="C211" s="22">
        <v>151895.0</v>
      </c>
      <c r="D211" s="23">
        <v>73220.0</v>
      </c>
      <c r="E211" s="24">
        <v>2700.0</v>
      </c>
      <c r="F211" s="25">
        <v>2800.0</v>
      </c>
      <c r="G211" s="35">
        <f>26300+23750</f>
        <v>50050</v>
      </c>
      <c r="H211" s="27">
        <v>9410.0</v>
      </c>
      <c r="I211" s="29">
        <v>27250.0</v>
      </c>
      <c r="J211" s="30">
        <v>65000.0</v>
      </c>
      <c r="K211" s="31"/>
      <c r="L211" s="39"/>
      <c r="M211" s="33"/>
      <c r="N211" s="40"/>
      <c r="O211" s="35"/>
      <c r="P211" s="33"/>
      <c r="Q211" s="33"/>
      <c r="R211" s="35"/>
      <c r="S211" s="35"/>
      <c r="T211" s="33"/>
      <c r="U211" s="36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>
      <c r="A212" s="150" t="s">
        <v>27</v>
      </c>
      <c r="B212" s="100">
        <v>44401.0</v>
      </c>
      <c r="C212" s="160"/>
      <c r="D212" s="160"/>
      <c r="E212" s="160"/>
      <c r="F212" s="160"/>
      <c r="G212" s="160"/>
      <c r="H212" s="160"/>
      <c r="I212" s="160"/>
      <c r="J212" s="160"/>
      <c r="K212" s="31"/>
      <c r="L212" s="39"/>
      <c r="M212" s="33"/>
      <c r="N212" s="40"/>
      <c r="O212" s="35"/>
      <c r="P212" s="33"/>
      <c r="Q212" s="33"/>
      <c r="R212" s="35"/>
      <c r="S212" s="35"/>
      <c r="T212" s="33"/>
      <c r="U212" s="36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</row>
    <row r="213">
      <c r="A213" s="99" t="s">
        <v>21</v>
      </c>
      <c r="B213" s="100">
        <v>44402.0</v>
      </c>
      <c r="C213" s="22">
        <v>120000.0</v>
      </c>
      <c r="D213" s="23">
        <v>96130.0</v>
      </c>
      <c r="E213" s="24">
        <f>900+1800+120+240</f>
        <v>3060</v>
      </c>
      <c r="F213" s="25">
        <v>1800.0</v>
      </c>
      <c r="G213" s="35">
        <f>1700+16590</f>
        <v>18290</v>
      </c>
      <c r="H213" s="27">
        <v>6220.0</v>
      </c>
      <c r="I213" s="29">
        <v>37640.0</v>
      </c>
      <c r="J213" s="30">
        <v>34000.0</v>
      </c>
      <c r="K213" s="31"/>
      <c r="L213" s="39"/>
      <c r="M213" s="33"/>
      <c r="N213" s="40"/>
      <c r="O213" s="35"/>
      <c r="P213" s="33"/>
      <c r="Q213" s="33"/>
      <c r="R213" s="35"/>
      <c r="S213" s="35"/>
      <c r="T213" s="33"/>
      <c r="U213" s="36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>
      <c r="A214" s="99" t="s">
        <v>22</v>
      </c>
      <c r="B214" s="100">
        <v>44403.0</v>
      </c>
      <c r="C214" s="22">
        <v>184830.0</v>
      </c>
      <c r="D214" s="23">
        <v>85718.0</v>
      </c>
      <c r="E214" s="24">
        <v>5300.0</v>
      </c>
      <c r="F214" s="25">
        <v>900.0</v>
      </c>
      <c r="G214" s="35">
        <f>40570+850</f>
        <v>41420</v>
      </c>
      <c r="H214" s="27">
        <v>17380.0</v>
      </c>
      <c r="I214" s="29">
        <v>36530.0</v>
      </c>
      <c r="J214" s="30">
        <v>71670.0</v>
      </c>
      <c r="K214" s="31"/>
      <c r="L214" s="39"/>
      <c r="M214" s="33"/>
      <c r="N214" s="40"/>
      <c r="O214" s="35"/>
      <c r="P214" s="33"/>
      <c r="Q214" s="33"/>
      <c r="R214" s="35"/>
      <c r="S214" s="35"/>
      <c r="T214" s="33"/>
      <c r="U214" s="36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>
      <c r="A215" s="99" t="s">
        <v>32</v>
      </c>
      <c r="B215" s="100">
        <v>44404.0</v>
      </c>
      <c r="C215" s="22">
        <v>193310.0</v>
      </c>
      <c r="D215" s="23">
        <v>115942.0</v>
      </c>
      <c r="E215" s="24">
        <v>3400.0</v>
      </c>
      <c r="F215" s="25">
        <v>500.0</v>
      </c>
      <c r="G215" s="35">
        <v>62770.0</v>
      </c>
      <c r="H215" s="27">
        <v>23540.0</v>
      </c>
      <c r="I215" s="29">
        <v>43360.0</v>
      </c>
      <c r="J215" s="30">
        <v>53390.0</v>
      </c>
      <c r="K215" s="31"/>
      <c r="L215" s="39"/>
      <c r="M215" s="33"/>
      <c r="N215" s="40"/>
      <c r="O215" s="35"/>
      <c r="P215" s="33"/>
      <c r="Q215" s="33"/>
      <c r="R215" s="35"/>
      <c r="S215" s="35"/>
      <c r="T215" s="33"/>
      <c r="U215" s="36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>
      <c r="A216" s="99" t="s">
        <v>24</v>
      </c>
      <c r="B216" s="100">
        <v>44405.0</v>
      </c>
      <c r="C216" s="22">
        <v>219747.0</v>
      </c>
      <c r="D216" s="23">
        <v>119938.0</v>
      </c>
      <c r="E216" s="24">
        <f>1000+3000+150+240+30</f>
        <v>4420</v>
      </c>
      <c r="F216" s="25"/>
      <c r="G216" s="35">
        <f>31340+11850</f>
        <v>43190</v>
      </c>
      <c r="H216" s="27">
        <v>18900.0</v>
      </c>
      <c r="I216" s="29">
        <v>50358.0</v>
      </c>
      <c r="J216" s="30">
        <v>80884.0</v>
      </c>
      <c r="K216" s="31"/>
      <c r="L216" s="32"/>
      <c r="M216" s="33"/>
      <c r="N216" s="40"/>
      <c r="O216" s="35"/>
      <c r="P216" s="33"/>
      <c r="Q216" s="33"/>
      <c r="R216" s="35"/>
      <c r="S216" s="35"/>
      <c r="T216" s="33"/>
      <c r="U216" s="36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>
      <c r="A217" s="99" t="s">
        <v>25</v>
      </c>
      <c r="B217" s="100">
        <v>44406.0</v>
      </c>
      <c r="C217" s="22">
        <v>270710.0</v>
      </c>
      <c r="D217" s="23">
        <v>161999.0</v>
      </c>
      <c r="E217" s="24">
        <v>2400.0</v>
      </c>
      <c r="F217" s="25">
        <v>300.0</v>
      </c>
      <c r="G217" s="35">
        <f>75810+22780</f>
        <v>98590</v>
      </c>
      <c r="H217" s="27">
        <v>36850.0</v>
      </c>
      <c r="I217" s="29">
        <v>47610.0</v>
      </c>
      <c r="J217" s="30">
        <v>70750.0</v>
      </c>
      <c r="K217" s="31"/>
      <c r="L217" s="39"/>
      <c r="M217" s="33"/>
      <c r="N217" s="40"/>
      <c r="O217" s="35"/>
      <c r="P217" s="33"/>
      <c r="Q217" s="33"/>
      <c r="R217" s="35"/>
      <c r="S217" s="35"/>
      <c r="T217" s="33"/>
      <c r="U217" s="36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>
      <c r="A218" s="99" t="s">
        <v>26</v>
      </c>
      <c r="B218" s="100">
        <v>44407.0</v>
      </c>
      <c r="C218" s="117">
        <v>195515.0</v>
      </c>
      <c r="D218" s="118">
        <v>116900.0</v>
      </c>
      <c r="E218" s="119">
        <f>1000+2400+50+140+100</f>
        <v>3690</v>
      </c>
      <c r="F218" s="120">
        <v>1100.0</v>
      </c>
      <c r="G218" s="163">
        <f>18510+34400</f>
        <v>52910</v>
      </c>
      <c r="H218" s="122">
        <v>13380.0</v>
      </c>
      <c r="I218" s="164">
        <v>48195.0</v>
      </c>
      <c r="J218" s="30">
        <v>79550.0</v>
      </c>
      <c r="K218" s="31"/>
      <c r="L218" s="32"/>
      <c r="M218" s="33"/>
      <c r="N218" s="40"/>
      <c r="O218" s="35"/>
      <c r="P218" s="33"/>
      <c r="Q218" s="33"/>
      <c r="R218" s="35"/>
      <c r="S218" s="35"/>
      <c r="T218" s="33"/>
      <c r="U218" s="36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>
      <c r="A219" s="150" t="s">
        <v>27</v>
      </c>
      <c r="B219" s="100">
        <v>44408.0</v>
      </c>
      <c r="C219" s="167"/>
      <c r="D219" s="167"/>
      <c r="E219" s="167"/>
      <c r="F219" s="167"/>
      <c r="G219" s="167"/>
      <c r="H219" s="167"/>
      <c r="I219" s="167"/>
      <c r="J219" s="160"/>
      <c r="K219" s="31"/>
      <c r="L219" s="32"/>
      <c r="M219" s="33"/>
      <c r="N219" s="40"/>
      <c r="O219" s="35"/>
      <c r="P219" s="33"/>
      <c r="Q219" s="33"/>
      <c r="R219" s="35"/>
      <c r="S219" s="35"/>
      <c r="T219" s="33"/>
      <c r="U219" s="36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>
      <c r="A220" s="93" t="s">
        <v>28</v>
      </c>
      <c r="B220" s="169" t="s">
        <v>42</v>
      </c>
      <c r="C220" s="170">
        <f>SUM(C189:C219)</f>
        <v>5290911</v>
      </c>
      <c r="D220" s="170"/>
      <c r="E220" s="170"/>
      <c r="F220" s="170"/>
      <c r="G220" s="170">
        <f t="shared" ref="G220:J220" si="22">SUM(G189:G219)</f>
        <v>1277190</v>
      </c>
      <c r="H220" s="170">
        <f t="shared" si="22"/>
        <v>630290</v>
      </c>
      <c r="I220" s="170">
        <f t="shared" si="22"/>
        <v>1238868</v>
      </c>
      <c r="J220" s="73">
        <f t="shared" si="22"/>
        <v>1822677</v>
      </c>
      <c r="K220" s="97"/>
      <c r="L220" s="32"/>
      <c r="M220" s="33"/>
      <c r="N220" s="40"/>
      <c r="O220" s="35"/>
      <c r="P220" s="33"/>
      <c r="Q220" s="33"/>
      <c r="R220" s="35"/>
      <c r="S220" s="35"/>
      <c r="T220" s="33"/>
      <c r="U220" s="36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>
      <c r="A221" s="99" t="s">
        <v>21</v>
      </c>
      <c r="B221" s="100">
        <v>44774.0</v>
      </c>
      <c r="C221" s="22">
        <v>198108.0</v>
      </c>
      <c r="D221" s="23">
        <v>159919.99</v>
      </c>
      <c r="E221" s="24">
        <f>700+2700+100+360+60</f>
        <v>3920</v>
      </c>
      <c r="F221" s="25">
        <v>200.0</v>
      </c>
      <c r="G221" s="35">
        <f>1600+34330</f>
        <v>35930</v>
      </c>
      <c r="H221" s="171">
        <v>32750.0</v>
      </c>
      <c r="I221" s="29">
        <v>40920.0</v>
      </c>
      <c r="J221" s="30">
        <v>70808.0</v>
      </c>
      <c r="K221" s="203"/>
      <c r="L221" s="172"/>
      <c r="M221" s="173"/>
      <c r="N221" s="174"/>
      <c r="O221" s="175"/>
      <c r="P221" s="173"/>
      <c r="Q221" s="173"/>
      <c r="R221" s="175"/>
      <c r="S221" s="175"/>
      <c r="T221" s="33"/>
      <c r="U221" s="36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</row>
    <row r="222">
      <c r="A222" s="99" t="s">
        <v>22</v>
      </c>
      <c r="B222" s="100">
        <v>44775.0</v>
      </c>
      <c r="C222" s="22">
        <v>242468.0</v>
      </c>
      <c r="D222" s="23">
        <v>137041.0</v>
      </c>
      <c r="E222" s="24">
        <v>2300.0</v>
      </c>
      <c r="F222" s="25">
        <v>0.0</v>
      </c>
      <c r="G222" s="35">
        <f>9660+44140</f>
        <v>53800</v>
      </c>
      <c r="H222" s="171">
        <v>27950.0</v>
      </c>
      <c r="I222" s="29">
        <v>70910.0</v>
      </c>
      <c r="J222" s="30">
        <v>61048.0</v>
      </c>
      <c r="K222" s="31"/>
      <c r="L222" s="39"/>
      <c r="M222" s="33"/>
      <c r="N222" s="40"/>
      <c r="O222" s="35"/>
      <c r="P222" s="33"/>
      <c r="Q222" s="33"/>
      <c r="R222" s="35"/>
      <c r="S222" s="35"/>
      <c r="T222" s="33"/>
      <c r="U222" s="36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</row>
    <row r="223">
      <c r="A223" s="99" t="s">
        <v>32</v>
      </c>
      <c r="B223" s="100">
        <v>44776.0</v>
      </c>
      <c r="C223" s="22">
        <v>204826.0</v>
      </c>
      <c r="D223" s="23">
        <v>153400.0</v>
      </c>
      <c r="E223" s="24">
        <v>2200.0</v>
      </c>
      <c r="F223" s="25">
        <v>0.0</v>
      </c>
      <c r="G223" s="35">
        <f>63140+16860</f>
        <v>80000</v>
      </c>
      <c r="H223" s="171">
        <v>20210.0</v>
      </c>
      <c r="I223" s="29">
        <v>43810.0</v>
      </c>
      <c r="J223" s="30">
        <v>53176.0</v>
      </c>
      <c r="K223" s="31"/>
      <c r="L223" s="39"/>
      <c r="M223" s="33"/>
      <c r="N223" s="40"/>
      <c r="O223" s="35"/>
      <c r="P223" s="33"/>
      <c r="Q223" s="33"/>
      <c r="R223" s="35"/>
      <c r="S223" s="35"/>
      <c r="T223" s="33"/>
      <c r="U223" s="36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>
      <c r="A224" s="99" t="s">
        <v>24</v>
      </c>
      <c r="B224" s="100">
        <v>44777.0</v>
      </c>
      <c r="C224" s="22">
        <v>251665.0</v>
      </c>
      <c r="D224" s="23">
        <v>157945.0</v>
      </c>
      <c r="E224" s="24">
        <f>900+3000+400+100+180</f>
        <v>4580</v>
      </c>
      <c r="F224" s="25">
        <v>1000.0</v>
      </c>
      <c r="G224" s="35">
        <f>27300+37700</f>
        <v>65000</v>
      </c>
      <c r="H224" s="171">
        <v>29150.0</v>
      </c>
      <c r="I224" s="29">
        <v>56375.0</v>
      </c>
      <c r="J224" s="30">
        <v>61780.0</v>
      </c>
      <c r="K224" s="31"/>
      <c r="L224" s="39"/>
      <c r="M224" s="33"/>
      <c r="N224" s="40"/>
      <c r="O224" s="35"/>
      <c r="P224" s="33"/>
      <c r="Q224" s="33"/>
      <c r="R224" s="35"/>
      <c r="S224" s="35"/>
      <c r="T224" s="33"/>
      <c r="U224" s="36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</row>
    <row r="225">
      <c r="A225" s="99" t="s">
        <v>25</v>
      </c>
      <c r="B225" s="100">
        <v>44778.0</v>
      </c>
      <c r="C225" s="22">
        <v>228725.0</v>
      </c>
      <c r="D225" s="23">
        <v>127342.0</v>
      </c>
      <c r="E225" s="24">
        <v>3890.0</v>
      </c>
      <c r="F225" s="25">
        <v>0.0</v>
      </c>
      <c r="G225" s="35">
        <f>8100+46595</f>
        <v>54695</v>
      </c>
      <c r="H225" s="171">
        <v>30410.0</v>
      </c>
      <c r="I225" s="29">
        <v>41775.0</v>
      </c>
      <c r="J225" s="30">
        <v>71010.0</v>
      </c>
      <c r="K225" s="31"/>
      <c r="L225" s="39"/>
      <c r="M225" s="33"/>
      <c r="N225" s="40"/>
      <c r="O225" s="35"/>
      <c r="P225" s="33"/>
      <c r="Q225" s="33"/>
      <c r="R225" s="35"/>
      <c r="S225" s="35"/>
      <c r="T225" s="33"/>
      <c r="U225" s="36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>
      <c r="A226" s="99" t="s">
        <v>26</v>
      </c>
      <c r="B226" s="100">
        <v>44779.0</v>
      </c>
      <c r="C226" s="22">
        <v>201297.0</v>
      </c>
      <c r="D226" s="23">
        <v>158460.0</v>
      </c>
      <c r="E226" s="24">
        <f>1200+1300+200+40</f>
        <v>2740</v>
      </c>
      <c r="F226" s="25">
        <v>800.0</v>
      </c>
      <c r="G226" s="35">
        <f>1220+62690</f>
        <v>63910</v>
      </c>
      <c r="H226" s="171">
        <v>30430.0</v>
      </c>
      <c r="I226" s="29">
        <f>58870+2310</f>
        <v>61180</v>
      </c>
      <c r="J226" s="30">
        <v>44987.0</v>
      </c>
      <c r="K226" s="49"/>
      <c r="L226" s="39"/>
      <c r="M226" s="33"/>
      <c r="N226" s="40"/>
      <c r="O226" s="35"/>
      <c r="P226" s="33"/>
      <c r="Q226" s="33"/>
      <c r="R226" s="35"/>
      <c r="S226" s="35"/>
      <c r="T226" s="33"/>
      <c r="U226" s="36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>
      <c r="A227" s="150" t="s">
        <v>27</v>
      </c>
      <c r="B227" s="100">
        <v>44780.0</v>
      </c>
      <c r="C227" s="160"/>
      <c r="D227" s="160"/>
      <c r="E227" s="160"/>
      <c r="F227" s="160"/>
      <c r="G227" s="160"/>
      <c r="H227" s="176"/>
      <c r="I227" s="160"/>
      <c r="J227" s="160"/>
      <c r="K227" s="49"/>
      <c r="L227" s="39"/>
      <c r="M227" s="33"/>
      <c r="N227" s="40"/>
      <c r="O227" s="35"/>
      <c r="P227" s="33"/>
      <c r="Q227" s="33"/>
      <c r="R227" s="35"/>
      <c r="S227" s="35"/>
      <c r="T227" s="33"/>
      <c r="U227" s="36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>
      <c r="A228" s="99" t="s">
        <v>21</v>
      </c>
      <c r="B228" s="100">
        <v>44781.0</v>
      </c>
      <c r="C228" s="22">
        <f>212620-33680</f>
        <v>178940</v>
      </c>
      <c r="D228" s="23">
        <v>143900.0</v>
      </c>
      <c r="E228" s="24">
        <f>2500+150+260+100</f>
        <v>3010</v>
      </c>
      <c r="F228" s="25">
        <f>1000+300</f>
        <v>1300</v>
      </c>
      <c r="G228" s="35">
        <f>13220+38000</f>
        <v>51220</v>
      </c>
      <c r="H228" s="27">
        <v>15040.0</v>
      </c>
      <c r="I228" s="178">
        <v>33440.0</v>
      </c>
      <c r="J228" s="30">
        <v>61410.0</v>
      </c>
      <c r="K228" s="49"/>
      <c r="L228" s="39"/>
      <c r="M228" s="33"/>
      <c r="N228" s="40"/>
      <c r="O228" s="35"/>
      <c r="P228" s="33"/>
      <c r="Q228" s="33"/>
      <c r="R228" s="35"/>
      <c r="S228" s="35"/>
      <c r="T228" s="33"/>
      <c r="U228" s="36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</row>
    <row r="229">
      <c r="A229" s="99" t="s">
        <v>22</v>
      </c>
      <c r="B229" s="100">
        <v>44782.0</v>
      </c>
      <c r="C229" s="22">
        <v>239230.0</v>
      </c>
      <c r="D229" s="23">
        <v>107628.0</v>
      </c>
      <c r="E229" s="24">
        <v>1800.0</v>
      </c>
      <c r="F229" s="25">
        <v>1000.0</v>
      </c>
      <c r="G229" s="35">
        <f>43200+2680</f>
        <v>45880</v>
      </c>
      <c r="H229" s="27">
        <v>36390.0</v>
      </c>
      <c r="I229" s="29">
        <v>43870.0</v>
      </c>
      <c r="J229" s="30">
        <v>70910.0</v>
      </c>
      <c r="K229" s="31"/>
      <c r="L229" s="39"/>
      <c r="M229" s="33"/>
      <c r="N229" s="40"/>
      <c r="O229" s="35"/>
      <c r="P229" s="33"/>
      <c r="Q229" s="33"/>
      <c r="R229" s="35"/>
      <c r="S229" s="35"/>
      <c r="T229" s="33"/>
      <c r="U229" s="36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</row>
    <row r="230">
      <c r="A230" s="99" t="s">
        <v>32</v>
      </c>
      <c r="B230" s="100">
        <v>44783.0</v>
      </c>
      <c r="C230" s="22">
        <v>252504.0</v>
      </c>
      <c r="D230" s="23">
        <v>169840.0</v>
      </c>
      <c r="E230" s="24">
        <f>400+2200+120+90</f>
        <v>2810</v>
      </c>
      <c r="F230" s="25"/>
      <c r="G230" s="35">
        <f>24470+27150</f>
        <v>51620</v>
      </c>
      <c r="H230" s="27">
        <v>36620.0</v>
      </c>
      <c r="I230" s="29">
        <v>63300.0</v>
      </c>
      <c r="J230" s="30">
        <v>84324.0</v>
      </c>
      <c r="K230" s="31"/>
      <c r="L230" s="39"/>
      <c r="M230" s="33"/>
      <c r="N230" s="40"/>
      <c r="O230" s="35"/>
      <c r="P230" s="33"/>
      <c r="Q230" s="33"/>
      <c r="R230" s="35"/>
      <c r="S230" s="35"/>
      <c r="T230" s="33"/>
      <c r="U230" s="36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</row>
    <row r="231">
      <c r="A231" s="99" t="s">
        <v>24</v>
      </c>
      <c r="B231" s="100">
        <v>44784.0</v>
      </c>
      <c r="C231" s="22">
        <v>209070.0</v>
      </c>
      <c r="D231" s="23">
        <v>145150.0</v>
      </c>
      <c r="E231" s="24">
        <f>600+500+100+140+70</f>
        <v>1410</v>
      </c>
      <c r="F231" s="25"/>
      <c r="G231" s="35">
        <f>42180+8810</f>
        <v>50990</v>
      </c>
      <c r="H231" s="27">
        <v>20800.0</v>
      </c>
      <c r="I231" s="29">
        <v>49120.0</v>
      </c>
      <c r="J231" s="30">
        <v>59370.0</v>
      </c>
      <c r="K231" s="49"/>
      <c r="L231" s="39"/>
      <c r="M231" s="33"/>
      <c r="N231" s="40"/>
      <c r="O231" s="35"/>
      <c r="P231" s="33"/>
      <c r="Q231" s="33"/>
      <c r="R231" s="35"/>
      <c r="S231" s="35"/>
      <c r="T231" s="33"/>
      <c r="U231" s="36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>
      <c r="A232" s="99" t="s">
        <v>25</v>
      </c>
      <c r="B232" s="100">
        <v>44785.0</v>
      </c>
      <c r="C232" s="22">
        <f>247470-25400</f>
        <v>222070</v>
      </c>
      <c r="D232" s="23">
        <v>189000.0</v>
      </c>
      <c r="E232" s="24">
        <v>1530.0</v>
      </c>
      <c r="F232" s="25">
        <v>1700.0</v>
      </c>
      <c r="G232" s="35">
        <v>70930.0</v>
      </c>
      <c r="H232" s="27">
        <v>31080.0</v>
      </c>
      <c r="I232" s="29">
        <v>41540.0</v>
      </c>
      <c r="J232" s="30">
        <v>56020.0</v>
      </c>
      <c r="K232" s="49"/>
      <c r="L232" s="39"/>
      <c r="M232" s="33"/>
      <c r="N232" s="40"/>
      <c r="O232" s="35"/>
      <c r="P232" s="33"/>
      <c r="Q232" s="33"/>
      <c r="R232" s="35"/>
      <c r="S232" s="35"/>
      <c r="T232" s="33"/>
      <c r="U232" s="36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</row>
    <row r="233">
      <c r="A233" s="99" t="s">
        <v>26</v>
      </c>
      <c r="B233" s="100">
        <v>44786.0</v>
      </c>
      <c r="C233" s="22">
        <v>173949.0</v>
      </c>
      <c r="D233" s="23">
        <v>109510.0</v>
      </c>
      <c r="E233" s="24">
        <f>500+400+2800+360+30</f>
        <v>4090</v>
      </c>
      <c r="F233" s="25">
        <v>1100.0</v>
      </c>
      <c r="G233" s="35">
        <f>40750+1700</f>
        <v>42450</v>
      </c>
      <c r="H233" s="27">
        <v>18710.0</v>
      </c>
      <c r="I233" s="29">
        <v>57600.0</v>
      </c>
      <c r="J233" s="30">
        <f>C233-G233-H233-I233</f>
        <v>55189</v>
      </c>
      <c r="K233" s="49"/>
      <c r="L233" s="39"/>
      <c r="M233" s="33"/>
      <c r="N233" s="40"/>
      <c r="O233" s="35"/>
      <c r="P233" s="33"/>
      <c r="Q233" s="33"/>
      <c r="R233" s="35"/>
      <c r="S233" s="35"/>
      <c r="T233" s="33"/>
      <c r="U233" s="36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>
      <c r="A234" s="150" t="s">
        <v>27</v>
      </c>
      <c r="B234" s="100">
        <v>44787.0</v>
      </c>
      <c r="C234" s="160"/>
      <c r="D234" s="160"/>
      <c r="E234" s="160"/>
      <c r="F234" s="160"/>
      <c r="G234" s="160"/>
      <c r="H234" s="160"/>
      <c r="I234" s="160"/>
      <c r="J234" s="160"/>
      <c r="K234" s="49"/>
      <c r="L234" s="39"/>
      <c r="M234" s="33"/>
      <c r="N234" s="40"/>
      <c r="O234" s="35"/>
      <c r="P234" s="33"/>
      <c r="Q234" s="33"/>
      <c r="R234" s="35"/>
      <c r="S234" s="35"/>
      <c r="T234" s="33"/>
      <c r="U234" s="36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</row>
    <row r="235">
      <c r="A235" s="99" t="s">
        <v>21</v>
      </c>
      <c r="B235" s="100">
        <v>44788.0</v>
      </c>
      <c r="C235" s="22"/>
      <c r="D235" s="23"/>
      <c r="E235" s="24"/>
      <c r="F235" s="25"/>
      <c r="G235" s="35"/>
      <c r="H235" s="27"/>
      <c r="I235" s="29"/>
      <c r="J235" s="30"/>
      <c r="K235" s="49"/>
      <c r="L235" s="39"/>
      <c r="M235" s="33"/>
      <c r="N235" s="40"/>
      <c r="O235" s="35"/>
      <c r="P235" s="33"/>
      <c r="Q235" s="33"/>
      <c r="R235" s="35"/>
      <c r="S235" s="35"/>
      <c r="T235" s="33"/>
      <c r="U235" s="36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</row>
    <row r="236">
      <c r="A236" s="99" t="s">
        <v>22</v>
      </c>
      <c r="B236" s="100">
        <v>44789.0</v>
      </c>
      <c r="C236" s="22">
        <v>207288.0</v>
      </c>
      <c r="D236" s="23">
        <v>96371.0</v>
      </c>
      <c r="E236" s="24">
        <v>2000.0</v>
      </c>
      <c r="F236" s="25">
        <v>700.0</v>
      </c>
      <c r="G236" s="35">
        <f>22730+7000</f>
        <v>29730</v>
      </c>
      <c r="H236" s="27">
        <v>22970.0</v>
      </c>
      <c r="I236" s="29">
        <v>56000.0</v>
      </c>
      <c r="J236" s="30">
        <v>71748.0</v>
      </c>
      <c r="K236" s="31"/>
      <c r="L236" s="39"/>
      <c r="M236" s="33"/>
      <c r="N236" s="40"/>
      <c r="O236" s="35"/>
      <c r="P236" s="33"/>
      <c r="Q236" s="33"/>
      <c r="R236" s="35"/>
      <c r="S236" s="35"/>
      <c r="T236" s="33"/>
      <c r="U236" s="36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</row>
    <row r="237">
      <c r="A237" s="99" t="s">
        <v>32</v>
      </c>
      <c r="B237" s="100">
        <v>44790.0</v>
      </c>
      <c r="C237" s="22">
        <v>200917.0</v>
      </c>
      <c r="D237" s="23">
        <v>146210.0</v>
      </c>
      <c r="E237" s="24">
        <v>1190.0</v>
      </c>
      <c r="F237" s="25">
        <v>1000.0</v>
      </c>
      <c r="G237" s="35">
        <v>36820.0</v>
      </c>
      <c r="H237" s="27">
        <v>38960.0</v>
      </c>
      <c r="I237" s="29">
        <v>45520.0</v>
      </c>
      <c r="J237" s="30">
        <v>54477.0</v>
      </c>
      <c r="K237" s="31"/>
      <c r="L237" s="39"/>
      <c r="M237" s="33"/>
      <c r="N237" s="40"/>
      <c r="O237" s="35"/>
      <c r="P237" s="33"/>
      <c r="Q237" s="33"/>
      <c r="R237" s="35"/>
      <c r="S237" s="35"/>
      <c r="T237" s="33"/>
      <c r="U237" s="36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>
      <c r="A238" s="99" t="s">
        <v>24</v>
      </c>
      <c r="B238" s="100">
        <v>44791.0</v>
      </c>
      <c r="C238" s="22">
        <v>25160.0</v>
      </c>
      <c r="D238" s="23">
        <v>157860.0</v>
      </c>
      <c r="E238" s="24">
        <f>800+500+2900+100+40</f>
        <v>4340</v>
      </c>
      <c r="F238" s="25"/>
      <c r="G238" s="35">
        <f>32860+33470</f>
        <v>66330</v>
      </c>
      <c r="H238" s="27">
        <v>37400.0</v>
      </c>
      <c r="I238" s="29">
        <v>43820.0</v>
      </c>
      <c r="J238" s="30">
        <v>72830.0</v>
      </c>
      <c r="K238" s="49"/>
      <c r="L238" s="39"/>
      <c r="M238" s="33"/>
      <c r="N238" s="40"/>
      <c r="O238" s="35"/>
      <c r="P238" s="33"/>
      <c r="Q238" s="33"/>
      <c r="R238" s="35"/>
      <c r="S238" s="35"/>
      <c r="T238" s="33"/>
      <c r="U238" s="36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</row>
    <row r="239">
      <c r="A239" s="99" t="s">
        <v>25</v>
      </c>
      <c r="B239" s="100">
        <v>44792.0</v>
      </c>
      <c r="C239" s="22">
        <v>201115.0</v>
      </c>
      <c r="D239" s="23">
        <v>116920.0</v>
      </c>
      <c r="E239" s="24">
        <v>1530.0</v>
      </c>
      <c r="F239" s="25">
        <v>3000.0</v>
      </c>
      <c r="G239" s="35">
        <v>74250.0</v>
      </c>
      <c r="H239" s="27">
        <v>18750.0</v>
      </c>
      <c r="I239" s="29">
        <v>48210.0</v>
      </c>
      <c r="J239" s="30">
        <v>71335.0</v>
      </c>
      <c r="K239" s="49"/>
      <c r="L239" s="39"/>
      <c r="M239" s="33"/>
      <c r="N239" s="40"/>
      <c r="O239" s="35"/>
      <c r="P239" s="33"/>
      <c r="Q239" s="33"/>
      <c r="R239" s="35"/>
      <c r="S239" s="35"/>
      <c r="T239" s="33"/>
      <c r="U239" s="36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>
      <c r="A240" s="99" t="s">
        <v>26</v>
      </c>
      <c r="B240" s="100">
        <v>44793.0</v>
      </c>
      <c r="C240" s="22">
        <v>227965.0</v>
      </c>
      <c r="D240" s="23">
        <v>163471.0</v>
      </c>
      <c r="E240" s="24">
        <f>900</f>
        <v>900</v>
      </c>
      <c r="F240" s="25">
        <f>2300</f>
        <v>2300</v>
      </c>
      <c r="G240" s="35">
        <f>36820+41640</f>
        <v>78460</v>
      </c>
      <c r="H240" s="27">
        <v>21470.0</v>
      </c>
      <c r="I240" s="29">
        <v>50011.0</v>
      </c>
      <c r="J240" s="30">
        <v>68774.0</v>
      </c>
      <c r="K240" s="49"/>
      <c r="L240" s="32"/>
      <c r="M240" s="33"/>
      <c r="N240" s="40"/>
      <c r="O240" s="35"/>
      <c r="P240" s="33"/>
      <c r="Q240" s="33"/>
      <c r="R240" s="35"/>
      <c r="S240" s="35"/>
      <c r="T240" s="33"/>
      <c r="U240" s="36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>
      <c r="A241" s="150" t="s">
        <v>27</v>
      </c>
      <c r="B241" s="100">
        <v>44794.0</v>
      </c>
      <c r="C241" s="160"/>
      <c r="D241" s="160"/>
      <c r="E241" s="160"/>
      <c r="F241" s="160"/>
      <c r="G241" s="160"/>
      <c r="H241" s="160"/>
      <c r="I241" s="160"/>
      <c r="J241" s="160"/>
      <c r="K241" s="49"/>
      <c r="L241" s="39"/>
      <c r="M241" s="33"/>
      <c r="N241" s="40"/>
      <c r="O241" s="35"/>
      <c r="P241" s="33"/>
      <c r="Q241" s="33"/>
      <c r="R241" s="35"/>
      <c r="S241" s="35"/>
      <c r="T241" s="33"/>
      <c r="U241" s="36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>
      <c r="A242" s="99" t="s">
        <v>21</v>
      </c>
      <c r="B242" s="100">
        <v>44795.0</v>
      </c>
      <c r="C242" s="22">
        <f>201913-17500</f>
        <v>184413</v>
      </c>
      <c r="D242" s="23">
        <v>120480.0</v>
      </c>
      <c r="E242" s="24">
        <f>800+500+2800+50+180+10</f>
        <v>4340</v>
      </c>
      <c r="F242" s="25">
        <v>2100.0</v>
      </c>
      <c r="G242" s="35">
        <f>360+33560</f>
        <v>33920</v>
      </c>
      <c r="H242" s="27">
        <v>22180.0</v>
      </c>
      <c r="I242" s="29">
        <v>31590.0</v>
      </c>
      <c r="J242" s="30">
        <v>72513.0</v>
      </c>
      <c r="K242" s="49"/>
      <c r="L242" s="32"/>
      <c r="M242" s="33"/>
      <c r="N242" s="40"/>
      <c r="O242" s="35"/>
      <c r="P242" s="33"/>
      <c r="Q242" s="33"/>
      <c r="R242" s="35"/>
      <c r="S242" s="35"/>
      <c r="T242" s="33"/>
      <c r="U242" s="36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</row>
    <row r="243">
      <c r="A243" s="99" t="s">
        <v>22</v>
      </c>
      <c r="B243" s="100">
        <v>44796.0</v>
      </c>
      <c r="C243" s="22">
        <v>213527.0</v>
      </c>
      <c r="D243" s="23">
        <v>128860.0</v>
      </c>
      <c r="E243" s="24">
        <v>1470.0</v>
      </c>
      <c r="F243" s="25">
        <v>2000.0</v>
      </c>
      <c r="G243" s="35">
        <v>46460.0</v>
      </c>
      <c r="H243" s="179">
        <v>24320.0</v>
      </c>
      <c r="I243" s="29">
        <v>46340.0</v>
      </c>
      <c r="J243" s="30">
        <v>72930.0</v>
      </c>
      <c r="K243" s="49"/>
      <c r="L243" s="39"/>
      <c r="M243" s="33"/>
      <c r="N243" s="40"/>
      <c r="O243" s="35"/>
      <c r="P243" s="33"/>
      <c r="Q243" s="33"/>
      <c r="R243" s="35"/>
      <c r="S243" s="35"/>
      <c r="T243" s="33"/>
      <c r="U243" s="36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</row>
    <row r="244">
      <c r="A244" s="99" t="s">
        <v>32</v>
      </c>
      <c r="B244" s="100">
        <v>44797.0</v>
      </c>
      <c r="C244" s="22">
        <v>212282.0</v>
      </c>
      <c r="D244" s="23">
        <v>123367.0</v>
      </c>
      <c r="E244" s="24">
        <v>1500.0</v>
      </c>
      <c r="F244" s="25">
        <v>1000.0</v>
      </c>
      <c r="G244" s="35">
        <f>28910+9320</f>
        <v>38230</v>
      </c>
      <c r="H244" s="27">
        <v>36270.0</v>
      </c>
      <c r="I244" s="29">
        <v>57470.0</v>
      </c>
      <c r="J244" s="30">
        <v>60890.0</v>
      </c>
      <c r="K244" s="49"/>
      <c r="L244" s="39"/>
      <c r="M244" s="33"/>
      <c r="N244" s="40"/>
      <c r="O244" s="35"/>
      <c r="P244" s="33"/>
      <c r="Q244" s="33"/>
      <c r="R244" s="35"/>
      <c r="S244" s="35"/>
      <c r="T244" s="33"/>
      <c r="U244" s="36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</row>
    <row r="245">
      <c r="A245" s="99" t="s">
        <v>24</v>
      </c>
      <c r="B245" s="100">
        <v>44798.0</v>
      </c>
      <c r="C245" s="22">
        <v>253760.0</v>
      </c>
      <c r="D245" s="23">
        <v>185230.0</v>
      </c>
      <c r="E245" s="24">
        <f>1200+1200+200+180+230</f>
        <v>3010</v>
      </c>
      <c r="F245" s="25"/>
      <c r="G245" s="35">
        <f>1100+56190</f>
        <v>57290</v>
      </c>
      <c r="H245" s="27">
        <v>43240.0</v>
      </c>
      <c r="I245" s="181">
        <v>60980.0</v>
      </c>
      <c r="J245" s="30">
        <v>52990.0</v>
      </c>
      <c r="K245" s="49"/>
      <c r="L245" s="32"/>
      <c r="M245" s="33"/>
      <c r="N245" s="40"/>
      <c r="O245" s="35"/>
      <c r="P245" s="33"/>
      <c r="Q245" s="33"/>
      <c r="R245" s="35"/>
      <c r="S245" s="35"/>
      <c r="T245" s="33"/>
      <c r="U245" s="36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>
      <c r="A246" s="99" t="s">
        <v>25</v>
      </c>
      <c r="B246" s="100">
        <v>44799.0</v>
      </c>
      <c r="C246" s="22">
        <v>187286.0</v>
      </c>
      <c r="D246" s="23">
        <v>136256.0</v>
      </c>
      <c r="E246" s="24">
        <v>1540.0</v>
      </c>
      <c r="F246" s="25"/>
      <c r="G246" s="35">
        <v>65840.0</v>
      </c>
      <c r="H246" s="27">
        <v>14450.0</v>
      </c>
      <c r="I246" s="178">
        <v>40056.0</v>
      </c>
      <c r="J246" s="30">
        <v>49090.0</v>
      </c>
      <c r="K246" s="31"/>
      <c r="L246" s="32"/>
      <c r="M246" s="33"/>
      <c r="N246" s="40"/>
      <c r="O246" s="35"/>
      <c r="P246" s="33"/>
      <c r="Q246" s="33"/>
      <c r="R246" s="35"/>
      <c r="S246" s="35"/>
      <c r="T246" s="33"/>
      <c r="U246" s="36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</row>
    <row r="247">
      <c r="A247" s="99" t="s">
        <v>26</v>
      </c>
      <c r="B247" s="100">
        <v>44800.0</v>
      </c>
      <c r="C247" s="22">
        <v>147460.0</v>
      </c>
      <c r="D247" s="23">
        <v>109380.0</v>
      </c>
      <c r="E247" s="24">
        <f>900+2900+100+200+100</f>
        <v>4200</v>
      </c>
      <c r="F247" s="25">
        <v>2000.0</v>
      </c>
      <c r="G247" s="35">
        <f>50000+5640</f>
        <v>55640</v>
      </c>
      <c r="H247" s="27">
        <v>15230.0</v>
      </c>
      <c r="I247" s="178">
        <v>35410.0</v>
      </c>
      <c r="J247" s="30">
        <v>41180.0</v>
      </c>
      <c r="K247" s="31"/>
      <c r="L247" s="32"/>
      <c r="M247" s="33"/>
      <c r="N247" s="40"/>
      <c r="O247" s="35"/>
      <c r="P247" s="33"/>
      <c r="Q247" s="33"/>
      <c r="R247" s="35"/>
      <c r="S247" s="35"/>
      <c r="T247" s="33"/>
      <c r="U247" s="36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>
      <c r="A248" s="150" t="s">
        <v>27</v>
      </c>
      <c r="B248" s="100">
        <v>44801.0</v>
      </c>
      <c r="C248" s="160"/>
      <c r="D248" s="160"/>
      <c r="E248" s="160"/>
      <c r="F248" s="160"/>
      <c r="G248" s="160"/>
      <c r="H248" s="160"/>
      <c r="I248" s="176"/>
      <c r="J248" s="160"/>
      <c r="K248" s="31"/>
      <c r="L248" s="39"/>
      <c r="M248" s="33"/>
      <c r="N248" s="40"/>
      <c r="O248" s="35"/>
      <c r="P248" s="33"/>
      <c r="Q248" s="33"/>
      <c r="R248" s="35"/>
      <c r="S248" s="35"/>
      <c r="T248" s="33"/>
      <c r="U248" s="36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</row>
    <row r="249">
      <c r="A249" s="38" t="s">
        <v>21</v>
      </c>
      <c r="B249" s="100">
        <v>44802.0</v>
      </c>
      <c r="C249" s="182">
        <f>258738-23600</f>
        <v>235138</v>
      </c>
      <c r="D249" s="183">
        <v>172590.0</v>
      </c>
      <c r="E249" s="184">
        <f>700+3000+210</f>
        <v>3910</v>
      </c>
      <c r="F249" s="185">
        <v>900.0</v>
      </c>
      <c r="G249" s="186">
        <f>16220+25210+990</f>
        <v>42420</v>
      </c>
      <c r="H249" s="171">
        <v>30850.0</v>
      </c>
      <c r="I249" s="178">
        <v>68000.0</v>
      </c>
      <c r="J249" s="30">
        <v>77958.0</v>
      </c>
      <c r="K249" s="31"/>
      <c r="L249" s="32"/>
      <c r="M249" s="33"/>
      <c r="N249" s="40"/>
      <c r="O249" s="35"/>
      <c r="P249" s="33"/>
      <c r="Q249" s="33"/>
      <c r="R249" s="35"/>
      <c r="S249" s="35"/>
      <c r="T249" s="33"/>
      <c r="U249" s="36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</row>
    <row r="250">
      <c r="A250" s="38" t="s">
        <v>22</v>
      </c>
      <c r="B250" s="100">
        <v>44803.0</v>
      </c>
      <c r="C250" s="22">
        <v>196208.0</v>
      </c>
      <c r="D250" s="23">
        <v>126950.0</v>
      </c>
      <c r="E250" s="24">
        <v>1220.0</v>
      </c>
      <c r="F250" s="25"/>
      <c r="G250" s="35">
        <v>41940.0</v>
      </c>
      <c r="H250" s="179">
        <v>28090.0</v>
      </c>
      <c r="I250" s="29">
        <v>46960.0</v>
      </c>
      <c r="J250" s="30">
        <v>56858.0</v>
      </c>
      <c r="K250" s="31"/>
      <c r="L250" s="39"/>
      <c r="M250" s="33"/>
      <c r="N250" s="40"/>
      <c r="O250" s="35"/>
      <c r="P250" s="33"/>
      <c r="Q250" s="33"/>
      <c r="R250" s="35"/>
      <c r="S250" s="35"/>
      <c r="T250" s="33"/>
      <c r="U250" s="36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</row>
    <row r="251">
      <c r="A251" s="38" t="s">
        <v>23</v>
      </c>
      <c r="B251" s="100">
        <v>44804.0</v>
      </c>
      <c r="C251" s="22">
        <v>230445.0</v>
      </c>
      <c r="D251" s="23">
        <v>121549.0</v>
      </c>
      <c r="E251" s="24">
        <v>2000.0</v>
      </c>
      <c r="F251" s="25"/>
      <c r="G251" s="35">
        <f>37120+3580</f>
        <v>40700</v>
      </c>
      <c r="H251" s="187">
        <v>20810.0</v>
      </c>
      <c r="I251" s="29">
        <v>52080.0</v>
      </c>
      <c r="J251" s="30">
        <v>79080.0</v>
      </c>
      <c r="K251" s="31"/>
      <c r="L251" s="39"/>
      <c r="M251" s="33"/>
      <c r="N251" s="40"/>
      <c r="O251" s="35"/>
      <c r="P251" s="33"/>
      <c r="Q251" s="33"/>
      <c r="R251" s="35"/>
      <c r="S251" s="35"/>
      <c r="T251" s="33"/>
      <c r="U251" s="36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>
      <c r="A252" s="93" t="s">
        <v>28</v>
      </c>
      <c r="B252" s="188" t="s">
        <v>43</v>
      </c>
      <c r="C252" s="189">
        <f t="shared" ref="C252:D252" si="23">SUM(C221:C251)</f>
        <v>5325816</v>
      </c>
      <c r="D252" s="189">
        <f t="shared" si="23"/>
        <v>3664629.99</v>
      </c>
      <c r="E252" s="189"/>
      <c r="F252" s="189"/>
      <c r="G252" s="189">
        <f t="shared" ref="G252:J252" si="24">SUM(G221:G251)</f>
        <v>1374455</v>
      </c>
      <c r="H252" s="190">
        <f t="shared" si="24"/>
        <v>704530</v>
      </c>
      <c r="I252" s="189">
        <f t="shared" si="24"/>
        <v>1286287</v>
      </c>
      <c r="J252" s="73">
        <f t="shared" si="24"/>
        <v>1652685</v>
      </c>
      <c r="K252" s="804"/>
      <c r="L252" s="166"/>
      <c r="M252" s="145"/>
      <c r="N252" s="146"/>
      <c r="O252" s="147"/>
      <c r="P252" s="145"/>
      <c r="Q252" s="145"/>
      <c r="R252" s="147"/>
      <c r="S252" s="147"/>
      <c r="T252" s="33"/>
      <c r="U252" s="36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</row>
    <row r="253">
      <c r="A253" s="805" t="s">
        <v>24</v>
      </c>
      <c r="B253" s="100">
        <v>44440.0</v>
      </c>
      <c r="C253" s="22">
        <v>266295.0</v>
      </c>
      <c r="D253" s="23">
        <f>1700+187075</f>
        <v>188775</v>
      </c>
      <c r="E253" s="24"/>
      <c r="F253" s="25">
        <v>2000.0</v>
      </c>
      <c r="G253" s="35">
        <f>950+50955+2700</f>
        <v>54605</v>
      </c>
      <c r="H253" s="187">
        <v>65490.0</v>
      </c>
      <c r="I253" s="29">
        <v>65460.0</v>
      </c>
      <c r="J253" s="30">
        <v>52260.0</v>
      </c>
      <c r="K253" s="31"/>
      <c r="L253" s="39"/>
      <c r="M253" s="33"/>
      <c r="N253" s="40"/>
      <c r="O253" s="35"/>
      <c r="P253" s="33"/>
      <c r="Q253" s="33"/>
      <c r="R253" s="35"/>
      <c r="S253" s="35"/>
      <c r="T253" s="33"/>
      <c r="U253" s="36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>
      <c r="A254" s="2" t="s">
        <v>25</v>
      </c>
      <c r="B254" s="100">
        <v>44441.0</v>
      </c>
      <c r="C254" s="22">
        <v>221969.0</v>
      </c>
      <c r="D254" s="23">
        <v>200750.0</v>
      </c>
      <c r="E254" s="24">
        <v>2000.0</v>
      </c>
      <c r="F254" s="25">
        <v>1640.0</v>
      </c>
      <c r="G254" s="35">
        <v>65160.0</v>
      </c>
      <c r="H254" s="187">
        <v>28440.0</v>
      </c>
      <c r="I254" s="29">
        <v>51650.0</v>
      </c>
      <c r="J254" s="30">
        <v>72049.0</v>
      </c>
      <c r="K254" s="49"/>
      <c r="L254" s="39"/>
      <c r="M254" s="33"/>
      <c r="N254" s="40"/>
      <c r="O254" s="35"/>
      <c r="P254" s="33"/>
      <c r="Q254" s="33"/>
      <c r="R254" s="35"/>
      <c r="S254" s="35"/>
      <c r="T254" s="33"/>
      <c r="U254" s="36"/>
      <c r="V254" s="194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</row>
    <row r="255">
      <c r="A255" s="38" t="s">
        <v>26</v>
      </c>
      <c r="B255" s="100">
        <v>44442.0</v>
      </c>
      <c r="C255" s="22">
        <v>176717.0</v>
      </c>
      <c r="D255" s="23">
        <v>119090.0</v>
      </c>
      <c r="E255" s="24">
        <f>600+2500+100+300+320</f>
        <v>3820</v>
      </c>
      <c r="F255" s="25">
        <f>2000</f>
        <v>2000</v>
      </c>
      <c r="G255" s="35">
        <f>13580+47930</f>
        <v>61510</v>
      </c>
      <c r="H255" s="187">
        <v>23100.0</v>
      </c>
      <c r="I255" s="178">
        <v>37150.0</v>
      </c>
      <c r="J255" s="30">
        <v>49147.0</v>
      </c>
      <c r="K255" s="31"/>
      <c r="L255" s="32"/>
      <c r="M255" s="33"/>
      <c r="N255" s="40"/>
      <c r="O255" s="35"/>
      <c r="P255" s="33"/>
      <c r="Q255" s="33"/>
      <c r="R255" s="35"/>
      <c r="S255" s="35"/>
      <c r="T255" s="33"/>
      <c r="U255" s="36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>
      <c r="A256" s="150" t="s">
        <v>27</v>
      </c>
      <c r="B256" s="100">
        <v>44443.0</v>
      </c>
      <c r="C256" s="160"/>
      <c r="D256" s="160"/>
      <c r="E256" s="160"/>
      <c r="F256" s="160"/>
      <c r="G256" s="160"/>
      <c r="H256" s="193"/>
      <c r="I256" s="160"/>
      <c r="J256" s="160"/>
      <c r="K256" s="31"/>
      <c r="L256" s="32"/>
      <c r="M256" s="33"/>
      <c r="N256" s="40"/>
      <c r="O256" s="35"/>
      <c r="P256" s="33"/>
      <c r="Q256" s="33"/>
      <c r="R256" s="35"/>
      <c r="S256" s="35"/>
      <c r="T256" s="33"/>
      <c r="U256" s="36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</row>
    <row r="257">
      <c r="A257" s="99" t="s">
        <v>21</v>
      </c>
      <c r="B257" s="100">
        <v>44444.0</v>
      </c>
      <c r="C257" s="22">
        <v>187264.0</v>
      </c>
      <c r="D257" s="23">
        <v>99630.0</v>
      </c>
      <c r="E257" s="24">
        <f>1200+2300+50+220+210</f>
        <v>3980</v>
      </c>
      <c r="F257" s="25">
        <f>1400+2000</f>
        <v>3400</v>
      </c>
      <c r="G257" s="35">
        <f>29720+2520</f>
        <v>32240</v>
      </c>
      <c r="H257" s="187">
        <v>18740.0</v>
      </c>
      <c r="I257" s="178">
        <v>52870.0</v>
      </c>
      <c r="J257" s="30">
        <v>67674.0</v>
      </c>
      <c r="K257" s="31"/>
      <c r="L257" s="32"/>
      <c r="M257" s="33"/>
      <c r="N257" s="40"/>
      <c r="O257" s="35"/>
      <c r="P257" s="33"/>
      <c r="Q257" s="33"/>
      <c r="R257" s="35"/>
      <c r="S257" s="35"/>
      <c r="T257" s="33"/>
      <c r="U257" s="36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</row>
    <row r="258">
      <c r="A258" s="99" t="s">
        <v>22</v>
      </c>
      <c r="B258" s="100">
        <v>44445.0</v>
      </c>
      <c r="C258" s="22">
        <v>226103.0</v>
      </c>
      <c r="D258" s="23">
        <v>152356.0</v>
      </c>
      <c r="E258" s="24">
        <v>1250.0</v>
      </c>
      <c r="F258" s="25">
        <v>1600.0</v>
      </c>
      <c r="G258" s="26">
        <v>44750.0</v>
      </c>
      <c r="H258" s="187">
        <v>28430.0</v>
      </c>
      <c r="I258" s="29">
        <v>64840.0</v>
      </c>
      <c r="J258" s="30">
        <v>60537.0</v>
      </c>
      <c r="K258" s="31"/>
      <c r="L258" s="39"/>
      <c r="M258" s="33"/>
      <c r="N258" s="40"/>
      <c r="O258" s="35"/>
      <c r="P258" s="33"/>
      <c r="Q258" s="33"/>
      <c r="R258" s="35"/>
      <c r="S258" s="35"/>
      <c r="T258" s="33"/>
      <c r="U258" s="36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</row>
    <row r="259">
      <c r="A259" s="99" t="s">
        <v>32</v>
      </c>
      <c r="B259" s="100">
        <v>44446.0</v>
      </c>
      <c r="C259" s="22">
        <v>201740.0</v>
      </c>
      <c r="D259" s="23">
        <v>114479.0</v>
      </c>
      <c r="E259" s="24">
        <v>1000.0</v>
      </c>
      <c r="F259" s="25">
        <v>1000.0</v>
      </c>
      <c r="G259" s="186">
        <v>64740.0</v>
      </c>
      <c r="H259" s="171">
        <v>19880.0</v>
      </c>
      <c r="I259" s="29">
        <v>44159.0</v>
      </c>
      <c r="J259" s="30">
        <v>69220.0</v>
      </c>
      <c r="K259" s="31"/>
      <c r="L259" s="32"/>
      <c r="M259" s="33"/>
      <c r="N259" s="40"/>
      <c r="O259" s="35"/>
      <c r="P259" s="33"/>
      <c r="Q259" s="33"/>
      <c r="R259" s="35"/>
      <c r="S259" s="35"/>
      <c r="T259" s="33"/>
      <c r="U259" s="36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>
      <c r="A260" s="99" t="s">
        <v>24</v>
      </c>
      <c r="B260" s="100">
        <v>44447.0</v>
      </c>
      <c r="C260" s="22">
        <v>183890.0</v>
      </c>
      <c r="D260" s="23">
        <v>113650.0</v>
      </c>
      <c r="E260" s="24">
        <f>2400+100+220+50+700</f>
        <v>3470</v>
      </c>
      <c r="F260" s="25">
        <v>1000.0</v>
      </c>
      <c r="G260" s="186">
        <f>39280+5030</f>
        <v>44310</v>
      </c>
      <c r="H260" s="171">
        <v>23580.0</v>
      </c>
      <c r="I260" s="29">
        <v>38650.0</v>
      </c>
      <c r="J260" s="30">
        <v>43660.0</v>
      </c>
      <c r="K260" s="49"/>
      <c r="L260" s="39"/>
      <c r="M260" s="33"/>
      <c r="N260" s="40"/>
      <c r="O260" s="35"/>
      <c r="P260" s="33"/>
      <c r="Q260" s="33"/>
      <c r="R260" s="35"/>
      <c r="S260" s="35"/>
      <c r="T260" s="33"/>
      <c r="U260" s="36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</row>
    <row r="261">
      <c r="A261" s="99" t="s">
        <v>25</v>
      </c>
      <c r="B261" s="100">
        <v>44448.0</v>
      </c>
      <c r="C261" s="22">
        <v>233977.0</v>
      </c>
      <c r="D261" s="23">
        <v>171786.0</v>
      </c>
      <c r="E261" s="24">
        <v>1070.0</v>
      </c>
      <c r="F261" s="25">
        <v>0.0</v>
      </c>
      <c r="G261" s="186">
        <v>42790.0</v>
      </c>
      <c r="H261" s="171">
        <v>38640.0</v>
      </c>
      <c r="I261" s="29">
        <v>52530.0</v>
      </c>
      <c r="J261" s="30">
        <v>87031.0</v>
      </c>
      <c r="K261" s="49"/>
      <c r="L261" s="39"/>
      <c r="M261" s="33"/>
      <c r="N261" s="40"/>
      <c r="O261" s="35"/>
      <c r="P261" s="33"/>
      <c r="Q261" s="33"/>
      <c r="R261" s="35"/>
      <c r="S261" s="35"/>
      <c r="T261" s="33"/>
      <c r="U261" s="36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>
      <c r="A262" s="99" t="s">
        <v>26</v>
      </c>
      <c r="B262" s="100">
        <v>44449.0</v>
      </c>
      <c r="C262" s="22">
        <v>185080.0</v>
      </c>
      <c r="D262" s="23">
        <v>99595.0</v>
      </c>
      <c r="E262" s="24">
        <v>3200.0</v>
      </c>
      <c r="F262" s="25">
        <v>1800.0</v>
      </c>
      <c r="G262" s="186">
        <f>52910+360</f>
        <v>53270</v>
      </c>
      <c r="H262" s="171">
        <v>37000.0</v>
      </c>
      <c r="I262" s="29">
        <v>32630.0</v>
      </c>
      <c r="J262" s="30">
        <v>60040.0</v>
      </c>
      <c r="K262" s="31"/>
      <c r="L262" s="32"/>
      <c r="M262" s="33"/>
      <c r="N262" s="40"/>
      <c r="O262" s="35"/>
      <c r="P262" s="33"/>
      <c r="Q262" s="33"/>
      <c r="R262" s="35"/>
      <c r="S262" s="35"/>
      <c r="T262" s="33"/>
      <c r="U262" s="36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</row>
    <row r="263">
      <c r="A263" s="150" t="s">
        <v>27</v>
      </c>
      <c r="B263" s="100">
        <v>44450.0</v>
      </c>
      <c r="C263" s="160"/>
      <c r="D263" s="160"/>
      <c r="E263" s="160"/>
      <c r="F263" s="160"/>
      <c r="G263" s="176"/>
      <c r="H263" s="176"/>
      <c r="I263" s="160"/>
      <c r="J263" s="160"/>
      <c r="K263" s="31"/>
      <c r="L263" s="39"/>
      <c r="M263" s="33"/>
      <c r="N263" s="40"/>
      <c r="O263" s="35"/>
      <c r="P263" s="33"/>
      <c r="Q263" s="33"/>
      <c r="R263" s="35"/>
      <c r="S263" s="35"/>
      <c r="T263" s="33"/>
      <c r="U263" s="36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>
      <c r="A264" s="99" t="s">
        <v>21</v>
      </c>
      <c r="B264" s="100">
        <v>44451.0</v>
      </c>
      <c r="C264" s="22">
        <v>182878.0</v>
      </c>
      <c r="D264" s="23">
        <v>112370.0</v>
      </c>
      <c r="E264" s="24">
        <f>400+2400+100+300+140</f>
        <v>3340</v>
      </c>
      <c r="F264" s="25">
        <f>1000+500</f>
        <v>1500</v>
      </c>
      <c r="G264" s="186">
        <f>36880</f>
        <v>36880</v>
      </c>
      <c r="H264" s="171">
        <v>29940.0</v>
      </c>
      <c r="I264" s="178">
        <v>36748.0</v>
      </c>
      <c r="J264" s="30">
        <v>63108.0</v>
      </c>
      <c r="K264" s="31"/>
      <c r="L264" s="32"/>
      <c r="M264" s="33"/>
      <c r="N264" s="40"/>
      <c r="O264" s="35"/>
      <c r="P264" s="33"/>
      <c r="Q264" s="33"/>
      <c r="R264" s="35"/>
      <c r="S264" s="35"/>
      <c r="T264" s="33"/>
      <c r="U264" s="36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</row>
    <row r="265">
      <c r="A265" s="99" t="s">
        <v>22</v>
      </c>
      <c r="B265" s="100">
        <v>44452.0</v>
      </c>
      <c r="C265" s="22">
        <v>226429.0</v>
      </c>
      <c r="D265" s="23">
        <v>138880.0</v>
      </c>
      <c r="E265" s="24">
        <v>990.0</v>
      </c>
      <c r="F265" s="25">
        <v>1000.0</v>
      </c>
      <c r="G265" s="195">
        <v>55140.0</v>
      </c>
      <c r="H265" s="171">
        <v>34190.0</v>
      </c>
      <c r="I265" s="29">
        <v>48990.0</v>
      </c>
      <c r="J265" s="30">
        <v>63845.0</v>
      </c>
      <c r="K265" s="31"/>
      <c r="L265" s="39"/>
      <c r="M265" s="33"/>
      <c r="N265" s="40"/>
      <c r="O265" s="35"/>
      <c r="P265" s="33"/>
      <c r="Q265" s="33"/>
      <c r="R265" s="35"/>
      <c r="S265" s="35"/>
      <c r="T265" s="33"/>
      <c r="U265" s="36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</row>
    <row r="266">
      <c r="A266" s="99" t="s">
        <v>32</v>
      </c>
      <c r="B266" s="100">
        <v>44453.0</v>
      </c>
      <c r="C266" s="22">
        <v>232960.0</v>
      </c>
      <c r="D266" s="23">
        <v>128033.0</v>
      </c>
      <c r="E266" s="24">
        <v>2100.0</v>
      </c>
      <c r="F266" s="25">
        <v>2800.0</v>
      </c>
      <c r="G266" s="186">
        <v>54510.0</v>
      </c>
      <c r="H266" s="171">
        <v>33440.0</v>
      </c>
      <c r="I266" s="29">
        <v>56900.0</v>
      </c>
      <c r="J266" s="30">
        <v>76852.0</v>
      </c>
      <c r="K266" s="49"/>
      <c r="L266" s="196"/>
      <c r="M266" s="33"/>
      <c r="N266" s="40"/>
      <c r="O266" s="35"/>
      <c r="P266" s="33"/>
      <c r="Q266" s="33"/>
      <c r="R266" s="35"/>
      <c r="S266" s="35"/>
      <c r="T266" s="33"/>
      <c r="U266" s="36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</row>
    <row r="267">
      <c r="A267" s="99" t="s">
        <v>24</v>
      </c>
      <c r="B267" s="100">
        <v>44454.0</v>
      </c>
      <c r="C267" s="22">
        <v>334140.0</v>
      </c>
      <c r="D267" s="23">
        <v>226610.0</v>
      </c>
      <c r="E267" s="24">
        <f>700+1900+150+100+140</f>
        <v>2990</v>
      </c>
      <c r="F267" s="25">
        <f>2000</f>
        <v>2000</v>
      </c>
      <c r="G267" s="186">
        <f>39540+39920</f>
        <v>79460</v>
      </c>
      <c r="H267" s="171">
        <v>41950.0</v>
      </c>
      <c r="I267" s="29">
        <v>93020.0</v>
      </c>
      <c r="J267" s="30">
        <v>80890.0</v>
      </c>
      <c r="K267" s="31"/>
      <c r="L267" s="39"/>
      <c r="M267" s="33"/>
      <c r="N267" s="40"/>
      <c r="O267" s="35"/>
      <c r="P267" s="33"/>
      <c r="Q267" s="33"/>
      <c r="R267" s="35"/>
      <c r="S267" s="35"/>
      <c r="T267" s="33"/>
      <c r="U267" s="36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>
      <c r="A268" s="99" t="s">
        <v>25</v>
      </c>
      <c r="B268" s="100">
        <v>44455.0</v>
      </c>
      <c r="C268" s="22">
        <v>199260.0</v>
      </c>
      <c r="D268" s="23">
        <v>129930.0</v>
      </c>
      <c r="E268" s="24">
        <v>1500.0</v>
      </c>
      <c r="F268" s="25"/>
      <c r="G268" s="35">
        <v>33640.0</v>
      </c>
      <c r="H268" s="27">
        <v>43720.0</v>
      </c>
      <c r="I268" s="29">
        <v>51980.0</v>
      </c>
      <c r="J268" s="30">
        <v>65823.0</v>
      </c>
      <c r="K268" s="31"/>
      <c r="L268" s="39"/>
      <c r="M268" s="33"/>
      <c r="N268" s="40"/>
      <c r="O268" s="35"/>
      <c r="P268" s="33"/>
      <c r="Q268" s="33"/>
      <c r="R268" s="35"/>
      <c r="S268" s="35"/>
      <c r="T268" s="33"/>
      <c r="U268" s="36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</row>
    <row r="269">
      <c r="A269" s="99" t="s">
        <v>26</v>
      </c>
      <c r="B269" s="100">
        <v>44456.0</v>
      </c>
      <c r="C269" s="22">
        <f>206160-21300</f>
        <v>184860</v>
      </c>
      <c r="D269" s="23">
        <v>132800.0</v>
      </c>
      <c r="E269" s="24">
        <f>700+2800+280+900</f>
        <v>4680</v>
      </c>
      <c r="F269" s="25">
        <f>2000+1300</f>
        <v>3300</v>
      </c>
      <c r="G269" s="35">
        <f>43850+4800</f>
        <v>48650</v>
      </c>
      <c r="H269" s="27">
        <v>28230.0</v>
      </c>
      <c r="I269" s="29">
        <v>32630.0</v>
      </c>
      <c r="J269" s="30">
        <v>75000.0</v>
      </c>
      <c r="K269" s="31"/>
      <c r="L269" s="32"/>
      <c r="M269" s="33"/>
      <c r="N269" s="40"/>
      <c r="O269" s="35"/>
      <c r="P269" s="33"/>
      <c r="Q269" s="33"/>
      <c r="R269" s="35"/>
      <c r="S269" s="35"/>
      <c r="T269" s="33"/>
      <c r="U269" s="36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>
      <c r="A270" s="150" t="s">
        <v>27</v>
      </c>
      <c r="B270" s="100">
        <v>44457.0</v>
      </c>
      <c r="C270" s="160"/>
      <c r="D270" s="160"/>
      <c r="E270" s="160"/>
      <c r="F270" s="160"/>
      <c r="G270" s="160"/>
      <c r="H270" s="193"/>
      <c r="I270" s="160"/>
      <c r="J270" s="160"/>
      <c r="K270" s="49"/>
      <c r="L270" s="32"/>
      <c r="M270" s="33"/>
      <c r="N270" s="40"/>
      <c r="O270" s="35"/>
      <c r="P270" s="33"/>
      <c r="Q270" s="33"/>
      <c r="R270" s="35"/>
      <c r="S270" s="35"/>
      <c r="T270" s="33"/>
      <c r="U270" s="36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</row>
    <row r="271">
      <c r="A271" s="99" t="s">
        <v>21</v>
      </c>
      <c r="B271" s="100">
        <v>44458.0</v>
      </c>
      <c r="C271" s="22">
        <v>223474.0</v>
      </c>
      <c r="D271" s="23">
        <v>106970.0</v>
      </c>
      <c r="E271" s="24">
        <f>900+3700+120+180</f>
        <v>4900</v>
      </c>
      <c r="F271" s="25">
        <f>500+2000</f>
        <v>2500</v>
      </c>
      <c r="G271" s="35">
        <v>37570.0</v>
      </c>
      <c r="H271" s="27">
        <v>35920.0</v>
      </c>
      <c r="I271" s="29">
        <v>39090.0</v>
      </c>
      <c r="J271" s="30">
        <v>105294.0</v>
      </c>
      <c r="K271" s="31"/>
      <c r="L271" s="32"/>
      <c r="M271" s="33"/>
      <c r="N271" s="40"/>
      <c r="O271" s="35"/>
      <c r="P271" s="33"/>
      <c r="Q271" s="33"/>
      <c r="R271" s="35"/>
      <c r="S271" s="35"/>
      <c r="T271" s="33"/>
      <c r="U271" s="36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</row>
    <row r="272">
      <c r="A272" s="99" t="s">
        <v>22</v>
      </c>
      <c r="B272" s="100">
        <v>44459.0</v>
      </c>
      <c r="C272" s="22">
        <v>234277.0</v>
      </c>
      <c r="D272" s="23">
        <v>147880.0</v>
      </c>
      <c r="E272" s="24">
        <v>1030.0</v>
      </c>
      <c r="F272" s="25">
        <v>2000.0</v>
      </c>
      <c r="G272" s="197">
        <v>51420.0</v>
      </c>
      <c r="H272" s="27">
        <v>47430.0</v>
      </c>
      <c r="I272" s="29">
        <v>37610.0</v>
      </c>
      <c r="J272" s="30">
        <v>70067.0</v>
      </c>
      <c r="K272" s="31"/>
      <c r="L272" s="39"/>
      <c r="M272" s="33"/>
      <c r="N272" s="40"/>
      <c r="O272" s="35"/>
      <c r="P272" s="33"/>
      <c r="Q272" s="33"/>
      <c r="R272" s="35"/>
      <c r="S272" s="35"/>
      <c r="T272" s="33"/>
      <c r="U272" s="36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</row>
    <row r="273">
      <c r="A273" s="99" t="s">
        <v>32</v>
      </c>
      <c r="B273" s="100">
        <v>44460.0</v>
      </c>
      <c r="C273" s="22">
        <v>306346.0</v>
      </c>
      <c r="D273" s="23">
        <v>227240.0</v>
      </c>
      <c r="E273" s="24">
        <v>2200.0</v>
      </c>
      <c r="F273" s="25">
        <v>1200.0</v>
      </c>
      <c r="G273" s="35">
        <v>81890.0</v>
      </c>
      <c r="H273" s="171">
        <v>63100.0</v>
      </c>
      <c r="I273" s="178">
        <v>65110.0</v>
      </c>
      <c r="J273" s="30">
        <v>79136.0</v>
      </c>
      <c r="K273" s="31"/>
      <c r="L273" s="32"/>
      <c r="M273" s="33"/>
      <c r="N273" s="40"/>
      <c r="O273" s="35"/>
      <c r="P273" s="33"/>
      <c r="Q273" s="33"/>
      <c r="R273" s="35"/>
      <c r="S273" s="35"/>
      <c r="T273" s="33"/>
      <c r="U273" s="36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>
      <c r="A274" s="99" t="s">
        <v>24</v>
      </c>
      <c r="B274" s="100">
        <v>44461.0</v>
      </c>
      <c r="C274" s="22">
        <f>251087+2550+2700</f>
        <v>256337</v>
      </c>
      <c r="D274" s="23">
        <f>2700+162950</f>
        <v>165650</v>
      </c>
      <c r="E274" s="24">
        <f>900+2400+240+50</f>
        <v>3590</v>
      </c>
      <c r="F274" s="25">
        <v>1600.0</v>
      </c>
      <c r="G274" s="35">
        <f>2550+13340+46890+2300</f>
        <v>65080</v>
      </c>
      <c r="H274" s="187">
        <v>41270.0</v>
      </c>
      <c r="I274" s="178">
        <v>55630.0</v>
      </c>
      <c r="J274" s="30">
        <v>52407.0</v>
      </c>
      <c r="K274" s="49"/>
      <c r="L274" s="32"/>
      <c r="M274" s="33"/>
      <c r="N274" s="40"/>
      <c r="O274" s="35"/>
      <c r="P274" s="33"/>
      <c r="Q274" s="33"/>
      <c r="R274" s="35"/>
      <c r="S274" s="35"/>
      <c r="T274" s="33"/>
      <c r="U274" s="36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</row>
    <row r="275">
      <c r="A275" s="99" t="s">
        <v>25</v>
      </c>
      <c r="B275" s="100">
        <v>44462.0</v>
      </c>
      <c r="C275" s="22">
        <v>227753.0</v>
      </c>
      <c r="D275" s="23">
        <v>173368.0</v>
      </c>
      <c r="E275" s="24">
        <v>1000.0</v>
      </c>
      <c r="F275" s="25">
        <v>0.0</v>
      </c>
      <c r="G275" s="186">
        <v>65875.0</v>
      </c>
      <c r="H275" s="187">
        <v>19460.0</v>
      </c>
      <c r="I275" s="178">
        <v>49980.0</v>
      </c>
      <c r="J275" s="30">
        <v>75155.0</v>
      </c>
      <c r="K275" s="31"/>
      <c r="L275" s="39"/>
      <c r="M275" s="33"/>
      <c r="N275" s="40"/>
      <c r="O275" s="35"/>
      <c r="P275" s="33"/>
      <c r="Q275" s="33"/>
      <c r="R275" s="35"/>
      <c r="S275" s="35"/>
      <c r="T275" s="33"/>
      <c r="U275" s="36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>
      <c r="A276" s="99" t="s">
        <v>26</v>
      </c>
      <c r="B276" s="100">
        <v>44463.0</v>
      </c>
      <c r="C276" s="22">
        <v>209901.0</v>
      </c>
      <c r="D276" s="23">
        <v>96218.0</v>
      </c>
      <c r="E276" s="24">
        <v>1500.0</v>
      </c>
      <c r="F276" s="25">
        <v>2200.0</v>
      </c>
      <c r="G276" s="186">
        <v>47230.0</v>
      </c>
      <c r="H276" s="27">
        <v>31760.0</v>
      </c>
      <c r="I276" s="178">
        <v>38240.0</v>
      </c>
      <c r="J276" s="30">
        <v>94137.0</v>
      </c>
      <c r="K276" s="31"/>
      <c r="L276" s="32"/>
      <c r="M276" s="33"/>
      <c r="N276" s="40"/>
      <c r="O276" s="35"/>
      <c r="P276" s="33"/>
      <c r="Q276" s="33"/>
      <c r="R276" s="35"/>
      <c r="S276" s="35"/>
      <c r="T276" s="33"/>
      <c r="U276" s="36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</row>
    <row r="277">
      <c r="A277" s="150" t="s">
        <v>27</v>
      </c>
      <c r="B277" s="100">
        <v>44464.0</v>
      </c>
      <c r="C277" s="160"/>
      <c r="D277" s="160"/>
      <c r="E277" s="160"/>
      <c r="F277" s="160"/>
      <c r="G277" s="160"/>
      <c r="H277" s="160"/>
      <c r="I277" s="160"/>
      <c r="J277" s="160"/>
      <c r="K277" s="31"/>
      <c r="L277" s="39"/>
      <c r="M277" s="33"/>
      <c r="N277" s="40"/>
      <c r="O277" s="35"/>
      <c r="P277" s="33"/>
      <c r="Q277" s="33"/>
      <c r="R277" s="35"/>
      <c r="S277" s="35"/>
      <c r="T277" s="33"/>
      <c r="U277" s="36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>
      <c r="A278" s="99" t="s">
        <v>21</v>
      </c>
      <c r="B278" s="100">
        <v>44465.0</v>
      </c>
      <c r="C278" s="22">
        <v>169720.0</v>
      </c>
      <c r="D278" s="23">
        <v>89350.0</v>
      </c>
      <c r="E278" s="24">
        <f>1400+2900+150+240+160</f>
        <v>4850</v>
      </c>
      <c r="F278" s="25">
        <v>1000.0</v>
      </c>
      <c r="G278" s="35">
        <f>6300+25100</f>
        <v>31400</v>
      </c>
      <c r="H278" s="187">
        <v>23260.0</v>
      </c>
      <c r="I278" s="29">
        <v>30670.0</v>
      </c>
      <c r="J278" s="30">
        <v>68480.0</v>
      </c>
      <c r="K278" s="31"/>
      <c r="L278" s="32"/>
      <c r="M278" s="33"/>
      <c r="N278" s="40"/>
      <c r="O278" s="35"/>
      <c r="P278" s="33"/>
      <c r="Q278" s="33"/>
      <c r="R278" s="35"/>
      <c r="S278" s="35"/>
      <c r="T278" s="33"/>
      <c r="U278" s="36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</row>
    <row r="279">
      <c r="A279" s="99" t="s">
        <v>22</v>
      </c>
      <c r="B279" s="100">
        <v>44466.0</v>
      </c>
      <c r="C279" s="22">
        <v>223535.0</v>
      </c>
      <c r="D279" s="23">
        <v>143362.0</v>
      </c>
      <c r="E279" s="24">
        <v>3060.0</v>
      </c>
      <c r="F279" s="25"/>
      <c r="G279" s="26">
        <v>71830.0</v>
      </c>
      <c r="H279" s="27">
        <v>19470.0</v>
      </c>
      <c r="I279" s="199">
        <v>49430.0</v>
      </c>
      <c r="J279" s="30">
        <v>62145.0</v>
      </c>
      <c r="K279" s="31"/>
      <c r="L279" s="39"/>
      <c r="M279" s="33"/>
      <c r="N279" s="40"/>
      <c r="O279" s="35"/>
      <c r="P279" s="33"/>
      <c r="Q279" s="33"/>
      <c r="R279" s="35"/>
      <c r="S279" s="35"/>
      <c r="T279" s="33"/>
      <c r="U279" s="36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</row>
    <row r="280">
      <c r="A280" s="99" t="s">
        <v>32</v>
      </c>
      <c r="B280" s="100">
        <v>44467.0</v>
      </c>
      <c r="C280" s="22">
        <v>235354.0</v>
      </c>
      <c r="D280" s="23">
        <v>164350.0</v>
      </c>
      <c r="E280" s="24">
        <v>1200.0</v>
      </c>
      <c r="F280" s="25"/>
      <c r="G280" s="35">
        <v>47350.0</v>
      </c>
      <c r="H280" s="27">
        <v>35490.0</v>
      </c>
      <c r="I280" s="178">
        <v>42330.0</v>
      </c>
      <c r="J280" s="30">
        <v>70144.0</v>
      </c>
      <c r="K280" s="31"/>
      <c r="L280" s="32"/>
      <c r="M280" s="33"/>
      <c r="N280" s="40"/>
      <c r="O280" s="35"/>
      <c r="P280" s="33"/>
      <c r="Q280" s="33"/>
      <c r="R280" s="35"/>
      <c r="S280" s="35"/>
      <c r="T280" s="33"/>
      <c r="U280" s="36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</row>
    <row r="281">
      <c r="A281" s="99" t="s">
        <v>24</v>
      </c>
      <c r="B281" s="100">
        <v>44468.0</v>
      </c>
      <c r="C281" s="22">
        <v>326325.0</v>
      </c>
      <c r="D281" s="23">
        <v>175595.0</v>
      </c>
      <c r="E281" s="24">
        <v>1800.0</v>
      </c>
      <c r="F281" s="25"/>
      <c r="G281" s="200">
        <f>38670+30940</f>
        <v>69610</v>
      </c>
      <c r="H281" s="27">
        <v>54150.0</v>
      </c>
      <c r="I281" s="178">
        <v>74580.0</v>
      </c>
      <c r="J281" s="30">
        <v>93415.0</v>
      </c>
      <c r="K281" s="31"/>
      <c r="L281" s="39"/>
      <c r="M281" s="33"/>
      <c r="N281" s="40"/>
      <c r="O281" s="35"/>
      <c r="P281" s="33"/>
      <c r="Q281" s="33"/>
      <c r="R281" s="35"/>
      <c r="S281" s="35"/>
      <c r="T281" s="33"/>
      <c r="U281" s="36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>
      <c r="A282" s="99" t="s">
        <v>25</v>
      </c>
      <c r="B282" s="100">
        <v>44469.0</v>
      </c>
      <c r="C282" s="22">
        <v>245376.0</v>
      </c>
      <c r="D282" s="23">
        <v>220199.0</v>
      </c>
      <c r="E282" s="24">
        <v>690.0</v>
      </c>
      <c r="F282" s="25"/>
      <c r="G282" s="35">
        <v>52970.0</v>
      </c>
      <c r="H282" s="27">
        <v>36240.0</v>
      </c>
      <c r="I282" s="199">
        <v>64340.0</v>
      </c>
      <c r="J282" s="30">
        <v>65776.0</v>
      </c>
      <c r="K282" s="31"/>
      <c r="L282" s="39"/>
      <c r="M282" s="33"/>
      <c r="N282" s="40"/>
      <c r="O282" s="35"/>
      <c r="P282" s="33"/>
      <c r="Q282" s="33"/>
      <c r="R282" s="35"/>
      <c r="S282" s="35"/>
      <c r="T282" s="33"/>
      <c r="U282" s="36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</row>
    <row r="283">
      <c r="A283" s="93" t="s">
        <v>28</v>
      </c>
      <c r="B283" s="129" t="s">
        <v>45</v>
      </c>
      <c r="C283" s="73">
        <f t="shared" ref="C283:D283" si="25">SUM(C253:C282)</f>
        <v>5901960</v>
      </c>
      <c r="D283" s="73">
        <f t="shared" si="25"/>
        <v>3838916</v>
      </c>
      <c r="E283" s="73"/>
      <c r="F283" s="73"/>
      <c r="G283" s="73">
        <f t="shared" ref="G283:J283" si="26">SUM(G253:G282)</f>
        <v>1393880</v>
      </c>
      <c r="H283" s="73">
        <f t="shared" si="26"/>
        <v>902320</v>
      </c>
      <c r="I283" s="201">
        <f t="shared" si="26"/>
        <v>1307217</v>
      </c>
      <c r="J283" s="73">
        <f t="shared" si="26"/>
        <v>1823292</v>
      </c>
      <c r="K283" s="31"/>
      <c r="L283" s="32"/>
      <c r="M283" s="33"/>
      <c r="N283" s="40"/>
      <c r="O283" s="35"/>
      <c r="P283" s="33"/>
      <c r="Q283" s="33"/>
      <c r="R283" s="35"/>
      <c r="S283" s="35"/>
      <c r="T283" s="33"/>
      <c r="U283" s="36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>
      <c r="A284" s="38" t="s">
        <v>26</v>
      </c>
      <c r="B284" s="100">
        <v>44835.0</v>
      </c>
      <c r="C284" s="806">
        <v>204059.0</v>
      </c>
      <c r="D284" s="801">
        <v>134220.0</v>
      </c>
      <c r="E284" s="807">
        <f>1600+1900+200+400+120</f>
        <v>4220</v>
      </c>
      <c r="F284" s="808">
        <v>600.0</v>
      </c>
      <c r="G284" s="809">
        <f>63020+6280</f>
        <v>69300</v>
      </c>
      <c r="H284" s="802">
        <v>27450.0</v>
      </c>
      <c r="I284" s="810">
        <v>33970.0</v>
      </c>
      <c r="J284" s="30">
        <v>65329.0</v>
      </c>
      <c r="K284" s="203"/>
      <c r="L284" s="172"/>
      <c r="M284" s="173"/>
      <c r="N284" s="174"/>
      <c r="O284" s="175"/>
      <c r="P284" s="173"/>
      <c r="Q284" s="173"/>
      <c r="R284" s="175"/>
      <c r="S284" s="175"/>
      <c r="T284" s="33"/>
      <c r="U284" s="36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</row>
    <row r="285">
      <c r="A285" s="202" t="s">
        <v>27</v>
      </c>
      <c r="B285" s="100">
        <v>44836.0</v>
      </c>
      <c r="C285" s="160"/>
      <c r="D285" s="160"/>
      <c r="E285" s="160"/>
      <c r="F285" s="160"/>
      <c r="G285" s="160"/>
      <c r="H285" s="160"/>
      <c r="I285" s="160"/>
      <c r="J285" s="160"/>
      <c r="K285" s="160"/>
      <c r="L285" s="39"/>
      <c r="M285" s="33"/>
      <c r="N285" s="40"/>
      <c r="O285" s="35"/>
      <c r="P285" s="33"/>
      <c r="Q285" s="33"/>
      <c r="R285" s="35"/>
      <c r="S285" s="35"/>
      <c r="T285" s="33"/>
      <c r="U285" s="36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>
      <c r="A286" s="54" t="s">
        <v>21</v>
      </c>
      <c r="B286" s="100">
        <v>44837.0</v>
      </c>
      <c r="C286" s="22">
        <v>410861.0</v>
      </c>
      <c r="D286" s="23">
        <v>209157.0</v>
      </c>
      <c r="E286" s="24">
        <v>2450.0</v>
      </c>
      <c r="F286" s="204">
        <v>1000.0</v>
      </c>
      <c r="G286" s="26">
        <f>31320+32750</f>
        <v>64070</v>
      </c>
      <c r="H286" s="27">
        <v>65350.0</v>
      </c>
      <c r="I286" s="29">
        <f>132710+640</f>
        <v>133350</v>
      </c>
      <c r="J286" s="30">
        <v>124541.0</v>
      </c>
      <c r="K286" s="31"/>
      <c r="L286" s="39"/>
      <c r="M286" s="33"/>
      <c r="N286" s="40"/>
      <c r="O286" s="35"/>
      <c r="P286" s="33"/>
      <c r="Q286" s="33"/>
      <c r="R286" s="35"/>
      <c r="S286" s="35"/>
      <c r="T286" s="33"/>
      <c r="U286" s="36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</row>
    <row r="287">
      <c r="A287" s="54" t="s">
        <v>22</v>
      </c>
      <c r="B287" s="100">
        <v>44838.0</v>
      </c>
      <c r="C287" s="22">
        <v>220696.0</v>
      </c>
      <c r="D287" s="23">
        <v>129560.0</v>
      </c>
      <c r="E287" s="24">
        <v>2800.0</v>
      </c>
      <c r="F287" s="204">
        <v>1000.0</v>
      </c>
      <c r="G287" s="26">
        <v>40200.0</v>
      </c>
      <c r="H287" s="27">
        <v>35200.0</v>
      </c>
      <c r="I287" s="199">
        <v>49480.0</v>
      </c>
      <c r="J287" s="30">
        <v>69348.0</v>
      </c>
      <c r="K287" s="31"/>
      <c r="L287" s="39"/>
      <c r="M287" s="33"/>
      <c r="N287" s="40"/>
      <c r="O287" s="35"/>
      <c r="P287" s="33"/>
      <c r="Q287" s="33"/>
      <c r="R287" s="35"/>
      <c r="S287" s="35"/>
      <c r="T287" s="33"/>
      <c r="U287" s="36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</row>
    <row r="288">
      <c r="A288" s="54" t="s">
        <v>32</v>
      </c>
      <c r="B288" s="100">
        <v>44839.0</v>
      </c>
      <c r="C288" s="22">
        <v>196147.0</v>
      </c>
      <c r="D288" s="23">
        <v>103090.0</v>
      </c>
      <c r="E288" s="24">
        <v>1560.0</v>
      </c>
      <c r="F288" s="204">
        <v>1000.0</v>
      </c>
      <c r="G288" s="26">
        <f>22320+30850</f>
        <v>53170</v>
      </c>
      <c r="H288" s="27">
        <v>25440.0</v>
      </c>
      <c r="I288" s="29">
        <v>41960.0</v>
      </c>
      <c r="J288" s="30">
        <v>59447.0</v>
      </c>
      <c r="K288" s="31"/>
      <c r="L288" s="32"/>
      <c r="M288" s="33"/>
      <c r="N288" s="40"/>
      <c r="O288" s="35"/>
      <c r="P288" s="33"/>
      <c r="Q288" s="33"/>
      <c r="R288" s="35"/>
      <c r="S288" s="35"/>
      <c r="T288" s="33"/>
      <c r="U288" s="36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</row>
    <row r="289">
      <c r="A289" s="54" t="s">
        <v>24</v>
      </c>
      <c r="B289" s="100">
        <v>44840.0</v>
      </c>
      <c r="C289" s="22">
        <v>288035.0</v>
      </c>
      <c r="D289" s="23">
        <v>160008.0</v>
      </c>
      <c r="E289" s="24">
        <v>2100.0</v>
      </c>
      <c r="F289" s="204"/>
      <c r="G289" s="26">
        <f>23390+26810</f>
        <v>50200</v>
      </c>
      <c r="H289" s="27">
        <v>61490.0</v>
      </c>
      <c r="I289" s="29">
        <v>76630.0</v>
      </c>
      <c r="J289" s="30">
        <v>66325.0</v>
      </c>
      <c r="K289" s="31"/>
      <c r="L289" s="32"/>
      <c r="M289" s="33"/>
      <c r="N289" s="40"/>
      <c r="O289" s="35"/>
      <c r="P289" s="33"/>
      <c r="Q289" s="33"/>
      <c r="R289" s="35"/>
      <c r="S289" s="35"/>
      <c r="T289" s="33"/>
      <c r="U289" s="36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>
      <c r="A290" s="54" t="s">
        <v>25</v>
      </c>
      <c r="B290" s="100">
        <v>44841.0</v>
      </c>
      <c r="C290" s="22">
        <v>136564.0</v>
      </c>
      <c r="D290" s="23">
        <v>87760.0</v>
      </c>
      <c r="E290" s="24">
        <v>1800.0</v>
      </c>
      <c r="F290" s="204"/>
      <c r="G290" s="26">
        <v>35750.0</v>
      </c>
      <c r="H290" s="27">
        <v>28980.0</v>
      </c>
      <c r="I290" s="29">
        <v>28750.0</v>
      </c>
      <c r="J290" s="30">
        <v>44054.0</v>
      </c>
      <c r="K290" s="31"/>
      <c r="L290" s="32"/>
      <c r="M290" s="33"/>
      <c r="N290" s="40"/>
      <c r="O290" s="35"/>
      <c r="P290" s="33"/>
      <c r="Q290" s="33"/>
      <c r="R290" s="35"/>
      <c r="S290" s="35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</row>
    <row r="291">
      <c r="A291" s="54" t="s">
        <v>33</v>
      </c>
      <c r="B291" s="100">
        <v>44842.0</v>
      </c>
      <c r="C291" s="22">
        <v>181726.0</v>
      </c>
      <c r="D291" s="23">
        <v>94355.0</v>
      </c>
      <c r="E291" s="24">
        <v>2600.0</v>
      </c>
      <c r="F291" s="204">
        <v>400.0</v>
      </c>
      <c r="G291" s="26">
        <f>27670+24940</f>
        <v>52610</v>
      </c>
      <c r="H291" s="27">
        <v>30780.0</v>
      </c>
      <c r="I291" s="29">
        <v>30780.0</v>
      </c>
      <c r="J291" s="30">
        <v>62856.0</v>
      </c>
      <c r="K291" s="31"/>
      <c r="L291" s="39"/>
      <c r="M291" s="33"/>
      <c r="N291" s="40"/>
      <c r="O291" s="35"/>
      <c r="P291" s="33"/>
      <c r="Q291" s="33"/>
      <c r="R291" s="35"/>
      <c r="S291" s="35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>
      <c r="A292" s="205" t="s">
        <v>27</v>
      </c>
      <c r="B292" s="100">
        <v>44843.0</v>
      </c>
      <c r="C292" s="160"/>
      <c r="D292" s="160"/>
      <c r="E292" s="160"/>
      <c r="F292" s="160"/>
      <c r="G292" s="160"/>
      <c r="H292" s="160"/>
      <c r="I292" s="160"/>
      <c r="J292" s="160"/>
      <c r="K292" s="31"/>
      <c r="L292" s="39"/>
      <c r="M292" s="33"/>
      <c r="N292" s="40"/>
      <c r="O292" s="35"/>
      <c r="P292" s="33"/>
      <c r="Q292" s="33"/>
      <c r="R292" s="35"/>
      <c r="S292" s="35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</row>
    <row r="293">
      <c r="A293" s="54" t="s">
        <v>21</v>
      </c>
      <c r="B293" s="100">
        <v>44844.0</v>
      </c>
      <c r="C293" s="22"/>
      <c r="D293" s="23"/>
      <c r="E293" s="24"/>
      <c r="F293" s="204"/>
      <c r="G293" s="26"/>
      <c r="H293" s="27"/>
      <c r="I293" s="29"/>
      <c r="J293" s="30"/>
      <c r="K293" s="31"/>
      <c r="L293" s="39"/>
      <c r="M293" s="33"/>
      <c r="N293" s="40"/>
      <c r="O293" s="35"/>
      <c r="P293" s="33"/>
      <c r="Q293" s="33"/>
      <c r="R293" s="35"/>
      <c r="S293" s="35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</row>
    <row r="294">
      <c r="A294" s="54" t="s">
        <v>22</v>
      </c>
      <c r="B294" s="100">
        <v>44845.0</v>
      </c>
      <c r="C294" s="22">
        <v>207403.0</v>
      </c>
      <c r="D294" s="23">
        <v>105099.0</v>
      </c>
      <c r="E294" s="24">
        <v>2800.0</v>
      </c>
      <c r="F294" s="204">
        <v>400.0</v>
      </c>
      <c r="G294" s="26">
        <f>25810+16720</f>
        <v>42530</v>
      </c>
      <c r="H294" s="27">
        <v>31400.0</v>
      </c>
      <c r="I294" s="29">
        <v>55540.0</v>
      </c>
      <c r="J294" s="30">
        <v>62000.0</v>
      </c>
      <c r="K294" s="811"/>
      <c r="L294" s="206"/>
      <c r="M294" s="40"/>
      <c r="N294" s="40"/>
      <c r="O294" s="34"/>
      <c r="P294" s="40"/>
      <c r="Q294" s="40"/>
      <c r="R294" s="34"/>
      <c r="S294" s="34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  <c r="AG294" s="207"/>
      <c r="AH294" s="207"/>
    </row>
    <row r="295">
      <c r="A295" s="54" t="s">
        <v>32</v>
      </c>
      <c r="B295" s="100">
        <v>44846.0</v>
      </c>
      <c r="C295" s="22">
        <v>206834.0</v>
      </c>
      <c r="D295" s="23">
        <v>106061.0</v>
      </c>
      <c r="E295" s="24">
        <v>1500.0</v>
      </c>
      <c r="F295" s="204">
        <v>400.0</v>
      </c>
      <c r="G295" s="26">
        <f>24400+7150</f>
        <v>31550</v>
      </c>
      <c r="H295" s="27">
        <v>34220.0</v>
      </c>
      <c r="I295" s="29">
        <v>47580.0</v>
      </c>
      <c r="J295" s="30">
        <v>78321.0</v>
      </c>
      <c r="K295" s="31"/>
      <c r="L295" s="32"/>
      <c r="M295" s="33"/>
      <c r="N295" s="40"/>
      <c r="O295" s="35"/>
      <c r="P295" s="33"/>
      <c r="Q295" s="33"/>
      <c r="R295" s="35"/>
      <c r="S295" s="35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>
      <c r="A296" s="54" t="s">
        <v>24</v>
      </c>
      <c r="B296" s="100">
        <v>44847.0</v>
      </c>
      <c r="C296" s="22">
        <v>280755.0</v>
      </c>
      <c r="D296" s="23">
        <v>171340.0</v>
      </c>
      <c r="E296" s="24">
        <v>1620.0</v>
      </c>
      <c r="F296" s="204">
        <v>1200.0</v>
      </c>
      <c r="G296" s="26">
        <v>73610.0</v>
      </c>
      <c r="H296" s="27">
        <v>53140.0</v>
      </c>
      <c r="I296" s="29">
        <v>64240.0</v>
      </c>
      <c r="J296" s="30">
        <v>60815.0</v>
      </c>
      <c r="K296" s="31"/>
      <c r="L296" s="32"/>
      <c r="M296" s="33"/>
      <c r="N296" s="40"/>
      <c r="O296" s="35"/>
      <c r="P296" s="33"/>
      <c r="Q296" s="33"/>
      <c r="R296" s="35"/>
      <c r="S296" s="35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>
      <c r="A297" s="54" t="s">
        <v>25</v>
      </c>
      <c r="B297" s="208" t="s">
        <v>47</v>
      </c>
      <c r="C297" s="22">
        <v>223465.0</v>
      </c>
      <c r="D297" s="23">
        <v>103475.0</v>
      </c>
      <c r="E297" s="24">
        <v>900.0</v>
      </c>
      <c r="F297" s="204">
        <v>1200.0</v>
      </c>
      <c r="G297" s="26">
        <f>10590+31080</f>
        <v>41670</v>
      </c>
      <c r="H297" s="27">
        <v>45600.0</v>
      </c>
      <c r="I297" s="29">
        <v>43085.0</v>
      </c>
      <c r="J297" s="30">
        <v>86510.0</v>
      </c>
      <c r="K297" s="31"/>
      <c r="L297" s="39"/>
      <c r="M297" s="33"/>
      <c r="N297" s="40"/>
      <c r="O297" s="35"/>
      <c r="P297" s="33"/>
      <c r="Q297" s="33"/>
      <c r="R297" s="35"/>
      <c r="S297" s="35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>
      <c r="A298" s="54" t="s">
        <v>33</v>
      </c>
      <c r="B298" s="100">
        <v>44849.0</v>
      </c>
      <c r="C298" s="22">
        <f>243717-51450</f>
        <v>192267</v>
      </c>
      <c r="D298" s="23">
        <v>172610.0</v>
      </c>
      <c r="E298" s="24">
        <f>2700+440+1600</f>
        <v>4740</v>
      </c>
      <c r="F298" s="204">
        <f>1600+600</f>
        <v>2200</v>
      </c>
      <c r="G298" s="26">
        <v>54940.0</v>
      </c>
      <c r="H298" s="27">
        <v>9290.0</v>
      </c>
      <c r="I298" s="29">
        <v>56720.0</v>
      </c>
      <c r="J298" s="30">
        <v>62000.0</v>
      </c>
      <c r="K298" s="31"/>
      <c r="L298" s="32"/>
      <c r="M298" s="33"/>
      <c r="N298" s="40"/>
      <c r="O298" s="35"/>
      <c r="P298" s="33"/>
      <c r="Q298" s="33"/>
      <c r="R298" s="35"/>
      <c r="S298" s="35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</row>
    <row r="299">
      <c r="A299" s="209" t="s">
        <v>27</v>
      </c>
      <c r="B299" s="100">
        <v>44850.0</v>
      </c>
      <c r="C299" s="160"/>
      <c r="D299" s="160"/>
      <c r="E299" s="160"/>
      <c r="F299" s="160"/>
      <c r="G299" s="160"/>
      <c r="H299" s="160"/>
      <c r="I299" s="160"/>
      <c r="J299" s="160"/>
      <c r="K299" s="31"/>
      <c r="L299" s="39"/>
      <c r="M299" s="33"/>
      <c r="N299" s="40"/>
      <c r="O299" s="35"/>
      <c r="P299" s="33"/>
      <c r="Q299" s="33"/>
      <c r="R299" s="35"/>
      <c r="S299" s="35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>
      <c r="A300" s="210" t="s">
        <v>21</v>
      </c>
      <c r="B300" s="100">
        <v>44851.0</v>
      </c>
      <c r="C300" s="22">
        <v>175250.0</v>
      </c>
      <c r="D300" s="23">
        <v>110070.0</v>
      </c>
      <c r="E300" s="24">
        <f>800+500+2900+150+160+80</f>
        <v>4590</v>
      </c>
      <c r="F300" s="204">
        <f>1100+1000</f>
        <v>2100</v>
      </c>
      <c r="G300" s="26">
        <v>19140.0</v>
      </c>
      <c r="H300" s="27">
        <v>48880.0</v>
      </c>
      <c r="I300" s="29">
        <v>27780.0</v>
      </c>
      <c r="J300" s="30">
        <v>71330.0</v>
      </c>
      <c r="K300" s="31"/>
      <c r="L300" s="39"/>
      <c r="M300" s="33"/>
      <c r="N300" s="40"/>
      <c r="O300" s="35"/>
      <c r="P300" s="33"/>
      <c r="Q300" s="33"/>
      <c r="R300" s="35"/>
      <c r="S300" s="35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</row>
    <row r="301">
      <c r="A301" s="54" t="s">
        <v>22</v>
      </c>
      <c r="B301" s="100">
        <v>44852.0</v>
      </c>
      <c r="C301" s="22">
        <v>204619.0</v>
      </c>
      <c r="D301" s="23">
        <v>103942.0</v>
      </c>
      <c r="E301" s="24">
        <v>2100.0</v>
      </c>
      <c r="F301" s="204">
        <v>400.0</v>
      </c>
      <c r="G301" s="26">
        <f>46670+950</f>
        <v>47620</v>
      </c>
      <c r="H301" s="27">
        <v>22910.0</v>
      </c>
      <c r="I301" s="29">
        <v>40940.0</v>
      </c>
      <c r="J301" s="30">
        <v>43469.0</v>
      </c>
      <c r="K301" s="31"/>
      <c r="L301" s="39"/>
      <c r="M301" s="33"/>
      <c r="N301" s="40"/>
      <c r="O301" s="35"/>
      <c r="P301" s="33"/>
      <c r="Q301" s="33"/>
      <c r="R301" s="35"/>
      <c r="S301" s="35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>
      <c r="A302" s="54" t="s">
        <v>32</v>
      </c>
      <c r="B302" s="100">
        <v>44853.0</v>
      </c>
      <c r="C302" s="22">
        <v>230108.0</v>
      </c>
      <c r="D302" s="23">
        <v>127181.0</v>
      </c>
      <c r="E302" s="24">
        <v>1730.0</v>
      </c>
      <c r="F302" s="204">
        <v>400.0</v>
      </c>
      <c r="G302" s="26">
        <v>56800.0</v>
      </c>
      <c r="H302" s="27">
        <v>41910.0</v>
      </c>
      <c r="I302" s="29">
        <v>37540.0</v>
      </c>
      <c r="J302" s="30">
        <v>79768.0</v>
      </c>
      <c r="K302" s="31"/>
      <c r="L302" s="32"/>
      <c r="M302" s="33"/>
      <c r="N302" s="40"/>
      <c r="O302" s="35"/>
      <c r="P302" s="33"/>
      <c r="Q302" s="33"/>
      <c r="R302" s="35"/>
      <c r="S302" s="35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</row>
    <row r="303">
      <c r="A303" s="54" t="s">
        <v>24</v>
      </c>
      <c r="B303" s="100">
        <v>44854.0</v>
      </c>
      <c r="C303" s="22">
        <v>321055.0</v>
      </c>
      <c r="D303" s="23">
        <v>217370.0</v>
      </c>
      <c r="E303" s="24">
        <f>1000+2200+350+820+80</f>
        <v>4450</v>
      </c>
      <c r="F303" s="204">
        <v>2000.0</v>
      </c>
      <c r="G303" s="26">
        <f>37520+48410</f>
        <v>85930</v>
      </c>
      <c r="H303" s="27">
        <v>58430.0</v>
      </c>
      <c r="I303" s="29">
        <v>69460.0</v>
      </c>
      <c r="J303" s="30">
        <v>76000.0</v>
      </c>
      <c r="K303" s="49"/>
      <c r="L303" s="32"/>
      <c r="M303" s="33"/>
      <c r="N303" s="40"/>
      <c r="O303" s="35"/>
      <c r="P303" s="33"/>
      <c r="Q303" s="33"/>
      <c r="R303" s="35"/>
      <c r="S303" s="35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>
      <c r="A304" s="54" t="s">
        <v>25</v>
      </c>
      <c r="B304" s="100">
        <v>44855.0</v>
      </c>
      <c r="C304" s="80">
        <f>265014-31400</f>
        <v>233614</v>
      </c>
      <c r="D304" s="23">
        <v>183050.0</v>
      </c>
      <c r="E304" s="24"/>
      <c r="F304" s="204"/>
      <c r="G304" s="26">
        <v>58890.0</v>
      </c>
      <c r="H304" s="27">
        <v>31390.0</v>
      </c>
      <c r="I304" s="29">
        <v>52950.0</v>
      </c>
      <c r="J304" s="30">
        <v>82184.0</v>
      </c>
      <c r="K304" s="31"/>
      <c r="L304" s="32"/>
      <c r="M304" s="33"/>
      <c r="N304" s="40"/>
      <c r="O304" s="35"/>
      <c r="P304" s="33"/>
      <c r="Q304" s="33"/>
      <c r="R304" s="35"/>
      <c r="S304" s="35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</row>
    <row r="305">
      <c r="A305" s="54" t="s">
        <v>33</v>
      </c>
      <c r="B305" s="100">
        <v>44856.0</v>
      </c>
      <c r="C305" s="22">
        <v>260257.0</v>
      </c>
      <c r="D305" s="23">
        <v>160510.0</v>
      </c>
      <c r="E305" s="24">
        <f>800+500+2900+100+940+190</f>
        <v>5430</v>
      </c>
      <c r="F305" s="204">
        <f>300+2000</f>
        <v>2300</v>
      </c>
      <c r="G305" s="26">
        <v>51150.0</v>
      </c>
      <c r="H305" s="27">
        <v>54810.0</v>
      </c>
      <c r="I305" s="29">
        <v>44140.0</v>
      </c>
      <c r="J305" s="30">
        <v>110797.0</v>
      </c>
      <c r="K305" s="31"/>
      <c r="L305" s="32"/>
      <c r="M305" s="33"/>
      <c r="N305" s="40"/>
      <c r="O305" s="35"/>
      <c r="P305" s="33"/>
      <c r="Q305" s="33"/>
      <c r="R305" s="35"/>
      <c r="S305" s="35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>
      <c r="A306" s="209" t="s">
        <v>27</v>
      </c>
      <c r="B306" s="100">
        <v>44857.0</v>
      </c>
      <c r="C306" s="160">
        <v>226988.0</v>
      </c>
      <c r="D306" s="160">
        <v>128875.0</v>
      </c>
      <c r="E306" s="160">
        <v>1700.0</v>
      </c>
      <c r="F306" s="160">
        <v>300.0</v>
      </c>
      <c r="G306" s="160">
        <v>35670.0</v>
      </c>
      <c r="H306" s="160">
        <v>65830.0</v>
      </c>
      <c r="I306" s="160">
        <v>59190.0</v>
      </c>
      <c r="J306" s="160">
        <v>73188.0</v>
      </c>
      <c r="K306" s="31"/>
      <c r="L306" s="39"/>
      <c r="M306" s="33"/>
      <c r="N306" s="40"/>
      <c r="O306" s="35"/>
      <c r="P306" s="33"/>
      <c r="Q306" s="33"/>
      <c r="R306" s="35"/>
      <c r="S306" s="35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</row>
    <row r="307">
      <c r="A307" s="54" t="s">
        <v>21</v>
      </c>
      <c r="B307" s="100">
        <v>44858.0</v>
      </c>
      <c r="C307" s="22">
        <v>254426.0</v>
      </c>
      <c r="D307" s="23">
        <v>134235.0</v>
      </c>
      <c r="E307" s="24">
        <v>1000.0</v>
      </c>
      <c r="F307" s="204">
        <v>300.0</v>
      </c>
      <c r="G307" s="26">
        <v>58370.0</v>
      </c>
      <c r="H307" s="27">
        <v>70700.0</v>
      </c>
      <c r="I307" s="29">
        <v>53385.0</v>
      </c>
      <c r="J307" s="30">
        <v>53531.0</v>
      </c>
      <c r="K307" s="31"/>
      <c r="L307" s="32"/>
      <c r="M307" s="33"/>
      <c r="N307" s="40"/>
      <c r="O307" s="35"/>
      <c r="P307" s="33"/>
      <c r="Q307" s="33"/>
      <c r="R307" s="35"/>
      <c r="S307" s="35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>
      <c r="A308" s="54" t="s">
        <v>22</v>
      </c>
      <c r="B308" s="100">
        <v>44859.0</v>
      </c>
      <c r="C308" s="22">
        <v>264030.0</v>
      </c>
      <c r="D308" s="23">
        <v>187695.0</v>
      </c>
      <c r="E308" s="24">
        <v>1500.0</v>
      </c>
      <c r="F308" s="204">
        <v>300.0</v>
      </c>
      <c r="G308" s="26">
        <v>49455.0</v>
      </c>
      <c r="H308" s="27">
        <v>48490.0</v>
      </c>
      <c r="I308" s="29">
        <v>72075.0</v>
      </c>
      <c r="J308" s="30">
        <v>83215.0</v>
      </c>
      <c r="K308" s="31"/>
      <c r="L308" s="39"/>
      <c r="M308" s="33"/>
      <c r="N308" s="40"/>
      <c r="O308" s="35"/>
      <c r="P308" s="33"/>
      <c r="Q308" s="33"/>
      <c r="R308" s="35"/>
      <c r="S308" s="35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</row>
    <row r="309">
      <c r="A309" s="54" t="s">
        <v>32</v>
      </c>
      <c r="B309" s="100">
        <v>44860.0</v>
      </c>
      <c r="C309" s="22">
        <v>317165.0</v>
      </c>
      <c r="D309" s="23">
        <v>184960.0</v>
      </c>
      <c r="E309" s="24">
        <v>1710.0</v>
      </c>
      <c r="F309" s="204">
        <v>3000.0</v>
      </c>
      <c r="G309" s="26">
        <v>56900.0</v>
      </c>
      <c r="H309" s="27">
        <v>71640.0</v>
      </c>
      <c r="I309" s="29">
        <v>67070.0</v>
      </c>
      <c r="J309" s="30">
        <v>81835.0</v>
      </c>
      <c r="K309" s="31"/>
      <c r="L309" s="32"/>
      <c r="M309" s="33"/>
      <c r="N309" s="40"/>
      <c r="O309" s="35"/>
      <c r="P309" s="33"/>
      <c r="Q309" s="33"/>
      <c r="R309" s="35"/>
      <c r="S309" s="35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>
      <c r="A310" s="54" t="s">
        <v>24</v>
      </c>
      <c r="B310" s="100">
        <v>44861.0</v>
      </c>
      <c r="C310" s="22">
        <v>166998.0</v>
      </c>
      <c r="D310" s="23">
        <v>101150.0</v>
      </c>
      <c r="E310" s="24">
        <v>2560.0</v>
      </c>
      <c r="F310" s="204">
        <v>200.0</v>
      </c>
      <c r="G310" s="26">
        <v>28020.0</v>
      </c>
      <c r="H310" s="27">
        <v>39650.0</v>
      </c>
      <c r="I310" s="29">
        <v>25270.0</v>
      </c>
      <c r="J310" s="30">
        <v>61198.0</v>
      </c>
      <c r="K310" s="31"/>
      <c r="L310" s="32"/>
      <c r="M310" s="33"/>
      <c r="N310" s="40"/>
      <c r="O310" s="35"/>
      <c r="P310" s="33"/>
      <c r="Q310" s="33"/>
      <c r="R310" s="35"/>
      <c r="S310" s="35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</row>
    <row r="311">
      <c r="A311" s="38" t="s">
        <v>25</v>
      </c>
      <c r="B311" s="100">
        <v>44862.0</v>
      </c>
      <c r="C311" s="22">
        <v>195378.0</v>
      </c>
      <c r="D311" s="23">
        <v>153455.0</v>
      </c>
      <c r="E311" s="24">
        <v>1110.0</v>
      </c>
      <c r="F311" s="204">
        <v>1400.0</v>
      </c>
      <c r="G311" s="26">
        <v>51890.0</v>
      </c>
      <c r="H311" s="27">
        <v>49090.0</v>
      </c>
      <c r="I311" s="29">
        <v>58440.0</v>
      </c>
      <c r="J311" s="30">
        <v>47723.0</v>
      </c>
      <c r="K311" s="49"/>
      <c r="L311" s="39"/>
      <c r="M311" s="33"/>
      <c r="N311" s="40"/>
      <c r="O311" s="35"/>
      <c r="P311" s="33"/>
      <c r="Q311" s="33"/>
      <c r="R311" s="35"/>
      <c r="S311" s="35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>
      <c r="A312" s="38" t="s">
        <v>26</v>
      </c>
      <c r="B312" s="100">
        <v>44863.0</v>
      </c>
      <c r="C312" s="22">
        <v>193020.0</v>
      </c>
      <c r="D312" s="23"/>
      <c r="E312" s="24"/>
      <c r="F312" s="204"/>
      <c r="G312" s="26"/>
      <c r="H312" s="27"/>
      <c r="I312" s="29"/>
      <c r="J312" s="30"/>
      <c r="K312" s="31"/>
      <c r="L312" s="32"/>
      <c r="M312" s="33"/>
      <c r="N312" s="40"/>
      <c r="O312" s="35"/>
      <c r="P312" s="33"/>
      <c r="Q312" s="33"/>
      <c r="R312" s="35"/>
      <c r="S312" s="35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</row>
    <row r="313">
      <c r="A313" s="150" t="s">
        <v>27</v>
      </c>
      <c r="B313" s="100">
        <v>44864.0</v>
      </c>
      <c r="C313" s="160"/>
      <c r="D313" s="160"/>
      <c r="E313" s="160"/>
      <c r="F313" s="160"/>
      <c r="G313" s="160"/>
      <c r="H313" s="160"/>
      <c r="I313" s="160"/>
      <c r="J313" s="160"/>
      <c r="K313" s="49"/>
      <c r="L313" s="39"/>
      <c r="M313" s="33"/>
      <c r="N313" s="40"/>
      <c r="O313" s="35"/>
      <c r="P313" s="33"/>
      <c r="Q313" s="33"/>
      <c r="R313" s="35"/>
      <c r="S313" s="35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>
      <c r="A314" s="38" t="s">
        <v>21</v>
      </c>
      <c r="B314" s="100">
        <v>44865.0</v>
      </c>
      <c r="C314" s="22">
        <v>193020.0</v>
      </c>
      <c r="D314" s="23">
        <v>99270.0</v>
      </c>
      <c r="E314" s="24">
        <v>0.0</v>
      </c>
      <c r="F314" s="25">
        <v>0.0</v>
      </c>
      <c r="G314" s="35">
        <v>32040.0</v>
      </c>
      <c r="H314" s="27">
        <v>33430.0</v>
      </c>
      <c r="I314" s="29">
        <v>40630.0</v>
      </c>
      <c r="J314" s="30">
        <v>77640.0</v>
      </c>
      <c r="K314" s="31"/>
      <c r="L314" s="32"/>
      <c r="M314" s="33"/>
      <c r="N314" s="40"/>
      <c r="O314" s="35"/>
      <c r="P314" s="33"/>
      <c r="Q314" s="33"/>
      <c r="R314" s="35"/>
      <c r="S314" s="35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</row>
    <row r="315">
      <c r="A315" s="93" t="s">
        <v>28</v>
      </c>
      <c r="B315" s="129" t="s">
        <v>49</v>
      </c>
      <c r="C315" s="95">
        <f t="shared" ref="C315:D315" si="27">SUM(C284:C314)</f>
        <v>5984740</v>
      </c>
      <c r="D315" s="95">
        <f t="shared" si="27"/>
        <v>3468498</v>
      </c>
      <c r="E315" s="95"/>
      <c r="F315" s="95"/>
      <c r="G315" s="95">
        <f t="shared" ref="G315:J315" si="28">SUM(G284:G314)</f>
        <v>1241475</v>
      </c>
      <c r="H315" s="95">
        <f t="shared" si="28"/>
        <v>1085500</v>
      </c>
      <c r="I315" s="95">
        <f t="shared" si="28"/>
        <v>1310955</v>
      </c>
      <c r="J315" s="73">
        <f t="shared" si="28"/>
        <v>1783424</v>
      </c>
      <c r="K315" s="203"/>
      <c r="L315" s="172"/>
      <c r="M315" s="211"/>
      <c r="N315" s="174"/>
      <c r="O315" s="175"/>
      <c r="P315" s="173"/>
      <c r="Q315" s="173"/>
      <c r="R315" s="211"/>
      <c r="S315" s="211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>
      <c r="A316" s="20" t="s">
        <v>22</v>
      </c>
      <c r="B316" s="100">
        <v>44866.0</v>
      </c>
      <c r="C316" s="22">
        <v>313911.0</v>
      </c>
      <c r="D316" s="23">
        <v>180963.0</v>
      </c>
      <c r="E316" s="24">
        <v>2120.0</v>
      </c>
      <c r="F316" s="25">
        <v>600.0</v>
      </c>
      <c r="G316" s="26">
        <f>43870+30350</f>
        <v>74220</v>
      </c>
      <c r="H316" s="27">
        <v>88480.0</v>
      </c>
      <c r="I316" s="29">
        <v>88480.0</v>
      </c>
      <c r="J316" s="30">
        <v>79062.0</v>
      </c>
      <c r="K316" s="31"/>
      <c r="L316" s="39"/>
      <c r="M316" s="39"/>
      <c r="N316" s="206"/>
      <c r="O316" s="32"/>
      <c r="P316" s="39"/>
      <c r="Q316" s="39"/>
      <c r="R316" s="32"/>
      <c r="S316" s="32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8" t="s">
        <v>32</v>
      </c>
      <c r="B317" s="100">
        <v>44867.0</v>
      </c>
      <c r="C317" s="22">
        <v>200054.0</v>
      </c>
      <c r="D317" s="23">
        <v>131830.0</v>
      </c>
      <c r="E317" s="24">
        <v>580.0</v>
      </c>
      <c r="F317" s="25">
        <v>0.0</v>
      </c>
      <c r="G317" s="26">
        <v>50850.0</v>
      </c>
      <c r="H317" s="27">
        <v>32570.0</v>
      </c>
      <c r="I317" s="29">
        <v>40570.0</v>
      </c>
      <c r="J317" s="30">
        <v>68224.0</v>
      </c>
      <c r="K317" s="31"/>
      <c r="L317" s="32"/>
      <c r="M317" s="33"/>
      <c r="N317" s="40"/>
      <c r="O317" s="35"/>
      <c r="P317" s="33"/>
      <c r="Q317" s="33"/>
      <c r="R317" s="35"/>
      <c r="S317" s="35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>
      <c r="A318" s="38" t="s">
        <v>24</v>
      </c>
      <c r="B318" s="100">
        <v>44868.0</v>
      </c>
      <c r="C318" s="22">
        <v>248780.0</v>
      </c>
      <c r="D318" s="23">
        <v>138008.0</v>
      </c>
      <c r="E318" s="24">
        <v>1100.0</v>
      </c>
      <c r="F318" s="25">
        <v>1000.0</v>
      </c>
      <c r="G318" s="26">
        <v>41570.0</v>
      </c>
      <c r="H318" s="27">
        <v>62350.0</v>
      </c>
      <c r="I318" s="29">
        <v>61660.0</v>
      </c>
      <c r="J318" s="30">
        <v>75940.0</v>
      </c>
      <c r="K318" s="49"/>
      <c r="L318" s="39"/>
      <c r="M318" s="33"/>
      <c r="N318" s="40"/>
      <c r="O318" s="35"/>
      <c r="P318" s="33"/>
      <c r="Q318" s="33"/>
      <c r="R318" s="35"/>
      <c r="S318" s="35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</row>
    <row r="319">
      <c r="A319" s="38" t="s">
        <v>25</v>
      </c>
      <c r="B319" s="100">
        <v>44869.0</v>
      </c>
      <c r="C319" s="22">
        <v>265480.0</v>
      </c>
      <c r="D319" s="23">
        <v>193060.0</v>
      </c>
      <c r="E319" s="24">
        <v>1690.0</v>
      </c>
      <c r="F319" s="25">
        <v>300.0</v>
      </c>
      <c r="G319" s="26">
        <v>69560.0</v>
      </c>
      <c r="H319" s="27">
        <v>64370.0</v>
      </c>
      <c r="I319" s="29">
        <v>51700.0</v>
      </c>
      <c r="J319" s="30">
        <v>72730.0</v>
      </c>
      <c r="K319" s="31"/>
      <c r="L319" s="39"/>
      <c r="M319" s="33"/>
      <c r="N319" s="40"/>
      <c r="O319" s="35"/>
      <c r="P319" s="33"/>
      <c r="Q319" s="33"/>
      <c r="R319" s="35"/>
      <c r="S319" s="35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>
      <c r="A320" s="38" t="s">
        <v>33</v>
      </c>
      <c r="B320" s="100">
        <v>44870.0</v>
      </c>
      <c r="C320" s="22">
        <v>161994.0</v>
      </c>
      <c r="D320" s="23">
        <v>114334.0</v>
      </c>
      <c r="E320" s="24">
        <f>2300+1200+420+260</f>
        <v>4180</v>
      </c>
      <c r="F320" s="25">
        <f>1500+1500</f>
        <v>3000</v>
      </c>
      <c r="G320" s="26">
        <v>45520.0</v>
      </c>
      <c r="H320" s="27">
        <v>16690.0</v>
      </c>
      <c r="I320" s="29">
        <v>54580.0</v>
      </c>
      <c r="J320" s="30">
        <v>47660.0</v>
      </c>
      <c r="K320" s="31"/>
      <c r="L320" s="32"/>
      <c r="M320" s="33"/>
      <c r="N320" s="40"/>
      <c r="O320" s="35"/>
      <c r="P320" s="33"/>
      <c r="Q320" s="33"/>
      <c r="R320" s="35"/>
      <c r="S320" s="35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</row>
    <row r="321">
      <c r="A321" s="212" t="s">
        <v>27</v>
      </c>
      <c r="B321" s="100">
        <v>44871.0</v>
      </c>
      <c r="C321" s="160"/>
      <c r="D321" s="160"/>
      <c r="E321" s="160"/>
      <c r="F321" s="160"/>
      <c r="G321" s="160"/>
      <c r="H321" s="160"/>
      <c r="I321" s="160"/>
      <c r="J321" s="160"/>
      <c r="K321" s="49"/>
      <c r="L321" s="32"/>
      <c r="M321" s="33"/>
      <c r="N321" s="40"/>
      <c r="O321" s="35"/>
      <c r="P321" s="33"/>
      <c r="Q321" s="33"/>
      <c r="R321" s="35"/>
      <c r="S321" s="35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>
      <c r="A322" s="38" t="s">
        <v>21</v>
      </c>
      <c r="B322" s="100">
        <v>44872.0</v>
      </c>
      <c r="C322" s="22">
        <v>229342.0</v>
      </c>
      <c r="D322" s="23">
        <v>132380.0</v>
      </c>
      <c r="E322" s="24">
        <f>200+60+200+500+2100+600+300</f>
        <v>3960</v>
      </c>
      <c r="F322" s="25">
        <f>1200+1000</f>
        <v>2200</v>
      </c>
      <c r="G322" s="26">
        <f>31750+3550</f>
        <v>35300</v>
      </c>
      <c r="H322" s="27">
        <v>27630.0</v>
      </c>
      <c r="I322" s="29">
        <v>47040.0</v>
      </c>
      <c r="J322" s="30">
        <v>83562.0</v>
      </c>
      <c r="K322" s="31"/>
      <c r="L322" s="39"/>
      <c r="M322" s="33"/>
      <c r="N322" s="40"/>
      <c r="O322" s="35"/>
      <c r="P322" s="33"/>
      <c r="Q322" s="33"/>
      <c r="R322" s="35"/>
      <c r="S322" s="35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</row>
    <row r="323">
      <c r="A323" s="38" t="s">
        <v>22</v>
      </c>
      <c r="B323" s="100">
        <v>44873.0</v>
      </c>
      <c r="C323" s="22">
        <v>252400.0</v>
      </c>
      <c r="D323" s="23">
        <v>164610.0</v>
      </c>
      <c r="E323" s="24">
        <f>3600+800+200+300+140</f>
        <v>5040</v>
      </c>
      <c r="F323" s="25">
        <v>1800.0</v>
      </c>
      <c r="G323" s="26">
        <f>900+42900</f>
        <v>43800</v>
      </c>
      <c r="H323" s="27">
        <v>47370.0</v>
      </c>
      <c r="I323" s="29">
        <v>53150.0</v>
      </c>
      <c r="J323" s="30">
        <v>76270.0</v>
      </c>
      <c r="K323" s="31"/>
      <c r="L323" s="213"/>
      <c r="M323" s="213"/>
      <c r="N323" s="214"/>
      <c r="O323" s="104"/>
      <c r="P323" s="213"/>
      <c r="Q323" s="213"/>
      <c r="R323" s="104"/>
      <c r="S323" s="104"/>
      <c r="T323" s="213"/>
      <c r="U323" s="213"/>
      <c r="V323" s="213"/>
      <c r="W323" s="213"/>
      <c r="X323" s="213"/>
      <c r="Y323" s="213"/>
      <c r="Z323" s="213"/>
      <c r="AA323" s="213"/>
      <c r="AB323" s="213"/>
      <c r="AC323" s="213"/>
      <c r="AD323" s="213"/>
      <c r="AE323" s="213"/>
      <c r="AF323" s="213"/>
      <c r="AG323" s="213"/>
      <c r="AH323" s="213"/>
    </row>
    <row r="324">
      <c r="A324" s="38" t="s">
        <v>32</v>
      </c>
      <c r="B324" s="100">
        <v>44874.0</v>
      </c>
      <c r="C324" s="22">
        <f>312040-53550</f>
        <v>258490</v>
      </c>
      <c r="D324" s="23">
        <v>225700.0</v>
      </c>
      <c r="E324" s="24">
        <f>1800+700+700+380+260</f>
        <v>3840</v>
      </c>
      <c r="F324" s="25">
        <v>1000.0</v>
      </c>
      <c r="G324" s="26">
        <f>10950+45390</f>
        <v>56340</v>
      </c>
      <c r="H324" s="27">
        <v>54310.0</v>
      </c>
      <c r="I324" s="29">
        <v>55470.0</v>
      </c>
      <c r="J324" s="30">
        <v>78090.0</v>
      </c>
      <c r="K324" s="31"/>
      <c r="L324" s="32"/>
      <c r="M324" s="33"/>
      <c r="N324" s="40"/>
      <c r="O324" s="35"/>
      <c r="P324" s="33"/>
      <c r="Q324" s="33"/>
      <c r="R324" s="35"/>
      <c r="S324" s="35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</row>
    <row r="325">
      <c r="A325" s="38" t="s">
        <v>24</v>
      </c>
      <c r="B325" s="100">
        <v>44875.0</v>
      </c>
      <c r="C325" s="22">
        <v>318516.0</v>
      </c>
      <c r="D325" s="23">
        <v>219110.0</v>
      </c>
      <c r="E325" s="24"/>
      <c r="F325" s="25">
        <v>1000.0</v>
      </c>
      <c r="G325" s="26">
        <f>1750+68400</f>
        <v>70150</v>
      </c>
      <c r="H325" s="27">
        <v>45870.0</v>
      </c>
      <c r="I325" s="29">
        <v>78080.0</v>
      </c>
      <c r="J325" s="30">
        <v>89806.0</v>
      </c>
      <c r="K325" s="31"/>
      <c r="L325" s="32"/>
      <c r="M325" s="33"/>
      <c r="N325" s="40"/>
      <c r="O325" s="35"/>
      <c r="P325" s="33"/>
      <c r="Q325" s="33"/>
      <c r="R325" s="35"/>
      <c r="S325" s="35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>
      <c r="A326" s="38" t="s">
        <v>25</v>
      </c>
      <c r="B326" s="100">
        <v>44876.0</v>
      </c>
      <c r="C326" s="22">
        <v>238791.0</v>
      </c>
      <c r="D326" s="23">
        <v>159960.0</v>
      </c>
      <c r="E326" s="24">
        <f>1600+1000+2000+90+100</f>
        <v>4790</v>
      </c>
      <c r="F326" s="25">
        <v>1000.0</v>
      </c>
      <c r="G326" s="26">
        <f>30460+44030</f>
        <v>74490</v>
      </c>
      <c r="H326" s="27">
        <v>37720.0</v>
      </c>
      <c r="I326" s="29">
        <v>47050.0</v>
      </c>
      <c r="J326" s="30">
        <v>76931.0</v>
      </c>
      <c r="K326" s="49"/>
      <c r="L326" s="39"/>
      <c r="M326" s="33"/>
      <c r="N326" s="40"/>
      <c r="O326" s="35"/>
      <c r="P326" s="33"/>
      <c r="Q326" s="33"/>
      <c r="R326" s="35"/>
      <c r="S326" s="35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</row>
    <row r="327">
      <c r="A327" s="38" t="s">
        <v>33</v>
      </c>
      <c r="B327" s="100">
        <v>44877.0</v>
      </c>
      <c r="C327" s="22">
        <f>220377-17100</f>
        <v>203277</v>
      </c>
      <c r="D327" s="23">
        <v>144779.0</v>
      </c>
      <c r="E327" s="24">
        <f>2800+450+1080+160</f>
        <v>4490</v>
      </c>
      <c r="F327" s="25">
        <f>1900+1100</f>
        <v>3000</v>
      </c>
      <c r="G327" s="26">
        <f>26610+50100</f>
        <v>76710</v>
      </c>
      <c r="H327" s="27">
        <v>12900.0</v>
      </c>
      <c r="I327" s="29">
        <v>26100.0</v>
      </c>
      <c r="J327" s="30">
        <v>75641.0</v>
      </c>
      <c r="K327" s="31"/>
      <c r="L327" s="32"/>
      <c r="M327" s="33"/>
      <c r="N327" s="40"/>
      <c r="O327" s="35"/>
      <c r="P327" s="33"/>
      <c r="Q327" s="33"/>
      <c r="R327" s="35"/>
      <c r="S327" s="35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>
      <c r="A328" s="150" t="s">
        <v>27</v>
      </c>
      <c r="B328" s="100">
        <v>44878.0</v>
      </c>
      <c r="C328" s="160"/>
      <c r="D328" s="160"/>
      <c r="E328" s="160"/>
      <c r="F328" s="160"/>
      <c r="G328" s="160"/>
      <c r="H328" s="160"/>
      <c r="I328" s="160"/>
      <c r="J328" s="160"/>
      <c r="K328" s="49"/>
      <c r="L328" s="39"/>
      <c r="M328" s="33"/>
      <c r="N328" s="40"/>
      <c r="O328" s="35"/>
      <c r="P328" s="33"/>
      <c r="Q328" s="33"/>
      <c r="R328" s="35"/>
      <c r="S328" s="35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</row>
    <row r="329">
      <c r="A329" s="38" t="s">
        <v>21</v>
      </c>
      <c r="B329" s="100">
        <v>44879.0</v>
      </c>
      <c r="C329" s="22">
        <f>238707+400</f>
        <v>239107</v>
      </c>
      <c r="D329" s="23">
        <v>133430.0</v>
      </c>
      <c r="E329" s="24">
        <f>800+200+3200+680+130+400</f>
        <v>5410</v>
      </c>
      <c r="F329" s="25">
        <v>3000.0</v>
      </c>
      <c r="G329" s="26">
        <f>19760+26680</f>
        <v>46440</v>
      </c>
      <c r="H329" s="27">
        <v>8600.0</v>
      </c>
      <c r="I329" s="29">
        <f>42220+1940</f>
        <v>44160</v>
      </c>
      <c r="J329" s="30">
        <v>105047.0</v>
      </c>
      <c r="K329" s="31"/>
      <c r="L329" s="32"/>
      <c r="M329" s="33"/>
      <c r="N329" s="40"/>
      <c r="O329" s="35"/>
      <c r="P329" s="33"/>
      <c r="Q329" s="33"/>
      <c r="R329" s="35"/>
      <c r="S329" s="35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>
      <c r="A330" s="38" t="s">
        <v>22</v>
      </c>
      <c r="B330" s="100">
        <v>44880.0</v>
      </c>
      <c r="C330" s="22">
        <v>282626.0</v>
      </c>
      <c r="D330" s="23">
        <v>208890.0</v>
      </c>
      <c r="E330" s="24"/>
      <c r="F330" s="25">
        <v>4400.0</v>
      </c>
      <c r="G330" s="26">
        <v>13950.0</v>
      </c>
      <c r="H330" s="27">
        <v>58110.0</v>
      </c>
      <c r="I330" s="29">
        <v>52690.0</v>
      </c>
      <c r="J330" s="30">
        <v>65868.0</v>
      </c>
      <c r="K330" s="31"/>
      <c r="L330" s="37"/>
      <c r="M330" s="37"/>
      <c r="N330" s="207"/>
      <c r="O330" s="160"/>
      <c r="P330" s="37"/>
      <c r="Q330" s="37"/>
      <c r="R330" s="160"/>
      <c r="S330" s="160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</row>
    <row r="331">
      <c r="A331" s="38" t="s">
        <v>32</v>
      </c>
      <c r="B331" s="100">
        <v>44881.0</v>
      </c>
      <c r="C331" s="22">
        <v>224308.0</v>
      </c>
      <c r="D331" s="23">
        <v>151475.0</v>
      </c>
      <c r="E331" s="24">
        <f>500+1000+2600+500+520+240</f>
        <v>5360</v>
      </c>
      <c r="F331" s="25">
        <v>1600.0</v>
      </c>
      <c r="G331" s="26">
        <f>33795+35660</f>
        <v>69455</v>
      </c>
      <c r="H331" s="27">
        <v>33440.0</v>
      </c>
      <c r="I331" s="29">
        <v>42680.0</v>
      </c>
      <c r="J331" s="30">
        <v>69993.0</v>
      </c>
      <c r="K331" s="31"/>
      <c r="L331" s="32"/>
      <c r="M331" s="33"/>
      <c r="N331" s="40"/>
      <c r="O331" s="35"/>
      <c r="P331" s="33"/>
      <c r="Q331" s="33"/>
      <c r="R331" s="35"/>
      <c r="S331" s="35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>
      <c r="A332" s="38" t="s">
        <v>24</v>
      </c>
      <c r="B332" s="100">
        <v>44882.0</v>
      </c>
      <c r="C332" s="22">
        <v>277483.0</v>
      </c>
      <c r="D332" s="23">
        <v>207010.0</v>
      </c>
      <c r="E332" s="24"/>
      <c r="F332" s="25"/>
      <c r="G332" s="26">
        <v>61420.0</v>
      </c>
      <c r="H332" s="27">
        <v>41930.0</v>
      </c>
      <c r="I332" s="29">
        <v>60270.0</v>
      </c>
      <c r="J332" s="30">
        <v>66633.0</v>
      </c>
      <c r="K332" s="31"/>
      <c r="L332" s="32"/>
      <c r="M332" s="33"/>
      <c r="N332" s="40"/>
      <c r="O332" s="35"/>
      <c r="P332" s="33"/>
      <c r="Q332" s="33"/>
      <c r="R332" s="35"/>
      <c r="S332" s="35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</row>
    <row r="333">
      <c r="A333" s="38" t="s">
        <v>25</v>
      </c>
      <c r="B333" s="100">
        <v>44883.0</v>
      </c>
      <c r="C333" s="22">
        <f>189173+62910</f>
        <v>252083</v>
      </c>
      <c r="D333" s="23">
        <v>162860.0</v>
      </c>
      <c r="E333" s="24">
        <f>1200+500+3900+200+340+210</f>
        <v>6350</v>
      </c>
      <c r="F333" s="25">
        <f>2800+2000</f>
        <v>4800</v>
      </c>
      <c r="G333" s="26">
        <f>52050</f>
        <v>52050</v>
      </c>
      <c r="H333" s="27">
        <v>51300.0</v>
      </c>
      <c r="I333" s="29">
        <v>55160.0</v>
      </c>
      <c r="J333" s="30"/>
      <c r="K333" s="31"/>
      <c r="L333" s="32"/>
      <c r="M333" s="33"/>
      <c r="N333" s="40"/>
      <c r="O333" s="35"/>
      <c r="P333" s="33"/>
      <c r="Q333" s="33"/>
      <c r="R333" s="35"/>
      <c r="S333" s="35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>
      <c r="A334" s="38" t="s">
        <v>33</v>
      </c>
      <c r="B334" s="100">
        <v>44884.0</v>
      </c>
      <c r="C334" s="22">
        <v>165401.0</v>
      </c>
      <c r="D334" s="23">
        <v>114760.0</v>
      </c>
      <c r="E334" s="24">
        <f>400+2000+750+400+340</f>
        <v>3890</v>
      </c>
      <c r="F334" s="25">
        <f>2600+2000</f>
        <v>4600</v>
      </c>
      <c r="G334" s="26">
        <f>34980+2260</f>
        <v>37240</v>
      </c>
      <c r="H334" s="27">
        <v>24060.0</v>
      </c>
      <c r="I334" s="29">
        <v>54420.0</v>
      </c>
      <c r="J334" s="30">
        <v>49931.0</v>
      </c>
      <c r="K334" s="31"/>
      <c r="L334" s="32"/>
      <c r="M334" s="33"/>
      <c r="N334" s="40"/>
      <c r="O334" s="35"/>
      <c r="P334" s="33"/>
      <c r="Q334" s="33"/>
      <c r="R334" s="35"/>
      <c r="S334" s="35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</row>
    <row r="335">
      <c r="A335" s="212" t="s">
        <v>27</v>
      </c>
      <c r="B335" s="100">
        <v>44885.0</v>
      </c>
      <c r="C335" s="160"/>
      <c r="D335" s="160"/>
      <c r="E335" s="160"/>
      <c r="F335" s="160"/>
      <c r="G335" s="160"/>
      <c r="H335" s="160"/>
      <c r="I335" s="160"/>
      <c r="J335" s="160"/>
      <c r="K335" s="31"/>
      <c r="L335" s="32"/>
      <c r="M335" s="33"/>
      <c r="N335" s="40"/>
      <c r="O335" s="35"/>
      <c r="P335" s="33"/>
      <c r="Q335" s="33"/>
      <c r="R335" s="35"/>
      <c r="S335" s="35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>
      <c r="A336" s="38" t="s">
        <v>21</v>
      </c>
      <c r="B336" s="100">
        <v>44886.0</v>
      </c>
      <c r="C336" s="22">
        <f>173023-23600</f>
        <v>149423</v>
      </c>
      <c r="D336" s="23">
        <v>124177.0</v>
      </c>
      <c r="E336" s="24">
        <f>2600+200+450+280+320</f>
        <v>3850</v>
      </c>
      <c r="F336" s="25">
        <v>4600.0</v>
      </c>
      <c r="G336" s="26">
        <f>34730+2000</f>
        <v>36730</v>
      </c>
      <c r="H336" s="27">
        <v>6800.0</v>
      </c>
      <c r="I336" s="29">
        <v>44900.0</v>
      </c>
      <c r="J336" s="30">
        <v>48336.0</v>
      </c>
      <c r="K336" s="31"/>
      <c r="L336" s="39"/>
      <c r="M336" s="33"/>
      <c r="N336" s="40"/>
      <c r="O336" s="35"/>
      <c r="P336" s="33"/>
      <c r="Q336" s="33"/>
      <c r="R336" s="35"/>
      <c r="S336" s="35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</row>
    <row r="337">
      <c r="A337" s="38" t="s">
        <v>22</v>
      </c>
      <c r="B337" s="100">
        <v>44887.0</v>
      </c>
      <c r="C337" s="22">
        <v>211998.0</v>
      </c>
      <c r="D337" s="23">
        <v>100770.0</v>
      </c>
      <c r="E337" s="24">
        <f>900+4200+200+700+440</f>
        <v>6440</v>
      </c>
      <c r="F337" s="25">
        <v>4600.0</v>
      </c>
      <c r="G337" s="26">
        <f>32310+2400</f>
        <v>34710</v>
      </c>
      <c r="H337" s="27">
        <v>30680.0</v>
      </c>
      <c r="I337" s="29">
        <v>27360.0</v>
      </c>
      <c r="J337" s="30">
        <v>103307.0</v>
      </c>
      <c r="K337" s="31"/>
      <c r="L337" s="213"/>
      <c r="M337" s="213"/>
      <c r="N337" s="214"/>
      <c r="O337" s="104"/>
      <c r="P337" s="213"/>
      <c r="Q337" s="213"/>
      <c r="R337" s="104"/>
      <c r="S337" s="104"/>
      <c r="T337" s="213"/>
      <c r="U337" s="213"/>
      <c r="V337" s="213"/>
      <c r="W337" s="213"/>
      <c r="X337" s="213"/>
      <c r="Y337" s="213"/>
      <c r="Z337" s="213"/>
      <c r="AA337" s="213"/>
      <c r="AB337" s="213"/>
      <c r="AC337" s="213"/>
      <c r="AD337" s="213"/>
      <c r="AE337" s="213"/>
      <c r="AF337" s="213"/>
      <c r="AG337" s="213"/>
      <c r="AH337" s="213"/>
    </row>
    <row r="338">
      <c r="A338" s="38" t="s">
        <v>32</v>
      </c>
      <c r="B338" s="100">
        <v>44888.0</v>
      </c>
      <c r="C338" s="22">
        <v>201664.0</v>
      </c>
      <c r="D338" s="23">
        <v>102008.0</v>
      </c>
      <c r="E338" s="24">
        <v>1800.0</v>
      </c>
      <c r="F338" s="25">
        <v>2800.0</v>
      </c>
      <c r="G338" s="26">
        <f>21190+24250</f>
        <v>45440</v>
      </c>
      <c r="H338" s="84">
        <v>37800.0</v>
      </c>
      <c r="I338" s="29">
        <v>56010.0</v>
      </c>
      <c r="J338" s="30">
        <v>56644.0</v>
      </c>
      <c r="K338" s="31"/>
      <c r="L338" s="32"/>
      <c r="M338" s="33"/>
      <c r="N338" s="40"/>
      <c r="O338" s="35"/>
      <c r="P338" s="33"/>
      <c r="Q338" s="33"/>
      <c r="R338" s="35"/>
      <c r="S338" s="35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</row>
    <row r="339">
      <c r="A339" s="38" t="s">
        <v>24</v>
      </c>
      <c r="B339" s="100">
        <v>44889.0</v>
      </c>
      <c r="C339" s="22">
        <v>288160.0</v>
      </c>
      <c r="D339" s="23">
        <v>161900.0</v>
      </c>
      <c r="E339" s="24">
        <v>2820.0</v>
      </c>
      <c r="F339" s="25">
        <v>2600.0</v>
      </c>
      <c r="G339" s="26">
        <f>9940+55670</f>
        <v>65610</v>
      </c>
      <c r="H339" s="27">
        <v>27250.0</v>
      </c>
      <c r="I339" s="29">
        <v>84020.0</v>
      </c>
      <c r="J339" s="30">
        <v>74230.0</v>
      </c>
      <c r="K339" s="49"/>
      <c r="L339" s="32"/>
      <c r="M339" s="33"/>
      <c r="N339" s="40"/>
      <c r="O339" s="35"/>
      <c r="P339" s="33"/>
      <c r="Q339" s="33"/>
      <c r="R339" s="35"/>
      <c r="S339" s="35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>
      <c r="A340" s="38" t="s">
        <v>25</v>
      </c>
      <c r="B340" s="100">
        <v>44890.0</v>
      </c>
      <c r="C340" s="22">
        <v>263039.0</v>
      </c>
      <c r="D340" s="23">
        <v>174393.0</v>
      </c>
      <c r="E340" s="24">
        <v>3000.0</v>
      </c>
      <c r="F340" s="25">
        <v>1700.0</v>
      </c>
      <c r="G340" s="26">
        <v>66000.0</v>
      </c>
      <c r="H340" s="27">
        <v>48230.0</v>
      </c>
      <c r="I340" s="29">
        <v>54650.0</v>
      </c>
      <c r="J340" s="30">
        <v>90506.0</v>
      </c>
      <c r="K340" s="49"/>
      <c r="L340" s="39"/>
      <c r="M340" s="33"/>
      <c r="N340" s="40"/>
      <c r="O340" s="35"/>
      <c r="P340" s="33"/>
      <c r="Q340" s="33"/>
      <c r="R340" s="35"/>
      <c r="S340" s="35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</row>
    <row r="341">
      <c r="A341" s="38" t="s">
        <v>33</v>
      </c>
      <c r="B341" s="100">
        <v>44891.0</v>
      </c>
      <c r="C341" s="22">
        <v>138654.0</v>
      </c>
      <c r="D341" s="23">
        <v>104673.0</v>
      </c>
      <c r="E341" s="24">
        <f>1300+200+420+230</f>
        <v>2150</v>
      </c>
      <c r="F341" s="25">
        <f>1000+900+1700+2000</f>
        <v>5600</v>
      </c>
      <c r="G341" s="26">
        <v>64630.0</v>
      </c>
      <c r="H341" s="27">
        <v>11010.0</v>
      </c>
      <c r="I341" s="29">
        <v>16000.0</v>
      </c>
      <c r="J341" s="30">
        <v>33231.0</v>
      </c>
      <c r="K341" s="31"/>
      <c r="L341" s="32"/>
      <c r="M341" s="33"/>
      <c r="N341" s="40"/>
      <c r="O341" s="35"/>
      <c r="P341" s="33"/>
      <c r="Q341" s="33"/>
      <c r="R341" s="35"/>
      <c r="S341" s="35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>
      <c r="A342" s="150" t="s">
        <v>27</v>
      </c>
      <c r="B342" s="100">
        <v>44892.0</v>
      </c>
      <c r="C342" s="160"/>
      <c r="D342" s="160"/>
      <c r="E342" s="160"/>
      <c r="F342" s="160"/>
      <c r="G342" s="160"/>
      <c r="H342" s="160"/>
      <c r="I342" s="160"/>
      <c r="J342" s="160"/>
      <c r="K342" s="31"/>
      <c r="L342" s="32"/>
      <c r="M342" s="33"/>
      <c r="N342" s="40"/>
      <c r="O342" s="35"/>
      <c r="P342" s="33"/>
      <c r="Q342" s="33"/>
      <c r="R342" s="35"/>
      <c r="S342" s="35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</row>
    <row r="343">
      <c r="A343" s="38" t="s">
        <v>21</v>
      </c>
      <c r="B343" s="100">
        <v>44893.0</v>
      </c>
      <c r="C343" s="22">
        <v>162610.0</v>
      </c>
      <c r="D343" s="23">
        <v>114016.0</v>
      </c>
      <c r="E343" s="24">
        <f>4000+950+760+340</f>
        <v>6050</v>
      </c>
      <c r="F343" s="25">
        <v>2100.0</v>
      </c>
      <c r="G343" s="26">
        <f>29370+1300</f>
        <v>30670</v>
      </c>
      <c r="H343" s="27">
        <v>30020.0</v>
      </c>
      <c r="I343" s="29">
        <v>41390.0</v>
      </c>
      <c r="J343" s="30">
        <v>51874.0</v>
      </c>
      <c r="K343" s="31"/>
      <c r="L343" s="32"/>
      <c r="M343" s="33"/>
      <c r="N343" s="40"/>
      <c r="O343" s="35"/>
      <c r="P343" s="33"/>
      <c r="Q343" s="33"/>
      <c r="R343" s="35"/>
      <c r="S343" s="35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>
      <c r="A344" s="38" t="s">
        <v>22</v>
      </c>
      <c r="B344" s="100">
        <v>44894.0</v>
      </c>
      <c r="C344" s="22">
        <v>253718.0</v>
      </c>
      <c r="D344" s="23">
        <v>140725.0</v>
      </c>
      <c r="E344" s="24">
        <f>1700+820+280</f>
        <v>2800</v>
      </c>
      <c r="F344" s="25">
        <v>2200.0</v>
      </c>
      <c r="G344" s="35">
        <f>47870+4650</f>
        <v>52520</v>
      </c>
      <c r="H344" s="27">
        <v>38650.0</v>
      </c>
      <c r="I344" s="29">
        <v>72960.0</v>
      </c>
      <c r="J344" s="30">
        <v>67427.0</v>
      </c>
      <c r="K344" s="31"/>
      <c r="L344" s="32"/>
      <c r="M344" s="33"/>
      <c r="N344" s="40"/>
      <c r="O344" s="35"/>
      <c r="P344" s="33"/>
      <c r="Q344" s="33"/>
      <c r="R344" s="35"/>
      <c r="S344" s="35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</row>
    <row r="345">
      <c r="A345" s="38" t="s">
        <v>23</v>
      </c>
      <c r="B345" s="100">
        <v>44895.0</v>
      </c>
      <c r="C345" s="22">
        <v>175835.0</v>
      </c>
      <c r="D345" s="23">
        <v>106404.0</v>
      </c>
      <c r="E345" s="24">
        <v>2400.0</v>
      </c>
      <c r="F345" s="25">
        <v>2100.0</v>
      </c>
      <c r="G345" s="35">
        <f>10270+25170</f>
        <v>35440</v>
      </c>
      <c r="H345" s="27">
        <v>27230.0</v>
      </c>
      <c r="I345" s="29">
        <v>39680.0</v>
      </c>
      <c r="J345" s="30">
        <v>57281.0</v>
      </c>
      <c r="K345" s="31"/>
      <c r="L345" s="32"/>
      <c r="M345" s="33"/>
      <c r="N345" s="40"/>
      <c r="O345" s="35"/>
      <c r="P345" s="33"/>
      <c r="Q345" s="33"/>
      <c r="R345" s="35"/>
      <c r="S345" s="35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>
      <c r="A346" s="215" t="s">
        <v>28</v>
      </c>
      <c r="B346" s="129" t="s">
        <v>50</v>
      </c>
      <c r="C346" s="70">
        <f t="shared" ref="C346:D346" si="29">SUM(C316:C345)</f>
        <v>5977144</v>
      </c>
      <c r="D346" s="71">
        <f t="shared" si="29"/>
        <v>3912225</v>
      </c>
      <c r="E346" s="71"/>
      <c r="F346" s="71"/>
      <c r="G346" s="70">
        <f t="shared" ref="G346:H346" si="30">SUM(G316:G345)</f>
        <v>1350815</v>
      </c>
      <c r="H346" s="70">
        <f t="shared" si="30"/>
        <v>965370</v>
      </c>
      <c r="I346" s="223" t="s">
        <v>1385</v>
      </c>
      <c r="J346" s="73">
        <f>SUM(J316:J345)</f>
        <v>1764224</v>
      </c>
      <c r="K346" s="74"/>
      <c r="L346" s="75"/>
      <c r="M346" s="76"/>
      <c r="N346" s="77"/>
      <c r="O346" s="77"/>
      <c r="P346" s="77"/>
      <c r="Q346" s="77"/>
      <c r="R346" s="76"/>
      <c r="S346" s="76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>
      <c r="A347" s="38" t="s">
        <v>24</v>
      </c>
      <c r="B347" s="100">
        <v>44896.0</v>
      </c>
      <c r="C347" s="22">
        <v>348503.0</v>
      </c>
      <c r="D347" s="23">
        <v>247071.0</v>
      </c>
      <c r="E347" s="24">
        <f>2900+50+540+270</f>
        <v>3760</v>
      </c>
      <c r="F347" s="25">
        <f>2000+1100</f>
        <v>3100</v>
      </c>
      <c r="G347" s="26">
        <f>67250+3750</f>
        <v>71000</v>
      </c>
      <c r="H347" s="218">
        <v>76890.0</v>
      </c>
      <c r="I347" s="29">
        <f>73820+650</f>
        <v>74470</v>
      </c>
      <c r="J347" s="30">
        <v>90542.0</v>
      </c>
      <c r="K347" s="49"/>
      <c r="L347" s="32"/>
      <c r="M347" s="33"/>
      <c r="N347" s="40"/>
      <c r="O347" s="35"/>
      <c r="P347" s="33"/>
      <c r="Q347" s="33"/>
      <c r="R347" s="35"/>
      <c r="S347" s="35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>
      <c r="A348" s="38" t="s">
        <v>25</v>
      </c>
      <c r="B348" s="100">
        <v>44897.0</v>
      </c>
      <c r="C348" s="22">
        <v>237216.0</v>
      </c>
      <c r="D348" s="23">
        <v>146386.0</v>
      </c>
      <c r="E348" s="24">
        <v>2600.0</v>
      </c>
      <c r="F348" s="25">
        <v>1400.0</v>
      </c>
      <c r="G348" s="26">
        <v>57980.0</v>
      </c>
      <c r="H348" s="27">
        <v>44560.0</v>
      </c>
      <c r="I348" s="29">
        <v>36645.0</v>
      </c>
      <c r="J348" s="30">
        <v>82500.0</v>
      </c>
      <c r="K348" s="31"/>
      <c r="L348" s="32"/>
      <c r="M348" s="33"/>
      <c r="N348" s="40"/>
      <c r="O348" s="35"/>
      <c r="P348" s="33"/>
      <c r="Q348" s="33"/>
      <c r="R348" s="35"/>
      <c r="S348" s="35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>
      <c r="A349" s="38" t="s">
        <v>33</v>
      </c>
      <c r="B349" s="100">
        <v>44898.0</v>
      </c>
      <c r="C349" s="22">
        <v>150784.0</v>
      </c>
      <c r="D349" s="23">
        <v>107737.0</v>
      </c>
      <c r="E349" s="24">
        <f>700+2200+400+220+130</f>
        <v>3650</v>
      </c>
      <c r="F349" s="25">
        <f>2400</f>
        <v>2400</v>
      </c>
      <c r="G349" s="26">
        <f>1600+45675</f>
        <v>47275</v>
      </c>
      <c r="H349" s="27">
        <v>28480.0</v>
      </c>
      <c r="I349" s="29">
        <v>33856.0</v>
      </c>
      <c r="J349" s="30">
        <v>42347.0</v>
      </c>
      <c r="K349" s="31"/>
      <c r="L349" s="39"/>
      <c r="M349" s="33"/>
      <c r="N349" s="40"/>
      <c r="O349" s="35"/>
      <c r="P349" s="33"/>
      <c r="Q349" s="33"/>
      <c r="R349" s="35"/>
      <c r="S349" s="35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>
      <c r="A350" s="219" t="s">
        <v>27</v>
      </c>
      <c r="B350" s="100">
        <v>44899.0</v>
      </c>
      <c r="C350" s="160"/>
      <c r="D350" s="160"/>
      <c r="E350" s="160"/>
      <c r="F350" s="160"/>
      <c r="G350" s="160"/>
      <c r="H350" s="160"/>
      <c r="I350" s="160"/>
      <c r="J350" s="160"/>
      <c r="K350" s="31"/>
      <c r="L350" s="32"/>
      <c r="M350" s="33"/>
      <c r="N350" s="40"/>
      <c r="O350" s="35"/>
      <c r="P350" s="33"/>
      <c r="Q350" s="33"/>
      <c r="R350" s="35"/>
      <c r="S350" s="35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>
      <c r="A351" s="38" t="s">
        <v>21</v>
      </c>
      <c r="B351" s="100">
        <v>44900.0</v>
      </c>
      <c r="C351" s="22">
        <f>286169-60200</f>
        <v>225969</v>
      </c>
      <c r="D351" s="23">
        <v>202391.0</v>
      </c>
      <c r="E351" s="24">
        <f>1200+1500+50+360+40</f>
        <v>3150</v>
      </c>
      <c r="F351" s="25">
        <f>2000</f>
        <v>2000</v>
      </c>
      <c r="G351" s="26">
        <f>2200+43380</f>
        <v>45580</v>
      </c>
      <c r="H351" s="27">
        <v>39210.0</v>
      </c>
      <c r="I351" s="29">
        <v>49080.0</v>
      </c>
      <c r="J351" s="30">
        <v>77578.0</v>
      </c>
      <c r="K351" s="39"/>
      <c r="L351" s="39"/>
      <c r="M351" s="39"/>
      <c r="N351" s="206"/>
      <c r="O351" s="32"/>
      <c r="P351" s="39"/>
      <c r="Q351" s="39"/>
      <c r="R351" s="32"/>
      <c r="S351" s="32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8" t="s">
        <v>22</v>
      </c>
      <c r="B352" s="100">
        <v>44901.0</v>
      </c>
      <c r="C352" s="22">
        <v>242744.0</v>
      </c>
      <c r="D352" s="23">
        <v>157940.0</v>
      </c>
      <c r="E352" s="24">
        <v>3000.0</v>
      </c>
      <c r="F352" s="25">
        <v>1400.0</v>
      </c>
      <c r="G352" s="26">
        <f>19330+10090</f>
        <v>29420</v>
      </c>
      <c r="H352" s="27">
        <v>49350.0</v>
      </c>
      <c r="I352" s="29">
        <v>59110.0</v>
      </c>
      <c r="J352" s="30">
        <v>84554.0</v>
      </c>
      <c r="K352" s="31"/>
      <c r="L352" s="32"/>
      <c r="M352" s="33"/>
      <c r="N352" s="40"/>
      <c r="O352" s="35"/>
      <c r="P352" s="33"/>
      <c r="Q352" s="33"/>
      <c r="R352" s="35"/>
      <c r="S352" s="35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>
      <c r="A353" s="38" t="s">
        <v>32</v>
      </c>
      <c r="B353" s="100">
        <v>44902.0</v>
      </c>
      <c r="C353" s="22">
        <v>205263.0</v>
      </c>
      <c r="D353" s="23">
        <v>161322.0</v>
      </c>
      <c r="E353" s="24">
        <v>4000.0</v>
      </c>
      <c r="F353" s="25">
        <v>900.0</v>
      </c>
      <c r="G353" s="26">
        <f>34360+11320</f>
        <v>45680</v>
      </c>
      <c r="H353" s="27">
        <v>48860.0</v>
      </c>
      <c r="I353" s="29">
        <v>48010.0</v>
      </c>
      <c r="J353" s="30">
        <v>38461.0</v>
      </c>
      <c r="K353" s="49"/>
      <c r="L353" s="32"/>
      <c r="M353" s="33"/>
      <c r="N353" s="40"/>
      <c r="O353" s="35"/>
      <c r="P353" s="33"/>
      <c r="Q353" s="33"/>
      <c r="R353" s="35"/>
      <c r="S353" s="35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>
      <c r="A354" s="38" t="s">
        <v>24</v>
      </c>
      <c r="B354" s="100">
        <v>44903.0</v>
      </c>
      <c r="C354" s="22">
        <v>140454.0</v>
      </c>
      <c r="D354" s="23">
        <v>95145.0</v>
      </c>
      <c r="E354" s="24">
        <f>400+3100+50+160+190</f>
        <v>3900</v>
      </c>
      <c r="F354" s="25">
        <f>900</f>
        <v>900</v>
      </c>
      <c r="G354" s="26">
        <f>21430+4500</f>
        <v>25930</v>
      </c>
      <c r="H354" s="27">
        <v>26480.0</v>
      </c>
      <c r="I354" s="29">
        <v>29660.0</v>
      </c>
      <c r="J354" s="30">
        <v>37039.0</v>
      </c>
      <c r="K354" s="49"/>
      <c r="L354" s="39"/>
      <c r="M354" s="33"/>
      <c r="N354" s="40"/>
      <c r="O354" s="35"/>
      <c r="P354" s="33"/>
      <c r="Q354" s="33"/>
      <c r="R354" s="35"/>
      <c r="S354" s="35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>
      <c r="A355" s="38" t="s">
        <v>25</v>
      </c>
      <c r="B355" s="100">
        <v>44904.0</v>
      </c>
      <c r="K355" s="31"/>
      <c r="L355" s="32"/>
      <c r="M355" s="33"/>
      <c r="N355" s="40"/>
      <c r="O355" s="35"/>
      <c r="P355" s="33"/>
      <c r="Q355" s="33"/>
      <c r="R355" s="35"/>
      <c r="S355" s="35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>
      <c r="A356" s="38" t="s">
        <v>33</v>
      </c>
      <c r="B356" s="100">
        <v>44905.0</v>
      </c>
      <c r="C356" s="22">
        <v>209470.0</v>
      </c>
      <c r="D356" s="23">
        <v>151540.0</v>
      </c>
      <c r="E356" s="24">
        <v>3840.0</v>
      </c>
      <c r="F356" s="25">
        <v>2500.0</v>
      </c>
      <c r="G356" s="26">
        <f>18890+27750</f>
        <v>46640</v>
      </c>
      <c r="H356" s="27">
        <v>49320.0</v>
      </c>
      <c r="I356" s="29">
        <v>52690.0</v>
      </c>
      <c r="J356" s="30">
        <v>53380.0</v>
      </c>
      <c r="K356" s="49"/>
      <c r="L356" s="39"/>
      <c r="M356" s="33"/>
      <c r="N356" s="40"/>
      <c r="O356" s="35"/>
      <c r="P356" s="33"/>
      <c r="Q356" s="33"/>
      <c r="R356" s="35"/>
      <c r="S356" s="35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>
      <c r="A357" s="219" t="s">
        <v>27</v>
      </c>
      <c r="B357" s="100">
        <v>44906.0</v>
      </c>
      <c r="C357" s="160"/>
      <c r="D357" s="160"/>
      <c r="E357" s="160"/>
      <c r="F357" s="160"/>
      <c r="G357" s="160"/>
      <c r="H357" s="160"/>
      <c r="I357" s="160"/>
      <c r="J357" s="160"/>
      <c r="K357" s="31"/>
      <c r="L357" s="39"/>
      <c r="M357" s="33"/>
      <c r="N357" s="40"/>
      <c r="O357" s="35"/>
      <c r="P357" s="33"/>
      <c r="Q357" s="33"/>
      <c r="R357" s="35"/>
      <c r="S357" s="35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>
      <c r="A358" s="38" t="s">
        <v>21</v>
      </c>
      <c r="B358" s="100">
        <v>44907.0</v>
      </c>
      <c r="C358" s="22">
        <f>229966-17700</f>
        <v>212266</v>
      </c>
      <c r="D358" s="23">
        <v>149695.0</v>
      </c>
      <c r="E358" s="24">
        <f>200+2500+50+220+190</f>
        <v>3160</v>
      </c>
      <c r="F358" s="25">
        <f>2500</f>
        <v>2500</v>
      </c>
      <c r="G358" s="26">
        <f>24840+36940</f>
        <v>61780</v>
      </c>
      <c r="H358" s="27">
        <v>13000.0</v>
      </c>
      <c r="I358" s="29">
        <v>50970.0</v>
      </c>
      <c r="J358" s="30">
        <v>81621.0</v>
      </c>
      <c r="K358" s="39"/>
      <c r="L358" s="39"/>
      <c r="M358" s="39"/>
      <c r="N358" s="206"/>
      <c r="O358" s="32"/>
      <c r="P358" s="39"/>
      <c r="Q358" s="39"/>
      <c r="R358" s="32"/>
      <c r="S358" s="32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8" t="s">
        <v>22</v>
      </c>
      <c r="B359" s="100">
        <v>44908.0</v>
      </c>
      <c r="C359" s="22">
        <v>184992.0</v>
      </c>
      <c r="D359" s="23">
        <v>130478.0</v>
      </c>
      <c r="E359" s="24">
        <v>2200.0</v>
      </c>
      <c r="F359" s="25">
        <v>2000.0</v>
      </c>
      <c r="G359" s="26">
        <f>12060+23710</f>
        <v>35770</v>
      </c>
      <c r="H359" s="27">
        <v>37600.0</v>
      </c>
      <c r="I359" s="29">
        <v>50695.0</v>
      </c>
      <c r="J359" s="30">
        <v>50630.0</v>
      </c>
      <c r="K359" s="31"/>
      <c r="L359" s="32"/>
      <c r="M359" s="33"/>
      <c r="N359" s="40"/>
      <c r="O359" s="35"/>
      <c r="P359" s="33"/>
      <c r="Q359" s="33"/>
      <c r="R359" s="35"/>
      <c r="S359" s="35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>
      <c r="A360" s="38" t="s">
        <v>32</v>
      </c>
      <c r="B360" s="100">
        <v>44909.0</v>
      </c>
      <c r="C360" s="22">
        <v>206103.0</v>
      </c>
      <c r="D360" s="23">
        <v>140576.0</v>
      </c>
      <c r="E360" s="24">
        <f>300+540+40</f>
        <v>880</v>
      </c>
      <c r="F360" s="25">
        <v>1500.0</v>
      </c>
      <c r="G360" s="26">
        <f>43310+1400</f>
        <v>44710</v>
      </c>
      <c r="H360" s="27">
        <v>42120.0</v>
      </c>
      <c r="I360" s="29">
        <v>22256.0</v>
      </c>
      <c r="J360" s="30">
        <v>52985.0</v>
      </c>
      <c r="K360" s="31"/>
      <c r="L360" s="39"/>
      <c r="M360" s="33"/>
      <c r="N360" s="40"/>
      <c r="O360" s="35"/>
      <c r="P360" s="33"/>
      <c r="Q360" s="33"/>
      <c r="R360" s="35"/>
      <c r="S360" s="35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>
      <c r="A361" s="38" t="s">
        <v>24</v>
      </c>
      <c r="B361" s="100">
        <v>44910.0</v>
      </c>
      <c r="C361" s="22">
        <v>330124.0</v>
      </c>
      <c r="D361" s="23">
        <v>248605.0</v>
      </c>
      <c r="E361" s="24">
        <v>1300.0</v>
      </c>
      <c r="F361" s="25">
        <v>1400.0</v>
      </c>
      <c r="G361" s="26">
        <f>74720+19020</f>
        <v>93740</v>
      </c>
      <c r="H361" s="27">
        <v>75930.0</v>
      </c>
      <c r="I361" s="29">
        <v>69640.0</v>
      </c>
      <c r="J361" s="30">
        <v>78519.0</v>
      </c>
      <c r="K361" s="31"/>
      <c r="L361" s="39"/>
      <c r="M361" s="33"/>
      <c r="N361" s="40"/>
      <c r="O361" s="35"/>
      <c r="P361" s="33"/>
      <c r="Q361" s="33"/>
      <c r="R361" s="35"/>
      <c r="S361" s="35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>
      <c r="A362" s="38" t="s">
        <v>25</v>
      </c>
      <c r="B362" s="100">
        <v>44911.0</v>
      </c>
      <c r="C362" s="22">
        <v>273505.0</v>
      </c>
      <c r="D362" s="23">
        <v>204559.0</v>
      </c>
      <c r="E362" s="24">
        <v>1500.0</v>
      </c>
      <c r="F362" s="25">
        <v>400.0</v>
      </c>
      <c r="G362" s="26">
        <f>48370+21800</f>
        <v>70170</v>
      </c>
      <c r="H362" s="27">
        <v>42980.0</v>
      </c>
      <c r="I362" s="29">
        <v>48490.0</v>
      </c>
      <c r="J362" s="30">
        <v>77296.0</v>
      </c>
      <c r="K362" s="31"/>
      <c r="L362" s="32"/>
      <c r="M362" s="33"/>
      <c r="N362" s="40"/>
      <c r="O362" s="35"/>
      <c r="P362" s="33"/>
      <c r="Q362" s="33"/>
      <c r="R362" s="35"/>
      <c r="S362" s="35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>
      <c r="A363" s="38" t="s">
        <v>33</v>
      </c>
      <c r="B363" s="100">
        <v>44912.0</v>
      </c>
      <c r="C363" s="22">
        <v>267042.0</v>
      </c>
      <c r="D363" s="23">
        <v>203670.0</v>
      </c>
      <c r="E363" s="24">
        <f>500+700+150+460+100</f>
        <v>1910</v>
      </c>
      <c r="F363" s="25">
        <v>1300.0</v>
      </c>
      <c r="G363" s="26">
        <f>66850+4850</f>
        <v>71700</v>
      </c>
      <c r="H363" s="27">
        <v>30540.0</v>
      </c>
      <c r="I363" s="29">
        <v>97440.0</v>
      </c>
      <c r="J363" s="30">
        <v>60682.0</v>
      </c>
      <c r="K363" s="31"/>
      <c r="L363" s="39"/>
      <c r="M363" s="33"/>
      <c r="N363" s="40"/>
      <c r="O363" s="35"/>
      <c r="P363" s="33"/>
      <c r="Q363" s="33"/>
      <c r="R363" s="35"/>
      <c r="S363" s="35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>
      <c r="A364" s="219" t="s">
        <v>27</v>
      </c>
      <c r="B364" s="100">
        <v>44913.0</v>
      </c>
      <c r="C364" s="160"/>
      <c r="D364" s="160"/>
      <c r="E364" s="160"/>
      <c r="F364" s="160"/>
      <c r="G364" s="160"/>
      <c r="H364" s="160"/>
      <c r="I364" s="160"/>
      <c r="J364" s="160"/>
      <c r="K364" s="31"/>
      <c r="L364" s="39"/>
      <c r="M364" s="33"/>
      <c r="N364" s="40"/>
      <c r="O364" s="35"/>
      <c r="P364" s="33"/>
      <c r="Q364" s="33"/>
      <c r="R364" s="35"/>
      <c r="S364" s="35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>
      <c r="A365" s="38" t="s">
        <v>21</v>
      </c>
      <c r="B365" s="100">
        <v>44914.0</v>
      </c>
      <c r="C365" s="22">
        <v>248019.0</v>
      </c>
      <c r="D365" s="23">
        <v>147710.0</v>
      </c>
      <c r="E365" s="24">
        <f>900+100+180+100</f>
        <v>1280</v>
      </c>
      <c r="F365" s="25">
        <v>800.0</v>
      </c>
      <c r="G365" s="26">
        <f>18880+26620+960</f>
        <v>46460</v>
      </c>
      <c r="H365" s="27">
        <v>15450.0</v>
      </c>
      <c r="I365" s="29">
        <v>69120.0</v>
      </c>
      <c r="J365" s="30">
        <v>93499.0</v>
      </c>
      <c r="K365" s="39"/>
      <c r="L365" s="32"/>
      <c r="M365" s="39"/>
      <c r="N365" s="206"/>
      <c r="O365" s="32"/>
      <c r="P365" s="39"/>
      <c r="Q365" s="39"/>
      <c r="R365" s="32"/>
      <c r="S365" s="32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8" t="s">
        <v>22</v>
      </c>
      <c r="B366" s="100">
        <v>44915.0</v>
      </c>
      <c r="C366" s="22">
        <f>89008+2300</f>
        <v>91308</v>
      </c>
      <c r="D366" s="23">
        <v>70131.0</v>
      </c>
      <c r="E366" s="24">
        <f>900+1100+220+160</f>
        <v>2380</v>
      </c>
      <c r="F366" s="25">
        <v>500.0</v>
      </c>
      <c r="G366" s="26">
        <f>2200+15590</f>
        <v>17790</v>
      </c>
      <c r="H366" s="27">
        <f>20630+2300</f>
        <v>22930</v>
      </c>
      <c r="I366" s="29">
        <v>18320.0</v>
      </c>
      <c r="J366" s="30">
        <v>15387.0</v>
      </c>
      <c r="K366" s="31"/>
      <c r="L366" s="32"/>
      <c r="M366" s="33"/>
      <c r="N366" s="40"/>
      <c r="O366" s="35"/>
      <c r="P366" s="33"/>
      <c r="Q366" s="33"/>
      <c r="R366" s="35"/>
      <c r="S366" s="35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>
      <c r="A367" s="38" t="s">
        <v>32</v>
      </c>
      <c r="B367" s="100">
        <v>44916.0</v>
      </c>
      <c r="C367" s="22">
        <v>231045.0</v>
      </c>
      <c r="D367" s="23">
        <v>157245.0</v>
      </c>
      <c r="E367" s="24">
        <v>2200.0</v>
      </c>
      <c r="F367" s="25">
        <v>500.0</v>
      </c>
      <c r="G367" s="26">
        <f>18230+30185</f>
        <v>48415</v>
      </c>
      <c r="H367" s="27">
        <v>29970.0</v>
      </c>
      <c r="I367" s="29">
        <v>50740.0</v>
      </c>
      <c r="J367" s="30">
        <v>75039.0</v>
      </c>
      <c r="K367" s="31"/>
      <c r="L367" s="39"/>
      <c r="M367" s="33"/>
      <c r="N367" s="40"/>
      <c r="O367" s="35"/>
      <c r="P367" s="33"/>
      <c r="Q367" s="33"/>
      <c r="R367" s="35"/>
      <c r="S367" s="35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>
      <c r="A368" s="38" t="s">
        <v>24</v>
      </c>
      <c r="B368" s="100">
        <v>44917.0</v>
      </c>
      <c r="C368" s="22">
        <v>269112.0</v>
      </c>
      <c r="D368" s="23">
        <v>195645.0</v>
      </c>
      <c r="E368" s="24">
        <v>4400.0</v>
      </c>
      <c r="F368" s="25">
        <v>100.0</v>
      </c>
      <c r="G368" s="26">
        <f>57150+1650</f>
        <v>58800</v>
      </c>
      <c r="H368" s="27">
        <v>19530.0</v>
      </c>
      <c r="I368" s="29">
        <v>76250.0</v>
      </c>
      <c r="J368" s="30">
        <v>74967.0</v>
      </c>
      <c r="K368" s="31"/>
      <c r="L368" s="39"/>
      <c r="M368" s="33"/>
      <c r="N368" s="40"/>
      <c r="O368" s="35"/>
      <c r="P368" s="33"/>
      <c r="Q368" s="33"/>
      <c r="R368" s="35"/>
      <c r="S368" s="35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>
      <c r="A369" s="38" t="s">
        <v>25</v>
      </c>
      <c r="B369" s="100">
        <v>44918.0</v>
      </c>
      <c r="C369" s="22">
        <v>274677.0</v>
      </c>
      <c r="D369" s="23">
        <v>186711.0</v>
      </c>
      <c r="E369" s="24">
        <v>2000.0</v>
      </c>
      <c r="F369" s="25">
        <v>2000.0</v>
      </c>
      <c r="G369" s="26">
        <f>47320+13560</f>
        <v>60880</v>
      </c>
      <c r="H369" s="27">
        <v>21560.0</v>
      </c>
      <c r="I369" s="29">
        <v>78780.0</v>
      </c>
      <c r="J369" s="30">
        <v>87230.0</v>
      </c>
      <c r="K369" s="31"/>
      <c r="L369" s="39"/>
      <c r="M369" s="33"/>
      <c r="N369" s="40"/>
      <c r="O369" s="35"/>
      <c r="P369" s="33"/>
      <c r="Q369" s="33"/>
      <c r="R369" s="35"/>
      <c r="S369" s="35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>
      <c r="A370" s="38" t="s">
        <v>33</v>
      </c>
      <c r="B370" s="100">
        <v>44919.0</v>
      </c>
      <c r="C370" s="22">
        <v>133231.0</v>
      </c>
      <c r="D370" s="23">
        <v>101021.0</v>
      </c>
      <c r="E370" s="24">
        <v>1800.0</v>
      </c>
      <c r="F370" s="25">
        <v>1000.0</v>
      </c>
      <c r="G370" s="26">
        <f>36280+7650</f>
        <v>43930</v>
      </c>
      <c r="H370" s="27">
        <v>9000.0</v>
      </c>
      <c r="I370" s="29">
        <v>40920.0</v>
      </c>
      <c r="J370" s="30">
        <v>33260.0</v>
      </c>
      <c r="K370" s="31"/>
      <c r="L370" s="32"/>
      <c r="M370" s="33"/>
      <c r="N370" s="40"/>
      <c r="O370" s="35"/>
      <c r="P370" s="33"/>
      <c r="Q370" s="33"/>
      <c r="R370" s="35"/>
      <c r="S370" s="35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>
      <c r="A371" s="212" t="s">
        <v>27</v>
      </c>
      <c r="B371" s="100">
        <v>44920.0</v>
      </c>
      <c r="C371" s="160"/>
      <c r="D371" s="160"/>
      <c r="E371" s="160"/>
      <c r="F371" s="160"/>
      <c r="G371" s="160"/>
      <c r="H371" s="160"/>
      <c r="I371" s="160"/>
      <c r="J371" s="160"/>
      <c r="K371" s="31"/>
      <c r="L371" s="39"/>
      <c r="M371" s="33"/>
      <c r="N371" s="40"/>
      <c r="O371" s="35"/>
      <c r="P371" s="33"/>
      <c r="Q371" s="33"/>
      <c r="R371" s="35"/>
      <c r="S371" s="35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>
      <c r="A372" s="38" t="s">
        <v>21</v>
      </c>
      <c r="B372" s="100">
        <v>44921.0</v>
      </c>
      <c r="C372" s="22">
        <v>213403.0</v>
      </c>
      <c r="D372" s="23">
        <v>147935.0</v>
      </c>
      <c r="E372" s="24">
        <f>1100+3300+200+50</f>
        <v>4650</v>
      </c>
      <c r="F372" s="25">
        <f>1700</f>
        <v>1700</v>
      </c>
      <c r="G372" s="26">
        <f>42310+8650</f>
        <v>50960</v>
      </c>
      <c r="H372" s="27">
        <v>21040.0</v>
      </c>
      <c r="I372" s="29">
        <v>52900.0</v>
      </c>
      <c r="J372" s="30">
        <v>62768.0</v>
      </c>
      <c r="K372" s="213"/>
      <c r="L372" s="213"/>
      <c r="M372" s="213"/>
      <c r="N372" s="214"/>
      <c r="O372" s="104"/>
      <c r="P372" s="213"/>
      <c r="Q372" s="213"/>
      <c r="R372" s="104"/>
      <c r="S372" s="104"/>
      <c r="T372" s="213"/>
      <c r="U372" s="213"/>
      <c r="V372" s="213"/>
      <c r="W372" s="213"/>
      <c r="X372" s="213"/>
      <c r="Y372" s="213"/>
      <c r="Z372" s="213"/>
      <c r="AA372" s="213"/>
      <c r="AB372" s="213"/>
      <c r="AC372" s="213"/>
      <c r="AD372" s="213"/>
      <c r="AE372" s="213"/>
      <c r="AF372" s="213"/>
      <c r="AG372" s="213"/>
      <c r="AH372" s="213"/>
    </row>
    <row r="373">
      <c r="A373" s="38" t="s">
        <v>22</v>
      </c>
      <c r="B373" s="100">
        <v>44922.0</v>
      </c>
      <c r="C373" s="22">
        <v>241938.0</v>
      </c>
      <c r="D373" s="23">
        <v>151241.0</v>
      </c>
      <c r="E373" s="24"/>
      <c r="F373" s="25">
        <v>400.0</v>
      </c>
      <c r="G373" s="26">
        <v>43400.0</v>
      </c>
      <c r="H373" s="27">
        <v>50280.0</v>
      </c>
      <c r="I373" s="29">
        <v>49520.0</v>
      </c>
      <c r="J373" s="30">
        <v>82267.0</v>
      </c>
      <c r="K373" s="31"/>
      <c r="L373" s="32"/>
      <c r="M373" s="33"/>
      <c r="N373" s="40"/>
      <c r="O373" s="35"/>
      <c r="P373" s="33"/>
      <c r="Q373" s="33"/>
      <c r="R373" s="35"/>
      <c r="S373" s="35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>
      <c r="A374" s="38" t="s">
        <v>32</v>
      </c>
      <c r="B374" s="100">
        <v>44923.0</v>
      </c>
      <c r="C374" s="22">
        <v>178924.0</v>
      </c>
      <c r="D374" s="23">
        <v>110260.0</v>
      </c>
      <c r="E374" s="24">
        <v>1640.0</v>
      </c>
      <c r="F374" s="25">
        <v>2000.0</v>
      </c>
      <c r="G374" s="26">
        <v>29420.0</v>
      </c>
      <c r="H374" s="27">
        <v>33920.0</v>
      </c>
      <c r="I374" s="29">
        <v>28870.0</v>
      </c>
      <c r="J374" s="30">
        <v>75114.0</v>
      </c>
      <c r="K374" s="31"/>
      <c r="L374" s="39"/>
      <c r="M374" s="33"/>
      <c r="N374" s="40"/>
      <c r="O374" s="35"/>
      <c r="P374" s="33"/>
      <c r="Q374" s="33"/>
      <c r="R374" s="35"/>
      <c r="S374" s="35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>
      <c r="A375" s="38" t="s">
        <v>24</v>
      </c>
      <c r="B375" s="100">
        <v>44924.0</v>
      </c>
      <c r="C375" s="22">
        <v>313911.0</v>
      </c>
      <c r="D375" s="23">
        <v>183311.0</v>
      </c>
      <c r="E375" s="24">
        <f>1600+2400+80+90</f>
        <v>4170</v>
      </c>
      <c r="F375" s="25"/>
      <c r="G375" s="26">
        <f>65800+2290+2000</f>
        <v>70090</v>
      </c>
      <c r="H375" s="27">
        <v>42770.0</v>
      </c>
      <c r="I375" s="29">
        <v>24160.0</v>
      </c>
      <c r="J375" s="30">
        <v>118900.0</v>
      </c>
      <c r="K375" s="31"/>
      <c r="L375" s="39"/>
      <c r="M375" s="33"/>
      <c r="N375" s="40"/>
      <c r="O375" s="35"/>
      <c r="P375" s="33"/>
      <c r="Q375" s="33"/>
      <c r="R375" s="35"/>
      <c r="S375" s="35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>
      <c r="A376" s="38" t="s">
        <v>25</v>
      </c>
      <c r="B376" s="100">
        <v>44925.0</v>
      </c>
      <c r="C376" s="22">
        <v>181610.0</v>
      </c>
      <c r="D376" s="23">
        <v>129011.0</v>
      </c>
      <c r="E376" s="24">
        <f>1500+600+1500+500+80+70</f>
        <v>4250</v>
      </c>
      <c r="F376" s="25">
        <v>1400.0</v>
      </c>
      <c r="G376" s="26">
        <f>51160+2160</f>
        <v>53320</v>
      </c>
      <c r="H376" s="27">
        <v>35790.0</v>
      </c>
      <c r="I376" s="29">
        <v>31660.0</v>
      </c>
      <c r="J376" s="30">
        <v>48129.0</v>
      </c>
      <c r="K376" s="31"/>
      <c r="L376" s="39"/>
      <c r="M376" s="33"/>
      <c r="N376" s="40"/>
      <c r="O376" s="35"/>
      <c r="P376" s="33"/>
      <c r="Q376" s="33"/>
      <c r="R376" s="35"/>
      <c r="S376" s="35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>
      <c r="A377" s="220" t="s">
        <v>26</v>
      </c>
      <c r="B377" s="100">
        <v>44926.0</v>
      </c>
      <c r="C377" s="22">
        <v>124282.0</v>
      </c>
      <c r="D377" s="23">
        <v>67028.0</v>
      </c>
      <c r="E377" s="24">
        <f>900+1100+150+260+70</f>
        <v>2480</v>
      </c>
      <c r="F377" s="25">
        <v>1100.0</v>
      </c>
      <c r="G377" s="26">
        <v>50040.0</v>
      </c>
      <c r="H377" s="27"/>
      <c r="I377" s="29">
        <v>9900.0</v>
      </c>
      <c r="J377" s="30">
        <v>47914.0</v>
      </c>
      <c r="K377" s="31"/>
      <c r="L377" s="39"/>
      <c r="M377" s="33"/>
      <c r="N377" s="40"/>
      <c r="O377" s="35"/>
      <c r="P377" s="33"/>
      <c r="Q377" s="33"/>
      <c r="R377" s="35"/>
      <c r="S377" s="35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>
      <c r="A378" s="68" t="s">
        <v>28</v>
      </c>
      <c r="B378" s="129" t="s">
        <v>51</v>
      </c>
      <c r="C378" s="70">
        <f t="shared" ref="C378:D378" si="31">SUM(C347:C377)</f>
        <v>5735895</v>
      </c>
      <c r="D378" s="71">
        <f t="shared" si="31"/>
        <v>3994364</v>
      </c>
      <c r="E378" s="71"/>
      <c r="F378" s="71"/>
      <c r="G378" s="70">
        <f t="shared" ref="G378:I378" si="32">SUM(G347:G377)</f>
        <v>1320880</v>
      </c>
      <c r="H378" s="70">
        <f t="shared" si="32"/>
        <v>907560</v>
      </c>
      <c r="I378" s="70">
        <f t="shared" si="32"/>
        <v>1254152</v>
      </c>
      <c r="J378" s="73">
        <f>SUM(J358:J377)</f>
        <v>1216207</v>
      </c>
      <c r="K378" s="74"/>
      <c r="L378" s="75"/>
      <c r="M378" s="76"/>
      <c r="N378" s="77"/>
      <c r="O378" s="77"/>
      <c r="P378" s="77"/>
      <c r="Q378" s="77"/>
      <c r="R378" s="76"/>
      <c r="S378" s="76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>
      <c r="A379" s="221"/>
      <c r="B379" s="100"/>
      <c r="C379" s="22"/>
      <c r="D379" s="23"/>
      <c r="E379" s="24"/>
      <c r="F379" s="25"/>
      <c r="G379" s="35"/>
      <c r="H379" s="27"/>
      <c r="I379" s="29"/>
      <c r="J379" s="30"/>
      <c r="K379" s="31"/>
      <c r="L379" s="39"/>
      <c r="M379" s="33"/>
      <c r="N379" s="33"/>
      <c r="O379" s="35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>
      <c r="A380" s="224"/>
      <c r="B380" s="100"/>
      <c r="C380" s="225"/>
      <c r="D380" s="226"/>
      <c r="E380" s="227"/>
      <c r="F380" s="228"/>
      <c r="G380" s="33"/>
      <c r="H380" s="143"/>
      <c r="I380" s="112"/>
      <c r="J380" s="30">
        <f t="shared" ref="J380:J418" si="33">SUM(C380-G380-H380-I380)</f>
        <v>0</v>
      </c>
      <c r="K380" s="31"/>
      <c r="L380" s="39"/>
      <c r="M380" s="33"/>
      <c r="N380" s="33"/>
      <c r="O380" s="35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>
      <c r="A381" s="224"/>
      <c r="B381" s="100"/>
      <c r="C381" s="225"/>
      <c r="D381" s="226"/>
      <c r="E381" s="227"/>
      <c r="F381" s="228"/>
      <c r="G381" s="33"/>
      <c r="H381" s="143"/>
      <c r="I381" s="112"/>
      <c r="J381" s="30">
        <f t="shared" si="33"/>
        <v>0</v>
      </c>
      <c r="K381" s="31"/>
      <c r="L381" s="39"/>
      <c r="M381" s="33"/>
      <c r="N381" s="33"/>
      <c r="O381" s="35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>
      <c r="A382" s="224"/>
      <c r="B382" s="100"/>
      <c r="C382" s="225"/>
      <c r="D382" s="226"/>
      <c r="E382" s="227"/>
      <c r="F382" s="228"/>
      <c r="G382" s="33"/>
      <c r="H382" s="143"/>
      <c r="I382" s="112"/>
      <c r="J382" s="30">
        <f t="shared" si="33"/>
        <v>0</v>
      </c>
      <c r="K382" s="31"/>
      <c r="L382" s="39"/>
      <c r="M382" s="33"/>
      <c r="N382" s="33"/>
      <c r="O382" s="35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>
      <c r="A383" s="224"/>
      <c r="B383" s="100"/>
      <c r="C383" s="225"/>
      <c r="D383" s="226"/>
      <c r="E383" s="227"/>
      <c r="F383" s="228"/>
      <c r="G383" s="33"/>
      <c r="H383" s="143"/>
      <c r="I383" s="112"/>
      <c r="J383" s="30">
        <f t="shared" si="33"/>
        <v>0</v>
      </c>
      <c r="K383" s="31"/>
      <c r="L383" s="39"/>
      <c r="M383" s="33"/>
      <c r="N383" s="33"/>
      <c r="O383" s="35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>
      <c r="A384" s="224"/>
      <c r="B384" s="100"/>
      <c r="C384" s="225"/>
      <c r="D384" s="226"/>
      <c r="E384" s="227"/>
      <c r="F384" s="228"/>
      <c r="G384" s="33"/>
      <c r="H384" s="143"/>
      <c r="I384" s="112"/>
      <c r="J384" s="30">
        <f t="shared" si="33"/>
        <v>0</v>
      </c>
      <c r="K384" s="31"/>
      <c r="L384" s="39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>
      <c r="A385" s="224"/>
      <c r="B385" s="100"/>
      <c r="C385" s="225"/>
      <c r="D385" s="226"/>
      <c r="E385" s="227"/>
      <c r="F385" s="228"/>
      <c r="G385" s="33"/>
      <c r="H385" s="143"/>
      <c r="I385" s="112"/>
      <c r="J385" s="30">
        <f t="shared" si="33"/>
        <v>0</v>
      </c>
      <c r="K385" s="31"/>
      <c r="L385" s="39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>
      <c r="A386" s="224"/>
      <c r="B386" s="100"/>
      <c r="C386" s="225"/>
      <c r="D386" s="226"/>
      <c r="E386" s="227"/>
      <c r="F386" s="228"/>
      <c r="G386" s="33"/>
      <c r="H386" s="143"/>
      <c r="I386" s="112"/>
      <c r="J386" s="30">
        <f t="shared" si="33"/>
        <v>0</v>
      </c>
      <c r="K386" s="31"/>
      <c r="L386" s="39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>
      <c r="A387" s="224"/>
      <c r="B387" s="100"/>
      <c r="C387" s="225"/>
      <c r="D387" s="226"/>
      <c r="E387" s="227"/>
      <c r="F387" s="228"/>
      <c r="G387" s="33"/>
      <c r="H387" s="143"/>
      <c r="I387" s="112"/>
      <c r="J387" s="30">
        <f t="shared" si="33"/>
        <v>0</v>
      </c>
      <c r="K387" s="31"/>
      <c r="L387" s="39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>
      <c r="A388" s="224"/>
      <c r="B388" s="100"/>
      <c r="C388" s="225"/>
      <c r="D388" s="226"/>
      <c r="E388" s="227"/>
      <c r="F388" s="228"/>
      <c r="G388" s="33"/>
      <c r="H388" s="143"/>
      <c r="I388" s="112"/>
      <c r="J388" s="30">
        <f t="shared" si="33"/>
        <v>0</v>
      </c>
      <c r="K388" s="31"/>
      <c r="L388" s="39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>
      <c r="A389" s="224"/>
      <c r="B389" s="100"/>
      <c r="C389" s="225"/>
      <c r="D389" s="226"/>
      <c r="E389" s="227"/>
      <c r="F389" s="228"/>
      <c r="G389" s="33"/>
      <c r="H389" s="143"/>
      <c r="I389" s="112"/>
      <c r="J389" s="30">
        <f t="shared" si="33"/>
        <v>0</v>
      </c>
      <c r="K389" s="31"/>
      <c r="L389" s="39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>
      <c r="A390" s="224"/>
      <c r="B390" s="100"/>
      <c r="C390" s="225"/>
      <c r="D390" s="226"/>
      <c r="E390" s="227"/>
      <c r="F390" s="228"/>
      <c r="G390" s="33"/>
      <c r="H390" s="143"/>
      <c r="I390" s="112"/>
      <c r="J390" s="30">
        <f t="shared" si="33"/>
        <v>0</v>
      </c>
      <c r="K390" s="31"/>
      <c r="L390" s="39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>
      <c r="A391" s="224"/>
      <c r="B391" s="100"/>
      <c r="C391" s="225"/>
      <c r="D391" s="226"/>
      <c r="E391" s="227"/>
      <c r="F391" s="228"/>
      <c r="G391" s="33"/>
      <c r="H391" s="143"/>
      <c r="I391" s="112"/>
      <c r="J391" s="30">
        <f t="shared" si="33"/>
        <v>0</v>
      </c>
      <c r="K391" s="31"/>
      <c r="L391" s="39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>
      <c r="A392" s="224"/>
      <c r="B392" s="100"/>
      <c r="C392" s="225"/>
      <c r="D392" s="226"/>
      <c r="E392" s="227"/>
      <c r="F392" s="228"/>
      <c r="G392" s="33"/>
      <c r="H392" s="143"/>
      <c r="I392" s="112"/>
      <c r="J392" s="30">
        <f t="shared" si="33"/>
        <v>0</v>
      </c>
      <c r="K392" s="31"/>
      <c r="L392" s="39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>
      <c r="A393" s="224"/>
      <c r="B393" s="100"/>
      <c r="C393" s="225"/>
      <c r="D393" s="226"/>
      <c r="E393" s="227"/>
      <c r="F393" s="228"/>
      <c r="G393" s="33"/>
      <c r="H393" s="143"/>
      <c r="I393" s="112"/>
      <c r="J393" s="30">
        <f t="shared" si="33"/>
        <v>0</v>
      </c>
      <c r="K393" s="31"/>
      <c r="L393" s="39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>
      <c r="A394" s="224"/>
      <c r="B394" s="100"/>
      <c r="C394" s="225"/>
      <c r="D394" s="226"/>
      <c r="E394" s="227"/>
      <c r="F394" s="228"/>
      <c r="G394" s="33"/>
      <c r="H394" s="143"/>
      <c r="I394" s="112"/>
      <c r="J394" s="30">
        <f t="shared" si="33"/>
        <v>0</v>
      </c>
      <c r="K394" s="31"/>
      <c r="L394" s="39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>
      <c r="A395" s="224"/>
      <c r="B395" s="100"/>
      <c r="C395" s="225"/>
      <c r="D395" s="226"/>
      <c r="E395" s="227"/>
      <c r="F395" s="228"/>
      <c r="G395" s="33"/>
      <c r="H395" s="143"/>
      <c r="I395" s="112"/>
      <c r="J395" s="30">
        <f t="shared" si="33"/>
        <v>0</v>
      </c>
      <c r="K395" s="31"/>
      <c r="L395" s="39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>
      <c r="A396" s="224"/>
      <c r="B396" s="100"/>
      <c r="C396" s="225"/>
      <c r="D396" s="226"/>
      <c r="E396" s="227"/>
      <c r="F396" s="228"/>
      <c r="G396" s="33"/>
      <c r="H396" s="143"/>
      <c r="I396" s="112"/>
      <c r="J396" s="30">
        <f t="shared" si="33"/>
        <v>0</v>
      </c>
      <c r="K396" s="31"/>
      <c r="L396" s="39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>
      <c r="A397" s="224"/>
      <c r="B397" s="100"/>
      <c r="C397" s="225"/>
      <c r="D397" s="226"/>
      <c r="E397" s="227"/>
      <c r="F397" s="228"/>
      <c r="G397" s="33"/>
      <c r="H397" s="143"/>
      <c r="I397" s="112"/>
      <c r="J397" s="30">
        <f t="shared" si="33"/>
        <v>0</v>
      </c>
      <c r="K397" s="31"/>
      <c r="L397" s="39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>
      <c r="A398" s="224"/>
      <c r="B398" s="100"/>
      <c r="C398" s="225"/>
      <c r="D398" s="226"/>
      <c r="E398" s="227"/>
      <c r="F398" s="228"/>
      <c r="G398" s="33"/>
      <c r="H398" s="143"/>
      <c r="I398" s="112"/>
      <c r="J398" s="30">
        <f t="shared" si="33"/>
        <v>0</v>
      </c>
      <c r="K398" s="31"/>
      <c r="L398" s="39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>
      <c r="A399" s="224"/>
      <c r="B399" s="100"/>
      <c r="C399" s="225"/>
      <c r="D399" s="226"/>
      <c r="E399" s="227"/>
      <c r="F399" s="228"/>
      <c r="G399" s="33"/>
      <c r="H399" s="143"/>
      <c r="I399" s="112"/>
      <c r="J399" s="30">
        <f t="shared" si="33"/>
        <v>0</v>
      </c>
      <c r="K399" s="31"/>
      <c r="L399" s="39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>
      <c r="A400" s="224"/>
      <c r="B400" s="100"/>
      <c r="C400" s="225"/>
      <c r="D400" s="226"/>
      <c r="E400" s="227"/>
      <c r="F400" s="228"/>
      <c r="G400" s="33"/>
      <c r="H400" s="143"/>
      <c r="I400" s="112"/>
      <c r="J400" s="30">
        <f t="shared" si="33"/>
        <v>0</v>
      </c>
      <c r="K400" s="31"/>
      <c r="L400" s="39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>
      <c r="A401" s="224"/>
      <c r="B401" s="100"/>
      <c r="C401" s="225"/>
      <c r="D401" s="226"/>
      <c r="E401" s="227"/>
      <c r="F401" s="228"/>
      <c r="G401" s="33"/>
      <c r="H401" s="143"/>
      <c r="I401" s="112"/>
      <c r="J401" s="30">
        <f t="shared" si="33"/>
        <v>0</v>
      </c>
      <c r="K401" s="31"/>
      <c r="L401" s="39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>
      <c r="A402" s="224"/>
      <c r="B402" s="100"/>
      <c r="C402" s="225"/>
      <c r="D402" s="226"/>
      <c r="E402" s="227"/>
      <c r="F402" s="228"/>
      <c r="G402" s="33"/>
      <c r="H402" s="143"/>
      <c r="I402" s="112"/>
      <c r="J402" s="30">
        <f t="shared" si="33"/>
        <v>0</v>
      </c>
      <c r="K402" s="31"/>
      <c r="L402" s="39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>
      <c r="A403" s="224"/>
      <c r="B403" s="100"/>
      <c r="C403" s="225"/>
      <c r="D403" s="226"/>
      <c r="E403" s="227"/>
      <c r="F403" s="228"/>
      <c r="G403" s="33"/>
      <c r="H403" s="143"/>
      <c r="I403" s="112"/>
      <c r="J403" s="30">
        <f t="shared" si="33"/>
        <v>0</v>
      </c>
      <c r="K403" s="31"/>
      <c r="L403" s="39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>
      <c r="A404" s="224"/>
      <c r="B404" s="229"/>
      <c r="C404" s="225"/>
      <c r="D404" s="226"/>
      <c r="E404" s="227"/>
      <c r="F404" s="228"/>
      <c r="G404" s="33"/>
      <c r="H404" s="143"/>
      <c r="I404" s="112"/>
      <c r="J404" s="30">
        <f t="shared" si="33"/>
        <v>0</v>
      </c>
      <c r="K404" s="31"/>
      <c r="L404" s="39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>
      <c r="A405" s="224"/>
      <c r="B405" s="229"/>
      <c r="C405" s="225"/>
      <c r="D405" s="226"/>
      <c r="E405" s="227"/>
      <c r="F405" s="228"/>
      <c r="G405" s="33"/>
      <c r="H405" s="143"/>
      <c r="I405" s="112"/>
      <c r="J405" s="30">
        <f t="shared" si="33"/>
        <v>0</v>
      </c>
      <c r="K405" s="31"/>
      <c r="L405" s="39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>
      <c r="A406" s="224"/>
      <c r="B406" s="229"/>
      <c r="C406" s="225"/>
      <c r="D406" s="226"/>
      <c r="E406" s="227"/>
      <c r="F406" s="228"/>
      <c r="G406" s="33"/>
      <c r="H406" s="143"/>
      <c r="I406" s="112"/>
      <c r="J406" s="30">
        <f t="shared" si="33"/>
        <v>0</v>
      </c>
      <c r="K406" s="31"/>
      <c r="L406" s="39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>
      <c r="A407" s="224"/>
      <c r="B407" s="229"/>
      <c r="C407" s="225"/>
      <c r="D407" s="226"/>
      <c r="E407" s="227"/>
      <c r="F407" s="228"/>
      <c r="G407" s="33"/>
      <c r="H407" s="143"/>
      <c r="I407" s="112"/>
      <c r="J407" s="30">
        <f t="shared" si="33"/>
        <v>0</v>
      </c>
      <c r="K407" s="31"/>
      <c r="L407" s="39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>
      <c r="A408" s="224"/>
      <c r="B408" s="229"/>
      <c r="C408" s="225"/>
      <c r="D408" s="226"/>
      <c r="E408" s="227"/>
      <c r="F408" s="228"/>
      <c r="G408" s="33"/>
      <c r="H408" s="143"/>
      <c r="I408" s="112"/>
      <c r="J408" s="30">
        <f t="shared" si="33"/>
        <v>0</v>
      </c>
      <c r="K408" s="31"/>
      <c r="L408" s="39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>
      <c r="A409" s="224"/>
      <c r="B409" s="229"/>
      <c r="C409" s="225"/>
      <c r="D409" s="226"/>
      <c r="E409" s="227"/>
      <c r="F409" s="228"/>
      <c r="G409" s="33"/>
      <c r="H409" s="143"/>
      <c r="I409" s="112"/>
      <c r="J409" s="30">
        <f t="shared" si="33"/>
        <v>0</v>
      </c>
      <c r="K409" s="31"/>
      <c r="L409" s="39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>
      <c r="A410" s="224"/>
      <c r="B410" s="229"/>
      <c r="C410" s="225"/>
      <c r="D410" s="226"/>
      <c r="E410" s="227"/>
      <c r="F410" s="228"/>
      <c r="G410" s="33"/>
      <c r="H410" s="143"/>
      <c r="I410" s="112"/>
      <c r="J410" s="30">
        <f t="shared" si="33"/>
        <v>0</v>
      </c>
      <c r="K410" s="31"/>
      <c r="L410" s="39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>
      <c r="A411" s="224"/>
      <c r="B411" s="229"/>
      <c r="C411" s="225"/>
      <c r="D411" s="226"/>
      <c r="E411" s="227"/>
      <c r="F411" s="228"/>
      <c r="G411" s="33"/>
      <c r="H411" s="143"/>
      <c r="I411" s="112"/>
      <c r="J411" s="30">
        <f t="shared" si="33"/>
        <v>0</v>
      </c>
      <c r="K411" s="31"/>
      <c r="L411" s="39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>
      <c r="A412" s="224"/>
      <c r="B412" s="229"/>
      <c r="C412" s="225"/>
      <c r="D412" s="226"/>
      <c r="E412" s="227"/>
      <c r="F412" s="228"/>
      <c r="G412" s="33"/>
      <c r="H412" s="143"/>
      <c r="I412" s="112"/>
      <c r="J412" s="30">
        <f t="shared" si="33"/>
        <v>0</v>
      </c>
      <c r="K412" s="31"/>
      <c r="L412" s="39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>
      <c r="A413" s="224"/>
      <c r="B413" s="229"/>
      <c r="C413" s="225"/>
      <c r="D413" s="226"/>
      <c r="E413" s="227"/>
      <c r="F413" s="228"/>
      <c r="G413" s="33"/>
      <c r="H413" s="143"/>
      <c r="I413" s="112"/>
      <c r="J413" s="30">
        <f t="shared" si="33"/>
        <v>0</v>
      </c>
      <c r="K413" s="31"/>
      <c r="L413" s="39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>
      <c r="A414" s="224"/>
      <c r="B414" s="229"/>
      <c r="C414" s="225"/>
      <c r="D414" s="226"/>
      <c r="E414" s="227"/>
      <c r="F414" s="228"/>
      <c r="G414" s="33"/>
      <c r="H414" s="143"/>
      <c r="I414" s="112"/>
      <c r="J414" s="30">
        <f t="shared" si="33"/>
        <v>0</v>
      </c>
      <c r="K414" s="31"/>
      <c r="L414" s="39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>
      <c r="A415" s="224"/>
      <c r="B415" s="229"/>
      <c r="C415" s="225"/>
      <c r="D415" s="226"/>
      <c r="E415" s="227"/>
      <c r="F415" s="228"/>
      <c r="G415" s="33"/>
      <c r="H415" s="143"/>
      <c r="I415" s="112"/>
      <c r="J415" s="30">
        <f t="shared" si="33"/>
        <v>0</v>
      </c>
      <c r="K415" s="31"/>
      <c r="L415" s="39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>
      <c r="A416" s="224"/>
      <c r="B416" s="229"/>
      <c r="C416" s="225"/>
      <c r="D416" s="226"/>
      <c r="E416" s="227"/>
      <c r="F416" s="228"/>
      <c r="G416" s="33"/>
      <c r="H416" s="143"/>
      <c r="I416" s="112"/>
      <c r="J416" s="30">
        <f t="shared" si="33"/>
        <v>0</v>
      </c>
      <c r="K416" s="31"/>
      <c r="L416" s="39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>
      <c r="A417" s="224"/>
      <c r="B417" s="229"/>
      <c r="C417" s="225"/>
      <c r="D417" s="226"/>
      <c r="E417" s="227"/>
      <c r="F417" s="228"/>
      <c r="G417" s="33"/>
      <c r="H417" s="143"/>
      <c r="I417" s="112"/>
      <c r="J417" s="30">
        <f t="shared" si="33"/>
        <v>0</v>
      </c>
      <c r="K417" s="31"/>
      <c r="L417" s="39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>
      <c r="A418" s="224"/>
      <c r="B418" s="229"/>
      <c r="C418" s="225"/>
      <c r="D418" s="226"/>
      <c r="E418" s="227"/>
      <c r="F418" s="228"/>
      <c r="G418" s="33"/>
      <c r="H418" s="143"/>
      <c r="I418" s="112"/>
      <c r="J418" s="30">
        <f t="shared" si="33"/>
        <v>0</v>
      </c>
      <c r="K418" s="31"/>
      <c r="L418" s="39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>
      <c r="A419" s="224"/>
      <c r="B419" s="229"/>
      <c r="C419" s="225"/>
      <c r="D419" s="226"/>
      <c r="E419" s="227"/>
      <c r="F419" s="228"/>
      <c r="G419" s="33"/>
      <c r="H419" s="143"/>
      <c r="I419" s="112"/>
      <c r="J419" s="230"/>
      <c r="K419" s="31"/>
      <c r="L419" s="39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>
      <c r="A420" s="224"/>
      <c r="B420" s="229"/>
      <c r="C420" s="225"/>
      <c r="D420" s="226"/>
      <c r="E420" s="227"/>
      <c r="F420" s="228"/>
      <c r="G420" s="33"/>
      <c r="H420" s="143"/>
      <c r="I420" s="112"/>
      <c r="J420" s="230"/>
      <c r="K420" s="31"/>
      <c r="L420" s="39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>
      <c r="A421" s="224"/>
      <c r="B421" s="229"/>
      <c r="C421" s="225"/>
      <c r="D421" s="226"/>
      <c r="E421" s="227"/>
      <c r="F421" s="228"/>
      <c r="G421" s="33"/>
      <c r="H421" s="143"/>
      <c r="I421" s="112"/>
      <c r="J421" s="230"/>
      <c r="K421" s="31"/>
      <c r="L421" s="39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>
      <c r="A422" s="224"/>
      <c r="B422" s="229"/>
      <c r="C422" s="225"/>
      <c r="D422" s="226"/>
      <c r="E422" s="227"/>
      <c r="F422" s="228"/>
      <c r="G422" s="33"/>
      <c r="H422" s="143"/>
      <c r="I422" s="112"/>
      <c r="J422" s="230"/>
      <c r="K422" s="31"/>
      <c r="L422" s="39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>
      <c r="A423" s="224"/>
      <c r="B423" s="229"/>
      <c r="C423" s="225"/>
      <c r="D423" s="226"/>
      <c r="E423" s="227"/>
      <c r="F423" s="228"/>
      <c r="G423" s="33"/>
      <c r="H423" s="143"/>
      <c r="I423" s="112"/>
      <c r="J423" s="230"/>
      <c r="K423" s="31"/>
      <c r="L423" s="39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>
      <c r="A424" s="224"/>
      <c r="B424" s="229"/>
      <c r="C424" s="225"/>
      <c r="D424" s="226"/>
      <c r="E424" s="227"/>
      <c r="F424" s="228"/>
      <c r="G424" s="33"/>
      <c r="H424" s="143"/>
      <c r="I424" s="112"/>
      <c r="J424" s="230"/>
      <c r="K424" s="31"/>
      <c r="L424" s="39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>
      <c r="A425" s="224"/>
      <c r="B425" s="229"/>
      <c r="C425" s="225"/>
      <c r="D425" s="226"/>
      <c r="E425" s="227"/>
      <c r="F425" s="228"/>
      <c r="G425" s="33"/>
      <c r="H425" s="143"/>
      <c r="I425" s="112"/>
      <c r="J425" s="230"/>
      <c r="K425" s="31"/>
      <c r="L425" s="39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>
      <c r="A426" s="224"/>
      <c r="B426" s="229"/>
      <c r="C426" s="225"/>
      <c r="D426" s="226"/>
      <c r="E426" s="227"/>
      <c r="F426" s="228"/>
      <c r="G426" s="33"/>
      <c r="H426" s="143"/>
      <c r="I426" s="112"/>
      <c r="J426" s="230"/>
      <c r="K426" s="31"/>
      <c r="L426" s="39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>
      <c r="A427" s="224"/>
      <c r="B427" s="229"/>
      <c r="C427" s="225"/>
      <c r="D427" s="226"/>
      <c r="E427" s="227"/>
      <c r="F427" s="228"/>
      <c r="G427" s="33"/>
      <c r="H427" s="143"/>
      <c r="I427" s="112"/>
      <c r="J427" s="230"/>
      <c r="K427" s="31"/>
      <c r="L427" s="39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>
      <c r="A428" s="224"/>
      <c r="B428" s="229"/>
      <c r="C428" s="225"/>
      <c r="D428" s="226"/>
      <c r="E428" s="227"/>
      <c r="F428" s="228"/>
      <c r="G428" s="33"/>
      <c r="H428" s="143"/>
      <c r="I428" s="112"/>
      <c r="J428" s="230"/>
      <c r="K428" s="31"/>
      <c r="L428" s="39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>
      <c r="A429" s="224"/>
      <c r="B429" s="229"/>
      <c r="C429" s="225"/>
      <c r="D429" s="226"/>
      <c r="E429" s="227"/>
      <c r="F429" s="228"/>
      <c r="G429" s="33"/>
      <c r="H429" s="143"/>
      <c r="I429" s="112"/>
      <c r="J429" s="230"/>
      <c r="K429" s="31"/>
      <c r="L429" s="39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>
      <c r="A430" s="224"/>
      <c r="B430" s="229"/>
      <c r="C430" s="225"/>
      <c r="D430" s="226"/>
      <c r="E430" s="227"/>
      <c r="F430" s="228"/>
      <c r="G430" s="33"/>
      <c r="H430" s="143"/>
      <c r="I430" s="112"/>
      <c r="J430" s="230"/>
      <c r="K430" s="31"/>
      <c r="L430" s="39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>
      <c r="A431" s="224"/>
      <c r="B431" s="229"/>
      <c r="C431" s="225"/>
      <c r="D431" s="226"/>
      <c r="E431" s="227"/>
      <c r="F431" s="228"/>
      <c r="G431" s="33"/>
      <c r="H431" s="143"/>
      <c r="I431" s="112"/>
      <c r="J431" s="230"/>
      <c r="K431" s="31"/>
      <c r="L431" s="39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>
      <c r="A432" s="224"/>
      <c r="B432" s="229"/>
      <c r="C432" s="225"/>
      <c r="D432" s="226"/>
      <c r="E432" s="227"/>
      <c r="F432" s="228"/>
      <c r="G432" s="33"/>
      <c r="H432" s="143"/>
      <c r="I432" s="112"/>
      <c r="J432" s="230"/>
      <c r="K432" s="31"/>
      <c r="L432" s="39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>
      <c r="A433" s="224"/>
      <c r="B433" s="229"/>
      <c r="C433" s="225"/>
      <c r="D433" s="226"/>
      <c r="E433" s="227"/>
      <c r="F433" s="228"/>
      <c r="G433" s="33"/>
      <c r="H433" s="143"/>
      <c r="I433" s="112"/>
      <c r="J433" s="230"/>
      <c r="K433" s="31"/>
      <c r="L433" s="39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>
      <c r="A434" s="224"/>
      <c r="B434" s="229"/>
      <c r="C434" s="225"/>
      <c r="D434" s="226"/>
      <c r="E434" s="227"/>
      <c r="F434" s="228"/>
      <c r="G434" s="33"/>
      <c r="H434" s="143"/>
      <c r="I434" s="112"/>
      <c r="J434" s="230"/>
      <c r="K434" s="31"/>
      <c r="L434" s="39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>
      <c r="A435" s="224"/>
      <c r="B435" s="229"/>
      <c r="C435" s="225"/>
      <c r="D435" s="226"/>
      <c r="E435" s="227"/>
      <c r="F435" s="228"/>
      <c r="G435" s="33"/>
      <c r="H435" s="143"/>
      <c r="I435" s="112"/>
      <c r="J435" s="230"/>
      <c r="K435" s="31"/>
      <c r="L435" s="39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>
      <c r="A436" s="224"/>
      <c r="B436" s="229"/>
      <c r="C436" s="225"/>
      <c r="D436" s="226"/>
      <c r="E436" s="227"/>
      <c r="F436" s="228"/>
      <c r="G436" s="33"/>
      <c r="H436" s="143"/>
      <c r="I436" s="112"/>
      <c r="J436" s="230"/>
      <c r="K436" s="31"/>
      <c r="L436" s="39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>
      <c r="A437" s="224"/>
      <c r="B437" s="229"/>
      <c r="C437" s="225"/>
      <c r="D437" s="226"/>
      <c r="E437" s="227"/>
      <c r="F437" s="228"/>
      <c r="G437" s="33"/>
      <c r="H437" s="143"/>
      <c r="I437" s="112"/>
      <c r="J437" s="230"/>
      <c r="K437" s="31"/>
      <c r="L437" s="39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>
      <c r="A438" s="224"/>
      <c r="B438" s="229"/>
      <c r="C438" s="225"/>
      <c r="D438" s="226"/>
      <c r="E438" s="227"/>
      <c r="F438" s="228"/>
      <c r="G438" s="33"/>
      <c r="H438" s="143"/>
      <c r="I438" s="112"/>
      <c r="J438" s="230"/>
      <c r="K438" s="31"/>
      <c r="L438" s="39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>
      <c r="A439" s="224"/>
      <c r="B439" s="229"/>
      <c r="C439" s="225"/>
      <c r="D439" s="226"/>
      <c r="E439" s="227"/>
      <c r="F439" s="228"/>
      <c r="G439" s="33"/>
      <c r="H439" s="143"/>
      <c r="I439" s="112"/>
      <c r="J439" s="230"/>
      <c r="K439" s="31"/>
      <c r="L439" s="39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>
      <c r="A440" s="224"/>
      <c r="B440" s="229"/>
      <c r="C440" s="225"/>
      <c r="D440" s="226"/>
      <c r="E440" s="227"/>
      <c r="F440" s="228"/>
      <c r="G440" s="33"/>
      <c r="H440" s="143"/>
      <c r="I440" s="112"/>
      <c r="J440" s="230"/>
      <c r="K440" s="31"/>
      <c r="L440" s="39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>
      <c r="A441" s="224"/>
      <c r="B441" s="229"/>
      <c r="C441" s="225"/>
      <c r="D441" s="226"/>
      <c r="E441" s="227"/>
      <c r="F441" s="228"/>
      <c r="G441" s="33"/>
      <c r="H441" s="143"/>
      <c r="I441" s="112"/>
      <c r="J441" s="230"/>
      <c r="K441" s="31"/>
      <c r="L441" s="39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>
      <c r="A442" s="224"/>
      <c r="B442" s="229"/>
      <c r="C442" s="225"/>
      <c r="D442" s="226"/>
      <c r="E442" s="227"/>
      <c r="F442" s="228"/>
      <c r="G442" s="33"/>
      <c r="H442" s="143"/>
      <c r="I442" s="112"/>
      <c r="J442" s="230"/>
      <c r="K442" s="31"/>
      <c r="L442" s="39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>
      <c r="A443" s="224"/>
      <c r="B443" s="229"/>
      <c r="C443" s="225"/>
      <c r="D443" s="226"/>
      <c r="E443" s="227"/>
      <c r="F443" s="228"/>
      <c r="G443" s="33"/>
      <c r="H443" s="143"/>
      <c r="I443" s="112"/>
      <c r="J443" s="230"/>
      <c r="K443" s="31"/>
      <c r="L443" s="39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>
      <c r="A444" s="224"/>
      <c r="B444" s="229"/>
      <c r="C444" s="225"/>
      <c r="D444" s="226"/>
      <c r="E444" s="227"/>
      <c r="F444" s="228"/>
      <c r="G444" s="33"/>
      <c r="H444" s="143"/>
      <c r="I444" s="112"/>
      <c r="J444" s="230"/>
      <c r="K444" s="31"/>
      <c r="L444" s="39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>
      <c r="A445" s="224"/>
      <c r="B445" s="229"/>
      <c r="C445" s="225"/>
      <c r="D445" s="226"/>
      <c r="E445" s="227"/>
      <c r="F445" s="228"/>
      <c r="G445" s="33"/>
      <c r="H445" s="143"/>
      <c r="I445" s="112"/>
      <c r="J445" s="230"/>
      <c r="K445" s="31"/>
      <c r="L445" s="39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>
      <c r="A446" s="224"/>
      <c r="B446" s="229"/>
      <c r="C446" s="225"/>
      <c r="D446" s="226"/>
      <c r="E446" s="227"/>
      <c r="F446" s="228"/>
      <c r="G446" s="33"/>
      <c r="H446" s="143"/>
      <c r="I446" s="112"/>
      <c r="J446" s="230"/>
      <c r="K446" s="31"/>
      <c r="L446" s="39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>
      <c r="A447" s="224"/>
      <c r="B447" s="229"/>
      <c r="C447" s="225"/>
      <c r="D447" s="226"/>
      <c r="E447" s="227"/>
      <c r="F447" s="228"/>
      <c r="G447" s="33"/>
      <c r="H447" s="143"/>
      <c r="I447" s="112"/>
      <c r="J447" s="230"/>
      <c r="K447" s="31"/>
      <c r="L447" s="39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>
      <c r="A448" s="224"/>
      <c r="B448" s="229"/>
      <c r="C448" s="225"/>
      <c r="D448" s="226"/>
      <c r="E448" s="227"/>
      <c r="F448" s="228"/>
      <c r="G448" s="33"/>
      <c r="H448" s="143"/>
      <c r="I448" s="112"/>
      <c r="J448" s="230"/>
      <c r="K448" s="31"/>
      <c r="L448" s="39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>
      <c r="A449" s="224"/>
      <c r="B449" s="229"/>
      <c r="C449" s="225"/>
      <c r="D449" s="226"/>
      <c r="E449" s="227"/>
      <c r="F449" s="228"/>
      <c r="G449" s="33"/>
      <c r="H449" s="143"/>
      <c r="I449" s="112"/>
      <c r="J449" s="230"/>
      <c r="K449" s="31"/>
      <c r="L449" s="39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>
      <c r="A450" s="224"/>
      <c r="B450" s="229"/>
      <c r="C450" s="225"/>
      <c r="D450" s="226"/>
      <c r="E450" s="227"/>
      <c r="F450" s="228"/>
      <c r="G450" s="33"/>
      <c r="H450" s="143"/>
      <c r="I450" s="112"/>
      <c r="J450" s="230"/>
      <c r="K450" s="31"/>
      <c r="L450" s="39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>
      <c r="A451" s="224"/>
      <c r="B451" s="229"/>
      <c r="C451" s="225"/>
      <c r="D451" s="226"/>
      <c r="E451" s="227"/>
      <c r="F451" s="228"/>
      <c r="G451" s="33"/>
      <c r="H451" s="143"/>
      <c r="I451" s="112"/>
      <c r="J451" s="230"/>
      <c r="K451" s="31"/>
      <c r="L451" s="39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>
      <c r="A452" s="224"/>
      <c r="B452" s="229"/>
      <c r="C452" s="225"/>
      <c r="D452" s="226"/>
      <c r="E452" s="227"/>
      <c r="F452" s="228"/>
      <c r="G452" s="33"/>
      <c r="H452" s="143"/>
      <c r="I452" s="112"/>
      <c r="J452" s="230"/>
      <c r="K452" s="31"/>
      <c r="L452" s="39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>
      <c r="A453" s="224"/>
      <c r="B453" s="229"/>
      <c r="C453" s="225"/>
      <c r="D453" s="226"/>
      <c r="E453" s="227"/>
      <c r="F453" s="228"/>
      <c r="G453" s="33"/>
      <c r="H453" s="143"/>
      <c r="I453" s="112"/>
      <c r="J453" s="230"/>
      <c r="K453" s="31"/>
      <c r="L453" s="39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>
      <c r="A454" s="224"/>
      <c r="B454" s="229"/>
      <c r="C454" s="225"/>
      <c r="D454" s="226"/>
      <c r="E454" s="227"/>
      <c r="F454" s="228"/>
      <c r="G454" s="33"/>
      <c r="H454" s="143"/>
      <c r="I454" s="112"/>
      <c r="J454" s="230"/>
      <c r="K454" s="31"/>
      <c r="L454" s="39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>
      <c r="A455" s="224"/>
      <c r="B455" s="229"/>
      <c r="C455" s="225"/>
      <c r="D455" s="226"/>
      <c r="E455" s="227"/>
      <c r="F455" s="228"/>
      <c r="G455" s="33"/>
      <c r="H455" s="143"/>
      <c r="I455" s="112"/>
      <c r="J455" s="230"/>
      <c r="K455" s="31"/>
      <c r="L455" s="39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>
      <c r="A456" s="224"/>
      <c r="B456" s="229"/>
      <c r="C456" s="225"/>
      <c r="D456" s="226"/>
      <c r="E456" s="227"/>
      <c r="F456" s="228"/>
      <c r="G456" s="33"/>
      <c r="H456" s="143"/>
      <c r="I456" s="112"/>
      <c r="J456" s="230"/>
      <c r="K456" s="31"/>
      <c r="L456" s="39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>
      <c r="A457" s="224"/>
      <c r="B457" s="229"/>
      <c r="C457" s="225"/>
      <c r="D457" s="226"/>
      <c r="E457" s="227"/>
      <c r="F457" s="228"/>
      <c r="G457" s="33"/>
      <c r="H457" s="143"/>
      <c r="I457" s="112"/>
      <c r="J457" s="230"/>
      <c r="K457" s="31"/>
      <c r="L457" s="39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>
      <c r="A458" s="224"/>
      <c r="B458" s="229"/>
      <c r="C458" s="225"/>
      <c r="D458" s="226"/>
      <c r="E458" s="227"/>
      <c r="F458" s="228"/>
      <c r="G458" s="33"/>
      <c r="H458" s="143"/>
      <c r="I458" s="112"/>
      <c r="J458" s="230"/>
      <c r="K458" s="31"/>
      <c r="L458" s="39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>
      <c r="A459" s="224"/>
      <c r="B459" s="229"/>
      <c r="C459" s="225"/>
      <c r="D459" s="226"/>
      <c r="E459" s="227"/>
      <c r="F459" s="228"/>
      <c r="G459" s="33"/>
      <c r="H459" s="143"/>
      <c r="I459" s="112"/>
      <c r="J459" s="230"/>
      <c r="K459" s="31"/>
      <c r="L459" s="39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>
      <c r="A460" s="224"/>
      <c r="B460" s="229"/>
      <c r="C460" s="225"/>
      <c r="D460" s="226"/>
      <c r="E460" s="227"/>
      <c r="F460" s="228"/>
      <c r="G460" s="33"/>
      <c r="H460" s="143"/>
      <c r="I460" s="112"/>
      <c r="J460" s="230"/>
      <c r="K460" s="31"/>
      <c r="L460" s="39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>
      <c r="A461" s="224"/>
      <c r="B461" s="229"/>
      <c r="C461" s="225"/>
      <c r="D461" s="226"/>
      <c r="E461" s="227"/>
      <c r="F461" s="228"/>
      <c r="G461" s="33"/>
      <c r="H461" s="143"/>
      <c r="I461" s="112"/>
      <c r="J461" s="230"/>
      <c r="K461" s="31"/>
      <c r="L461" s="39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>
      <c r="A462" s="224"/>
      <c r="B462" s="229"/>
      <c r="C462" s="225"/>
      <c r="D462" s="226"/>
      <c r="E462" s="227"/>
      <c r="F462" s="228"/>
      <c r="G462" s="33"/>
      <c r="H462" s="143"/>
      <c r="I462" s="112"/>
      <c r="J462" s="230"/>
      <c r="K462" s="31"/>
      <c r="L462" s="39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>
      <c r="A463" s="224"/>
      <c r="B463" s="229"/>
      <c r="C463" s="225"/>
      <c r="D463" s="226"/>
      <c r="E463" s="227"/>
      <c r="F463" s="228"/>
      <c r="G463" s="33"/>
      <c r="H463" s="143"/>
      <c r="I463" s="112"/>
      <c r="J463" s="230"/>
      <c r="K463" s="31"/>
      <c r="L463" s="39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>
      <c r="A464" s="224"/>
      <c r="B464" s="229"/>
      <c r="C464" s="225"/>
      <c r="D464" s="226"/>
      <c r="E464" s="227"/>
      <c r="F464" s="228"/>
      <c r="G464" s="33"/>
      <c r="H464" s="143"/>
      <c r="I464" s="112"/>
      <c r="J464" s="230"/>
      <c r="K464" s="31"/>
      <c r="L464" s="39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>
      <c r="A465" s="224"/>
      <c r="B465" s="229"/>
      <c r="C465" s="225"/>
      <c r="D465" s="226"/>
      <c r="E465" s="227"/>
      <c r="F465" s="228"/>
      <c r="G465" s="33"/>
      <c r="H465" s="143"/>
      <c r="I465" s="112"/>
      <c r="J465" s="230"/>
      <c r="K465" s="31"/>
      <c r="L465" s="39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>
      <c r="A466" s="224"/>
      <c r="B466" s="229"/>
      <c r="C466" s="225"/>
      <c r="D466" s="226"/>
      <c r="E466" s="227"/>
      <c r="F466" s="228"/>
      <c r="G466" s="33"/>
      <c r="H466" s="143"/>
      <c r="I466" s="112"/>
      <c r="J466" s="230"/>
      <c r="K466" s="31"/>
      <c r="L466" s="39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>
      <c r="A467" s="224"/>
      <c r="B467" s="229"/>
      <c r="C467" s="225"/>
      <c r="D467" s="226"/>
      <c r="E467" s="227"/>
      <c r="F467" s="228"/>
      <c r="G467" s="33"/>
      <c r="H467" s="143"/>
      <c r="I467" s="112"/>
      <c r="J467" s="230"/>
      <c r="K467" s="31"/>
      <c r="L467" s="39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>
      <c r="A468" s="224"/>
      <c r="B468" s="229"/>
      <c r="C468" s="225"/>
      <c r="D468" s="226"/>
      <c r="E468" s="227"/>
      <c r="F468" s="228"/>
      <c r="G468" s="33"/>
      <c r="H468" s="143"/>
      <c r="I468" s="112"/>
      <c r="J468" s="230"/>
      <c r="K468" s="31"/>
      <c r="L468" s="39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>
      <c r="A469" s="224"/>
      <c r="B469" s="229"/>
      <c r="C469" s="225"/>
      <c r="D469" s="226"/>
      <c r="E469" s="227"/>
      <c r="F469" s="228"/>
      <c r="G469" s="33"/>
      <c r="H469" s="143"/>
      <c r="I469" s="112"/>
      <c r="J469" s="230"/>
      <c r="K469" s="31"/>
      <c r="L469" s="39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>
      <c r="A470" s="224"/>
      <c r="B470" s="229"/>
      <c r="C470" s="225"/>
      <c r="D470" s="226"/>
      <c r="E470" s="227"/>
      <c r="F470" s="228"/>
      <c r="G470" s="33"/>
      <c r="H470" s="143"/>
      <c r="I470" s="112"/>
      <c r="J470" s="230"/>
      <c r="K470" s="31"/>
      <c r="L470" s="39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>
      <c r="A471" s="224"/>
      <c r="B471" s="229"/>
      <c r="C471" s="225"/>
      <c r="D471" s="226"/>
      <c r="E471" s="227"/>
      <c r="F471" s="228"/>
      <c r="G471" s="33"/>
      <c r="H471" s="143"/>
      <c r="I471" s="112"/>
      <c r="J471" s="230"/>
      <c r="K471" s="31"/>
      <c r="L471" s="39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>
      <c r="A472" s="224"/>
      <c r="B472" s="229"/>
      <c r="C472" s="225"/>
      <c r="D472" s="226"/>
      <c r="E472" s="227"/>
      <c r="F472" s="228"/>
      <c r="G472" s="33"/>
      <c r="H472" s="143"/>
      <c r="I472" s="112"/>
      <c r="J472" s="230"/>
      <c r="K472" s="31"/>
      <c r="L472" s="39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>
      <c r="A473" s="224"/>
      <c r="B473" s="229"/>
      <c r="C473" s="225"/>
      <c r="D473" s="226"/>
      <c r="E473" s="227"/>
      <c r="F473" s="228"/>
      <c r="G473" s="33"/>
      <c r="H473" s="143"/>
      <c r="I473" s="112"/>
      <c r="J473" s="230"/>
      <c r="K473" s="31"/>
      <c r="L473" s="3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>
      <c r="A474" s="224"/>
      <c r="B474" s="229"/>
      <c r="C474" s="225"/>
      <c r="D474" s="226"/>
      <c r="E474" s="227"/>
      <c r="F474" s="228"/>
      <c r="G474" s="33"/>
      <c r="H474" s="143"/>
      <c r="I474" s="112"/>
      <c r="J474" s="230"/>
      <c r="K474" s="31"/>
      <c r="L474" s="3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>
      <c r="A475" s="224"/>
      <c r="B475" s="229"/>
      <c r="C475" s="225"/>
      <c r="D475" s="226"/>
      <c r="E475" s="227"/>
      <c r="F475" s="228"/>
      <c r="G475" s="33"/>
      <c r="H475" s="143"/>
      <c r="I475" s="112"/>
      <c r="J475" s="230"/>
      <c r="K475" s="31"/>
      <c r="L475" s="3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>
      <c r="A476" s="224"/>
      <c r="B476" s="229"/>
      <c r="C476" s="225"/>
      <c r="D476" s="226"/>
      <c r="E476" s="227"/>
      <c r="F476" s="228"/>
      <c r="G476" s="33"/>
      <c r="H476" s="143"/>
      <c r="I476" s="112"/>
      <c r="J476" s="230"/>
      <c r="K476" s="31"/>
      <c r="L476" s="3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>
      <c r="A477" s="224"/>
      <c r="B477" s="229"/>
      <c r="C477" s="225"/>
      <c r="D477" s="226"/>
      <c r="E477" s="227"/>
      <c r="F477" s="228"/>
      <c r="G477" s="33"/>
      <c r="H477" s="143"/>
      <c r="I477" s="112"/>
      <c r="J477" s="230"/>
      <c r="K477" s="31"/>
      <c r="L477" s="3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>
      <c r="A478" s="224"/>
      <c r="B478" s="229"/>
      <c r="C478" s="225"/>
      <c r="D478" s="226"/>
      <c r="E478" s="227"/>
      <c r="F478" s="228"/>
      <c r="G478" s="33"/>
      <c r="H478" s="143"/>
      <c r="I478" s="112"/>
      <c r="J478" s="230"/>
      <c r="K478" s="31"/>
      <c r="L478" s="3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>
      <c r="A479" s="224"/>
      <c r="B479" s="229"/>
      <c r="C479" s="225"/>
      <c r="D479" s="226"/>
      <c r="E479" s="227"/>
      <c r="F479" s="228"/>
      <c r="G479" s="33"/>
      <c r="H479" s="143"/>
      <c r="I479" s="112"/>
      <c r="J479" s="230"/>
      <c r="K479" s="31"/>
      <c r="L479" s="3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>
      <c r="A480" s="224"/>
      <c r="B480" s="229"/>
      <c r="C480" s="225"/>
      <c r="D480" s="226"/>
      <c r="E480" s="227"/>
      <c r="F480" s="228"/>
      <c r="G480" s="33"/>
      <c r="H480" s="143"/>
      <c r="I480" s="112"/>
      <c r="J480" s="230"/>
      <c r="K480" s="31"/>
      <c r="L480" s="3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>
      <c r="A481" s="224"/>
      <c r="B481" s="229"/>
      <c r="C481" s="225"/>
      <c r="D481" s="226"/>
      <c r="E481" s="227"/>
      <c r="F481" s="228"/>
      <c r="G481" s="33"/>
      <c r="H481" s="143"/>
      <c r="I481" s="112"/>
      <c r="J481" s="230"/>
      <c r="K481" s="31"/>
      <c r="L481" s="3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>
      <c r="A482" s="224"/>
      <c r="B482" s="229"/>
      <c r="C482" s="225"/>
      <c r="D482" s="226"/>
      <c r="E482" s="227"/>
      <c r="F482" s="228"/>
      <c r="G482" s="33"/>
      <c r="H482" s="143"/>
      <c r="I482" s="112"/>
      <c r="J482" s="230"/>
      <c r="K482" s="31"/>
      <c r="L482" s="3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>
      <c r="A483" s="224"/>
      <c r="B483" s="229"/>
      <c r="C483" s="225"/>
      <c r="D483" s="226"/>
      <c r="E483" s="227"/>
      <c r="F483" s="228"/>
      <c r="G483" s="33"/>
      <c r="H483" s="143"/>
      <c r="I483" s="112"/>
      <c r="J483" s="230"/>
      <c r="K483" s="31"/>
      <c r="L483" s="3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>
      <c r="A484" s="224"/>
      <c r="B484" s="229"/>
      <c r="C484" s="225"/>
      <c r="D484" s="226"/>
      <c r="E484" s="227"/>
      <c r="F484" s="228"/>
      <c r="G484" s="33"/>
      <c r="H484" s="143"/>
      <c r="I484" s="112"/>
      <c r="J484" s="230"/>
      <c r="K484" s="31"/>
      <c r="L484" s="3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>
      <c r="A485" s="224"/>
      <c r="B485" s="229"/>
      <c r="C485" s="225"/>
      <c r="D485" s="226"/>
      <c r="E485" s="227"/>
      <c r="F485" s="228"/>
      <c r="G485" s="33"/>
      <c r="H485" s="143"/>
      <c r="I485" s="112"/>
      <c r="J485" s="230"/>
      <c r="K485" s="31"/>
      <c r="L485" s="3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>
      <c r="A486" s="224"/>
      <c r="B486" s="229"/>
      <c r="C486" s="225"/>
      <c r="D486" s="226"/>
      <c r="E486" s="227"/>
      <c r="F486" s="228"/>
      <c r="G486" s="33"/>
      <c r="H486" s="143"/>
      <c r="I486" s="112"/>
      <c r="J486" s="230"/>
      <c r="K486" s="31"/>
      <c r="L486" s="3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>
      <c r="A487" s="224"/>
      <c r="B487" s="229"/>
      <c r="C487" s="225"/>
      <c r="D487" s="226"/>
      <c r="E487" s="227"/>
      <c r="F487" s="228"/>
      <c r="G487" s="33"/>
      <c r="H487" s="143"/>
      <c r="I487" s="112"/>
      <c r="J487" s="230"/>
      <c r="K487" s="31"/>
      <c r="L487" s="3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>
      <c r="A488" s="224"/>
      <c r="B488" s="229"/>
      <c r="C488" s="225"/>
      <c r="D488" s="226"/>
      <c r="E488" s="227"/>
      <c r="F488" s="228"/>
      <c r="G488" s="33"/>
      <c r="H488" s="143"/>
      <c r="I488" s="112"/>
      <c r="J488" s="230"/>
      <c r="K488" s="31"/>
      <c r="L488" s="3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>
      <c r="A489" s="224"/>
      <c r="B489" s="229"/>
      <c r="C489" s="225"/>
      <c r="D489" s="226"/>
      <c r="E489" s="227"/>
      <c r="F489" s="228"/>
      <c r="G489" s="33"/>
      <c r="H489" s="143"/>
      <c r="I489" s="112"/>
      <c r="J489" s="230"/>
      <c r="K489" s="31"/>
      <c r="L489" s="3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>
      <c r="A490" s="224"/>
      <c r="B490" s="229"/>
      <c r="C490" s="225"/>
      <c r="D490" s="226"/>
      <c r="E490" s="227"/>
      <c r="F490" s="228"/>
      <c r="G490" s="33"/>
      <c r="H490" s="143"/>
      <c r="I490" s="112"/>
      <c r="J490" s="230"/>
      <c r="K490" s="31"/>
      <c r="L490" s="3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>
      <c r="A491" s="224"/>
      <c r="B491" s="229"/>
      <c r="C491" s="225"/>
      <c r="D491" s="226"/>
      <c r="E491" s="227"/>
      <c r="F491" s="228"/>
      <c r="G491" s="33"/>
      <c r="H491" s="143"/>
      <c r="I491" s="112"/>
      <c r="J491" s="230"/>
      <c r="K491" s="31"/>
      <c r="L491" s="3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>
      <c r="A492" s="224"/>
      <c r="B492" s="229"/>
      <c r="C492" s="225"/>
      <c r="D492" s="226"/>
      <c r="E492" s="227"/>
      <c r="F492" s="228"/>
      <c r="G492" s="33"/>
      <c r="H492" s="143"/>
      <c r="I492" s="112"/>
      <c r="J492" s="230"/>
      <c r="K492" s="31"/>
      <c r="L492" s="3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>
      <c r="A493" s="224"/>
      <c r="B493" s="229"/>
      <c r="C493" s="225"/>
      <c r="D493" s="226"/>
      <c r="E493" s="227"/>
      <c r="F493" s="228"/>
      <c r="G493" s="33"/>
      <c r="H493" s="143"/>
      <c r="I493" s="112"/>
      <c r="J493" s="230"/>
      <c r="K493" s="31"/>
      <c r="L493" s="3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>
      <c r="A494" s="224"/>
      <c r="B494" s="229"/>
      <c r="C494" s="225"/>
      <c r="D494" s="226"/>
      <c r="E494" s="227"/>
      <c r="F494" s="228"/>
      <c r="G494" s="33"/>
      <c r="H494" s="143"/>
      <c r="I494" s="112"/>
      <c r="J494" s="230"/>
      <c r="K494" s="31"/>
      <c r="L494" s="3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>
      <c r="A495" s="224"/>
      <c r="B495" s="229"/>
      <c r="C495" s="225"/>
      <c r="D495" s="226"/>
      <c r="E495" s="227"/>
      <c r="F495" s="228"/>
      <c r="G495" s="33"/>
      <c r="H495" s="143"/>
      <c r="I495" s="112"/>
      <c r="J495" s="230"/>
      <c r="K495" s="31"/>
      <c r="L495" s="3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>
      <c r="A496" s="224"/>
      <c r="B496" s="229"/>
      <c r="C496" s="225"/>
      <c r="D496" s="226"/>
      <c r="E496" s="227"/>
      <c r="F496" s="228"/>
      <c r="G496" s="33"/>
      <c r="H496" s="143"/>
      <c r="I496" s="112"/>
      <c r="J496" s="230"/>
      <c r="K496" s="31"/>
      <c r="L496" s="3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>
      <c r="A497" s="224"/>
      <c r="B497" s="229"/>
      <c r="C497" s="225"/>
      <c r="D497" s="226"/>
      <c r="E497" s="227"/>
      <c r="F497" s="228"/>
      <c r="G497" s="33"/>
      <c r="H497" s="143"/>
      <c r="I497" s="112"/>
      <c r="J497" s="230"/>
      <c r="K497" s="31"/>
      <c r="L497" s="3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>
      <c r="A498" s="224"/>
      <c r="B498" s="229"/>
      <c r="C498" s="225"/>
      <c r="D498" s="226"/>
      <c r="E498" s="227"/>
      <c r="F498" s="228"/>
      <c r="G498" s="33"/>
      <c r="H498" s="143"/>
      <c r="I498" s="112"/>
      <c r="J498" s="230"/>
      <c r="K498" s="31"/>
      <c r="L498" s="3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>
      <c r="A499" s="224"/>
      <c r="B499" s="229"/>
      <c r="C499" s="225"/>
      <c r="D499" s="226"/>
      <c r="E499" s="227"/>
      <c r="F499" s="228"/>
      <c r="G499" s="33"/>
      <c r="H499" s="143"/>
      <c r="I499" s="112"/>
      <c r="J499" s="230"/>
      <c r="K499" s="31"/>
      <c r="L499" s="3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>
      <c r="A500" s="224"/>
      <c r="B500" s="229"/>
      <c r="C500" s="225"/>
      <c r="D500" s="226"/>
      <c r="E500" s="227"/>
      <c r="F500" s="228"/>
      <c r="G500" s="33"/>
      <c r="H500" s="143"/>
      <c r="I500" s="112"/>
      <c r="J500" s="230"/>
      <c r="K500" s="31"/>
      <c r="L500" s="3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>
      <c r="A501" s="224"/>
      <c r="B501" s="229"/>
      <c r="C501" s="225"/>
      <c r="D501" s="226"/>
      <c r="E501" s="227"/>
      <c r="F501" s="228"/>
      <c r="G501" s="33"/>
      <c r="H501" s="143"/>
      <c r="I501" s="112"/>
      <c r="J501" s="230"/>
      <c r="K501" s="31"/>
      <c r="L501" s="3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>
      <c r="A502" s="224"/>
      <c r="B502" s="229"/>
      <c r="C502" s="225"/>
      <c r="D502" s="226"/>
      <c r="E502" s="227"/>
      <c r="F502" s="228"/>
      <c r="G502" s="33"/>
      <c r="H502" s="143"/>
      <c r="I502" s="112"/>
      <c r="J502" s="230"/>
      <c r="K502" s="31"/>
      <c r="L502" s="3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>
      <c r="A503" s="224"/>
      <c r="B503" s="229"/>
      <c r="C503" s="225"/>
      <c r="D503" s="226"/>
      <c r="E503" s="227"/>
      <c r="F503" s="228"/>
      <c r="G503" s="33"/>
      <c r="H503" s="143"/>
      <c r="I503" s="112"/>
      <c r="J503" s="230"/>
      <c r="K503" s="31"/>
      <c r="L503" s="3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>
      <c r="A504" s="224"/>
      <c r="B504" s="229"/>
      <c r="C504" s="225"/>
      <c r="D504" s="226"/>
      <c r="E504" s="227"/>
      <c r="F504" s="228"/>
      <c r="G504" s="33"/>
      <c r="H504" s="143"/>
      <c r="I504" s="112"/>
      <c r="J504" s="230"/>
      <c r="K504" s="31"/>
      <c r="L504" s="3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>
      <c r="A505" s="224"/>
      <c r="B505" s="229"/>
      <c r="C505" s="225"/>
      <c r="D505" s="226"/>
      <c r="E505" s="227"/>
      <c r="F505" s="228"/>
      <c r="G505" s="33"/>
      <c r="H505" s="143"/>
      <c r="I505" s="112"/>
      <c r="J505" s="230"/>
      <c r="K505" s="31"/>
      <c r="L505" s="3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>
      <c r="A506" s="224"/>
      <c r="B506" s="229"/>
      <c r="C506" s="225"/>
      <c r="D506" s="226"/>
      <c r="E506" s="227"/>
      <c r="F506" s="228"/>
      <c r="G506" s="33"/>
      <c r="H506" s="143"/>
      <c r="I506" s="112"/>
      <c r="J506" s="230"/>
      <c r="K506" s="31"/>
      <c r="L506" s="3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>
      <c r="A507" s="224"/>
      <c r="B507" s="229"/>
      <c r="C507" s="225"/>
      <c r="D507" s="226"/>
      <c r="E507" s="227"/>
      <c r="F507" s="228"/>
      <c r="G507" s="33"/>
      <c r="H507" s="143"/>
      <c r="I507" s="112"/>
      <c r="J507" s="230"/>
      <c r="K507" s="31"/>
      <c r="L507" s="3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>
      <c r="A508" s="224"/>
      <c r="B508" s="229"/>
      <c r="C508" s="225"/>
      <c r="D508" s="226"/>
      <c r="E508" s="227"/>
      <c r="F508" s="228"/>
      <c r="G508" s="33"/>
      <c r="H508" s="143"/>
      <c r="I508" s="112"/>
      <c r="J508" s="230"/>
      <c r="K508" s="31"/>
      <c r="L508" s="3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>
      <c r="A509" s="224"/>
      <c r="B509" s="229"/>
      <c r="C509" s="225"/>
      <c r="D509" s="226"/>
      <c r="E509" s="227"/>
      <c r="F509" s="228"/>
      <c r="G509" s="33"/>
      <c r="H509" s="143"/>
      <c r="I509" s="112"/>
      <c r="J509" s="230"/>
      <c r="K509" s="31"/>
      <c r="L509" s="3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>
      <c r="A510" s="224"/>
      <c r="B510" s="229"/>
      <c r="C510" s="225"/>
      <c r="D510" s="226"/>
      <c r="E510" s="227"/>
      <c r="F510" s="228"/>
      <c r="G510" s="33"/>
      <c r="H510" s="143"/>
      <c r="I510" s="112"/>
      <c r="J510" s="230"/>
      <c r="K510" s="31"/>
      <c r="L510" s="3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>
      <c r="A511" s="224"/>
      <c r="B511" s="229"/>
      <c r="C511" s="225"/>
      <c r="D511" s="226"/>
      <c r="E511" s="227"/>
      <c r="F511" s="228"/>
      <c r="G511" s="33"/>
      <c r="H511" s="143"/>
      <c r="I511" s="112"/>
      <c r="J511" s="230"/>
      <c r="K511" s="31"/>
      <c r="L511" s="3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>
      <c r="A512" s="224"/>
      <c r="B512" s="229"/>
      <c r="C512" s="225"/>
      <c r="D512" s="226"/>
      <c r="E512" s="227"/>
      <c r="F512" s="228"/>
      <c r="G512" s="33"/>
      <c r="H512" s="143"/>
      <c r="I512" s="112"/>
      <c r="J512" s="230"/>
      <c r="K512" s="31"/>
      <c r="L512" s="3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>
      <c r="A513" s="224"/>
      <c r="B513" s="229"/>
      <c r="C513" s="225"/>
      <c r="D513" s="226"/>
      <c r="E513" s="227"/>
      <c r="F513" s="228"/>
      <c r="G513" s="33"/>
      <c r="H513" s="143"/>
      <c r="I513" s="112"/>
      <c r="J513" s="230"/>
      <c r="K513" s="31"/>
      <c r="L513" s="3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>
      <c r="A514" s="224"/>
      <c r="B514" s="229"/>
      <c r="C514" s="225"/>
      <c r="D514" s="226"/>
      <c r="E514" s="227"/>
      <c r="F514" s="228"/>
      <c r="G514" s="33"/>
      <c r="H514" s="143"/>
      <c r="I514" s="112"/>
      <c r="J514" s="230"/>
      <c r="K514" s="31"/>
      <c r="L514" s="3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>
      <c r="A515" s="224"/>
      <c r="B515" s="229"/>
      <c r="C515" s="225"/>
      <c r="D515" s="226"/>
      <c r="E515" s="227"/>
      <c r="F515" s="228"/>
      <c r="G515" s="33"/>
      <c r="H515" s="143"/>
      <c r="I515" s="112"/>
      <c r="J515" s="230"/>
      <c r="K515" s="31"/>
      <c r="L515" s="3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>
      <c r="A516" s="224"/>
      <c r="B516" s="229"/>
      <c r="C516" s="225"/>
      <c r="D516" s="226"/>
      <c r="E516" s="227"/>
      <c r="F516" s="228"/>
      <c r="G516" s="33"/>
      <c r="H516" s="143"/>
      <c r="I516" s="112"/>
      <c r="J516" s="230"/>
      <c r="K516" s="31"/>
      <c r="L516" s="3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>
      <c r="A517" s="224"/>
      <c r="B517" s="229"/>
      <c r="C517" s="225"/>
      <c r="D517" s="226"/>
      <c r="E517" s="227"/>
      <c r="F517" s="228"/>
      <c r="G517" s="33"/>
      <c r="H517" s="143"/>
      <c r="I517" s="112"/>
      <c r="J517" s="230"/>
      <c r="K517" s="31"/>
      <c r="L517" s="3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>
      <c r="A518" s="224"/>
      <c r="B518" s="229"/>
      <c r="C518" s="225"/>
      <c r="D518" s="226"/>
      <c r="E518" s="227"/>
      <c r="F518" s="228"/>
      <c r="G518" s="33"/>
      <c r="H518" s="143"/>
      <c r="I518" s="112"/>
      <c r="J518" s="230"/>
      <c r="K518" s="31"/>
      <c r="L518" s="3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>
      <c r="A519" s="224"/>
      <c r="B519" s="229"/>
      <c r="C519" s="225"/>
      <c r="D519" s="226"/>
      <c r="E519" s="227"/>
      <c r="F519" s="228"/>
      <c r="G519" s="33"/>
      <c r="H519" s="143"/>
      <c r="I519" s="112"/>
      <c r="J519" s="230"/>
      <c r="K519" s="31"/>
      <c r="L519" s="3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>
      <c r="A520" s="224"/>
      <c r="B520" s="229"/>
      <c r="C520" s="225"/>
      <c r="D520" s="226"/>
      <c r="E520" s="227"/>
      <c r="F520" s="228"/>
      <c r="G520" s="33"/>
      <c r="H520" s="143"/>
      <c r="I520" s="112"/>
      <c r="J520" s="230"/>
      <c r="K520" s="31"/>
      <c r="L520" s="3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>
      <c r="A521" s="224"/>
      <c r="B521" s="229"/>
      <c r="C521" s="225"/>
      <c r="D521" s="226"/>
      <c r="E521" s="227"/>
      <c r="F521" s="228"/>
      <c r="G521" s="33"/>
      <c r="H521" s="143"/>
      <c r="I521" s="112"/>
      <c r="J521" s="230"/>
      <c r="K521" s="31"/>
      <c r="L521" s="3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>
      <c r="A522" s="224"/>
      <c r="B522" s="229"/>
      <c r="C522" s="225"/>
      <c r="D522" s="226"/>
      <c r="E522" s="227"/>
      <c r="F522" s="228"/>
      <c r="G522" s="33"/>
      <c r="H522" s="143"/>
      <c r="I522" s="112"/>
      <c r="J522" s="230"/>
      <c r="K522" s="31"/>
      <c r="L522" s="3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>
      <c r="A523" s="224"/>
      <c r="B523" s="229"/>
      <c r="C523" s="225"/>
      <c r="D523" s="226"/>
      <c r="E523" s="227"/>
      <c r="F523" s="228"/>
      <c r="G523" s="33"/>
      <c r="H523" s="143"/>
      <c r="I523" s="112"/>
      <c r="J523" s="230"/>
      <c r="K523" s="31"/>
      <c r="L523" s="3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>
      <c r="A524" s="224"/>
      <c r="B524" s="229"/>
      <c r="C524" s="225"/>
      <c r="D524" s="226"/>
      <c r="E524" s="227"/>
      <c r="F524" s="228"/>
      <c r="G524" s="33"/>
      <c r="H524" s="143"/>
      <c r="I524" s="112"/>
      <c r="J524" s="230"/>
      <c r="K524" s="31"/>
      <c r="L524" s="3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>
      <c r="A525" s="224"/>
      <c r="B525" s="229"/>
      <c r="C525" s="225"/>
      <c r="D525" s="226"/>
      <c r="E525" s="227"/>
      <c r="F525" s="228"/>
      <c r="G525" s="33"/>
      <c r="H525" s="143"/>
      <c r="I525" s="112"/>
      <c r="J525" s="230"/>
      <c r="K525" s="31"/>
      <c r="L525" s="3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>
      <c r="A526" s="224"/>
      <c r="B526" s="229"/>
      <c r="C526" s="225"/>
      <c r="D526" s="226"/>
      <c r="E526" s="227"/>
      <c r="F526" s="228"/>
      <c r="G526" s="33"/>
      <c r="H526" s="143"/>
      <c r="I526" s="112"/>
      <c r="J526" s="230"/>
      <c r="K526" s="31"/>
      <c r="L526" s="3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>
      <c r="A527" s="224"/>
      <c r="B527" s="229"/>
      <c r="C527" s="225"/>
      <c r="D527" s="226"/>
      <c r="E527" s="227"/>
      <c r="F527" s="228"/>
      <c r="G527" s="33"/>
      <c r="H527" s="143"/>
      <c r="I527" s="112"/>
      <c r="J527" s="230"/>
      <c r="K527" s="31"/>
      <c r="L527" s="3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>
      <c r="A528" s="224"/>
      <c r="B528" s="229"/>
      <c r="C528" s="225"/>
      <c r="D528" s="226"/>
      <c r="E528" s="227"/>
      <c r="F528" s="228"/>
      <c r="G528" s="33"/>
      <c r="H528" s="143"/>
      <c r="I528" s="112"/>
      <c r="J528" s="230"/>
      <c r="K528" s="31"/>
      <c r="L528" s="3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>
      <c r="A529" s="224"/>
      <c r="B529" s="229"/>
      <c r="C529" s="225"/>
      <c r="D529" s="226"/>
      <c r="E529" s="227"/>
      <c r="F529" s="228"/>
      <c r="G529" s="33"/>
      <c r="H529" s="143"/>
      <c r="I529" s="112"/>
      <c r="J529" s="230"/>
      <c r="K529" s="31"/>
      <c r="L529" s="3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>
      <c r="A530" s="224"/>
      <c r="B530" s="229"/>
      <c r="C530" s="225"/>
      <c r="D530" s="226"/>
      <c r="E530" s="227"/>
      <c r="F530" s="228"/>
      <c r="G530" s="33"/>
      <c r="H530" s="143"/>
      <c r="I530" s="112"/>
      <c r="J530" s="230"/>
      <c r="K530" s="31"/>
      <c r="L530" s="3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>
      <c r="A531" s="224"/>
      <c r="B531" s="229"/>
      <c r="C531" s="225"/>
      <c r="D531" s="226"/>
      <c r="E531" s="227"/>
      <c r="F531" s="228"/>
      <c r="G531" s="33"/>
      <c r="H531" s="143"/>
      <c r="I531" s="112"/>
      <c r="J531" s="230"/>
      <c r="K531" s="31"/>
      <c r="L531" s="3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>
      <c r="A532" s="224"/>
      <c r="B532" s="229"/>
      <c r="C532" s="225"/>
      <c r="D532" s="226"/>
      <c r="E532" s="227"/>
      <c r="F532" s="228"/>
      <c r="G532" s="33"/>
      <c r="H532" s="143"/>
      <c r="I532" s="112"/>
      <c r="J532" s="230"/>
      <c r="K532" s="31"/>
      <c r="L532" s="3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>
      <c r="A533" s="224"/>
      <c r="B533" s="229"/>
      <c r="C533" s="225"/>
      <c r="D533" s="226"/>
      <c r="E533" s="227"/>
      <c r="F533" s="228"/>
      <c r="G533" s="33"/>
      <c r="H533" s="143"/>
      <c r="I533" s="112"/>
      <c r="J533" s="230"/>
      <c r="K533" s="31"/>
      <c r="L533" s="3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>
      <c r="A534" s="224"/>
      <c r="B534" s="229"/>
      <c r="C534" s="225"/>
      <c r="D534" s="226"/>
      <c r="E534" s="227"/>
      <c r="F534" s="228"/>
      <c r="G534" s="33"/>
      <c r="H534" s="143"/>
      <c r="I534" s="112"/>
      <c r="J534" s="230"/>
      <c r="K534" s="31"/>
      <c r="L534" s="3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>
      <c r="A535" s="224"/>
      <c r="B535" s="229"/>
      <c r="C535" s="225"/>
      <c r="D535" s="226"/>
      <c r="E535" s="227"/>
      <c r="F535" s="228"/>
      <c r="G535" s="33"/>
      <c r="H535" s="143"/>
      <c r="I535" s="112"/>
      <c r="J535" s="230"/>
      <c r="K535" s="31"/>
      <c r="L535" s="3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>
      <c r="A536" s="224"/>
      <c r="B536" s="229"/>
      <c r="C536" s="225"/>
      <c r="D536" s="226"/>
      <c r="E536" s="227"/>
      <c r="F536" s="228"/>
      <c r="G536" s="33"/>
      <c r="H536" s="143"/>
      <c r="I536" s="112"/>
      <c r="J536" s="230"/>
      <c r="K536" s="31"/>
      <c r="L536" s="3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>
      <c r="A537" s="224"/>
      <c r="B537" s="229"/>
      <c r="C537" s="225"/>
      <c r="D537" s="226"/>
      <c r="E537" s="227"/>
      <c r="F537" s="228"/>
      <c r="G537" s="33"/>
      <c r="H537" s="143"/>
      <c r="I537" s="112"/>
      <c r="J537" s="230"/>
      <c r="K537" s="31"/>
      <c r="L537" s="3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>
      <c r="A538" s="224"/>
      <c r="B538" s="229"/>
      <c r="C538" s="225"/>
      <c r="D538" s="226"/>
      <c r="E538" s="227"/>
      <c r="F538" s="228"/>
      <c r="G538" s="33"/>
      <c r="H538" s="143"/>
      <c r="I538" s="112"/>
      <c r="J538" s="230"/>
      <c r="K538" s="31"/>
      <c r="L538" s="3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>
      <c r="A539" s="224"/>
      <c r="B539" s="229"/>
      <c r="C539" s="225"/>
      <c r="D539" s="226"/>
      <c r="E539" s="227"/>
      <c r="F539" s="228"/>
      <c r="G539" s="33"/>
      <c r="H539" s="143"/>
      <c r="I539" s="112"/>
      <c r="J539" s="230"/>
      <c r="K539" s="31"/>
      <c r="L539" s="3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>
      <c r="A540" s="224"/>
      <c r="B540" s="229"/>
      <c r="C540" s="225"/>
      <c r="D540" s="226"/>
      <c r="E540" s="227"/>
      <c r="F540" s="228"/>
      <c r="G540" s="33"/>
      <c r="H540" s="143"/>
      <c r="I540" s="112"/>
      <c r="J540" s="230"/>
      <c r="K540" s="31"/>
      <c r="L540" s="3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>
      <c r="A541" s="224"/>
      <c r="B541" s="229"/>
      <c r="C541" s="225"/>
      <c r="D541" s="226"/>
      <c r="E541" s="227"/>
      <c r="F541" s="228"/>
      <c r="G541" s="33"/>
      <c r="H541" s="143"/>
      <c r="I541" s="112"/>
      <c r="J541" s="230"/>
      <c r="K541" s="31"/>
      <c r="L541" s="3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>
      <c r="A542" s="224"/>
      <c r="B542" s="229"/>
      <c r="C542" s="225"/>
      <c r="D542" s="226"/>
      <c r="E542" s="227"/>
      <c r="F542" s="228"/>
      <c r="G542" s="33"/>
      <c r="H542" s="143"/>
      <c r="I542" s="112"/>
      <c r="J542" s="230"/>
      <c r="K542" s="31"/>
      <c r="L542" s="3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>
      <c r="A543" s="224"/>
      <c r="B543" s="229"/>
      <c r="C543" s="225"/>
      <c r="D543" s="226"/>
      <c r="E543" s="227"/>
      <c r="F543" s="228"/>
      <c r="G543" s="33"/>
      <c r="H543" s="143"/>
      <c r="I543" s="112"/>
      <c r="J543" s="230"/>
      <c r="K543" s="31"/>
      <c r="L543" s="3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>
      <c r="A544" s="224"/>
      <c r="B544" s="229"/>
      <c r="C544" s="225"/>
      <c r="D544" s="226"/>
      <c r="E544" s="227"/>
      <c r="F544" s="228"/>
      <c r="G544" s="33"/>
      <c r="H544" s="143"/>
      <c r="I544" s="112"/>
      <c r="J544" s="230"/>
      <c r="K544" s="31"/>
      <c r="L544" s="3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>
      <c r="A545" s="224"/>
      <c r="B545" s="229"/>
      <c r="C545" s="225"/>
      <c r="D545" s="226"/>
      <c r="E545" s="227"/>
      <c r="F545" s="228"/>
      <c r="G545" s="33"/>
      <c r="H545" s="143"/>
      <c r="I545" s="112"/>
      <c r="J545" s="230"/>
      <c r="K545" s="31"/>
      <c r="L545" s="3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>
      <c r="A546" s="224"/>
      <c r="B546" s="229"/>
      <c r="C546" s="225"/>
      <c r="D546" s="226"/>
      <c r="E546" s="227"/>
      <c r="F546" s="228"/>
      <c r="G546" s="33"/>
      <c r="H546" s="143"/>
      <c r="I546" s="112"/>
      <c r="J546" s="230"/>
      <c r="K546" s="31"/>
      <c r="L546" s="3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>
      <c r="A547" s="224"/>
      <c r="B547" s="229"/>
      <c r="C547" s="225"/>
      <c r="D547" s="226"/>
      <c r="E547" s="227"/>
      <c r="F547" s="228"/>
      <c r="G547" s="33"/>
      <c r="H547" s="143"/>
      <c r="I547" s="112"/>
      <c r="J547" s="230"/>
      <c r="K547" s="31"/>
      <c r="L547" s="3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>
      <c r="A548" s="224"/>
      <c r="B548" s="229"/>
      <c r="C548" s="225"/>
      <c r="D548" s="226"/>
      <c r="E548" s="227"/>
      <c r="F548" s="228"/>
      <c r="G548" s="33"/>
      <c r="H548" s="143"/>
      <c r="I548" s="112"/>
      <c r="J548" s="230"/>
      <c r="K548" s="31"/>
      <c r="L548" s="3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>
      <c r="A549" s="224"/>
      <c r="B549" s="229"/>
      <c r="C549" s="225"/>
      <c r="D549" s="226"/>
      <c r="E549" s="227"/>
      <c r="F549" s="228"/>
      <c r="G549" s="33"/>
      <c r="H549" s="143"/>
      <c r="I549" s="112"/>
      <c r="J549" s="230"/>
      <c r="K549" s="31"/>
      <c r="L549" s="3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>
      <c r="A550" s="224"/>
      <c r="B550" s="229"/>
      <c r="C550" s="225"/>
      <c r="D550" s="226"/>
      <c r="E550" s="227"/>
      <c r="F550" s="228"/>
      <c r="G550" s="33"/>
      <c r="H550" s="143"/>
      <c r="I550" s="112"/>
      <c r="J550" s="230"/>
      <c r="K550" s="31"/>
      <c r="L550" s="3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>
      <c r="A551" s="224"/>
      <c r="B551" s="229"/>
      <c r="C551" s="225"/>
      <c r="D551" s="226"/>
      <c r="E551" s="227"/>
      <c r="F551" s="228"/>
      <c r="G551" s="33"/>
      <c r="H551" s="143"/>
      <c r="I551" s="112"/>
      <c r="J551" s="230"/>
      <c r="K551" s="31"/>
      <c r="L551" s="3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>
      <c r="A552" s="224"/>
      <c r="B552" s="229"/>
      <c r="C552" s="225"/>
      <c r="D552" s="226"/>
      <c r="E552" s="227"/>
      <c r="F552" s="228"/>
      <c r="G552" s="33"/>
      <c r="H552" s="143"/>
      <c r="I552" s="112"/>
      <c r="J552" s="230"/>
      <c r="K552" s="31"/>
      <c r="L552" s="3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>
      <c r="A553" s="224"/>
      <c r="B553" s="229"/>
      <c r="C553" s="225"/>
      <c r="D553" s="226"/>
      <c r="E553" s="227"/>
      <c r="F553" s="228"/>
      <c r="G553" s="33"/>
      <c r="H553" s="143"/>
      <c r="I553" s="112"/>
      <c r="J553" s="230"/>
      <c r="K553" s="31"/>
      <c r="L553" s="3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>
      <c r="A554" s="224"/>
      <c r="B554" s="229"/>
      <c r="C554" s="225"/>
      <c r="D554" s="226"/>
      <c r="E554" s="227"/>
      <c r="F554" s="228"/>
      <c r="G554" s="33"/>
      <c r="H554" s="143"/>
      <c r="I554" s="112"/>
      <c r="J554" s="230"/>
      <c r="K554" s="31"/>
      <c r="L554" s="3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>
      <c r="A555" s="224"/>
      <c r="B555" s="229"/>
      <c r="C555" s="225"/>
      <c r="D555" s="226"/>
      <c r="E555" s="227"/>
      <c r="F555" s="228"/>
      <c r="G555" s="33"/>
      <c r="H555" s="143"/>
      <c r="I555" s="112"/>
      <c r="J555" s="230"/>
      <c r="K555" s="31"/>
      <c r="L555" s="3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>
      <c r="A556" s="224"/>
      <c r="B556" s="229"/>
      <c r="C556" s="225"/>
      <c r="D556" s="226"/>
      <c r="E556" s="227"/>
      <c r="F556" s="228"/>
      <c r="G556" s="33"/>
      <c r="H556" s="143"/>
      <c r="I556" s="112"/>
      <c r="J556" s="230"/>
      <c r="K556" s="31"/>
      <c r="L556" s="3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>
      <c r="A557" s="224"/>
      <c r="B557" s="229"/>
      <c r="C557" s="225"/>
      <c r="D557" s="226"/>
      <c r="E557" s="227"/>
      <c r="F557" s="228"/>
      <c r="G557" s="33"/>
      <c r="H557" s="143"/>
      <c r="I557" s="112"/>
      <c r="J557" s="230"/>
      <c r="K557" s="31"/>
      <c r="L557" s="3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>
      <c r="A558" s="224"/>
      <c r="B558" s="229"/>
      <c r="C558" s="225"/>
      <c r="D558" s="226"/>
      <c r="E558" s="227"/>
      <c r="F558" s="228"/>
      <c r="G558" s="33"/>
      <c r="H558" s="143"/>
      <c r="I558" s="112"/>
      <c r="J558" s="230"/>
      <c r="K558" s="31"/>
      <c r="L558" s="3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>
      <c r="A559" s="224"/>
      <c r="B559" s="229"/>
      <c r="C559" s="225"/>
      <c r="D559" s="226"/>
      <c r="E559" s="227"/>
      <c r="F559" s="228"/>
      <c r="G559" s="33"/>
      <c r="H559" s="143"/>
      <c r="I559" s="112"/>
      <c r="J559" s="230"/>
      <c r="K559" s="31"/>
      <c r="L559" s="3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>
      <c r="A560" s="224"/>
      <c r="B560" s="229"/>
      <c r="C560" s="225"/>
      <c r="D560" s="226"/>
      <c r="E560" s="227"/>
      <c r="F560" s="228"/>
      <c r="G560" s="33"/>
      <c r="H560" s="143"/>
      <c r="I560" s="112"/>
      <c r="J560" s="230"/>
      <c r="K560" s="31"/>
      <c r="L560" s="3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>
      <c r="A561" s="224"/>
      <c r="B561" s="229"/>
      <c r="C561" s="225"/>
      <c r="D561" s="226"/>
      <c r="E561" s="227"/>
      <c r="F561" s="228"/>
      <c r="G561" s="33"/>
      <c r="H561" s="143"/>
      <c r="I561" s="112"/>
      <c r="J561" s="230"/>
      <c r="K561" s="31"/>
      <c r="L561" s="3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>
      <c r="A562" s="224"/>
      <c r="B562" s="229"/>
      <c r="C562" s="225"/>
      <c r="D562" s="226"/>
      <c r="E562" s="227"/>
      <c r="F562" s="228"/>
      <c r="G562" s="33"/>
      <c r="H562" s="143"/>
      <c r="I562" s="112"/>
      <c r="J562" s="230"/>
      <c r="K562" s="31"/>
      <c r="L562" s="3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>
      <c r="A563" s="224"/>
      <c r="B563" s="229"/>
      <c r="C563" s="225"/>
      <c r="D563" s="226"/>
      <c r="E563" s="227"/>
      <c r="F563" s="228"/>
      <c r="G563" s="33"/>
      <c r="H563" s="143"/>
      <c r="I563" s="112"/>
      <c r="J563" s="230"/>
      <c r="K563" s="31"/>
      <c r="L563" s="3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>
      <c r="A564" s="224"/>
      <c r="B564" s="229"/>
      <c r="C564" s="225"/>
      <c r="D564" s="226"/>
      <c r="E564" s="227"/>
      <c r="F564" s="228"/>
      <c r="G564" s="33"/>
      <c r="H564" s="143"/>
      <c r="I564" s="112"/>
      <c r="J564" s="230"/>
      <c r="K564" s="31"/>
      <c r="L564" s="3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>
      <c r="A565" s="224"/>
      <c r="B565" s="229"/>
      <c r="C565" s="225"/>
      <c r="D565" s="226"/>
      <c r="E565" s="227"/>
      <c r="F565" s="228"/>
      <c r="G565" s="33"/>
      <c r="H565" s="143"/>
      <c r="I565" s="112"/>
      <c r="J565" s="230"/>
      <c r="K565" s="31"/>
      <c r="L565" s="3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>
      <c r="A566" s="224"/>
      <c r="B566" s="229"/>
      <c r="C566" s="225"/>
      <c r="D566" s="226"/>
      <c r="E566" s="227"/>
      <c r="F566" s="228"/>
      <c r="G566" s="33"/>
      <c r="H566" s="143"/>
      <c r="I566" s="112"/>
      <c r="J566" s="230"/>
      <c r="K566" s="31"/>
      <c r="L566" s="3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>
      <c r="A567" s="224"/>
      <c r="B567" s="229"/>
      <c r="C567" s="225"/>
      <c r="D567" s="226"/>
      <c r="E567" s="227"/>
      <c r="F567" s="228"/>
      <c r="G567" s="33"/>
      <c r="H567" s="143"/>
      <c r="I567" s="112"/>
      <c r="J567" s="230"/>
      <c r="K567" s="31"/>
      <c r="L567" s="3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>
      <c r="A568" s="224"/>
      <c r="B568" s="229"/>
      <c r="C568" s="225"/>
      <c r="D568" s="226"/>
      <c r="E568" s="227"/>
      <c r="F568" s="228"/>
      <c r="G568" s="33"/>
      <c r="H568" s="143"/>
      <c r="I568" s="112"/>
      <c r="J568" s="230"/>
      <c r="K568" s="31"/>
      <c r="L568" s="3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>
      <c r="A569" s="224"/>
      <c r="B569" s="229"/>
      <c r="C569" s="225"/>
      <c r="D569" s="226"/>
      <c r="E569" s="227"/>
      <c r="F569" s="228"/>
      <c r="G569" s="33"/>
      <c r="H569" s="143"/>
      <c r="I569" s="112"/>
      <c r="J569" s="230"/>
      <c r="K569" s="31"/>
      <c r="L569" s="3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>
      <c r="A570" s="224"/>
      <c r="B570" s="229"/>
      <c r="C570" s="225"/>
      <c r="D570" s="226"/>
      <c r="E570" s="227"/>
      <c r="F570" s="228"/>
      <c r="G570" s="33"/>
      <c r="H570" s="143"/>
      <c r="I570" s="112"/>
      <c r="J570" s="230"/>
      <c r="K570" s="31"/>
      <c r="L570" s="3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>
      <c r="A571" s="224"/>
      <c r="B571" s="229"/>
      <c r="C571" s="225"/>
      <c r="D571" s="226"/>
      <c r="E571" s="227"/>
      <c r="F571" s="228"/>
      <c r="G571" s="33"/>
      <c r="H571" s="143"/>
      <c r="I571" s="112"/>
      <c r="J571" s="230"/>
      <c r="K571" s="31"/>
      <c r="L571" s="3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>
      <c r="A572" s="224"/>
      <c r="B572" s="229"/>
      <c r="C572" s="225"/>
      <c r="D572" s="226"/>
      <c r="E572" s="227"/>
      <c r="F572" s="228"/>
      <c r="G572" s="33"/>
      <c r="H572" s="143"/>
      <c r="I572" s="112"/>
      <c r="J572" s="230"/>
      <c r="K572" s="31"/>
      <c r="L572" s="3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>
      <c r="A573" s="224"/>
      <c r="B573" s="229"/>
      <c r="C573" s="225"/>
      <c r="D573" s="226"/>
      <c r="E573" s="227"/>
      <c r="F573" s="228"/>
      <c r="G573" s="33"/>
      <c r="H573" s="143"/>
      <c r="I573" s="112"/>
      <c r="J573" s="230"/>
      <c r="K573" s="31"/>
      <c r="L573" s="3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>
      <c r="A574" s="224"/>
      <c r="B574" s="229"/>
      <c r="C574" s="225"/>
      <c r="D574" s="226"/>
      <c r="E574" s="227"/>
      <c r="F574" s="228"/>
      <c r="G574" s="33"/>
      <c r="H574" s="143"/>
      <c r="I574" s="112"/>
      <c r="J574" s="230"/>
      <c r="K574" s="31"/>
      <c r="L574" s="3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>
      <c r="A575" s="224"/>
      <c r="B575" s="229"/>
      <c r="C575" s="225"/>
      <c r="D575" s="226"/>
      <c r="E575" s="227"/>
      <c r="F575" s="228"/>
      <c r="G575" s="33"/>
      <c r="H575" s="143"/>
      <c r="I575" s="112"/>
      <c r="J575" s="230"/>
      <c r="K575" s="31"/>
      <c r="L575" s="3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>
      <c r="A576" s="224"/>
      <c r="B576" s="229"/>
      <c r="C576" s="225"/>
      <c r="D576" s="226"/>
      <c r="E576" s="227"/>
      <c r="F576" s="228"/>
      <c r="G576" s="33"/>
      <c r="H576" s="143"/>
      <c r="I576" s="112"/>
      <c r="J576" s="230"/>
      <c r="K576" s="31"/>
      <c r="L576" s="3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>
      <c r="A577" s="224"/>
      <c r="B577" s="229"/>
      <c r="C577" s="225"/>
      <c r="D577" s="226"/>
      <c r="E577" s="227"/>
      <c r="F577" s="228"/>
      <c r="G577" s="33"/>
      <c r="H577" s="143"/>
      <c r="I577" s="112"/>
      <c r="J577" s="230"/>
      <c r="K577" s="31"/>
      <c r="L577" s="3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>
      <c r="A578" s="224"/>
      <c r="B578" s="229"/>
      <c r="C578" s="225"/>
      <c r="D578" s="226"/>
      <c r="E578" s="227"/>
      <c r="F578" s="228"/>
      <c r="G578" s="33"/>
      <c r="H578" s="143"/>
      <c r="I578" s="112"/>
      <c r="J578" s="230"/>
      <c r="K578" s="31"/>
      <c r="L578" s="3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>
      <c r="A579" s="224"/>
      <c r="B579" s="229"/>
      <c r="C579" s="225"/>
      <c r="D579" s="226"/>
      <c r="E579" s="227"/>
      <c r="F579" s="228"/>
      <c r="G579" s="33"/>
      <c r="H579" s="143"/>
      <c r="I579" s="112"/>
      <c r="J579" s="230"/>
      <c r="K579" s="31"/>
      <c r="L579" s="3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>
      <c r="A580" s="224"/>
      <c r="B580" s="229"/>
      <c r="C580" s="225"/>
      <c r="D580" s="226"/>
      <c r="E580" s="227"/>
      <c r="F580" s="228"/>
      <c r="G580" s="33"/>
      <c r="H580" s="143"/>
      <c r="I580" s="112"/>
      <c r="J580" s="230"/>
      <c r="K580" s="31"/>
      <c r="L580" s="3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>
      <c r="A581" s="224"/>
      <c r="B581" s="229"/>
      <c r="C581" s="225"/>
      <c r="D581" s="226"/>
      <c r="E581" s="227"/>
      <c r="F581" s="228"/>
      <c r="G581" s="33"/>
      <c r="H581" s="143"/>
      <c r="I581" s="112"/>
      <c r="J581" s="230"/>
      <c r="K581" s="31"/>
      <c r="L581" s="3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>
      <c r="A582" s="224"/>
      <c r="B582" s="229"/>
      <c r="C582" s="225"/>
      <c r="D582" s="226"/>
      <c r="E582" s="227"/>
      <c r="F582" s="228"/>
      <c r="G582" s="33"/>
      <c r="H582" s="143"/>
      <c r="I582" s="112"/>
      <c r="J582" s="230"/>
      <c r="K582" s="31"/>
      <c r="L582" s="3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>
      <c r="A583" s="224"/>
      <c r="B583" s="229"/>
      <c r="C583" s="225"/>
      <c r="D583" s="226"/>
      <c r="E583" s="227"/>
      <c r="F583" s="228"/>
      <c r="G583" s="33"/>
      <c r="H583" s="143"/>
      <c r="I583" s="112"/>
      <c r="J583" s="230"/>
      <c r="K583" s="31"/>
      <c r="L583" s="3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>
      <c r="A584" s="224"/>
      <c r="B584" s="229"/>
      <c r="C584" s="225"/>
      <c r="D584" s="226"/>
      <c r="E584" s="227"/>
      <c r="F584" s="228"/>
      <c r="G584" s="33"/>
      <c r="H584" s="143"/>
      <c r="I584" s="112"/>
      <c r="J584" s="230"/>
      <c r="K584" s="31"/>
      <c r="L584" s="3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>
      <c r="A585" s="224"/>
      <c r="B585" s="229"/>
      <c r="C585" s="225"/>
      <c r="D585" s="226"/>
      <c r="E585" s="227"/>
      <c r="F585" s="228"/>
      <c r="G585" s="33"/>
      <c r="H585" s="143"/>
      <c r="I585" s="112"/>
      <c r="J585" s="230"/>
      <c r="K585" s="31"/>
      <c r="L585" s="3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>
      <c r="A586" s="224"/>
      <c r="B586" s="229"/>
      <c r="C586" s="225"/>
      <c r="D586" s="226"/>
      <c r="E586" s="227"/>
      <c r="F586" s="228"/>
      <c r="G586" s="33"/>
      <c r="H586" s="143"/>
      <c r="I586" s="112"/>
      <c r="J586" s="230"/>
      <c r="K586" s="31"/>
      <c r="L586" s="3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>
      <c r="A587" s="224"/>
      <c r="B587" s="229"/>
      <c r="C587" s="225"/>
      <c r="D587" s="226"/>
      <c r="E587" s="227"/>
      <c r="F587" s="228"/>
      <c r="G587" s="33"/>
      <c r="H587" s="143"/>
      <c r="I587" s="112"/>
      <c r="J587" s="230"/>
      <c r="K587" s="31"/>
      <c r="L587" s="3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>
      <c r="A588" s="224"/>
      <c r="B588" s="229"/>
      <c r="C588" s="225"/>
      <c r="D588" s="226"/>
      <c r="E588" s="227"/>
      <c r="F588" s="228"/>
      <c r="G588" s="33"/>
      <c r="H588" s="143"/>
      <c r="I588" s="112"/>
      <c r="J588" s="230"/>
      <c r="K588" s="31"/>
      <c r="L588" s="3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>
      <c r="A589" s="224"/>
      <c r="B589" s="229"/>
      <c r="C589" s="225"/>
      <c r="D589" s="226"/>
      <c r="E589" s="227"/>
      <c r="F589" s="228"/>
      <c r="G589" s="33"/>
      <c r="H589" s="143"/>
      <c r="I589" s="112"/>
      <c r="J589" s="230"/>
      <c r="K589" s="31"/>
      <c r="L589" s="3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>
      <c r="A590" s="224"/>
      <c r="B590" s="229"/>
      <c r="C590" s="225"/>
      <c r="D590" s="226"/>
      <c r="E590" s="227"/>
      <c r="F590" s="228"/>
      <c r="G590" s="33"/>
      <c r="H590" s="143"/>
      <c r="I590" s="112"/>
      <c r="J590" s="230"/>
      <c r="K590" s="31"/>
      <c r="L590" s="3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>
      <c r="A591" s="224"/>
      <c r="B591" s="229"/>
      <c r="C591" s="225"/>
      <c r="D591" s="226"/>
      <c r="E591" s="227"/>
      <c r="F591" s="228"/>
      <c r="G591" s="33"/>
      <c r="H591" s="143"/>
      <c r="I591" s="112"/>
      <c r="J591" s="230"/>
      <c r="K591" s="31"/>
      <c r="L591" s="3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>
      <c r="A592" s="224"/>
      <c r="B592" s="229"/>
      <c r="C592" s="225"/>
      <c r="D592" s="226"/>
      <c r="E592" s="227"/>
      <c r="F592" s="228"/>
      <c r="G592" s="33"/>
      <c r="H592" s="143"/>
      <c r="I592" s="112"/>
      <c r="J592" s="230"/>
      <c r="K592" s="31"/>
      <c r="L592" s="3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>
      <c r="A593" s="224"/>
      <c r="B593" s="229"/>
      <c r="C593" s="225"/>
      <c r="D593" s="226"/>
      <c r="E593" s="227"/>
      <c r="F593" s="228"/>
      <c r="G593" s="33"/>
      <c r="H593" s="143"/>
      <c r="I593" s="112"/>
      <c r="J593" s="230"/>
      <c r="K593" s="31"/>
      <c r="L593" s="3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>
      <c r="A594" s="224"/>
      <c r="B594" s="229"/>
      <c r="C594" s="225"/>
      <c r="D594" s="226"/>
      <c r="E594" s="227"/>
      <c r="F594" s="228"/>
      <c r="G594" s="33"/>
      <c r="H594" s="143"/>
      <c r="I594" s="112"/>
      <c r="J594" s="230"/>
      <c r="K594" s="31"/>
      <c r="L594" s="3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>
      <c r="A595" s="224"/>
      <c r="B595" s="229"/>
      <c r="C595" s="225"/>
      <c r="D595" s="226"/>
      <c r="E595" s="227"/>
      <c r="F595" s="228"/>
      <c r="G595" s="33"/>
      <c r="H595" s="143"/>
      <c r="I595" s="112"/>
      <c r="J595" s="230"/>
      <c r="K595" s="31"/>
      <c r="L595" s="3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>
      <c r="A596" s="224"/>
      <c r="B596" s="229"/>
      <c r="C596" s="225"/>
      <c r="D596" s="226"/>
      <c r="E596" s="227"/>
      <c r="F596" s="228"/>
      <c r="G596" s="33"/>
      <c r="H596" s="143"/>
      <c r="I596" s="112"/>
      <c r="J596" s="230"/>
      <c r="K596" s="31"/>
      <c r="L596" s="3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>
      <c r="A597" s="224"/>
      <c r="B597" s="229"/>
      <c r="C597" s="225"/>
      <c r="D597" s="226"/>
      <c r="E597" s="227"/>
      <c r="F597" s="228"/>
      <c r="G597" s="33"/>
      <c r="H597" s="143"/>
      <c r="I597" s="112"/>
      <c r="J597" s="230"/>
      <c r="K597" s="31"/>
      <c r="L597" s="3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>
      <c r="A598" s="224"/>
      <c r="B598" s="229"/>
      <c r="C598" s="225"/>
      <c r="D598" s="226"/>
      <c r="E598" s="227"/>
      <c r="F598" s="228"/>
      <c r="G598" s="33"/>
      <c r="H598" s="143"/>
      <c r="I598" s="112"/>
      <c r="J598" s="230"/>
      <c r="K598" s="31"/>
      <c r="L598" s="3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>
      <c r="A599" s="224"/>
      <c r="B599" s="229"/>
      <c r="C599" s="225"/>
      <c r="D599" s="226"/>
      <c r="E599" s="227"/>
      <c r="F599" s="228"/>
      <c r="G599" s="33"/>
      <c r="H599" s="143"/>
      <c r="I599" s="112"/>
      <c r="J599" s="230"/>
      <c r="K599" s="31"/>
      <c r="L599" s="3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>
      <c r="A600" s="224"/>
      <c r="B600" s="229"/>
      <c r="C600" s="225"/>
      <c r="D600" s="226"/>
      <c r="E600" s="227"/>
      <c r="F600" s="228"/>
      <c r="G600" s="33"/>
      <c r="H600" s="143"/>
      <c r="I600" s="112"/>
      <c r="J600" s="230"/>
      <c r="K600" s="31"/>
      <c r="L600" s="3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>
      <c r="A601" s="224"/>
      <c r="B601" s="229"/>
      <c r="C601" s="225"/>
      <c r="D601" s="226"/>
      <c r="E601" s="227"/>
      <c r="F601" s="228"/>
      <c r="G601" s="33"/>
      <c r="H601" s="143"/>
      <c r="I601" s="112"/>
      <c r="J601" s="230"/>
      <c r="K601" s="31"/>
      <c r="L601" s="3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>
      <c r="A602" s="224"/>
      <c r="B602" s="229"/>
      <c r="C602" s="225"/>
      <c r="D602" s="226"/>
      <c r="E602" s="227"/>
      <c r="F602" s="228"/>
      <c r="G602" s="33"/>
      <c r="H602" s="143"/>
      <c r="I602" s="112"/>
      <c r="J602" s="230"/>
      <c r="K602" s="31"/>
      <c r="L602" s="3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>
      <c r="A603" s="224"/>
      <c r="B603" s="229"/>
      <c r="C603" s="225"/>
      <c r="D603" s="226"/>
      <c r="E603" s="227"/>
      <c r="F603" s="228"/>
      <c r="G603" s="33"/>
      <c r="H603" s="143"/>
      <c r="I603" s="112"/>
      <c r="J603" s="230"/>
      <c r="K603" s="31"/>
      <c r="L603" s="3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>
      <c r="A604" s="224"/>
      <c r="B604" s="229"/>
      <c r="C604" s="225"/>
      <c r="D604" s="226"/>
      <c r="E604" s="227"/>
      <c r="F604" s="228"/>
      <c r="G604" s="33"/>
      <c r="H604" s="143"/>
      <c r="I604" s="112"/>
      <c r="J604" s="230"/>
      <c r="K604" s="31"/>
      <c r="L604" s="3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>
      <c r="A605" s="224"/>
      <c r="B605" s="229"/>
      <c r="C605" s="225"/>
      <c r="D605" s="226"/>
      <c r="E605" s="227"/>
      <c r="F605" s="228"/>
      <c r="G605" s="33"/>
      <c r="H605" s="143"/>
      <c r="I605" s="112"/>
      <c r="J605" s="230"/>
      <c r="K605" s="31"/>
      <c r="L605" s="3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>
      <c r="A606" s="224"/>
      <c r="B606" s="229"/>
      <c r="C606" s="225"/>
      <c r="D606" s="226"/>
      <c r="E606" s="227"/>
      <c r="F606" s="228"/>
      <c r="G606" s="33"/>
      <c r="H606" s="143"/>
      <c r="I606" s="112"/>
      <c r="J606" s="230"/>
      <c r="K606" s="31"/>
      <c r="L606" s="3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>
      <c r="A607" s="224"/>
      <c r="B607" s="229"/>
      <c r="C607" s="225"/>
      <c r="D607" s="226"/>
      <c r="E607" s="227"/>
      <c r="F607" s="228"/>
      <c r="G607" s="33"/>
      <c r="H607" s="143"/>
      <c r="I607" s="112"/>
      <c r="J607" s="230"/>
      <c r="K607" s="31"/>
      <c r="L607" s="3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>
      <c r="A608" s="224"/>
      <c r="B608" s="229"/>
      <c r="C608" s="225"/>
      <c r="D608" s="226"/>
      <c r="E608" s="227"/>
      <c r="F608" s="228"/>
      <c r="G608" s="33"/>
      <c r="H608" s="143"/>
      <c r="I608" s="112"/>
      <c r="J608" s="230"/>
      <c r="K608" s="31"/>
      <c r="L608" s="3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>
      <c r="A609" s="224"/>
      <c r="B609" s="229"/>
      <c r="C609" s="225"/>
      <c r="D609" s="226"/>
      <c r="E609" s="227"/>
      <c r="F609" s="228"/>
      <c r="G609" s="33"/>
      <c r="H609" s="143"/>
      <c r="I609" s="112"/>
      <c r="J609" s="230"/>
      <c r="K609" s="31"/>
      <c r="L609" s="3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>
      <c r="A610" s="224"/>
      <c r="B610" s="229"/>
      <c r="C610" s="225"/>
      <c r="D610" s="226"/>
      <c r="E610" s="227"/>
      <c r="F610" s="228"/>
      <c r="G610" s="33"/>
      <c r="H610" s="143"/>
      <c r="I610" s="112"/>
      <c r="J610" s="230"/>
      <c r="K610" s="31"/>
      <c r="L610" s="3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>
      <c r="A611" s="224"/>
      <c r="B611" s="229"/>
      <c r="C611" s="225"/>
      <c r="D611" s="226"/>
      <c r="E611" s="227"/>
      <c r="F611" s="228"/>
      <c r="G611" s="33"/>
      <c r="H611" s="143"/>
      <c r="I611" s="112"/>
      <c r="J611" s="230"/>
      <c r="K611" s="31"/>
      <c r="L611" s="3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>
      <c r="A612" s="224"/>
      <c r="B612" s="229"/>
      <c r="C612" s="225"/>
      <c r="D612" s="226"/>
      <c r="E612" s="227"/>
      <c r="F612" s="228"/>
      <c r="G612" s="33"/>
      <c r="H612" s="143"/>
      <c r="I612" s="112"/>
      <c r="J612" s="230"/>
      <c r="K612" s="31"/>
      <c r="L612" s="3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>
      <c r="A613" s="224"/>
      <c r="B613" s="229"/>
      <c r="C613" s="225"/>
      <c r="D613" s="226"/>
      <c r="E613" s="227"/>
      <c r="F613" s="228"/>
      <c r="G613" s="33"/>
      <c r="H613" s="143"/>
      <c r="I613" s="112"/>
      <c r="J613" s="230"/>
      <c r="K613" s="31"/>
      <c r="L613" s="3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>
      <c r="A614" s="224"/>
      <c r="B614" s="229"/>
      <c r="C614" s="225"/>
      <c r="D614" s="226"/>
      <c r="E614" s="227"/>
      <c r="F614" s="228"/>
      <c r="G614" s="33"/>
      <c r="H614" s="143"/>
      <c r="I614" s="112"/>
      <c r="J614" s="230"/>
      <c r="K614" s="31"/>
      <c r="L614" s="3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>
      <c r="A615" s="224"/>
      <c r="B615" s="229"/>
      <c r="C615" s="225"/>
      <c r="D615" s="226"/>
      <c r="E615" s="227"/>
      <c r="F615" s="228"/>
      <c r="G615" s="33"/>
      <c r="H615" s="143"/>
      <c r="I615" s="112"/>
      <c r="J615" s="230"/>
      <c r="K615" s="31"/>
      <c r="L615" s="3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>
      <c r="A616" s="224"/>
      <c r="B616" s="229"/>
      <c r="C616" s="225"/>
      <c r="D616" s="226"/>
      <c r="E616" s="227"/>
      <c r="F616" s="228"/>
      <c r="G616" s="33"/>
      <c r="H616" s="143"/>
      <c r="I616" s="112"/>
      <c r="J616" s="230"/>
      <c r="K616" s="31"/>
      <c r="L616" s="3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>
      <c r="A617" s="224"/>
      <c r="B617" s="229"/>
      <c r="C617" s="225"/>
      <c r="D617" s="226"/>
      <c r="E617" s="227"/>
      <c r="F617" s="228"/>
      <c r="G617" s="33"/>
      <c r="H617" s="143"/>
      <c r="I617" s="112"/>
      <c r="J617" s="230"/>
      <c r="K617" s="31"/>
      <c r="L617" s="3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>
      <c r="A618" s="224"/>
      <c r="B618" s="229"/>
      <c r="C618" s="225"/>
      <c r="D618" s="226"/>
      <c r="E618" s="227"/>
      <c r="F618" s="228"/>
      <c r="G618" s="33"/>
      <c r="H618" s="143"/>
      <c r="I618" s="112"/>
      <c r="J618" s="230"/>
      <c r="K618" s="31"/>
      <c r="L618" s="3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>
      <c r="A619" s="224"/>
      <c r="B619" s="229"/>
      <c r="C619" s="225"/>
      <c r="D619" s="226"/>
      <c r="E619" s="227"/>
      <c r="F619" s="228"/>
      <c r="G619" s="33"/>
      <c r="H619" s="143"/>
      <c r="I619" s="112"/>
      <c r="J619" s="230"/>
      <c r="K619" s="31"/>
      <c r="L619" s="3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>
      <c r="A620" s="224"/>
      <c r="B620" s="229"/>
      <c r="C620" s="225"/>
      <c r="D620" s="226"/>
      <c r="E620" s="227"/>
      <c r="F620" s="228"/>
      <c r="G620" s="33"/>
      <c r="H620" s="143"/>
      <c r="I620" s="112"/>
      <c r="J620" s="230"/>
      <c r="K620" s="31"/>
      <c r="L620" s="3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>
      <c r="A621" s="224"/>
      <c r="B621" s="229"/>
      <c r="C621" s="225"/>
      <c r="D621" s="226"/>
      <c r="E621" s="227"/>
      <c r="F621" s="228"/>
      <c r="G621" s="33"/>
      <c r="H621" s="143"/>
      <c r="I621" s="112"/>
      <c r="J621" s="230"/>
      <c r="K621" s="31"/>
      <c r="L621" s="3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>
      <c r="A622" s="224"/>
      <c r="B622" s="229"/>
      <c r="C622" s="225"/>
      <c r="D622" s="226"/>
      <c r="E622" s="227"/>
      <c r="F622" s="228"/>
      <c r="G622" s="33"/>
      <c r="H622" s="143"/>
      <c r="I622" s="112"/>
      <c r="J622" s="230"/>
      <c r="K622" s="31"/>
      <c r="L622" s="3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>
      <c r="A623" s="224"/>
      <c r="B623" s="229"/>
      <c r="C623" s="225"/>
      <c r="D623" s="226"/>
      <c r="E623" s="227"/>
      <c r="F623" s="228"/>
      <c r="G623" s="33"/>
      <c r="H623" s="143"/>
      <c r="I623" s="112"/>
      <c r="J623" s="230"/>
      <c r="K623" s="31"/>
      <c r="L623" s="3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>
      <c r="A624" s="224"/>
      <c r="B624" s="229"/>
      <c r="C624" s="225"/>
      <c r="D624" s="226"/>
      <c r="E624" s="227"/>
      <c r="F624" s="228"/>
      <c r="G624" s="33"/>
      <c r="H624" s="143"/>
      <c r="I624" s="112"/>
      <c r="J624" s="230"/>
      <c r="K624" s="31"/>
      <c r="L624" s="3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>
      <c r="A625" s="224"/>
      <c r="B625" s="229"/>
      <c r="C625" s="225"/>
      <c r="D625" s="226"/>
      <c r="E625" s="227"/>
      <c r="F625" s="228"/>
      <c r="G625" s="33"/>
      <c r="H625" s="143"/>
      <c r="I625" s="112"/>
      <c r="J625" s="230"/>
      <c r="K625" s="31"/>
      <c r="L625" s="3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>
      <c r="A626" s="224"/>
      <c r="B626" s="229"/>
      <c r="C626" s="225"/>
      <c r="D626" s="226"/>
      <c r="E626" s="227"/>
      <c r="F626" s="228"/>
      <c r="G626" s="33"/>
      <c r="H626" s="143"/>
      <c r="I626" s="112"/>
      <c r="J626" s="230"/>
      <c r="K626" s="31"/>
      <c r="L626" s="3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>
      <c r="A627" s="224"/>
      <c r="B627" s="229"/>
      <c r="C627" s="225"/>
      <c r="D627" s="226"/>
      <c r="E627" s="227"/>
      <c r="F627" s="228"/>
      <c r="G627" s="33"/>
      <c r="H627" s="143"/>
      <c r="I627" s="112"/>
      <c r="J627" s="230"/>
      <c r="K627" s="31"/>
      <c r="L627" s="3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>
      <c r="A628" s="224"/>
      <c r="B628" s="229"/>
      <c r="C628" s="225"/>
      <c r="D628" s="226"/>
      <c r="E628" s="227"/>
      <c r="F628" s="228"/>
      <c r="G628" s="33"/>
      <c r="H628" s="143"/>
      <c r="I628" s="112"/>
      <c r="J628" s="230"/>
      <c r="K628" s="31"/>
      <c r="L628" s="3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>
      <c r="A629" s="224"/>
      <c r="B629" s="229"/>
      <c r="C629" s="225"/>
      <c r="D629" s="226"/>
      <c r="E629" s="227"/>
      <c r="F629" s="228"/>
      <c r="G629" s="33"/>
      <c r="H629" s="143"/>
      <c r="I629" s="112"/>
      <c r="J629" s="230"/>
      <c r="K629" s="31"/>
      <c r="L629" s="3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>
      <c r="A630" s="224"/>
      <c r="B630" s="229"/>
      <c r="C630" s="225"/>
      <c r="D630" s="226"/>
      <c r="E630" s="227"/>
      <c r="F630" s="228"/>
      <c r="G630" s="33"/>
      <c r="H630" s="143"/>
      <c r="I630" s="112"/>
      <c r="J630" s="230"/>
      <c r="K630" s="31"/>
      <c r="L630" s="3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>
      <c r="A631" s="224"/>
      <c r="B631" s="229"/>
      <c r="C631" s="225"/>
      <c r="D631" s="226"/>
      <c r="E631" s="227"/>
      <c r="F631" s="228"/>
      <c r="G631" s="33"/>
      <c r="H631" s="143"/>
      <c r="I631" s="112"/>
      <c r="J631" s="230"/>
      <c r="K631" s="31"/>
      <c r="L631" s="3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>
      <c r="A632" s="224"/>
      <c r="B632" s="229"/>
      <c r="C632" s="225"/>
      <c r="D632" s="226"/>
      <c r="E632" s="227"/>
      <c r="F632" s="228"/>
      <c r="G632" s="33"/>
      <c r="H632" s="143"/>
      <c r="I632" s="112"/>
      <c r="J632" s="230"/>
      <c r="K632" s="31"/>
      <c r="L632" s="3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>
      <c r="A633" s="224"/>
      <c r="B633" s="229"/>
      <c r="C633" s="225"/>
      <c r="D633" s="226"/>
      <c r="E633" s="227"/>
      <c r="F633" s="228"/>
      <c r="G633" s="33"/>
      <c r="H633" s="143"/>
      <c r="I633" s="112"/>
      <c r="J633" s="230"/>
      <c r="K633" s="31"/>
      <c r="L633" s="3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>
      <c r="A634" s="224"/>
      <c r="B634" s="229"/>
      <c r="C634" s="225"/>
      <c r="D634" s="226"/>
      <c r="E634" s="227"/>
      <c r="F634" s="228"/>
      <c r="G634" s="33"/>
      <c r="H634" s="143"/>
      <c r="I634" s="112"/>
      <c r="J634" s="230"/>
      <c r="K634" s="31"/>
      <c r="L634" s="3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>
      <c r="A635" s="224"/>
      <c r="B635" s="229"/>
      <c r="C635" s="225"/>
      <c r="D635" s="226"/>
      <c r="E635" s="227"/>
      <c r="F635" s="228"/>
      <c r="G635" s="33"/>
      <c r="H635" s="143"/>
      <c r="I635" s="112"/>
      <c r="J635" s="230"/>
      <c r="K635" s="31"/>
      <c r="L635" s="3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>
      <c r="A636" s="224"/>
      <c r="B636" s="229"/>
      <c r="C636" s="225"/>
      <c r="D636" s="226"/>
      <c r="E636" s="227"/>
      <c r="F636" s="228"/>
      <c r="G636" s="33"/>
      <c r="H636" s="143"/>
      <c r="I636" s="112"/>
      <c r="J636" s="230"/>
      <c r="K636" s="31"/>
      <c r="L636" s="3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>
      <c r="A637" s="224"/>
      <c r="B637" s="229"/>
      <c r="C637" s="225"/>
      <c r="D637" s="226"/>
      <c r="E637" s="227"/>
      <c r="F637" s="228"/>
      <c r="G637" s="33"/>
      <c r="H637" s="143"/>
      <c r="I637" s="112"/>
      <c r="J637" s="230"/>
      <c r="K637" s="31"/>
      <c r="L637" s="3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>
      <c r="A638" s="224"/>
      <c r="B638" s="229"/>
      <c r="C638" s="225"/>
      <c r="D638" s="226"/>
      <c r="E638" s="227"/>
      <c r="F638" s="228"/>
      <c r="G638" s="33"/>
      <c r="H638" s="143"/>
      <c r="I638" s="112"/>
      <c r="J638" s="230"/>
      <c r="K638" s="31"/>
      <c r="L638" s="3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>
      <c r="A639" s="224"/>
      <c r="B639" s="229"/>
      <c r="C639" s="225"/>
      <c r="D639" s="226"/>
      <c r="E639" s="227"/>
      <c r="F639" s="228"/>
      <c r="G639" s="33"/>
      <c r="H639" s="143"/>
      <c r="I639" s="112"/>
      <c r="J639" s="230"/>
      <c r="K639" s="31"/>
      <c r="L639" s="3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>
      <c r="A640" s="224"/>
      <c r="B640" s="229"/>
      <c r="C640" s="225"/>
      <c r="D640" s="226"/>
      <c r="E640" s="227"/>
      <c r="F640" s="228"/>
      <c r="G640" s="33"/>
      <c r="H640" s="143"/>
      <c r="I640" s="112"/>
      <c r="J640" s="230"/>
      <c r="K640" s="31"/>
      <c r="L640" s="3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>
      <c r="A641" s="224"/>
      <c r="B641" s="229"/>
      <c r="C641" s="225"/>
      <c r="D641" s="226"/>
      <c r="E641" s="227"/>
      <c r="F641" s="228"/>
      <c r="G641" s="33"/>
      <c r="H641" s="143"/>
      <c r="I641" s="112"/>
      <c r="J641" s="230"/>
      <c r="K641" s="31"/>
      <c r="L641" s="3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>
      <c r="A642" s="224"/>
      <c r="B642" s="229"/>
      <c r="C642" s="225"/>
      <c r="D642" s="226"/>
      <c r="E642" s="227"/>
      <c r="F642" s="228"/>
      <c r="G642" s="33"/>
      <c r="H642" s="143"/>
      <c r="I642" s="112"/>
      <c r="J642" s="230"/>
      <c r="K642" s="31"/>
      <c r="L642" s="3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>
      <c r="A643" s="224"/>
      <c r="B643" s="229"/>
      <c r="C643" s="225"/>
      <c r="D643" s="226"/>
      <c r="E643" s="227"/>
      <c r="F643" s="228"/>
      <c r="G643" s="33"/>
      <c r="H643" s="143"/>
      <c r="I643" s="112"/>
      <c r="J643" s="230"/>
      <c r="K643" s="31"/>
      <c r="L643" s="3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>
      <c r="A644" s="224"/>
      <c r="B644" s="229"/>
      <c r="C644" s="225"/>
      <c r="D644" s="226"/>
      <c r="E644" s="227"/>
      <c r="F644" s="228"/>
      <c r="G644" s="33"/>
      <c r="H644" s="143"/>
      <c r="I644" s="112"/>
      <c r="J644" s="230"/>
      <c r="K644" s="31"/>
      <c r="L644" s="3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>
      <c r="A645" s="224"/>
      <c r="B645" s="229"/>
      <c r="C645" s="225"/>
      <c r="D645" s="226"/>
      <c r="E645" s="227"/>
      <c r="F645" s="228"/>
      <c r="G645" s="33"/>
      <c r="H645" s="143"/>
      <c r="I645" s="112"/>
      <c r="J645" s="230"/>
      <c r="K645" s="31"/>
      <c r="L645" s="3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>
      <c r="A646" s="224"/>
      <c r="B646" s="229"/>
      <c r="C646" s="225"/>
      <c r="D646" s="226"/>
      <c r="E646" s="227"/>
      <c r="F646" s="228"/>
      <c r="G646" s="33"/>
      <c r="H646" s="143"/>
      <c r="I646" s="112"/>
      <c r="J646" s="230"/>
      <c r="K646" s="31"/>
      <c r="L646" s="3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>
      <c r="A647" s="224"/>
      <c r="B647" s="229"/>
      <c r="C647" s="225"/>
      <c r="D647" s="226"/>
      <c r="E647" s="227"/>
      <c r="F647" s="228"/>
      <c r="G647" s="33"/>
      <c r="H647" s="143"/>
      <c r="I647" s="112"/>
      <c r="J647" s="230"/>
      <c r="K647" s="31"/>
      <c r="L647" s="3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>
      <c r="A648" s="224"/>
      <c r="B648" s="229"/>
      <c r="C648" s="225"/>
      <c r="D648" s="226"/>
      <c r="E648" s="227"/>
      <c r="F648" s="228"/>
      <c r="G648" s="33"/>
      <c r="H648" s="143"/>
      <c r="I648" s="112"/>
      <c r="J648" s="230"/>
      <c r="K648" s="31"/>
      <c r="L648" s="3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>
      <c r="A649" s="224"/>
      <c r="B649" s="229"/>
      <c r="C649" s="225"/>
      <c r="D649" s="226"/>
      <c r="E649" s="227"/>
      <c r="F649" s="228"/>
      <c r="G649" s="33"/>
      <c r="H649" s="143"/>
      <c r="I649" s="112"/>
      <c r="J649" s="230"/>
      <c r="K649" s="31"/>
      <c r="L649" s="3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>
      <c r="A650" s="224"/>
      <c r="B650" s="229"/>
      <c r="C650" s="225"/>
      <c r="D650" s="226"/>
      <c r="E650" s="227"/>
      <c r="F650" s="228"/>
      <c r="G650" s="33"/>
      <c r="H650" s="143"/>
      <c r="I650" s="112"/>
      <c r="J650" s="230"/>
      <c r="K650" s="31"/>
      <c r="L650" s="39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>
      <c r="A651" s="224"/>
      <c r="B651" s="229"/>
      <c r="C651" s="225"/>
      <c r="D651" s="226"/>
      <c r="E651" s="227"/>
      <c r="F651" s="228"/>
      <c r="G651" s="33"/>
      <c r="H651" s="143"/>
      <c r="I651" s="112"/>
      <c r="J651" s="230"/>
      <c r="K651" s="31"/>
      <c r="L651" s="39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>
      <c r="A652" s="224"/>
      <c r="B652" s="229"/>
      <c r="C652" s="225"/>
      <c r="D652" s="226"/>
      <c r="E652" s="227"/>
      <c r="F652" s="228"/>
      <c r="G652" s="33"/>
      <c r="H652" s="143"/>
      <c r="I652" s="112"/>
      <c r="J652" s="230"/>
      <c r="K652" s="31"/>
      <c r="L652" s="39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>
      <c r="A653" s="224"/>
      <c r="B653" s="229"/>
      <c r="C653" s="225"/>
      <c r="D653" s="226"/>
      <c r="E653" s="227"/>
      <c r="F653" s="228"/>
      <c r="G653" s="33"/>
      <c r="H653" s="143"/>
      <c r="I653" s="112"/>
      <c r="J653" s="230"/>
      <c r="K653" s="31"/>
      <c r="L653" s="39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>
      <c r="A654" s="224"/>
      <c r="B654" s="229"/>
      <c r="C654" s="225"/>
      <c r="D654" s="226"/>
      <c r="E654" s="227"/>
      <c r="F654" s="228"/>
      <c r="G654" s="33"/>
      <c r="H654" s="143"/>
      <c r="I654" s="112"/>
      <c r="J654" s="230"/>
      <c r="K654" s="31"/>
      <c r="L654" s="39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>
      <c r="A655" s="224"/>
      <c r="B655" s="229"/>
      <c r="C655" s="225"/>
      <c r="D655" s="226"/>
      <c r="E655" s="227"/>
      <c r="F655" s="228"/>
      <c r="G655" s="33"/>
      <c r="H655" s="143"/>
      <c r="I655" s="112"/>
      <c r="J655" s="230"/>
      <c r="K655" s="31"/>
      <c r="L655" s="39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>
      <c r="A656" s="224"/>
      <c r="B656" s="229"/>
      <c r="C656" s="225"/>
      <c r="D656" s="226"/>
      <c r="E656" s="227"/>
      <c r="F656" s="228"/>
      <c r="G656" s="33"/>
      <c r="H656" s="143"/>
      <c r="I656" s="112"/>
      <c r="J656" s="230"/>
      <c r="K656" s="31"/>
      <c r="L656" s="39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>
      <c r="A657" s="224"/>
      <c r="B657" s="229"/>
      <c r="C657" s="225"/>
      <c r="D657" s="226"/>
      <c r="E657" s="227"/>
      <c r="F657" s="228"/>
      <c r="G657" s="33"/>
      <c r="H657" s="143"/>
      <c r="I657" s="112"/>
      <c r="J657" s="230"/>
      <c r="K657" s="31"/>
      <c r="L657" s="39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>
      <c r="A658" s="224"/>
      <c r="B658" s="229"/>
      <c r="C658" s="225"/>
      <c r="D658" s="226"/>
      <c r="E658" s="227"/>
      <c r="F658" s="228"/>
      <c r="G658" s="33"/>
      <c r="H658" s="143"/>
      <c r="I658" s="112"/>
      <c r="J658" s="230"/>
      <c r="K658" s="31"/>
      <c r="L658" s="39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>
      <c r="A659" s="224"/>
      <c r="B659" s="229"/>
      <c r="C659" s="225"/>
      <c r="D659" s="226"/>
      <c r="E659" s="227"/>
      <c r="F659" s="228"/>
      <c r="G659" s="33"/>
      <c r="H659" s="143"/>
      <c r="I659" s="112"/>
      <c r="J659" s="230"/>
      <c r="K659" s="31"/>
      <c r="L659" s="39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>
      <c r="A660" s="224"/>
      <c r="B660" s="229"/>
      <c r="C660" s="225"/>
      <c r="D660" s="226"/>
      <c r="E660" s="227"/>
      <c r="F660" s="228"/>
      <c r="G660" s="33"/>
      <c r="H660" s="143"/>
      <c r="I660" s="112"/>
      <c r="J660" s="230"/>
      <c r="K660" s="31"/>
      <c r="L660" s="39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>
      <c r="A661" s="224"/>
      <c r="B661" s="229"/>
      <c r="C661" s="225"/>
      <c r="D661" s="226"/>
      <c r="E661" s="227"/>
      <c r="F661" s="228"/>
      <c r="G661" s="33"/>
      <c r="H661" s="143"/>
      <c r="I661" s="112"/>
      <c r="J661" s="230"/>
      <c r="K661" s="31"/>
      <c r="L661" s="39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>
      <c r="A662" s="224"/>
      <c r="B662" s="229"/>
      <c r="C662" s="225"/>
      <c r="D662" s="226"/>
      <c r="E662" s="227"/>
      <c r="F662" s="228"/>
      <c r="G662" s="33"/>
      <c r="H662" s="143"/>
      <c r="I662" s="112"/>
      <c r="J662" s="230"/>
      <c r="K662" s="31"/>
      <c r="L662" s="39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>
      <c r="A663" s="224"/>
      <c r="B663" s="229"/>
      <c r="C663" s="225"/>
      <c r="D663" s="226"/>
      <c r="E663" s="227"/>
      <c r="F663" s="228"/>
      <c r="G663" s="33"/>
      <c r="H663" s="143"/>
      <c r="I663" s="112"/>
      <c r="J663" s="230"/>
      <c r="K663" s="31"/>
      <c r="L663" s="39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>
      <c r="A664" s="224"/>
      <c r="B664" s="229"/>
      <c r="C664" s="225"/>
      <c r="D664" s="226"/>
      <c r="E664" s="227"/>
      <c r="F664" s="228"/>
      <c r="G664" s="33"/>
      <c r="H664" s="143"/>
      <c r="I664" s="112"/>
      <c r="J664" s="230"/>
      <c r="K664" s="31"/>
      <c r="L664" s="39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>
      <c r="A665" s="224"/>
      <c r="B665" s="229"/>
      <c r="C665" s="225"/>
      <c r="D665" s="226"/>
      <c r="E665" s="227"/>
      <c r="F665" s="228"/>
      <c r="G665" s="33"/>
      <c r="H665" s="143"/>
      <c r="I665" s="112"/>
      <c r="J665" s="230"/>
      <c r="K665" s="31"/>
      <c r="L665" s="39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>
      <c r="A666" s="224"/>
      <c r="B666" s="229"/>
      <c r="C666" s="225"/>
      <c r="D666" s="226"/>
      <c r="E666" s="227"/>
      <c r="F666" s="228"/>
      <c r="G666" s="33"/>
      <c r="H666" s="143"/>
      <c r="I666" s="112"/>
      <c r="J666" s="230"/>
      <c r="K666" s="31"/>
      <c r="L666" s="39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>
      <c r="A667" s="224"/>
      <c r="B667" s="229"/>
      <c r="C667" s="225"/>
      <c r="D667" s="226"/>
      <c r="E667" s="227"/>
      <c r="F667" s="228"/>
      <c r="G667" s="33"/>
      <c r="H667" s="143"/>
      <c r="I667" s="112"/>
      <c r="J667" s="230"/>
      <c r="K667" s="31"/>
      <c r="L667" s="39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>
      <c r="A668" s="224"/>
      <c r="B668" s="229"/>
      <c r="C668" s="225"/>
      <c r="D668" s="226"/>
      <c r="E668" s="227"/>
      <c r="F668" s="228"/>
      <c r="G668" s="33"/>
      <c r="H668" s="143"/>
      <c r="I668" s="112"/>
      <c r="J668" s="230"/>
      <c r="K668" s="31"/>
      <c r="L668" s="39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>
      <c r="A669" s="224"/>
      <c r="B669" s="229"/>
      <c r="C669" s="225"/>
      <c r="D669" s="226"/>
      <c r="E669" s="227"/>
      <c r="F669" s="228"/>
      <c r="G669" s="33"/>
      <c r="H669" s="143"/>
      <c r="I669" s="112"/>
      <c r="J669" s="230"/>
      <c r="K669" s="31"/>
      <c r="L669" s="39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>
      <c r="A670" s="224"/>
      <c r="B670" s="229"/>
      <c r="C670" s="225"/>
      <c r="D670" s="226"/>
      <c r="E670" s="227"/>
      <c r="F670" s="228"/>
      <c r="G670" s="33"/>
      <c r="H670" s="143"/>
      <c r="I670" s="112"/>
      <c r="J670" s="230"/>
      <c r="K670" s="31"/>
      <c r="L670" s="39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>
      <c r="A671" s="224"/>
      <c r="B671" s="229"/>
      <c r="C671" s="225"/>
      <c r="D671" s="226"/>
      <c r="E671" s="227"/>
      <c r="F671" s="228"/>
      <c r="G671" s="33"/>
      <c r="H671" s="143"/>
      <c r="I671" s="112"/>
      <c r="J671" s="230"/>
      <c r="K671" s="31"/>
      <c r="L671" s="39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>
      <c r="A672" s="224"/>
      <c r="B672" s="229"/>
      <c r="C672" s="225"/>
      <c r="D672" s="226"/>
      <c r="E672" s="227"/>
      <c r="F672" s="228"/>
      <c r="G672" s="33"/>
      <c r="H672" s="143"/>
      <c r="I672" s="112"/>
      <c r="J672" s="230"/>
      <c r="K672" s="31"/>
      <c r="L672" s="39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>
      <c r="A673" s="224"/>
      <c r="B673" s="229"/>
      <c r="C673" s="225"/>
      <c r="D673" s="226"/>
      <c r="E673" s="227"/>
      <c r="F673" s="228"/>
      <c r="G673" s="33"/>
      <c r="H673" s="143"/>
      <c r="I673" s="112"/>
      <c r="J673" s="230"/>
      <c r="K673" s="31"/>
      <c r="L673" s="39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>
      <c r="A674" s="224"/>
      <c r="B674" s="229"/>
      <c r="C674" s="225"/>
      <c r="D674" s="226"/>
      <c r="E674" s="227"/>
      <c r="F674" s="228"/>
      <c r="G674" s="33"/>
      <c r="H674" s="143"/>
      <c r="I674" s="112"/>
      <c r="J674" s="230"/>
      <c r="K674" s="31"/>
      <c r="L674" s="39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>
      <c r="A675" s="224"/>
      <c r="B675" s="229"/>
      <c r="C675" s="225"/>
      <c r="D675" s="226"/>
      <c r="E675" s="227"/>
      <c r="F675" s="228"/>
      <c r="G675" s="33"/>
      <c r="H675" s="143"/>
      <c r="I675" s="112"/>
      <c r="J675" s="230"/>
      <c r="K675" s="31"/>
      <c r="L675" s="39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>
      <c r="A676" s="224"/>
      <c r="B676" s="229"/>
      <c r="C676" s="225"/>
      <c r="D676" s="226"/>
      <c r="E676" s="227"/>
      <c r="F676" s="228"/>
      <c r="G676" s="33"/>
      <c r="H676" s="143"/>
      <c r="I676" s="112"/>
      <c r="J676" s="230"/>
      <c r="K676" s="31"/>
      <c r="L676" s="39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>
      <c r="A677" s="224"/>
      <c r="B677" s="229"/>
      <c r="C677" s="225"/>
      <c r="D677" s="226"/>
      <c r="E677" s="227"/>
      <c r="F677" s="228"/>
      <c r="G677" s="33"/>
      <c r="H677" s="143"/>
      <c r="I677" s="112"/>
      <c r="J677" s="230"/>
      <c r="K677" s="31"/>
      <c r="L677" s="39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>
      <c r="A678" s="224"/>
      <c r="B678" s="229"/>
      <c r="C678" s="225"/>
      <c r="D678" s="226"/>
      <c r="E678" s="227"/>
      <c r="F678" s="228"/>
      <c r="G678" s="33"/>
      <c r="H678" s="143"/>
      <c r="I678" s="112"/>
      <c r="J678" s="230"/>
      <c r="K678" s="31"/>
      <c r="L678" s="39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>
      <c r="A679" s="224"/>
      <c r="B679" s="229"/>
      <c r="C679" s="225"/>
      <c r="D679" s="226"/>
      <c r="E679" s="227"/>
      <c r="F679" s="228"/>
      <c r="G679" s="33"/>
      <c r="H679" s="143"/>
      <c r="I679" s="112"/>
      <c r="J679" s="230"/>
      <c r="K679" s="31"/>
      <c r="L679" s="39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>
      <c r="A680" s="224"/>
      <c r="B680" s="229"/>
      <c r="C680" s="225"/>
      <c r="D680" s="226"/>
      <c r="E680" s="227"/>
      <c r="F680" s="228"/>
      <c r="G680" s="33"/>
      <c r="H680" s="143"/>
      <c r="I680" s="112"/>
      <c r="J680" s="230"/>
      <c r="K680" s="31"/>
      <c r="L680" s="39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>
      <c r="A681" s="224"/>
      <c r="B681" s="229"/>
      <c r="C681" s="225"/>
      <c r="D681" s="226"/>
      <c r="E681" s="227"/>
      <c r="F681" s="228"/>
      <c r="G681" s="33"/>
      <c r="H681" s="143"/>
      <c r="I681" s="112"/>
      <c r="J681" s="230"/>
      <c r="K681" s="31"/>
      <c r="L681" s="39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>
      <c r="A682" s="224"/>
      <c r="B682" s="229"/>
      <c r="C682" s="225"/>
      <c r="D682" s="226"/>
      <c r="E682" s="227"/>
      <c r="F682" s="228"/>
      <c r="G682" s="33"/>
      <c r="H682" s="143"/>
      <c r="I682" s="112"/>
      <c r="J682" s="230"/>
      <c r="K682" s="31"/>
      <c r="L682" s="39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>
      <c r="A683" s="224"/>
      <c r="B683" s="229"/>
      <c r="C683" s="225"/>
      <c r="D683" s="226"/>
      <c r="E683" s="227"/>
      <c r="F683" s="228"/>
      <c r="G683" s="33"/>
      <c r="H683" s="143"/>
      <c r="I683" s="112"/>
      <c r="J683" s="230"/>
      <c r="K683" s="31"/>
      <c r="L683" s="39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>
      <c r="A684" s="224"/>
      <c r="B684" s="229"/>
      <c r="C684" s="225"/>
      <c r="D684" s="226"/>
      <c r="E684" s="227"/>
      <c r="F684" s="228"/>
      <c r="G684" s="33"/>
      <c r="H684" s="143"/>
      <c r="I684" s="112"/>
      <c r="J684" s="230"/>
      <c r="K684" s="31"/>
      <c r="L684" s="39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>
      <c r="A685" s="224"/>
      <c r="B685" s="229"/>
      <c r="C685" s="225"/>
      <c r="D685" s="226"/>
      <c r="E685" s="227"/>
      <c r="F685" s="228"/>
      <c r="G685" s="33"/>
      <c r="H685" s="143"/>
      <c r="I685" s="112"/>
      <c r="J685" s="230"/>
      <c r="K685" s="31"/>
      <c r="L685" s="39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>
      <c r="A686" s="224"/>
      <c r="B686" s="229"/>
      <c r="C686" s="225"/>
      <c r="D686" s="226"/>
      <c r="E686" s="227"/>
      <c r="F686" s="228"/>
      <c r="G686" s="33"/>
      <c r="H686" s="143"/>
      <c r="I686" s="112"/>
      <c r="J686" s="230"/>
      <c r="K686" s="31"/>
      <c r="L686" s="39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>
      <c r="A687" s="224"/>
      <c r="B687" s="229"/>
      <c r="C687" s="225"/>
      <c r="D687" s="226"/>
      <c r="E687" s="227"/>
      <c r="F687" s="228"/>
      <c r="G687" s="33"/>
      <c r="H687" s="143"/>
      <c r="I687" s="112"/>
      <c r="J687" s="230"/>
      <c r="K687" s="31"/>
      <c r="L687" s="39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>
      <c r="A688" s="224"/>
      <c r="B688" s="229"/>
      <c r="C688" s="225"/>
      <c r="D688" s="226"/>
      <c r="E688" s="227"/>
      <c r="F688" s="228"/>
      <c r="G688" s="33"/>
      <c r="H688" s="143"/>
      <c r="I688" s="112"/>
      <c r="J688" s="230"/>
      <c r="K688" s="31"/>
      <c r="L688" s="39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>
      <c r="A689" s="224"/>
      <c r="B689" s="229"/>
      <c r="C689" s="225"/>
      <c r="D689" s="226"/>
      <c r="E689" s="227"/>
      <c r="F689" s="228"/>
      <c r="G689" s="33"/>
      <c r="H689" s="143"/>
      <c r="I689" s="112"/>
      <c r="J689" s="230"/>
      <c r="K689" s="31"/>
      <c r="L689" s="39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>
      <c r="A690" s="224"/>
      <c r="B690" s="229"/>
      <c r="C690" s="225"/>
      <c r="D690" s="226"/>
      <c r="E690" s="227"/>
      <c r="F690" s="228"/>
      <c r="G690" s="33"/>
      <c r="H690" s="143"/>
      <c r="I690" s="112"/>
      <c r="J690" s="230"/>
      <c r="K690" s="31"/>
      <c r="L690" s="39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>
      <c r="A691" s="224"/>
      <c r="B691" s="229"/>
      <c r="C691" s="225"/>
      <c r="D691" s="226"/>
      <c r="E691" s="227"/>
      <c r="F691" s="228"/>
      <c r="G691" s="33"/>
      <c r="H691" s="143"/>
      <c r="I691" s="112"/>
      <c r="J691" s="230"/>
      <c r="K691" s="31"/>
      <c r="L691" s="39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>
      <c r="A692" s="224"/>
      <c r="B692" s="229"/>
      <c r="C692" s="225"/>
      <c r="D692" s="226"/>
      <c r="E692" s="227"/>
      <c r="F692" s="228"/>
      <c r="G692" s="33"/>
      <c r="H692" s="143"/>
      <c r="I692" s="112"/>
      <c r="J692" s="230"/>
      <c r="K692" s="31"/>
      <c r="L692" s="39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>
      <c r="A693" s="224"/>
      <c r="B693" s="229"/>
      <c r="C693" s="225"/>
      <c r="D693" s="226"/>
      <c r="E693" s="227"/>
      <c r="F693" s="228"/>
      <c r="G693" s="33"/>
      <c r="H693" s="143"/>
      <c r="I693" s="112"/>
      <c r="J693" s="230"/>
      <c r="K693" s="31"/>
      <c r="L693" s="39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>
      <c r="A694" s="224"/>
      <c r="B694" s="229"/>
      <c r="C694" s="225"/>
      <c r="D694" s="226"/>
      <c r="E694" s="227"/>
      <c r="F694" s="228"/>
      <c r="G694" s="33"/>
      <c r="H694" s="143"/>
      <c r="I694" s="112"/>
      <c r="J694" s="230"/>
      <c r="K694" s="31"/>
      <c r="L694" s="39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>
      <c r="A695" s="224"/>
      <c r="B695" s="229"/>
      <c r="C695" s="225"/>
      <c r="D695" s="226"/>
      <c r="E695" s="227"/>
      <c r="F695" s="228"/>
      <c r="G695" s="33"/>
      <c r="H695" s="143"/>
      <c r="I695" s="112"/>
      <c r="J695" s="230"/>
      <c r="K695" s="31"/>
      <c r="L695" s="39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>
      <c r="A696" s="224"/>
      <c r="B696" s="229"/>
      <c r="C696" s="225"/>
      <c r="D696" s="226"/>
      <c r="E696" s="227"/>
      <c r="F696" s="228"/>
      <c r="G696" s="33"/>
      <c r="H696" s="143"/>
      <c r="I696" s="112"/>
      <c r="J696" s="230"/>
      <c r="K696" s="31"/>
      <c r="L696" s="39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>
      <c r="A697" s="224"/>
      <c r="B697" s="229"/>
      <c r="C697" s="225"/>
      <c r="D697" s="226"/>
      <c r="E697" s="227"/>
      <c r="F697" s="228"/>
      <c r="G697" s="33"/>
      <c r="H697" s="143"/>
      <c r="I697" s="112"/>
      <c r="J697" s="230"/>
      <c r="K697" s="31"/>
      <c r="L697" s="39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>
      <c r="A698" s="224"/>
      <c r="B698" s="229"/>
      <c r="C698" s="225"/>
      <c r="D698" s="226"/>
      <c r="E698" s="227"/>
      <c r="F698" s="228"/>
      <c r="G698" s="33"/>
      <c r="H698" s="143"/>
      <c r="I698" s="112"/>
      <c r="J698" s="230"/>
      <c r="K698" s="31"/>
      <c r="L698" s="39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>
      <c r="A699" s="224"/>
      <c r="B699" s="229"/>
      <c r="C699" s="225"/>
      <c r="D699" s="226"/>
      <c r="E699" s="227"/>
      <c r="F699" s="228"/>
      <c r="G699" s="33"/>
      <c r="H699" s="143"/>
      <c r="I699" s="112"/>
      <c r="J699" s="230"/>
      <c r="K699" s="31"/>
      <c r="L699" s="39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>
      <c r="A700" s="224"/>
      <c r="B700" s="229"/>
      <c r="C700" s="225"/>
      <c r="D700" s="226"/>
      <c r="E700" s="227"/>
      <c r="F700" s="228"/>
      <c r="G700" s="33"/>
      <c r="H700" s="143"/>
      <c r="I700" s="112"/>
      <c r="J700" s="230"/>
      <c r="K700" s="31"/>
      <c r="L700" s="39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>
      <c r="A701" s="224"/>
      <c r="B701" s="229"/>
      <c r="C701" s="225"/>
      <c r="D701" s="226"/>
      <c r="E701" s="227"/>
      <c r="F701" s="228"/>
      <c r="G701" s="33"/>
      <c r="H701" s="143"/>
      <c r="I701" s="112"/>
      <c r="J701" s="230"/>
      <c r="K701" s="31"/>
      <c r="L701" s="39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>
      <c r="A702" s="224"/>
      <c r="B702" s="229"/>
      <c r="C702" s="225"/>
      <c r="D702" s="226"/>
      <c r="E702" s="227"/>
      <c r="F702" s="228"/>
      <c r="G702" s="33"/>
      <c r="H702" s="143"/>
      <c r="I702" s="112"/>
      <c r="J702" s="230"/>
      <c r="K702" s="31"/>
      <c r="L702" s="39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>
      <c r="A703" s="224"/>
      <c r="B703" s="229"/>
      <c r="C703" s="225"/>
      <c r="D703" s="226"/>
      <c r="E703" s="227"/>
      <c r="F703" s="228"/>
      <c r="G703" s="33"/>
      <c r="H703" s="143"/>
      <c r="I703" s="112"/>
      <c r="J703" s="230"/>
      <c r="K703" s="31"/>
      <c r="L703" s="39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>
      <c r="A704" s="224"/>
      <c r="B704" s="229"/>
      <c r="C704" s="225"/>
      <c r="D704" s="226"/>
      <c r="E704" s="227"/>
      <c r="F704" s="228"/>
      <c r="G704" s="33"/>
      <c r="H704" s="143"/>
      <c r="I704" s="112"/>
      <c r="J704" s="230"/>
      <c r="K704" s="31"/>
      <c r="L704" s="39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>
      <c r="A705" s="224"/>
      <c r="B705" s="229"/>
      <c r="C705" s="225"/>
      <c r="D705" s="226"/>
      <c r="E705" s="227"/>
      <c r="F705" s="228"/>
      <c r="G705" s="33"/>
      <c r="H705" s="143"/>
      <c r="I705" s="112"/>
      <c r="J705" s="230"/>
      <c r="K705" s="31"/>
      <c r="L705" s="39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>
      <c r="A706" s="224"/>
      <c r="B706" s="229"/>
      <c r="C706" s="225"/>
      <c r="D706" s="226"/>
      <c r="E706" s="227"/>
      <c r="F706" s="228"/>
      <c r="G706" s="33"/>
      <c r="H706" s="143"/>
      <c r="I706" s="112"/>
      <c r="J706" s="230"/>
      <c r="K706" s="31"/>
      <c r="L706" s="39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>
      <c r="A707" s="224"/>
      <c r="B707" s="229"/>
      <c r="C707" s="225"/>
      <c r="D707" s="226"/>
      <c r="E707" s="227"/>
      <c r="F707" s="228"/>
      <c r="G707" s="33"/>
      <c r="H707" s="143"/>
      <c r="I707" s="112"/>
      <c r="J707" s="230"/>
      <c r="K707" s="31"/>
      <c r="L707" s="39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>
      <c r="A708" s="224"/>
      <c r="B708" s="229"/>
      <c r="C708" s="225"/>
      <c r="D708" s="226"/>
      <c r="E708" s="227"/>
      <c r="F708" s="228"/>
      <c r="G708" s="33"/>
      <c r="H708" s="143"/>
      <c r="I708" s="112"/>
      <c r="J708" s="230"/>
      <c r="K708" s="31"/>
      <c r="L708" s="39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>
      <c r="A709" s="224"/>
      <c r="B709" s="229"/>
      <c r="C709" s="225"/>
      <c r="D709" s="226"/>
      <c r="E709" s="227"/>
      <c r="F709" s="228"/>
      <c r="G709" s="33"/>
      <c r="H709" s="143"/>
      <c r="I709" s="112"/>
      <c r="J709" s="230"/>
      <c r="K709" s="31"/>
      <c r="L709" s="39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>
      <c r="A710" s="224"/>
      <c r="B710" s="229"/>
      <c r="C710" s="225"/>
      <c r="D710" s="226"/>
      <c r="E710" s="227"/>
      <c r="F710" s="228"/>
      <c r="G710" s="33"/>
      <c r="H710" s="143"/>
      <c r="I710" s="112"/>
      <c r="J710" s="230"/>
      <c r="K710" s="31"/>
      <c r="L710" s="39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>
      <c r="A711" s="224"/>
      <c r="B711" s="229"/>
      <c r="C711" s="225"/>
      <c r="D711" s="226"/>
      <c r="E711" s="227"/>
      <c r="F711" s="228"/>
      <c r="G711" s="33"/>
      <c r="H711" s="143"/>
      <c r="I711" s="112"/>
      <c r="J711" s="230"/>
      <c r="K711" s="31"/>
      <c r="L711" s="39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>
      <c r="A712" s="224"/>
      <c r="B712" s="229"/>
      <c r="C712" s="225"/>
      <c r="D712" s="226"/>
      <c r="E712" s="227"/>
      <c r="F712" s="228"/>
      <c r="G712" s="33"/>
      <c r="H712" s="143"/>
      <c r="I712" s="112"/>
      <c r="J712" s="230"/>
      <c r="K712" s="31"/>
      <c r="L712" s="39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>
      <c r="A713" s="224"/>
      <c r="B713" s="229"/>
      <c r="C713" s="225"/>
      <c r="D713" s="226"/>
      <c r="E713" s="227"/>
      <c r="F713" s="228"/>
      <c r="G713" s="33"/>
      <c r="H713" s="143"/>
      <c r="I713" s="112"/>
      <c r="J713" s="230"/>
      <c r="K713" s="31"/>
      <c r="L713" s="39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>
      <c r="A714" s="224"/>
      <c r="B714" s="229"/>
      <c r="C714" s="225"/>
      <c r="D714" s="226"/>
      <c r="E714" s="227"/>
      <c r="F714" s="228"/>
      <c r="G714" s="33"/>
      <c r="H714" s="143"/>
      <c r="I714" s="112"/>
      <c r="J714" s="230"/>
      <c r="K714" s="31"/>
      <c r="L714" s="39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>
      <c r="A715" s="224"/>
      <c r="B715" s="229"/>
      <c r="C715" s="225"/>
      <c r="D715" s="226"/>
      <c r="E715" s="227"/>
      <c r="F715" s="228"/>
      <c r="G715" s="33"/>
      <c r="H715" s="143"/>
      <c r="I715" s="112"/>
      <c r="J715" s="230"/>
      <c r="K715" s="31"/>
      <c r="L715" s="39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>
      <c r="A716" s="224"/>
      <c r="B716" s="229"/>
      <c r="C716" s="225"/>
      <c r="D716" s="226"/>
      <c r="E716" s="227"/>
      <c r="F716" s="228"/>
      <c r="G716" s="33"/>
      <c r="H716" s="143"/>
      <c r="I716" s="112"/>
      <c r="J716" s="230"/>
      <c r="K716" s="31"/>
      <c r="L716" s="39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>
      <c r="A717" s="224"/>
      <c r="B717" s="229"/>
      <c r="C717" s="225"/>
      <c r="D717" s="226"/>
      <c r="E717" s="227"/>
      <c r="F717" s="228"/>
      <c r="G717" s="33"/>
      <c r="H717" s="143"/>
      <c r="I717" s="112"/>
      <c r="J717" s="230"/>
      <c r="K717" s="31"/>
      <c r="L717" s="39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>
      <c r="A718" s="224"/>
      <c r="B718" s="229"/>
      <c r="C718" s="225"/>
      <c r="D718" s="226"/>
      <c r="E718" s="227"/>
      <c r="F718" s="228"/>
      <c r="G718" s="33"/>
      <c r="H718" s="143"/>
      <c r="I718" s="112"/>
      <c r="J718" s="230"/>
      <c r="K718" s="31"/>
      <c r="L718" s="39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>
      <c r="A719" s="224"/>
      <c r="B719" s="229"/>
      <c r="C719" s="225"/>
      <c r="D719" s="226"/>
      <c r="E719" s="227"/>
      <c r="F719" s="228"/>
      <c r="G719" s="33"/>
      <c r="H719" s="143"/>
      <c r="I719" s="112"/>
      <c r="J719" s="230"/>
      <c r="K719" s="31"/>
      <c r="L719" s="39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>
      <c r="A720" s="224"/>
      <c r="B720" s="229"/>
      <c r="C720" s="225"/>
      <c r="D720" s="226"/>
      <c r="E720" s="227"/>
      <c r="F720" s="228"/>
      <c r="G720" s="33"/>
      <c r="H720" s="143"/>
      <c r="I720" s="112"/>
      <c r="J720" s="230"/>
      <c r="K720" s="31"/>
      <c r="L720" s="39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>
      <c r="A721" s="224"/>
      <c r="B721" s="229"/>
      <c r="C721" s="225"/>
      <c r="D721" s="226"/>
      <c r="E721" s="227"/>
      <c r="F721" s="228"/>
      <c r="G721" s="33"/>
      <c r="H721" s="143"/>
      <c r="I721" s="112"/>
      <c r="J721" s="230"/>
      <c r="K721" s="31"/>
      <c r="L721" s="39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>
      <c r="A722" s="224"/>
      <c r="B722" s="229"/>
      <c r="C722" s="225"/>
      <c r="D722" s="226"/>
      <c r="E722" s="227"/>
      <c r="F722" s="228"/>
      <c r="G722" s="33"/>
      <c r="H722" s="143"/>
      <c r="I722" s="112"/>
      <c r="J722" s="230"/>
      <c r="K722" s="31"/>
      <c r="L722" s="39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>
      <c r="A723" s="224"/>
      <c r="B723" s="229"/>
      <c r="C723" s="225"/>
      <c r="D723" s="226"/>
      <c r="E723" s="227"/>
      <c r="F723" s="228"/>
      <c r="G723" s="33"/>
      <c r="H723" s="143"/>
      <c r="I723" s="112"/>
      <c r="J723" s="230"/>
      <c r="K723" s="31"/>
      <c r="L723" s="39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>
      <c r="A724" s="224"/>
      <c r="B724" s="229"/>
      <c r="C724" s="225"/>
      <c r="D724" s="226"/>
      <c r="E724" s="227"/>
      <c r="F724" s="228"/>
      <c r="G724" s="33"/>
      <c r="H724" s="143"/>
      <c r="I724" s="112"/>
      <c r="J724" s="230"/>
      <c r="K724" s="31"/>
      <c r="L724" s="39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>
      <c r="A725" s="224"/>
      <c r="B725" s="229"/>
      <c r="C725" s="225"/>
      <c r="D725" s="226"/>
      <c r="E725" s="227"/>
      <c r="F725" s="228"/>
      <c r="G725" s="33"/>
      <c r="H725" s="143"/>
      <c r="I725" s="112"/>
      <c r="J725" s="230"/>
      <c r="K725" s="31"/>
      <c r="L725" s="39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>
      <c r="A726" s="224"/>
      <c r="B726" s="229"/>
      <c r="C726" s="225"/>
      <c r="D726" s="226"/>
      <c r="E726" s="227"/>
      <c r="F726" s="228"/>
      <c r="G726" s="33"/>
      <c r="H726" s="143"/>
      <c r="I726" s="112"/>
      <c r="J726" s="230"/>
      <c r="K726" s="31"/>
      <c r="L726" s="39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>
      <c r="A727" s="224"/>
      <c r="B727" s="229"/>
      <c r="C727" s="225"/>
      <c r="D727" s="226"/>
      <c r="E727" s="227"/>
      <c r="F727" s="228"/>
      <c r="G727" s="33"/>
      <c r="H727" s="143"/>
      <c r="I727" s="112"/>
      <c r="J727" s="230"/>
      <c r="K727" s="31"/>
      <c r="L727" s="39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>
      <c r="A728" s="224"/>
      <c r="B728" s="229"/>
      <c r="C728" s="225"/>
      <c r="D728" s="226"/>
      <c r="E728" s="227"/>
      <c r="F728" s="228"/>
      <c r="G728" s="33"/>
      <c r="H728" s="143"/>
      <c r="I728" s="112"/>
      <c r="J728" s="230"/>
      <c r="K728" s="31"/>
      <c r="L728" s="39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>
      <c r="A729" s="224"/>
      <c r="B729" s="229"/>
      <c r="C729" s="225"/>
      <c r="D729" s="226"/>
      <c r="E729" s="227"/>
      <c r="F729" s="228"/>
      <c r="G729" s="33"/>
      <c r="H729" s="143"/>
      <c r="I729" s="112"/>
      <c r="J729" s="230"/>
      <c r="K729" s="31"/>
      <c r="L729" s="39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>
      <c r="A730" s="224"/>
      <c r="B730" s="229"/>
      <c r="C730" s="225"/>
      <c r="D730" s="226"/>
      <c r="E730" s="227"/>
      <c r="F730" s="228"/>
      <c r="G730" s="33"/>
      <c r="H730" s="143"/>
      <c r="I730" s="112"/>
      <c r="J730" s="230"/>
      <c r="K730" s="31"/>
      <c r="L730" s="39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>
      <c r="A731" s="224"/>
      <c r="B731" s="229"/>
      <c r="C731" s="225"/>
      <c r="D731" s="226"/>
      <c r="E731" s="227"/>
      <c r="F731" s="228"/>
      <c r="G731" s="33"/>
      <c r="H731" s="143"/>
      <c r="I731" s="112"/>
      <c r="J731" s="230"/>
      <c r="K731" s="31"/>
      <c r="L731" s="39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>
      <c r="A732" s="224"/>
      <c r="B732" s="229"/>
      <c r="C732" s="225"/>
      <c r="D732" s="226"/>
      <c r="E732" s="227"/>
      <c r="F732" s="228"/>
      <c r="G732" s="33"/>
      <c r="H732" s="143"/>
      <c r="I732" s="112"/>
      <c r="J732" s="230"/>
      <c r="K732" s="31"/>
      <c r="L732" s="39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>
      <c r="A733" s="224"/>
      <c r="B733" s="229"/>
      <c r="C733" s="225"/>
      <c r="D733" s="226"/>
      <c r="E733" s="227"/>
      <c r="F733" s="228"/>
      <c r="G733" s="33"/>
      <c r="H733" s="143"/>
      <c r="I733" s="112"/>
      <c r="J733" s="230"/>
      <c r="K733" s="31"/>
      <c r="L733" s="39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>
      <c r="A734" s="224"/>
      <c r="B734" s="229"/>
      <c r="C734" s="225"/>
      <c r="D734" s="226"/>
      <c r="E734" s="227"/>
      <c r="F734" s="228"/>
      <c r="G734" s="33"/>
      <c r="H734" s="143"/>
      <c r="I734" s="112"/>
      <c r="J734" s="230"/>
      <c r="K734" s="31"/>
      <c r="L734" s="39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>
      <c r="A735" s="224"/>
      <c r="B735" s="229"/>
      <c r="C735" s="225"/>
      <c r="D735" s="226"/>
      <c r="E735" s="227"/>
      <c r="F735" s="228"/>
      <c r="G735" s="33"/>
      <c r="H735" s="143"/>
      <c r="I735" s="112"/>
      <c r="J735" s="230"/>
      <c r="K735" s="31"/>
      <c r="L735" s="39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>
      <c r="A736" s="224"/>
      <c r="B736" s="229"/>
      <c r="C736" s="225"/>
      <c r="D736" s="226"/>
      <c r="E736" s="227"/>
      <c r="F736" s="228"/>
      <c r="G736" s="33"/>
      <c r="H736" s="143"/>
      <c r="I736" s="112"/>
      <c r="J736" s="230"/>
      <c r="K736" s="31"/>
      <c r="L736" s="39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>
      <c r="A737" s="224"/>
      <c r="B737" s="229"/>
      <c r="C737" s="225"/>
      <c r="D737" s="226"/>
      <c r="E737" s="227"/>
      <c r="F737" s="228"/>
      <c r="G737" s="33"/>
      <c r="H737" s="143"/>
      <c r="I737" s="112"/>
      <c r="J737" s="230"/>
      <c r="K737" s="31"/>
      <c r="L737" s="39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>
      <c r="A738" s="224"/>
      <c r="B738" s="229"/>
      <c r="C738" s="225"/>
      <c r="D738" s="226"/>
      <c r="E738" s="227"/>
      <c r="F738" s="228"/>
      <c r="G738" s="33"/>
      <c r="H738" s="143"/>
      <c r="I738" s="112"/>
      <c r="J738" s="230"/>
      <c r="K738" s="31"/>
      <c r="L738" s="39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>
      <c r="A739" s="224"/>
      <c r="B739" s="229"/>
      <c r="C739" s="225"/>
      <c r="D739" s="226"/>
      <c r="E739" s="227"/>
      <c r="F739" s="228"/>
      <c r="G739" s="33"/>
      <c r="H739" s="143"/>
      <c r="I739" s="112"/>
      <c r="J739" s="230"/>
      <c r="K739" s="31"/>
      <c r="L739" s="39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>
      <c r="A740" s="224"/>
      <c r="B740" s="229"/>
      <c r="C740" s="225"/>
      <c r="D740" s="226"/>
      <c r="E740" s="227"/>
      <c r="F740" s="228"/>
      <c r="G740" s="33"/>
      <c r="H740" s="143"/>
      <c r="I740" s="112"/>
      <c r="J740" s="230"/>
      <c r="K740" s="31"/>
      <c r="L740" s="39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>
      <c r="A741" s="224"/>
      <c r="B741" s="229"/>
      <c r="C741" s="225"/>
      <c r="D741" s="226"/>
      <c r="E741" s="227"/>
      <c r="F741" s="228"/>
      <c r="G741" s="33"/>
      <c r="H741" s="143"/>
      <c r="I741" s="112"/>
      <c r="J741" s="230"/>
      <c r="K741" s="31"/>
      <c r="L741" s="39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>
      <c r="A742" s="224"/>
      <c r="B742" s="229"/>
      <c r="C742" s="225"/>
      <c r="D742" s="226"/>
      <c r="E742" s="227"/>
      <c r="F742" s="228"/>
      <c r="G742" s="33"/>
      <c r="H742" s="143"/>
      <c r="I742" s="112"/>
      <c r="J742" s="230"/>
      <c r="K742" s="31"/>
      <c r="L742" s="39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>
      <c r="A743" s="224"/>
      <c r="B743" s="229"/>
      <c r="C743" s="225"/>
      <c r="D743" s="226"/>
      <c r="E743" s="227"/>
      <c r="F743" s="228"/>
      <c r="G743" s="33"/>
      <c r="H743" s="143"/>
      <c r="I743" s="112"/>
      <c r="J743" s="230"/>
      <c r="K743" s="31"/>
      <c r="L743" s="39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>
      <c r="A744" s="224"/>
      <c r="B744" s="229"/>
      <c r="C744" s="225"/>
      <c r="D744" s="226"/>
      <c r="E744" s="227"/>
      <c r="F744" s="228"/>
      <c r="G744" s="33"/>
      <c r="H744" s="143"/>
      <c r="I744" s="112"/>
      <c r="J744" s="230"/>
      <c r="K744" s="31"/>
      <c r="L744" s="39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>
      <c r="A745" s="224"/>
      <c r="B745" s="229"/>
      <c r="C745" s="225"/>
      <c r="D745" s="226"/>
      <c r="E745" s="227"/>
      <c r="F745" s="228"/>
      <c r="G745" s="33"/>
      <c r="H745" s="143"/>
      <c r="I745" s="112"/>
      <c r="J745" s="230"/>
      <c r="K745" s="31"/>
      <c r="L745" s="39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>
      <c r="A746" s="224"/>
      <c r="B746" s="229"/>
      <c r="C746" s="225"/>
      <c r="D746" s="226"/>
      <c r="E746" s="227"/>
      <c r="F746" s="228"/>
      <c r="G746" s="33"/>
      <c r="H746" s="143"/>
      <c r="I746" s="112"/>
      <c r="J746" s="230"/>
      <c r="K746" s="31"/>
      <c r="L746" s="39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>
      <c r="A747" s="224"/>
      <c r="B747" s="229"/>
      <c r="C747" s="225"/>
      <c r="D747" s="226"/>
      <c r="E747" s="227"/>
      <c r="F747" s="228"/>
      <c r="G747" s="33"/>
      <c r="H747" s="143"/>
      <c r="I747" s="112"/>
      <c r="J747" s="230"/>
      <c r="K747" s="31"/>
      <c r="L747" s="39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>
      <c r="A748" s="224"/>
      <c r="B748" s="229"/>
      <c r="C748" s="225"/>
      <c r="D748" s="226"/>
      <c r="E748" s="227"/>
      <c r="F748" s="228"/>
      <c r="G748" s="33"/>
      <c r="H748" s="143"/>
      <c r="I748" s="112"/>
      <c r="J748" s="230"/>
      <c r="K748" s="31"/>
      <c r="L748" s="39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>
      <c r="A749" s="224"/>
      <c r="B749" s="229"/>
      <c r="C749" s="225"/>
      <c r="D749" s="226"/>
      <c r="E749" s="227"/>
      <c r="F749" s="228"/>
      <c r="G749" s="33"/>
      <c r="H749" s="143"/>
      <c r="I749" s="112"/>
      <c r="J749" s="230"/>
      <c r="K749" s="31"/>
      <c r="L749" s="39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>
      <c r="A750" s="224"/>
      <c r="B750" s="229"/>
      <c r="C750" s="225"/>
      <c r="D750" s="226"/>
      <c r="E750" s="227"/>
      <c r="F750" s="228"/>
      <c r="G750" s="33"/>
      <c r="H750" s="143"/>
      <c r="I750" s="112"/>
      <c r="J750" s="230"/>
      <c r="K750" s="31"/>
      <c r="L750" s="39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>
      <c r="A751" s="224"/>
      <c r="B751" s="229"/>
      <c r="C751" s="225"/>
      <c r="D751" s="226"/>
      <c r="E751" s="227"/>
      <c r="F751" s="228"/>
      <c r="G751" s="33"/>
      <c r="H751" s="143"/>
      <c r="I751" s="112"/>
      <c r="J751" s="230"/>
      <c r="K751" s="31"/>
      <c r="L751" s="39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>
      <c r="A752" s="224"/>
      <c r="B752" s="229"/>
      <c r="C752" s="225"/>
      <c r="D752" s="226"/>
      <c r="E752" s="227"/>
      <c r="F752" s="228"/>
      <c r="G752" s="33"/>
      <c r="H752" s="143"/>
      <c r="I752" s="112"/>
      <c r="J752" s="230"/>
      <c r="K752" s="31"/>
      <c r="L752" s="39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>
      <c r="A753" s="224"/>
      <c r="B753" s="229"/>
      <c r="C753" s="225"/>
      <c r="D753" s="226"/>
      <c r="E753" s="227"/>
      <c r="F753" s="228"/>
      <c r="G753" s="33"/>
      <c r="H753" s="143"/>
      <c r="I753" s="112"/>
      <c r="J753" s="230"/>
      <c r="K753" s="31"/>
      <c r="L753" s="39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>
      <c r="A754" s="224"/>
      <c r="B754" s="229"/>
      <c r="C754" s="225"/>
      <c r="D754" s="226"/>
      <c r="E754" s="227"/>
      <c r="F754" s="228"/>
      <c r="G754" s="33"/>
      <c r="H754" s="143"/>
      <c r="I754" s="112"/>
      <c r="J754" s="230"/>
      <c r="K754" s="31"/>
      <c r="L754" s="39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>
      <c r="A755" s="224"/>
      <c r="B755" s="229"/>
      <c r="C755" s="225"/>
      <c r="D755" s="226"/>
      <c r="E755" s="227"/>
      <c r="F755" s="228"/>
      <c r="G755" s="33"/>
      <c r="H755" s="143"/>
      <c r="I755" s="112"/>
      <c r="J755" s="230"/>
      <c r="K755" s="31"/>
      <c r="L755" s="39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>
      <c r="A756" s="224"/>
      <c r="B756" s="229"/>
      <c r="C756" s="225"/>
      <c r="D756" s="226"/>
      <c r="E756" s="227"/>
      <c r="F756" s="228"/>
      <c r="G756" s="33"/>
      <c r="H756" s="143"/>
      <c r="I756" s="112"/>
      <c r="J756" s="230"/>
      <c r="K756" s="31"/>
      <c r="L756" s="39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>
      <c r="A757" s="224"/>
      <c r="B757" s="229"/>
      <c r="C757" s="225"/>
      <c r="D757" s="226"/>
      <c r="E757" s="227"/>
      <c r="F757" s="228"/>
      <c r="G757" s="33"/>
      <c r="H757" s="143"/>
      <c r="I757" s="112"/>
      <c r="J757" s="230"/>
      <c r="K757" s="31"/>
      <c r="L757" s="39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>
      <c r="A758" s="224"/>
      <c r="B758" s="229"/>
      <c r="C758" s="225"/>
      <c r="D758" s="226"/>
      <c r="E758" s="227"/>
      <c r="F758" s="228"/>
      <c r="G758" s="33"/>
      <c r="H758" s="143"/>
      <c r="I758" s="112"/>
      <c r="J758" s="230"/>
      <c r="K758" s="31"/>
      <c r="L758" s="39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>
      <c r="A759" s="224"/>
      <c r="B759" s="229"/>
      <c r="C759" s="225"/>
      <c r="D759" s="226"/>
      <c r="E759" s="227"/>
      <c r="F759" s="228"/>
      <c r="G759" s="33"/>
      <c r="H759" s="143"/>
      <c r="I759" s="112"/>
      <c r="J759" s="230"/>
      <c r="K759" s="31"/>
      <c r="L759" s="39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>
      <c r="A760" s="224"/>
      <c r="B760" s="229"/>
      <c r="C760" s="225"/>
      <c r="D760" s="226"/>
      <c r="E760" s="227"/>
      <c r="F760" s="228"/>
      <c r="G760" s="33"/>
      <c r="H760" s="143"/>
      <c r="I760" s="112"/>
      <c r="J760" s="230"/>
      <c r="K760" s="31"/>
      <c r="L760" s="39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>
      <c r="A761" s="224"/>
      <c r="B761" s="229"/>
      <c r="C761" s="225"/>
      <c r="D761" s="226"/>
      <c r="E761" s="227"/>
      <c r="F761" s="228"/>
      <c r="G761" s="33"/>
      <c r="H761" s="143"/>
      <c r="I761" s="112"/>
      <c r="J761" s="230"/>
      <c r="K761" s="31"/>
      <c r="L761" s="39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>
      <c r="A762" s="224"/>
      <c r="B762" s="229"/>
      <c r="C762" s="225"/>
      <c r="D762" s="226"/>
      <c r="E762" s="227"/>
      <c r="F762" s="228"/>
      <c r="G762" s="33"/>
      <c r="H762" s="143"/>
      <c r="I762" s="112"/>
      <c r="J762" s="230"/>
      <c r="K762" s="31"/>
      <c r="L762" s="39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>
      <c r="A763" s="224"/>
      <c r="B763" s="229"/>
      <c r="C763" s="225"/>
      <c r="D763" s="226"/>
      <c r="E763" s="227"/>
      <c r="F763" s="228"/>
      <c r="G763" s="33"/>
      <c r="H763" s="143"/>
      <c r="I763" s="112"/>
      <c r="J763" s="230"/>
      <c r="K763" s="31"/>
      <c r="L763" s="39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>
      <c r="A764" s="224"/>
      <c r="B764" s="229"/>
      <c r="C764" s="225"/>
      <c r="D764" s="226"/>
      <c r="E764" s="227"/>
      <c r="F764" s="228"/>
      <c r="G764" s="33"/>
      <c r="H764" s="143"/>
      <c r="I764" s="112"/>
      <c r="J764" s="230"/>
      <c r="K764" s="31"/>
      <c r="L764" s="39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>
      <c r="A765" s="224"/>
      <c r="B765" s="229"/>
      <c r="C765" s="225"/>
      <c r="D765" s="226"/>
      <c r="E765" s="227"/>
      <c r="F765" s="228"/>
      <c r="G765" s="33"/>
      <c r="H765" s="143"/>
      <c r="I765" s="112"/>
      <c r="J765" s="230"/>
      <c r="K765" s="31"/>
      <c r="L765" s="39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>
      <c r="A766" s="224"/>
      <c r="B766" s="229"/>
      <c r="C766" s="225"/>
      <c r="D766" s="226"/>
      <c r="E766" s="227"/>
      <c r="F766" s="228"/>
      <c r="G766" s="33"/>
      <c r="H766" s="143"/>
      <c r="I766" s="112"/>
      <c r="J766" s="230"/>
      <c r="K766" s="31"/>
      <c r="L766" s="39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>
      <c r="A767" s="224"/>
      <c r="B767" s="229"/>
      <c r="C767" s="225"/>
      <c r="D767" s="226"/>
      <c r="E767" s="227"/>
      <c r="F767" s="228"/>
      <c r="G767" s="33"/>
      <c r="H767" s="143"/>
      <c r="I767" s="112"/>
      <c r="J767" s="230"/>
      <c r="K767" s="31"/>
      <c r="L767" s="39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>
      <c r="A768" s="224"/>
      <c r="B768" s="229"/>
      <c r="C768" s="225"/>
      <c r="D768" s="226"/>
      <c r="E768" s="227"/>
      <c r="F768" s="228"/>
      <c r="G768" s="33"/>
      <c r="H768" s="143"/>
      <c r="I768" s="112"/>
      <c r="J768" s="230"/>
      <c r="K768" s="31"/>
      <c r="L768" s="39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>
      <c r="A769" s="224"/>
      <c r="B769" s="229"/>
      <c r="C769" s="225"/>
      <c r="D769" s="226"/>
      <c r="E769" s="227"/>
      <c r="F769" s="228"/>
      <c r="G769" s="33"/>
      <c r="H769" s="143"/>
      <c r="I769" s="112"/>
      <c r="J769" s="230"/>
      <c r="K769" s="31"/>
      <c r="L769" s="39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>
      <c r="A770" s="224"/>
      <c r="B770" s="229"/>
      <c r="C770" s="225"/>
      <c r="D770" s="226"/>
      <c r="E770" s="227"/>
      <c r="F770" s="228"/>
      <c r="G770" s="33"/>
      <c r="H770" s="143"/>
      <c r="I770" s="112"/>
      <c r="J770" s="230"/>
      <c r="K770" s="31"/>
      <c r="L770" s="39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>
      <c r="A771" s="224"/>
      <c r="B771" s="229"/>
      <c r="C771" s="225"/>
      <c r="D771" s="226"/>
      <c r="E771" s="227"/>
      <c r="F771" s="228"/>
      <c r="G771" s="33"/>
      <c r="H771" s="143"/>
      <c r="I771" s="112"/>
      <c r="J771" s="230"/>
      <c r="K771" s="31"/>
      <c r="L771" s="39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>
      <c r="A772" s="224"/>
      <c r="B772" s="229"/>
      <c r="C772" s="225"/>
      <c r="D772" s="226"/>
      <c r="E772" s="227"/>
      <c r="F772" s="228"/>
      <c r="G772" s="33"/>
      <c r="H772" s="143"/>
      <c r="I772" s="112"/>
      <c r="J772" s="230"/>
      <c r="K772" s="31"/>
      <c r="L772" s="39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>
      <c r="A773" s="224"/>
      <c r="B773" s="229"/>
      <c r="C773" s="225"/>
      <c r="D773" s="226"/>
      <c r="E773" s="227"/>
      <c r="F773" s="228"/>
      <c r="G773" s="33"/>
      <c r="H773" s="143"/>
      <c r="I773" s="112"/>
      <c r="J773" s="230"/>
      <c r="K773" s="31"/>
      <c r="L773" s="39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>
      <c r="A774" s="224"/>
      <c r="B774" s="229"/>
      <c r="C774" s="225"/>
      <c r="D774" s="226"/>
      <c r="E774" s="227"/>
      <c r="F774" s="228"/>
      <c r="G774" s="33"/>
      <c r="H774" s="143"/>
      <c r="I774" s="112"/>
      <c r="J774" s="230"/>
      <c r="K774" s="31"/>
      <c r="L774" s="39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>
      <c r="A775" s="224"/>
      <c r="B775" s="229"/>
      <c r="C775" s="225"/>
      <c r="D775" s="226"/>
      <c r="E775" s="227"/>
      <c r="F775" s="228"/>
      <c r="G775" s="33"/>
      <c r="H775" s="143"/>
      <c r="I775" s="112"/>
      <c r="J775" s="230"/>
      <c r="K775" s="31"/>
      <c r="L775" s="39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>
      <c r="A776" s="224"/>
      <c r="B776" s="229"/>
      <c r="C776" s="225"/>
      <c r="D776" s="226"/>
      <c r="E776" s="227"/>
      <c r="F776" s="228"/>
      <c r="G776" s="33"/>
      <c r="H776" s="143"/>
      <c r="I776" s="112"/>
      <c r="J776" s="230"/>
      <c r="K776" s="31"/>
      <c r="L776" s="39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>
      <c r="A777" s="224"/>
      <c r="B777" s="229"/>
      <c r="C777" s="225"/>
      <c r="D777" s="226"/>
      <c r="E777" s="227"/>
      <c r="F777" s="228"/>
      <c r="G777" s="33"/>
      <c r="H777" s="143"/>
      <c r="I777" s="112"/>
      <c r="J777" s="230"/>
      <c r="K777" s="31"/>
      <c r="L777" s="39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>
      <c r="A778" s="224"/>
      <c r="B778" s="229"/>
      <c r="C778" s="225"/>
      <c r="D778" s="226"/>
      <c r="E778" s="227"/>
      <c r="F778" s="228"/>
      <c r="G778" s="33"/>
      <c r="H778" s="143"/>
      <c r="I778" s="112"/>
      <c r="J778" s="230"/>
      <c r="K778" s="31"/>
      <c r="L778" s="39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>
      <c r="A779" s="224"/>
      <c r="B779" s="229"/>
      <c r="C779" s="225"/>
      <c r="D779" s="226"/>
      <c r="E779" s="227"/>
      <c r="F779" s="228"/>
      <c r="G779" s="33"/>
      <c r="H779" s="143"/>
      <c r="I779" s="112"/>
      <c r="J779" s="230"/>
      <c r="K779" s="31"/>
      <c r="L779" s="39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>
      <c r="A780" s="224"/>
      <c r="B780" s="229"/>
      <c r="C780" s="225"/>
      <c r="D780" s="226"/>
      <c r="E780" s="227"/>
      <c r="F780" s="228"/>
      <c r="G780" s="33"/>
      <c r="H780" s="143"/>
      <c r="I780" s="112"/>
      <c r="J780" s="230"/>
      <c r="K780" s="31"/>
      <c r="L780" s="39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>
      <c r="A781" s="224"/>
      <c r="B781" s="229"/>
      <c r="C781" s="225"/>
      <c r="D781" s="226"/>
      <c r="E781" s="227"/>
      <c r="F781" s="228"/>
      <c r="G781" s="33"/>
      <c r="H781" s="143"/>
      <c r="I781" s="112"/>
      <c r="J781" s="230"/>
      <c r="K781" s="31"/>
      <c r="L781" s="39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>
      <c r="A782" s="224"/>
      <c r="B782" s="229"/>
      <c r="C782" s="225"/>
      <c r="D782" s="226"/>
      <c r="E782" s="227"/>
      <c r="F782" s="228"/>
      <c r="G782" s="33"/>
      <c r="H782" s="143"/>
      <c r="I782" s="112"/>
      <c r="J782" s="230"/>
      <c r="K782" s="31"/>
      <c r="L782" s="39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>
      <c r="A783" s="224"/>
      <c r="B783" s="229"/>
      <c r="C783" s="225"/>
      <c r="D783" s="226"/>
      <c r="E783" s="227"/>
      <c r="F783" s="228"/>
      <c r="G783" s="33"/>
      <c r="H783" s="143"/>
      <c r="I783" s="112"/>
      <c r="J783" s="230"/>
      <c r="K783" s="31"/>
      <c r="L783" s="39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>
      <c r="A784" s="224"/>
      <c r="B784" s="229"/>
      <c r="C784" s="225"/>
      <c r="D784" s="226"/>
      <c r="E784" s="227"/>
      <c r="F784" s="228"/>
      <c r="G784" s="33"/>
      <c r="H784" s="143"/>
      <c r="I784" s="112"/>
      <c r="J784" s="230"/>
      <c r="K784" s="31"/>
      <c r="L784" s="39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>
      <c r="A785" s="224"/>
      <c r="B785" s="229"/>
      <c r="C785" s="225"/>
      <c r="D785" s="226"/>
      <c r="E785" s="227"/>
      <c r="F785" s="228"/>
      <c r="G785" s="33"/>
      <c r="H785" s="143"/>
      <c r="I785" s="112"/>
      <c r="J785" s="230"/>
      <c r="K785" s="31"/>
      <c r="L785" s="39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>
      <c r="A786" s="224"/>
      <c r="B786" s="229"/>
      <c r="C786" s="225"/>
      <c r="D786" s="226"/>
      <c r="E786" s="227"/>
      <c r="F786" s="228"/>
      <c r="G786" s="33"/>
      <c r="H786" s="143"/>
      <c r="I786" s="112"/>
      <c r="J786" s="230"/>
      <c r="K786" s="31"/>
      <c r="L786" s="39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>
      <c r="A787" s="224"/>
      <c r="B787" s="229"/>
      <c r="C787" s="225"/>
      <c r="D787" s="226"/>
      <c r="E787" s="227"/>
      <c r="F787" s="228"/>
      <c r="G787" s="33"/>
      <c r="H787" s="143"/>
      <c r="I787" s="112"/>
      <c r="J787" s="230"/>
      <c r="K787" s="31"/>
      <c r="L787" s="39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>
      <c r="A788" s="224"/>
      <c r="B788" s="229"/>
      <c r="C788" s="225"/>
      <c r="D788" s="226"/>
      <c r="E788" s="227"/>
      <c r="F788" s="228"/>
      <c r="G788" s="33"/>
      <c r="H788" s="143"/>
      <c r="I788" s="112"/>
      <c r="J788" s="230"/>
      <c r="K788" s="31"/>
      <c r="L788" s="39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>
      <c r="A789" s="224"/>
      <c r="B789" s="229"/>
      <c r="C789" s="225"/>
      <c r="D789" s="226"/>
      <c r="E789" s="227"/>
      <c r="F789" s="228"/>
      <c r="G789" s="33"/>
      <c r="H789" s="143"/>
      <c r="I789" s="112"/>
      <c r="J789" s="230"/>
      <c r="K789" s="31"/>
      <c r="L789" s="39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>
      <c r="A790" s="224"/>
      <c r="B790" s="229"/>
      <c r="C790" s="225"/>
      <c r="D790" s="226"/>
      <c r="E790" s="227"/>
      <c r="F790" s="228"/>
      <c r="G790" s="33"/>
      <c r="H790" s="143"/>
      <c r="I790" s="112"/>
      <c r="J790" s="230"/>
      <c r="K790" s="31"/>
      <c r="L790" s="39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>
      <c r="A791" s="224"/>
      <c r="B791" s="229"/>
      <c r="C791" s="225"/>
      <c r="D791" s="226"/>
      <c r="E791" s="227"/>
      <c r="F791" s="228"/>
      <c r="G791" s="33"/>
      <c r="H791" s="143"/>
      <c r="I791" s="112"/>
      <c r="J791" s="230"/>
      <c r="K791" s="31"/>
      <c r="L791" s="39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>
      <c r="A792" s="224"/>
      <c r="B792" s="229"/>
      <c r="C792" s="225"/>
      <c r="D792" s="226"/>
      <c r="E792" s="227"/>
      <c r="F792" s="228"/>
      <c r="G792" s="33"/>
      <c r="H792" s="143"/>
      <c r="I792" s="112"/>
      <c r="J792" s="230"/>
      <c r="K792" s="31"/>
      <c r="L792" s="39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>
      <c r="A793" s="224"/>
      <c r="B793" s="229"/>
      <c r="C793" s="225"/>
      <c r="D793" s="226"/>
      <c r="E793" s="227"/>
      <c r="F793" s="228"/>
      <c r="G793" s="33"/>
      <c r="H793" s="143"/>
      <c r="I793" s="112"/>
      <c r="J793" s="230"/>
      <c r="K793" s="31"/>
      <c r="L793" s="39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>
      <c r="A794" s="224"/>
      <c r="B794" s="229"/>
      <c r="C794" s="225"/>
      <c r="D794" s="226"/>
      <c r="E794" s="227"/>
      <c r="F794" s="228"/>
      <c r="G794" s="33"/>
      <c r="H794" s="143"/>
      <c r="I794" s="112"/>
      <c r="J794" s="230"/>
      <c r="K794" s="31"/>
      <c r="L794" s="39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>
      <c r="A795" s="224"/>
      <c r="B795" s="229"/>
      <c r="C795" s="225"/>
      <c r="D795" s="226"/>
      <c r="E795" s="227"/>
      <c r="F795" s="228"/>
      <c r="G795" s="33"/>
      <c r="H795" s="143"/>
      <c r="I795" s="112"/>
      <c r="J795" s="230"/>
      <c r="K795" s="31"/>
      <c r="L795" s="39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>
      <c r="A796" s="224"/>
      <c r="B796" s="229"/>
      <c r="C796" s="225"/>
      <c r="D796" s="226"/>
      <c r="E796" s="227"/>
      <c r="F796" s="228"/>
      <c r="G796" s="33"/>
      <c r="H796" s="143"/>
      <c r="I796" s="112"/>
      <c r="J796" s="230"/>
      <c r="K796" s="31"/>
      <c r="L796" s="39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>
      <c r="A797" s="224"/>
      <c r="B797" s="229"/>
      <c r="C797" s="225"/>
      <c r="D797" s="226"/>
      <c r="E797" s="227"/>
      <c r="F797" s="228"/>
      <c r="G797" s="33"/>
      <c r="H797" s="143"/>
      <c r="I797" s="112"/>
      <c r="J797" s="230"/>
      <c r="K797" s="31"/>
      <c r="L797" s="39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>
      <c r="A798" s="224"/>
      <c r="B798" s="229"/>
      <c r="C798" s="225"/>
      <c r="D798" s="226"/>
      <c r="E798" s="227"/>
      <c r="F798" s="228"/>
      <c r="G798" s="33"/>
      <c r="H798" s="143"/>
      <c r="I798" s="112"/>
      <c r="J798" s="230"/>
      <c r="K798" s="31"/>
      <c r="L798" s="39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>
      <c r="A799" s="224"/>
      <c r="B799" s="229"/>
      <c r="C799" s="225"/>
      <c r="D799" s="226"/>
      <c r="E799" s="227"/>
      <c r="F799" s="228"/>
      <c r="G799" s="33"/>
      <c r="H799" s="143"/>
      <c r="I799" s="112"/>
      <c r="J799" s="230"/>
      <c r="K799" s="31"/>
      <c r="L799" s="39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>
      <c r="A800" s="224"/>
      <c r="B800" s="229"/>
      <c r="C800" s="225"/>
      <c r="D800" s="226"/>
      <c r="E800" s="227"/>
      <c r="F800" s="228"/>
      <c r="G800" s="33"/>
      <c r="H800" s="143"/>
      <c r="I800" s="112"/>
      <c r="J800" s="230"/>
      <c r="K800" s="31"/>
      <c r="L800" s="39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>
      <c r="A801" s="224"/>
      <c r="B801" s="229"/>
      <c r="C801" s="225"/>
      <c r="D801" s="226"/>
      <c r="E801" s="227"/>
      <c r="F801" s="228"/>
      <c r="G801" s="33"/>
      <c r="H801" s="143"/>
      <c r="I801" s="112"/>
      <c r="J801" s="230"/>
      <c r="K801" s="31"/>
      <c r="L801" s="39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>
      <c r="A802" s="224"/>
      <c r="B802" s="229"/>
      <c r="C802" s="225"/>
      <c r="D802" s="226"/>
      <c r="E802" s="227"/>
      <c r="F802" s="228"/>
      <c r="G802" s="33"/>
      <c r="H802" s="143"/>
      <c r="I802" s="112"/>
      <c r="J802" s="230"/>
      <c r="K802" s="31"/>
      <c r="L802" s="39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>
      <c r="A803" s="224"/>
      <c r="B803" s="229"/>
      <c r="C803" s="225"/>
      <c r="D803" s="226"/>
      <c r="E803" s="227"/>
      <c r="F803" s="228"/>
      <c r="G803" s="33"/>
      <c r="H803" s="143"/>
      <c r="I803" s="112"/>
      <c r="J803" s="230"/>
      <c r="K803" s="31"/>
      <c r="L803" s="39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>
      <c r="A804" s="224"/>
      <c r="B804" s="229"/>
      <c r="C804" s="225"/>
      <c r="D804" s="226"/>
      <c r="E804" s="227"/>
      <c r="F804" s="228"/>
      <c r="G804" s="33"/>
      <c r="H804" s="143"/>
      <c r="I804" s="112"/>
      <c r="J804" s="230"/>
      <c r="K804" s="31"/>
      <c r="L804" s="39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>
      <c r="A805" s="224"/>
      <c r="B805" s="229"/>
      <c r="C805" s="225"/>
      <c r="D805" s="226"/>
      <c r="E805" s="227"/>
      <c r="F805" s="228"/>
      <c r="G805" s="33"/>
      <c r="H805" s="143"/>
      <c r="I805" s="112"/>
      <c r="J805" s="230"/>
      <c r="K805" s="31"/>
      <c r="L805" s="39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>
      <c r="A806" s="224"/>
      <c r="B806" s="229"/>
      <c r="C806" s="225"/>
      <c r="D806" s="226"/>
      <c r="E806" s="227"/>
      <c r="F806" s="228"/>
      <c r="G806" s="33"/>
      <c r="H806" s="143"/>
      <c r="I806" s="112"/>
      <c r="J806" s="230"/>
      <c r="K806" s="31"/>
      <c r="L806" s="39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>
      <c r="A807" s="224"/>
      <c r="B807" s="229"/>
      <c r="C807" s="225"/>
      <c r="D807" s="226"/>
      <c r="E807" s="227"/>
      <c r="F807" s="228"/>
      <c r="G807" s="33"/>
      <c r="H807" s="143"/>
      <c r="I807" s="112"/>
      <c r="J807" s="230"/>
      <c r="K807" s="31"/>
      <c r="L807" s="39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>
      <c r="A808" s="224"/>
      <c r="B808" s="229"/>
      <c r="C808" s="225"/>
      <c r="D808" s="226"/>
      <c r="E808" s="227"/>
      <c r="F808" s="228"/>
      <c r="G808" s="33"/>
      <c r="H808" s="143"/>
      <c r="I808" s="112"/>
      <c r="J808" s="230"/>
      <c r="K808" s="31"/>
      <c r="L808" s="39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>
      <c r="A809" s="224"/>
      <c r="B809" s="229"/>
      <c r="C809" s="225"/>
      <c r="D809" s="226"/>
      <c r="E809" s="227"/>
      <c r="F809" s="228"/>
      <c r="G809" s="33"/>
      <c r="H809" s="143"/>
      <c r="I809" s="112"/>
      <c r="J809" s="230"/>
      <c r="K809" s="31"/>
      <c r="L809" s="39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>
      <c r="A810" s="224"/>
      <c r="B810" s="229"/>
      <c r="C810" s="225"/>
      <c r="D810" s="226"/>
      <c r="E810" s="227"/>
      <c r="F810" s="228"/>
      <c r="G810" s="33"/>
      <c r="H810" s="143"/>
      <c r="I810" s="112"/>
      <c r="J810" s="230"/>
      <c r="K810" s="31"/>
      <c r="L810" s="39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>
      <c r="A811" s="224"/>
      <c r="B811" s="229"/>
      <c r="C811" s="225"/>
      <c r="D811" s="226"/>
      <c r="E811" s="227"/>
      <c r="F811" s="228"/>
      <c r="G811" s="33"/>
      <c r="H811" s="143"/>
      <c r="I811" s="112"/>
      <c r="J811" s="230"/>
      <c r="K811" s="31"/>
      <c r="L811" s="39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>
      <c r="A812" s="224"/>
      <c r="B812" s="229"/>
      <c r="C812" s="225"/>
      <c r="D812" s="226"/>
      <c r="E812" s="227"/>
      <c r="F812" s="228"/>
      <c r="G812" s="33"/>
      <c r="H812" s="143"/>
      <c r="I812" s="112"/>
      <c r="J812" s="230"/>
      <c r="K812" s="31"/>
      <c r="L812" s="39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>
      <c r="A813" s="224"/>
      <c r="B813" s="229"/>
      <c r="C813" s="225"/>
      <c r="D813" s="226"/>
      <c r="E813" s="227"/>
      <c r="F813" s="228"/>
      <c r="G813" s="33"/>
      <c r="H813" s="143"/>
      <c r="I813" s="112"/>
      <c r="J813" s="230"/>
      <c r="K813" s="31"/>
      <c r="L813" s="39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>
      <c r="A814" s="224"/>
      <c r="B814" s="229"/>
      <c r="C814" s="225"/>
      <c r="D814" s="226"/>
      <c r="E814" s="227"/>
      <c r="F814" s="228"/>
      <c r="G814" s="33"/>
      <c r="H814" s="143"/>
      <c r="I814" s="112"/>
      <c r="J814" s="230"/>
      <c r="K814" s="31"/>
      <c r="L814" s="39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>
      <c r="A815" s="224"/>
      <c r="B815" s="229"/>
      <c r="C815" s="225"/>
      <c r="D815" s="226"/>
      <c r="E815" s="227"/>
      <c r="F815" s="228"/>
      <c r="G815" s="33"/>
      <c r="H815" s="143"/>
      <c r="I815" s="112"/>
      <c r="J815" s="230"/>
      <c r="K815" s="31"/>
      <c r="L815" s="39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>
      <c r="A816" s="224"/>
      <c r="B816" s="229"/>
      <c r="C816" s="225"/>
      <c r="D816" s="226"/>
      <c r="E816" s="227"/>
      <c r="F816" s="228"/>
      <c r="G816" s="33"/>
      <c r="H816" s="143"/>
      <c r="I816" s="112"/>
      <c r="J816" s="230"/>
      <c r="K816" s="31"/>
      <c r="L816" s="39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>
      <c r="A817" s="224"/>
      <c r="B817" s="229"/>
      <c r="C817" s="225"/>
      <c r="D817" s="226"/>
      <c r="E817" s="227"/>
      <c r="F817" s="228"/>
      <c r="G817" s="33"/>
      <c r="H817" s="143"/>
      <c r="I817" s="112"/>
      <c r="J817" s="230"/>
      <c r="K817" s="31"/>
      <c r="L817" s="39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>
      <c r="A818" s="224"/>
      <c r="B818" s="229"/>
      <c r="C818" s="225"/>
      <c r="D818" s="226"/>
      <c r="E818" s="227"/>
      <c r="F818" s="228"/>
      <c r="G818" s="33"/>
      <c r="H818" s="143"/>
      <c r="I818" s="112"/>
      <c r="J818" s="230"/>
      <c r="K818" s="31"/>
      <c r="L818" s="39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>
      <c r="A819" s="224"/>
      <c r="B819" s="229"/>
      <c r="C819" s="225"/>
      <c r="D819" s="226"/>
      <c r="E819" s="227"/>
      <c r="F819" s="228"/>
      <c r="G819" s="33"/>
      <c r="H819" s="143"/>
      <c r="I819" s="112"/>
      <c r="J819" s="230"/>
      <c r="K819" s="31"/>
      <c r="L819" s="39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>
      <c r="A820" s="224"/>
      <c r="B820" s="229"/>
      <c r="C820" s="225"/>
      <c r="D820" s="226"/>
      <c r="E820" s="227"/>
      <c r="F820" s="228"/>
      <c r="G820" s="33"/>
      <c r="H820" s="143"/>
      <c r="I820" s="112"/>
      <c r="J820" s="230"/>
      <c r="K820" s="31"/>
      <c r="L820" s="39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>
      <c r="A821" s="224"/>
      <c r="B821" s="229"/>
      <c r="C821" s="225"/>
      <c r="D821" s="226"/>
      <c r="E821" s="227"/>
      <c r="F821" s="228"/>
      <c r="G821" s="33"/>
      <c r="H821" s="143"/>
      <c r="I821" s="112"/>
      <c r="J821" s="230"/>
      <c r="K821" s="31"/>
      <c r="L821" s="39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>
      <c r="A822" s="224"/>
      <c r="B822" s="229"/>
      <c r="C822" s="225"/>
      <c r="D822" s="226"/>
      <c r="E822" s="227"/>
      <c r="F822" s="228"/>
      <c r="G822" s="33"/>
      <c r="H822" s="143"/>
      <c r="I822" s="112"/>
      <c r="J822" s="230"/>
      <c r="K822" s="31"/>
      <c r="L822" s="39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>
      <c r="A823" s="224"/>
      <c r="B823" s="229"/>
      <c r="C823" s="225"/>
      <c r="D823" s="226"/>
      <c r="E823" s="227"/>
      <c r="F823" s="228"/>
      <c r="G823" s="33"/>
      <c r="H823" s="143"/>
      <c r="I823" s="112"/>
      <c r="J823" s="230"/>
      <c r="K823" s="31"/>
      <c r="L823" s="39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>
      <c r="A824" s="224"/>
      <c r="B824" s="229"/>
      <c r="C824" s="225"/>
      <c r="D824" s="226"/>
      <c r="E824" s="227"/>
      <c r="F824" s="228"/>
      <c r="G824" s="33"/>
      <c r="H824" s="143"/>
      <c r="I824" s="112"/>
      <c r="J824" s="230"/>
      <c r="K824" s="31"/>
      <c r="L824" s="39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>
      <c r="A825" s="224"/>
      <c r="B825" s="229"/>
      <c r="C825" s="225"/>
      <c r="D825" s="226"/>
      <c r="E825" s="227"/>
      <c r="F825" s="228"/>
      <c r="G825" s="33"/>
      <c r="H825" s="143"/>
      <c r="I825" s="112"/>
      <c r="J825" s="230"/>
      <c r="K825" s="31"/>
      <c r="L825" s="39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>
      <c r="A826" s="224"/>
      <c r="B826" s="229"/>
      <c r="C826" s="225"/>
      <c r="D826" s="226"/>
      <c r="E826" s="227"/>
      <c r="F826" s="228"/>
      <c r="G826" s="33"/>
      <c r="H826" s="143"/>
      <c r="I826" s="112"/>
      <c r="J826" s="230"/>
      <c r="K826" s="31"/>
      <c r="L826" s="39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>
      <c r="A827" s="224"/>
      <c r="B827" s="229"/>
      <c r="C827" s="225"/>
      <c r="D827" s="226"/>
      <c r="E827" s="227"/>
      <c r="F827" s="228"/>
      <c r="G827" s="33"/>
      <c r="H827" s="143"/>
      <c r="I827" s="112"/>
      <c r="J827" s="230"/>
      <c r="K827" s="31"/>
      <c r="L827" s="39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>
      <c r="A828" s="224"/>
      <c r="B828" s="229"/>
      <c r="C828" s="225"/>
      <c r="D828" s="226"/>
      <c r="E828" s="227"/>
      <c r="F828" s="228"/>
      <c r="G828" s="33"/>
      <c r="H828" s="143"/>
      <c r="I828" s="112"/>
      <c r="J828" s="230"/>
      <c r="K828" s="31"/>
      <c r="L828" s="39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>
      <c r="A829" s="224"/>
      <c r="B829" s="229"/>
      <c r="C829" s="225"/>
      <c r="D829" s="226"/>
      <c r="E829" s="227"/>
      <c r="F829" s="228"/>
      <c r="G829" s="33"/>
      <c r="H829" s="143"/>
      <c r="I829" s="112"/>
      <c r="J829" s="230"/>
      <c r="K829" s="31"/>
      <c r="L829" s="39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>
      <c r="A830" s="224"/>
      <c r="B830" s="229"/>
      <c r="C830" s="225"/>
      <c r="D830" s="226"/>
      <c r="E830" s="227"/>
      <c r="F830" s="228"/>
      <c r="G830" s="33"/>
      <c r="H830" s="143"/>
      <c r="I830" s="112"/>
      <c r="J830" s="230"/>
      <c r="K830" s="31"/>
      <c r="L830" s="39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>
      <c r="A831" s="224"/>
      <c r="B831" s="229"/>
      <c r="C831" s="225"/>
      <c r="D831" s="226"/>
      <c r="E831" s="227"/>
      <c r="F831" s="228"/>
      <c r="G831" s="33"/>
      <c r="H831" s="143"/>
      <c r="I831" s="112"/>
      <c r="J831" s="230"/>
      <c r="K831" s="31"/>
      <c r="L831" s="39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>
      <c r="A832" s="224"/>
      <c r="B832" s="229"/>
      <c r="C832" s="225"/>
      <c r="D832" s="226"/>
      <c r="E832" s="227"/>
      <c r="F832" s="228"/>
      <c r="G832" s="33"/>
      <c r="H832" s="143"/>
      <c r="I832" s="112"/>
      <c r="J832" s="230"/>
      <c r="K832" s="31"/>
      <c r="L832" s="39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>
      <c r="A833" s="224"/>
      <c r="B833" s="229"/>
      <c r="C833" s="225"/>
      <c r="D833" s="226"/>
      <c r="E833" s="227"/>
      <c r="F833" s="228"/>
      <c r="G833" s="33"/>
      <c r="H833" s="143"/>
      <c r="I833" s="112"/>
      <c r="J833" s="230"/>
      <c r="K833" s="31"/>
      <c r="L833" s="39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>
      <c r="A834" s="224"/>
      <c r="B834" s="229"/>
      <c r="C834" s="225"/>
      <c r="D834" s="226"/>
      <c r="E834" s="227"/>
      <c r="F834" s="228"/>
      <c r="G834" s="33"/>
      <c r="H834" s="143"/>
      <c r="I834" s="112"/>
      <c r="J834" s="230"/>
      <c r="K834" s="31"/>
      <c r="L834" s="39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>
      <c r="A835" s="224"/>
      <c r="B835" s="229"/>
      <c r="C835" s="225"/>
      <c r="D835" s="226"/>
      <c r="E835" s="227"/>
      <c r="F835" s="228"/>
      <c r="G835" s="33"/>
      <c r="H835" s="143"/>
      <c r="I835" s="112"/>
      <c r="J835" s="230"/>
      <c r="K835" s="31"/>
      <c r="L835" s="39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>
      <c r="A836" s="224"/>
      <c r="B836" s="229"/>
      <c r="C836" s="225"/>
      <c r="D836" s="226"/>
      <c r="E836" s="227"/>
      <c r="F836" s="228"/>
      <c r="G836" s="33"/>
      <c r="H836" s="143"/>
      <c r="I836" s="112"/>
      <c r="J836" s="230"/>
      <c r="K836" s="31"/>
      <c r="L836" s="39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>
      <c r="A837" s="224"/>
      <c r="B837" s="229"/>
      <c r="C837" s="225"/>
      <c r="D837" s="226"/>
      <c r="E837" s="227"/>
      <c r="F837" s="228"/>
      <c r="G837" s="33"/>
      <c r="H837" s="143"/>
      <c r="I837" s="112"/>
      <c r="J837" s="230"/>
      <c r="K837" s="31"/>
      <c r="L837" s="39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>
      <c r="A838" s="224"/>
      <c r="B838" s="229"/>
      <c r="C838" s="225"/>
      <c r="D838" s="226"/>
      <c r="E838" s="227"/>
      <c r="F838" s="228"/>
      <c r="G838" s="33"/>
      <c r="H838" s="143"/>
      <c r="I838" s="112"/>
      <c r="J838" s="230"/>
      <c r="K838" s="31"/>
      <c r="L838" s="39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>
      <c r="A839" s="224"/>
      <c r="B839" s="229"/>
      <c r="C839" s="225"/>
      <c r="D839" s="226"/>
      <c r="E839" s="227"/>
      <c r="F839" s="228"/>
      <c r="G839" s="33"/>
      <c r="H839" s="143"/>
      <c r="I839" s="112"/>
      <c r="J839" s="230"/>
      <c r="K839" s="31"/>
      <c r="L839" s="39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>
      <c r="A840" s="224"/>
      <c r="B840" s="229"/>
      <c r="C840" s="225"/>
      <c r="D840" s="226"/>
      <c r="E840" s="227"/>
      <c r="F840" s="228"/>
      <c r="G840" s="33"/>
      <c r="H840" s="143"/>
      <c r="I840" s="112"/>
      <c r="J840" s="230"/>
      <c r="K840" s="31"/>
      <c r="L840" s="39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>
      <c r="A841" s="224"/>
      <c r="B841" s="229"/>
      <c r="C841" s="225"/>
      <c r="D841" s="226"/>
      <c r="E841" s="227"/>
      <c r="F841" s="228"/>
      <c r="G841" s="33"/>
      <c r="H841" s="143"/>
      <c r="I841" s="112"/>
      <c r="J841" s="230"/>
      <c r="K841" s="31"/>
      <c r="L841" s="39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>
      <c r="A842" s="224"/>
      <c r="B842" s="229"/>
      <c r="C842" s="225"/>
      <c r="D842" s="226"/>
      <c r="E842" s="227"/>
      <c r="F842" s="228"/>
      <c r="G842" s="33"/>
      <c r="H842" s="143"/>
      <c r="I842" s="112"/>
      <c r="J842" s="230"/>
      <c r="K842" s="31"/>
      <c r="L842" s="39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>
      <c r="A843" s="224"/>
      <c r="B843" s="229"/>
      <c r="C843" s="225"/>
      <c r="D843" s="226"/>
      <c r="E843" s="227"/>
      <c r="F843" s="228"/>
      <c r="G843" s="33"/>
      <c r="H843" s="143"/>
      <c r="I843" s="112"/>
      <c r="J843" s="230"/>
      <c r="K843" s="31"/>
      <c r="L843" s="39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>
      <c r="A844" s="224"/>
      <c r="B844" s="229"/>
      <c r="C844" s="225"/>
      <c r="D844" s="226"/>
      <c r="E844" s="227"/>
      <c r="F844" s="228"/>
      <c r="G844" s="33"/>
      <c r="H844" s="143"/>
      <c r="I844" s="112"/>
      <c r="J844" s="230"/>
      <c r="K844" s="31"/>
      <c r="L844" s="39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>
      <c r="A845" s="224"/>
      <c r="B845" s="229"/>
      <c r="C845" s="225"/>
      <c r="D845" s="226"/>
      <c r="E845" s="227"/>
      <c r="F845" s="228"/>
      <c r="G845" s="33"/>
      <c r="H845" s="143"/>
      <c r="I845" s="112"/>
      <c r="J845" s="230"/>
      <c r="K845" s="31"/>
      <c r="L845" s="39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>
      <c r="A846" s="224"/>
      <c r="B846" s="229"/>
      <c r="C846" s="225"/>
      <c r="D846" s="226"/>
      <c r="E846" s="227"/>
      <c r="F846" s="228"/>
      <c r="G846" s="33"/>
      <c r="H846" s="143"/>
      <c r="I846" s="112"/>
      <c r="J846" s="230"/>
      <c r="K846" s="31"/>
      <c r="L846" s="39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>
      <c r="A847" s="224"/>
      <c r="B847" s="229"/>
      <c r="C847" s="225"/>
      <c r="D847" s="226"/>
      <c r="E847" s="227"/>
      <c r="F847" s="228"/>
      <c r="G847" s="33"/>
      <c r="H847" s="143"/>
      <c r="I847" s="112"/>
      <c r="J847" s="230"/>
      <c r="K847" s="31"/>
      <c r="L847" s="39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>
      <c r="A848" s="224"/>
      <c r="B848" s="229"/>
      <c r="C848" s="225"/>
      <c r="D848" s="226"/>
      <c r="E848" s="227"/>
      <c r="F848" s="228"/>
      <c r="G848" s="33"/>
      <c r="H848" s="143"/>
      <c r="I848" s="112"/>
      <c r="J848" s="230"/>
      <c r="K848" s="31"/>
      <c r="L848" s="39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>
      <c r="A849" s="224"/>
      <c r="B849" s="229"/>
      <c r="C849" s="225"/>
      <c r="D849" s="226"/>
      <c r="E849" s="227"/>
      <c r="F849" s="228"/>
      <c r="G849" s="33"/>
      <c r="H849" s="143"/>
      <c r="I849" s="112"/>
      <c r="J849" s="230"/>
      <c r="K849" s="31"/>
      <c r="L849" s="39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>
      <c r="A850" s="224"/>
      <c r="B850" s="229"/>
      <c r="C850" s="225"/>
      <c r="D850" s="226"/>
      <c r="E850" s="227"/>
      <c r="F850" s="228"/>
      <c r="G850" s="33"/>
      <c r="H850" s="143"/>
      <c r="I850" s="112"/>
      <c r="J850" s="230"/>
      <c r="K850" s="31"/>
      <c r="L850" s="39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>
      <c r="B851" s="229"/>
      <c r="C851" s="225"/>
      <c r="D851" s="226"/>
      <c r="E851" s="227"/>
      <c r="F851" s="228"/>
      <c r="G851" s="33"/>
      <c r="H851" s="143"/>
      <c r="I851" s="112"/>
      <c r="J851" s="230"/>
      <c r="K851" s="31"/>
      <c r="L851" s="39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</sheetData>
  <mergeCells count="1">
    <mergeCell ref="N1:O1"/>
  </mergeCells>
  <conditionalFormatting sqref="M2:M64 M66:M314 M316:M842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conditionalFormatting sqref="J419:J436">
    <cfRule type="notContainsBlanks" dxfId="0" priority="2">
      <formula>LEN(TRIM(J419))&gt;0</formula>
    </cfRule>
  </conditionalFormatting>
  <printOptions gridLines="1" horizontalCentered="1"/>
  <pageMargins bottom="0.18897637795275593" footer="0.0" header="0.0" left="0.16190187764990918" right="0.18897637795275593" top="0.7735311932162329"/>
  <pageSetup paperSize="9" cellComments="atEnd" orientation="landscape" pageOrder="overThenDown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/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39">
        <v>14053.06</v>
      </c>
      <c r="C2" s="240"/>
      <c r="D2" s="241"/>
      <c r="E2" s="242"/>
      <c r="F2" s="243"/>
      <c r="G2" s="244" t="s">
        <v>895</v>
      </c>
      <c r="H2" s="245"/>
    </row>
    <row r="3">
      <c r="A3" s="246"/>
      <c r="B3" s="247"/>
      <c r="C3" s="248">
        <v>37857.45</v>
      </c>
      <c r="D3" s="249"/>
      <c r="F3" s="250"/>
      <c r="G3" s="2" t="s">
        <v>1079</v>
      </c>
      <c r="H3" s="251"/>
    </row>
    <row r="4">
      <c r="A4" s="246"/>
      <c r="B4" s="247">
        <v>31220.88</v>
      </c>
      <c r="C4" s="252"/>
      <c r="D4" s="253"/>
      <c r="F4" s="250"/>
      <c r="G4" s="2" t="s">
        <v>2599</v>
      </c>
      <c r="H4" s="251"/>
    </row>
    <row r="5">
      <c r="A5" s="246"/>
      <c r="B5" s="247">
        <v>21587.47</v>
      </c>
      <c r="C5" s="248"/>
      <c r="D5" s="249"/>
      <c r="F5" s="250"/>
      <c r="G5" s="2" t="s">
        <v>2600</v>
      </c>
      <c r="H5" s="251"/>
    </row>
    <row r="6">
      <c r="A6" s="246"/>
      <c r="B6" s="247"/>
      <c r="C6" s="248"/>
      <c r="D6" s="249"/>
      <c r="F6" s="250">
        <v>897.0</v>
      </c>
      <c r="G6" s="254" t="s">
        <v>63</v>
      </c>
      <c r="H6" s="251"/>
    </row>
    <row r="7">
      <c r="A7" s="246" t="s">
        <v>668</v>
      </c>
      <c r="B7" s="247"/>
      <c r="C7" s="248">
        <v>10554.27</v>
      </c>
      <c r="D7" s="249"/>
      <c r="F7" s="250"/>
      <c r="G7" s="254" t="s">
        <v>1680</v>
      </c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 t="s">
        <v>2601</v>
      </c>
      <c r="B15" s="239">
        <v>23400.0</v>
      </c>
      <c r="C15" s="263"/>
      <c r="D15" s="264"/>
      <c r="E15" s="242"/>
      <c r="F15" s="250"/>
      <c r="G15" s="2" t="s">
        <v>2602</v>
      </c>
      <c r="H15" s="245"/>
    </row>
    <row r="16">
      <c r="A16" s="265"/>
      <c r="B16" s="247"/>
      <c r="C16" s="248">
        <v>60328.0</v>
      </c>
      <c r="D16" s="249"/>
      <c r="F16" s="266"/>
      <c r="G16" s="2" t="s">
        <v>2603</v>
      </c>
      <c r="H16" s="251"/>
      <c r="I16" s="2" t="s">
        <v>2604</v>
      </c>
    </row>
    <row r="17">
      <c r="A17" s="265"/>
      <c r="B17" s="247"/>
      <c r="C17" s="248"/>
      <c r="D17" s="249"/>
      <c r="F17" s="250">
        <v>2392.0</v>
      </c>
      <c r="G17" s="2" t="s">
        <v>63</v>
      </c>
      <c r="H17" s="251"/>
    </row>
    <row r="18">
      <c r="A18" s="265"/>
      <c r="B18" s="247">
        <v>28652.0</v>
      </c>
      <c r="C18" s="252"/>
      <c r="D18" s="249"/>
      <c r="F18" s="250"/>
      <c r="G18" s="2" t="s">
        <v>2605</v>
      </c>
      <c r="H18" s="251"/>
    </row>
    <row r="19">
      <c r="A19" s="265"/>
      <c r="B19" s="247"/>
      <c r="C19" s="248"/>
      <c r="D19" s="249"/>
      <c r="F19" s="250"/>
      <c r="H19" s="251"/>
    </row>
    <row r="20">
      <c r="A20" s="265"/>
      <c r="B20" s="247"/>
      <c r="C20" s="252"/>
      <c r="D20" s="249"/>
      <c r="F20" s="250"/>
      <c r="H20" s="251"/>
    </row>
    <row r="21">
      <c r="A21" s="265"/>
      <c r="B21" s="247"/>
      <c r="C21" s="252"/>
      <c r="D21" s="253"/>
      <c r="F21" s="250"/>
      <c r="G21" s="254"/>
      <c r="H21" s="251"/>
    </row>
    <row r="22">
      <c r="A22" s="265"/>
      <c r="B22" s="247"/>
      <c r="C22" s="252"/>
      <c r="D22" s="249"/>
      <c r="F22" s="250"/>
      <c r="G22" s="254"/>
      <c r="H22" s="267"/>
    </row>
    <row r="23">
      <c r="A23" s="265"/>
      <c r="B23" s="268"/>
      <c r="C23" s="252"/>
      <c r="D23" s="253"/>
      <c r="F23" s="250"/>
      <c r="G23" s="254"/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 t="s">
        <v>675</v>
      </c>
      <c r="B28" s="239"/>
      <c r="C28" s="240"/>
      <c r="D28" s="241"/>
      <c r="E28" s="242"/>
      <c r="F28" s="243"/>
      <c r="G28" s="276"/>
      <c r="H28" s="245"/>
    </row>
    <row r="29">
      <c r="A29" s="265"/>
      <c r="B29" s="247"/>
      <c r="C29" s="248"/>
      <c r="D29" s="249"/>
      <c r="F29" s="250">
        <f>315.82+598</f>
        <v>913.82</v>
      </c>
      <c r="G29" s="2" t="s">
        <v>63</v>
      </c>
      <c r="H29" s="267"/>
    </row>
    <row r="30">
      <c r="A30" s="265"/>
      <c r="B30" s="247"/>
      <c r="C30" s="248"/>
      <c r="D30" s="249"/>
      <c r="F30" s="250">
        <v>50400.0</v>
      </c>
      <c r="G30" s="254" t="s">
        <v>2606</v>
      </c>
      <c r="H30" s="251"/>
      <c r="I30" s="2" t="s">
        <v>2607</v>
      </c>
    </row>
    <row r="31">
      <c r="A31" s="265"/>
      <c r="B31" s="247"/>
      <c r="C31" s="252"/>
      <c r="D31" s="249"/>
      <c r="F31" s="250"/>
      <c r="G31" s="254"/>
      <c r="H31" s="251"/>
    </row>
    <row r="32">
      <c r="A32" s="265"/>
      <c r="B32" s="247"/>
      <c r="C32" s="252"/>
      <c r="D32" s="249"/>
      <c r="F32" s="250"/>
      <c r="G32" s="254"/>
      <c r="H32" s="251"/>
    </row>
    <row r="33">
      <c r="A33" s="265"/>
      <c r="B33" s="247"/>
      <c r="C33" s="252"/>
      <c r="D33" s="249"/>
      <c r="F33" s="250"/>
      <c r="G33" s="254"/>
      <c r="H33" s="267"/>
    </row>
    <row r="34">
      <c r="A34" s="265"/>
      <c r="B34" s="247"/>
      <c r="C34" s="248"/>
      <c r="D34" s="249"/>
      <c r="F34" s="250"/>
      <c r="G34" s="254"/>
      <c r="H34" s="251"/>
    </row>
    <row r="35">
      <c r="A35" s="265"/>
      <c r="B35" s="247"/>
      <c r="C35" s="252"/>
      <c r="D35" s="253"/>
      <c r="F35" s="250"/>
      <c r="G35" s="254"/>
      <c r="H35" s="251"/>
    </row>
    <row r="36">
      <c r="A36" s="265"/>
      <c r="B36" s="247"/>
      <c r="C36" s="248"/>
      <c r="D36" s="253"/>
      <c r="F36" s="250"/>
      <c r="G36" s="254"/>
      <c r="H36" s="251"/>
    </row>
    <row r="37">
      <c r="A37" s="265"/>
      <c r="B37" s="277"/>
      <c r="C37" s="252"/>
      <c r="D37" s="253"/>
      <c r="F37" s="250"/>
      <c r="G37" s="254"/>
      <c r="H37" s="251"/>
    </row>
    <row r="38">
      <c r="A38" s="265"/>
      <c r="B38" s="277"/>
      <c r="C38" s="252"/>
      <c r="D38" s="253"/>
      <c r="F38" s="250"/>
      <c r="G38" s="254"/>
      <c r="H38" s="251"/>
    </row>
    <row r="39">
      <c r="A39" s="265"/>
      <c r="B39" s="277"/>
      <c r="C39" s="252"/>
      <c r="D39" s="253"/>
      <c r="F39" s="250"/>
      <c r="G39" s="254"/>
      <c r="H39" s="251"/>
    </row>
    <row r="40">
      <c r="A40" s="265"/>
      <c r="B40" s="278"/>
      <c r="C40" s="252"/>
      <c r="D40" s="253"/>
      <c r="F40" s="250"/>
      <c r="G40" s="254"/>
      <c r="H40" s="251"/>
    </row>
    <row r="41">
      <c r="A41" s="270"/>
      <c r="B41" s="279"/>
      <c r="C41" s="272"/>
      <c r="D41" s="273"/>
      <c r="E41" s="18"/>
      <c r="F41" s="259"/>
      <c r="G41" s="260"/>
      <c r="H41" s="261"/>
    </row>
    <row r="42">
      <c r="A42" s="262"/>
      <c r="B42" s="277">
        <v>6052.07</v>
      </c>
      <c r="C42" s="248"/>
      <c r="D42" s="249"/>
      <c r="F42" s="250"/>
      <c r="G42" s="254" t="s">
        <v>2608</v>
      </c>
      <c r="H42" s="267"/>
    </row>
    <row r="43">
      <c r="A43" s="280"/>
      <c r="B43" s="277">
        <v>18400.0</v>
      </c>
      <c r="C43" s="252"/>
      <c r="D43" s="249"/>
      <c r="F43" s="250"/>
      <c r="G43" s="254" t="s">
        <v>2609</v>
      </c>
      <c r="H43" s="251"/>
    </row>
    <row r="44">
      <c r="A44" s="280" t="s">
        <v>676</v>
      </c>
      <c r="B44" s="247"/>
      <c r="C44" s="248"/>
      <c r="D44" s="249">
        <v>11890.0</v>
      </c>
      <c r="F44" s="250"/>
      <c r="G44" s="254" t="s">
        <v>839</v>
      </c>
      <c r="H44" s="251"/>
    </row>
    <row r="45">
      <c r="A45" s="265"/>
      <c r="B45" s="247"/>
      <c r="C45" s="252"/>
      <c r="D45" s="249">
        <v>19200.0</v>
      </c>
      <c r="F45" s="250"/>
      <c r="G45" s="254" t="s">
        <v>2610</v>
      </c>
      <c r="H45" s="251"/>
    </row>
    <row r="46">
      <c r="A46" s="265"/>
      <c r="B46" s="247"/>
      <c r="C46" s="248"/>
      <c r="D46" s="249">
        <v>94053.0</v>
      </c>
      <c r="F46" s="250"/>
      <c r="G46" s="254" t="s">
        <v>235</v>
      </c>
      <c r="H46" s="251"/>
    </row>
    <row r="47">
      <c r="A47" s="265"/>
      <c r="B47" s="247"/>
      <c r="C47" s="252"/>
      <c r="D47" s="253"/>
      <c r="F47" s="250">
        <v>7000.0</v>
      </c>
      <c r="G47" s="254" t="s">
        <v>453</v>
      </c>
      <c r="H47" s="251"/>
    </row>
    <row r="48">
      <c r="A48" s="265"/>
      <c r="B48" s="247"/>
      <c r="C48" s="248"/>
      <c r="D48" s="249"/>
      <c r="F48" s="250">
        <v>475.0</v>
      </c>
      <c r="G48" s="254" t="s">
        <v>303</v>
      </c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52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 t="s">
        <v>679</v>
      </c>
      <c r="B54" s="239">
        <v>23450.0</v>
      </c>
      <c r="C54" s="263"/>
      <c r="D54" s="241"/>
      <c r="E54" s="242"/>
      <c r="F54" s="243"/>
      <c r="G54" s="276" t="s">
        <v>2611</v>
      </c>
      <c r="H54" s="245">
        <v>33.0</v>
      </c>
      <c r="I54" s="2" t="s">
        <v>59</v>
      </c>
    </row>
    <row r="55">
      <c r="A55" s="265"/>
      <c r="B55" s="247">
        <v>11550.0</v>
      </c>
      <c r="C55" s="248"/>
      <c r="D55" s="253"/>
      <c r="F55" s="250"/>
      <c r="G55" s="254" t="s">
        <v>76</v>
      </c>
      <c r="H55" s="251"/>
    </row>
    <row r="56">
      <c r="A56" s="265"/>
      <c r="B56" s="247"/>
      <c r="C56" s="248"/>
      <c r="D56" s="253"/>
      <c r="F56" s="250"/>
      <c r="G56" s="254"/>
      <c r="H56" s="251"/>
    </row>
    <row r="57">
      <c r="A57" s="265"/>
      <c r="B57" s="247"/>
      <c r="C57" s="248"/>
      <c r="D57" s="249"/>
      <c r="F57" s="250"/>
      <c r="G57" s="254"/>
      <c r="H57" s="267"/>
    </row>
    <row r="58">
      <c r="A58" s="265"/>
      <c r="B58" s="247"/>
      <c r="C58" s="248"/>
      <c r="D58" s="253"/>
      <c r="F58" s="250"/>
      <c r="G58" s="254"/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53"/>
      <c r="F60" s="250"/>
      <c r="G60" s="254"/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68"/>
      <c r="C62" s="248"/>
      <c r="D62" s="253"/>
      <c r="F62" s="250"/>
      <c r="G62" s="254"/>
      <c r="H62" s="251"/>
    </row>
    <row r="63">
      <c r="A63" s="265"/>
      <c r="B63" s="268"/>
      <c r="C63" s="248"/>
      <c r="D63" s="249"/>
      <c r="F63" s="250"/>
      <c r="G63" s="254"/>
      <c r="H63" s="251"/>
    </row>
    <row r="64">
      <c r="A64" s="265"/>
      <c r="B64" s="268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 t="s">
        <v>680</v>
      </c>
      <c r="B68" s="239">
        <v>22400.0</v>
      </c>
      <c r="C68" s="263"/>
      <c r="D68" s="264"/>
      <c r="E68" s="242"/>
      <c r="F68" s="243"/>
      <c r="G68" s="276" t="s">
        <v>75</v>
      </c>
      <c r="H68" s="245">
        <v>91.0</v>
      </c>
      <c r="I68" s="2" t="s">
        <v>59</v>
      </c>
    </row>
    <row r="69">
      <c r="A69" s="265"/>
      <c r="B69" s="247">
        <v>14277.53</v>
      </c>
      <c r="C69" s="248"/>
      <c r="D69" s="249"/>
      <c r="F69" s="250"/>
      <c r="G69" s="254" t="s">
        <v>114</v>
      </c>
      <c r="H69" s="251"/>
    </row>
    <row r="70">
      <c r="A70" s="265"/>
      <c r="B70" s="247">
        <v>23400.0</v>
      </c>
      <c r="C70" s="252"/>
      <c r="D70" s="253"/>
      <c r="F70" s="250"/>
      <c r="G70" s="254" t="s">
        <v>87</v>
      </c>
      <c r="H70" s="267"/>
    </row>
    <row r="71">
      <c r="A71" s="265"/>
      <c r="B71" s="247"/>
      <c r="C71" s="248"/>
      <c r="D71" s="253"/>
      <c r="F71" s="250">
        <v>7000.0</v>
      </c>
      <c r="G71" s="254" t="s">
        <v>68</v>
      </c>
      <c r="H71" s="251"/>
    </row>
    <row r="72">
      <c r="A72" s="265"/>
      <c r="B72" s="247"/>
      <c r="C72" s="248"/>
      <c r="D72" s="249"/>
      <c r="F72" s="250">
        <v>897.0</v>
      </c>
      <c r="G72" s="254" t="s">
        <v>97</v>
      </c>
      <c r="H72" s="251"/>
    </row>
    <row r="73">
      <c r="A73" s="265"/>
      <c r="B73" s="247"/>
      <c r="C73" s="248">
        <v>71032.96</v>
      </c>
      <c r="D73" s="253"/>
      <c r="F73" s="250"/>
      <c r="G73" s="254" t="s">
        <v>71</v>
      </c>
      <c r="H73" s="251"/>
    </row>
    <row r="74">
      <c r="A74" s="265"/>
      <c r="B74" s="247">
        <v>44543.0</v>
      </c>
      <c r="C74" s="252"/>
      <c r="D74" s="253"/>
      <c r="F74" s="250"/>
      <c r="G74" s="254" t="s">
        <v>92</v>
      </c>
      <c r="H74" s="251"/>
    </row>
    <row r="75">
      <c r="A75" s="265"/>
      <c r="B75" s="247">
        <v>30247.43</v>
      </c>
      <c r="C75" s="252"/>
      <c r="D75" s="253"/>
      <c r="F75" s="250"/>
      <c r="G75" s="254" t="s">
        <v>103</v>
      </c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 t="s">
        <v>686</v>
      </c>
      <c r="B80" s="239"/>
      <c r="C80" s="263"/>
      <c r="D80" s="241"/>
      <c r="E80" s="242"/>
      <c r="F80" s="243">
        <v>957.0</v>
      </c>
      <c r="G80" s="276" t="s">
        <v>97</v>
      </c>
      <c r="H80" s="245">
        <v>68.0</v>
      </c>
      <c r="I80" s="2" t="s">
        <v>146</v>
      </c>
    </row>
    <row r="81">
      <c r="A81" s="265"/>
      <c r="B81" s="247"/>
      <c r="C81" s="248"/>
      <c r="D81" s="253"/>
      <c r="F81" s="250">
        <v>1600.0</v>
      </c>
      <c r="G81" s="254" t="s">
        <v>2612</v>
      </c>
      <c r="H81" s="251"/>
    </row>
    <row r="82">
      <c r="A82" s="265"/>
      <c r="B82" s="247">
        <v>26136.0</v>
      </c>
      <c r="C82" s="248"/>
      <c r="D82" s="249"/>
      <c r="F82" s="250"/>
      <c r="G82" s="254" t="s">
        <v>167</v>
      </c>
      <c r="H82" s="267" t="s">
        <v>2613</v>
      </c>
    </row>
    <row r="83">
      <c r="A83" s="265"/>
      <c r="B83" s="247">
        <v>14568.24</v>
      </c>
      <c r="C83" s="248"/>
      <c r="D83" s="249"/>
      <c r="F83" s="250"/>
      <c r="G83" s="254" t="s">
        <v>73</v>
      </c>
      <c r="H83" s="251"/>
    </row>
    <row r="84">
      <c r="A84" s="265"/>
      <c r="B84" s="85">
        <v>9353.65</v>
      </c>
      <c r="C84" s="248"/>
      <c r="D84" s="249"/>
      <c r="F84" s="250"/>
      <c r="G84" s="254" t="s">
        <v>74</v>
      </c>
      <c r="H84" s="251"/>
    </row>
    <row r="85">
      <c r="A85" s="265"/>
      <c r="B85" s="281"/>
      <c r="C85" s="252"/>
      <c r="D85" s="249">
        <v>13182.95</v>
      </c>
      <c r="F85" s="266"/>
      <c r="G85" s="254" t="s">
        <v>91</v>
      </c>
      <c r="H85" s="251"/>
    </row>
    <row r="86">
      <c r="A86" s="265"/>
      <c r="B86" s="281">
        <v>6380.0</v>
      </c>
      <c r="C86" s="252"/>
      <c r="D86" s="249"/>
      <c r="F86" s="250"/>
      <c r="G86" s="254" t="s">
        <v>66</v>
      </c>
      <c r="H86" s="251"/>
    </row>
    <row r="87">
      <c r="A87" s="265"/>
      <c r="B87" s="247">
        <v>8315.0</v>
      </c>
      <c r="C87" s="252"/>
      <c r="D87" s="249"/>
      <c r="F87" s="250"/>
      <c r="G87" s="254" t="s">
        <v>2614</v>
      </c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49"/>
      <c r="F89" s="250"/>
      <c r="G89" s="254"/>
      <c r="H89" s="251"/>
    </row>
    <row r="90">
      <c r="A90" s="265"/>
      <c r="B90" s="268"/>
      <c r="C90" s="252"/>
      <c r="D90" s="253"/>
      <c r="F90" s="250"/>
      <c r="G90" s="269"/>
      <c r="H90" s="251"/>
    </row>
    <row r="91">
      <c r="A91" s="265"/>
      <c r="B91" s="247"/>
      <c r="C91" s="252"/>
      <c r="D91" s="253"/>
      <c r="F91" s="250"/>
      <c r="G91" s="269"/>
      <c r="H91" s="251"/>
    </row>
    <row r="92">
      <c r="A92" s="265"/>
      <c r="B92" s="277"/>
      <c r="C92" s="252"/>
      <c r="D92" s="253"/>
      <c r="F92" s="282"/>
      <c r="G92" s="269"/>
      <c r="H92" s="251"/>
    </row>
    <row r="93">
      <c r="A93" s="265"/>
      <c r="B93" s="278"/>
      <c r="C93" s="248"/>
      <c r="D93" s="253"/>
      <c r="F93" s="282"/>
      <c r="G93" s="269"/>
      <c r="H93" s="251"/>
    </row>
    <row r="94">
      <c r="A94" s="265"/>
      <c r="B94" s="278"/>
      <c r="C94" s="252"/>
      <c r="D94" s="253"/>
      <c r="F94" s="250"/>
      <c r="G94" s="269"/>
      <c r="H94" s="251"/>
    </row>
    <row r="95">
      <c r="A95" s="270"/>
      <c r="B95" s="271"/>
      <c r="C95" s="272"/>
      <c r="D95" s="273"/>
      <c r="E95" s="18"/>
      <c r="F95" s="259"/>
      <c r="G95" s="260"/>
      <c r="H95" s="261"/>
    </row>
    <row r="96">
      <c r="A96" s="262" t="s">
        <v>688</v>
      </c>
      <c r="B96" s="239"/>
      <c r="C96" s="263"/>
      <c r="D96" s="264"/>
      <c r="E96" s="242"/>
      <c r="F96" s="250">
        <v>957.0</v>
      </c>
      <c r="G96" s="276" t="s">
        <v>97</v>
      </c>
      <c r="H96" s="245">
        <v>20.0</v>
      </c>
      <c r="I96" s="2" t="s">
        <v>59</v>
      </c>
    </row>
    <row r="97">
      <c r="A97" s="265"/>
      <c r="B97" s="247">
        <f>7956.1+5978.86</f>
        <v>13934.96</v>
      </c>
      <c r="C97" s="248"/>
      <c r="D97" s="249"/>
      <c r="F97" s="250"/>
      <c r="G97" s="254" t="s">
        <v>82</v>
      </c>
      <c r="H97" s="251"/>
    </row>
    <row r="98">
      <c r="A98" s="265"/>
      <c r="B98" s="247">
        <v>64927.96</v>
      </c>
      <c r="C98" s="248"/>
      <c r="D98" s="249"/>
      <c r="F98" s="250"/>
      <c r="G98" s="254" t="s">
        <v>84</v>
      </c>
      <c r="H98" s="251"/>
    </row>
    <row r="99">
      <c r="A99" s="265"/>
      <c r="B99" s="247"/>
      <c r="C99" s="248">
        <v>19850.35</v>
      </c>
      <c r="D99" s="249"/>
      <c r="F99" s="250"/>
      <c r="G99" s="254" t="s">
        <v>89</v>
      </c>
      <c r="H99" s="251"/>
    </row>
    <row r="100">
      <c r="A100" s="265"/>
      <c r="B100" s="247">
        <v>50000.0</v>
      </c>
      <c r="C100" s="248"/>
      <c r="D100" s="253"/>
      <c r="F100" s="250"/>
      <c r="G100" s="254" t="s">
        <v>144</v>
      </c>
      <c r="H100" s="251"/>
    </row>
    <row r="101">
      <c r="A101" s="265"/>
      <c r="B101" s="247"/>
      <c r="C101" s="252"/>
      <c r="D101" s="253"/>
      <c r="F101" s="250">
        <v>4466.0</v>
      </c>
      <c r="G101" s="254" t="s">
        <v>344</v>
      </c>
      <c r="H101" s="251"/>
    </row>
    <row r="102">
      <c r="A102" s="265"/>
      <c r="B102" s="247">
        <v>19200.0</v>
      </c>
      <c r="C102" s="252"/>
      <c r="D102" s="249"/>
      <c r="F102" s="250"/>
      <c r="G102" s="254" t="s">
        <v>2615</v>
      </c>
      <c r="H102" s="251"/>
    </row>
    <row r="103">
      <c r="A103" s="265"/>
      <c r="B103" s="247"/>
      <c r="C103" s="252"/>
      <c r="D103" s="253"/>
      <c r="F103" s="250">
        <v>2500.0</v>
      </c>
      <c r="G103" s="254" t="s">
        <v>101</v>
      </c>
      <c r="H103" s="251"/>
    </row>
    <row r="104">
      <c r="A104" s="265"/>
      <c r="B104" s="247"/>
      <c r="C104" s="248"/>
      <c r="D104" s="253"/>
      <c r="F104" s="250">
        <v>50000.0</v>
      </c>
      <c r="G104" s="254" t="s">
        <v>144</v>
      </c>
      <c r="H104" s="251"/>
    </row>
    <row r="105">
      <c r="A105" s="265"/>
      <c r="B105" s="247"/>
      <c r="C105" s="252"/>
      <c r="D105" s="253"/>
      <c r="F105" s="250">
        <v>11600.0</v>
      </c>
      <c r="G105" s="254" t="s">
        <v>2616</v>
      </c>
      <c r="H105" s="251"/>
    </row>
    <row r="106">
      <c r="A106" s="265"/>
      <c r="B106" s="277"/>
      <c r="C106" s="248"/>
      <c r="D106" s="253"/>
      <c r="F106" s="282"/>
      <c r="G106" s="254"/>
      <c r="H106" s="251"/>
    </row>
    <row r="107">
      <c r="A107" s="265"/>
      <c r="B107" s="277"/>
      <c r="C107" s="252"/>
      <c r="D107" s="253"/>
      <c r="F107" s="250"/>
      <c r="G107" s="254"/>
      <c r="H107" s="251"/>
    </row>
    <row r="108">
      <c r="A108" s="265"/>
      <c r="B108" s="278"/>
      <c r="C108" s="252"/>
      <c r="D108" s="253"/>
      <c r="F108" s="282"/>
      <c r="G108" s="269"/>
      <c r="H108" s="251"/>
    </row>
    <row r="109">
      <c r="A109" s="270"/>
      <c r="B109" s="271"/>
      <c r="C109" s="272"/>
      <c r="D109" s="273"/>
      <c r="E109" s="18"/>
      <c r="F109" s="274"/>
      <c r="G109" s="275"/>
      <c r="H109" s="261"/>
    </row>
    <row r="110">
      <c r="A110" s="262" t="s">
        <v>692</v>
      </c>
      <c r="B110" s="239">
        <v>14800.0</v>
      </c>
      <c r="C110" s="263"/>
      <c r="D110" s="264"/>
      <c r="E110" s="242"/>
      <c r="F110" s="243"/>
      <c r="G110" s="276" t="s">
        <v>76</v>
      </c>
      <c r="H110" s="245">
        <v>80.0</v>
      </c>
      <c r="I110" s="2" t="s">
        <v>59</v>
      </c>
    </row>
    <row r="111">
      <c r="A111" s="265"/>
      <c r="B111" s="247"/>
      <c r="C111" s="252"/>
      <c r="D111" s="249"/>
      <c r="F111" s="250">
        <f>1050+318+2450+707</f>
        <v>4525</v>
      </c>
      <c r="G111" s="254" t="s">
        <v>97</v>
      </c>
      <c r="H111" s="251"/>
    </row>
    <row r="112">
      <c r="A112" s="265"/>
      <c r="B112" s="247">
        <v>23400.0</v>
      </c>
      <c r="C112" s="248"/>
      <c r="D112" s="249"/>
      <c r="F112" s="250"/>
      <c r="G112" s="26" t="s">
        <v>87</v>
      </c>
      <c r="H112" s="251"/>
    </row>
    <row r="113">
      <c r="A113" s="265"/>
      <c r="B113" s="247">
        <v>14500.0</v>
      </c>
      <c r="C113" s="248"/>
      <c r="D113" s="249"/>
      <c r="F113" s="250"/>
      <c r="G113" s="254" t="s">
        <v>99</v>
      </c>
      <c r="H113" s="251"/>
    </row>
    <row r="114">
      <c r="A114" s="265"/>
      <c r="B114" s="247"/>
      <c r="C114" s="252"/>
      <c r="D114" s="249"/>
      <c r="F114" s="250">
        <v>4500.0</v>
      </c>
      <c r="G114" s="254" t="s">
        <v>2617</v>
      </c>
      <c r="H114" s="251"/>
    </row>
    <row r="115">
      <c r="A115" s="265"/>
      <c r="B115" s="247"/>
      <c r="C115" s="252"/>
      <c r="D115" s="253"/>
      <c r="F115" s="250"/>
      <c r="G115" s="254"/>
      <c r="H115" s="251"/>
    </row>
    <row r="116">
      <c r="A116" s="265"/>
      <c r="B116" s="247"/>
      <c r="C116" s="252"/>
      <c r="D116" s="253"/>
      <c r="F116" s="250"/>
      <c r="G116" s="254"/>
      <c r="H116" s="251"/>
    </row>
    <row r="117">
      <c r="A117" s="265"/>
      <c r="B117" s="247"/>
      <c r="C117" s="252"/>
      <c r="D117" s="249"/>
      <c r="F117" s="250"/>
      <c r="G117" s="254"/>
      <c r="H117" s="251"/>
    </row>
    <row r="118">
      <c r="A118" s="265"/>
      <c r="B118" s="247"/>
      <c r="C118" s="252"/>
      <c r="D118" s="249"/>
      <c r="F118" s="250"/>
      <c r="G118" s="254"/>
      <c r="H118" s="251"/>
    </row>
    <row r="119">
      <c r="A119" s="265"/>
      <c r="B119" s="247"/>
      <c r="C119" s="248"/>
      <c r="D119" s="253"/>
      <c r="F119" s="250"/>
      <c r="G119" s="254"/>
      <c r="H119" s="251"/>
    </row>
    <row r="120">
      <c r="A120" s="265"/>
      <c r="B120" s="268"/>
      <c r="C120" s="252"/>
      <c r="D120" s="253"/>
      <c r="F120" s="250"/>
      <c r="G120" s="254"/>
      <c r="H120" s="251"/>
    </row>
    <row r="121">
      <c r="A121" s="265"/>
      <c r="B121" s="268"/>
      <c r="C121" s="252"/>
      <c r="D121" s="253"/>
      <c r="F121" s="250"/>
      <c r="G121" s="254"/>
      <c r="H121" s="251"/>
    </row>
    <row r="122">
      <c r="A122" s="265"/>
      <c r="B122" s="268"/>
      <c r="C122" s="252"/>
      <c r="D122" s="253"/>
      <c r="F122" s="250"/>
      <c r="G122" s="269"/>
      <c r="H122" s="251"/>
    </row>
    <row r="123">
      <c r="A123" s="265"/>
      <c r="B123" s="268"/>
      <c r="C123" s="252"/>
      <c r="D123" s="253"/>
      <c r="F123" s="250"/>
      <c r="G123" s="269"/>
      <c r="H123" s="251"/>
    </row>
    <row r="124">
      <c r="A124" s="265"/>
      <c r="B124" s="268"/>
      <c r="C124" s="252"/>
      <c r="D124" s="253"/>
      <c r="F124" s="250"/>
      <c r="G124" s="269"/>
      <c r="H124" s="251"/>
    </row>
    <row r="125">
      <c r="A125" s="265"/>
      <c r="B125" s="268"/>
      <c r="C125" s="252"/>
      <c r="D125" s="253"/>
      <c r="F125" s="250"/>
      <c r="G125" s="269"/>
      <c r="H125" s="251"/>
    </row>
    <row r="126">
      <c r="A126" s="265"/>
      <c r="B126" s="268"/>
      <c r="C126" s="252"/>
      <c r="D126" s="253"/>
      <c r="F126" s="250"/>
      <c r="G126" s="269"/>
      <c r="H126" s="251"/>
    </row>
    <row r="127">
      <c r="A127" s="270"/>
      <c r="B127" s="271"/>
      <c r="C127" s="272"/>
      <c r="D127" s="273"/>
      <c r="E127" s="18"/>
      <c r="F127" s="274"/>
      <c r="G127" s="275"/>
      <c r="H127" s="261"/>
    </row>
    <row r="128">
      <c r="A128" s="262" t="s">
        <v>697</v>
      </c>
      <c r="B128" s="239"/>
      <c r="C128" s="263"/>
      <c r="D128" s="264"/>
      <c r="E128" s="242"/>
      <c r="F128" s="243">
        <f>1522+171</f>
        <v>1693</v>
      </c>
      <c r="G128" s="276" t="s">
        <v>344</v>
      </c>
      <c r="H128" s="245">
        <v>72.0</v>
      </c>
      <c r="I128" s="2" t="s">
        <v>59</v>
      </c>
    </row>
    <row r="129">
      <c r="A129" s="265"/>
      <c r="B129" s="247">
        <v>14350.0</v>
      </c>
      <c r="C129" s="252"/>
      <c r="D129" s="249"/>
      <c r="F129" s="250"/>
      <c r="G129" s="254" t="s">
        <v>75</v>
      </c>
      <c r="H129" s="251"/>
    </row>
    <row r="130">
      <c r="A130" s="265"/>
      <c r="B130" s="247"/>
      <c r="C130" s="248"/>
      <c r="D130" s="249"/>
      <c r="F130" s="250">
        <v>7200.0</v>
      </c>
      <c r="G130" s="254" t="s">
        <v>68</v>
      </c>
      <c r="H130" s="251"/>
    </row>
    <row r="131">
      <c r="A131" s="265"/>
      <c r="B131" s="247">
        <v>7638.77</v>
      </c>
      <c r="C131" s="248"/>
      <c r="D131" s="249"/>
      <c r="F131" s="250"/>
      <c r="G131" s="254" t="s">
        <v>82</v>
      </c>
      <c r="H131" s="251"/>
    </row>
    <row r="132">
      <c r="A132" s="265"/>
      <c r="B132" s="247"/>
      <c r="C132" s="248"/>
      <c r="D132" s="253"/>
      <c r="F132" s="250">
        <v>1200.0</v>
      </c>
      <c r="G132" s="254" t="s">
        <v>85</v>
      </c>
      <c r="H132" s="251"/>
    </row>
    <row r="133">
      <c r="A133" s="265"/>
      <c r="B133" s="247"/>
      <c r="C133" s="252"/>
      <c r="D133" s="249"/>
      <c r="E133" s="2">
        <v>56759.8</v>
      </c>
      <c r="F133" s="250"/>
      <c r="G133" s="254" t="s">
        <v>100</v>
      </c>
      <c r="H133" s="251"/>
    </row>
    <row r="134">
      <c r="A134" s="265"/>
      <c r="B134" s="247">
        <v>8500.0</v>
      </c>
      <c r="C134" s="252"/>
      <c r="D134" s="249"/>
      <c r="F134" s="250"/>
      <c r="G134" s="254" t="s">
        <v>2618</v>
      </c>
      <c r="H134" s="251"/>
    </row>
    <row r="135">
      <c r="A135" s="265"/>
      <c r="B135" s="283">
        <v>13068.0</v>
      </c>
      <c r="C135" s="248"/>
      <c r="D135" s="253"/>
      <c r="F135" s="250"/>
      <c r="G135" s="254" t="s">
        <v>167</v>
      </c>
      <c r="H135" s="251"/>
      <c r="I135" s="2">
        <v>364.0</v>
      </c>
      <c r="J135" s="2" t="s">
        <v>2619</v>
      </c>
    </row>
    <row r="136">
      <c r="A136" s="265"/>
      <c r="B136" s="247"/>
      <c r="C136" s="248"/>
      <c r="D136" s="253"/>
      <c r="F136" s="250"/>
      <c r="G136" s="254"/>
      <c r="H136" s="251"/>
      <c r="I136" s="2">
        <v>190.0</v>
      </c>
      <c r="J136" s="2" t="s">
        <v>2620</v>
      </c>
    </row>
    <row r="137">
      <c r="A137" s="265"/>
      <c r="B137" s="247"/>
      <c r="C137" s="252"/>
      <c r="D137" s="253"/>
      <c r="F137" s="250"/>
      <c r="G137" s="254"/>
      <c r="H137" s="251"/>
    </row>
    <row r="138">
      <c r="A138" s="265"/>
      <c r="B138" s="247"/>
      <c r="C138" s="252"/>
      <c r="D138" s="249"/>
      <c r="F138" s="250"/>
      <c r="G138" s="254"/>
      <c r="H138" s="251"/>
    </row>
    <row r="139">
      <c r="A139" s="265"/>
      <c r="B139" s="277"/>
      <c r="C139" s="252"/>
      <c r="D139" s="253"/>
      <c r="F139" s="250"/>
      <c r="G139" s="254"/>
      <c r="H139" s="251"/>
    </row>
    <row r="140">
      <c r="A140" s="265"/>
      <c r="B140" s="277"/>
      <c r="C140" s="252"/>
      <c r="D140" s="253"/>
      <c r="F140" s="250"/>
      <c r="G140" s="269"/>
      <c r="H140" s="251"/>
    </row>
    <row r="141">
      <c r="A141" s="265"/>
      <c r="B141" s="278"/>
      <c r="C141" s="252"/>
      <c r="D141" s="253"/>
      <c r="F141" s="250"/>
      <c r="G141" s="269"/>
      <c r="H141" s="251"/>
    </row>
    <row r="142">
      <c r="A142" s="270"/>
      <c r="B142" s="271"/>
      <c r="C142" s="272"/>
      <c r="D142" s="273"/>
      <c r="E142" s="18"/>
      <c r="F142" s="274"/>
      <c r="G142" s="275"/>
      <c r="H142" s="261"/>
    </row>
    <row r="143">
      <c r="A143" s="262" t="s">
        <v>699</v>
      </c>
      <c r="B143" s="239"/>
      <c r="C143" s="263">
        <v>21388.81</v>
      </c>
      <c r="D143" s="241"/>
      <c r="E143" s="242"/>
      <c r="F143" s="243"/>
      <c r="G143" s="276" t="s">
        <v>71</v>
      </c>
      <c r="H143" s="245">
        <v>46.0</v>
      </c>
      <c r="I143" s="2" t="s">
        <v>59</v>
      </c>
    </row>
    <row r="144">
      <c r="A144" s="265"/>
      <c r="B144" s="247">
        <v>27972.0</v>
      </c>
      <c r="C144" s="252"/>
      <c r="D144" s="253"/>
      <c r="F144" s="250"/>
      <c r="G144" s="254" t="s">
        <v>2621</v>
      </c>
      <c r="H144" s="251"/>
    </row>
    <row r="145">
      <c r="A145" s="265"/>
      <c r="B145" s="247"/>
      <c r="C145" s="252"/>
      <c r="D145" s="249"/>
      <c r="F145" s="284">
        <v>360.0</v>
      </c>
      <c r="G145" s="285" t="s">
        <v>172</v>
      </c>
      <c r="H145" s="251"/>
    </row>
    <row r="146">
      <c r="A146" s="265"/>
      <c r="B146" s="247">
        <v>18166.19</v>
      </c>
      <c r="C146" s="252"/>
      <c r="D146" s="253"/>
      <c r="F146" s="250"/>
      <c r="G146" s="254" t="s">
        <v>73</v>
      </c>
      <c r="H146" s="251"/>
    </row>
    <row r="147">
      <c r="A147" s="265"/>
      <c r="B147" s="247">
        <v>15406.31</v>
      </c>
      <c r="C147" s="252"/>
      <c r="D147" s="249"/>
      <c r="F147" s="250"/>
      <c r="G147" s="254" t="s">
        <v>74</v>
      </c>
      <c r="H147" s="251"/>
    </row>
    <row r="148">
      <c r="A148" s="265"/>
      <c r="B148" s="247"/>
      <c r="C148" s="248"/>
      <c r="D148" s="249"/>
      <c r="F148" s="250"/>
      <c r="G148" s="254"/>
      <c r="H148" s="251"/>
    </row>
    <row r="149">
      <c r="A149" s="265"/>
      <c r="B149" s="247"/>
      <c r="C149" s="248"/>
      <c r="D149" s="249"/>
      <c r="F149" s="250"/>
      <c r="G149" s="254"/>
      <c r="H149" s="251"/>
    </row>
    <row r="150">
      <c r="A150" s="265"/>
      <c r="B150" s="247"/>
      <c r="C150" s="252"/>
      <c r="D150" s="249"/>
      <c r="F150" s="250"/>
      <c r="G150" s="254"/>
      <c r="H150" s="251"/>
    </row>
    <row r="151">
      <c r="A151" s="265"/>
      <c r="B151" s="268"/>
      <c r="C151" s="252"/>
      <c r="D151" s="249"/>
      <c r="F151" s="250"/>
      <c r="G151" s="254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53"/>
      <c r="F153" s="250"/>
      <c r="G153" s="254"/>
      <c r="H153" s="251"/>
    </row>
    <row r="154">
      <c r="A154" s="265"/>
      <c r="B154" s="277"/>
      <c r="C154" s="252"/>
      <c r="D154" s="253"/>
      <c r="F154" s="250"/>
      <c r="G154" s="269"/>
      <c r="H154" s="251"/>
    </row>
    <row r="155">
      <c r="A155" s="265"/>
      <c r="B155" s="277"/>
      <c r="C155" s="252"/>
      <c r="D155" s="253"/>
      <c r="F155" s="282"/>
      <c r="G155" s="269"/>
      <c r="H155" s="251"/>
    </row>
    <row r="156">
      <c r="A156" s="265"/>
      <c r="B156" s="278"/>
      <c r="C156" s="252"/>
      <c r="D156" s="253"/>
      <c r="F156" s="250"/>
      <c r="G156" s="269"/>
      <c r="H156" s="251"/>
    </row>
    <row r="157">
      <c r="A157" s="270"/>
      <c r="B157" s="271"/>
      <c r="C157" s="272"/>
      <c r="D157" s="273"/>
      <c r="E157" s="18"/>
      <c r="F157" s="259"/>
      <c r="G157" s="260"/>
      <c r="H157" s="261"/>
    </row>
    <row r="158">
      <c r="A158" s="262" t="s">
        <v>700</v>
      </c>
      <c r="B158" s="239">
        <f>16340-800</f>
        <v>15540</v>
      </c>
      <c r="C158" s="263"/>
      <c r="D158" s="264"/>
      <c r="E158" s="242"/>
      <c r="F158" s="243"/>
      <c r="G158" s="276" t="s">
        <v>75</v>
      </c>
      <c r="H158" s="245">
        <v>77.0</v>
      </c>
      <c r="I158" s="2" t="s">
        <v>59</v>
      </c>
    </row>
    <row r="159">
      <c r="A159" s="265"/>
      <c r="B159" s="247"/>
      <c r="C159" s="252"/>
      <c r="D159" s="253"/>
      <c r="F159" s="250">
        <v>23400.0</v>
      </c>
      <c r="G159" s="254" t="s">
        <v>87</v>
      </c>
      <c r="H159" s="251"/>
    </row>
    <row r="160">
      <c r="A160" s="265"/>
      <c r="B160" s="247">
        <v>19100.0</v>
      </c>
      <c r="C160" s="248"/>
      <c r="D160" s="249"/>
      <c r="F160" s="250"/>
      <c r="G160" s="254" t="s">
        <v>122</v>
      </c>
      <c r="H160" s="251"/>
    </row>
    <row r="161">
      <c r="A161" s="265"/>
      <c r="B161" s="247">
        <v>9078.1</v>
      </c>
      <c r="C161" s="248"/>
      <c r="D161" s="249"/>
      <c r="F161" s="250"/>
      <c r="G161" s="254" t="s">
        <v>82</v>
      </c>
      <c r="H161" s="251"/>
    </row>
    <row r="162">
      <c r="A162" s="265"/>
      <c r="B162" s="247">
        <v>15592.0</v>
      </c>
      <c r="C162" s="252"/>
      <c r="D162" s="253"/>
      <c r="F162" s="250"/>
      <c r="G162" s="254" t="s">
        <v>114</v>
      </c>
      <c r="H162" s="251"/>
    </row>
    <row r="163">
      <c r="A163" s="265"/>
      <c r="B163" s="247"/>
      <c r="C163" s="248"/>
      <c r="D163" s="249"/>
      <c r="F163" s="250">
        <v>5340.0</v>
      </c>
      <c r="G163" s="254" t="s">
        <v>689</v>
      </c>
      <c r="H163" s="251"/>
    </row>
    <row r="164">
      <c r="A164" s="265"/>
      <c r="B164" s="247"/>
      <c r="C164" s="248"/>
      <c r="D164" s="249"/>
      <c r="F164" s="250">
        <v>19100.0</v>
      </c>
      <c r="G164" s="254" t="s">
        <v>698</v>
      </c>
      <c r="H164" s="251"/>
    </row>
    <row r="165">
      <c r="A165" s="265"/>
      <c r="B165" s="247"/>
      <c r="C165" s="252"/>
      <c r="D165" s="249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70"/>
      <c r="B167" s="279"/>
      <c r="C167" s="272"/>
      <c r="D167" s="273"/>
      <c r="E167" s="18"/>
      <c r="F167" s="274"/>
      <c r="G167" s="260"/>
      <c r="H167" s="261"/>
    </row>
    <row r="168">
      <c r="A168" s="262" t="s">
        <v>702</v>
      </c>
      <c r="B168" s="239"/>
      <c r="C168" s="263">
        <v>100188.0</v>
      </c>
      <c r="D168" s="264"/>
      <c r="E168" s="244"/>
      <c r="F168" s="250"/>
      <c r="G168" s="276" t="s">
        <v>167</v>
      </c>
      <c r="H168" s="245">
        <v>58.0</v>
      </c>
      <c r="I168" s="2" t="s">
        <v>2622</v>
      </c>
    </row>
    <row r="169">
      <c r="A169" s="265"/>
      <c r="B169" s="247"/>
      <c r="C169" s="252"/>
      <c r="D169" s="249"/>
      <c r="F169" s="250">
        <v>800.0</v>
      </c>
      <c r="G169" s="254" t="s">
        <v>85</v>
      </c>
      <c r="H169" s="251"/>
    </row>
    <row r="170">
      <c r="A170" s="265"/>
      <c r="B170" s="247"/>
      <c r="C170" s="248"/>
      <c r="D170" s="249"/>
      <c r="F170" s="250"/>
      <c r="G170" s="254"/>
      <c r="H170" s="251"/>
    </row>
    <row r="171">
      <c r="A171" s="265"/>
      <c r="B171" s="247"/>
      <c r="C171" s="248"/>
      <c r="D171" s="249"/>
      <c r="F171" s="250"/>
      <c r="G171" s="254"/>
      <c r="H171" s="251"/>
    </row>
    <row r="172">
      <c r="A172" s="265"/>
      <c r="B172" s="247"/>
      <c r="C172" s="248"/>
      <c r="D172" s="249"/>
      <c r="E172" s="254"/>
      <c r="F172" s="250"/>
      <c r="G172" s="254"/>
      <c r="H172" s="251"/>
      <c r="I172" s="269"/>
    </row>
    <row r="173">
      <c r="A173" s="265"/>
      <c r="B173" s="247"/>
      <c r="C173" s="252"/>
      <c r="D173" s="249"/>
      <c r="F173" s="250"/>
      <c r="G173" s="254"/>
      <c r="H173" s="251"/>
    </row>
    <row r="174">
      <c r="A174" s="265"/>
      <c r="B174" s="247"/>
      <c r="C174" s="252"/>
      <c r="D174" s="249"/>
      <c r="F174" s="250"/>
      <c r="G174" s="254"/>
      <c r="H174" s="251"/>
    </row>
    <row r="175">
      <c r="A175" s="265"/>
      <c r="B175" s="247"/>
      <c r="C175" s="252"/>
      <c r="D175" s="253"/>
      <c r="F175" s="250"/>
      <c r="G175" s="254"/>
      <c r="H175" s="251"/>
    </row>
    <row r="176">
      <c r="A176" s="265"/>
      <c r="B176" s="247"/>
      <c r="C176" s="252"/>
      <c r="D176" s="249"/>
      <c r="F176" s="250"/>
      <c r="G176" s="254"/>
      <c r="H176" s="251"/>
    </row>
    <row r="177">
      <c r="A177" s="265"/>
      <c r="B177" s="247"/>
      <c r="C177" s="252"/>
      <c r="D177" s="253"/>
      <c r="F177" s="250"/>
      <c r="G177" s="254"/>
      <c r="H177" s="251"/>
    </row>
    <row r="178">
      <c r="A178" s="265"/>
      <c r="B178" s="247"/>
      <c r="C178" s="252"/>
      <c r="D178" s="253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65"/>
      <c r="B180" s="268"/>
      <c r="C180" s="252"/>
      <c r="D180" s="253"/>
      <c r="F180" s="250"/>
      <c r="G180" s="269"/>
      <c r="H180" s="251"/>
    </row>
    <row r="181">
      <c r="A181" s="265"/>
      <c r="B181" s="268"/>
      <c r="C181" s="252"/>
      <c r="D181" s="253"/>
      <c r="F181" s="250"/>
      <c r="G181" s="269"/>
      <c r="H181" s="251"/>
    </row>
    <row r="182">
      <c r="A182" s="270"/>
      <c r="B182" s="271"/>
      <c r="C182" s="272"/>
      <c r="D182" s="273"/>
      <c r="E182" s="18"/>
      <c r="F182" s="259"/>
      <c r="G182" s="260"/>
      <c r="H182" s="261"/>
    </row>
    <row r="183">
      <c r="A183" s="262" t="s">
        <v>703</v>
      </c>
      <c r="B183" s="247"/>
      <c r="C183" s="248">
        <v>24962.29</v>
      </c>
      <c r="D183" s="253"/>
      <c r="F183" s="250"/>
      <c r="G183" s="254" t="s">
        <v>84</v>
      </c>
      <c r="H183" s="286">
        <v>39.0</v>
      </c>
      <c r="I183" s="2" t="s">
        <v>59</v>
      </c>
    </row>
    <row r="184">
      <c r="A184" s="265"/>
      <c r="B184" s="247"/>
      <c r="C184" s="248">
        <v>34902.0</v>
      </c>
      <c r="D184" s="249"/>
      <c r="F184" s="250"/>
      <c r="G184" s="254" t="s">
        <v>89</v>
      </c>
      <c r="H184" s="251"/>
    </row>
    <row r="185">
      <c r="A185" s="265"/>
      <c r="B185" s="247">
        <v>39659.85</v>
      </c>
      <c r="C185" s="252"/>
      <c r="D185" s="249"/>
      <c r="F185" s="250"/>
      <c r="G185" s="254" t="s">
        <v>2623</v>
      </c>
      <c r="H185" s="251"/>
      <c r="I185" s="2" t="s">
        <v>2624</v>
      </c>
    </row>
    <row r="186">
      <c r="A186" s="265"/>
      <c r="B186" s="247">
        <v>6052.07</v>
      </c>
      <c r="C186" s="248"/>
      <c r="D186" s="249"/>
      <c r="F186" s="250"/>
      <c r="G186" s="254" t="s">
        <v>82</v>
      </c>
      <c r="H186" s="251"/>
    </row>
    <row r="187">
      <c r="A187" s="265"/>
      <c r="B187" s="247"/>
      <c r="C187" s="248"/>
      <c r="D187" s="249"/>
      <c r="F187" s="250">
        <v>455.0</v>
      </c>
      <c r="G187" s="254" t="s">
        <v>97</v>
      </c>
      <c r="H187" s="251"/>
    </row>
    <row r="188">
      <c r="A188" s="265"/>
      <c r="B188" s="247"/>
      <c r="C188" s="252"/>
      <c r="D188" s="249"/>
      <c r="F188" s="250">
        <v>2640.0</v>
      </c>
      <c r="G188" s="254" t="s">
        <v>87</v>
      </c>
      <c r="H188" s="251"/>
    </row>
    <row r="189">
      <c r="A189" s="265"/>
      <c r="B189" s="247"/>
      <c r="C189" s="252"/>
      <c r="D189" s="253"/>
      <c r="F189" s="250">
        <v>2500.0</v>
      </c>
      <c r="G189" s="254" t="s">
        <v>101</v>
      </c>
      <c r="H189" s="251"/>
    </row>
    <row r="190">
      <c r="A190" s="265"/>
      <c r="B190" s="247"/>
      <c r="C190" s="252"/>
      <c r="D190" s="249"/>
      <c r="F190" s="250">
        <v>542.7</v>
      </c>
      <c r="G190" s="254" t="s">
        <v>645</v>
      </c>
      <c r="H190" s="251"/>
    </row>
    <row r="191">
      <c r="A191" s="265"/>
      <c r="B191" s="247"/>
      <c r="C191" s="248"/>
      <c r="D191" s="253"/>
      <c r="F191" s="250"/>
      <c r="G191" s="254"/>
      <c r="H191" s="251"/>
    </row>
    <row r="192">
      <c r="A192" s="265"/>
      <c r="B192" s="247"/>
      <c r="C192" s="252"/>
      <c r="D192" s="253"/>
      <c r="F192" s="250"/>
      <c r="G192" s="254"/>
      <c r="H192" s="251"/>
    </row>
    <row r="193">
      <c r="A193" s="265"/>
      <c r="B193" s="247"/>
      <c r="C193" s="252"/>
      <c r="D193" s="249"/>
      <c r="F193" s="250"/>
      <c r="G193" s="254"/>
      <c r="H193" s="251"/>
    </row>
    <row r="194">
      <c r="A194" s="265"/>
      <c r="B194" s="247"/>
      <c r="C194" s="248"/>
      <c r="D194" s="249"/>
      <c r="F194" s="250"/>
      <c r="G194" s="254"/>
      <c r="H194" s="251"/>
    </row>
    <row r="195">
      <c r="A195" s="265"/>
      <c r="B195" s="247"/>
      <c r="C195" s="248"/>
      <c r="D195" s="249"/>
      <c r="F195" s="250"/>
      <c r="G195" s="254"/>
      <c r="H195" s="251"/>
    </row>
    <row r="196">
      <c r="A196" s="265"/>
      <c r="B196" s="247"/>
      <c r="C196" s="252"/>
      <c r="D196" s="249"/>
      <c r="F196" s="250"/>
      <c r="G196" s="254"/>
      <c r="H196" s="251"/>
    </row>
    <row r="197">
      <c r="A197" s="265"/>
      <c r="B197" s="247"/>
      <c r="C197" s="252"/>
      <c r="D197" s="253"/>
      <c r="F197" s="250"/>
      <c r="G197" s="254"/>
      <c r="H197" s="251"/>
    </row>
    <row r="198">
      <c r="A198" s="270"/>
      <c r="B198" s="247"/>
      <c r="C198" s="252"/>
      <c r="D198" s="249"/>
      <c r="F198" s="250"/>
      <c r="G198" s="254"/>
      <c r="H198" s="261"/>
    </row>
    <row r="199">
      <c r="A199" s="262" t="s">
        <v>707</v>
      </c>
      <c r="B199" s="239"/>
      <c r="C199" s="263"/>
      <c r="D199" s="264"/>
      <c r="E199" s="242"/>
      <c r="F199" s="243">
        <v>23400.0</v>
      </c>
      <c r="G199" s="276" t="s">
        <v>2625</v>
      </c>
      <c r="H199" s="245">
        <v>44.0</v>
      </c>
      <c r="I199" s="2" t="s">
        <v>2622</v>
      </c>
    </row>
    <row r="200">
      <c r="A200" s="265"/>
      <c r="B200" s="247"/>
      <c r="C200" s="248"/>
      <c r="D200" s="249"/>
      <c r="F200" s="250">
        <v>1500.0</v>
      </c>
      <c r="G200" s="254" t="s">
        <v>2626</v>
      </c>
      <c r="H200" s="267"/>
    </row>
    <row r="201">
      <c r="A201" s="265"/>
      <c r="B201" s="247">
        <v>21688.04</v>
      </c>
      <c r="C201" s="252"/>
      <c r="D201" s="253"/>
      <c r="F201" s="250"/>
      <c r="G201" s="254" t="s">
        <v>91</v>
      </c>
      <c r="H201" s="251"/>
    </row>
    <row r="202">
      <c r="A202" s="265"/>
      <c r="B202" s="247"/>
      <c r="C202" s="248"/>
      <c r="D202" s="249">
        <v>42681.0</v>
      </c>
      <c r="F202" s="250"/>
      <c r="G202" s="254" t="s">
        <v>92</v>
      </c>
      <c r="H202" s="251"/>
    </row>
    <row r="203">
      <c r="A203" s="265"/>
      <c r="B203" s="247"/>
      <c r="C203" s="248"/>
      <c r="D203" s="249"/>
      <c r="F203" s="250">
        <v>10200.0</v>
      </c>
      <c r="G203" s="254" t="s">
        <v>275</v>
      </c>
      <c r="H203" s="251"/>
    </row>
    <row r="204">
      <c r="A204" s="265"/>
      <c r="B204" s="247"/>
      <c r="C204" s="248"/>
      <c r="D204" s="249"/>
      <c r="F204" s="250">
        <v>7200.0</v>
      </c>
      <c r="G204" s="254" t="s">
        <v>68</v>
      </c>
      <c r="H204" s="267"/>
    </row>
    <row r="205">
      <c r="A205" s="265"/>
      <c r="B205" s="247"/>
      <c r="C205" s="248"/>
      <c r="D205" s="249"/>
      <c r="F205" s="250"/>
      <c r="G205" s="254"/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68"/>
      <c r="C207" s="248"/>
      <c r="D207" s="249"/>
      <c r="F207" s="250"/>
      <c r="G207" s="254"/>
      <c r="H207" s="251"/>
    </row>
    <row r="208">
      <c r="A208" s="265"/>
      <c r="B208" s="247"/>
      <c r="C208" s="248"/>
      <c r="D208" s="253"/>
      <c r="F208" s="250"/>
      <c r="G208" s="254"/>
      <c r="H208" s="251"/>
    </row>
    <row r="209">
      <c r="A209" s="265"/>
      <c r="B209" s="268"/>
      <c r="C209" s="248"/>
      <c r="D209" s="253"/>
      <c r="F209" s="250"/>
      <c r="G209" s="269"/>
      <c r="H209" s="251"/>
    </row>
    <row r="210">
      <c r="A210" s="265"/>
      <c r="B210" s="247"/>
      <c r="C210" s="248"/>
      <c r="D210" s="253"/>
      <c r="F210" s="250"/>
      <c r="G210" s="269"/>
      <c r="H210" s="251"/>
    </row>
    <row r="211">
      <c r="A211" s="265"/>
      <c r="B211" s="278"/>
      <c r="C211" s="252"/>
      <c r="D211" s="253"/>
      <c r="F211" s="250"/>
      <c r="G211" s="269"/>
      <c r="H211" s="251"/>
    </row>
    <row r="212">
      <c r="A212" s="265"/>
      <c r="B212" s="278"/>
      <c r="C212" s="252"/>
      <c r="D212" s="253"/>
      <c r="F212" s="282"/>
      <c r="G212" s="269"/>
      <c r="H212" s="251"/>
    </row>
    <row r="213">
      <c r="A213" s="270"/>
      <c r="B213" s="271"/>
      <c r="C213" s="272"/>
      <c r="D213" s="273"/>
      <c r="E213" s="18"/>
      <c r="F213" s="274"/>
      <c r="G213" s="275"/>
      <c r="H213" s="261"/>
    </row>
    <row r="214">
      <c r="A214" s="262" t="s">
        <v>709</v>
      </c>
      <c r="B214" s="239">
        <v>33650.0</v>
      </c>
      <c r="C214" s="263"/>
      <c r="D214" s="264"/>
      <c r="E214" s="242"/>
      <c r="F214" s="243"/>
      <c r="G214" s="276" t="s">
        <v>75</v>
      </c>
      <c r="H214" s="245">
        <v>56.0</v>
      </c>
      <c r="I214" s="2" t="s">
        <v>146</v>
      </c>
    </row>
    <row r="215">
      <c r="A215" s="265"/>
      <c r="B215" s="247"/>
      <c r="C215" s="248"/>
      <c r="D215" s="249">
        <v>19200.0</v>
      </c>
      <c r="F215" s="250"/>
      <c r="G215" s="254" t="s">
        <v>351</v>
      </c>
      <c r="H215" s="251"/>
    </row>
    <row r="216">
      <c r="A216" s="265"/>
      <c r="B216" s="247"/>
      <c r="C216" s="252"/>
      <c r="D216" s="249"/>
      <c r="F216" s="250">
        <v>317.0</v>
      </c>
      <c r="G216" s="254" t="s">
        <v>97</v>
      </c>
      <c r="H216" s="251"/>
    </row>
    <row r="217">
      <c r="A217" s="265"/>
      <c r="B217" s="247"/>
      <c r="C217" s="248"/>
      <c r="D217" s="249"/>
      <c r="F217" s="250">
        <v>119.0</v>
      </c>
      <c r="G217" s="254" t="s">
        <v>1159</v>
      </c>
      <c r="H217" s="251"/>
    </row>
    <row r="218">
      <c r="A218" s="265"/>
      <c r="B218" s="247">
        <v>13234.73</v>
      </c>
      <c r="C218" s="252"/>
      <c r="D218" s="253"/>
      <c r="F218" s="250"/>
      <c r="G218" s="254" t="s">
        <v>82</v>
      </c>
      <c r="H218" s="251"/>
    </row>
    <row r="219">
      <c r="A219" s="265"/>
      <c r="B219" s="247">
        <v>8500.0</v>
      </c>
      <c r="C219" s="252"/>
      <c r="D219" s="253"/>
      <c r="F219" s="250"/>
      <c r="G219" s="254" t="s">
        <v>1208</v>
      </c>
      <c r="H219" s="251"/>
    </row>
    <row r="220">
      <c r="A220" s="265"/>
      <c r="B220" s="247">
        <v>6380.0</v>
      </c>
      <c r="C220" s="252"/>
      <c r="D220" s="253"/>
      <c r="F220" s="250"/>
      <c r="G220" s="254" t="s">
        <v>66</v>
      </c>
      <c r="H220" s="251"/>
    </row>
    <row r="221">
      <c r="A221" s="265"/>
      <c r="B221" s="247"/>
      <c r="C221" s="252"/>
      <c r="D221" s="253"/>
      <c r="F221" s="250">
        <v>2500.0</v>
      </c>
      <c r="G221" s="254" t="s">
        <v>101</v>
      </c>
      <c r="H221" s="251"/>
      <c r="I221" s="269"/>
      <c r="J221" s="269"/>
      <c r="K221" s="269"/>
    </row>
    <row r="222">
      <c r="A222" s="265"/>
      <c r="B222" s="247"/>
      <c r="C222" s="252"/>
      <c r="D222" s="249"/>
      <c r="E222" s="269"/>
      <c r="F222" s="250"/>
      <c r="G222" s="254" t="s">
        <v>2627</v>
      </c>
      <c r="H222" s="251"/>
      <c r="I222" s="269"/>
      <c r="J222" s="269"/>
      <c r="K222" s="269"/>
    </row>
    <row r="223">
      <c r="A223" s="265"/>
      <c r="B223" s="278"/>
      <c r="C223" s="252"/>
      <c r="D223" s="249"/>
      <c r="E223" s="254"/>
      <c r="F223" s="250"/>
      <c r="G223" s="254"/>
      <c r="H223" s="251"/>
      <c r="I223" s="254"/>
      <c r="J223" s="269"/>
      <c r="K223" s="269"/>
    </row>
    <row r="224">
      <c r="A224" s="265"/>
      <c r="B224" s="278"/>
      <c r="C224" s="252"/>
      <c r="D224" s="253"/>
      <c r="E224" s="269"/>
      <c r="F224" s="282"/>
      <c r="G224" s="269"/>
      <c r="H224" s="251"/>
      <c r="I224" s="269"/>
      <c r="J224" s="269"/>
      <c r="K224" s="269"/>
    </row>
    <row r="225">
      <c r="A225" s="270"/>
      <c r="B225" s="271"/>
      <c r="C225" s="272"/>
      <c r="D225" s="273"/>
      <c r="E225" s="275"/>
      <c r="F225" s="274"/>
      <c r="G225" s="275"/>
      <c r="H225" s="261"/>
      <c r="I225" s="269"/>
      <c r="J225" s="269"/>
      <c r="K225" s="269"/>
    </row>
    <row r="226">
      <c r="A226" s="262" t="s">
        <v>712</v>
      </c>
      <c r="B226" s="239">
        <v>7400.0</v>
      </c>
      <c r="C226" s="263"/>
      <c r="D226" s="264"/>
      <c r="E226" s="287"/>
      <c r="F226" s="243"/>
      <c r="G226" s="276" t="s">
        <v>76</v>
      </c>
      <c r="H226" s="245">
        <v>50.0</v>
      </c>
      <c r="I226" s="254" t="s">
        <v>59</v>
      </c>
      <c r="J226" s="269"/>
      <c r="K226" s="269"/>
    </row>
    <row r="227">
      <c r="A227" s="265"/>
      <c r="B227" s="247">
        <v>27036.54</v>
      </c>
      <c r="C227" s="252"/>
      <c r="D227" s="249"/>
      <c r="F227" s="250"/>
      <c r="G227" s="254" t="s">
        <v>74</v>
      </c>
      <c r="H227" s="251"/>
      <c r="I227" s="269"/>
      <c r="J227" s="269"/>
      <c r="K227" s="269"/>
    </row>
    <row r="228">
      <c r="A228" s="265"/>
      <c r="B228" s="247">
        <v>37192.03</v>
      </c>
      <c r="C228" s="252"/>
      <c r="D228" s="249"/>
      <c r="F228" s="250"/>
      <c r="G228" s="254" t="s">
        <v>73</v>
      </c>
      <c r="H228" s="251"/>
      <c r="I228" s="269"/>
      <c r="J228" s="269"/>
      <c r="K228" s="269"/>
    </row>
    <row r="229">
      <c r="A229" s="265"/>
      <c r="B229" s="247"/>
      <c r="C229" s="248">
        <f>16449.93+36808.22</f>
        <v>53258.15</v>
      </c>
      <c r="D229" s="253"/>
      <c r="E229" s="269"/>
      <c r="F229" s="250"/>
      <c r="G229" s="254" t="s">
        <v>71</v>
      </c>
      <c r="H229" s="251"/>
      <c r="I229" s="269"/>
      <c r="J229" s="269"/>
      <c r="K229" s="269"/>
    </row>
    <row r="230">
      <c r="A230" s="265"/>
      <c r="B230" s="247">
        <v>23400.0</v>
      </c>
      <c r="C230" s="248"/>
      <c r="D230" s="253"/>
      <c r="E230" s="269"/>
      <c r="F230" s="250"/>
      <c r="G230" s="254" t="s">
        <v>87</v>
      </c>
      <c r="H230" s="251"/>
      <c r="I230" s="269"/>
      <c r="J230" s="269"/>
      <c r="K230" s="269"/>
    </row>
    <row r="231">
      <c r="A231" s="265"/>
      <c r="B231" s="247"/>
      <c r="C231" s="248"/>
      <c r="D231" s="249"/>
      <c r="E231" s="269"/>
      <c r="F231" s="250">
        <v>7500.0</v>
      </c>
      <c r="G231" s="254" t="s">
        <v>2628</v>
      </c>
      <c r="H231" s="251"/>
      <c r="I231" s="269"/>
      <c r="J231" s="269"/>
      <c r="K231" s="269"/>
    </row>
    <row r="232">
      <c r="A232" s="265"/>
      <c r="B232" s="247"/>
      <c r="C232" s="252"/>
      <c r="D232" s="253"/>
      <c r="E232" s="269"/>
      <c r="F232" s="250"/>
      <c r="G232" s="254"/>
      <c r="H232" s="251"/>
      <c r="I232" s="269"/>
      <c r="J232" s="269"/>
      <c r="K232" s="269"/>
    </row>
    <row r="233">
      <c r="A233" s="265"/>
      <c r="B233" s="247"/>
      <c r="C233" s="252"/>
      <c r="D233" s="288"/>
      <c r="E233" s="269"/>
      <c r="F233" s="250"/>
      <c r="G233" s="254"/>
      <c r="H233" s="251"/>
      <c r="I233" s="254"/>
      <c r="J233" s="269"/>
      <c r="K233" s="269"/>
    </row>
    <row r="234">
      <c r="A234" s="265"/>
      <c r="B234" s="247"/>
      <c r="C234" s="252"/>
      <c r="D234" s="253"/>
      <c r="F234" s="250"/>
      <c r="G234" s="254"/>
      <c r="H234" s="251"/>
      <c r="I234" s="269"/>
      <c r="J234" s="269"/>
      <c r="K234" s="269"/>
    </row>
    <row r="235">
      <c r="A235" s="265"/>
      <c r="B235" s="247"/>
      <c r="C235" s="252"/>
      <c r="D235" s="253"/>
      <c r="F235" s="250"/>
      <c r="G235" s="254"/>
      <c r="H235" s="251"/>
    </row>
    <row r="236">
      <c r="A236" s="265"/>
      <c r="B236" s="268"/>
      <c r="C236" s="252"/>
      <c r="D236" s="253"/>
      <c r="F236" s="250"/>
      <c r="G236" s="254"/>
      <c r="H236" s="251"/>
    </row>
    <row r="237">
      <c r="A237" s="265"/>
      <c r="B237" s="277"/>
      <c r="C237" s="252"/>
      <c r="D237" s="253"/>
      <c r="F237" s="282"/>
      <c r="G237" s="269"/>
      <c r="H237" s="251"/>
    </row>
    <row r="238">
      <c r="A238" s="265"/>
      <c r="B238" s="278"/>
      <c r="C238" s="252"/>
      <c r="D238" s="253"/>
      <c r="F238" s="282"/>
      <c r="G238" s="269"/>
      <c r="H238" s="251"/>
    </row>
    <row r="239">
      <c r="A239" s="265"/>
      <c r="B239" s="278"/>
      <c r="C239" s="252"/>
      <c r="D239" s="253"/>
      <c r="F239" s="282"/>
      <c r="G239" s="269"/>
      <c r="H239" s="251"/>
    </row>
    <row r="240">
      <c r="A240" s="270"/>
      <c r="B240" s="271"/>
      <c r="C240" s="272"/>
      <c r="D240" s="273"/>
      <c r="E240" s="18"/>
      <c r="F240" s="274"/>
      <c r="G240" s="275"/>
      <c r="H240" s="261"/>
    </row>
    <row r="241">
      <c r="A241" s="262" t="s">
        <v>713</v>
      </c>
      <c r="B241" s="239">
        <v>18040.0</v>
      </c>
      <c r="C241" s="263"/>
      <c r="D241" s="241"/>
      <c r="E241" s="242"/>
      <c r="F241" s="243"/>
      <c r="G241" s="2" t="s">
        <v>75</v>
      </c>
      <c r="H241" s="245">
        <v>48.0</v>
      </c>
      <c r="I241" s="2" t="s">
        <v>2513</v>
      </c>
    </row>
    <row r="242">
      <c r="A242" s="265"/>
      <c r="B242" s="247"/>
      <c r="C242" s="252"/>
      <c r="D242" s="253"/>
      <c r="F242" s="250"/>
      <c r="G242" s="254"/>
      <c r="H242" s="251"/>
    </row>
    <row r="243">
      <c r="A243" s="265"/>
      <c r="B243" s="247"/>
      <c r="C243" s="252"/>
      <c r="D243" s="249"/>
      <c r="F243" s="250"/>
      <c r="G243" s="254"/>
      <c r="H243" s="251"/>
    </row>
    <row r="244">
      <c r="A244" s="265"/>
      <c r="B244" s="247"/>
      <c r="C244" s="248"/>
      <c r="D244" s="253"/>
      <c r="F244" s="250"/>
      <c r="G244" s="254"/>
      <c r="H244" s="251"/>
    </row>
    <row r="245">
      <c r="A245" s="265"/>
      <c r="B245" s="247"/>
      <c r="C245" s="252"/>
      <c r="D245" s="253"/>
      <c r="F245" s="250"/>
      <c r="G245" s="254"/>
      <c r="H245" s="267"/>
    </row>
    <row r="246">
      <c r="A246" s="265"/>
      <c r="B246" s="247"/>
      <c r="C246" s="248"/>
      <c r="D246" s="253"/>
      <c r="F246" s="250"/>
      <c r="G246" s="254"/>
      <c r="H246" s="267"/>
    </row>
    <row r="247">
      <c r="A247" s="265"/>
      <c r="B247" s="247"/>
      <c r="C247" s="248"/>
      <c r="D247" s="249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47"/>
      <c r="C249" s="252"/>
      <c r="D249" s="253"/>
      <c r="F249" s="250"/>
      <c r="G249" s="254"/>
      <c r="H249" s="251"/>
    </row>
    <row r="250">
      <c r="A250" s="265"/>
      <c r="B250" s="247"/>
      <c r="C250" s="252"/>
      <c r="D250" s="253"/>
      <c r="F250" s="250"/>
      <c r="G250" s="254"/>
      <c r="H250" s="251"/>
    </row>
    <row r="251">
      <c r="A251" s="265"/>
      <c r="B251" s="278"/>
      <c r="C251" s="252"/>
      <c r="D251" s="253"/>
      <c r="F251" s="250"/>
      <c r="G251" s="254"/>
      <c r="H251" s="251"/>
    </row>
    <row r="252">
      <c r="A252" s="265"/>
      <c r="B252" s="278"/>
      <c r="C252" s="252"/>
      <c r="D252" s="253"/>
      <c r="F252" s="250"/>
      <c r="G252" s="269"/>
      <c r="H252" s="251"/>
    </row>
    <row r="253">
      <c r="A253" s="265"/>
      <c r="B253" s="278"/>
      <c r="C253" s="252"/>
      <c r="D253" s="253"/>
      <c r="F253" s="250"/>
      <c r="G253" s="269"/>
      <c r="H253" s="251"/>
    </row>
    <row r="254">
      <c r="A254" s="270"/>
      <c r="B254" s="271"/>
      <c r="C254" s="272"/>
      <c r="D254" s="273"/>
      <c r="E254" s="18"/>
      <c r="F254" s="274"/>
      <c r="G254" s="275"/>
      <c r="H254" s="261"/>
    </row>
    <row r="255">
      <c r="A255" s="262" t="s">
        <v>715</v>
      </c>
      <c r="B255" s="239"/>
      <c r="C255" s="263"/>
      <c r="D255" s="264"/>
      <c r="E255" s="242"/>
      <c r="F255" s="243">
        <v>1500.0</v>
      </c>
      <c r="G255" s="276" t="s">
        <v>85</v>
      </c>
      <c r="H255" s="245">
        <v>81.0</v>
      </c>
      <c r="I255" s="2" t="s">
        <v>2513</v>
      </c>
    </row>
    <row r="256">
      <c r="A256" s="265"/>
      <c r="B256" s="247">
        <v>15422.11</v>
      </c>
      <c r="C256" s="248"/>
      <c r="D256" s="253"/>
      <c r="F256" s="250"/>
      <c r="G256" s="254" t="s">
        <v>114</v>
      </c>
      <c r="H256" s="251"/>
    </row>
    <row r="257">
      <c r="A257" s="265"/>
      <c r="B257" s="247"/>
      <c r="C257" s="252"/>
      <c r="D257" s="249"/>
      <c r="F257" s="250"/>
      <c r="G257" s="254"/>
      <c r="H257" s="251"/>
    </row>
    <row r="258">
      <c r="A258" s="265"/>
      <c r="B258" s="247"/>
      <c r="C258" s="248"/>
      <c r="D258" s="249"/>
      <c r="F258" s="250"/>
      <c r="G258" s="254"/>
      <c r="H258" s="251"/>
    </row>
    <row r="259">
      <c r="A259" s="265"/>
      <c r="B259" s="247"/>
      <c r="C259" s="248"/>
      <c r="D259" s="249"/>
      <c r="F259" s="250"/>
      <c r="G259" s="254"/>
      <c r="H259" s="251"/>
    </row>
    <row r="260">
      <c r="A260" s="265"/>
      <c r="B260" s="247"/>
      <c r="C260" s="248"/>
      <c r="D260" s="249"/>
      <c r="F260" s="250"/>
      <c r="G260" s="254"/>
      <c r="H260" s="251"/>
    </row>
    <row r="261">
      <c r="A261" s="265"/>
      <c r="B261" s="247"/>
      <c r="C261" s="252"/>
      <c r="D261" s="249"/>
      <c r="F261" s="250"/>
      <c r="G261" s="254"/>
      <c r="H261" s="251"/>
    </row>
    <row r="262">
      <c r="A262" s="265"/>
      <c r="B262" s="247"/>
      <c r="C262" s="252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47"/>
      <c r="C264" s="252"/>
      <c r="D264" s="253"/>
      <c r="F264" s="250"/>
      <c r="G264" s="254"/>
      <c r="H264" s="251"/>
    </row>
    <row r="265">
      <c r="A265" s="265"/>
      <c r="B265" s="268"/>
      <c r="C265" s="252"/>
      <c r="D265" s="253"/>
      <c r="F265" s="250"/>
      <c r="G265" s="254"/>
      <c r="H265" s="267"/>
    </row>
    <row r="266">
      <c r="A266" s="265"/>
      <c r="B266" s="268"/>
      <c r="C266" s="252"/>
      <c r="D266" s="253"/>
      <c r="F266" s="250"/>
      <c r="G266" s="254"/>
      <c r="H266" s="251"/>
    </row>
    <row r="267">
      <c r="A267" s="265"/>
      <c r="B267" s="268"/>
      <c r="C267" s="252"/>
      <c r="D267" s="253"/>
      <c r="F267" s="250"/>
      <c r="G267" s="254"/>
      <c r="H267" s="251"/>
    </row>
    <row r="268">
      <c r="A268" s="270"/>
      <c r="B268" s="271"/>
      <c r="C268" s="272"/>
      <c r="D268" s="273"/>
      <c r="E268" s="18"/>
      <c r="F268" s="259"/>
      <c r="G268" s="260"/>
      <c r="H268" s="261"/>
    </row>
    <row r="269">
      <c r="A269" s="262" t="s">
        <v>718</v>
      </c>
      <c r="B269" s="239"/>
      <c r="C269" s="263">
        <v>50572.3</v>
      </c>
      <c r="D269" s="264"/>
      <c r="E269" s="244"/>
      <c r="F269" s="243"/>
      <c r="G269" s="276" t="s">
        <v>84</v>
      </c>
      <c r="H269" s="245">
        <v>40.0</v>
      </c>
      <c r="I269" s="2" t="s">
        <v>72</v>
      </c>
    </row>
    <row r="270">
      <c r="A270" s="265"/>
      <c r="B270" s="247"/>
      <c r="C270" s="248">
        <v>25311.0</v>
      </c>
      <c r="D270" s="249"/>
      <c r="F270" s="250"/>
      <c r="G270" s="254" t="s">
        <v>89</v>
      </c>
      <c r="H270" s="267"/>
    </row>
    <row r="271">
      <c r="A271" s="265"/>
      <c r="B271" s="247"/>
      <c r="C271" s="252"/>
      <c r="D271" s="249"/>
      <c r="F271" s="250">
        <v>2500.0</v>
      </c>
      <c r="G271" s="254" t="s">
        <v>101</v>
      </c>
      <c r="H271" s="251"/>
    </row>
    <row r="272">
      <c r="A272" s="265"/>
      <c r="B272" s="247"/>
      <c r="C272" s="248"/>
      <c r="D272" s="249"/>
      <c r="F272" s="250">
        <v>11600.0</v>
      </c>
      <c r="G272" s="254" t="s">
        <v>128</v>
      </c>
      <c r="H272" s="251"/>
    </row>
    <row r="273">
      <c r="A273" s="265"/>
      <c r="B273" s="247">
        <v>14642.85</v>
      </c>
      <c r="C273" s="252"/>
      <c r="D273" s="249"/>
      <c r="F273" s="250"/>
      <c r="G273" s="254" t="s">
        <v>82</v>
      </c>
      <c r="H273" s="251"/>
    </row>
    <row r="274">
      <c r="A274" s="265"/>
      <c r="B274" s="247"/>
      <c r="C274" s="248"/>
      <c r="D274" s="249"/>
      <c r="F274" s="250">
        <v>23400.0</v>
      </c>
      <c r="G274" s="254" t="s">
        <v>87</v>
      </c>
      <c r="H274" s="251"/>
    </row>
    <row r="275">
      <c r="A275" s="265"/>
      <c r="B275" s="247">
        <v>4796.0</v>
      </c>
      <c r="C275" s="248"/>
      <c r="D275" s="249"/>
      <c r="F275" s="250"/>
      <c r="G275" s="254" t="s">
        <v>2629</v>
      </c>
      <c r="H275" s="251"/>
    </row>
    <row r="276">
      <c r="A276" s="265"/>
      <c r="B276" s="247"/>
      <c r="C276" s="248"/>
      <c r="D276" s="249"/>
      <c r="F276" s="250">
        <v>798.0</v>
      </c>
      <c r="G276" s="254" t="s">
        <v>97</v>
      </c>
      <c r="H276" s="251"/>
    </row>
    <row r="277">
      <c r="A277" s="265"/>
      <c r="B277" s="247"/>
      <c r="C277" s="252"/>
      <c r="D277" s="249"/>
      <c r="F277" s="250"/>
      <c r="G277" s="254"/>
      <c r="H277" s="251"/>
    </row>
    <row r="278">
      <c r="A278" s="265"/>
      <c r="B278" s="247"/>
      <c r="C278" s="252"/>
      <c r="D278" s="786"/>
      <c r="E278" s="322"/>
      <c r="F278" s="323"/>
      <c r="G278" s="787"/>
      <c r="H278" s="251"/>
    </row>
    <row r="279">
      <c r="A279" s="265"/>
      <c r="B279" s="247"/>
      <c r="C279" s="252"/>
      <c r="D279" s="253"/>
      <c r="F279" s="250"/>
      <c r="G279" s="254"/>
      <c r="H279" s="251"/>
    </row>
    <row r="280">
      <c r="A280" s="265"/>
      <c r="B280" s="268"/>
      <c r="C280" s="252"/>
      <c r="D280" s="253"/>
      <c r="F280" s="250"/>
      <c r="G280" s="269"/>
      <c r="H280" s="251"/>
    </row>
    <row r="281">
      <c r="A281" s="270"/>
      <c r="B281" s="271"/>
      <c r="C281" s="272"/>
      <c r="D281" s="273"/>
      <c r="E281" s="18"/>
      <c r="F281" s="259"/>
      <c r="G281" s="260"/>
      <c r="H281" s="261"/>
    </row>
    <row r="282">
      <c r="A282" s="262" t="s">
        <v>719</v>
      </c>
      <c r="B282" s="239"/>
      <c r="C282" s="263"/>
      <c r="D282" s="264"/>
      <c r="E282" s="244"/>
      <c r="F282" s="243">
        <v>365.0</v>
      </c>
      <c r="G282" s="276" t="s">
        <v>97</v>
      </c>
      <c r="H282" s="245">
        <v>65.0</v>
      </c>
      <c r="I282" s="2" t="s">
        <v>704</v>
      </c>
    </row>
    <row r="283">
      <c r="A283" s="265"/>
      <c r="B283" s="247"/>
      <c r="C283" s="252"/>
      <c r="D283" s="249"/>
      <c r="F283" s="250">
        <v>7200.0</v>
      </c>
      <c r="G283" s="254" t="s">
        <v>68</v>
      </c>
      <c r="H283" s="267">
        <v>12400.0</v>
      </c>
      <c r="I283" s="2" t="s">
        <v>2630</v>
      </c>
    </row>
    <row r="284">
      <c r="A284" s="265"/>
      <c r="B284" s="247"/>
      <c r="C284" s="248"/>
      <c r="D284" s="249"/>
      <c r="F284" s="250">
        <f>491+294+783</f>
        <v>1568</v>
      </c>
      <c r="G284" s="254" t="s">
        <v>97</v>
      </c>
      <c r="H284" s="251"/>
    </row>
    <row r="285">
      <c r="A285" s="265"/>
      <c r="B285" s="247"/>
      <c r="C285" s="248"/>
      <c r="D285" s="249"/>
      <c r="F285" s="250"/>
      <c r="G285" s="254"/>
      <c r="H285" s="251"/>
    </row>
    <row r="286">
      <c r="A286" s="265"/>
      <c r="B286" s="247"/>
      <c r="C286" s="252"/>
      <c r="D286" s="249"/>
      <c r="F286" s="250"/>
      <c r="G286" s="254"/>
      <c r="H286" s="251"/>
    </row>
    <row r="287">
      <c r="A287" s="265"/>
      <c r="B287" s="247"/>
      <c r="C287" s="248"/>
      <c r="D287" s="249"/>
      <c r="F287" s="250"/>
      <c r="G287" s="254"/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52"/>
      <c r="D290" s="249"/>
      <c r="F290" s="250"/>
      <c r="G290" s="254"/>
      <c r="H290" s="251"/>
    </row>
    <row r="291">
      <c r="A291" s="265"/>
      <c r="B291" s="247"/>
      <c r="C291" s="252"/>
      <c r="D291" s="249"/>
      <c r="F291" s="250"/>
      <c r="G291" s="254"/>
      <c r="H291" s="251"/>
    </row>
    <row r="292">
      <c r="A292" s="265"/>
      <c r="B292" s="247"/>
      <c r="C292" s="252"/>
      <c r="D292" s="253"/>
      <c r="F292" s="250"/>
      <c r="G292" s="254"/>
      <c r="H292" s="251"/>
    </row>
    <row r="293">
      <c r="A293" s="265"/>
      <c r="B293" s="268"/>
      <c r="C293" s="252"/>
      <c r="D293" s="253"/>
      <c r="F293" s="250"/>
      <c r="G293" s="269"/>
      <c r="H293" s="251"/>
    </row>
    <row r="294">
      <c r="A294" s="265"/>
      <c r="B294" s="268"/>
      <c r="C294" s="252"/>
      <c r="D294" s="253"/>
      <c r="F294" s="250"/>
      <c r="G294" s="269"/>
      <c r="H294" s="251"/>
    </row>
    <row r="295">
      <c r="A295" s="270"/>
      <c r="B295" s="271"/>
      <c r="C295" s="272"/>
      <c r="D295" s="273"/>
      <c r="E295" s="18"/>
      <c r="F295" s="274"/>
      <c r="G295" s="275"/>
      <c r="H295" s="261"/>
    </row>
    <row r="296">
      <c r="A296" s="262" t="s">
        <v>721</v>
      </c>
      <c r="B296" s="239">
        <v>33720.0</v>
      </c>
      <c r="C296" s="263"/>
      <c r="D296" s="241"/>
      <c r="E296" s="242"/>
      <c r="F296" s="243"/>
      <c r="G296" s="276" t="s">
        <v>75</v>
      </c>
      <c r="H296" s="245">
        <v>70.0</v>
      </c>
      <c r="I296" s="2" t="s">
        <v>72</v>
      </c>
    </row>
    <row r="297">
      <c r="A297" s="265"/>
      <c r="B297" s="247"/>
      <c r="C297" s="248"/>
      <c r="D297" s="249"/>
      <c r="F297" s="250">
        <v>782.0</v>
      </c>
      <c r="G297" s="254" t="s">
        <v>97</v>
      </c>
      <c r="H297" s="251"/>
    </row>
    <row r="298">
      <c r="A298" s="265"/>
      <c r="B298" s="247">
        <v>9078.0</v>
      </c>
      <c r="C298" s="248"/>
      <c r="D298" s="253"/>
      <c r="F298" s="250"/>
      <c r="G298" s="254" t="s">
        <v>82</v>
      </c>
      <c r="H298" s="251"/>
    </row>
    <row r="299">
      <c r="A299" s="265"/>
      <c r="B299" s="247">
        <v>19100.0</v>
      </c>
      <c r="C299" s="248"/>
      <c r="D299" s="249"/>
      <c r="F299" s="250"/>
      <c r="G299" s="254" t="s">
        <v>2631</v>
      </c>
      <c r="H299" s="251"/>
    </row>
    <row r="300">
      <c r="A300" s="265"/>
      <c r="B300" s="247">
        <v>20738.19</v>
      </c>
      <c r="C300" s="252"/>
      <c r="D300" s="253"/>
      <c r="F300" s="250"/>
      <c r="G300" s="254" t="s">
        <v>77</v>
      </c>
      <c r="H300" s="251"/>
    </row>
    <row r="301">
      <c r="A301" s="265"/>
      <c r="B301" s="247"/>
      <c r="C301" s="248"/>
      <c r="D301" s="249"/>
      <c r="F301" s="250">
        <v>2500.0</v>
      </c>
      <c r="G301" s="254" t="s">
        <v>101</v>
      </c>
      <c r="H301" s="251"/>
    </row>
    <row r="302">
      <c r="A302" s="265"/>
      <c r="B302" s="247">
        <v>9600.0</v>
      </c>
      <c r="C302" s="248"/>
      <c r="D302" s="253"/>
      <c r="F302" s="250"/>
      <c r="G302" s="254" t="s">
        <v>79</v>
      </c>
      <c r="H302" s="251"/>
    </row>
    <row r="303">
      <c r="A303" s="265"/>
      <c r="B303" s="247"/>
      <c r="C303" s="252"/>
      <c r="D303" s="253"/>
      <c r="F303" s="250"/>
      <c r="G303" s="254"/>
      <c r="H303" s="251"/>
    </row>
    <row r="304">
      <c r="A304" s="265"/>
      <c r="B304" s="247"/>
      <c r="C304" s="252"/>
      <c r="D304" s="253"/>
      <c r="F304" s="250"/>
      <c r="G304" s="254"/>
      <c r="H304" s="251"/>
    </row>
    <row r="305">
      <c r="A305" s="265"/>
      <c r="B305" s="268"/>
      <c r="C305" s="252"/>
      <c r="D305" s="253"/>
      <c r="F305" s="250"/>
      <c r="G305" s="254"/>
      <c r="H305" s="251"/>
    </row>
    <row r="306">
      <c r="A306" s="265"/>
      <c r="B306" s="268"/>
      <c r="C306" s="252"/>
      <c r="D306" s="253"/>
      <c r="F306" s="250"/>
      <c r="G306" s="254"/>
      <c r="H306" s="251"/>
    </row>
    <row r="307">
      <c r="A307" s="265"/>
      <c r="B307" s="268"/>
      <c r="C307" s="252"/>
      <c r="D307" s="253"/>
      <c r="F307" s="250"/>
      <c r="G307" s="269"/>
      <c r="H307" s="251"/>
    </row>
    <row r="308">
      <c r="A308" s="265"/>
      <c r="B308" s="268"/>
      <c r="C308" s="252"/>
      <c r="D308" s="253"/>
      <c r="F308" s="250"/>
      <c r="G308" s="269"/>
      <c r="H308" s="251"/>
    </row>
    <row r="309">
      <c r="A309" s="265"/>
      <c r="B309" s="268"/>
      <c r="C309" s="252"/>
      <c r="D309" s="253"/>
      <c r="F309" s="250"/>
      <c r="G309" s="269"/>
      <c r="H309" s="251"/>
    </row>
    <row r="310">
      <c r="A310" s="270"/>
      <c r="B310" s="271"/>
      <c r="C310" s="272"/>
      <c r="D310" s="273"/>
      <c r="E310" s="18"/>
      <c r="F310" s="274"/>
      <c r="G310" s="275"/>
      <c r="H310" s="261"/>
    </row>
    <row r="311">
      <c r="A311" s="262" t="s">
        <v>723</v>
      </c>
      <c r="B311" s="239"/>
      <c r="C311" s="263"/>
      <c r="D311" s="264"/>
      <c r="E311" s="242"/>
      <c r="F311" s="250">
        <v>90.0</v>
      </c>
      <c r="G311" s="254" t="s">
        <v>552</v>
      </c>
      <c r="H311" s="245">
        <v>29.0</v>
      </c>
      <c r="I311" s="2" t="s">
        <v>59</v>
      </c>
    </row>
    <row r="312">
      <c r="A312" s="265"/>
      <c r="B312" s="247"/>
      <c r="C312" s="252"/>
      <c r="D312" s="253"/>
      <c r="F312" s="250">
        <v>40.0</v>
      </c>
      <c r="G312" s="254" t="s">
        <v>97</v>
      </c>
      <c r="H312" s="251"/>
    </row>
    <row r="313">
      <c r="A313" s="265"/>
      <c r="B313" s="247"/>
      <c r="C313" s="248">
        <v>46850.5</v>
      </c>
      <c r="D313" s="249"/>
      <c r="F313" s="250"/>
      <c r="G313" s="254" t="s">
        <v>71</v>
      </c>
      <c r="H313" s="251"/>
    </row>
    <row r="314">
      <c r="A314" s="265"/>
      <c r="B314" s="247">
        <v>34041.93</v>
      </c>
      <c r="C314" s="248"/>
      <c r="D314" s="249"/>
      <c r="F314" s="250"/>
      <c r="G314" s="254" t="s">
        <v>73</v>
      </c>
      <c r="H314" s="251"/>
    </row>
    <row r="315">
      <c r="A315" s="265"/>
      <c r="B315" s="247">
        <v>17112.44</v>
      </c>
      <c r="C315" s="252"/>
      <c r="D315" s="249"/>
      <c r="F315" s="250"/>
      <c r="G315" s="254" t="s">
        <v>74</v>
      </c>
      <c r="H315" s="251"/>
    </row>
    <row r="316">
      <c r="A316" s="265"/>
      <c r="B316" s="247"/>
      <c r="C316" s="252"/>
      <c r="D316" s="249"/>
      <c r="F316" s="250"/>
      <c r="G316" s="254"/>
      <c r="H316" s="251"/>
    </row>
    <row r="317">
      <c r="A317" s="265"/>
      <c r="B317" s="247"/>
      <c r="C317" s="252"/>
      <c r="D317" s="249"/>
      <c r="F317" s="250"/>
      <c r="G317" s="254"/>
      <c r="H317" s="251"/>
    </row>
    <row r="318">
      <c r="A318" s="265"/>
      <c r="B318" s="247"/>
      <c r="C318" s="252"/>
      <c r="D318" s="253"/>
      <c r="F318" s="250"/>
      <c r="G318" s="254"/>
      <c r="H318" s="251"/>
    </row>
    <row r="319">
      <c r="A319" s="265"/>
      <c r="B319" s="268"/>
      <c r="C319" s="252"/>
      <c r="D319" s="253"/>
      <c r="F319" s="250"/>
      <c r="G319" s="254"/>
      <c r="H319" s="251"/>
    </row>
    <row r="320">
      <c r="A320" s="265"/>
      <c r="B320" s="268"/>
      <c r="C320" s="252"/>
      <c r="D320" s="253"/>
      <c r="F320" s="250"/>
      <c r="G320" s="254"/>
      <c r="H320" s="251"/>
    </row>
    <row r="321">
      <c r="A321" s="265"/>
      <c r="B321" s="268"/>
      <c r="C321" s="252"/>
      <c r="D321" s="253"/>
      <c r="F321" s="250"/>
      <c r="G321" s="254"/>
      <c r="H321" s="251"/>
    </row>
    <row r="322">
      <c r="A322" s="265"/>
      <c r="B322" s="247"/>
      <c r="C322" s="252"/>
      <c r="D322" s="253"/>
      <c r="F322" s="250"/>
      <c r="G322" s="269"/>
      <c r="H322" s="251"/>
    </row>
    <row r="323">
      <c r="A323" s="265"/>
      <c r="B323" s="268"/>
      <c r="C323" s="252"/>
      <c r="D323" s="253"/>
      <c r="F323" s="250"/>
      <c r="G323" s="269"/>
      <c r="H323" s="251"/>
    </row>
    <row r="324">
      <c r="A324" s="265"/>
      <c r="B324" s="268"/>
      <c r="C324" s="252"/>
      <c r="D324" s="253"/>
      <c r="F324" s="250"/>
      <c r="G324" s="269"/>
      <c r="H324" s="251"/>
    </row>
    <row r="325">
      <c r="A325" s="270"/>
      <c r="B325" s="271"/>
      <c r="C325" s="272"/>
      <c r="D325" s="273"/>
      <c r="E325" s="18"/>
      <c r="F325" s="274"/>
      <c r="G325" s="18"/>
      <c r="H325" s="261"/>
    </row>
    <row r="326">
      <c r="A326" s="262" t="s">
        <v>727</v>
      </c>
      <c r="B326" s="239"/>
      <c r="C326" s="263"/>
      <c r="D326" s="264"/>
      <c r="E326" s="242"/>
      <c r="F326" s="243">
        <f>595+1200</f>
        <v>1795</v>
      </c>
      <c r="G326" s="244" t="s">
        <v>97</v>
      </c>
      <c r="H326" s="245">
        <v>20.0</v>
      </c>
      <c r="I326" s="2" t="s">
        <v>59</v>
      </c>
    </row>
    <row r="327">
      <c r="A327" s="265"/>
      <c r="B327" s="247">
        <v>20300.0</v>
      </c>
      <c r="C327" s="248"/>
      <c r="D327" s="249"/>
      <c r="F327" s="250"/>
      <c r="G327" s="2" t="s">
        <v>75</v>
      </c>
      <c r="H327" s="267">
        <v>11200.0</v>
      </c>
      <c r="I327" s="2" t="s">
        <v>2632</v>
      </c>
    </row>
    <row r="328">
      <c r="A328" s="265"/>
      <c r="B328" s="247">
        <v>23400.0</v>
      </c>
      <c r="C328" s="248"/>
      <c r="D328" s="249"/>
      <c r="F328" s="250"/>
      <c r="G328" s="2" t="s">
        <v>87</v>
      </c>
      <c r="H328" s="251"/>
    </row>
    <row r="329">
      <c r="A329" s="265"/>
      <c r="B329" s="247">
        <v>9077.59</v>
      </c>
      <c r="C329" s="252"/>
      <c r="D329" s="253"/>
      <c r="F329" s="250"/>
      <c r="G329" s="2" t="s">
        <v>82</v>
      </c>
      <c r="H329" s="251"/>
    </row>
    <row r="330">
      <c r="A330" s="265"/>
      <c r="B330" s="247">
        <v>13049.28</v>
      </c>
      <c r="C330" s="248"/>
      <c r="D330" s="249"/>
      <c r="F330" s="250"/>
      <c r="G330" s="2" t="s">
        <v>114</v>
      </c>
      <c r="H330" s="251"/>
    </row>
    <row r="331">
      <c r="A331" s="265"/>
      <c r="B331" s="247">
        <v>4600.0</v>
      </c>
      <c r="C331" s="252"/>
      <c r="D331" s="249"/>
      <c r="F331" s="250"/>
      <c r="G331" s="2" t="s">
        <v>2633</v>
      </c>
      <c r="H331" s="251"/>
    </row>
    <row r="332">
      <c r="A332" s="265"/>
      <c r="B332" s="247"/>
      <c r="C332" s="252"/>
      <c r="D332" s="249"/>
      <c r="F332" s="250">
        <v>2000.0</v>
      </c>
      <c r="G332" s="2" t="s">
        <v>2543</v>
      </c>
      <c r="H332" s="251"/>
    </row>
    <row r="333">
      <c r="A333" s="265"/>
      <c r="B333" s="247"/>
      <c r="C333" s="252"/>
      <c r="D333" s="253"/>
      <c r="F333" s="250">
        <v>2500.0</v>
      </c>
      <c r="G333" s="2" t="s">
        <v>101</v>
      </c>
      <c r="H333" s="251"/>
    </row>
    <row r="334">
      <c r="A334" s="265"/>
      <c r="B334" s="247"/>
      <c r="C334" s="252"/>
      <c r="D334" s="249"/>
      <c r="F334" s="250"/>
      <c r="H334" s="251"/>
    </row>
    <row r="335">
      <c r="A335" s="265"/>
      <c r="B335" s="247"/>
      <c r="C335" s="252"/>
      <c r="D335" s="253"/>
      <c r="F335" s="250"/>
      <c r="H335" s="251"/>
    </row>
    <row r="336">
      <c r="A336" s="265"/>
      <c r="B336" s="247"/>
      <c r="C336" s="252"/>
      <c r="D336" s="253"/>
      <c r="F336" s="250"/>
      <c r="H336" s="251"/>
    </row>
    <row r="337">
      <c r="A337" s="265"/>
      <c r="B337" s="247"/>
      <c r="C337" s="252"/>
      <c r="D337" s="249"/>
      <c r="F337" s="250"/>
      <c r="H337" s="251"/>
    </row>
    <row r="338">
      <c r="A338" s="270"/>
      <c r="B338" s="271"/>
      <c r="C338" s="272"/>
      <c r="D338" s="273"/>
      <c r="E338" s="18"/>
      <c r="F338" s="259"/>
      <c r="G338" s="293"/>
      <c r="H338" s="261"/>
    </row>
    <row r="339">
      <c r="A339" s="262" t="s">
        <v>728</v>
      </c>
      <c r="B339" s="239">
        <v>17200.0</v>
      </c>
      <c r="C339" s="263"/>
      <c r="D339" s="264"/>
      <c r="E339" s="242"/>
      <c r="F339" s="243"/>
      <c r="G339" s="244" t="s">
        <v>76</v>
      </c>
      <c r="H339" s="245">
        <v>60.0</v>
      </c>
      <c r="I339" s="2" t="s">
        <v>72</v>
      </c>
    </row>
    <row r="340">
      <c r="A340" s="265"/>
      <c r="B340" s="247">
        <v>48642.0</v>
      </c>
      <c r="C340" s="248"/>
      <c r="D340" s="249"/>
      <c r="F340" s="250"/>
      <c r="G340" s="2" t="s">
        <v>167</v>
      </c>
      <c r="H340" s="251"/>
    </row>
    <row r="341">
      <c r="A341" s="265"/>
      <c r="B341" s="247">
        <v>33013.45</v>
      </c>
      <c r="C341" s="248"/>
      <c r="D341" s="249"/>
      <c r="F341" s="250"/>
      <c r="G341" s="2" t="s">
        <v>103</v>
      </c>
      <c r="H341" s="251"/>
    </row>
    <row r="342">
      <c r="A342" s="265"/>
      <c r="B342" s="247"/>
      <c r="C342" s="248"/>
      <c r="D342" s="249"/>
      <c r="F342" s="250"/>
      <c r="H342" s="251"/>
    </row>
    <row r="343">
      <c r="A343" s="265"/>
      <c r="B343" s="247"/>
      <c r="C343" s="248"/>
      <c r="D343" s="249"/>
      <c r="F343" s="250"/>
      <c r="H343" s="251"/>
    </row>
    <row r="344">
      <c r="A344" s="265"/>
      <c r="B344" s="247"/>
      <c r="C344" s="252"/>
      <c r="D344" s="253"/>
      <c r="F344" s="250"/>
      <c r="H344" s="251"/>
    </row>
    <row r="345">
      <c r="A345" s="265"/>
      <c r="B345" s="247"/>
      <c r="C345" s="252"/>
      <c r="D345" s="249"/>
      <c r="F345" s="250"/>
      <c r="H345" s="251"/>
    </row>
    <row r="346">
      <c r="A346" s="265"/>
      <c r="B346" s="247"/>
      <c r="C346" s="252"/>
      <c r="D346" s="249"/>
      <c r="F346" s="250"/>
      <c r="H346" s="251"/>
    </row>
    <row r="347">
      <c r="A347" s="265"/>
      <c r="B347" s="247"/>
      <c r="C347" s="252"/>
      <c r="D347" s="253"/>
      <c r="F347" s="250"/>
      <c r="H347" s="251"/>
    </row>
    <row r="348">
      <c r="A348" s="265"/>
      <c r="B348" s="247"/>
      <c r="C348" s="252"/>
      <c r="D348" s="253"/>
      <c r="F348" s="250"/>
      <c r="H348" s="251"/>
    </row>
    <row r="349">
      <c r="A349" s="265"/>
      <c r="B349" s="268"/>
      <c r="C349" s="252"/>
      <c r="D349" s="253"/>
      <c r="F349" s="250"/>
      <c r="H349" s="251"/>
    </row>
    <row r="350">
      <c r="A350" s="265"/>
      <c r="B350" s="247"/>
      <c r="C350" s="252"/>
      <c r="D350" s="253"/>
      <c r="F350" s="250"/>
      <c r="H350" s="251"/>
    </row>
    <row r="351">
      <c r="A351" s="265"/>
      <c r="B351" s="268"/>
      <c r="C351" s="252"/>
      <c r="D351" s="253"/>
      <c r="F351" s="250"/>
      <c r="H351" s="251"/>
    </row>
    <row r="352">
      <c r="A352" s="265"/>
      <c r="B352" s="268"/>
      <c r="C352" s="252"/>
      <c r="D352" s="253"/>
      <c r="F352" s="250"/>
      <c r="H352" s="251"/>
    </row>
    <row r="353">
      <c r="A353" s="265"/>
      <c r="B353" s="268"/>
      <c r="C353" s="252"/>
      <c r="D353" s="253"/>
      <c r="F353" s="250"/>
      <c r="H353" s="251"/>
    </row>
    <row r="354">
      <c r="A354" s="265"/>
      <c r="B354" s="268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70"/>
      <c r="B356" s="271"/>
      <c r="C356" s="272"/>
      <c r="D356" s="273"/>
      <c r="E356" s="18"/>
      <c r="F356" s="274"/>
      <c r="G356" s="18"/>
      <c r="H356" s="261"/>
    </row>
    <row r="357">
      <c r="A357" s="262" t="s">
        <v>729</v>
      </c>
      <c r="B357" s="239">
        <v>9004.38</v>
      </c>
      <c r="C357" s="240"/>
      <c r="D357" s="241"/>
      <c r="E357" s="242"/>
      <c r="F357" s="243"/>
      <c r="G357" s="244" t="s">
        <v>82</v>
      </c>
      <c r="H357" s="245">
        <v>42.0</v>
      </c>
    </row>
    <row r="358">
      <c r="A358" s="265"/>
      <c r="B358" s="247"/>
      <c r="C358" s="248">
        <v>22596.99</v>
      </c>
      <c r="D358" s="249"/>
      <c r="F358" s="250"/>
      <c r="G358" s="2" t="s">
        <v>84</v>
      </c>
      <c r="H358" s="267"/>
    </row>
    <row r="359">
      <c r="A359" s="265"/>
      <c r="B359" s="247"/>
      <c r="C359" s="248">
        <v>26165.5</v>
      </c>
      <c r="D359" s="253"/>
      <c r="F359" s="250"/>
      <c r="G359" s="2" t="s">
        <v>89</v>
      </c>
      <c r="H359" s="251"/>
    </row>
    <row r="360">
      <c r="A360" s="265"/>
      <c r="B360" s="247"/>
      <c r="C360" s="248"/>
      <c r="D360" s="249"/>
      <c r="F360" s="250">
        <v>1600.0</v>
      </c>
      <c r="G360" s="2" t="s">
        <v>85</v>
      </c>
      <c r="H360" s="251"/>
    </row>
    <row r="361">
      <c r="A361" s="265"/>
      <c r="B361" s="247">
        <v>33013.48</v>
      </c>
      <c r="C361" s="252"/>
      <c r="D361" s="249"/>
      <c r="F361" s="250"/>
      <c r="G361" s="2" t="s">
        <v>103</v>
      </c>
      <c r="H361" s="251"/>
    </row>
    <row r="362">
      <c r="A362" s="265"/>
      <c r="B362" s="247"/>
      <c r="C362" s="252"/>
      <c r="D362" s="253"/>
      <c r="F362" s="250"/>
      <c r="H362" s="251"/>
    </row>
    <row r="363">
      <c r="A363" s="265"/>
      <c r="B363" s="247"/>
      <c r="C363" s="252"/>
      <c r="D363" s="253"/>
      <c r="F363" s="250"/>
      <c r="H363" s="251"/>
    </row>
    <row r="364">
      <c r="A364" s="265"/>
      <c r="B364" s="268"/>
      <c r="C364" s="252"/>
      <c r="D364" s="249"/>
      <c r="F364" s="250"/>
      <c r="H364" s="251"/>
    </row>
    <row r="365">
      <c r="A365" s="265"/>
      <c r="B365" s="268"/>
      <c r="C365" s="252"/>
      <c r="D365" s="253"/>
      <c r="F365" s="250"/>
      <c r="H365" s="251"/>
    </row>
    <row r="366">
      <c r="A366" s="265"/>
      <c r="B366" s="247"/>
      <c r="C366" s="252"/>
      <c r="D366" s="253"/>
      <c r="F366" s="250"/>
      <c r="H366" s="251"/>
    </row>
    <row r="367">
      <c r="A367" s="265"/>
      <c r="B367" s="268"/>
      <c r="C367" s="252"/>
      <c r="D367" s="253"/>
      <c r="F367" s="250"/>
      <c r="H367" s="251"/>
    </row>
    <row r="368">
      <c r="A368" s="265"/>
      <c r="B368" s="247"/>
      <c r="C368" s="252"/>
      <c r="D368" s="253"/>
      <c r="F368" s="250"/>
      <c r="H368" s="251"/>
    </row>
    <row r="369">
      <c r="A369" s="265"/>
      <c r="B369" s="268"/>
      <c r="C369" s="252"/>
      <c r="D369" s="253"/>
      <c r="F369" s="250"/>
      <c r="H369" s="251"/>
    </row>
    <row r="370">
      <c r="A370" s="265"/>
      <c r="B370" s="268"/>
      <c r="C370" s="252"/>
      <c r="D370" s="253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68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70"/>
      <c r="B374" s="271"/>
      <c r="C374" s="272"/>
      <c r="D374" s="273"/>
      <c r="E374" s="18"/>
      <c r="F374" s="274"/>
      <c r="G374" s="18"/>
      <c r="H374" s="261"/>
    </row>
    <row r="375">
      <c r="A375" s="262"/>
      <c r="B375" s="239"/>
      <c r="C375" s="240"/>
      <c r="D375" s="264"/>
      <c r="E375" s="242"/>
      <c r="F375" s="243"/>
      <c r="H375" s="245"/>
    </row>
    <row r="376">
      <c r="A376" s="265"/>
      <c r="B376" s="247"/>
      <c r="C376" s="248"/>
      <c r="D376" s="288"/>
      <c r="F376" s="250"/>
      <c r="H376" s="267"/>
    </row>
    <row r="377">
      <c r="A377" s="265"/>
      <c r="B377" s="247"/>
      <c r="C377" s="248"/>
      <c r="D377" s="249"/>
      <c r="F377" s="250"/>
      <c r="H377" s="267"/>
    </row>
    <row r="378">
      <c r="A378" s="265"/>
      <c r="B378" s="247"/>
      <c r="C378" s="252"/>
      <c r="D378" s="249"/>
      <c r="F378" s="250"/>
      <c r="H378" s="251"/>
    </row>
    <row r="379">
      <c r="A379" s="265"/>
      <c r="B379" s="268"/>
      <c r="C379" s="252"/>
      <c r="D379" s="253"/>
      <c r="F379" s="250"/>
      <c r="H379" s="294"/>
    </row>
    <row r="380">
      <c r="A380" s="265"/>
      <c r="B380" s="247"/>
      <c r="C380" s="252"/>
      <c r="D380" s="249"/>
      <c r="F380" s="250"/>
      <c r="H380" s="251"/>
    </row>
    <row r="381">
      <c r="A381" s="265"/>
      <c r="B381" s="247"/>
      <c r="C381" s="252"/>
      <c r="D381" s="249"/>
      <c r="F381" s="250"/>
      <c r="H381" s="251"/>
    </row>
    <row r="382">
      <c r="A382" s="265"/>
      <c r="B382" s="268"/>
      <c r="C382" s="252"/>
      <c r="D382" s="249"/>
      <c r="F382" s="250"/>
      <c r="H382" s="267"/>
    </row>
    <row r="383">
      <c r="A383" s="265"/>
      <c r="B383" s="268"/>
      <c r="C383" s="252"/>
      <c r="D383" s="249"/>
      <c r="F383" s="250"/>
      <c r="H383" s="251"/>
    </row>
    <row r="384">
      <c r="A384" s="265"/>
      <c r="B384" s="247"/>
      <c r="C384" s="252"/>
      <c r="D384" s="249"/>
      <c r="F384" s="250"/>
      <c r="H384" s="267"/>
    </row>
    <row r="385">
      <c r="A385" s="270"/>
      <c r="B385" s="271"/>
      <c r="C385" s="272"/>
      <c r="D385" s="295"/>
      <c r="E385" s="18"/>
      <c r="F385" s="274"/>
      <c r="G385" s="293"/>
      <c r="H385" s="261"/>
    </row>
    <row r="386">
      <c r="A386" s="262" t="s">
        <v>187</v>
      </c>
      <c r="B386" s="239"/>
      <c r="C386" s="240"/>
      <c r="D386" s="264"/>
      <c r="E386" s="242"/>
      <c r="F386" s="243"/>
      <c r="G386" s="2" t="s">
        <v>188</v>
      </c>
      <c r="H386" s="297"/>
      <c r="I386" s="2" t="s">
        <v>189</v>
      </c>
    </row>
    <row r="387">
      <c r="A387" s="265"/>
      <c r="B387" s="247"/>
      <c r="C387" s="248"/>
      <c r="D387" s="812">
        <v>20172.58</v>
      </c>
      <c r="F387" s="250"/>
      <c r="G387" s="2" t="s">
        <v>190</v>
      </c>
      <c r="H387" s="294">
        <v>44873.0</v>
      </c>
    </row>
    <row r="388">
      <c r="A388" s="265"/>
      <c r="B388" s="247"/>
      <c r="C388" s="248"/>
      <c r="D388" s="249"/>
      <c r="F388" s="250"/>
      <c r="G388" s="2" t="s">
        <v>191</v>
      </c>
      <c r="H388" s="294"/>
    </row>
    <row r="389">
      <c r="A389" s="265"/>
      <c r="B389" s="268"/>
      <c r="C389" s="252"/>
      <c r="D389" s="249">
        <v>66550.0</v>
      </c>
      <c r="F389" s="250"/>
      <c r="G389" s="2" t="s">
        <v>192</v>
      </c>
      <c r="H389" s="294">
        <v>44880.0</v>
      </c>
    </row>
    <row r="390">
      <c r="A390" s="265"/>
      <c r="B390" s="268"/>
      <c r="C390" s="252"/>
      <c r="D390" s="253"/>
      <c r="F390" s="250">
        <v>46000.0</v>
      </c>
      <c r="G390" s="2" t="s">
        <v>193</v>
      </c>
      <c r="H390" s="294">
        <v>44893.0</v>
      </c>
    </row>
    <row r="391">
      <c r="A391" s="265"/>
      <c r="B391" s="247">
        <v>26841.0</v>
      </c>
      <c r="C391" s="252"/>
      <c r="D391" s="249"/>
      <c r="F391" s="250"/>
      <c r="G391" s="2" t="s">
        <v>194</v>
      </c>
      <c r="H391" s="294">
        <v>44875.0</v>
      </c>
    </row>
    <row r="392">
      <c r="A392" s="265"/>
      <c r="B392" s="247"/>
      <c r="C392" s="252"/>
      <c r="D392" s="249">
        <v>30000.0</v>
      </c>
      <c r="F392" s="250"/>
      <c r="G392" s="2" t="s">
        <v>196</v>
      </c>
      <c r="H392" s="294">
        <v>44866.0</v>
      </c>
    </row>
    <row r="393">
      <c r="A393" s="265"/>
      <c r="B393" s="247">
        <v>7326.74</v>
      </c>
      <c r="C393" s="252"/>
      <c r="D393" s="249"/>
      <c r="F393" s="250"/>
      <c r="G393" s="2" t="s">
        <v>2285</v>
      </c>
      <c r="H393" s="251"/>
      <c r="I393" s="2" t="s">
        <v>189</v>
      </c>
    </row>
    <row r="394">
      <c r="A394" s="265"/>
      <c r="B394" s="268"/>
      <c r="C394" s="252"/>
      <c r="D394" s="249">
        <v>7747.65</v>
      </c>
      <c r="F394" s="250"/>
      <c r="G394" s="2" t="s">
        <v>199</v>
      </c>
      <c r="H394" s="294">
        <v>44872.0</v>
      </c>
      <c r="I394" s="2" t="s">
        <v>189</v>
      </c>
    </row>
    <row r="395">
      <c r="A395" s="265"/>
      <c r="B395" s="247"/>
      <c r="C395" s="252"/>
      <c r="D395" s="249">
        <v>15552.57</v>
      </c>
      <c r="F395" s="250"/>
      <c r="G395" s="2" t="s">
        <v>200</v>
      </c>
      <c r="H395" s="294">
        <v>44873.0</v>
      </c>
      <c r="I395" s="2" t="s">
        <v>189</v>
      </c>
    </row>
    <row r="396">
      <c r="A396" s="265"/>
      <c r="B396" s="278"/>
      <c r="C396" s="248"/>
      <c r="D396" s="295">
        <v>6467.9</v>
      </c>
      <c r="F396" s="282"/>
      <c r="G396" s="2" t="s">
        <v>201</v>
      </c>
      <c r="H396" s="294"/>
      <c r="I396" s="2" t="s">
        <v>189</v>
      </c>
    </row>
    <row r="397">
      <c r="A397" s="270"/>
      <c r="B397" s="278"/>
      <c r="C397" s="248"/>
      <c r="D397" s="295"/>
      <c r="F397" s="282"/>
      <c r="H397" s="294"/>
    </row>
    <row r="398">
      <c r="A398" s="299"/>
      <c r="B398" s="278"/>
      <c r="C398" s="248"/>
      <c r="D398" s="300">
        <v>133229.37</v>
      </c>
      <c r="F398" s="282"/>
      <c r="G398" s="2" t="s">
        <v>202</v>
      </c>
      <c r="H398" s="301">
        <v>44873.0</v>
      </c>
      <c r="I398" s="2" t="s">
        <v>203</v>
      </c>
    </row>
    <row r="399">
      <c r="A399" s="299"/>
      <c r="B399" s="278"/>
      <c r="C399" s="248"/>
      <c r="D399" s="295"/>
      <c r="F399" s="250"/>
      <c r="G399" s="2" t="s">
        <v>204</v>
      </c>
      <c r="H399" s="301"/>
    </row>
    <row r="400">
      <c r="A400" s="299"/>
      <c r="B400" s="278"/>
      <c r="C400" s="252"/>
      <c r="D400" s="253"/>
      <c r="F400" s="250"/>
      <c r="G400" s="2" t="s">
        <v>205</v>
      </c>
      <c r="H400" s="302"/>
    </row>
    <row r="401">
      <c r="A401" s="303"/>
      <c r="B401" s="268"/>
      <c r="C401" s="252"/>
      <c r="D401" s="249">
        <v>251808.38</v>
      </c>
      <c r="F401" s="250"/>
      <c r="G401" s="2" t="s">
        <v>206</v>
      </c>
      <c r="H401" s="294">
        <v>44894.0</v>
      </c>
      <c r="I401" s="2" t="s">
        <v>207</v>
      </c>
    </row>
    <row r="402">
      <c r="A402" s="303"/>
      <c r="B402" s="247">
        <v>7160.86</v>
      </c>
      <c r="C402" s="252"/>
      <c r="D402" s="249"/>
      <c r="F402" s="250"/>
      <c r="G402" s="2" t="s">
        <v>208</v>
      </c>
      <c r="H402" s="294">
        <v>44873.0</v>
      </c>
    </row>
    <row r="403">
      <c r="A403" s="303"/>
      <c r="B403" s="268"/>
      <c r="C403" s="252"/>
      <c r="D403" s="253"/>
      <c r="F403" s="250"/>
      <c r="H403" s="251"/>
    </row>
    <row r="404">
      <c r="A404" s="303"/>
      <c r="B404" s="268"/>
      <c r="C404" s="252"/>
      <c r="D404" s="253"/>
      <c r="F404" s="250"/>
      <c r="H404" s="251"/>
    </row>
    <row r="405">
      <c r="A405" s="303"/>
      <c r="B405" s="268"/>
      <c r="C405" s="252"/>
      <c r="D405" s="253"/>
      <c r="F405" s="250"/>
      <c r="H405" s="251"/>
    </row>
    <row r="406">
      <c r="A406" s="303"/>
      <c r="B406" s="268"/>
      <c r="C406" s="252"/>
      <c r="D406" s="253"/>
      <c r="F406" s="250"/>
      <c r="H406" s="251"/>
    </row>
    <row r="407">
      <c r="A407" s="304"/>
      <c r="B407" s="271"/>
      <c r="C407" s="272"/>
      <c r="D407" s="273"/>
      <c r="E407" s="18"/>
      <c r="F407" s="274"/>
      <c r="G407" s="18"/>
      <c r="H407" s="261"/>
    </row>
    <row r="408">
      <c r="A408" s="305"/>
      <c r="B408" s="306"/>
      <c r="C408" s="240"/>
      <c r="D408" s="241"/>
      <c r="E408" s="242"/>
      <c r="F408" s="243"/>
      <c r="G408" s="244"/>
      <c r="H408" s="307"/>
    </row>
    <row r="409">
      <c r="A409" s="265"/>
      <c r="B409" s="268"/>
      <c r="C409" s="252"/>
      <c r="D409" s="253"/>
      <c r="F409" s="250"/>
      <c r="H409" s="251"/>
    </row>
    <row r="410">
      <c r="A410" s="265"/>
      <c r="B410" s="268"/>
      <c r="C410" s="252"/>
      <c r="D410" s="253"/>
      <c r="F410" s="250"/>
      <c r="H410" s="251"/>
    </row>
    <row r="411">
      <c r="A411" s="265"/>
      <c r="B411" s="268"/>
      <c r="C411" s="252"/>
      <c r="D411" s="253"/>
      <c r="F411" s="250"/>
      <c r="H411" s="251"/>
    </row>
    <row r="412">
      <c r="A412" s="265"/>
      <c r="B412" s="268"/>
      <c r="C412" s="252"/>
      <c r="D412" s="253"/>
      <c r="F412" s="250"/>
      <c r="H412" s="251"/>
    </row>
    <row r="413">
      <c r="A413" s="265"/>
      <c r="B413" s="268"/>
      <c r="C413" s="252"/>
      <c r="D413" s="253"/>
      <c r="F413" s="250"/>
      <c r="H413" s="251"/>
    </row>
    <row r="414">
      <c r="A414" s="265"/>
      <c r="B414" s="268"/>
      <c r="C414" s="252"/>
      <c r="D414" s="253"/>
      <c r="F414" s="250"/>
      <c r="H414" s="251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70"/>
      <c r="B417" s="271"/>
      <c r="C417" s="272"/>
      <c r="D417" s="273"/>
      <c r="E417" s="18"/>
      <c r="F417" s="274"/>
      <c r="G417" s="18"/>
      <c r="H417" s="261"/>
    </row>
    <row r="418">
      <c r="A418" s="305"/>
      <c r="B418" s="306"/>
      <c r="C418" s="240"/>
      <c r="D418" s="241"/>
      <c r="E418" s="242"/>
      <c r="F418" s="243"/>
      <c r="G418" s="244"/>
      <c r="H418" s="307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70"/>
      <c r="B427" s="271"/>
      <c r="C427" s="272"/>
      <c r="D427" s="273"/>
      <c r="E427" s="18"/>
      <c r="F427" s="274"/>
      <c r="G427" s="18"/>
      <c r="H427" s="261"/>
    </row>
    <row r="428">
      <c r="B428" s="306"/>
      <c r="C428" s="240"/>
      <c r="D428" s="241"/>
      <c r="E428" s="242"/>
      <c r="F428" s="243"/>
      <c r="G428" s="244"/>
      <c r="H428" s="307"/>
    </row>
    <row r="429">
      <c r="B429" s="268"/>
      <c r="C429" s="252"/>
      <c r="D429" s="253"/>
      <c r="F429" s="250"/>
      <c r="H429" s="251"/>
    </row>
    <row r="430">
      <c r="B430" s="268"/>
      <c r="C430" s="252"/>
      <c r="D430" s="253"/>
      <c r="F430" s="250"/>
      <c r="H430" s="251"/>
    </row>
    <row r="431">
      <c r="B431" s="308"/>
      <c r="C431" s="252"/>
      <c r="D431" s="253"/>
      <c r="F431" s="309"/>
      <c r="H431" s="302"/>
    </row>
    <row r="432">
      <c r="B432" s="308"/>
      <c r="C432" s="252"/>
      <c r="D432" s="253"/>
      <c r="F432" s="309"/>
      <c r="H432" s="302"/>
    </row>
    <row r="433">
      <c r="B433" s="308"/>
      <c r="C433" s="252"/>
      <c r="D433" s="253"/>
      <c r="F433" s="309"/>
      <c r="H433" s="302"/>
    </row>
    <row r="434">
      <c r="B434" s="308"/>
      <c r="C434" s="252"/>
      <c r="D434" s="253"/>
      <c r="F434" s="309"/>
      <c r="H434" s="302"/>
    </row>
    <row r="435">
      <c r="B435" s="308"/>
      <c r="C435" s="252"/>
      <c r="D435" s="253"/>
      <c r="F435" s="309"/>
      <c r="H435" s="302"/>
    </row>
    <row r="436">
      <c r="B436" s="308"/>
      <c r="C436" s="252"/>
      <c r="D436" s="253"/>
      <c r="F436" s="309"/>
      <c r="H436" s="302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</sheetData>
  <mergeCells count="29">
    <mergeCell ref="A15:A27"/>
    <mergeCell ref="A28:A41"/>
    <mergeCell ref="A44:A53"/>
    <mergeCell ref="A54:A67"/>
    <mergeCell ref="A68:A79"/>
    <mergeCell ref="A80:A95"/>
    <mergeCell ref="A96:A109"/>
    <mergeCell ref="A110:A127"/>
    <mergeCell ref="A128:A142"/>
    <mergeCell ref="A143:A157"/>
    <mergeCell ref="A158:A167"/>
    <mergeCell ref="A168:A182"/>
    <mergeCell ref="A183:A198"/>
    <mergeCell ref="A199:A213"/>
    <mergeCell ref="A311:A325"/>
    <mergeCell ref="A326:A338"/>
    <mergeCell ref="A339:A356"/>
    <mergeCell ref="A357:A374"/>
    <mergeCell ref="A375:A385"/>
    <mergeCell ref="A386:A397"/>
    <mergeCell ref="A408:A417"/>
    <mergeCell ref="A418:A427"/>
    <mergeCell ref="A214:A225"/>
    <mergeCell ref="A226:A240"/>
    <mergeCell ref="A241:A254"/>
    <mergeCell ref="A255:A268"/>
    <mergeCell ref="A269:A281"/>
    <mergeCell ref="A282:A295"/>
    <mergeCell ref="A296:A3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/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39">
        <v>8400.0</v>
      </c>
      <c r="C2" s="263"/>
      <c r="D2" s="264"/>
      <c r="E2" s="242"/>
      <c r="F2" s="243"/>
      <c r="G2" s="276" t="s">
        <v>2634</v>
      </c>
      <c r="H2" s="245">
        <v>40.0</v>
      </c>
      <c r="I2" s="2" t="s">
        <v>59</v>
      </c>
    </row>
    <row r="3">
      <c r="A3" s="246"/>
      <c r="B3" s="247">
        <v>11031.48</v>
      </c>
      <c r="C3" s="248"/>
      <c r="D3" s="249"/>
      <c r="F3" s="250"/>
      <c r="G3" s="254" t="s">
        <v>114</v>
      </c>
      <c r="H3" s="251"/>
    </row>
    <row r="4">
      <c r="A4" s="246"/>
      <c r="B4" s="247"/>
      <c r="C4" s="248"/>
      <c r="D4" s="249"/>
      <c r="F4" s="250">
        <v>11600.0</v>
      </c>
      <c r="G4" s="254" t="s">
        <v>2635</v>
      </c>
      <c r="H4" s="251"/>
    </row>
    <row r="5">
      <c r="A5" s="246"/>
      <c r="B5" s="247"/>
      <c r="C5" s="248"/>
      <c r="D5" s="249"/>
      <c r="F5" s="250"/>
      <c r="G5" s="254"/>
      <c r="H5" s="251"/>
    </row>
    <row r="6">
      <c r="A6" s="246"/>
      <c r="B6" s="247"/>
      <c r="C6" s="248"/>
      <c r="D6" s="249"/>
      <c r="F6" s="250"/>
      <c r="G6" s="254"/>
      <c r="H6" s="251"/>
    </row>
    <row r="7">
      <c r="A7" s="246">
        <v>1.0</v>
      </c>
      <c r="B7" s="247"/>
      <c r="C7" s="248"/>
      <c r="D7" s="249"/>
      <c r="F7" s="250"/>
      <c r="G7" s="254"/>
      <c r="H7" s="251"/>
    </row>
    <row r="8">
      <c r="A8" s="246"/>
      <c r="B8" s="247"/>
      <c r="C8" s="248"/>
      <c r="D8" s="249"/>
      <c r="F8" s="250"/>
      <c r="G8" s="254"/>
      <c r="H8" s="251"/>
    </row>
    <row r="9">
      <c r="A9" s="246"/>
      <c r="B9" s="247"/>
      <c r="C9" s="248"/>
      <c r="D9" s="249"/>
      <c r="F9" s="250"/>
      <c r="G9" s="254"/>
      <c r="H9" s="251"/>
    </row>
    <row r="10">
      <c r="A10" s="246"/>
      <c r="B10" s="247"/>
      <c r="C10" s="248"/>
      <c r="D10" s="249"/>
      <c r="F10" s="250"/>
      <c r="G10" s="254"/>
      <c r="H10" s="251"/>
    </row>
    <row r="11">
      <c r="A11" s="246"/>
      <c r="B11" s="247"/>
      <c r="C11" s="248"/>
      <c r="D11" s="249"/>
      <c r="F11" s="250"/>
      <c r="G11" s="254"/>
      <c r="H11" s="251"/>
    </row>
    <row r="12">
      <c r="A12" s="246"/>
      <c r="B12" s="247"/>
      <c r="C12" s="248"/>
      <c r="D12" s="249"/>
      <c r="F12" s="250"/>
      <c r="G12" s="254"/>
      <c r="H12" s="251"/>
    </row>
    <row r="13">
      <c r="A13" s="246"/>
      <c r="B13" s="247"/>
      <c r="C13" s="248"/>
      <c r="D13" s="249"/>
      <c r="F13" s="250"/>
      <c r="G13" s="254"/>
      <c r="H13" s="251"/>
    </row>
    <row r="14">
      <c r="A14" s="255"/>
      <c r="B14" s="256"/>
      <c r="C14" s="257"/>
      <c r="D14" s="258"/>
      <c r="E14" s="18"/>
      <c r="F14" s="259"/>
      <c r="G14" s="260"/>
      <c r="H14" s="261"/>
    </row>
    <row r="15">
      <c r="A15" s="262"/>
      <c r="B15" s="239"/>
      <c r="C15" s="263"/>
      <c r="D15" s="264">
        <v>15240.0</v>
      </c>
      <c r="E15" s="242"/>
      <c r="F15" s="250"/>
      <c r="G15" s="2" t="s">
        <v>662</v>
      </c>
      <c r="H15" s="245">
        <v>110000.0</v>
      </c>
      <c r="I15" s="2" t="s">
        <v>2636</v>
      </c>
    </row>
    <row r="16">
      <c r="A16" s="265"/>
      <c r="B16" s="247"/>
      <c r="C16" s="248">
        <f>31511.28+20851.56</f>
        <v>52362.84</v>
      </c>
      <c r="D16" s="249"/>
      <c r="F16" s="266"/>
      <c r="G16" s="2" t="s">
        <v>2637</v>
      </c>
      <c r="H16" s="251"/>
    </row>
    <row r="17">
      <c r="A17" s="265"/>
      <c r="B17" s="247"/>
      <c r="C17" s="248"/>
      <c r="D17" s="249"/>
      <c r="F17" s="250"/>
      <c r="G17" s="2" t="s">
        <v>2638</v>
      </c>
      <c r="H17" s="251"/>
    </row>
    <row r="18">
      <c r="A18" s="265"/>
      <c r="B18" s="247">
        <v>10263.45</v>
      </c>
      <c r="C18" s="252"/>
      <c r="D18" s="249"/>
      <c r="F18" s="250"/>
      <c r="G18" s="2" t="s">
        <v>82</v>
      </c>
      <c r="H18" s="251"/>
    </row>
    <row r="19">
      <c r="A19" s="265"/>
      <c r="B19" s="247"/>
      <c r="C19" s="248"/>
      <c r="D19" s="249"/>
      <c r="F19" s="250">
        <v>652.0</v>
      </c>
      <c r="G19" s="2" t="s">
        <v>150</v>
      </c>
      <c r="H19" s="251"/>
    </row>
    <row r="20">
      <c r="A20" s="265"/>
      <c r="B20" s="247">
        <v>2500.0</v>
      </c>
      <c r="C20" s="252"/>
      <c r="D20" s="249"/>
      <c r="F20" s="250"/>
      <c r="G20" s="2" t="s">
        <v>101</v>
      </c>
      <c r="H20" s="251"/>
    </row>
    <row r="21">
      <c r="A21" s="265"/>
      <c r="B21" s="247">
        <v>26336.0</v>
      </c>
      <c r="C21" s="252"/>
      <c r="D21" s="253"/>
      <c r="F21" s="250"/>
      <c r="G21" s="254" t="s">
        <v>2623</v>
      </c>
      <c r="H21" s="251"/>
    </row>
    <row r="22">
      <c r="A22" s="265"/>
      <c r="B22" s="247"/>
      <c r="C22" s="252"/>
      <c r="D22" s="249"/>
      <c r="F22" s="250">
        <v>7000.0</v>
      </c>
      <c r="G22" s="254" t="s">
        <v>1661</v>
      </c>
      <c r="H22" s="267"/>
    </row>
    <row r="23">
      <c r="A23" s="265"/>
      <c r="B23" s="268"/>
      <c r="C23" s="252"/>
      <c r="D23" s="253"/>
      <c r="F23" s="250">
        <v>1750.0</v>
      </c>
      <c r="G23" s="254" t="s">
        <v>2639</v>
      </c>
      <c r="H23" s="267"/>
    </row>
    <row r="24">
      <c r="A24" s="265"/>
      <c r="B24" s="247"/>
      <c r="C24" s="252"/>
      <c r="D24" s="253"/>
      <c r="F24" s="250"/>
      <c r="G24" s="254"/>
      <c r="H24" s="251"/>
    </row>
    <row r="25">
      <c r="A25" s="265"/>
      <c r="B25" s="247"/>
      <c r="C25" s="252"/>
      <c r="D25" s="253"/>
      <c r="F25" s="250"/>
      <c r="G25" s="254"/>
      <c r="H25" s="251"/>
    </row>
    <row r="26">
      <c r="A26" s="265"/>
      <c r="B26" s="26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>
        <v>4.0</v>
      </c>
      <c r="B28" s="239"/>
      <c r="C28" s="240"/>
      <c r="D28" s="241">
        <f>5940.53+16362.3</f>
        <v>22302.83</v>
      </c>
      <c r="E28" s="242"/>
      <c r="F28" s="243"/>
      <c r="G28" s="276" t="s">
        <v>74</v>
      </c>
      <c r="H28" s="245">
        <v>50000.0</v>
      </c>
      <c r="I28" s="2" t="s">
        <v>2636</v>
      </c>
    </row>
    <row r="29">
      <c r="A29" s="265"/>
      <c r="B29" s="247"/>
      <c r="C29" s="248"/>
      <c r="D29" s="249">
        <v>29309.59</v>
      </c>
      <c r="F29" s="250"/>
      <c r="G29" s="2" t="s">
        <v>73</v>
      </c>
      <c r="H29" s="267"/>
    </row>
    <row r="30">
      <c r="A30" s="265"/>
      <c r="B30" s="247"/>
      <c r="C30" s="248"/>
      <c r="D30" s="249"/>
      <c r="F30" s="250"/>
      <c r="G30" s="254" t="s">
        <v>84</v>
      </c>
      <c r="H30" s="251"/>
    </row>
    <row r="31">
      <c r="A31" s="265"/>
      <c r="B31" s="247"/>
      <c r="C31" s="252"/>
      <c r="D31" s="249">
        <v>20059.38</v>
      </c>
      <c r="F31" s="250"/>
      <c r="G31" s="254" t="s">
        <v>91</v>
      </c>
      <c r="H31" s="251"/>
    </row>
    <row r="32">
      <c r="A32" s="265"/>
      <c r="B32" s="247"/>
      <c r="C32" s="252"/>
      <c r="D32" s="249"/>
      <c r="F32" s="250"/>
      <c r="G32" s="254" t="s">
        <v>76</v>
      </c>
      <c r="H32" s="251"/>
    </row>
    <row r="33">
      <c r="A33" s="265"/>
      <c r="B33" s="247">
        <v>22500.0</v>
      </c>
      <c r="C33" s="252"/>
      <c r="D33" s="249"/>
      <c r="F33" s="250"/>
      <c r="G33" s="254" t="s">
        <v>2602</v>
      </c>
      <c r="H33" s="267"/>
    </row>
    <row r="34">
      <c r="A34" s="265"/>
      <c r="B34" s="247"/>
      <c r="C34" s="248"/>
      <c r="D34" s="249"/>
      <c r="F34" s="250">
        <v>1600.0</v>
      </c>
      <c r="G34" s="254" t="s">
        <v>2612</v>
      </c>
      <c r="H34" s="251"/>
    </row>
    <row r="35">
      <c r="A35" s="265"/>
      <c r="B35" s="247">
        <v>38199.7</v>
      </c>
      <c r="C35" s="252"/>
      <c r="D35" s="253"/>
      <c r="F35" s="250"/>
      <c r="G35" s="254" t="s">
        <v>92</v>
      </c>
      <c r="H35" s="251"/>
    </row>
    <row r="36">
      <c r="A36" s="265"/>
      <c r="B36" s="247">
        <v>11800.0</v>
      </c>
      <c r="C36" s="248"/>
      <c r="D36" s="253"/>
      <c r="F36" s="250"/>
      <c r="G36" s="254" t="s">
        <v>150</v>
      </c>
      <c r="H36" s="251"/>
    </row>
    <row r="37">
      <c r="A37" s="265"/>
      <c r="B37" s="277">
        <v>9550.05</v>
      </c>
      <c r="C37" s="252"/>
      <c r="D37" s="253"/>
      <c r="F37" s="250"/>
      <c r="G37" s="254" t="s">
        <v>859</v>
      </c>
      <c r="H37" s="251"/>
    </row>
    <row r="38">
      <c r="A38" s="265"/>
      <c r="B38" s="277">
        <v>19350.0</v>
      </c>
      <c r="C38" s="252"/>
      <c r="D38" s="253"/>
      <c r="F38" s="250"/>
      <c r="G38" s="254" t="s">
        <v>588</v>
      </c>
      <c r="H38" s="251"/>
    </row>
    <row r="39">
      <c r="A39" s="265"/>
      <c r="B39" s="277">
        <v>15100.0</v>
      </c>
      <c r="C39" s="252"/>
      <c r="D39" s="253"/>
      <c r="F39" s="250"/>
      <c r="G39" s="254" t="s">
        <v>79</v>
      </c>
      <c r="H39" s="251"/>
    </row>
    <row r="40">
      <c r="A40" s="265"/>
      <c r="B40" s="278"/>
      <c r="C40" s="252"/>
      <c r="D40" s="253"/>
      <c r="F40" s="250">
        <v>4200.0</v>
      </c>
      <c r="G40" s="254" t="s">
        <v>2640</v>
      </c>
      <c r="H40" s="251"/>
    </row>
    <row r="41">
      <c r="A41" s="270"/>
      <c r="B41" s="279">
        <v>28420.0</v>
      </c>
      <c r="C41" s="272"/>
      <c r="D41" s="273"/>
      <c r="E41" s="293"/>
      <c r="F41" s="259"/>
      <c r="G41" s="260" t="s">
        <v>235</v>
      </c>
      <c r="H41" s="261"/>
    </row>
    <row r="42">
      <c r="A42" s="262"/>
      <c r="B42" s="277"/>
      <c r="C42" s="248"/>
      <c r="D42" s="249">
        <v>18400.0</v>
      </c>
      <c r="F42" s="250"/>
      <c r="G42" s="254" t="s">
        <v>122</v>
      </c>
      <c r="H42" s="267">
        <v>60000.0</v>
      </c>
      <c r="I42" s="2" t="s">
        <v>2636</v>
      </c>
    </row>
    <row r="43">
      <c r="A43" s="280"/>
      <c r="B43" s="277"/>
      <c r="C43" s="252"/>
      <c r="D43" s="249">
        <v>8361.11</v>
      </c>
      <c r="F43" s="250"/>
      <c r="G43" s="254" t="s">
        <v>114</v>
      </c>
      <c r="H43" s="251"/>
    </row>
    <row r="44">
      <c r="A44" s="280">
        <v>5.0</v>
      </c>
      <c r="B44" s="247"/>
      <c r="C44" s="248"/>
      <c r="D44" s="249">
        <v>4561.7</v>
      </c>
      <c r="F44" s="250"/>
      <c r="G44" s="254" t="s">
        <v>2641</v>
      </c>
      <c r="H44" s="251"/>
    </row>
    <row r="45">
      <c r="A45" s="265"/>
      <c r="B45" s="247">
        <v>10953.5</v>
      </c>
      <c r="C45" s="252"/>
      <c r="D45" s="249"/>
      <c r="F45" s="250"/>
      <c r="G45" s="254" t="s">
        <v>82</v>
      </c>
      <c r="H45" s="251"/>
    </row>
    <row r="46">
      <c r="A46" s="265"/>
      <c r="B46" s="247"/>
      <c r="C46" s="248"/>
      <c r="D46" s="249"/>
      <c r="F46" s="250"/>
      <c r="G46" s="254"/>
      <c r="H46" s="251"/>
    </row>
    <row r="47">
      <c r="A47" s="265"/>
      <c r="B47" s="247"/>
      <c r="C47" s="252"/>
      <c r="D47" s="253"/>
      <c r="F47" s="250"/>
      <c r="G47" s="254"/>
      <c r="H47" s="251"/>
    </row>
    <row r="48">
      <c r="A48" s="265"/>
      <c r="B48" s="247"/>
      <c r="C48" s="248"/>
      <c r="D48" s="249"/>
      <c r="F48" s="250"/>
      <c r="G48" s="254"/>
      <c r="H48" s="267"/>
    </row>
    <row r="49">
      <c r="A49" s="265"/>
      <c r="B49" s="247"/>
      <c r="C49" s="252"/>
      <c r="D49" s="253"/>
      <c r="F49" s="250"/>
      <c r="G49" s="254"/>
      <c r="H49" s="251"/>
    </row>
    <row r="50">
      <c r="A50" s="265"/>
      <c r="B50" s="247"/>
      <c r="C50" s="248"/>
      <c r="D50" s="253"/>
      <c r="F50" s="250"/>
      <c r="G50" s="254"/>
      <c r="H50" s="251"/>
    </row>
    <row r="51">
      <c r="A51" s="265"/>
      <c r="B51" s="268"/>
      <c r="C51" s="252"/>
      <c r="D51" s="253"/>
      <c r="F51" s="250"/>
      <c r="G51" s="254"/>
      <c r="H51" s="251"/>
    </row>
    <row r="52">
      <c r="A52" s="265"/>
      <c r="B52" s="268"/>
      <c r="C52" s="252"/>
      <c r="D52" s="253"/>
      <c r="F52" s="250"/>
      <c r="G52" s="254"/>
      <c r="H52" s="251"/>
    </row>
    <row r="53">
      <c r="A53" s="270"/>
      <c r="B53" s="271"/>
      <c r="C53" s="272"/>
      <c r="D53" s="273"/>
      <c r="E53" s="18"/>
      <c r="F53" s="274"/>
      <c r="G53" s="260"/>
      <c r="H53" s="261"/>
    </row>
    <row r="54">
      <c r="A54" s="262">
        <v>6.0</v>
      </c>
      <c r="B54" s="239"/>
      <c r="C54" s="263"/>
      <c r="D54" s="241"/>
      <c r="E54" s="242"/>
      <c r="F54" s="243">
        <v>232.43</v>
      </c>
      <c r="G54" s="276" t="s">
        <v>2642</v>
      </c>
      <c r="H54" s="245">
        <f>60000-22500</f>
        <v>37500</v>
      </c>
      <c r="I54" s="2" t="s">
        <v>2636</v>
      </c>
    </row>
    <row r="55">
      <c r="A55" s="265"/>
      <c r="B55" s="247"/>
      <c r="C55" s="248"/>
      <c r="D55" s="253"/>
      <c r="F55" s="250">
        <v>1040.0</v>
      </c>
      <c r="G55" s="254" t="s">
        <v>85</v>
      </c>
      <c r="H55" s="251"/>
    </row>
    <row r="56">
      <c r="A56" s="265"/>
      <c r="B56" s="247"/>
      <c r="C56" s="248"/>
      <c r="D56" s="253"/>
      <c r="F56" s="250">
        <v>395.99</v>
      </c>
      <c r="G56" s="254" t="s">
        <v>97</v>
      </c>
      <c r="H56" s="251"/>
    </row>
    <row r="57">
      <c r="A57" s="265"/>
      <c r="B57" s="247"/>
      <c r="C57" s="248"/>
      <c r="D57" s="249"/>
      <c r="F57" s="250"/>
      <c r="G57" s="254"/>
      <c r="H57" s="267"/>
    </row>
    <row r="58">
      <c r="A58" s="265"/>
      <c r="B58" s="247"/>
      <c r="C58" s="248"/>
      <c r="D58" s="253"/>
      <c r="F58" s="250"/>
      <c r="G58" s="254"/>
      <c r="H58" s="251"/>
    </row>
    <row r="59">
      <c r="A59" s="265"/>
      <c r="B59" s="247"/>
      <c r="C59" s="252"/>
      <c r="D59" s="249"/>
      <c r="F59" s="250"/>
      <c r="G59" s="254"/>
      <c r="H59" s="251"/>
    </row>
    <row r="60">
      <c r="A60" s="265"/>
      <c r="B60" s="247"/>
      <c r="C60" s="252"/>
      <c r="D60" s="253"/>
      <c r="F60" s="250"/>
      <c r="G60" s="254"/>
      <c r="H60" s="251"/>
    </row>
    <row r="61">
      <c r="A61" s="265"/>
      <c r="B61" s="247"/>
      <c r="C61" s="252"/>
      <c r="D61" s="253"/>
      <c r="F61" s="250"/>
      <c r="G61" s="254"/>
      <c r="H61" s="251"/>
    </row>
    <row r="62">
      <c r="A62" s="265"/>
      <c r="B62" s="268"/>
      <c r="C62" s="248"/>
      <c r="D62" s="253"/>
      <c r="F62" s="250"/>
      <c r="G62" s="254"/>
      <c r="H62" s="251"/>
    </row>
    <row r="63">
      <c r="A63" s="265"/>
      <c r="B63" s="268"/>
      <c r="C63" s="248"/>
      <c r="D63" s="249"/>
      <c r="F63" s="250"/>
      <c r="G63" s="254"/>
      <c r="H63" s="251"/>
    </row>
    <row r="64">
      <c r="A64" s="265"/>
      <c r="B64" s="268"/>
      <c r="C64" s="248"/>
      <c r="D64" s="249"/>
      <c r="F64" s="250"/>
      <c r="G64" s="254"/>
      <c r="H64" s="251"/>
    </row>
    <row r="65">
      <c r="A65" s="265"/>
      <c r="B65" s="268"/>
      <c r="C65" s="248"/>
      <c r="D65" s="249"/>
      <c r="F65" s="250"/>
      <c r="G65" s="269"/>
      <c r="H65" s="251"/>
    </row>
    <row r="66">
      <c r="A66" s="265"/>
      <c r="B66" s="278"/>
      <c r="C66" s="252"/>
      <c r="D66" s="253"/>
      <c r="F66" s="250"/>
      <c r="G66" s="269"/>
      <c r="H66" s="251"/>
    </row>
    <row r="67">
      <c r="A67" s="270"/>
      <c r="B67" s="271"/>
      <c r="C67" s="272"/>
      <c r="D67" s="273"/>
      <c r="E67" s="18"/>
      <c r="F67" s="274"/>
      <c r="G67" s="275"/>
      <c r="H67" s="261"/>
    </row>
    <row r="68">
      <c r="A68" s="262">
        <v>8.0</v>
      </c>
      <c r="B68" s="239"/>
      <c r="C68" s="263"/>
      <c r="D68" s="264"/>
      <c r="E68" s="242"/>
      <c r="F68" s="243">
        <v>22500.0</v>
      </c>
      <c r="G68" s="276" t="s">
        <v>2602</v>
      </c>
      <c r="H68" s="245"/>
    </row>
    <row r="69">
      <c r="A69" s="265"/>
      <c r="B69" s="247"/>
      <c r="C69" s="248"/>
      <c r="D69" s="249"/>
      <c r="F69" s="250">
        <v>2225.0</v>
      </c>
      <c r="G69" s="254" t="s">
        <v>651</v>
      </c>
      <c r="H69" s="251"/>
    </row>
    <row r="70">
      <c r="A70" s="265"/>
      <c r="B70" s="247">
        <v>11457.67</v>
      </c>
      <c r="C70" s="252"/>
      <c r="D70" s="253"/>
      <c r="F70" s="250"/>
      <c r="G70" s="254" t="s">
        <v>2643</v>
      </c>
      <c r="H70" s="267"/>
    </row>
    <row r="71">
      <c r="A71" s="265"/>
      <c r="B71" s="247"/>
      <c r="C71" s="248"/>
      <c r="D71" s="249">
        <v>16900.0</v>
      </c>
      <c r="F71" s="250"/>
      <c r="G71" s="254" t="s">
        <v>75</v>
      </c>
      <c r="H71" s="251"/>
    </row>
    <row r="72">
      <c r="A72" s="265"/>
      <c r="B72" s="247"/>
      <c r="C72" s="248"/>
      <c r="D72" s="249"/>
      <c r="F72" s="250">
        <v>336.37</v>
      </c>
      <c r="G72" s="254" t="s">
        <v>97</v>
      </c>
      <c r="H72" s="251"/>
    </row>
    <row r="73">
      <c r="A73" s="265"/>
      <c r="B73" s="247"/>
      <c r="C73" s="248"/>
      <c r="D73" s="253"/>
      <c r="F73" s="250">
        <v>699.0</v>
      </c>
      <c r="G73" s="254" t="s">
        <v>97</v>
      </c>
      <c r="H73" s="251"/>
    </row>
    <row r="74">
      <c r="A74" s="265"/>
      <c r="B74" s="247"/>
      <c r="C74" s="252"/>
      <c r="D74" s="253"/>
      <c r="F74" s="250"/>
      <c r="G74" s="254"/>
      <c r="H74" s="251"/>
    </row>
    <row r="75">
      <c r="A75" s="265"/>
      <c r="B75" s="247"/>
      <c r="C75" s="252"/>
      <c r="D75" s="253"/>
      <c r="F75" s="250"/>
      <c r="G75" s="254"/>
      <c r="H75" s="251"/>
    </row>
    <row r="76">
      <c r="A76" s="265"/>
      <c r="B76" s="247"/>
      <c r="C76" s="252"/>
      <c r="D76" s="253"/>
      <c r="F76" s="250"/>
      <c r="G76" s="254"/>
      <c r="H76" s="251"/>
    </row>
    <row r="77">
      <c r="A77" s="265"/>
      <c r="B77" s="278"/>
      <c r="C77" s="252"/>
      <c r="D77" s="253"/>
      <c r="F77" s="250"/>
      <c r="G77" s="269"/>
      <c r="H77" s="251"/>
    </row>
    <row r="78">
      <c r="A78" s="265"/>
      <c r="B78" s="278"/>
      <c r="C78" s="252"/>
      <c r="D78" s="253"/>
      <c r="F78" s="250"/>
      <c r="G78" s="269"/>
      <c r="H78" s="251"/>
    </row>
    <row r="79">
      <c r="A79" s="270"/>
      <c r="B79" s="271"/>
      <c r="C79" s="272"/>
      <c r="D79" s="273"/>
      <c r="E79" s="18"/>
      <c r="F79" s="259"/>
      <c r="G79" s="275"/>
      <c r="H79" s="261"/>
    </row>
    <row r="80">
      <c r="A80" s="262"/>
      <c r="B80" s="278"/>
      <c r="C80" s="252"/>
      <c r="D80" s="249"/>
      <c r="F80" s="250"/>
      <c r="G80" s="254"/>
      <c r="H80" s="251"/>
    </row>
    <row r="81">
      <c r="A81" s="280">
        <v>10.0</v>
      </c>
      <c r="B81" s="278"/>
      <c r="C81" s="252"/>
      <c r="D81" s="253"/>
      <c r="F81" s="250"/>
      <c r="G81" s="254"/>
      <c r="H81" s="251"/>
    </row>
    <row r="82">
      <c r="A82" s="280"/>
      <c r="B82" s="278"/>
      <c r="C82" s="252"/>
      <c r="D82" s="253"/>
      <c r="F82" s="250"/>
      <c r="G82" s="269"/>
      <c r="H82" s="251"/>
    </row>
    <row r="83">
      <c r="A83" s="280"/>
      <c r="B83" s="278"/>
      <c r="C83" s="252"/>
      <c r="D83" s="253"/>
      <c r="F83" s="250"/>
      <c r="G83" s="269"/>
      <c r="H83" s="251"/>
    </row>
    <row r="84">
      <c r="A84" s="280"/>
      <c r="B84" s="278"/>
      <c r="C84" s="252"/>
      <c r="D84" s="253"/>
      <c r="F84" s="250"/>
      <c r="G84" s="269"/>
      <c r="H84" s="251"/>
    </row>
    <row r="85">
      <c r="A85" s="446"/>
      <c r="B85" s="278"/>
      <c r="C85" s="252"/>
      <c r="D85" s="253"/>
      <c r="F85" s="250"/>
      <c r="G85" s="269"/>
      <c r="H85" s="251"/>
    </row>
    <row r="86">
      <c r="A86" s="280">
        <v>11.0</v>
      </c>
      <c r="B86" s="239"/>
      <c r="C86" s="263"/>
      <c r="D86" s="241"/>
      <c r="E86" s="242"/>
      <c r="F86" s="243">
        <v>7000.0</v>
      </c>
      <c r="G86" s="276" t="s">
        <v>139</v>
      </c>
      <c r="H86" s="245"/>
    </row>
    <row r="87">
      <c r="A87" s="265"/>
      <c r="B87" s="247"/>
      <c r="C87" s="248">
        <v>39028.42</v>
      </c>
      <c r="D87" s="253"/>
      <c r="F87" s="250"/>
      <c r="G87" s="254" t="s">
        <v>71</v>
      </c>
      <c r="H87" s="251"/>
    </row>
    <row r="88">
      <c r="A88" s="265"/>
      <c r="B88" s="247"/>
      <c r="C88" s="248"/>
      <c r="D88" s="249">
        <v>30262.0</v>
      </c>
      <c r="F88" s="250"/>
      <c r="G88" s="254" t="s">
        <v>74</v>
      </c>
      <c r="H88" s="251"/>
    </row>
    <row r="89">
      <c r="A89" s="265"/>
      <c r="B89" s="247"/>
      <c r="C89" s="248"/>
      <c r="D89" s="249">
        <v>36914.3</v>
      </c>
      <c r="F89" s="250"/>
      <c r="G89" s="254" t="s">
        <v>73</v>
      </c>
      <c r="H89" s="251"/>
    </row>
    <row r="90">
      <c r="A90" s="265"/>
      <c r="B90" s="85"/>
      <c r="C90" s="248"/>
      <c r="D90" s="249"/>
      <c r="F90" s="250">
        <v>845.06</v>
      </c>
      <c r="G90" s="254" t="s">
        <v>97</v>
      </c>
      <c r="H90" s="251"/>
    </row>
    <row r="91">
      <c r="A91" s="265"/>
      <c r="B91" s="281"/>
      <c r="C91" s="248">
        <v>38269.9</v>
      </c>
      <c r="D91" s="249"/>
      <c r="F91" s="266"/>
      <c r="G91" s="254" t="s">
        <v>1079</v>
      </c>
      <c r="H91" s="251"/>
    </row>
    <row r="92">
      <c r="A92" s="265"/>
      <c r="B92" s="281"/>
      <c r="C92" s="248">
        <v>33869.35</v>
      </c>
      <c r="D92" s="249"/>
      <c r="F92" s="250"/>
      <c r="G92" s="254" t="s">
        <v>84</v>
      </c>
      <c r="H92" s="251"/>
    </row>
    <row r="93">
      <c r="A93" s="265"/>
      <c r="B93" s="247"/>
      <c r="C93" s="252"/>
      <c r="D93" s="249"/>
      <c r="F93" s="250"/>
      <c r="G93" s="254"/>
      <c r="H93" s="251"/>
    </row>
    <row r="94">
      <c r="A94" s="265"/>
      <c r="B94" s="247"/>
      <c r="C94" s="252"/>
      <c r="D94" s="253"/>
      <c r="F94" s="250"/>
      <c r="G94" s="254"/>
      <c r="H94" s="251"/>
    </row>
    <row r="95">
      <c r="A95" s="265"/>
      <c r="B95" s="247"/>
      <c r="C95" s="252"/>
      <c r="D95" s="249"/>
      <c r="F95" s="250"/>
      <c r="G95" s="254"/>
      <c r="H95" s="251"/>
    </row>
    <row r="96">
      <c r="A96" s="265"/>
      <c r="B96" s="268"/>
      <c r="C96" s="252"/>
      <c r="D96" s="253"/>
      <c r="F96" s="250"/>
      <c r="G96" s="269"/>
      <c r="H96" s="251"/>
    </row>
    <row r="97">
      <c r="A97" s="265"/>
      <c r="B97" s="247"/>
      <c r="C97" s="252"/>
      <c r="D97" s="253"/>
      <c r="F97" s="250"/>
      <c r="G97" s="269"/>
      <c r="H97" s="251"/>
    </row>
    <row r="98">
      <c r="A98" s="265"/>
      <c r="B98" s="277"/>
      <c r="C98" s="252"/>
      <c r="D98" s="253"/>
      <c r="F98" s="282"/>
      <c r="G98" s="269"/>
      <c r="H98" s="251"/>
    </row>
    <row r="99">
      <c r="A99" s="265"/>
      <c r="B99" s="278"/>
      <c r="C99" s="248"/>
      <c r="D99" s="253"/>
      <c r="F99" s="282"/>
      <c r="G99" s="269"/>
      <c r="H99" s="251"/>
    </row>
    <row r="100">
      <c r="A100" s="265"/>
      <c r="B100" s="278"/>
      <c r="C100" s="252"/>
      <c r="D100" s="253"/>
      <c r="F100" s="250"/>
      <c r="G100" s="269"/>
      <c r="H100" s="251"/>
    </row>
    <row r="101">
      <c r="A101" s="270"/>
      <c r="B101" s="271"/>
      <c r="C101" s="272"/>
      <c r="D101" s="273"/>
      <c r="E101" s="18"/>
      <c r="F101" s="259"/>
      <c r="G101" s="260"/>
      <c r="H101" s="261"/>
    </row>
    <row r="102">
      <c r="A102" s="262">
        <v>12.0</v>
      </c>
      <c r="B102" s="239"/>
      <c r="C102" s="263"/>
      <c r="D102" s="264"/>
      <c r="E102" s="242"/>
      <c r="F102" s="250">
        <v>1589.0</v>
      </c>
      <c r="G102" s="276" t="s">
        <v>63</v>
      </c>
      <c r="H102" s="245"/>
    </row>
    <row r="103">
      <c r="A103" s="265"/>
      <c r="B103" s="247">
        <v>18400.0</v>
      </c>
      <c r="C103" s="248"/>
      <c r="D103" s="249"/>
      <c r="F103" s="250"/>
      <c r="G103" s="254" t="s">
        <v>122</v>
      </c>
      <c r="H103" s="251"/>
    </row>
    <row r="104">
      <c r="A104" s="265"/>
      <c r="B104" s="247">
        <v>9370.0</v>
      </c>
      <c r="C104" s="248"/>
      <c r="D104" s="249"/>
      <c r="F104" s="250"/>
      <c r="G104" s="254" t="s">
        <v>75</v>
      </c>
      <c r="H104" s="251"/>
    </row>
    <row r="105">
      <c r="A105" s="265"/>
      <c r="B105" s="247">
        <v>12552.3</v>
      </c>
      <c r="C105" s="248"/>
      <c r="D105" s="249"/>
      <c r="F105" s="250"/>
      <c r="G105" s="254" t="s">
        <v>114</v>
      </c>
      <c r="H105" s="251"/>
    </row>
    <row r="106">
      <c r="A106" s="265"/>
      <c r="B106" s="247">
        <v>11527.39</v>
      </c>
      <c r="C106" s="248"/>
      <c r="D106" s="253"/>
      <c r="F106" s="250"/>
      <c r="G106" s="254" t="s">
        <v>82</v>
      </c>
      <c r="H106" s="251"/>
    </row>
    <row r="107">
      <c r="A107" s="265"/>
      <c r="B107" s="247">
        <v>15100.0</v>
      </c>
      <c r="C107" s="252"/>
      <c r="D107" s="253"/>
      <c r="F107" s="250"/>
      <c r="G107" s="254" t="s">
        <v>79</v>
      </c>
      <c r="H107" s="251"/>
    </row>
    <row r="108">
      <c r="A108" s="265"/>
      <c r="B108" s="247"/>
      <c r="C108" s="252"/>
      <c r="D108" s="249"/>
      <c r="F108" s="250"/>
      <c r="G108" s="254"/>
      <c r="H108" s="251"/>
    </row>
    <row r="109">
      <c r="A109" s="265"/>
      <c r="B109" s="247"/>
      <c r="C109" s="252"/>
      <c r="D109" s="253"/>
      <c r="F109" s="250"/>
      <c r="G109" s="254"/>
      <c r="H109" s="251"/>
    </row>
    <row r="110">
      <c r="A110" s="265"/>
      <c r="B110" s="247"/>
      <c r="C110" s="248"/>
      <c r="D110" s="253"/>
      <c r="F110" s="250"/>
      <c r="G110" s="254"/>
      <c r="H110" s="251"/>
    </row>
    <row r="111">
      <c r="A111" s="265"/>
      <c r="B111" s="247"/>
      <c r="C111" s="252"/>
      <c r="D111" s="253"/>
      <c r="F111" s="250"/>
      <c r="G111" s="254"/>
      <c r="H111" s="251"/>
    </row>
    <row r="112">
      <c r="A112" s="265"/>
      <c r="B112" s="277"/>
      <c r="C112" s="248"/>
      <c r="D112" s="253"/>
      <c r="F112" s="282"/>
      <c r="G112" s="254"/>
      <c r="H112" s="251"/>
    </row>
    <row r="113">
      <c r="A113" s="265"/>
      <c r="B113" s="277"/>
      <c r="C113" s="252"/>
      <c r="D113" s="253"/>
      <c r="F113" s="250"/>
      <c r="G113" s="254"/>
      <c r="H113" s="251"/>
    </row>
    <row r="114">
      <c r="A114" s="265"/>
      <c r="B114" s="278"/>
      <c r="C114" s="252"/>
      <c r="D114" s="253"/>
      <c r="F114" s="282"/>
      <c r="G114" s="269"/>
      <c r="H114" s="251"/>
    </row>
    <row r="115">
      <c r="A115" s="270"/>
      <c r="B115" s="271"/>
      <c r="C115" s="272"/>
      <c r="D115" s="273"/>
      <c r="E115" s="18"/>
      <c r="F115" s="274"/>
      <c r="G115" s="275"/>
      <c r="H115" s="261"/>
    </row>
    <row r="116">
      <c r="A116" s="262">
        <v>13.0</v>
      </c>
      <c r="B116" s="239"/>
      <c r="C116" s="263"/>
      <c r="D116" s="264">
        <v>11410.0</v>
      </c>
      <c r="E116" s="242"/>
      <c r="F116" s="243"/>
      <c r="G116" s="276" t="s">
        <v>76</v>
      </c>
      <c r="H116" s="245"/>
    </row>
    <row r="117">
      <c r="A117" s="265"/>
      <c r="B117" s="247">
        <v>23400.0</v>
      </c>
      <c r="C117" s="252"/>
      <c r="D117" s="249"/>
      <c r="F117" s="250"/>
      <c r="G117" s="254" t="s">
        <v>87</v>
      </c>
      <c r="H117" s="251"/>
    </row>
    <row r="118">
      <c r="A118" s="265"/>
      <c r="B118" s="247"/>
      <c r="C118" s="248"/>
      <c r="D118" s="249"/>
      <c r="F118" s="250">
        <v>379.73</v>
      </c>
      <c r="G118" s="26" t="s">
        <v>97</v>
      </c>
      <c r="H118" s="251"/>
    </row>
    <row r="119">
      <c r="A119" s="265"/>
      <c r="B119" s="247">
        <v>15543.79</v>
      </c>
      <c r="C119" s="248"/>
      <c r="D119" s="249"/>
      <c r="F119" s="250"/>
      <c r="G119" s="254" t="s">
        <v>103</v>
      </c>
      <c r="H119" s="251"/>
    </row>
    <row r="120">
      <c r="A120" s="265"/>
      <c r="B120" s="247"/>
      <c r="C120" s="252"/>
      <c r="D120" s="249"/>
      <c r="F120" s="250"/>
      <c r="G120" s="254"/>
      <c r="H120" s="251"/>
    </row>
    <row r="121">
      <c r="A121" s="265"/>
      <c r="B121" s="247"/>
      <c r="C121" s="252"/>
      <c r="D121" s="253"/>
      <c r="F121" s="250"/>
      <c r="G121" s="254"/>
      <c r="H121" s="251"/>
    </row>
    <row r="122">
      <c r="A122" s="265"/>
      <c r="B122" s="247"/>
      <c r="C122" s="252"/>
      <c r="D122" s="253"/>
      <c r="F122" s="250"/>
      <c r="G122" s="254"/>
      <c r="H122" s="251"/>
    </row>
    <row r="123">
      <c r="A123" s="265"/>
      <c r="B123" s="247"/>
      <c r="C123" s="252"/>
      <c r="D123" s="249"/>
      <c r="F123" s="250"/>
      <c r="G123" s="254"/>
      <c r="H123" s="251"/>
    </row>
    <row r="124">
      <c r="A124" s="265"/>
      <c r="B124" s="247"/>
      <c r="C124" s="252"/>
      <c r="D124" s="249"/>
      <c r="F124" s="250"/>
      <c r="G124" s="254"/>
      <c r="H124" s="251"/>
    </row>
    <row r="125">
      <c r="A125" s="265"/>
      <c r="B125" s="247"/>
      <c r="C125" s="248"/>
      <c r="D125" s="253"/>
      <c r="F125" s="250"/>
      <c r="G125" s="254"/>
      <c r="H125" s="251"/>
    </row>
    <row r="126">
      <c r="A126" s="265"/>
      <c r="B126" s="268"/>
      <c r="C126" s="252"/>
      <c r="D126" s="253"/>
      <c r="F126" s="250"/>
      <c r="G126" s="254"/>
      <c r="H126" s="251"/>
    </row>
    <row r="127">
      <c r="A127" s="265"/>
      <c r="B127" s="268"/>
      <c r="C127" s="252"/>
      <c r="D127" s="253"/>
      <c r="F127" s="250"/>
      <c r="G127" s="254"/>
      <c r="H127" s="251"/>
    </row>
    <row r="128">
      <c r="A128" s="265"/>
      <c r="B128" s="268"/>
      <c r="C128" s="252"/>
      <c r="D128" s="253"/>
      <c r="F128" s="250"/>
      <c r="G128" s="269"/>
      <c r="H128" s="251"/>
    </row>
    <row r="129">
      <c r="A129" s="265"/>
      <c r="B129" s="268"/>
      <c r="C129" s="252"/>
      <c r="D129" s="253"/>
      <c r="F129" s="250"/>
      <c r="G129" s="269"/>
      <c r="H129" s="251"/>
    </row>
    <row r="130">
      <c r="A130" s="265"/>
      <c r="B130" s="268"/>
      <c r="C130" s="252"/>
      <c r="D130" s="253"/>
      <c r="F130" s="250"/>
      <c r="G130" s="269"/>
      <c r="H130" s="251"/>
    </row>
    <row r="131">
      <c r="A131" s="265"/>
      <c r="B131" s="268"/>
      <c r="C131" s="252"/>
      <c r="D131" s="253"/>
      <c r="F131" s="250"/>
      <c r="G131" s="269"/>
      <c r="H131" s="251"/>
    </row>
    <row r="132">
      <c r="A132" s="265"/>
      <c r="B132" s="268"/>
      <c r="C132" s="252"/>
      <c r="D132" s="253"/>
      <c r="F132" s="250"/>
      <c r="G132" s="269"/>
      <c r="H132" s="251"/>
    </row>
    <row r="133">
      <c r="A133" s="270"/>
      <c r="B133" s="271"/>
      <c r="C133" s="272"/>
      <c r="D133" s="273"/>
      <c r="E133" s="18"/>
      <c r="F133" s="274"/>
      <c r="G133" s="275"/>
      <c r="H133" s="261"/>
    </row>
    <row r="134">
      <c r="A134" s="262">
        <v>14.0</v>
      </c>
      <c r="B134" s="239">
        <v>9012.64</v>
      </c>
      <c r="C134" s="263"/>
      <c r="D134" s="264"/>
      <c r="E134" s="242"/>
      <c r="F134" s="243"/>
      <c r="G134" s="276" t="s">
        <v>82</v>
      </c>
      <c r="H134" s="245"/>
    </row>
    <row r="135">
      <c r="A135" s="265"/>
      <c r="B135" s="247"/>
      <c r="C135" s="252"/>
      <c r="D135" s="249"/>
      <c r="F135" s="250">
        <v>1200.0</v>
      </c>
      <c r="G135" s="254" t="s">
        <v>228</v>
      </c>
      <c r="H135" s="251"/>
    </row>
    <row r="136">
      <c r="A136" s="265"/>
      <c r="B136" s="247"/>
      <c r="C136" s="248"/>
      <c r="D136" s="249"/>
      <c r="F136" s="250">
        <v>2000.0</v>
      </c>
      <c r="G136" s="254" t="s">
        <v>344</v>
      </c>
      <c r="H136" s="251"/>
    </row>
    <row r="137">
      <c r="A137" s="265"/>
      <c r="B137" s="247">
        <v>2500.0</v>
      </c>
      <c r="C137" s="248"/>
      <c r="D137" s="249"/>
      <c r="F137" s="250"/>
      <c r="G137" s="254" t="s">
        <v>101</v>
      </c>
      <c r="H137" s="251"/>
    </row>
    <row r="138">
      <c r="A138" s="265"/>
      <c r="B138" s="247">
        <v>10500.0</v>
      </c>
      <c r="C138" s="248"/>
      <c r="D138" s="253"/>
      <c r="F138" s="250"/>
      <c r="G138" s="254" t="s">
        <v>75</v>
      </c>
      <c r="H138" s="251"/>
    </row>
    <row r="139">
      <c r="A139" s="265"/>
      <c r="B139" s="247"/>
      <c r="C139" s="252"/>
      <c r="D139" s="249"/>
      <c r="E139" s="2">
        <v>35283.6</v>
      </c>
      <c r="F139" s="250"/>
      <c r="G139" s="254" t="s">
        <v>167</v>
      </c>
      <c r="H139" s="251"/>
    </row>
    <row r="140">
      <c r="A140" s="265"/>
      <c r="B140" s="247"/>
      <c r="C140" s="252"/>
      <c r="D140" s="249"/>
      <c r="F140" s="250"/>
      <c r="G140" s="254"/>
      <c r="H140" s="251"/>
    </row>
    <row r="141">
      <c r="A141" s="265"/>
      <c r="B141" s="283"/>
      <c r="C141" s="248"/>
      <c r="D141" s="253"/>
      <c r="F141" s="250"/>
      <c r="G141" s="254"/>
      <c r="H141" s="251"/>
    </row>
    <row r="142">
      <c r="A142" s="265"/>
      <c r="B142" s="247"/>
      <c r="C142" s="248"/>
      <c r="D142" s="253"/>
      <c r="F142" s="250"/>
      <c r="G142" s="254"/>
      <c r="H142" s="251"/>
    </row>
    <row r="143">
      <c r="A143" s="265"/>
      <c r="B143" s="247"/>
      <c r="C143" s="252"/>
      <c r="D143" s="253"/>
      <c r="F143" s="250"/>
      <c r="G143" s="254"/>
      <c r="H143" s="251"/>
    </row>
    <row r="144">
      <c r="A144" s="265"/>
      <c r="B144" s="247"/>
      <c r="C144" s="252"/>
      <c r="D144" s="249"/>
      <c r="F144" s="250"/>
      <c r="G144" s="254"/>
      <c r="H144" s="251"/>
    </row>
    <row r="145">
      <c r="A145" s="265"/>
      <c r="B145" s="277"/>
      <c r="C145" s="252"/>
      <c r="D145" s="253"/>
      <c r="F145" s="250"/>
      <c r="G145" s="254"/>
      <c r="H145" s="251"/>
    </row>
    <row r="146">
      <c r="A146" s="265"/>
      <c r="B146" s="277"/>
      <c r="C146" s="252"/>
      <c r="D146" s="253"/>
      <c r="F146" s="250"/>
      <c r="G146" s="269"/>
      <c r="H146" s="251"/>
    </row>
    <row r="147">
      <c r="A147" s="265"/>
      <c r="B147" s="278"/>
      <c r="C147" s="252"/>
      <c r="D147" s="253"/>
      <c r="F147" s="250"/>
      <c r="G147" s="269"/>
      <c r="H147" s="251"/>
    </row>
    <row r="148">
      <c r="A148" s="270"/>
      <c r="B148" s="271"/>
      <c r="C148" s="272"/>
      <c r="D148" s="273"/>
      <c r="E148" s="18"/>
      <c r="F148" s="274"/>
      <c r="G148" s="275"/>
      <c r="H148" s="261"/>
    </row>
    <row r="149">
      <c r="A149" s="262">
        <v>14.0</v>
      </c>
      <c r="B149" s="239"/>
      <c r="C149" s="263"/>
      <c r="D149" s="241"/>
      <c r="E149" s="242"/>
      <c r="F149" s="243">
        <v>635.0</v>
      </c>
      <c r="G149" s="276" t="s">
        <v>2638</v>
      </c>
      <c r="H149" s="245"/>
    </row>
    <row r="150">
      <c r="A150" s="265"/>
      <c r="B150" s="247"/>
      <c r="C150" s="252"/>
      <c r="D150" s="253"/>
      <c r="F150" s="250">
        <v>1200.0</v>
      </c>
      <c r="G150" s="254" t="s">
        <v>1729</v>
      </c>
      <c r="H150" s="251"/>
    </row>
    <row r="151">
      <c r="A151" s="265"/>
      <c r="B151" s="247"/>
      <c r="C151" s="252"/>
      <c r="D151" s="249"/>
      <c r="F151" s="418"/>
      <c r="G151" s="285"/>
      <c r="H151" s="251"/>
    </row>
    <row r="152">
      <c r="A152" s="265"/>
      <c r="B152" s="247"/>
      <c r="C152" s="252"/>
      <c r="D152" s="253"/>
      <c r="F152" s="250"/>
      <c r="G152" s="254"/>
      <c r="H152" s="251"/>
    </row>
    <row r="153">
      <c r="A153" s="265"/>
      <c r="B153" s="247"/>
      <c r="C153" s="252"/>
      <c r="D153" s="249"/>
      <c r="F153" s="250"/>
      <c r="G153" s="254"/>
      <c r="H153" s="251"/>
    </row>
    <row r="154">
      <c r="A154" s="265"/>
      <c r="B154" s="247"/>
      <c r="C154" s="248"/>
      <c r="D154" s="249"/>
      <c r="F154" s="250"/>
      <c r="G154" s="254"/>
      <c r="H154" s="251"/>
    </row>
    <row r="155">
      <c r="A155" s="265"/>
      <c r="B155" s="247"/>
      <c r="C155" s="248"/>
      <c r="D155" s="249"/>
      <c r="F155" s="250"/>
      <c r="G155" s="254"/>
      <c r="H155" s="251"/>
    </row>
    <row r="156">
      <c r="A156" s="265"/>
      <c r="B156" s="247"/>
      <c r="C156" s="252"/>
      <c r="D156" s="249"/>
      <c r="F156" s="250"/>
      <c r="G156" s="254"/>
      <c r="H156" s="251"/>
    </row>
    <row r="157">
      <c r="A157" s="265"/>
      <c r="B157" s="268"/>
      <c r="C157" s="252"/>
      <c r="D157" s="249"/>
      <c r="F157" s="250"/>
      <c r="G157" s="254"/>
      <c r="H157" s="251"/>
    </row>
    <row r="158">
      <c r="A158" s="265"/>
      <c r="B158" s="247"/>
      <c r="C158" s="252"/>
      <c r="D158" s="253"/>
      <c r="F158" s="250"/>
      <c r="G158" s="254"/>
      <c r="H158" s="251"/>
    </row>
    <row r="159">
      <c r="A159" s="265"/>
      <c r="B159" s="247"/>
      <c r="C159" s="252"/>
      <c r="D159" s="253"/>
      <c r="F159" s="250"/>
      <c r="G159" s="254"/>
      <c r="H159" s="251"/>
    </row>
    <row r="160">
      <c r="A160" s="265"/>
      <c r="B160" s="277"/>
      <c r="C160" s="252"/>
      <c r="D160" s="253"/>
      <c r="F160" s="250"/>
      <c r="G160" s="269"/>
      <c r="H160" s="251"/>
    </row>
    <row r="161">
      <c r="A161" s="265"/>
      <c r="B161" s="277"/>
      <c r="C161" s="252"/>
      <c r="D161" s="253"/>
      <c r="F161" s="282"/>
      <c r="G161" s="269"/>
      <c r="H161" s="251"/>
    </row>
    <row r="162">
      <c r="A162" s="265"/>
      <c r="B162" s="278"/>
      <c r="C162" s="252"/>
      <c r="D162" s="253"/>
      <c r="F162" s="250"/>
      <c r="G162" s="269"/>
      <c r="H162" s="251"/>
    </row>
    <row r="163">
      <c r="A163" s="270"/>
      <c r="B163" s="271"/>
      <c r="C163" s="272"/>
      <c r="D163" s="273"/>
      <c r="E163" s="18"/>
      <c r="F163" s="259"/>
      <c r="G163" s="260"/>
      <c r="H163" s="261"/>
    </row>
    <row r="164">
      <c r="A164" s="262">
        <v>15.0</v>
      </c>
      <c r="B164" s="239">
        <v>13607.0</v>
      </c>
      <c r="C164" s="263"/>
      <c r="D164" s="264"/>
      <c r="E164" s="242"/>
      <c r="F164" s="243"/>
      <c r="G164" s="276" t="s">
        <v>2638</v>
      </c>
      <c r="H164" s="245">
        <v>43.0</v>
      </c>
      <c r="I164" s="2" t="s">
        <v>59</v>
      </c>
    </row>
    <row r="165">
      <c r="A165" s="265"/>
      <c r="B165" s="247">
        <v>9240.0</v>
      </c>
      <c r="C165" s="248"/>
      <c r="D165" s="253"/>
      <c r="F165" s="250"/>
      <c r="G165" s="254" t="s">
        <v>2644</v>
      </c>
      <c r="H165" s="251"/>
    </row>
    <row r="166">
      <c r="A166" s="265"/>
      <c r="B166" s="247"/>
      <c r="C166" s="248"/>
      <c r="D166" s="249"/>
      <c r="F166" s="250"/>
      <c r="G166" s="254"/>
      <c r="H166" s="251"/>
    </row>
    <row r="167">
      <c r="A167" s="265"/>
      <c r="B167" s="247"/>
      <c r="C167" s="248"/>
      <c r="D167" s="249"/>
      <c r="F167" s="250"/>
      <c r="G167" s="254"/>
      <c r="H167" s="251"/>
    </row>
    <row r="168">
      <c r="A168" s="265"/>
      <c r="B168" s="247"/>
      <c r="C168" s="252"/>
      <c r="D168" s="253"/>
      <c r="F168" s="250"/>
      <c r="G168" s="254"/>
      <c r="H168" s="251"/>
    </row>
    <row r="169">
      <c r="A169" s="265"/>
      <c r="B169" s="247"/>
      <c r="C169" s="248"/>
      <c r="D169" s="249"/>
      <c r="F169" s="250"/>
      <c r="G169" s="254"/>
      <c r="H169" s="251"/>
    </row>
    <row r="170">
      <c r="A170" s="265"/>
      <c r="B170" s="247"/>
      <c r="C170" s="248"/>
      <c r="D170" s="249"/>
      <c r="F170" s="250"/>
      <c r="G170" s="254"/>
      <c r="H170" s="251"/>
    </row>
    <row r="171">
      <c r="A171" s="265"/>
      <c r="B171" s="247"/>
      <c r="C171" s="252"/>
      <c r="D171" s="249"/>
      <c r="F171" s="250"/>
      <c r="G171" s="254"/>
      <c r="H171" s="251"/>
    </row>
    <row r="172">
      <c r="A172" s="265"/>
      <c r="B172" s="247"/>
      <c r="C172" s="252"/>
      <c r="D172" s="253"/>
      <c r="F172" s="250"/>
      <c r="G172" s="254"/>
      <c r="H172" s="251"/>
    </row>
    <row r="173">
      <c r="A173" s="270"/>
      <c r="B173" s="279"/>
      <c r="C173" s="272"/>
      <c r="D173" s="273"/>
      <c r="E173" s="18"/>
      <c r="F173" s="274"/>
      <c r="G173" s="260"/>
      <c r="H173" s="261"/>
    </row>
    <row r="174">
      <c r="A174" s="262" t="s">
        <v>401</v>
      </c>
      <c r="B174" s="239"/>
      <c r="C174" s="263"/>
      <c r="D174" s="264"/>
      <c r="E174" s="242"/>
      <c r="F174" s="250">
        <v>23400.0</v>
      </c>
      <c r="G174" s="276" t="s">
        <v>87</v>
      </c>
      <c r="H174" s="245">
        <v>50.0</v>
      </c>
      <c r="I174" s="2" t="s">
        <v>107</v>
      </c>
    </row>
    <row r="175">
      <c r="A175" s="265"/>
      <c r="B175" s="247"/>
      <c r="C175" s="252"/>
      <c r="D175" s="249"/>
      <c r="F175" s="250">
        <v>1012.3</v>
      </c>
      <c r="G175" s="254" t="s">
        <v>97</v>
      </c>
      <c r="H175" s="251"/>
    </row>
    <row r="176">
      <c r="A176" s="265"/>
      <c r="B176" s="247">
        <v>11994.42</v>
      </c>
      <c r="C176" s="248"/>
      <c r="D176" s="249"/>
      <c r="F176" s="250"/>
      <c r="G176" s="254" t="s">
        <v>82</v>
      </c>
      <c r="H176" s="251"/>
    </row>
    <row r="177">
      <c r="A177" s="265"/>
      <c r="B177" s="247">
        <v>7198.0</v>
      </c>
      <c r="C177" s="248"/>
      <c r="D177" s="249"/>
      <c r="F177" s="250"/>
      <c r="G177" s="254" t="s">
        <v>352</v>
      </c>
      <c r="H177" s="251"/>
    </row>
    <row r="178">
      <c r="A178" s="265"/>
      <c r="B178" s="247"/>
      <c r="C178" s="248">
        <f>22367.64+24460.13</f>
        <v>46827.77</v>
      </c>
      <c r="D178" s="249"/>
      <c r="E178" s="254"/>
      <c r="F178" s="250"/>
      <c r="G178" s="254" t="s">
        <v>71</v>
      </c>
      <c r="H178" s="251"/>
      <c r="I178" s="269"/>
    </row>
    <row r="179">
      <c r="A179" s="265"/>
      <c r="B179" s="247"/>
      <c r="C179" s="252"/>
      <c r="D179" s="249">
        <v>18400.0</v>
      </c>
      <c r="F179" s="250"/>
      <c r="G179" s="254" t="s">
        <v>122</v>
      </c>
      <c r="H179" s="251"/>
    </row>
    <row r="180">
      <c r="A180" s="265"/>
      <c r="B180" s="247"/>
      <c r="C180" s="252"/>
      <c r="D180" s="249">
        <v>21470.0</v>
      </c>
      <c r="F180" s="250"/>
      <c r="G180" s="254" t="s">
        <v>75</v>
      </c>
      <c r="H180" s="251"/>
    </row>
    <row r="181">
      <c r="A181" s="265"/>
      <c r="B181" s="312">
        <v>7505.0</v>
      </c>
      <c r="C181" s="328"/>
      <c r="D181" s="314"/>
      <c r="E181" s="290"/>
      <c r="F181" s="291"/>
      <c r="G181" s="813" t="s">
        <v>2645</v>
      </c>
      <c r="H181" s="814"/>
    </row>
    <row r="182">
      <c r="A182" s="265"/>
      <c r="B182" s="247"/>
      <c r="C182" s="252"/>
      <c r="D182" s="249"/>
      <c r="F182" s="250">
        <v>3000.0</v>
      </c>
      <c r="G182" s="254" t="s">
        <v>101</v>
      </c>
      <c r="H182" s="251"/>
    </row>
    <row r="183">
      <c r="A183" s="265"/>
      <c r="B183" s="247"/>
      <c r="C183" s="252"/>
      <c r="D183" s="253"/>
      <c r="F183" s="250">
        <v>1200.0</v>
      </c>
      <c r="G183" s="254" t="s">
        <v>170</v>
      </c>
      <c r="H183" s="251"/>
    </row>
    <row r="184">
      <c r="A184" s="265"/>
      <c r="B184" s="247"/>
      <c r="C184" s="252"/>
      <c r="D184" s="253"/>
      <c r="F184" s="250">
        <v>800.0</v>
      </c>
      <c r="G184" s="254" t="s">
        <v>2646</v>
      </c>
      <c r="H184" s="251"/>
    </row>
    <row r="185">
      <c r="A185" s="265"/>
      <c r="B185" s="247"/>
      <c r="C185" s="252"/>
      <c r="D185" s="253"/>
      <c r="F185" s="250"/>
      <c r="G185" s="254"/>
      <c r="H185" s="251"/>
    </row>
    <row r="186">
      <c r="A186" s="265"/>
      <c r="B186" s="268"/>
      <c r="C186" s="252"/>
      <c r="D186" s="253"/>
      <c r="F186" s="250"/>
      <c r="G186" s="269"/>
      <c r="H186" s="251"/>
    </row>
    <row r="187">
      <c r="A187" s="265"/>
      <c r="B187" s="268"/>
      <c r="C187" s="252"/>
      <c r="D187" s="253"/>
      <c r="F187" s="250"/>
      <c r="G187" s="269"/>
      <c r="H187" s="251"/>
    </row>
    <row r="188">
      <c r="A188" s="270"/>
      <c r="B188" s="271"/>
      <c r="C188" s="272"/>
      <c r="D188" s="273"/>
      <c r="E188" s="18"/>
      <c r="F188" s="259"/>
      <c r="G188" s="260"/>
      <c r="H188" s="261"/>
    </row>
    <row r="189">
      <c r="A189" s="262" t="s">
        <v>408</v>
      </c>
      <c r="B189" s="247">
        <v>2628.0</v>
      </c>
      <c r="C189" s="248"/>
      <c r="D189" s="253"/>
      <c r="F189" s="250"/>
      <c r="G189" s="254" t="s">
        <v>2647</v>
      </c>
      <c r="H189" s="286">
        <v>67.0</v>
      </c>
      <c r="I189" s="2" t="s">
        <v>2636</v>
      </c>
    </row>
    <row r="190">
      <c r="A190" s="265"/>
      <c r="B190" s="247"/>
      <c r="C190" s="252"/>
      <c r="D190" s="249"/>
      <c r="F190" s="250">
        <v>800.0</v>
      </c>
      <c r="G190" s="254" t="s">
        <v>2612</v>
      </c>
      <c r="H190" s="251"/>
    </row>
    <row r="191">
      <c r="A191" s="265"/>
      <c r="B191" s="247">
        <v>9420.0</v>
      </c>
      <c r="C191" s="252"/>
      <c r="D191" s="249"/>
      <c r="F191" s="250"/>
      <c r="G191" s="254" t="s">
        <v>2648</v>
      </c>
      <c r="H191" s="251"/>
    </row>
    <row r="192">
      <c r="A192" s="265"/>
      <c r="B192" s="247"/>
      <c r="C192" s="248"/>
      <c r="D192" s="249"/>
      <c r="F192" s="250">
        <v>7000.0</v>
      </c>
      <c r="G192" s="254" t="s">
        <v>68</v>
      </c>
      <c r="H192" s="251"/>
    </row>
    <row r="193">
      <c r="A193" s="265"/>
      <c r="B193" s="247"/>
      <c r="C193" s="248"/>
      <c r="D193" s="249"/>
      <c r="F193" s="250">
        <v>1750.0</v>
      </c>
      <c r="G193" s="254" t="s">
        <v>2543</v>
      </c>
      <c r="H193" s="251"/>
    </row>
    <row r="194">
      <c r="A194" s="265"/>
      <c r="B194" s="247"/>
      <c r="C194" s="252"/>
      <c r="D194" s="249">
        <v>18886.64</v>
      </c>
      <c r="F194" s="250"/>
      <c r="G194" s="254" t="s">
        <v>74</v>
      </c>
      <c r="H194" s="251"/>
    </row>
    <row r="195">
      <c r="A195" s="265"/>
      <c r="B195" s="247"/>
      <c r="C195" s="252"/>
      <c r="D195" s="249">
        <v>20688.25</v>
      </c>
      <c r="F195" s="250"/>
      <c r="G195" s="254" t="s">
        <v>73</v>
      </c>
      <c r="H195" s="251"/>
    </row>
    <row r="196">
      <c r="A196" s="265"/>
      <c r="B196" s="247"/>
      <c r="C196" s="252"/>
      <c r="D196" s="249">
        <v>19171.97</v>
      </c>
      <c r="F196" s="250"/>
      <c r="G196" s="254" t="s">
        <v>114</v>
      </c>
      <c r="H196" s="251"/>
    </row>
    <row r="197">
      <c r="A197" s="265"/>
      <c r="B197" s="247">
        <v>7383.0</v>
      </c>
      <c r="C197" s="248"/>
      <c r="D197" s="253"/>
      <c r="F197" s="250"/>
      <c r="G197" s="254" t="s">
        <v>2649</v>
      </c>
      <c r="H197" s="251"/>
    </row>
    <row r="198">
      <c r="A198" s="265"/>
      <c r="B198" s="247">
        <v>5688.0</v>
      </c>
      <c r="C198" s="252"/>
      <c r="D198" s="253"/>
      <c r="F198" s="250"/>
      <c r="G198" s="254" t="s">
        <v>66</v>
      </c>
      <c r="H198" s="251"/>
    </row>
    <row r="199">
      <c r="A199" s="265"/>
      <c r="B199" s="247">
        <v>27839.35</v>
      </c>
      <c r="C199" s="252"/>
      <c r="D199" s="249"/>
      <c r="F199" s="250"/>
      <c r="G199" s="254" t="s">
        <v>103</v>
      </c>
      <c r="H199" s="251"/>
    </row>
    <row r="200">
      <c r="A200" s="265"/>
      <c r="B200" s="247"/>
      <c r="C200" s="248"/>
      <c r="D200" s="249">
        <v>36209.25</v>
      </c>
      <c r="F200" s="250"/>
      <c r="G200" s="254" t="s">
        <v>92</v>
      </c>
      <c r="H200" s="251"/>
    </row>
    <row r="201">
      <c r="A201" s="265"/>
      <c r="B201" s="247"/>
      <c r="C201" s="248"/>
      <c r="D201" s="249"/>
      <c r="F201" s="250">
        <v>4700.0</v>
      </c>
      <c r="G201" s="254" t="s">
        <v>2650</v>
      </c>
      <c r="H201" s="251"/>
    </row>
    <row r="202">
      <c r="A202" s="265"/>
      <c r="B202" s="247"/>
      <c r="C202" s="252"/>
      <c r="D202" s="249"/>
      <c r="F202" s="250"/>
      <c r="G202" s="254"/>
      <c r="H202" s="251"/>
    </row>
    <row r="203">
      <c r="A203" s="265"/>
      <c r="B203" s="247"/>
      <c r="C203" s="252"/>
      <c r="D203" s="253"/>
      <c r="F203" s="250"/>
      <c r="G203" s="254"/>
      <c r="H203" s="251"/>
    </row>
    <row r="204">
      <c r="A204" s="270"/>
      <c r="B204" s="247"/>
      <c r="C204" s="252"/>
      <c r="D204" s="249"/>
      <c r="F204" s="250"/>
      <c r="G204" s="254"/>
      <c r="H204" s="261"/>
    </row>
    <row r="205">
      <c r="A205" s="262" t="s">
        <v>413</v>
      </c>
      <c r="B205" s="239"/>
      <c r="C205" s="263">
        <v>35672.98</v>
      </c>
      <c r="D205" s="264"/>
      <c r="E205" s="242"/>
      <c r="F205" s="243"/>
      <c r="G205" s="276" t="s">
        <v>84</v>
      </c>
      <c r="H205" s="245">
        <v>59.0</v>
      </c>
      <c r="I205" s="2" t="s">
        <v>72</v>
      </c>
    </row>
    <row r="206">
      <c r="A206" s="265"/>
      <c r="B206" s="247"/>
      <c r="C206" s="248"/>
      <c r="D206" s="249"/>
      <c r="F206" s="250">
        <v>2612.03</v>
      </c>
      <c r="G206" s="254" t="s">
        <v>84</v>
      </c>
      <c r="H206" s="267"/>
    </row>
    <row r="207">
      <c r="A207" s="265"/>
      <c r="B207" s="247">
        <v>8645.54</v>
      </c>
      <c r="C207" s="252"/>
      <c r="D207" s="253"/>
      <c r="F207" s="250"/>
      <c r="G207" s="254" t="s">
        <v>82</v>
      </c>
      <c r="H207" s="251"/>
    </row>
    <row r="208">
      <c r="A208" s="265"/>
      <c r="B208" s="247">
        <v>7330.18</v>
      </c>
      <c r="C208" s="248"/>
      <c r="D208" s="249"/>
      <c r="F208" s="250"/>
      <c r="G208" s="254" t="s">
        <v>77</v>
      </c>
      <c r="H208" s="251"/>
    </row>
    <row r="209">
      <c r="A209" s="265"/>
      <c r="B209" s="247"/>
      <c r="C209" s="248"/>
      <c r="D209" s="249"/>
      <c r="F209" s="250"/>
      <c r="G209" s="254"/>
      <c r="H209" s="251"/>
    </row>
    <row r="210">
      <c r="A210" s="265"/>
      <c r="B210" s="247"/>
      <c r="C210" s="248"/>
      <c r="D210" s="249"/>
      <c r="F210" s="250"/>
      <c r="G210" s="254"/>
      <c r="H210" s="267"/>
    </row>
    <row r="211">
      <c r="A211" s="265"/>
      <c r="B211" s="247"/>
      <c r="C211" s="248"/>
      <c r="D211" s="249"/>
      <c r="F211" s="250"/>
      <c r="G211" s="254"/>
      <c r="H211" s="251"/>
    </row>
    <row r="212">
      <c r="A212" s="265"/>
      <c r="B212" s="247"/>
      <c r="C212" s="252"/>
      <c r="D212" s="249"/>
      <c r="F212" s="250"/>
      <c r="G212" s="254"/>
      <c r="H212" s="251"/>
    </row>
    <row r="213">
      <c r="A213" s="265"/>
      <c r="B213" s="268"/>
      <c r="C213" s="248"/>
      <c r="D213" s="249"/>
      <c r="F213" s="250"/>
      <c r="G213" s="254"/>
      <c r="H213" s="251"/>
    </row>
    <row r="214">
      <c r="A214" s="265"/>
      <c r="B214" s="247"/>
      <c r="C214" s="248"/>
      <c r="D214" s="253"/>
      <c r="F214" s="250"/>
      <c r="G214" s="254"/>
      <c r="H214" s="251"/>
    </row>
    <row r="215">
      <c r="A215" s="265"/>
      <c r="B215" s="268"/>
      <c r="C215" s="248"/>
      <c r="D215" s="253"/>
      <c r="F215" s="250"/>
      <c r="G215" s="269"/>
      <c r="H215" s="251"/>
    </row>
    <row r="216">
      <c r="A216" s="265"/>
      <c r="B216" s="247"/>
      <c r="C216" s="248"/>
      <c r="D216" s="253"/>
      <c r="F216" s="250"/>
      <c r="G216" s="269"/>
      <c r="H216" s="251"/>
    </row>
    <row r="217">
      <c r="A217" s="265"/>
      <c r="B217" s="278"/>
      <c r="C217" s="252"/>
      <c r="D217" s="253"/>
      <c r="F217" s="250"/>
      <c r="G217" s="269"/>
      <c r="H217" s="251"/>
    </row>
    <row r="218">
      <c r="A218" s="265"/>
      <c r="B218" s="278"/>
      <c r="C218" s="252"/>
      <c r="D218" s="253"/>
      <c r="F218" s="282"/>
      <c r="G218" s="269"/>
      <c r="H218" s="251"/>
    </row>
    <row r="219">
      <c r="A219" s="270"/>
      <c r="B219" s="271"/>
      <c r="C219" s="272"/>
      <c r="D219" s="273"/>
      <c r="E219" s="18"/>
      <c r="F219" s="274"/>
      <c r="G219" s="275"/>
      <c r="H219" s="261"/>
    </row>
    <row r="220">
      <c r="A220" s="262" t="s">
        <v>417</v>
      </c>
      <c r="B220" s="239"/>
      <c r="C220" s="263"/>
      <c r="D220" s="264"/>
      <c r="E220" s="242"/>
      <c r="F220" s="243">
        <v>287.0</v>
      </c>
      <c r="G220" s="276" t="s">
        <v>97</v>
      </c>
      <c r="H220" s="245">
        <v>80.0</v>
      </c>
      <c r="I220" s="2" t="s">
        <v>2651</v>
      </c>
    </row>
    <row r="221">
      <c r="A221" s="265"/>
      <c r="B221" s="247"/>
      <c r="C221" s="248"/>
      <c r="D221" s="249"/>
      <c r="E221" s="2">
        <v>19104.69</v>
      </c>
      <c r="F221" s="250"/>
      <c r="G221" s="254" t="s">
        <v>91</v>
      </c>
      <c r="H221" s="267"/>
    </row>
    <row r="222">
      <c r="A222" s="265"/>
      <c r="B222" s="247"/>
      <c r="C222" s="248">
        <v>23400.0</v>
      </c>
      <c r="D222" s="249"/>
      <c r="F222" s="250"/>
      <c r="G222" s="254" t="s">
        <v>87</v>
      </c>
      <c r="H222" s="251"/>
    </row>
    <row r="223">
      <c r="A223" s="265"/>
      <c r="B223" s="247"/>
      <c r="C223" s="248">
        <v>40197.75</v>
      </c>
      <c r="D223" s="249"/>
      <c r="F223" s="250"/>
      <c r="G223" s="254" t="s">
        <v>89</v>
      </c>
      <c r="H223" s="251"/>
    </row>
    <row r="224">
      <c r="A224" s="265"/>
      <c r="B224" s="247"/>
      <c r="C224" s="252"/>
      <c r="D224" s="253"/>
      <c r="E224" s="2"/>
      <c r="F224" s="250"/>
      <c r="G224" s="254"/>
      <c r="H224" s="251"/>
    </row>
    <row r="225">
      <c r="A225" s="265"/>
      <c r="B225" s="247"/>
      <c r="C225" s="252"/>
      <c r="D225" s="253"/>
      <c r="F225" s="250">
        <v>5525.0</v>
      </c>
      <c r="G225" s="254" t="s">
        <v>2652</v>
      </c>
      <c r="H225" s="251"/>
    </row>
    <row r="226">
      <c r="A226" s="265"/>
      <c r="B226" s="247">
        <v>11800.0</v>
      </c>
      <c r="C226" s="252"/>
      <c r="D226" s="253"/>
      <c r="F226" s="250"/>
      <c r="G226" s="254" t="s">
        <v>76</v>
      </c>
      <c r="H226" s="251"/>
    </row>
    <row r="227">
      <c r="A227" s="265"/>
      <c r="B227" s="247">
        <v>7698.0</v>
      </c>
      <c r="C227" s="252"/>
      <c r="D227" s="253"/>
      <c r="F227" s="250"/>
      <c r="G227" s="254" t="s">
        <v>352</v>
      </c>
      <c r="H227" s="251"/>
      <c r="I227" s="269"/>
      <c r="J227" s="269"/>
      <c r="K227" s="269"/>
    </row>
    <row r="228">
      <c r="A228" s="265"/>
      <c r="B228" s="247"/>
      <c r="C228" s="252"/>
      <c r="D228" s="249"/>
      <c r="E228" s="269"/>
      <c r="F228" s="250"/>
      <c r="G228" s="254"/>
      <c r="H228" s="251"/>
      <c r="I228" s="269"/>
      <c r="J228" s="269"/>
      <c r="K228" s="269"/>
    </row>
    <row r="229">
      <c r="A229" s="265"/>
      <c r="B229" s="278"/>
      <c r="C229" s="252"/>
      <c r="D229" s="249"/>
      <c r="E229" s="254"/>
      <c r="F229" s="250"/>
      <c r="G229" s="254"/>
      <c r="H229" s="251"/>
      <c r="I229" s="254"/>
      <c r="J229" s="269"/>
      <c r="K229" s="269"/>
    </row>
    <row r="230">
      <c r="A230" s="265"/>
      <c r="B230" s="278"/>
      <c r="C230" s="252"/>
      <c r="D230" s="253"/>
      <c r="E230" s="269"/>
      <c r="F230" s="282"/>
      <c r="G230" s="269"/>
      <c r="H230" s="251"/>
      <c r="I230" s="269"/>
      <c r="J230" s="269"/>
      <c r="K230" s="269"/>
    </row>
    <row r="231">
      <c r="A231" s="270"/>
      <c r="B231" s="271"/>
      <c r="C231" s="272"/>
      <c r="D231" s="273"/>
      <c r="E231" s="275"/>
      <c r="F231" s="274"/>
      <c r="G231" s="275"/>
      <c r="H231" s="261"/>
      <c r="I231" s="269"/>
      <c r="J231" s="269"/>
      <c r="K231" s="269"/>
    </row>
    <row r="232">
      <c r="A232" s="262" t="s">
        <v>418</v>
      </c>
      <c r="B232" s="239"/>
      <c r="C232" s="263"/>
      <c r="D232" s="264">
        <v>13370.0</v>
      </c>
      <c r="E232" s="276"/>
      <c r="F232" s="243"/>
      <c r="G232" s="276" t="s">
        <v>75</v>
      </c>
      <c r="H232" s="245">
        <v>64.0</v>
      </c>
      <c r="I232" s="254" t="s">
        <v>72</v>
      </c>
      <c r="J232" s="269"/>
      <c r="K232" s="269"/>
    </row>
    <row r="233">
      <c r="A233" s="265"/>
      <c r="B233" s="247"/>
      <c r="C233" s="252"/>
      <c r="D233" s="249"/>
      <c r="E233" s="269"/>
      <c r="F233" s="250">
        <v>650.0</v>
      </c>
      <c r="G233" s="254" t="s">
        <v>150</v>
      </c>
      <c r="H233" s="251"/>
      <c r="I233" s="269"/>
      <c r="J233" s="269"/>
      <c r="K233" s="269"/>
    </row>
    <row r="234">
      <c r="A234" s="265"/>
      <c r="B234" s="247"/>
      <c r="C234" s="252"/>
      <c r="D234" s="249"/>
      <c r="E234" s="269"/>
      <c r="F234" s="250">
        <v>3000.0</v>
      </c>
      <c r="G234" s="254" t="s">
        <v>101</v>
      </c>
      <c r="H234" s="251"/>
      <c r="I234" s="269"/>
      <c r="J234" s="269"/>
      <c r="K234" s="269"/>
    </row>
    <row r="235">
      <c r="A235" s="265"/>
      <c r="B235" s="247">
        <v>8645.54</v>
      </c>
      <c r="C235" s="248"/>
      <c r="D235" s="253"/>
      <c r="E235" s="269"/>
      <c r="F235" s="250"/>
      <c r="G235" s="254" t="s">
        <v>82</v>
      </c>
      <c r="H235" s="251"/>
      <c r="I235" s="269"/>
      <c r="J235" s="269"/>
      <c r="K235" s="269"/>
    </row>
    <row r="236">
      <c r="A236" s="265"/>
      <c r="B236" s="247">
        <v>19132.0</v>
      </c>
      <c r="C236" s="248"/>
      <c r="D236" s="253"/>
      <c r="E236" s="269"/>
      <c r="F236" s="250"/>
      <c r="G236" s="254" t="s">
        <v>2621</v>
      </c>
      <c r="H236" s="251"/>
      <c r="I236" s="269"/>
      <c r="J236" s="269"/>
      <c r="K236" s="269"/>
    </row>
    <row r="237">
      <c r="A237" s="265"/>
      <c r="B237" s="247"/>
      <c r="C237" s="248"/>
      <c r="D237" s="249">
        <v>35283.6</v>
      </c>
      <c r="E237" s="269"/>
      <c r="F237" s="250"/>
      <c r="G237" s="254" t="s">
        <v>167</v>
      </c>
      <c r="H237" s="251"/>
      <c r="I237" s="269"/>
      <c r="J237" s="269"/>
      <c r="K237" s="269"/>
    </row>
    <row r="238">
      <c r="A238" s="265"/>
      <c r="B238" s="247"/>
      <c r="C238" s="252"/>
      <c r="D238" s="253"/>
      <c r="E238" s="269"/>
      <c r="F238" s="250">
        <v>1600.0</v>
      </c>
      <c r="G238" s="254" t="s">
        <v>420</v>
      </c>
      <c r="H238" s="251"/>
      <c r="I238" s="269"/>
      <c r="J238" s="269"/>
      <c r="K238" s="269"/>
    </row>
    <row r="239">
      <c r="A239" s="265"/>
      <c r="B239" s="247"/>
      <c r="C239" s="252"/>
      <c r="D239" s="288"/>
      <c r="E239" s="269"/>
      <c r="F239" s="250"/>
      <c r="G239" s="254"/>
      <c r="H239" s="251"/>
      <c r="I239" s="254"/>
      <c r="J239" s="269"/>
      <c r="K239" s="269"/>
    </row>
    <row r="240">
      <c r="A240" s="265"/>
      <c r="B240" s="247"/>
      <c r="C240" s="252"/>
      <c r="D240" s="253"/>
      <c r="F240" s="250"/>
      <c r="G240" s="254"/>
      <c r="H240" s="251"/>
      <c r="I240" s="269"/>
      <c r="J240" s="269"/>
      <c r="K240" s="269"/>
    </row>
    <row r="241">
      <c r="A241" s="265"/>
      <c r="B241" s="247"/>
      <c r="C241" s="252"/>
      <c r="D241" s="253"/>
      <c r="F241" s="250"/>
      <c r="G241" s="254"/>
      <c r="H241" s="251"/>
    </row>
    <row r="242">
      <c r="A242" s="265"/>
      <c r="B242" s="268"/>
      <c r="C242" s="252"/>
      <c r="D242" s="253"/>
      <c r="F242" s="250"/>
      <c r="G242" s="254"/>
      <c r="H242" s="251"/>
    </row>
    <row r="243">
      <c r="A243" s="265"/>
      <c r="B243" s="277"/>
      <c r="C243" s="252"/>
      <c r="D243" s="253"/>
      <c r="F243" s="282"/>
      <c r="G243" s="269"/>
      <c r="H243" s="251"/>
    </row>
    <row r="244">
      <c r="A244" s="265"/>
      <c r="B244" s="278"/>
      <c r="C244" s="252"/>
      <c r="D244" s="253"/>
      <c r="F244" s="282"/>
      <c r="G244" s="269"/>
      <c r="H244" s="251"/>
    </row>
    <row r="245">
      <c r="A245" s="265"/>
      <c r="B245" s="278"/>
      <c r="C245" s="252"/>
      <c r="D245" s="253"/>
      <c r="F245" s="282"/>
      <c r="G245" s="269"/>
      <c r="H245" s="251"/>
    </row>
    <row r="246">
      <c r="A246" s="270"/>
      <c r="B246" s="271"/>
      <c r="C246" s="272"/>
      <c r="D246" s="273"/>
      <c r="E246" s="18"/>
      <c r="F246" s="274"/>
      <c r="G246" s="275"/>
      <c r="H246" s="261"/>
    </row>
    <row r="247">
      <c r="A247" s="262" t="s">
        <v>427</v>
      </c>
      <c r="B247" s="239"/>
      <c r="C247" s="263"/>
      <c r="D247" s="264">
        <v>69975.0</v>
      </c>
      <c r="E247" s="242"/>
      <c r="F247" s="243"/>
      <c r="G247" s="2" t="s">
        <v>664</v>
      </c>
      <c r="H247" s="245">
        <v>80.0</v>
      </c>
      <c r="I247" s="2" t="s">
        <v>72</v>
      </c>
    </row>
    <row r="248">
      <c r="A248" s="265"/>
      <c r="B248" s="247"/>
      <c r="C248" s="252"/>
      <c r="D248" s="253"/>
      <c r="F248" s="250">
        <v>11600.0</v>
      </c>
      <c r="G248" s="254" t="s">
        <v>128</v>
      </c>
      <c r="H248" s="251"/>
    </row>
    <row r="249">
      <c r="A249" s="265"/>
      <c r="B249" s="247"/>
      <c r="C249" s="252"/>
      <c r="D249" s="249"/>
      <c r="F249" s="250">
        <v>340.0</v>
      </c>
      <c r="G249" s="254" t="s">
        <v>97</v>
      </c>
      <c r="H249" s="251"/>
    </row>
    <row r="250">
      <c r="A250" s="265"/>
      <c r="B250" s="247"/>
      <c r="C250" s="248"/>
      <c r="D250" s="253"/>
      <c r="F250" s="250">
        <v>7000.0</v>
      </c>
      <c r="G250" s="254" t="s">
        <v>68</v>
      </c>
      <c r="H250" s="251"/>
    </row>
    <row r="251">
      <c r="A251" s="265"/>
      <c r="B251" s="247"/>
      <c r="C251" s="252"/>
      <c r="D251" s="253"/>
      <c r="F251" s="250"/>
      <c r="G251" s="254"/>
      <c r="H251" s="267"/>
    </row>
    <row r="252">
      <c r="A252" s="265"/>
      <c r="B252" s="247"/>
      <c r="C252" s="248"/>
      <c r="D252" s="253"/>
      <c r="F252" s="250"/>
      <c r="G252" s="254"/>
      <c r="H252" s="267"/>
    </row>
    <row r="253">
      <c r="A253" s="265"/>
      <c r="B253" s="247"/>
      <c r="C253" s="248"/>
      <c r="D253" s="249"/>
      <c r="F253" s="250"/>
      <c r="G253" s="254"/>
      <c r="H253" s="251"/>
    </row>
    <row r="254">
      <c r="A254" s="265"/>
      <c r="B254" s="247"/>
      <c r="C254" s="252"/>
      <c r="D254" s="253"/>
      <c r="F254" s="250"/>
      <c r="G254" s="254"/>
      <c r="H254" s="251"/>
    </row>
    <row r="255">
      <c r="A255" s="265"/>
      <c r="B255" s="247"/>
      <c r="C255" s="252"/>
      <c r="D255" s="253"/>
      <c r="F255" s="250"/>
      <c r="G255" s="254"/>
      <c r="H255" s="251"/>
    </row>
    <row r="256">
      <c r="A256" s="265"/>
      <c r="B256" s="247"/>
      <c r="C256" s="252"/>
      <c r="D256" s="253"/>
      <c r="F256" s="250"/>
      <c r="G256" s="254"/>
      <c r="H256" s="251"/>
    </row>
    <row r="257">
      <c r="A257" s="265"/>
      <c r="B257" s="278"/>
      <c r="C257" s="252"/>
      <c r="D257" s="253"/>
      <c r="F257" s="250"/>
      <c r="G257" s="254"/>
      <c r="H257" s="251"/>
    </row>
    <row r="258">
      <c r="A258" s="265"/>
      <c r="B258" s="278"/>
      <c r="C258" s="252"/>
      <c r="D258" s="253"/>
      <c r="F258" s="250"/>
      <c r="G258" s="269"/>
      <c r="H258" s="251"/>
    </row>
    <row r="259">
      <c r="A259" s="265"/>
      <c r="B259" s="278"/>
      <c r="C259" s="252"/>
      <c r="D259" s="253"/>
      <c r="F259" s="250"/>
      <c r="G259" s="269"/>
      <c r="H259" s="251"/>
    </row>
    <row r="260">
      <c r="A260" s="270"/>
      <c r="B260" s="271"/>
      <c r="C260" s="272"/>
      <c r="D260" s="273"/>
      <c r="E260" s="18"/>
      <c r="F260" s="274"/>
      <c r="G260" s="275"/>
      <c r="H260" s="261"/>
    </row>
    <row r="261">
      <c r="A261" s="262" t="s">
        <v>428</v>
      </c>
      <c r="B261" s="239"/>
      <c r="C261" s="263"/>
      <c r="D261" s="264"/>
      <c r="E261" s="242"/>
      <c r="F261" s="243">
        <v>168.0</v>
      </c>
      <c r="G261" s="276" t="s">
        <v>2653</v>
      </c>
      <c r="H261" s="245">
        <v>66.0</v>
      </c>
      <c r="I261" s="2" t="s">
        <v>72</v>
      </c>
    </row>
    <row r="262">
      <c r="A262" s="265"/>
      <c r="B262" s="247">
        <v>18400.0</v>
      </c>
      <c r="C262" s="248"/>
      <c r="D262" s="253"/>
      <c r="F262" s="250"/>
      <c r="G262" s="254" t="s">
        <v>2609</v>
      </c>
      <c r="H262" s="251"/>
    </row>
    <row r="263">
      <c r="A263" s="265"/>
      <c r="B263" s="247">
        <v>22200.0</v>
      </c>
      <c r="C263" s="252"/>
      <c r="D263" s="249"/>
      <c r="F263" s="250"/>
      <c r="G263" s="254" t="s">
        <v>839</v>
      </c>
      <c r="H263" s="251"/>
    </row>
    <row r="264">
      <c r="A264" s="265"/>
      <c r="B264" s="247"/>
      <c r="C264" s="248"/>
      <c r="D264" s="249"/>
      <c r="F264" s="250"/>
      <c r="G264" s="254"/>
      <c r="H264" s="251"/>
    </row>
    <row r="265">
      <c r="A265" s="265"/>
      <c r="B265" s="247"/>
      <c r="C265" s="248"/>
      <c r="D265" s="249"/>
      <c r="F265" s="250"/>
      <c r="G265" s="254"/>
      <c r="H265" s="251"/>
    </row>
    <row r="266">
      <c r="A266" s="265"/>
      <c r="B266" s="247"/>
      <c r="C266" s="248"/>
      <c r="D266" s="249"/>
      <c r="F266" s="250"/>
      <c r="G266" s="254"/>
      <c r="H266" s="251"/>
    </row>
    <row r="267">
      <c r="A267" s="265"/>
      <c r="B267" s="247"/>
      <c r="C267" s="252"/>
      <c r="D267" s="249"/>
      <c r="F267" s="250"/>
      <c r="G267" s="254"/>
      <c r="H267" s="251"/>
    </row>
    <row r="268">
      <c r="A268" s="265"/>
      <c r="B268" s="247"/>
      <c r="C268" s="252"/>
      <c r="D268" s="253"/>
      <c r="F268" s="250"/>
      <c r="G268" s="254"/>
      <c r="H268" s="251"/>
    </row>
    <row r="269">
      <c r="A269" s="265"/>
      <c r="B269" s="247"/>
      <c r="C269" s="252"/>
      <c r="D269" s="253"/>
      <c r="F269" s="250"/>
      <c r="G269" s="254"/>
      <c r="H269" s="251"/>
    </row>
    <row r="270">
      <c r="A270" s="265"/>
      <c r="B270" s="247"/>
      <c r="C270" s="252"/>
      <c r="D270" s="253"/>
      <c r="F270" s="250"/>
      <c r="G270" s="254"/>
      <c r="H270" s="251"/>
    </row>
    <row r="271">
      <c r="A271" s="265"/>
      <c r="B271" s="268"/>
      <c r="C271" s="252"/>
      <c r="D271" s="253"/>
      <c r="F271" s="250"/>
      <c r="G271" s="254"/>
      <c r="H271" s="267"/>
    </row>
    <row r="272">
      <c r="A272" s="265"/>
      <c r="B272" s="268"/>
      <c r="C272" s="252"/>
      <c r="D272" s="253"/>
      <c r="F272" s="250"/>
      <c r="G272" s="254"/>
      <c r="H272" s="251"/>
    </row>
    <row r="273">
      <c r="A273" s="265"/>
      <c r="B273" s="268"/>
      <c r="C273" s="252"/>
      <c r="D273" s="253"/>
      <c r="F273" s="250"/>
      <c r="G273" s="254"/>
      <c r="H273" s="251"/>
    </row>
    <row r="274">
      <c r="A274" s="270"/>
      <c r="B274" s="271"/>
      <c r="C274" s="272"/>
      <c r="D274" s="273"/>
      <c r="E274" s="18"/>
      <c r="F274" s="259"/>
      <c r="G274" s="260"/>
      <c r="H274" s="261"/>
    </row>
    <row r="275">
      <c r="A275" s="262" t="s">
        <v>430</v>
      </c>
      <c r="B275" s="239"/>
      <c r="C275" s="263"/>
      <c r="D275" s="264"/>
      <c r="E275" s="244"/>
      <c r="F275" s="243">
        <v>1030.0</v>
      </c>
      <c r="G275" s="276" t="s">
        <v>2654</v>
      </c>
      <c r="H275" s="245">
        <v>60.0</v>
      </c>
      <c r="I275" s="2" t="s">
        <v>72</v>
      </c>
    </row>
    <row r="276">
      <c r="A276" s="265"/>
      <c r="B276" s="247"/>
      <c r="C276" s="252"/>
      <c r="D276" s="249">
        <v>19200.0</v>
      </c>
      <c r="F276" s="250"/>
      <c r="G276" s="254" t="s">
        <v>2610</v>
      </c>
      <c r="H276" s="267"/>
    </row>
    <row r="277">
      <c r="A277" s="265"/>
      <c r="B277" s="247">
        <v>29664.0</v>
      </c>
      <c r="C277" s="252"/>
      <c r="D277" s="249"/>
      <c r="F277" s="250"/>
      <c r="G277" s="254" t="s">
        <v>2600</v>
      </c>
      <c r="H277" s="251"/>
    </row>
    <row r="278">
      <c r="A278" s="265"/>
      <c r="B278" s="247">
        <v>28269.0</v>
      </c>
      <c r="C278" s="248"/>
      <c r="D278" s="249"/>
      <c r="F278" s="250"/>
      <c r="G278" s="254" t="s">
        <v>2599</v>
      </c>
      <c r="H278" s="251"/>
    </row>
    <row r="279">
      <c r="A279" s="265"/>
      <c r="B279" s="247">
        <v>23400.0</v>
      </c>
      <c r="C279" s="252"/>
      <c r="D279" s="249"/>
      <c r="F279" s="250"/>
      <c r="G279" s="254" t="s">
        <v>2602</v>
      </c>
      <c r="H279" s="251"/>
    </row>
    <row r="280">
      <c r="A280" s="265"/>
      <c r="B280" s="247"/>
      <c r="C280" s="248">
        <v>49470.0</v>
      </c>
      <c r="D280" s="249"/>
      <c r="F280" s="250"/>
      <c r="G280" s="254" t="s">
        <v>2655</v>
      </c>
      <c r="H280" s="251"/>
    </row>
    <row r="281">
      <c r="A281" s="265"/>
      <c r="B281" s="247"/>
      <c r="C281" s="248"/>
      <c r="D281" s="249"/>
      <c r="F281" s="250"/>
      <c r="G281" s="254"/>
      <c r="H281" s="251"/>
    </row>
    <row r="282">
      <c r="A282" s="265"/>
      <c r="B282" s="247"/>
      <c r="C282" s="248"/>
      <c r="D282" s="249"/>
      <c r="F282" s="250"/>
      <c r="G282" s="254"/>
      <c r="H282" s="251"/>
    </row>
    <row r="283">
      <c r="A283" s="265"/>
      <c r="B283" s="247"/>
      <c r="C283" s="252"/>
      <c r="D283" s="249"/>
      <c r="F283" s="250"/>
      <c r="G283" s="254"/>
      <c r="H283" s="251"/>
    </row>
    <row r="284">
      <c r="A284" s="265"/>
      <c r="B284" s="247"/>
      <c r="C284" s="252"/>
      <c r="D284" s="786"/>
      <c r="E284" s="322"/>
      <c r="F284" s="323"/>
      <c r="G284" s="787"/>
      <c r="H284" s="251"/>
    </row>
    <row r="285">
      <c r="A285" s="265"/>
      <c r="B285" s="247"/>
      <c r="C285" s="252"/>
      <c r="D285" s="253"/>
      <c r="F285" s="250"/>
      <c r="G285" s="254"/>
      <c r="H285" s="251"/>
    </row>
    <row r="286">
      <c r="A286" s="265"/>
      <c r="B286" s="268"/>
      <c r="C286" s="252"/>
      <c r="D286" s="253"/>
      <c r="F286" s="250"/>
      <c r="G286" s="269"/>
      <c r="H286" s="251"/>
    </row>
    <row r="287">
      <c r="A287" s="270"/>
      <c r="B287" s="271"/>
      <c r="C287" s="272"/>
      <c r="D287" s="273"/>
      <c r="E287" s="18"/>
      <c r="F287" s="259"/>
      <c r="G287" s="260"/>
      <c r="H287" s="261"/>
    </row>
    <row r="288">
      <c r="A288" s="262" t="s">
        <v>439</v>
      </c>
      <c r="B288" s="239"/>
      <c r="C288" s="263"/>
      <c r="D288" s="264"/>
      <c r="E288" s="244"/>
      <c r="F288" s="243">
        <v>46000.0</v>
      </c>
      <c r="G288" s="276" t="s">
        <v>1181</v>
      </c>
      <c r="H288" s="245">
        <v>27.0</v>
      </c>
      <c r="I288" s="2" t="s">
        <v>72</v>
      </c>
    </row>
    <row r="289">
      <c r="A289" s="265"/>
      <c r="B289" s="247">
        <v>8131.0</v>
      </c>
      <c r="C289" s="252"/>
      <c r="D289" s="249"/>
      <c r="F289" s="250"/>
      <c r="G289" s="254" t="s">
        <v>895</v>
      </c>
      <c r="H289" s="251"/>
    </row>
    <row r="290">
      <c r="A290" s="265"/>
      <c r="B290" s="247">
        <v>14963.0</v>
      </c>
      <c r="C290" s="248"/>
      <c r="D290" s="249"/>
      <c r="F290" s="250"/>
      <c r="G290" s="254" t="s">
        <v>2605</v>
      </c>
      <c r="H290" s="251"/>
    </row>
    <row r="291">
      <c r="A291" s="265"/>
      <c r="B291" s="247"/>
      <c r="C291" s="248"/>
      <c r="D291" s="249"/>
      <c r="F291" s="250"/>
      <c r="G291" s="254"/>
      <c r="H291" s="251"/>
    </row>
    <row r="292">
      <c r="A292" s="265"/>
      <c r="B292" s="247"/>
      <c r="C292" s="252"/>
      <c r="D292" s="249"/>
      <c r="F292" s="250"/>
      <c r="G292" s="254"/>
      <c r="H292" s="251"/>
    </row>
    <row r="293">
      <c r="A293" s="265"/>
      <c r="B293" s="247"/>
      <c r="C293" s="248"/>
      <c r="D293" s="249"/>
      <c r="F293" s="250"/>
      <c r="G293" s="254"/>
      <c r="H293" s="251"/>
    </row>
    <row r="294">
      <c r="A294" s="265"/>
      <c r="B294" s="247"/>
      <c r="C294" s="248"/>
      <c r="D294" s="249"/>
      <c r="F294" s="250"/>
      <c r="G294" s="254"/>
      <c r="H294" s="251"/>
    </row>
    <row r="295">
      <c r="A295" s="265"/>
      <c r="B295" s="247"/>
      <c r="C295" s="248"/>
      <c r="D295" s="249"/>
      <c r="F295" s="250"/>
      <c r="G295" s="254"/>
      <c r="H295" s="251"/>
    </row>
    <row r="296">
      <c r="A296" s="265"/>
      <c r="B296" s="247"/>
      <c r="C296" s="252"/>
      <c r="D296" s="249"/>
      <c r="F296" s="250"/>
      <c r="G296" s="254"/>
      <c r="H296" s="251"/>
    </row>
    <row r="297">
      <c r="A297" s="265"/>
      <c r="B297" s="247"/>
      <c r="C297" s="252"/>
      <c r="D297" s="249"/>
      <c r="F297" s="250"/>
      <c r="G297" s="254"/>
      <c r="H297" s="251"/>
    </row>
    <row r="298">
      <c r="A298" s="265"/>
      <c r="B298" s="247"/>
      <c r="C298" s="252"/>
      <c r="D298" s="253"/>
      <c r="F298" s="250"/>
      <c r="G298" s="254"/>
      <c r="H298" s="251"/>
    </row>
    <row r="299">
      <c r="A299" s="265"/>
      <c r="B299" s="268"/>
      <c r="C299" s="252"/>
      <c r="D299" s="253"/>
      <c r="F299" s="250"/>
      <c r="G299" s="269"/>
      <c r="H299" s="251"/>
    </row>
    <row r="300">
      <c r="A300" s="265"/>
      <c r="B300" s="268"/>
      <c r="C300" s="252"/>
      <c r="D300" s="253"/>
      <c r="F300" s="250"/>
      <c r="G300" s="269"/>
      <c r="H300" s="251"/>
    </row>
    <row r="301">
      <c r="A301" s="270"/>
      <c r="B301" s="271"/>
      <c r="C301" s="272"/>
      <c r="D301" s="273"/>
      <c r="E301" s="18"/>
      <c r="F301" s="274"/>
      <c r="G301" s="275"/>
      <c r="H301" s="261"/>
    </row>
    <row r="302">
      <c r="A302" s="262" t="s">
        <v>2656</v>
      </c>
      <c r="B302" s="239"/>
      <c r="C302" s="263"/>
      <c r="D302" s="241"/>
      <c r="E302" s="242"/>
      <c r="F302" s="243">
        <v>1400.0</v>
      </c>
      <c r="G302" s="276" t="s">
        <v>2657</v>
      </c>
      <c r="H302" s="245"/>
    </row>
    <row r="303">
      <c r="A303" s="265"/>
      <c r="B303" s="247"/>
      <c r="C303" s="248"/>
      <c r="D303" s="249"/>
      <c r="F303" s="250">
        <f>1087+416</f>
        <v>1503</v>
      </c>
      <c r="G303" s="254" t="s">
        <v>63</v>
      </c>
      <c r="H303" s="251"/>
    </row>
    <row r="304">
      <c r="A304" s="265"/>
      <c r="B304" s="247"/>
      <c r="C304" s="248"/>
      <c r="D304" s="253"/>
      <c r="F304" s="250">
        <v>4900.0</v>
      </c>
      <c r="G304" s="254" t="s">
        <v>2658</v>
      </c>
      <c r="H304" s="251"/>
    </row>
    <row r="305">
      <c r="A305" s="265"/>
      <c r="B305" s="247" t="s">
        <v>2659</v>
      </c>
      <c r="C305" s="248"/>
      <c r="D305" s="249"/>
      <c r="F305" s="250"/>
      <c r="G305" s="254" t="s">
        <v>895</v>
      </c>
      <c r="H305" s="251"/>
    </row>
    <row r="306">
      <c r="A306" s="265"/>
      <c r="B306" s="247"/>
      <c r="C306" s="252"/>
      <c r="D306" s="253"/>
      <c r="F306" s="250"/>
      <c r="G306" s="254"/>
      <c r="H306" s="251"/>
    </row>
    <row r="307">
      <c r="A307" s="265"/>
      <c r="B307" s="247"/>
      <c r="C307" s="248"/>
      <c r="D307" s="249"/>
      <c r="F307" s="250"/>
      <c r="G307" s="254"/>
      <c r="H307" s="251"/>
    </row>
    <row r="308">
      <c r="A308" s="265"/>
      <c r="B308" s="247"/>
      <c r="C308" s="248"/>
      <c r="D308" s="253"/>
      <c r="F308" s="250"/>
      <c r="G308" s="254"/>
      <c r="H308" s="251"/>
    </row>
    <row r="309">
      <c r="A309" s="265"/>
      <c r="B309" s="247"/>
      <c r="C309" s="252"/>
      <c r="D309" s="253"/>
      <c r="F309" s="250"/>
      <c r="G309" s="254"/>
      <c r="H309" s="251"/>
    </row>
    <row r="310">
      <c r="A310" s="265"/>
      <c r="B310" s="247"/>
      <c r="C310" s="252"/>
      <c r="D310" s="253"/>
      <c r="F310" s="250"/>
      <c r="G310" s="254"/>
      <c r="H310" s="251"/>
    </row>
    <row r="311">
      <c r="A311" s="265"/>
      <c r="B311" s="268"/>
      <c r="C311" s="252"/>
      <c r="D311" s="253"/>
      <c r="F311" s="250"/>
      <c r="G311" s="254"/>
      <c r="H311" s="251"/>
    </row>
    <row r="312">
      <c r="A312" s="265"/>
      <c r="B312" s="268"/>
      <c r="C312" s="252"/>
      <c r="D312" s="253"/>
      <c r="F312" s="250"/>
      <c r="G312" s="254"/>
      <c r="H312" s="251"/>
    </row>
    <row r="313">
      <c r="A313" s="265"/>
      <c r="B313" s="268"/>
      <c r="C313" s="252"/>
      <c r="D313" s="253"/>
      <c r="F313" s="250"/>
      <c r="G313" s="269"/>
      <c r="H313" s="251"/>
    </row>
    <row r="314">
      <c r="A314" s="265"/>
      <c r="B314" s="268"/>
      <c r="C314" s="252"/>
      <c r="D314" s="253"/>
      <c r="F314" s="250"/>
      <c r="G314" s="269"/>
      <c r="H314" s="251"/>
    </row>
    <row r="315">
      <c r="A315" s="265"/>
      <c r="B315" s="268"/>
      <c r="C315" s="252"/>
      <c r="D315" s="253"/>
      <c r="F315" s="250"/>
      <c r="G315" s="269"/>
      <c r="H315" s="251"/>
    </row>
    <row r="316">
      <c r="A316" s="270"/>
      <c r="B316" s="271"/>
      <c r="C316" s="272"/>
      <c r="D316" s="273"/>
      <c r="E316" s="18"/>
      <c r="F316" s="274"/>
      <c r="G316" s="275"/>
      <c r="H316" s="261"/>
    </row>
    <row r="317">
      <c r="A317" s="262" t="s">
        <v>449</v>
      </c>
      <c r="B317" s="239">
        <v>12400.0</v>
      </c>
      <c r="C317" s="263"/>
      <c r="D317" s="264"/>
      <c r="E317" s="242"/>
      <c r="F317" s="250"/>
      <c r="G317" s="254" t="s">
        <v>662</v>
      </c>
      <c r="H317" s="245"/>
    </row>
    <row r="318">
      <c r="A318" s="265"/>
      <c r="B318" s="247">
        <v>23400.0</v>
      </c>
      <c r="C318" s="252"/>
      <c r="D318" s="253"/>
      <c r="F318" s="250"/>
      <c r="G318" s="254" t="s">
        <v>64</v>
      </c>
      <c r="H318" s="251"/>
    </row>
    <row r="319">
      <c r="A319" s="265"/>
      <c r="B319" s="247"/>
      <c r="C319" s="248"/>
      <c r="D319" s="249"/>
      <c r="F319" s="250">
        <v>1200.0</v>
      </c>
      <c r="G319" s="254" t="s">
        <v>1729</v>
      </c>
      <c r="H319" s="251"/>
    </row>
    <row r="320">
      <c r="A320" s="265"/>
      <c r="B320" s="247"/>
      <c r="C320" s="248"/>
      <c r="D320" s="249"/>
      <c r="F320" s="250">
        <v>650.0</v>
      </c>
      <c r="G320" s="254" t="s">
        <v>1732</v>
      </c>
      <c r="H320" s="251"/>
    </row>
    <row r="321">
      <c r="A321" s="265"/>
      <c r="B321" s="247"/>
      <c r="C321" s="252"/>
      <c r="D321" s="249"/>
      <c r="F321" s="250">
        <v>680.0</v>
      </c>
      <c r="G321" s="254" t="s">
        <v>63</v>
      </c>
      <c r="H321" s="251"/>
    </row>
    <row r="322">
      <c r="A322" s="265"/>
      <c r="B322" s="247"/>
      <c r="C322" s="252"/>
      <c r="D322" s="249"/>
      <c r="F322" s="250">
        <v>570.0</v>
      </c>
      <c r="G322" s="254" t="s">
        <v>453</v>
      </c>
      <c r="H322" s="251"/>
    </row>
    <row r="323">
      <c r="A323" s="265"/>
      <c r="B323" s="247"/>
      <c r="C323" s="252"/>
      <c r="D323" s="249"/>
      <c r="F323" s="250"/>
      <c r="G323" s="254"/>
      <c r="H323" s="251"/>
    </row>
    <row r="324">
      <c r="A324" s="265"/>
      <c r="B324" s="247"/>
      <c r="C324" s="252"/>
      <c r="D324" s="253"/>
      <c r="F324" s="250"/>
      <c r="G324" s="254"/>
      <c r="H324" s="251"/>
    </row>
    <row r="325">
      <c r="A325" s="265"/>
      <c r="B325" s="268"/>
      <c r="C325" s="252"/>
      <c r="D325" s="253"/>
      <c r="F325" s="250"/>
      <c r="G325" s="254"/>
      <c r="H325" s="251"/>
    </row>
    <row r="326">
      <c r="A326" s="265"/>
      <c r="B326" s="268"/>
      <c r="C326" s="252"/>
      <c r="D326" s="253"/>
      <c r="F326" s="250"/>
      <c r="G326" s="254"/>
      <c r="H326" s="251"/>
    </row>
    <row r="327">
      <c r="A327" s="265"/>
      <c r="B327" s="268"/>
      <c r="C327" s="252"/>
      <c r="D327" s="253"/>
      <c r="F327" s="250"/>
      <c r="G327" s="254"/>
      <c r="H327" s="251"/>
    </row>
    <row r="328">
      <c r="A328" s="265"/>
      <c r="B328" s="247"/>
      <c r="C328" s="252"/>
      <c r="D328" s="253"/>
      <c r="F328" s="250"/>
      <c r="G328" s="269"/>
      <c r="H328" s="251"/>
    </row>
    <row r="329">
      <c r="A329" s="265"/>
      <c r="B329" s="268"/>
      <c r="C329" s="252"/>
      <c r="D329" s="253"/>
      <c r="F329" s="250"/>
      <c r="G329" s="269"/>
      <c r="H329" s="251"/>
    </row>
    <row r="330">
      <c r="A330" s="265"/>
      <c r="B330" s="268"/>
      <c r="C330" s="252"/>
      <c r="D330" s="253"/>
      <c r="F330" s="250"/>
      <c r="G330" s="269"/>
      <c r="H330" s="251"/>
    </row>
    <row r="331">
      <c r="A331" s="270"/>
      <c r="B331" s="271"/>
      <c r="C331" s="272"/>
      <c r="D331" s="273"/>
      <c r="E331" s="18"/>
      <c r="F331" s="274"/>
      <c r="G331" s="18"/>
      <c r="H331" s="261"/>
    </row>
    <row r="332">
      <c r="A332" s="262" t="s">
        <v>452</v>
      </c>
      <c r="B332" s="239"/>
      <c r="C332" s="263"/>
      <c r="D332" s="264"/>
      <c r="E332" s="242"/>
      <c r="F332" s="243">
        <v>1196.0</v>
      </c>
      <c r="G332" s="244" t="s">
        <v>63</v>
      </c>
      <c r="H332" s="245">
        <v>30.0</v>
      </c>
      <c r="I332" s="2" t="s">
        <v>72</v>
      </c>
    </row>
    <row r="333">
      <c r="A333" s="265"/>
      <c r="B333" s="247"/>
      <c r="C333" s="248"/>
      <c r="D333" s="249"/>
      <c r="F333" s="250">
        <v>7000.0</v>
      </c>
      <c r="G333" s="2" t="s">
        <v>2660</v>
      </c>
      <c r="H333" s="251"/>
    </row>
    <row r="334">
      <c r="A334" s="265"/>
      <c r="B334" s="247"/>
      <c r="C334" s="248"/>
      <c r="D334" s="249"/>
      <c r="F334" s="250"/>
      <c r="H334" s="251"/>
    </row>
    <row r="335">
      <c r="A335" s="265"/>
      <c r="B335" s="247"/>
      <c r="C335" s="252"/>
      <c r="D335" s="253"/>
      <c r="F335" s="250"/>
      <c r="H335" s="251"/>
    </row>
    <row r="336">
      <c r="A336" s="265"/>
      <c r="B336" s="247"/>
      <c r="C336" s="248"/>
      <c r="D336" s="249"/>
      <c r="F336" s="250"/>
      <c r="H336" s="251"/>
    </row>
    <row r="337">
      <c r="A337" s="265"/>
      <c r="B337" s="247"/>
      <c r="C337" s="252"/>
      <c r="D337" s="249"/>
      <c r="F337" s="250"/>
      <c r="H337" s="251"/>
    </row>
    <row r="338">
      <c r="A338" s="265"/>
      <c r="B338" s="247"/>
      <c r="C338" s="252"/>
      <c r="D338" s="249"/>
      <c r="F338" s="250"/>
      <c r="H338" s="251"/>
    </row>
    <row r="339">
      <c r="A339" s="265"/>
      <c r="B339" s="247"/>
      <c r="C339" s="252"/>
      <c r="D339" s="253"/>
      <c r="F339" s="250"/>
      <c r="H339" s="251"/>
    </row>
    <row r="340">
      <c r="A340" s="265"/>
      <c r="B340" s="247"/>
      <c r="C340" s="252"/>
      <c r="D340" s="249"/>
      <c r="F340" s="250"/>
      <c r="H340" s="251"/>
    </row>
    <row r="341">
      <c r="A341" s="265"/>
      <c r="B341" s="247"/>
      <c r="C341" s="252"/>
      <c r="D341" s="253"/>
      <c r="F341" s="250"/>
      <c r="H341" s="251"/>
    </row>
    <row r="342">
      <c r="A342" s="265"/>
      <c r="B342" s="247"/>
      <c r="C342" s="252"/>
      <c r="D342" s="253"/>
      <c r="F342" s="250"/>
      <c r="H342" s="251"/>
    </row>
    <row r="343">
      <c r="A343" s="265"/>
      <c r="B343" s="247"/>
      <c r="C343" s="252"/>
      <c r="D343" s="249"/>
      <c r="F343" s="250"/>
      <c r="H343" s="251"/>
    </row>
    <row r="344">
      <c r="A344" s="270"/>
      <c r="B344" s="271"/>
      <c r="C344" s="272"/>
      <c r="D344" s="273"/>
      <c r="E344" s="18"/>
      <c r="F344" s="259"/>
      <c r="G344" s="293"/>
      <c r="H344" s="261"/>
    </row>
    <row r="345">
      <c r="A345" s="262" t="s">
        <v>661</v>
      </c>
      <c r="B345" s="306"/>
      <c r="C345" s="263"/>
      <c r="D345" s="264"/>
      <c r="E345" s="242"/>
      <c r="F345" s="243">
        <v>570.0</v>
      </c>
      <c r="G345" s="244"/>
      <c r="H345" s="245"/>
    </row>
    <row r="346">
      <c r="A346" s="265"/>
      <c r="B346" s="247"/>
      <c r="C346" s="248"/>
      <c r="D346" s="249">
        <v>20140.0</v>
      </c>
      <c r="F346" s="250"/>
      <c r="G346" s="2" t="s">
        <v>662</v>
      </c>
      <c r="H346" s="251"/>
    </row>
    <row r="347">
      <c r="A347" s="265"/>
      <c r="B347" s="247">
        <v>23400.0</v>
      </c>
      <c r="C347" s="248"/>
      <c r="D347" s="249"/>
      <c r="F347" s="250"/>
      <c r="G347" s="2" t="s">
        <v>2602</v>
      </c>
      <c r="H347" s="251"/>
    </row>
    <row r="348">
      <c r="A348" s="265"/>
      <c r="B348" s="247"/>
      <c r="C348" s="248"/>
      <c r="D348" s="249"/>
      <c r="F348" s="250">
        <v>684.0</v>
      </c>
      <c r="G348" s="2" t="s">
        <v>2661</v>
      </c>
      <c r="H348" s="251"/>
    </row>
    <row r="349">
      <c r="A349" s="265"/>
      <c r="B349" s="247">
        <v>9300.0</v>
      </c>
      <c r="C349" s="248"/>
      <c r="D349" s="249"/>
      <c r="F349" s="250"/>
      <c r="G349" s="2" t="s">
        <v>2662</v>
      </c>
      <c r="H349" s="251"/>
    </row>
    <row r="350">
      <c r="A350" s="265"/>
      <c r="B350" s="247"/>
      <c r="C350" s="252"/>
      <c r="D350" s="253"/>
      <c r="F350" s="250"/>
      <c r="H350" s="251"/>
    </row>
    <row r="351">
      <c r="A351" s="265"/>
      <c r="B351" s="247"/>
      <c r="C351" s="252"/>
      <c r="D351" s="249"/>
      <c r="F351" s="250"/>
      <c r="H351" s="251"/>
    </row>
    <row r="352">
      <c r="A352" s="265"/>
      <c r="B352" s="247"/>
      <c r="C352" s="252"/>
      <c r="D352" s="249"/>
      <c r="F352" s="250"/>
      <c r="H352" s="251"/>
    </row>
    <row r="353">
      <c r="A353" s="265"/>
      <c r="B353" s="247"/>
      <c r="C353" s="252"/>
      <c r="D353" s="253"/>
      <c r="F353" s="250"/>
      <c r="H353" s="251"/>
    </row>
    <row r="354">
      <c r="A354" s="265"/>
      <c r="B354" s="247"/>
      <c r="C354" s="252"/>
      <c r="D354" s="253"/>
      <c r="F354" s="250"/>
      <c r="H354" s="251"/>
    </row>
    <row r="355">
      <c r="A355" s="265"/>
      <c r="B355" s="268"/>
      <c r="C355" s="252"/>
      <c r="D355" s="253"/>
      <c r="F355" s="250"/>
      <c r="H355" s="251"/>
    </row>
    <row r="356">
      <c r="A356" s="265"/>
      <c r="B356" s="247"/>
      <c r="C356" s="252"/>
      <c r="D356" s="253"/>
      <c r="F356" s="250"/>
      <c r="H356" s="251"/>
    </row>
    <row r="357">
      <c r="A357" s="265"/>
      <c r="B357" s="268"/>
      <c r="C357" s="252"/>
      <c r="D357" s="253"/>
      <c r="F357" s="250"/>
      <c r="H357" s="251"/>
    </row>
    <row r="358">
      <c r="A358" s="265"/>
      <c r="B358" s="268"/>
      <c r="C358" s="252"/>
      <c r="D358" s="253"/>
      <c r="F358" s="250"/>
      <c r="H358" s="251"/>
    </row>
    <row r="359">
      <c r="A359" s="265"/>
      <c r="B359" s="268"/>
      <c r="C359" s="252"/>
      <c r="D359" s="253"/>
      <c r="F359" s="250"/>
      <c r="H359" s="251"/>
    </row>
    <row r="360">
      <c r="A360" s="265"/>
      <c r="B360" s="268"/>
      <c r="C360" s="252"/>
      <c r="D360" s="253"/>
      <c r="F360" s="250"/>
      <c r="H360" s="251"/>
    </row>
    <row r="361">
      <c r="A361" s="265"/>
      <c r="B361" s="268"/>
      <c r="C361" s="252"/>
      <c r="D361" s="253"/>
      <c r="F361" s="250"/>
      <c r="H361" s="251"/>
    </row>
    <row r="362">
      <c r="A362" s="270"/>
      <c r="B362" s="271"/>
      <c r="C362" s="272"/>
      <c r="D362" s="273"/>
      <c r="E362" s="18"/>
      <c r="F362" s="274"/>
      <c r="G362" s="18"/>
      <c r="H362" s="261"/>
    </row>
    <row r="363">
      <c r="A363" s="262"/>
      <c r="B363" s="239">
        <v>14053.06</v>
      </c>
      <c r="C363" s="240"/>
      <c r="D363" s="241"/>
      <c r="E363" s="242"/>
      <c r="F363" s="243"/>
      <c r="G363" s="244" t="s">
        <v>895</v>
      </c>
      <c r="H363" s="245"/>
    </row>
    <row r="364">
      <c r="A364" s="265"/>
      <c r="B364" s="247"/>
      <c r="C364" s="248" t="s">
        <v>2663</v>
      </c>
      <c r="D364" s="249"/>
      <c r="F364" s="250"/>
      <c r="G364" s="2" t="s">
        <v>1079</v>
      </c>
      <c r="H364" s="267"/>
    </row>
    <row r="365">
      <c r="A365" s="265"/>
      <c r="B365" s="247">
        <v>31220.88</v>
      </c>
      <c r="C365" s="252"/>
      <c r="D365" s="253"/>
      <c r="F365" s="250"/>
      <c r="G365" s="2" t="s">
        <v>2599</v>
      </c>
      <c r="H365" s="251"/>
    </row>
    <row r="366">
      <c r="A366" s="265"/>
      <c r="B366" s="247">
        <v>21587.47</v>
      </c>
      <c r="C366" s="248"/>
      <c r="D366" s="249"/>
      <c r="F366" s="250"/>
      <c r="G366" s="2" t="s">
        <v>2600</v>
      </c>
      <c r="H366" s="251"/>
    </row>
    <row r="367">
      <c r="A367" s="265"/>
      <c r="B367" s="247"/>
      <c r="C367" s="252"/>
      <c r="D367" s="249"/>
      <c r="F367" s="250"/>
      <c r="H367" s="251"/>
    </row>
    <row r="368">
      <c r="A368" s="265"/>
      <c r="B368" s="247"/>
      <c r="C368" s="252"/>
      <c r="D368" s="253"/>
      <c r="F368" s="250"/>
      <c r="H368" s="251"/>
    </row>
    <row r="369">
      <c r="A369" s="265"/>
      <c r="B369" s="247"/>
      <c r="C369" s="252"/>
      <c r="D369" s="253"/>
      <c r="F369" s="250"/>
      <c r="H369" s="251"/>
    </row>
    <row r="370">
      <c r="A370" s="265"/>
      <c r="B370" s="268"/>
      <c r="C370" s="252"/>
      <c r="D370" s="249"/>
      <c r="F370" s="250"/>
      <c r="H370" s="251"/>
    </row>
    <row r="371">
      <c r="A371" s="265"/>
      <c r="B371" s="268"/>
      <c r="C371" s="252"/>
      <c r="D371" s="253"/>
      <c r="F371" s="250"/>
      <c r="H371" s="251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68"/>
      <c r="C373" s="252"/>
      <c r="D373" s="253"/>
      <c r="F373" s="250"/>
      <c r="H373" s="251"/>
    </row>
    <row r="374">
      <c r="A374" s="265"/>
      <c r="B374" s="247"/>
      <c r="C374" s="252"/>
      <c r="D374" s="253"/>
      <c r="F374" s="250"/>
      <c r="H374" s="251"/>
    </row>
    <row r="375">
      <c r="A375" s="265"/>
      <c r="B375" s="268"/>
      <c r="C375" s="252"/>
      <c r="D375" s="253"/>
      <c r="F375" s="250"/>
      <c r="H375" s="251"/>
    </row>
    <row r="376">
      <c r="A376" s="265"/>
      <c r="B376" s="268"/>
      <c r="C376" s="252"/>
      <c r="D376" s="253"/>
      <c r="F376" s="250"/>
      <c r="H376" s="251"/>
    </row>
    <row r="377">
      <c r="A377" s="265"/>
      <c r="B377" s="268"/>
      <c r="C377" s="252"/>
      <c r="D377" s="253"/>
      <c r="F377" s="250"/>
      <c r="H377" s="251"/>
    </row>
    <row r="378">
      <c r="A378" s="265"/>
      <c r="B378" s="268"/>
      <c r="C378" s="252"/>
      <c r="D378" s="253"/>
      <c r="F378" s="250"/>
      <c r="H378" s="251"/>
    </row>
    <row r="379">
      <c r="A379" s="265"/>
      <c r="B379" s="268"/>
      <c r="C379" s="252"/>
      <c r="D379" s="253"/>
      <c r="F379" s="250"/>
      <c r="H379" s="251"/>
    </row>
    <row r="380">
      <c r="A380" s="270"/>
      <c r="B380" s="271"/>
      <c r="C380" s="272"/>
      <c r="D380" s="273"/>
      <c r="E380" s="18"/>
      <c r="F380" s="274"/>
      <c r="G380" s="18"/>
      <c r="H380" s="261"/>
    </row>
    <row r="381">
      <c r="A381" s="262"/>
      <c r="B381" s="239"/>
      <c r="C381" s="240"/>
      <c r="D381" s="264"/>
      <c r="E381" s="242"/>
      <c r="F381" s="243"/>
      <c r="H381" s="245"/>
    </row>
    <row r="382">
      <c r="A382" s="265"/>
      <c r="B382" s="247"/>
      <c r="C382" s="248"/>
      <c r="D382" s="288"/>
      <c r="F382" s="250"/>
      <c r="H382" s="267"/>
    </row>
    <row r="383">
      <c r="A383" s="265"/>
      <c r="B383" s="247"/>
      <c r="C383" s="248"/>
      <c r="D383" s="249"/>
      <c r="F383" s="250"/>
      <c r="H383" s="267"/>
    </row>
    <row r="384">
      <c r="A384" s="265"/>
      <c r="B384" s="247"/>
      <c r="C384" s="252"/>
      <c r="D384" s="249"/>
      <c r="F384" s="250"/>
      <c r="H384" s="251"/>
    </row>
    <row r="385">
      <c r="A385" s="265"/>
      <c r="B385" s="268"/>
      <c r="C385" s="252"/>
      <c r="D385" s="253"/>
      <c r="F385" s="250"/>
      <c r="H385" s="294"/>
    </row>
    <row r="386">
      <c r="A386" s="265"/>
      <c r="B386" s="247"/>
      <c r="C386" s="252"/>
      <c r="D386" s="249"/>
      <c r="F386" s="250"/>
      <c r="H386" s="251"/>
    </row>
    <row r="387">
      <c r="A387" s="265"/>
      <c r="B387" s="247"/>
      <c r="C387" s="252"/>
      <c r="D387" s="249"/>
      <c r="F387" s="250"/>
      <c r="H387" s="251"/>
    </row>
    <row r="388">
      <c r="A388" s="265"/>
      <c r="B388" s="268"/>
      <c r="C388" s="252"/>
      <c r="D388" s="249"/>
      <c r="F388" s="250"/>
      <c r="H388" s="267"/>
    </row>
    <row r="389">
      <c r="A389" s="265"/>
      <c r="B389" s="268"/>
      <c r="C389" s="252"/>
      <c r="D389" s="249"/>
      <c r="F389" s="250"/>
      <c r="H389" s="251"/>
    </row>
    <row r="390">
      <c r="A390" s="265"/>
      <c r="B390" s="247"/>
      <c r="C390" s="252"/>
      <c r="D390" s="249"/>
      <c r="F390" s="250"/>
      <c r="H390" s="267"/>
    </row>
    <row r="391">
      <c r="A391" s="270"/>
      <c r="B391" s="271"/>
      <c r="C391" s="272"/>
      <c r="D391" s="295"/>
      <c r="E391" s="18"/>
      <c r="F391" s="274"/>
      <c r="G391" s="293"/>
      <c r="H391" s="261"/>
    </row>
    <row r="392">
      <c r="A392" s="262" t="s">
        <v>187</v>
      </c>
      <c r="B392" s="239"/>
      <c r="C392" s="240"/>
      <c r="D392" s="815">
        <v>29746.2</v>
      </c>
      <c r="E392" s="242"/>
      <c r="F392" s="243"/>
      <c r="G392" s="2" t="s">
        <v>188</v>
      </c>
      <c r="H392" s="297">
        <v>44838.0</v>
      </c>
      <c r="I392" s="2" t="s">
        <v>189</v>
      </c>
    </row>
    <row r="393">
      <c r="A393" s="265"/>
      <c r="B393" s="247">
        <v>19969.26</v>
      </c>
      <c r="C393" s="248"/>
      <c r="D393" s="295"/>
      <c r="F393" s="250"/>
      <c r="G393" s="2" t="s">
        <v>190</v>
      </c>
      <c r="H393" s="294">
        <v>44849.0</v>
      </c>
    </row>
    <row r="394">
      <c r="A394" s="265"/>
      <c r="B394" s="247"/>
      <c r="C394" s="248"/>
      <c r="D394" s="249"/>
      <c r="F394" s="250"/>
      <c r="G394" s="2" t="s">
        <v>191</v>
      </c>
      <c r="H394" s="294"/>
    </row>
    <row r="395">
      <c r="A395" s="265"/>
      <c r="B395" s="268"/>
      <c r="C395" s="252"/>
      <c r="D395" s="249">
        <v>66550.0</v>
      </c>
      <c r="F395" s="250"/>
      <c r="G395" s="2" t="s">
        <v>192</v>
      </c>
      <c r="H395" s="294">
        <v>44854.0</v>
      </c>
    </row>
    <row r="396">
      <c r="A396" s="265"/>
      <c r="B396" s="268"/>
      <c r="C396" s="252"/>
      <c r="D396" s="253"/>
      <c r="F396" s="250">
        <v>46000.0</v>
      </c>
      <c r="G396" s="2" t="s">
        <v>193</v>
      </c>
      <c r="H396" s="294">
        <v>44860.0</v>
      </c>
    </row>
    <row r="397">
      <c r="A397" s="265"/>
      <c r="B397" s="247">
        <v>37854.0</v>
      </c>
      <c r="C397" s="252"/>
      <c r="D397" s="249"/>
      <c r="F397" s="250"/>
      <c r="G397" s="2" t="s">
        <v>194</v>
      </c>
      <c r="H397" s="294">
        <v>44853.0</v>
      </c>
      <c r="I397" s="2" t="s">
        <v>2664</v>
      </c>
    </row>
    <row r="398">
      <c r="A398" s="265"/>
      <c r="B398" s="247">
        <v>30000.0</v>
      </c>
      <c r="C398" s="252"/>
      <c r="D398" s="249"/>
      <c r="F398" s="250"/>
      <c r="G398" s="2" t="s">
        <v>196</v>
      </c>
      <c r="H398" s="294">
        <v>44854.0</v>
      </c>
    </row>
    <row r="399">
      <c r="A399" s="265"/>
      <c r="B399" s="247">
        <v>7326.74</v>
      </c>
      <c r="C399" s="252"/>
      <c r="D399" s="249"/>
      <c r="F399" s="250"/>
      <c r="G399" s="2" t="s">
        <v>2285</v>
      </c>
      <c r="H399" s="294">
        <v>44875.0</v>
      </c>
      <c r="I399" s="2" t="s">
        <v>189</v>
      </c>
      <c r="J399" s="2" t="s">
        <v>2665</v>
      </c>
    </row>
    <row r="400">
      <c r="A400" s="265"/>
      <c r="B400" s="268"/>
      <c r="C400" s="252"/>
      <c r="D400" s="249">
        <v>6005.93</v>
      </c>
      <c r="F400" s="250"/>
      <c r="G400" s="2" t="s">
        <v>199</v>
      </c>
      <c r="H400" s="294"/>
      <c r="I400" s="2" t="s">
        <v>189</v>
      </c>
    </row>
    <row r="401">
      <c r="A401" s="265"/>
      <c r="B401" s="247"/>
      <c r="C401" s="252"/>
      <c r="D401" s="249">
        <v>13642.79</v>
      </c>
      <c r="F401" s="250"/>
      <c r="G401" s="2" t="s">
        <v>200</v>
      </c>
      <c r="H401" s="294"/>
      <c r="I401" s="2" t="s">
        <v>189</v>
      </c>
    </row>
    <row r="402">
      <c r="A402" s="265"/>
      <c r="B402" s="278"/>
      <c r="C402" s="248"/>
      <c r="D402" s="295">
        <v>6467.9</v>
      </c>
      <c r="F402" s="282"/>
      <c r="G402" s="2" t="s">
        <v>201</v>
      </c>
      <c r="H402" s="294"/>
      <c r="I402" s="2" t="s">
        <v>189</v>
      </c>
    </row>
    <row r="403">
      <c r="A403" s="270"/>
      <c r="B403" s="278"/>
      <c r="C403" s="248"/>
      <c r="D403" s="295"/>
      <c r="F403" s="282"/>
      <c r="H403" s="294"/>
    </row>
    <row r="404">
      <c r="A404" s="299"/>
      <c r="B404" s="278"/>
      <c r="C404" s="248"/>
      <c r="D404" s="295"/>
      <c r="F404" s="282"/>
      <c r="G404" s="2" t="s">
        <v>202</v>
      </c>
      <c r="H404" s="301"/>
      <c r="I404" s="2" t="s">
        <v>203</v>
      </c>
    </row>
    <row r="405">
      <c r="A405" s="299"/>
      <c r="B405" s="278"/>
      <c r="C405" s="248"/>
      <c r="D405" s="295"/>
      <c r="E405" s="2">
        <v>5178.2</v>
      </c>
      <c r="F405" s="250"/>
      <c r="G405" s="2" t="s">
        <v>204</v>
      </c>
      <c r="H405" s="301"/>
    </row>
    <row r="406">
      <c r="A406" s="299"/>
      <c r="B406" s="278"/>
      <c r="C406" s="252"/>
      <c r="D406" s="253"/>
      <c r="E406" s="2">
        <v>5178.2</v>
      </c>
      <c r="F406" s="250"/>
      <c r="G406" s="2" t="s">
        <v>205</v>
      </c>
      <c r="H406" s="302"/>
    </row>
    <row r="407">
      <c r="A407" s="303"/>
      <c r="B407" s="247">
        <v>308185.0</v>
      </c>
      <c r="C407" s="252"/>
      <c r="D407" s="249"/>
      <c r="F407" s="250"/>
      <c r="G407" s="2" t="s">
        <v>206</v>
      </c>
      <c r="H407" s="294">
        <v>44866.0</v>
      </c>
      <c r="I407" s="2" t="s">
        <v>203</v>
      </c>
    </row>
    <row r="408">
      <c r="A408" s="303"/>
      <c r="B408" s="247">
        <v>6472.77</v>
      </c>
      <c r="C408" s="252"/>
      <c r="D408" s="253"/>
      <c r="F408" s="250"/>
      <c r="G408" s="2" t="s">
        <v>2666</v>
      </c>
      <c r="H408" s="294">
        <v>44853.0</v>
      </c>
    </row>
    <row r="409">
      <c r="A409" s="303"/>
      <c r="B409" s="268"/>
      <c r="C409" s="252"/>
      <c r="D409" s="253"/>
      <c r="F409" s="250"/>
      <c r="H409" s="251"/>
    </row>
    <row r="410">
      <c r="A410" s="303"/>
      <c r="B410" s="268"/>
      <c r="C410" s="252"/>
      <c r="D410" s="253"/>
      <c r="F410" s="250"/>
      <c r="H410" s="251"/>
    </row>
    <row r="411">
      <c r="A411" s="303"/>
      <c r="B411" s="268"/>
      <c r="C411" s="252"/>
      <c r="D411" s="253"/>
      <c r="F411" s="250"/>
      <c r="H411" s="251"/>
    </row>
    <row r="412">
      <c r="A412" s="303"/>
      <c r="B412" s="268"/>
      <c r="C412" s="252"/>
      <c r="D412" s="253"/>
      <c r="F412" s="250"/>
      <c r="H412" s="251"/>
    </row>
    <row r="413">
      <c r="A413" s="304"/>
      <c r="B413" s="271"/>
      <c r="C413" s="272"/>
      <c r="D413" s="273"/>
      <c r="E413" s="18"/>
      <c r="F413" s="274"/>
      <c r="G413" s="18"/>
      <c r="H413" s="261"/>
    </row>
    <row r="414">
      <c r="A414" s="305"/>
      <c r="B414" s="306"/>
      <c r="C414" s="240"/>
      <c r="D414" s="241"/>
      <c r="E414" s="242"/>
      <c r="F414" s="243"/>
      <c r="G414" s="244"/>
      <c r="H414" s="307"/>
    </row>
    <row r="415">
      <c r="A415" s="265"/>
      <c r="B415" s="268"/>
      <c r="C415" s="252"/>
      <c r="D415" s="253"/>
      <c r="F415" s="250"/>
      <c r="H415" s="251"/>
    </row>
    <row r="416">
      <c r="A416" s="265"/>
      <c r="B416" s="268"/>
      <c r="C416" s="252"/>
      <c r="D416" s="253"/>
      <c r="F416" s="250"/>
      <c r="H416" s="251"/>
    </row>
    <row r="417">
      <c r="A417" s="265"/>
      <c r="B417" s="268"/>
      <c r="C417" s="252"/>
      <c r="D417" s="253"/>
      <c r="F417" s="250"/>
      <c r="H417" s="251"/>
    </row>
    <row r="418">
      <c r="A418" s="265"/>
      <c r="B418" s="268"/>
      <c r="C418" s="252"/>
      <c r="D418" s="253"/>
      <c r="F418" s="250"/>
      <c r="H418" s="251"/>
    </row>
    <row r="419">
      <c r="A419" s="265"/>
      <c r="B419" s="268"/>
      <c r="C419" s="252"/>
      <c r="D419" s="253"/>
      <c r="F419" s="250"/>
      <c r="H419" s="251"/>
    </row>
    <row r="420">
      <c r="A420" s="265"/>
      <c r="B420" s="268"/>
      <c r="C420" s="252"/>
      <c r="D420" s="253"/>
      <c r="F420" s="250"/>
      <c r="H420" s="251"/>
    </row>
    <row r="421">
      <c r="A421" s="265"/>
      <c r="B421" s="268"/>
      <c r="C421" s="252"/>
      <c r="D421" s="253"/>
      <c r="F421" s="250"/>
      <c r="H421" s="251"/>
    </row>
    <row r="422">
      <c r="A422" s="265"/>
      <c r="B422" s="268"/>
      <c r="C422" s="252"/>
      <c r="D422" s="253"/>
      <c r="F422" s="250"/>
      <c r="H422" s="251"/>
    </row>
    <row r="423">
      <c r="A423" s="270"/>
      <c r="B423" s="271"/>
      <c r="C423" s="272"/>
      <c r="D423" s="273"/>
      <c r="E423" s="18"/>
      <c r="F423" s="274"/>
      <c r="G423" s="18"/>
      <c r="H423" s="261"/>
    </row>
    <row r="424">
      <c r="A424" s="305"/>
      <c r="B424" s="306"/>
      <c r="C424" s="240"/>
      <c r="D424" s="241"/>
      <c r="E424" s="242"/>
      <c r="F424" s="243"/>
      <c r="G424" s="244"/>
      <c r="H424" s="307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65"/>
      <c r="B430" s="268"/>
      <c r="C430" s="252"/>
      <c r="D430" s="253"/>
      <c r="F430" s="250"/>
      <c r="H430" s="251"/>
    </row>
    <row r="431">
      <c r="A431" s="265"/>
      <c r="B431" s="268"/>
      <c r="C431" s="252"/>
      <c r="D431" s="253"/>
      <c r="F431" s="250"/>
      <c r="H431" s="251"/>
    </row>
    <row r="432">
      <c r="A432" s="265"/>
      <c r="B432" s="268"/>
      <c r="C432" s="252"/>
      <c r="D432" s="253"/>
      <c r="F432" s="250"/>
      <c r="H432" s="251"/>
    </row>
    <row r="433">
      <c r="A433" s="270"/>
      <c r="B433" s="271"/>
      <c r="C433" s="272"/>
      <c r="D433" s="273"/>
      <c r="E433" s="18"/>
      <c r="F433" s="274"/>
      <c r="G433" s="18"/>
      <c r="H433" s="261"/>
    </row>
    <row r="434">
      <c r="B434" s="306"/>
      <c r="C434" s="240"/>
      <c r="D434" s="241"/>
      <c r="E434" s="242"/>
      <c r="F434" s="243"/>
      <c r="G434" s="244"/>
      <c r="H434" s="307"/>
    </row>
    <row r="435">
      <c r="B435" s="268"/>
      <c r="C435" s="252"/>
      <c r="D435" s="253"/>
      <c r="F435" s="250"/>
      <c r="H435" s="251"/>
    </row>
    <row r="436">
      <c r="B436" s="268"/>
      <c r="C436" s="252"/>
      <c r="D436" s="253"/>
      <c r="F436" s="250"/>
      <c r="H436" s="251"/>
    </row>
    <row r="437">
      <c r="B437" s="308"/>
      <c r="C437" s="252"/>
      <c r="D437" s="253"/>
      <c r="F437" s="309"/>
      <c r="H437" s="302"/>
    </row>
    <row r="438">
      <c r="B438" s="308"/>
      <c r="C438" s="252"/>
      <c r="D438" s="253"/>
      <c r="F438" s="309"/>
      <c r="H438" s="302"/>
    </row>
    <row r="439">
      <c r="B439" s="308"/>
      <c r="C439" s="252"/>
      <c r="D439" s="253"/>
      <c r="F439" s="309"/>
      <c r="H439" s="302"/>
    </row>
    <row r="440">
      <c r="B440" s="308"/>
      <c r="C440" s="252"/>
      <c r="D440" s="253"/>
      <c r="F440" s="309"/>
      <c r="H440" s="302"/>
    </row>
    <row r="441">
      <c r="B441" s="308"/>
      <c r="C441" s="252"/>
      <c r="D441" s="253"/>
      <c r="F441" s="309"/>
      <c r="H441" s="302"/>
    </row>
    <row r="442">
      <c r="B442" s="308"/>
      <c r="C442" s="252"/>
      <c r="D442" s="253"/>
      <c r="F442" s="309"/>
      <c r="H442" s="302"/>
    </row>
    <row r="443">
      <c r="B443" s="308"/>
      <c r="C443" s="252"/>
      <c r="D443" s="253"/>
      <c r="F443" s="309"/>
      <c r="H443" s="302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</sheetData>
  <mergeCells count="29">
    <mergeCell ref="A15:A27"/>
    <mergeCell ref="A28:A41"/>
    <mergeCell ref="A44:A53"/>
    <mergeCell ref="A54:A67"/>
    <mergeCell ref="A68:A79"/>
    <mergeCell ref="A86:A101"/>
    <mergeCell ref="A102:A115"/>
    <mergeCell ref="A116:A133"/>
    <mergeCell ref="A134:A148"/>
    <mergeCell ref="A149:A163"/>
    <mergeCell ref="A164:A173"/>
    <mergeCell ref="A174:A188"/>
    <mergeCell ref="A189:A204"/>
    <mergeCell ref="A205:A219"/>
    <mergeCell ref="A317:A331"/>
    <mergeCell ref="A332:A344"/>
    <mergeCell ref="A345:A362"/>
    <mergeCell ref="A363:A380"/>
    <mergeCell ref="A381:A391"/>
    <mergeCell ref="A392:A403"/>
    <mergeCell ref="A414:A423"/>
    <mergeCell ref="A424:A433"/>
    <mergeCell ref="A220:A231"/>
    <mergeCell ref="A232:A246"/>
    <mergeCell ref="A247:A260"/>
    <mergeCell ref="A261:A274"/>
    <mergeCell ref="A275:A287"/>
    <mergeCell ref="A288:A301"/>
    <mergeCell ref="A302:A3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/>
      <c r="B1" s="232" t="s">
        <v>52</v>
      </c>
      <c r="C1" s="233" t="s">
        <v>53</v>
      </c>
      <c r="D1" s="234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47"/>
      <c r="C2" s="248"/>
      <c r="D2" s="249"/>
      <c r="F2" s="250">
        <f>1241+427+480+310</f>
        <v>2458</v>
      </c>
      <c r="G2" s="254" t="s">
        <v>97</v>
      </c>
      <c r="H2" s="82">
        <v>53.0</v>
      </c>
      <c r="I2" s="2" t="s">
        <v>59</v>
      </c>
    </row>
    <row r="3">
      <c r="A3" s="246"/>
      <c r="B3" s="247"/>
      <c r="C3" s="248"/>
      <c r="D3" s="249">
        <v>18400.0</v>
      </c>
      <c r="F3" s="250"/>
      <c r="G3" s="254" t="s">
        <v>122</v>
      </c>
      <c r="H3" s="302"/>
    </row>
    <row r="4">
      <c r="A4" s="246"/>
      <c r="B4" s="247"/>
      <c r="C4" s="248"/>
      <c r="D4" s="249">
        <v>20301.82</v>
      </c>
      <c r="F4" s="250"/>
      <c r="G4" s="254" t="s">
        <v>114</v>
      </c>
      <c r="H4" s="302"/>
    </row>
    <row r="5">
      <c r="A5" s="246"/>
      <c r="B5" s="247"/>
      <c r="C5" s="248"/>
      <c r="D5" s="249">
        <v>2042.42</v>
      </c>
      <c r="F5" s="250"/>
      <c r="G5" s="254" t="s">
        <v>74</v>
      </c>
      <c r="H5" s="302"/>
    </row>
    <row r="6">
      <c r="A6" s="246"/>
      <c r="B6" s="247"/>
      <c r="C6" s="248"/>
      <c r="D6" s="249">
        <v>4919.62</v>
      </c>
      <c r="F6" s="250"/>
      <c r="G6" s="254" t="s">
        <v>73</v>
      </c>
      <c r="H6" s="302"/>
    </row>
    <row r="7">
      <c r="A7" s="246">
        <v>1.0</v>
      </c>
      <c r="B7" s="247"/>
      <c r="C7" s="248"/>
      <c r="D7" s="249">
        <v>41920.45</v>
      </c>
      <c r="F7" s="250"/>
      <c r="G7" s="254" t="s">
        <v>92</v>
      </c>
      <c r="H7" s="302"/>
    </row>
    <row r="8">
      <c r="A8" s="246"/>
      <c r="B8" s="247"/>
      <c r="C8" s="248"/>
      <c r="D8" s="249"/>
      <c r="F8" s="250">
        <v>880.0</v>
      </c>
      <c r="G8" s="254" t="s">
        <v>374</v>
      </c>
      <c r="H8" s="302"/>
    </row>
    <row r="9">
      <c r="A9" s="246"/>
      <c r="B9" s="247"/>
      <c r="C9" s="248"/>
      <c r="D9" s="249"/>
      <c r="F9" s="250">
        <v>2190.0</v>
      </c>
      <c r="G9" s="254" t="s">
        <v>344</v>
      </c>
      <c r="H9" s="302"/>
    </row>
    <row r="10">
      <c r="A10" s="246"/>
      <c r="B10" s="247"/>
      <c r="C10" s="248"/>
      <c r="D10" s="249"/>
      <c r="F10" s="250"/>
      <c r="G10" s="254"/>
      <c r="H10" s="302"/>
    </row>
    <row r="11">
      <c r="A11" s="246"/>
      <c r="B11" s="247"/>
      <c r="C11" s="248"/>
      <c r="D11" s="249"/>
      <c r="F11" s="250"/>
      <c r="G11" s="254"/>
      <c r="H11" s="302"/>
    </row>
    <row r="12">
      <c r="A12" s="246"/>
      <c r="B12" s="247"/>
      <c r="C12" s="248"/>
      <c r="D12" s="249"/>
      <c r="F12" s="250"/>
      <c r="G12" s="254"/>
      <c r="H12" s="302"/>
    </row>
    <row r="13">
      <c r="A13" s="246"/>
      <c r="B13" s="247"/>
      <c r="C13" s="248"/>
      <c r="D13" s="249"/>
      <c r="F13" s="250"/>
      <c r="G13" s="254"/>
      <c r="H13" s="302"/>
    </row>
    <row r="14">
      <c r="A14" s="255"/>
      <c r="B14" s="256"/>
      <c r="C14" s="248"/>
      <c r="D14" s="249"/>
      <c r="F14" s="250"/>
      <c r="G14" s="254"/>
      <c r="H14" s="251"/>
    </row>
    <row r="15">
      <c r="A15" s="816">
        <v>2.0</v>
      </c>
      <c r="B15" s="247">
        <v>4458.0</v>
      </c>
      <c r="C15" s="263"/>
      <c r="D15" s="264"/>
      <c r="E15" s="242"/>
      <c r="F15" s="243"/>
      <c r="G15" s="276" t="s">
        <v>548</v>
      </c>
      <c r="H15" s="245">
        <v>20.0</v>
      </c>
      <c r="I15" s="2" t="s">
        <v>72</v>
      </c>
    </row>
    <row r="16">
      <c r="A16" s="265"/>
      <c r="B16" s="247"/>
      <c r="C16" s="248"/>
      <c r="D16" s="249"/>
      <c r="F16" s="250">
        <v>380.0</v>
      </c>
      <c r="G16" s="254" t="s">
        <v>99</v>
      </c>
      <c r="H16" s="251"/>
    </row>
    <row r="17">
      <c r="A17" s="265"/>
      <c r="B17" s="247">
        <v>10012.24</v>
      </c>
      <c r="C17" s="248"/>
      <c r="D17" s="249"/>
      <c r="F17" s="250"/>
      <c r="G17" s="254" t="s">
        <v>2667</v>
      </c>
      <c r="H17" s="251"/>
    </row>
    <row r="18">
      <c r="A18" s="265"/>
      <c r="B18" s="247"/>
      <c r="C18" s="252"/>
      <c r="D18" s="249">
        <v>34226.91</v>
      </c>
      <c r="F18" s="250"/>
      <c r="G18" s="254" t="s">
        <v>100</v>
      </c>
      <c r="H18" s="251"/>
    </row>
    <row r="19">
      <c r="A19" s="265"/>
      <c r="B19" s="247"/>
      <c r="C19" s="252"/>
      <c r="D19" s="249">
        <v>12680.0</v>
      </c>
      <c r="F19" s="250"/>
      <c r="G19" s="254" t="s">
        <v>75</v>
      </c>
      <c r="H19" s="251"/>
    </row>
    <row r="20">
      <c r="A20" s="265"/>
      <c r="B20" s="247">
        <v>7800.0</v>
      </c>
      <c r="C20" s="248"/>
      <c r="D20" s="249"/>
      <c r="F20" s="250"/>
      <c r="G20" s="254" t="s">
        <v>344</v>
      </c>
      <c r="H20" s="251"/>
    </row>
    <row r="21">
      <c r="A21" s="265"/>
      <c r="B21" s="247"/>
      <c r="C21" s="252"/>
      <c r="D21" s="249"/>
      <c r="F21" s="250">
        <v>2000.0</v>
      </c>
      <c r="G21" s="254" t="s">
        <v>344</v>
      </c>
      <c r="H21" s="251"/>
    </row>
    <row r="22">
      <c r="A22" s="265"/>
      <c r="B22" s="247"/>
      <c r="C22" s="248"/>
      <c r="D22" s="249"/>
      <c r="F22" s="250"/>
      <c r="G22" s="254"/>
      <c r="H22" s="251"/>
    </row>
    <row r="23">
      <c r="A23" s="265"/>
      <c r="B23" s="247"/>
      <c r="C23" s="252"/>
      <c r="D23" s="253"/>
      <c r="F23" s="250"/>
      <c r="G23" s="254"/>
      <c r="H23" s="251"/>
    </row>
    <row r="24">
      <c r="A24" s="265"/>
      <c r="B24" s="278"/>
      <c r="C24" s="252"/>
      <c r="D24" s="253"/>
      <c r="F24" s="250"/>
      <c r="G24" s="254"/>
      <c r="H24" s="251"/>
    </row>
    <row r="25">
      <c r="A25" s="265"/>
      <c r="B25" s="278"/>
      <c r="C25" s="252"/>
      <c r="D25" s="249"/>
      <c r="F25" s="250"/>
      <c r="H25" s="251"/>
    </row>
    <row r="26">
      <c r="A26" s="265"/>
      <c r="B26" s="278"/>
      <c r="C26" s="252"/>
      <c r="D26" s="253"/>
      <c r="F26" s="250"/>
      <c r="G26" s="269"/>
      <c r="H26" s="251"/>
    </row>
    <row r="27">
      <c r="A27" s="270"/>
      <c r="B27" s="271"/>
      <c r="C27" s="272"/>
      <c r="D27" s="273"/>
      <c r="E27" s="18"/>
      <c r="F27" s="274"/>
      <c r="G27" s="275"/>
      <c r="H27" s="261"/>
    </row>
    <row r="28">
      <c r="A28" s="262">
        <v>3.0</v>
      </c>
      <c r="B28" s="239"/>
      <c r="C28" s="263"/>
      <c r="D28" s="264"/>
      <c r="E28" s="242"/>
      <c r="F28" s="250">
        <v>440.0</v>
      </c>
      <c r="G28" s="2" t="s">
        <v>97</v>
      </c>
      <c r="H28" s="245">
        <v>31.0</v>
      </c>
      <c r="I28" s="2" t="s">
        <v>59</v>
      </c>
    </row>
    <row r="29">
      <c r="A29" s="265"/>
      <c r="B29" s="247"/>
      <c r="C29" s="248"/>
      <c r="D29" s="249"/>
      <c r="F29" s="266">
        <v>21300.0</v>
      </c>
      <c r="G29" s="2" t="s">
        <v>87</v>
      </c>
      <c r="H29" s="251"/>
    </row>
    <row r="30">
      <c r="A30" s="265"/>
      <c r="B30" s="247"/>
      <c r="C30" s="248">
        <v>38766.86</v>
      </c>
      <c r="D30" s="249"/>
      <c r="F30" s="250"/>
      <c r="G30" s="2" t="s">
        <v>71</v>
      </c>
      <c r="H30" s="251"/>
    </row>
    <row r="31">
      <c r="A31" s="265"/>
      <c r="B31" s="247"/>
      <c r="C31" s="252"/>
      <c r="D31" s="249">
        <v>33144.9</v>
      </c>
      <c r="F31" s="250"/>
      <c r="G31" s="2" t="s">
        <v>73</v>
      </c>
      <c r="H31" s="251"/>
    </row>
    <row r="32">
      <c r="A32" s="265"/>
      <c r="B32" s="247"/>
      <c r="C32" s="248"/>
      <c r="D32" s="249">
        <v>16778.16</v>
      </c>
      <c r="F32" s="250"/>
      <c r="G32" s="2" t="s">
        <v>74</v>
      </c>
      <c r="H32" s="251"/>
    </row>
    <row r="33">
      <c r="A33" s="265"/>
      <c r="B33" s="247">
        <v>18400.0</v>
      </c>
      <c r="C33" s="252"/>
      <c r="D33" s="249"/>
      <c r="F33" s="250"/>
      <c r="G33" s="2" t="s">
        <v>2668</v>
      </c>
      <c r="H33" s="251"/>
    </row>
    <row r="34">
      <c r="A34" s="265"/>
      <c r="B34" s="247"/>
      <c r="C34" s="252"/>
      <c r="D34" s="253"/>
      <c r="F34" s="250">
        <v>8800.0</v>
      </c>
      <c r="G34" s="254" t="s">
        <v>2669</v>
      </c>
      <c r="H34" s="251"/>
    </row>
    <row r="35">
      <c r="A35" s="265"/>
      <c r="B35" s="247">
        <v>7540.0</v>
      </c>
      <c r="C35" s="252"/>
      <c r="D35" s="249"/>
      <c r="F35" s="250"/>
      <c r="G35" s="254" t="s">
        <v>293</v>
      </c>
      <c r="H35" s="267"/>
    </row>
    <row r="36">
      <c r="A36" s="265"/>
      <c r="B36" s="268"/>
      <c r="C36" s="252"/>
      <c r="D36" s="253"/>
      <c r="F36" s="250"/>
      <c r="G36" s="254"/>
      <c r="H36" s="267"/>
    </row>
    <row r="37">
      <c r="A37" s="265"/>
      <c r="B37" s="247"/>
      <c r="C37" s="252"/>
      <c r="D37" s="253"/>
      <c r="F37" s="250"/>
      <c r="G37" s="254"/>
      <c r="H37" s="251"/>
    </row>
    <row r="38">
      <c r="A38" s="265"/>
      <c r="B38" s="247"/>
      <c r="C38" s="252"/>
      <c r="D38" s="253"/>
      <c r="F38" s="250"/>
      <c r="G38" s="254"/>
      <c r="H38" s="251"/>
    </row>
    <row r="39">
      <c r="A39" s="265"/>
      <c r="B39" s="268"/>
      <c r="C39" s="252"/>
      <c r="D39" s="253"/>
      <c r="F39" s="250"/>
      <c r="G39" s="269"/>
      <c r="H39" s="251"/>
    </row>
    <row r="40">
      <c r="A40" s="270"/>
      <c r="B40" s="271"/>
      <c r="C40" s="272"/>
      <c r="D40" s="273"/>
      <c r="E40" s="18"/>
      <c r="F40" s="274"/>
      <c r="G40" s="275"/>
      <c r="H40" s="261"/>
    </row>
    <row r="41">
      <c r="A41" s="262">
        <v>5.0</v>
      </c>
      <c r="B41" s="239"/>
      <c r="C41" s="240"/>
      <c r="D41" s="241"/>
      <c r="E41" s="242"/>
      <c r="F41" s="243">
        <v>882.0</v>
      </c>
      <c r="G41" s="276" t="s">
        <v>150</v>
      </c>
      <c r="H41" s="245">
        <v>30.0</v>
      </c>
      <c r="I41" s="2" t="s">
        <v>59</v>
      </c>
    </row>
    <row r="42">
      <c r="A42" s="265"/>
      <c r="B42" s="247"/>
      <c r="C42" s="248"/>
      <c r="D42" s="249"/>
      <c r="F42" s="250">
        <v>90.0</v>
      </c>
      <c r="G42" s="2" t="s">
        <v>853</v>
      </c>
      <c r="H42" s="267" t="s">
        <v>2670</v>
      </c>
    </row>
    <row r="43">
      <c r="A43" s="265"/>
      <c r="B43" s="247">
        <v>16840.0</v>
      </c>
      <c r="C43" s="248"/>
      <c r="D43" s="249"/>
      <c r="F43" s="250"/>
      <c r="G43" s="254" t="s">
        <v>75</v>
      </c>
      <c r="H43" s="251"/>
    </row>
    <row r="44">
      <c r="A44" s="265"/>
      <c r="B44" s="247">
        <v>7771.56</v>
      </c>
      <c r="C44" s="252"/>
      <c r="D44" s="253"/>
      <c r="F44" s="250"/>
      <c r="G44" s="254" t="s">
        <v>82</v>
      </c>
      <c r="H44" s="251"/>
    </row>
    <row r="45">
      <c r="A45" s="265"/>
      <c r="B45" s="247"/>
      <c r="C45" s="252"/>
      <c r="D45" s="249"/>
      <c r="F45" s="250">
        <v>3000.0</v>
      </c>
      <c r="G45" s="254" t="s">
        <v>101</v>
      </c>
      <c r="H45" s="251"/>
    </row>
    <row r="46">
      <c r="A46" s="265"/>
      <c r="B46" s="247"/>
      <c r="C46" s="252"/>
      <c r="D46" s="249"/>
      <c r="F46" s="250">
        <v>2400.0</v>
      </c>
      <c r="G46" s="254" t="s">
        <v>2671</v>
      </c>
      <c r="H46" s="267"/>
    </row>
    <row r="47">
      <c r="A47" s="265"/>
      <c r="B47" s="247">
        <v>1850.0</v>
      </c>
      <c r="C47" s="248"/>
      <c r="D47" s="249"/>
      <c r="F47" s="250"/>
      <c r="G47" s="254" t="s">
        <v>467</v>
      </c>
      <c r="H47" s="251"/>
    </row>
    <row r="48">
      <c r="A48" s="265"/>
      <c r="B48" s="247">
        <v>1160.0</v>
      </c>
      <c r="C48" s="252"/>
      <c r="D48" s="253"/>
      <c r="F48" s="250"/>
      <c r="G48" s="254" t="s">
        <v>2672</v>
      </c>
      <c r="H48" s="251"/>
    </row>
    <row r="49">
      <c r="A49" s="265"/>
      <c r="B49" s="247"/>
      <c r="C49" s="248"/>
      <c r="D49" s="253"/>
      <c r="F49" s="250">
        <v>11000.0</v>
      </c>
      <c r="G49" s="254" t="s">
        <v>2534</v>
      </c>
      <c r="H49" s="251"/>
    </row>
    <row r="50">
      <c r="A50" s="265"/>
      <c r="B50" s="278"/>
      <c r="C50" s="252"/>
      <c r="D50" s="253"/>
      <c r="F50" s="250">
        <v>1750.0</v>
      </c>
      <c r="G50" s="254" t="s">
        <v>2543</v>
      </c>
      <c r="H50" s="251"/>
    </row>
    <row r="51">
      <c r="A51" s="265"/>
      <c r="B51" s="278"/>
      <c r="C51" s="252"/>
      <c r="D51" s="253"/>
      <c r="F51" s="250">
        <v>6700.0</v>
      </c>
      <c r="G51" s="254" t="s">
        <v>68</v>
      </c>
      <c r="H51" s="251"/>
    </row>
    <row r="52">
      <c r="A52" s="265"/>
      <c r="B52" s="278"/>
      <c r="C52" s="252"/>
      <c r="D52" s="253"/>
      <c r="F52" s="250">
        <v>8640.0</v>
      </c>
      <c r="G52" s="254" t="s">
        <v>2673</v>
      </c>
      <c r="H52" s="251"/>
    </row>
    <row r="53">
      <c r="A53" s="265"/>
      <c r="B53" s="278"/>
      <c r="C53" s="252"/>
      <c r="D53" s="253"/>
      <c r="F53" s="250">
        <v>5000.0</v>
      </c>
      <c r="G53" s="254" t="s">
        <v>2674</v>
      </c>
      <c r="H53" s="251"/>
    </row>
    <row r="54">
      <c r="A54" s="270"/>
      <c r="B54" s="279">
        <v>17760.0</v>
      </c>
      <c r="C54" s="272"/>
      <c r="D54" s="273"/>
      <c r="E54" s="18"/>
      <c r="F54" s="259"/>
      <c r="G54" s="260" t="s">
        <v>2675</v>
      </c>
      <c r="H54" s="261"/>
    </row>
    <row r="55">
      <c r="A55" s="262"/>
      <c r="B55" s="277"/>
      <c r="C55" s="248"/>
      <c r="D55" s="249">
        <v>8405.14</v>
      </c>
      <c r="F55" s="250"/>
      <c r="G55" s="254" t="s">
        <v>91</v>
      </c>
      <c r="H55" s="267">
        <v>40.0</v>
      </c>
      <c r="I55" s="2" t="s">
        <v>72</v>
      </c>
    </row>
    <row r="56">
      <c r="A56" s="280"/>
      <c r="B56" s="277"/>
      <c r="C56" s="252"/>
      <c r="D56" s="249"/>
      <c r="F56" s="250">
        <v>2190.0</v>
      </c>
      <c r="G56" s="254" t="s">
        <v>344</v>
      </c>
      <c r="H56" s="251"/>
    </row>
    <row r="57">
      <c r="A57" s="280">
        <v>6.0</v>
      </c>
      <c r="B57" s="247">
        <v>8100.0</v>
      </c>
      <c r="C57" s="248"/>
      <c r="D57" s="249"/>
      <c r="F57" s="250"/>
      <c r="G57" s="254" t="s">
        <v>2621</v>
      </c>
      <c r="H57" s="251"/>
    </row>
    <row r="58">
      <c r="A58" s="265"/>
      <c r="B58" s="247"/>
      <c r="C58" s="252"/>
      <c r="D58" s="249"/>
      <c r="F58" s="250">
        <v>21300.0</v>
      </c>
      <c r="G58" s="254" t="s">
        <v>87</v>
      </c>
      <c r="H58" s="251"/>
    </row>
    <row r="59">
      <c r="A59" s="265"/>
      <c r="B59" s="247">
        <v>13700.0</v>
      </c>
      <c r="C59" s="248"/>
      <c r="D59" s="249"/>
      <c r="F59" s="250"/>
      <c r="G59" s="254" t="s">
        <v>79</v>
      </c>
      <c r="H59" s="251"/>
    </row>
    <row r="60">
      <c r="A60" s="265"/>
      <c r="B60" s="247">
        <v>8500.0</v>
      </c>
      <c r="C60" s="252"/>
      <c r="D60" s="253"/>
      <c r="F60" s="250"/>
      <c r="G60" s="254" t="s">
        <v>118</v>
      </c>
      <c r="H60" s="251"/>
    </row>
    <row r="61">
      <c r="A61" s="265"/>
      <c r="B61" s="247">
        <v>3515.0</v>
      </c>
      <c r="C61" s="248"/>
      <c r="D61" s="249"/>
      <c r="F61" s="250"/>
      <c r="G61" s="254" t="s">
        <v>2676</v>
      </c>
      <c r="H61" s="267"/>
    </row>
    <row r="62">
      <c r="A62" s="265"/>
      <c r="B62" s="247"/>
      <c r="C62" s="252"/>
      <c r="D62" s="253"/>
      <c r="F62" s="250">
        <v>470.0</v>
      </c>
      <c r="G62" s="254" t="s">
        <v>85</v>
      </c>
      <c r="H62" s="251"/>
    </row>
    <row r="63">
      <c r="A63" s="265"/>
      <c r="B63" s="247"/>
      <c r="C63" s="248"/>
      <c r="D63" s="253"/>
      <c r="F63" s="250"/>
      <c r="G63" s="254"/>
      <c r="H63" s="251"/>
    </row>
    <row r="64">
      <c r="A64" s="265"/>
      <c r="B64" s="268"/>
      <c r="C64" s="252"/>
      <c r="D64" s="253"/>
      <c r="F64" s="250"/>
      <c r="G64" s="254"/>
      <c r="H64" s="251"/>
    </row>
    <row r="65">
      <c r="A65" s="265"/>
      <c r="B65" s="268"/>
      <c r="C65" s="252"/>
      <c r="D65" s="253"/>
      <c r="F65" s="250"/>
      <c r="G65" s="254"/>
      <c r="H65" s="251"/>
    </row>
    <row r="66">
      <c r="A66" s="270"/>
      <c r="B66" s="271"/>
      <c r="C66" s="272"/>
      <c r="D66" s="273"/>
      <c r="E66" s="18"/>
      <c r="F66" s="274"/>
      <c r="G66" s="260"/>
      <c r="H66" s="261"/>
    </row>
    <row r="67">
      <c r="A67" s="262">
        <v>7.0</v>
      </c>
      <c r="B67" s="239"/>
      <c r="C67" s="263"/>
      <c r="D67" s="241"/>
      <c r="E67" s="242"/>
      <c r="F67" s="243">
        <v>1000.0</v>
      </c>
      <c r="G67" s="276" t="s">
        <v>94</v>
      </c>
      <c r="H67" s="245">
        <v>55.0</v>
      </c>
      <c r="I67" s="2" t="s">
        <v>72</v>
      </c>
    </row>
    <row r="68">
      <c r="A68" s="265"/>
      <c r="B68" s="247"/>
      <c r="C68" s="248"/>
      <c r="D68" s="253"/>
      <c r="F68" s="250">
        <v>1752.0</v>
      </c>
      <c r="G68" s="254" t="s">
        <v>97</v>
      </c>
      <c r="H68" s="251"/>
    </row>
    <row r="69">
      <c r="A69" s="265"/>
      <c r="B69" s="247"/>
      <c r="C69" s="248">
        <v>36930.99</v>
      </c>
      <c r="D69" s="253"/>
      <c r="F69" s="250"/>
      <c r="G69" s="254" t="s">
        <v>84</v>
      </c>
      <c r="H69" s="251"/>
    </row>
    <row r="70">
      <c r="A70" s="265"/>
      <c r="B70" s="247"/>
      <c r="C70" s="248">
        <v>25400.0</v>
      </c>
      <c r="D70" s="249"/>
      <c r="F70" s="250"/>
      <c r="G70" s="254" t="s">
        <v>2677</v>
      </c>
      <c r="H70" s="267"/>
    </row>
    <row r="71">
      <c r="A71" s="265"/>
      <c r="B71" s="247">
        <v>2800.0</v>
      </c>
      <c r="C71" s="248"/>
      <c r="D71" s="253"/>
      <c r="F71" s="250"/>
      <c r="G71" s="254" t="s">
        <v>2678</v>
      </c>
      <c r="H71" s="251"/>
    </row>
    <row r="72">
      <c r="A72" s="265"/>
      <c r="B72" s="247"/>
      <c r="C72" s="252"/>
      <c r="D72" s="249">
        <v>77754.6</v>
      </c>
      <c r="F72" s="250"/>
      <c r="G72" s="254" t="s">
        <v>131</v>
      </c>
      <c r="H72" s="251"/>
    </row>
    <row r="73">
      <c r="A73" s="265"/>
      <c r="B73" s="247"/>
      <c r="C73" s="252"/>
      <c r="D73" s="253"/>
      <c r="F73" s="250">
        <v>6000.0</v>
      </c>
      <c r="G73" s="254" t="s">
        <v>2679</v>
      </c>
      <c r="H73" s="251"/>
    </row>
    <row r="74">
      <c r="A74" s="265"/>
      <c r="B74" s="247"/>
      <c r="C74" s="252"/>
      <c r="D74" s="253"/>
      <c r="F74" s="250"/>
      <c r="G74" s="254"/>
      <c r="H74" s="251"/>
    </row>
    <row r="75">
      <c r="A75" s="265"/>
      <c r="B75" s="268"/>
      <c r="C75" s="248"/>
      <c r="D75" s="253"/>
      <c r="F75" s="250"/>
      <c r="G75" s="254"/>
      <c r="H75" s="251"/>
    </row>
    <row r="76">
      <c r="A76" s="265"/>
      <c r="B76" s="268"/>
      <c r="C76" s="248"/>
      <c r="D76" s="249"/>
      <c r="F76" s="250"/>
      <c r="G76" s="254"/>
      <c r="H76" s="251"/>
    </row>
    <row r="77">
      <c r="A77" s="265"/>
      <c r="B77" s="268"/>
      <c r="C77" s="248"/>
      <c r="D77" s="249"/>
      <c r="F77" s="250"/>
      <c r="G77" s="254"/>
      <c r="H77" s="251"/>
    </row>
    <row r="78">
      <c r="A78" s="265"/>
      <c r="B78" s="268"/>
      <c r="C78" s="248"/>
      <c r="D78" s="249"/>
      <c r="F78" s="250"/>
      <c r="G78" s="269"/>
      <c r="H78" s="251"/>
    </row>
    <row r="79">
      <c r="A79" s="265"/>
      <c r="B79" s="278"/>
      <c r="C79" s="252"/>
      <c r="D79" s="253"/>
      <c r="F79" s="250"/>
      <c r="G79" s="269"/>
      <c r="H79" s="251"/>
    </row>
    <row r="80">
      <c r="A80" s="270"/>
      <c r="B80" s="271"/>
      <c r="C80" s="272"/>
      <c r="D80" s="273"/>
      <c r="E80" s="18"/>
      <c r="F80" s="274"/>
      <c r="G80" s="275"/>
      <c r="H80" s="261"/>
    </row>
    <row r="81">
      <c r="A81" s="262">
        <v>8.0</v>
      </c>
      <c r="B81" s="239"/>
      <c r="C81" s="263"/>
      <c r="D81" s="264"/>
      <c r="E81" s="242"/>
      <c r="F81" s="243">
        <v>448.0</v>
      </c>
      <c r="G81" s="276" t="s">
        <v>97</v>
      </c>
      <c r="H81" s="245">
        <v>42.0</v>
      </c>
      <c r="I81" s="2" t="s">
        <v>59</v>
      </c>
    </row>
    <row r="82">
      <c r="A82" s="265"/>
      <c r="B82" s="247"/>
      <c r="C82" s="248"/>
      <c r="D82" s="249"/>
      <c r="F82" s="250">
        <v>18400.0</v>
      </c>
      <c r="G82" s="254" t="s">
        <v>122</v>
      </c>
      <c r="H82" s="251"/>
    </row>
    <row r="83">
      <c r="A83" s="265"/>
      <c r="B83" s="247">
        <v>7771.56</v>
      </c>
      <c r="C83" s="252"/>
      <c r="D83" s="253"/>
      <c r="F83" s="250"/>
      <c r="G83" s="254" t="s">
        <v>2680</v>
      </c>
      <c r="H83" s="267"/>
    </row>
    <row r="84">
      <c r="A84" s="265"/>
      <c r="B84" s="247">
        <v>8100.0</v>
      </c>
      <c r="C84" s="248"/>
      <c r="D84" s="253"/>
      <c r="F84" s="250"/>
      <c r="G84" s="254" t="s">
        <v>2681</v>
      </c>
      <c r="H84" s="251"/>
    </row>
    <row r="85">
      <c r="A85" s="265"/>
      <c r="B85" s="247">
        <v>3533.0</v>
      </c>
      <c r="C85" s="248"/>
      <c r="D85" s="249"/>
      <c r="F85" s="250"/>
      <c r="G85" s="254" t="s">
        <v>549</v>
      </c>
      <c r="H85" s="251"/>
    </row>
    <row r="86">
      <c r="A86" s="265"/>
      <c r="B86" s="247"/>
      <c r="C86" s="248"/>
      <c r="D86" s="253"/>
      <c r="F86" s="250"/>
      <c r="G86" s="254"/>
      <c r="H86" s="251"/>
    </row>
    <row r="87">
      <c r="A87" s="265"/>
      <c r="B87" s="247"/>
      <c r="C87" s="252"/>
      <c r="D87" s="253"/>
      <c r="F87" s="250"/>
      <c r="G87" s="254"/>
      <c r="H87" s="251"/>
    </row>
    <row r="88">
      <c r="A88" s="265"/>
      <c r="B88" s="247"/>
      <c r="C88" s="252"/>
      <c r="D88" s="253"/>
      <c r="F88" s="250"/>
      <c r="G88" s="254"/>
      <c r="H88" s="251"/>
    </row>
    <row r="89">
      <c r="A89" s="265"/>
      <c r="B89" s="247"/>
      <c r="C89" s="252"/>
      <c r="D89" s="253"/>
      <c r="F89" s="250"/>
      <c r="G89" s="254"/>
      <c r="H89" s="251"/>
    </row>
    <row r="90">
      <c r="A90" s="265"/>
      <c r="B90" s="278"/>
      <c r="C90" s="252"/>
      <c r="D90" s="253"/>
      <c r="F90" s="250"/>
      <c r="G90" s="269"/>
      <c r="H90" s="251"/>
    </row>
    <row r="91">
      <c r="A91" s="265"/>
      <c r="B91" s="278"/>
      <c r="C91" s="252"/>
      <c r="D91" s="253"/>
      <c r="F91" s="250"/>
      <c r="G91" s="269"/>
      <c r="H91" s="251"/>
    </row>
    <row r="92">
      <c r="A92" s="270"/>
      <c r="B92" s="271"/>
      <c r="C92" s="272"/>
      <c r="D92" s="273"/>
      <c r="E92" s="18"/>
      <c r="F92" s="259"/>
      <c r="G92" s="275"/>
      <c r="H92" s="261"/>
    </row>
    <row r="93">
      <c r="A93" s="262">
        <v>9.0</v>
      </c>
      <c r="B93" s="239"/>
      <c r="C93" s="263"/>
      <c r="D93" s="241"/>
      <c r="E93" s="242"/>
      <c r="F93" s="243">
        <v>2500.0</v>
      </c>
      <c r="G93" s="276" t="s">
        <v>101</v>
      </c>
      <c r="H93" s="245">
        <v>30.0</v>
      </c>
      <c r="I93" s="2" t="s">
        <v>72</v>
      </c>
    </row>
    <row r="94">
      <c r="A94" s="265"/>
      <c r="B94" s="247"/>
      <c r="C94" s="248"/>
      <c r="D94" s="253"/>
      <c r="F94" s="250">
        <v>1100.0</v>
      </c>
      <c r="G94" s="254" t="s">
        <v>2682</v>
      </c>
      <c r="H94" s="251"/>
    </row>
    <row r="95">
      <c r="A95" s="265"/>
      <c r="B95" s="247"/>
      <c r="C95" s="248"/>
      <c r="D95" s="249">
        <v>6360.0</v>
      </c>
      <c r="F95" s="250"/>
      <c r="G95" s="254" t="s">
        <v>75</v>
      </c>
      <c r="H95" s="251"/>
    </row>
    <row r="96">
      <c r="A96" s="265"/>
      <c r="B96" s="247">
        <v>7017.12</v>
      </c>
      <c r="C96" s="248"/>
      <c r="D96" s="249"/>
      <c r="F96" s="250"/>
      <c r="G96" s="254" t="s">
        <v>82</v>
      </c>
      <c r="H96" s="251"/>
    </row>
    <row r="97">
      <c r="A97" s="265"/>
      <c r="B97" s="85"/>
      <c r="C97" s="248"/>
      <c r="D97" s="249">
        <v>11800.0</v>
      </c>
      <c r="F97" s="250"/>
      <c r="G97" s="254" t="s">
        <v>76</v>
      </c>
      <c r="H97" s="251"/>
    </row>
    <row r="98">
      <c r="A98" s="265"/>
      <c r="B98" s="281">
        <v>26062.75</v>
      </c>
      <c r="C98" s="252"/>
      <c r="D98" s="249"/>
      <c r="F98" s="266"/>
      <c r="G98" s="254" t="s">
        <v>103</v>
      </c>
      <c r="H98" s="251"/>
    </row>
    <row r="99">
      <c r="A99" s="265"/>
      <c r="B99" s="281">
        <f>1977+3100</f>
        <v>5077</v>
      </c>
      <c r="C99" s="252"/>
      <c r="D99" s="249"/>
      <c r="F99" s="250"/>
      <c r="G99" s="254" t="s">
        <v>105</v>
      </c>
      <c r="H99" s="251"/>
    </row>
    <row r="100">
      <c r="A100" s="265"/>
      <c r="B100" s="247">
        <v>16000.0</v>
      </c>
      <c r="C100" s="252"/>
      <c r="D100" s="249"/>
      <c r="F100" s="250"/>
      <c r="G100" s="254" t="s">
        <v>2683</v>
      </c>
      <c r="H100" s="251"/>
    </row>
    <row r="101">
      <c r="A101" s="265"/>
      <c r="B101" s="247"/>
      <c r="C101" s="252"/>
      <c r="D101" s="253"/>
      <c r="F101" s="250">
        <v>1470.0</v>
      </c>
      <c r="G101" s="254" t="s">
        <v>2684</v>
      </c>
      <c r="H101" s="251"/>
    </row>
    <row r="102">
      <c r="A102" s="265"/>
      <c r="B102" s="247">
        <v>18000.0</v>
      </c>
      <c r="C102" s="252"/>
      <c r="D102" s="249"/>
      <c r="F102" s="250"/>
      <c r="G102" s="254" t="s">
        <v>95</v>
      </c>
      <c r="H102" s="251"/>
    </row>
    <row r="103">
      <c r="A103" s="265"/>
      <c r="B103" s="268"/>
      <c r="C103" s="252"/>
      <c r="D103" s="253"/>
      <c r="F103" s="250"/>
      <c r="G103" s="269"/>
      <c r="H103" s="251"/>
    </row>
    <row r="104">
      <c r="A104" s="265"/>
      <c r="B104" s="247"/>
      <c r="C104" s="252"/>
      <c r="D104" s="253"/>
      <c r="F104" s="250"/>
      <c r="G104" s="269"/>
      <c r="H104" s="251"/>
    </row>
    <row r="105">
      <c r="A105" s="265"/>
      <c r="B105" s="277"/>
      <c r="C105" s="252"/>
      <c r="D105" s="253"/>
      <c r="F105" s="282"/>
      <c r="G105" s="269"/>
      <c r="H105" s="251"/>
    </row>
    <row r="106">
      <c r="A106" s="265"/>
      <c r="B106" s="278"/>
      <c r="C106" s="248"/>
      <c r="D106" s="253"/>
      <c r="F106" s="282"/>
      <c r="G106" s="269"/>
      <c r="H106" s="251"/>
    </row>
    <row r="107">
      <c r="A107" s="265"/>
      <c r="B107" s="278"/>
      <c r="C107" s="252"/>
      <c r="D107" s="253"/>
      <c r="F107" s="250"/>
      <c r="G107" s="269"/>
      <c r="H107" s="251"/>
    </row>
    <row r="108">
      <c r="A108" s="270"/>
      <c r="B108" s="271"/>
      <c r="C108" s="272"/>
      <c r="D108" s="273"/>
      <c r="E108" s="18"/>
      <c r="F108" s="259"/>
      <c r="G108" s="260"/>
      <c r="H108" s="261"/>
    </row>
    <row r="109">
      <c r="A109" s="262">
        <v>10.0</v>
      </c>
      <c r="B109" s="239">
        <v>9000.0</v>
      </c>
      <c r="C109" s="263"/>
      <c r="D109" s="264"/>
      <c r="E109" s="242"/>
      <c r="F109" s="250"/>
      <c r="G109" s="276" t="s">
        <v>95</v>
      </c>
      <c r="H109" s="245">
        <v>18.0</v>
      </c>
      <c r="I109" s="2" t="s">
        <v>59</v>
      </c>
    </row>
    <row r="110">
      <c r="A110" s="265"/>
      <c r="B110" s="247"/>
      <c r="C110" s="248"/>
      <c r="D110" s="249"/>
      <c r="F110" s="250">
        <v>21000.0</v>
      </c>
      <c r="G110" s="254" t="s">
        <v>87</v>
      </c>
      <c r="H110" s="251"/>
    </row>
    <row r="111">
      <c r="A111" s="265"/>
      <c r="B111" s="247"/>
      <c r="C111" s="248"/>
      <c r="D111" s="249"/>
      <c r="F111" s="250">
        <v>6800.0</v>
      </c>
      <c r="G111" s="254" t="s">
        <v>68</v>
      </c>
      <c r="H111" s="251"/>
    </row>
    <row r="112">
      <c r="A112" s="265"/>
      <c r="B112" s="247"/>
      <c r="C112" s="248"/>
      <c r="D112" s="249"/>
      <c r="F112" s="250"/>
      <c r="G112" s="254" t="s">
        <v>2561</v>
      </c>
      <c r="H112" s="251"/>
    </row>
    <row r="113">
      <c r="A113" s="265"/>
      <c r="B113" s="247"/>
      <c r="C113" s="248"/>
      <c r="D113" s="253"/>
      <c r="F113" s="250">
        <v>940.0</v>
      </c>
      <c r="G113" s="254" t="s">
        <v>85</v>
      </c>
      <c r="H113" s="251"/>
    </row>
    <row r="114">
      <c r="A114" s="265"/>
      <c r="B114" s="247"/>
      <c r="C114" s="252"/>
      <c r="D114" s="253"/>
      <c r="F114" s="250">
        <v>1977.47</v>
      </c>
      <c r="G114" s="254" t="s">
        <v>94</v>
      </c>
      <c r="H114" s="251"/>
    </row>
    <row r="115">
      <c r="A115" s="265"/>
      <c r="B115" s="247"/>
      <c r="C115" s="252"/>
      <c r="D115" s="249"/>
      <c r="F115" s="250"/>
      <c r="G115" s="254"/>
      <c r="H115" s="251"/>
    </row>
    <row r="116">
      <c r="A116" s="265"/>
      <c r="B116" s="247"/>
      <c r="C116" s="252"/>
      <c r="D116" s="253"/>
      <c r="F116" s="250"/>
      <c r="G116" s="254"/>
      <c r="H116" s="251"/>
    </row>
    <row r="117">
      <c r="A117" s="265"/>
      <c r="B117" s="247"/>
      <c r="C117" s="248"/>
      <c r="D117" s="253"/>
      <c r="F117" s="250"/>
      <c r="G117" s="254"/>
      <c r="H117" s="251"/>
    </row>
    <row r="118">
      <c r="A118" s="265"/>
      <c r="B118" s="247"/>
      <c r="C118" s="252"/>
      <c r="D118" s="253"/>
      <c r="F118" s="250"/>
      <c r="G118" s="254"/>
      <c r="H118" s="251"/>
    </row>
    <row r="119">
      <c r="A119" s="265"/>
      <c r="B119" s="277"/>
      <c r="C119" s="248"/>
      <c r="D119" s="253"/>
      <c r="F119" s="282"/>
      <c r="G119" s="254"/>
      <c r="H119" s="251"/>
    </row>
    <row r="120">
      <c r="A120" s="265"/>
      <c r="B120" s="277"/>
      <c r="C120" s="252"/>
      <c r="D120" s="253"/>
      <c r="F120" s="250"/>
      <c r="G120" s="254"/>
      <c r="H120" s="251"/>
    </row>
    <row r="121">
      <c r="A121" s="265"/>
      <c r="B121" s="278"/>
      <c r="C121" s="252"/>
      <c r="D121" s="253"/>
      <c r="F121" s="282"/>
      <c r="G121" s="269"/>
      <c r="H121" s="251"/>
    </row>
    <row r="122">
      <c r="A122" s="270"/>
      <c r="B122" s="271"/>
      <c r="C122" s="272"/>
      <c r="D122" s="273"/>
      <c r="E122" s="18"/>
      <c r="F122" s="274"/>
      <c r="G122" s="275"/>
      <c r="H122" s="261"/>
    </row>
    <row r="123">
      <c r="A123" s="262">
        <v>12.0</v>
      </c>
      <c r="B123" s="239">
        <v>7771.56</v>
      </c>
      <c r="C123" s="263"/>
      <c r="D123" s="264"/>
      <c r="E123" s="242"/>
      <c r="F123" s="243"/>
      <c r="G123" s="276" t="s">
        <v>82</v>
      </c>
      <c r="H123" s="245">
        <v>60.0</v>
      </c>
      <c r="I123" s="2" t="s">
        <v>59</v>
      </c>
    </row>
    <row r="124">
      <c r="A124" s="265"/>
      <c r="B124" s="247"/>
      <c r="C124" s="252"/>
      <c r="D124" s="249">
        <f>19880-100</f>
        <v>19780</v>
      </c>
      <c r="F124" s="250"/>
      <c r="G124" s="254" t="s">
        <v>75</v>
      </c>
      <c r="H124" s="251"/>
    </row>
    <row r="125">
      <c r="A125" s="265"/>
      <c r="B125" s="247"/>
      <c r="C125" s="248"/>
      <c r="D125" s="249"/>
      <c r="F125" s="250"/>
      <c r="G125" s="26" t="s">
        <v>71</v>
      </c>
      <c r="H125" s="251"/>
    </row>
    <row r="126">
      <c r="A126" s="265"/>
      <c r="B126" s="247"/>
      <c r="C126" s="248"/>
      <c r="D126" s="249"/>
      <c r="F126" s="250"/>
      <c r="G126" s="254" t="s">
        <v>73</v>
      </c>
      <c r="H126" s="251"/>
    </row>
    <row r="127">
      <c r="A127" s="265"/>
      <c r="B127" s="247"/>
      <c r="C127" s="252"/>
      <c r="D127" s="249">
        <f>3969.11+13620.97</f>
        <v>17590.08</v>
      </c>
      <c r="F127" s="250"/>
      <c r="G127" s="254" t="s">
        <v>74</v>
      </c>
      <c r="H127" s="251"/>
    </row>
    <row r="128">
      <c r="A128" s="265"/>
      <c r="B128" s="247"/>
      <c r="C128" s="252"/>
      <c r="D128" s="253">
        <f>24269.89+3847.52</f>
        <v>28117.41</v>
      </c>
      <c r="F128" s="250"/>
      <c r="G128" s="254" t="s">
        <v>73</v>
      </c>
      <c r="H128" s="251"/>
    </row>
    <row r="129">
      <c r="A129" s="265"/>
      <c r="B129" s="247">
        <v>8100.0</v>
      </c>
      <c r="C129" s="252"/>
      <c r="D129" s="253"/>
      <c r="F129" s="250"/>
      <c r="G129" s="254" t="s">
        <v>2621</v>
      </c>
      <c r="H129" s="251"/>
    </row>
    <row r="130">
      <c r="A130" s="265"/>
      <c r="B130" s="247"/>
      <c r="C130" s="252"/>
      <c r="D130" s="249"/>
      <c r="F130" s="250"/>
      <c r="G130" s="254"/>
      <c r="H130" s="251"/>
    </row>
    <row r="131">
      <c r="A131" s="265"/>
      <c r="B131" s="247"/>
      <c r="C131" s="252"/>
      <c r="D131" s="249"/>
      <c r="F131" s="250">
        <v>120.0</v>
      </c>
      <c r="G131" s="254" t="s">
        <v>2685</v>
      </c>
      <c r="H131" s="251"/>
    </row>
    <row r="132">
      <c r="A132" s="265"/>
      <c r="B132" s="247"/>
      <c r="C132" s="248"/>
      <c r="D132" s="253"/>
      <c r="F132" s="250"/>
      <c r="G132" s="254"/>
      <c r="H132" s="251"/>
    </row>
    <row r="133">
      <c r="A133" s="265"/>
      <c r="B133" s="268"/>
      <c r="C133" s="252"/>
      <c r="D133" s="253"/>
      <c r="F133" s="250"/>
      <c r="G133" s="254"/>
      <c r="H133" s="251"/>
    </row>
    <row r="134">
      <c r="A134" s="265"/>
      <c r="B134" s="268"/>
      <c r="C134" s="252"/>
      <c r="D134" s="253"/>
      <c r="F134" s="250"/>
      <c r="G134" s="254"/>
      <c r="H134" s="251"/>
    </row>
    <row r="135">
      <c r="A135" s="265"/>
      <c r="B135" s="268"/>
      <c r="C135" s="252"/>
      <c r="D135" s="253"/>
      <c r="F135" s="250"/>
      <c r="G135" s="269"/>
      <c r="H135" s="251"/>
    </row>
    <row r="136">
      <c r="A136" s="265"/>
      <c r="B136" s="268"/>
      <c r="C136" s="252"/>
      <c r="D136" s="253"/>
      <c r="F136" s="250"/>
      <c r="G136" s="269"/>
      <c r="H136" s="251"/>
    </row>
    <row r="137">
      <c r="A137" s="265"/>
      <c r="B137" s="268"/>
      <c r="C137" s="252"/>
      <c r="D137" s="253"/>
      <c r="F137" s="250"/>
      <c r="G137" s="269"/>
      <c r="H137" s="251"/>
    </row>
    <row r="138">
      <c r="A138" s="265"/>
      <c r="B138" s="268"/>
      <c r="C138" s="252"/>
      <c r="D138" s="253"/>
      <c r="F138" s="250"/>
      <c r="G138" s="269"/>
      <c r="H138" s="251"/>
    </row>
    <row r="139">
      <c r="A139" s="265"/>
      <c r="B139" s="268"/>
      <c r="C139" s="252"/>
      <c r="D139" s="253"/>
      <c r="F139" s="250"/>
      <c r="G139" s="269"/>
      <c r="H139" s="251"/>
    </row>
    <row r="140">
      <c r="A140" s="270"/>
      <c r="B140" s="271"/>
      <c r="C140" s="272"/>
      <c r="D140" s="273"/>
      <c r="E140" s="18"/>
      <c r="F140" s="274"/>
      <c r="G140" s="275"/>
      <c r="H140" s="261"/>
    </row>
    <row r="141">
      <c r="A141" s="262">
        <v>13.0</v>
      </c>
      <c r="B141" s="239"/>
      <c r="C141" s="263"/>
      <c r="D141" s="264"/>
      <c r="E141" s="242"/>
      <c r="F141" s="243">
        <v>10650.0</v>
      </c>
      <c r="G141" s="276" t="s">
        <v>87</v>
      </c>
      <c r="H141" s="245">
        <v>53.0</v>
      </c>
      <c r="I141" s="2" t="s">
        <v>72</v>
      </c>
    </row>
    <row r="142">
      <c r="A142" s="265"/>
      <c r="B142" s="247"/>
      <c r="C142" s="252"/>
      <c r="D142" s="249"/>
      <c r="F142" s="250"/>
      <c r="G142" s="254" t="s">
        <v>2686</v>
      </c>
      <c r="H142" s="251"/>
    </row>
    <row r="143">
      <c r="A143" s="265"/>
      <c r="B143" s="247"/>
      <c r="C143" s="248"/>
      <c r="D143" s="249"/>
      <c r="F143" s="250"/>
      <c r="G143" s="254" t="s">
        <v>2687</v>
      </c>
      <c r="H143" s="251"/>
    </row>
    <row r="144">
      <c r="A144" s="265"/>
      <c r="B144" s="247"/>
      <c r="C144" s="248"/>
      <c r="D144" s="249">
        <v>61360.0</v>
      </c>
      <c r="F144" s="250"/>
      <c r="G144" s="254" t="s">
        <v>144</v>
      </c>
      <c r="H144" s="251"/>
    </row>
    <row r="145">
      <c r="A145" s="265"/>
      <c r="B145" s="247">
        <v>2500.0</v>
      </c>
      <c r="C145" s="248"/>
      <c r="D145" s="253"/>
      <c r="F145" s="250"/>
      <c r="G145" s="254" t="s">
        <v>101</v>
      </c>
      <c r="H145" s="251"/>
    </row>
    <row r="146">
      <c r="A146" s="265"/>
      <c r="B146" s="247" t="s">
        <v>2688</v>
      </c>
      <c r="C146" s="252"/>
      <c r="D146" s="249"/>
      <c r="F146" s="250"/>
      <c r="G146" s="254"/>
      <c r="H146" s="251"/>
    </row>
    <row r="147">
      <c r="A147" s="265"/>
      <c r="B147" s="247"/>
      <c r="C147" s="252"/>
      <c r="D147" s="249"/>
      <c r="F147" s="250"/>
      <c r="G147" s="254"/>
      <c r="H147" s="251"/>
    </row>
    <row r="148">
      <c r="A148" s="265"/>
      <c r="B148" s="283"/>
      <c r="C148" s="248"/>
      <c r="D148" s="253"/>
      <c r="F148" s="250"/>
      <c r="G148" s="254"/>
      <c r="H148" s="251"/>
    </row>
    <row r="149">
      <c r="A149" s="265"/>
      <c r="B149" s="247"/>
      <c r="C149" s="248"/>
      <c r="D149" s="253"/>
      <c r="F149" s="250"/>
      <c r="G149" s="254"/>
      <c r="H149" s="251"/>
    </row>
    <row r="150">
      <c r="A150" s="265"/>
      <c r="B150" s="247"/>
      <c r="C150" s="252"/>
      <c r="D150" s="253"/>
      <c r="F150" s="250"/>
      <c r="G150" s="254"/>
      <c r="H150" s="251"/>
    </row>
    <row r="151">
      <c r="A151" s="265"/>
      <c r="B151" s="247"/>
      <c r="C151" s="252"/>
      <c r="D151" s="249"/>
      <c r="F151" s="250"/>
      <c r="G151" s="254"/>
      <c r="H151" s="251"/>
    </row>
    <row r="152">
      <c r="A152" s="265"/>
      <c r="B152" s="277"/>
      <c r="C152" s="252"/>
      <c r="D152" s="253"/>
      <c r="F152" s="250"/>
      <c r="G152" s="254"/>
      <c r="H152" s="251"/>
    </row>
    <row r="153">
      <c r="A153" s="265"/>
      <c r="B153" s="277"/>
      <c r="C153" s="252"/>
      <c r="D153" s="253"/>
      <c r="F153" s="250"/>
      <c r="G153" s="269"/>
      <c r="H153" s="251"/>
    </row>
    <row r="154">
      <c r="A154" s="265"/>
      <c r="B154" s="278"/>
      <c r="C154" s="252"/>
      <c r="D154" s="253"/>
      <c r="F154" s="250"/>
      <c r="G154" s="269"/>
      <c r="H154" s="251"/>
    </row>
    <row r="155">
      <c r="A155" s="270"/>
      <c r="B155" s="271"/>
      <c r="C155" s="272"/>
      <c r="D155" s="273"/>
      <c r="E155" s="18"/>
      <c r="F155" s="274"/>
      <c r="G155" s="275"/>
      <c r="H155" s="261"/>
    </row>
    <row r="156">
      <c r="A156" s="262">
        <v>14.0</v>
      </c>
      <c r="B156" s="239"/>
      <c r="C156" s="263">
        <v>27104.53</v>
      </c>
      <c r="D156" s="241"/>
      <c r="E156" s="242"/>
      <c r="F156" s="243"/>
      <c r="G156" s="276" t="s">
        <v>84</v>
      </c>
      <c r="H156" s="245">
        <v>62.0</v>
      </c>
      <c r="I156" s="2" t="s">
        <v>72</v>
      </c>
    </row>
    <row r="157">
      <c r="A157" s="265"/>
      <c r="B157" s="247">
        <v>8004.92</v>
      </c>
      <c r="C157" s="252"/>
      <c r="D157" s="253"/>
      <c r="F157" s="250"/>
      <c r="G157" s="254" t="s">
        <v>82</v>
      </c>
      <c r="H157" s="251"/>
    </row>
    <row r="158">
      <c r="A158" s="265"/>
      <c r="B158" s="247"/>
      <c r="C158" s="252"/>
      <c r="D158" s="249">
        <v>6850.0</v>
      </c>
      <c r="F158" s="418"/>
      <c r="G158" s="285" t="s">
        <v>79</v>
      </c>
      <c r="H158" s="251"/>
    </row>
    <row r="159">
      <c r="A159" s="265"/>
      <c r="B159" s="247"/>
      <c r="C159" s="252"/>
      <c r="D159" s="253"/>
      <c r="F159" s="250">
        <f>508+397</f>
        <v>905</v>
      </c>
      <c r="G159" s="254" t="s">
        <v>97</v>
      </c>
      <c r="H159" s="251"/>
    </row>
    <row r="160">
      <c r="A160" s="265"/>
      <c r="B160" s="247"/>
      <c r="C160" s="252"/>
      <c r="D160" s="249"/>
      <c r="F160" s="250">
        <v>11600.0</v>
      </c>
      <c r="G160" s="254" t="s">
        <v>1675</v>
      </c>
      <c r="H160" s="251"/>
    </row>
    <row r="161">
      <c r="A161" s="265"/>
      <c r="B161" s="247"/>
      <c r="C161" s="248"/>
      <c r="D161" s="249">
        <v>6525.17</v>
      </c>
      <c r="F161" s="250"/>
      <c r="G161" s="254" t="s">
        <v>2689</v>
      </c>
      <c r="H161" s="251"/>
    </row>
    <row r="162">
      <c r="A162" s="265"/>
      <c r="B162" s="247">
        <v>2998.0</v>
      </c>
      <c r="C162" s="248"/>
      <c r="D162" s="249"/>
      <c r="F162" s="250"/>
      <c r="G162" s="254" t="s">
        <v>2690</v>
      </c>
      <c r="H162" s="251"/>
    </row>
    <row r="163">
      <c r="A163" s="265"/>
      <c r="B163" s="247"/>
      <c r="C163" s="252"/>
      <c r="D163" s="249"/>
      <c r="F163" s="250"/>
      <c r="G163" s="254" t="s">
        <v>2621</v>
      </c>
      <c r="H163" s="251"/>
    </row>
    <row r="164">
      <c r="A164" s="265"/>
      <c r="B164" s="268"/>
      <c r="C164" s="252"/>
      <c r="D164" s="249"/>
      <c r="F164" s="250"/>
      <c r="G164" s="254"/>
      <c r="H164" s="251"/>
    </row>
    <row r="165">
      <c r="A165" s="265"/>
      <c r="B165" s="247"/>
      <c r="C165" s="252"/>
      <c r="D165" s="253"/>
      <c r="F165" s="250"/>
      <c r="G165" s="254"/>
      <c r="H165" s="251"/>
    </row>
    <row r="166">
      <c r="A166" s="265"/>
      <c r="B166" s="247"/>
      <c r="C166" s="252"/>
      <c r="D166" s="253"/>
      <c r="F166" s="250"/>
      <c r="G166" s="254"/>
      <c r="H166" s="251"/>
    </row>
    <row r="167">
      <c r="A167" s="265"/>
      <c r="B167" s="277"/>
      <c r="C167" s="252"/>
      <c r="D167" s="253"/>
      <c r="F167" s="250"/>
      <c r="G167" s="269"/>
      <c r="H167" s="251"/>
    </row>
    <row r="168">
      <c r="A168" s="265"/>
      <c r="B168" s="277"/>
      <c r="C168" s="252"/>
      <c r="D168" s="253"/>
      <c r="F168" s="282"/>
      <c r="G168" s="269"/>
      <c r="H168" s="251"/>
    </row>
    <row r="169">
      <c r="A169" s="265"/>
      <c r="B169" s="278"/>
      <c r="C169" s="252"/>
      <c r="D169" s="253"/>
      <c r="F169" s="250"/>
      <c r="G169" s="269"/>
      <c r="H169" s="251"/>
    </row>
    <row r="170">
      <c r="A170" s="270"/>
      <c r="B170" s="271"/>
      <c r="C170" s="272"/>
      <c r="D170" s="273"/>
      <c r="E170" s="18"/>
      <c r="F170" s="259"/>
      <c r="G170" s="260"/>
      <c r="H170" s="261"/>
    </row>
    <row r="171">
      <c r="A171" s="262">
        <v>15.0</v>
      </c>
      <c r="B171" s="239"/>
      <c r="C171" s="263">
        <v>31623.15</v>
      </c>
      <c r="D171" s="264"/>
      <c r="E171" s="242"/>
      <c r="F171" s="243"/>
      <c r="G171" s="276" t="s">
        <v>89</v>
      </c>
      <c r="H171" s="245">
        <v>72.0</v>
      </c>
      <c r="I171" s="2" t="s">
        <v>59</v>
      </c>
    </row>
    <row r="172">
      <c r="A172" s="265"/>
      <c r="B172" s="247">
        <v>10000.0</v>
      </c>
      <c r="C172" s="252"/>
      <c r="D172" s="253"/>
      <c r="F172" s="250"/>
      <c r="G172" s="254" t="s">
        <v>76</v>
      </c>
      <c r="H172" s="251"/>
    </row>
    <row r="173">
      <c r="A173" s="265"/>
      <c r="B173" s="247"/>
      <c r="C173" s="248"/>
      <c r="D173" s="249"/>
      <c r="F173" s="250">
        <v>11000.0</v>
      </c>
      <c r="G173" s="254" t="s">
        <v>87</v>
      </c>
      <c r="H173" s="251"/>
    </row>
    <row r="174">
      <c r="A174" s="265"/>
      <c r="B174" s="247"/>
      <c r="C174" s="248"/>
      <c r="D174" s="249"/>
      <c r="F174" s="250">
        <v>3400.0</v>
      </c>
      <c r="G174" s="254" t="s">
        <v>68</v>
      </c>
      <c r="H174" s="251"/>
    </row>
    <row r="175">
      <c r="A175" s="265"/>
      <c r="B175" s="247"/>
      <c r="C175" s="252"/>
      <c r="D175" s="253"/>
      <c r="F175" s="250">
        <v>403.0</v>
      </c>
      <c r="G175" s="254" t="s">
        <v>858</v>
      </c>
      <c r="H175" s="251"/>
    </row>
    <row r="176">
      <c r="A176" s="265"/>
      <c r="B176" s="247"/>
      <c r="C176" s="248"/>
      <c r="D176" s="249"/>
      <c r="F176" s="250">
        <v>720.0</v>
      </c>
      <c r="G176" s="254" t="s">
        <v>1011</v>
      </c>
      <c r="H176" s="251"/>
    </row>
    <row r="177">
      <c r="A177" s="265"/>
      <c r="B177" s="247"/>
      <c r="C177" s="248"/>
      <c r="D177" s="249"/>
      <c r="F177" s="250"/>
      <c r="G177" s="254"/>
      <c r="H177" s="251"/>
    </row>
    <row r="178">
      <c r="A178" s="265"/>
      <c r="B178" s="247"/>
      <c r="C178" s="252"/>
      <c r="D178" s="249"/>
      <c r="F178" s="250"/>
      <c r="G178" s="254"/>
      <c r="H178" s="251"/>
    </row>
    <row r="179">
      <c r="A179" s="265"/>
      <c r="B179" s="247"/>
      <c r="C179" s="252"/>
      <c r="D179" s="253"/>
      <c r="F179" s="250"/>
      <c r="G179" s="254"/>
      <c r="H179" s="251"/>
    </row>
    <row r="180">
      <c r="A180" s="270"/>
      <c r="B180" s="279"/>
      <c r="C180" s="272"/>
      <c r="D180" s="273"/>
      <c r="E180" s="18"/>
      <c r="F180" s="274"/>
      <c r="G180" s="260"/>
      <c r="H180" s="261"/>
    </row>
    <row r="181">
      <c r="A181" s="262">
        <v>16.0</v>
      </c>
      <c r="B181" s="239">
        <v>9010.0</v>
      </c>
      <c r="C181" s="263"/>
      <c r="D181" s="264"/>
      <c r="E181" s="242"/>
      <c r="F181" s="250"/>
      <c r="G181" s="276" t="s">
        <v>75</v>
      </c>
      <c r="H181" s="245"/>
    </row>
    <row r="182">
      <c r="A182" s="265"/>
      <c r="B182" s="247"/>
      <c r="C182" s="252"/>
      <c r="D182" s="249"/>
      <c r="F182" s="250">
        <v>403.0</v>
      </c>
      <c r="G182" s="254" t="s">
        <v>97</v>
      </c>
      <c r="H182" s="251"/>
    </row>
    <row r="183">
      <c r="A183" s="265"/>
      <c r="B183" s="247">
        <v>8004.0</v>
      </c>
      <c r="C183" s="248"/>
      <c r="D183" s="249"/>
      <c r="F183" s="250"/>
      <c r="G183" s="254" t="s">
        <v>82</v>
      </c>
      <c r="H183" s="251"/>
    </row>
    <row r="184">
      <c r="A184" s="265"/>
      <c r="B184" s="247"/>
      <c r="C184" s="248"/>
      <c r="D184" s="249"/>
      <c r="F184" s="250">
        <v>1900.0</v>
      </c>
      <c r="G184" s="254" t="s">
        <v>2612</v>
      </c>
      <c r="H184" s="251"/>
    </row>
    <row r="185">
      <c r="A185" s="265"/>
      <c r="B185" s="247"/>
      <c r="C185" s="248"/>
      <c r="D185" s="249"/>
      <c r="E185" s="254"/>
      <c r="F185" s="250"/>
      <c r="G185" s="254"/>
      <c r="H185" s="251"/>
      <c r="I185" s="269"/>
    </row>
    <row r="186">
      <c r="A186" s="265"/>
      <c r="B186" s="247"/>
      <c r="C186" s="252"/>
      <c r="D186" s="249"/>
      <c r="F186" s="250"/>
      <c r="G186" s="254"/>
      <c r="H186" s="251"/>
    </row>
    <row r="187">
      <c r="A187" s="265"/>
      <c r="B187" s="247"/>
      <c r="C187" s="252"/>
      <c r="D187" s="249"/>
      <c r="F187" s="250"/>
      <c r="G187" s="254"/>
      <c r="H187" s="251"/>
    </row>
    <row r="188">
      <c r="A188" s="265"/>
      <c r="B188" s="247"/>
      <c r="C188" s="252"/>
      <c r="D188" s="253"/>
      <c r="F188" s="250"/>
      <c r="G188" s="254"/>
      <c r="H188" s="251"/>
    </row>
    <row r="189">
      <c r="A189" s="265"/>
      <c r="B189" s="247"/>
      <c r="C189" s="252"/>
      <c r="D189" s="249"/>
      <c r="F189" s="250"/>
      <c r="G189" s="254"/>
      <c r="H189" s="251"/>
    </row>
    <row r="190">
      <c r="A190" s="265"/>
      <c r="B190" s="247"/>
      <c r="C190" s="252"/>
      <c r="D190" s="253"/>
      <c r="F190" s="250"/>
      <c r="G190" s="254"/>
      <c r="H190" s="251"/>
    </row>
    <row r="191">
      <c r="A191" s="265"/>
      <c r="B191" s="247"/>
      <c r="C191" s="252"/>
      <c r="D191" s="253"/>
      <c r="F191" s="250"/>
      <c r="G191" s="254"/>
      <c r="H191" s="251"/>
    </row>
    <row r="192">
      <c r="A192" s="265"/>
      <c r="B192" s="247"/>
      <c r="C192" s="252"/>
      <c r="D192" s="253"/>
      <c r="F192" s="250"/>
      <c r="G192" s="254"/>
      <c r="H192" s="251"/>
    </row>
    <row r="193">
      <c r="A193" s="265"/>
      <c r="B193" s="268"/>
      <c r="C193" s="252"/>
      <c r="D193" s="253"/>
      <c r="F193" s="250"/>
      <c r="G193" s="269"/>
      <c r="H193" s="251"/>
    </row>
    <row r="194">
      <c r="A194" s="265"/>
      <c r="B194" s="268"/>
      <c r="C194" s="252"/>
      <c r="D194" s="253"/>
      <c r="F194" s="250"/>
      <c r="G194" s="269"/>
      <c r="H194" s="251"/>
    </row>
    <row r="195">
      <c r="A195" s="270"/>
      <c r="B195" s="271"/>
      <c r="C195" s="272"/>
      <c r="D195" s="273"/>
      <c r="E195" s="18"/>
      <c r="F195" s="259"/>
      <c r="G195" s="260"/>
      <c r="H195" s="261"/>
    </row>
    <row r="196">
      <c r="A196" s="262" t="s">
        <v>2691</v>
      </c>
      <c r="B196" s="247">
        <v>30374.67</v>
      </c>
      <c r="C196" s="248"/>
      <c r="D196" s="253"/>
      <c r="F196" s="250"/>
      <c r="G196" s="254" t="s">
        <v>787</v>
      </c>
      <c r="H196" s="286">
        <v>38.0</v>
      </c>
      <c r="I196" s="2" t="s">
        <v>59</v>
      </c>
    </row>
    <row r="197">
      <c r="A197" s="265"/>
      <c r="B197" s="247"/>
      <c r="C197" s="252"/>
      <c r="D197" s="249"/>
      <c r="F197" s="250">
        <v>21900.0</v>
      </c>
      <c r="G197" s="254" t="s">
        <v>87</v>
      </c>
      <c r="H197" s="251"/>
    </row>
    <row r="198">
      <c r="A198" s="265"/>
      <c r="B198" s="247"/>
      <c r="C198" s="252"/>
      <c r="D198" s="249"/>
      <c r="F198" s="250">
        <v>11300.0</v>
      </c>
      <c r="G198" s="254" t="s">
        <v>344</v>
      </c>
      <c r="H198" s="251"/>
    </row>
    <row r="199">
      <c r="A199" s="265"/>
      <c r="B199" s="247"/>
      <c r="C199" s="248"/>
      <c r="D199" s="249"/>
      <c r="F199" s="250"/>
      <c r="G199" s="254"/>
      <c r="H199" s="251"/>
    </row>
    <row r="200">
      <c r="A200" s="265"/>
      <c r="B200" s="247"/>
      <c r="C200" s="248"/>
      <c r="D200" s="249"/>
      <c r="F200" s="250"/>
      <c r="G200" s="254"/>
      <c r="H200" s="251"/>
    </row>
    <row r="201">
      <c r="A201" s="265"/>
      <c r="B201" s="247"/>
      <c r="C201" s="252"/>
      <c r="D201" s="249"/>
      <c r="F201" s="250"/>
      <c r="G201" s="254"/>
      <c r="H201" s="251"/>
    </row>
    <row r="202">
      <c r="A202" s="265"/>
      <c r="B202" s="247"/>
      <c r="C202" s="252"/>
      <c r="D202" s="253"/>
      <c r="F202" s="250"/>
      <c r="G202" s="254"/>
      <c r="H202" s="251"/>
    </row>
    <row r="203">
      <c r="A203" s="265"/>
      <c r="B203" s="247"/>
      <c r="C203" s="252"/>
      <c r="D203" s="249"/>
      <c r="F203" s="250"/>
      <c r="G203" s="254"/>
      <c r="H203" s="251"/>
    </row>
    <row r="204">
      <c r="A204" s="265"/>
      <c r="B204" s="247"/>
      <c r="C204" s="248"/>
      <c r="D204" s="253"/>
      <c r="F204" s="250"/>
      <c r="G204" s="254"/>
      <c r="H204" s="251"/>
    </row>
    <row r="205">
      <c r="A205" s="265"/>
      <c r="B205" s="247"/>
      <c r="C205" s="252"/>
      <c r="D205" s="253"/>
      <c r="F205" s="250"/>
      <c r="G205" s="254"/>
      <c r="H205" s="251"/>
    </row>
    <row r="206">
      <c r="A206" s="265"/>
      <c r="B206" s="247"/>
      <c r="C206" s="252"/>
      <c r="D206" s="249"/>
      <c r="F206" s="250"/>
      <c r="G206" s="254"/>
      <c r="H206" s="251"/>
    </row>
    <row r="207">
      <c r="A207" s="265"/>
      <c r="B207" s="247"/>
      <c r="C207" s="248"/>
      <c r="D207" s="249"/>
      <c r="F207" s="250"/>
      <c r="G207" s="254"/>
      <c r="H207" s="251"/>
    </row>
    <row r="208">
      <c r="A208" s="265"/>
      <c r="B208" s="247"/>
      <c r="C208" s="248"/>
      <c r="D208" s="249"/>
      <c r="F208" s="250"/>
      <c r="G208" s="254"/>
      <c r="H208" s="251"/>
    </row>
    <row r="209">
      <c r="A209" s="265"/>
      <c r="B209" s="247"/>
      <c r="C209" s="252"/>
      <c r="D209" s="249"/>
      <c r="F209" s="250"/>
      <c r="G209" s="254"/>
      <c r="H209" s="251"/>
    </row>
    <row r="210">
      <c r="A210" s="265"/>
      <c r="B210" s="247"/>
      <c r="C210" s="252"/>
      <c r="D210" s="253"/>
      <c r="F210" s="250"/>
      <c r="G210" s="254"/>
      <c r="H210" s="251"/>
    </row>
    <row r="211">
      <c r="A211" s="270"/>
      <c r="B211" s="247"/>
      <c r="C211" s="252"/>
      <c r="D211" s="249"/>
      <c r="F211" s="250"/>
      <c r="G211" s="254"/>
      <c r="H211" s="261"/>
    </row>
    <row r="212">
      <c r="A212" s="262" t="s">
        <v>2547</v>
      </c>
      <c r="B212" s="239">
        <v>8005.0</v>
      </c>
      <c r="C212" s="263"/>
      <c r="D212" s="264"/>
      <c r="E212" s="242"/>
      <c r="F212" s="243"/>
      <c r="G212" s="276" t="s">
        <v>82</v>
      </c>
      <c r="H212" s="245">
        <v>96.0</v>
      </c>
      <c r="I212" s="2" t="s">
        <v>59</v>
      </c>
    </row>
    <row r="213">
      <c r="A213" s="265"/>
      <c r="B213" s="247">
        <v>19249.0</v>
      </c>
      <c r="C213" s="248"/>
      <c r="D213" s="249"/>
      <c r="F213" s="250"/>
      <c r="G213" s="254" t="s">
        <v>75</v>
      </c>
      <c r="H213" s="267"/>
    </row>
    <row r="214">
      <c r="A214" s="265"/>
      <c r="B214" s="247"/>
      <c r="C214" s="252"/>
      <c r="D214" s="253"/>
      <c r="F214" s="250">
        <v>646.0</v>
      </c>
      <c r="G214" s="254" t="s">
        <v>2692</v>
      </c>
      <c r="H214" s="251"/>
    </row>
    <row r="215">
      <c r="A215" s="265"/>
      <c r="B215" s="247"/>
      <c r="C215" s="248">
        <v>50310.98</v>
      </c>
      <c r="D215" s="249"/>
      <c r="F215" s="250"/>
      <c r="G215" s="254" t="s">
        <v>71</v>
      </c>
      <c r="H215" s="251"/>
    </row>
    <row r="216">
      <c r="A216" s="265"/>
      <c r="B216" s="247"/>
      <c r="C216" s="248"/>
      <c r="D216" s="249"/>
      <c r="F216" s="250">
        <v>940.0</v>
      </c>
      <c r="G216" s="254" t="s">
        <v>85</v>
      </c>
      <c r="H216" s="251"/>
    </row>
    <row r="217">
      <c r="A217" s="265"/>
      <c r="B217" s="247"/>
      <c r="C217" s="248"/>
      <c r="D217" s="249"/>
      <c r="F217" s="250"/>
      <c r="G217" s="254"/>
      <c r="H217" s="267"/>
    </row>
    <row r="218">
      <c r="A218" s="265"/>
      <c r="B218" s="247"/>
      <c r="C218" s="248"/>
      <c r="D218" s="249"/>
      <c r="F218" s="250"/>
      <c r="G218" s="254"/>
      <c r="H218" s="251"/>
    </row>
    <row r="219">
      <c r="A219" s="265"/>
      <c r="B219" s="247"/>
      <c r="C219" s="252"/>
      <c r="D219" s="249"/>
      <c r="F219" s="250"/>
      <c r="G219" s="254"/>
      <c r="H219" s="251"/>
    </row>
    <row r="220">
      <c r="A220" s="265"/>
      <c r="B220" s="268"/>
      <c r="C220" s="248"/>
      <c r="D220" s="249"/>
      <c r="F220" s="250"/>
      <c r="G220" s="254"/>
      <c r="H220" s="251"/>
    </row>
    <row r="221">
      <c r="A221" s="265"/>
      <c r="B221" s="247"/>
      <c r="C221" s="248"/>
      <c r="D221" s="253"/>
      <c r="F221" s="250"/>
      <c r="G221" s="254"/>
      <c r="H221" s="251"/>
    </row>
    <row r="222">
      <c r="A222" s="265"/>
      <c r="B222" s="268"/>
      <c r="C222" s="248"/>
      <c r="D222" s="253"/>
      <c r="F222" s="250"/>
      <c r="G222" s="269"/>
      <c r="H222" s="251"/>
    </row>
    <row r="223">
      <c r="A223" s="265"/>
      <c r="B223" s="247"/>
      <c r="C223" s="248"/>
      <c r="D223" s="253"/>
      <c r="F223" s="250"/>
      <c r="G223" s="269"/>
      <c r="H223" s="251"/>
    </row>
    <row r="224">
      <c r="A224" s="265"/>
      <c r="B224" s="278"/>
      <c r="C224" s="252"/>
      <c r="D224" s="253"/>
      <c r="F224" s="250"/>
      <c r="G224" s="269"/>
      <c r="H224" s="251"/>
    </row>
    <row r="225">
      <c r="A225" s="265"/>
      <c r="B225" s="278"/>
      <c r="C225" s="252"/>
      <c r="D225" s="253"/>
      <c r="F225" s="282"/>
      <c r="G225" s="269"/>
      <c r="H225" s="251"/>
    </row>
    <row r="226">
      <c r="A226" s="270"/>
      <c r="B226" s="271"/>
      <c r="C226" s="272"/>
      <c r="D226" s="273"/>
      <c r="E226" s="18"/>
      <c r="F226" s="274"/>
      <c r="G226" s="275"/>
      <c r="H226" s="261"/>
    </row>
    <row r="227">
      <c r="A227" s="262" t="s">
        <v>2549</v>
      </c>
      <c r="B227" s="239"/>
      <c r="C227" s="263"/>
      <c r="D227" s="264"/>
      <c r="E227" s="242"/>
      <c r="F227" s="243">
        <v>4080.0</v>
      </c>
      <c r="G227" s="276" t="s">
        <v>2693</v>
      </c>
      <c r="H227" s="245">
        <v>60.0</v>
      </c>
      <c r="I227" s="2" t="s">
        <v>72</v>
      </c>
    </row>
    <row r="228">
      <c r="A228" s="265"/>
      <c r="B228" s="247">
        <v>18400.0</v>
      </c>
      <c r="C228" s="248"/>
      <c r="D228" s="249"/>
      <c r="F228" s="250"/>
      <c r="G228" s="254" t="s">
        <v>122</v>
      </c>
      <c r="H228" s="251"/>
    </row>
    <row r="229">
      <c r="A229" s="265"/>
      <c r="B229" s="247">
        <v>28403.23</v>
      </c>
      <c r="C229" s="252"/>
      <c r="D229" s="249"/>
      <c r="F229" s="250"/>
      <c r="G229" s="254" t="s">
        <v>74</v>
      </c>
      <c r="H229" s="251"/>
    </row>
    <row r="230">
      <c r="A230" s="265"/>
      <c r="B230" s="247">
        <v>28451.11</v>
      </c>
      <c r="C230" s="248"/>
      <c r="D230" s="249"/>
      <c r="F230" s="250"/>
      <c r="G230" s="254" t="s">
        <v>73</v>
      </c>
      <c r="H230" s="251"/>
    </row>
    <row r="231">
      <c r="A231" s="265"/>
      <c r="B231" s="247">
        <v>14818.54</v>
      </c>
      <c r="C231" s="252"/>
      <c r="D231" s="253"/>
      <c r="F231" s="250"/>
      <c r="G231" s="254" t="s">
        <v>114</v>
      </c>
      <c r="H231" s="251"/>
    </row>
    <row r="232">
      <c r="A232" s="265"/>
      <c r="B232" s="247">
        <v>8075.54</v>
      </c>
      <c r="C232" s="252"/>
      <c r="D232" s="253"/>
      <c r="F232" s="250"/>
      <c r="G232" s="254" t="s">
        <v>91</v>
      </c>
      <c r="H232" s="251"/>
    </row>
    <row r="233">
      <c r="A233" s="265"/>
      <c r="B233" s="247"/>
      <c r="C233" s="252"/>
      <c r="D233" s="253"/>
      <c r="F233" s="250">
        <v>1750.0</v>
      </c>
      <c r="G233" s="254" t="s">
        <v>2543</v>
      </c>
      <c r="H233" s="251"/>
    </row>
    <row r="234">
      <c r="A234" s="265"/>
      <c r="B234" s="247"/>
      <c r="C234" s="252"/>
      <c r="D234" s="253"/>
      <c r="F234" s="250">
        <v>6800.0</v>
      </c>
      <c r="G234" s="254" t="s">
        <v>68</v>
      </c>
      <c r="H234" s="251"/>
    </row>
    <row r="235">
      <c r="A235" s="265"/>
      <c r="B235" s="247"/>
      <c r="C235" s="252"/>
      <c r="D235" s="249"/>
      <c r="F235" s="250">
        <v>1100.0</v>
      </c>
      <c r="G235" s="254" t="s">
        <v>2694</v>
      </c>
      <c r="H235" s="251"/>
    </row>
    <row r="236">
      <c r="A236" s="265"/>
      <c r="B236" s="278"/>
      <c r="C236" s="252"/>
      <c r="D236" s="817">
        <v>41035.86</v>
      </c>
      <c r="E236" s="192"/>
      <c r="F236" s="101"/>
      <c r="G236" s="192" t="s">
        <v>2695</v>
      </c>
      <c r="H236" s="818"/>
      <c r="I236" s="192" t="s">
        <v>2696</v>
      </c>
      <c r="J236" s="778"/>
    </row>
    <row r="237">
      <c r="A237" s="265"/>
      <c r="B237" s="278"/>
      <c r="C237" s="252"/>
      <c r="D237" s="253"/>
      <c r="F237" s="282"/>
      <c r="G237" s="269"/>
      <c r="H237" s="251"/>
    </row>
    <row r="238">
      <c r="A238" s="270"/>
      <c r="B238" s="271"/>
      <c r="C238" s="272"/>
      <c r="D238" s="273"/>
      <c r="E238" s="18"/>
      <c r="F238" s="274"/>
      <c r="G238" s="275"/>
      <c r="H238" s="261"/>
    </row>
    <row r="239">
      <c r="A239" s="262" t="s">
        <v>2550</v>
      </c>
      <c r="B239" s="239"/>
      <c r="C239" s="263">
        <v>32947.94</v>
      </c>
      <c r="D239" s="264"/>
      <c r="E239" s="242"/>
      <c r="F239" s="243"/>
      <c r="G239" s="276" t="s">
        <v>84</v>
      </c>
      <c r="H239" s="245">
        <v>44.0</v>
      </c>
      <c r="I239" s="2" t="s">
        <v>2636</v>
      </c>
    </row>
    <row r="240">
      <c r="A240" s="265"/>
      <c r="B240" s="247">
        <v>12849.35</v>
      </c>
      <c r="C240" s="252"/>
      <c r="D240" s="249"/>
      <c r="F240" s="250"/>
      <c r="G240" s="254" t="s">
        <v>82</v>
      </c>
      <c r="H240" s="251"/>
    </row>
    <row r="241">
      <c r="A241" s="265"/>
      <c r="B241" s="247">
        <v>59323.88</v>
      </c>
      <c r="C241" s="252"/>
      <c r="D241" s="249"/>
      <c r="F241" s="250"/>
      <c r="G241" s="254" t="s">
        <v>100</v>
      </c>
      <c r="H241" s="251"/>
    </row>
    <row r="242">
      <c r="A242" s="265"/>
      <c r="B242" s="247"/>
      <c r="C242" s="248"/>
      <c r="D242" s="253"/>
      <c r="F242" s="250">
        <v>18900.0</v>
      </c>
      <c r="G242" s="254" t="s">
        <v>2669</v>
      </c>
      <c r="H242" s="251"/>
    </row>
    <row r="243">
      <c r="A243" s="265"/>
      <c r="B243" s="247"/>
      <c r="C243" s="248"/>
      <c r="D243" s="253"/>
      <c r="F243" s="250">
        <v>21900.0</v>
      </c>
      <c r="G243" s="254" t="s">
        <v>87</v>
      </c>
      <c r="H243" s="251"/>
    </row>
    <row r="244">
      <c r="A244" s="265"/>
      <c r="B244" s="247">
        <v>38199.7</v>
      </c>
      <c r="C244" s="248"/>
      <c r="D244" s="249"/>
      <c r="F244" s="250"/>
      <c r="G244" s="254" t="s">
        <v>92</v>
      </c>
      <c r="H244" s="251"/>
    </row>
    <row r="245">
      <c r="A245" s="265"/>
      <c r="B245" s="247">
        <v>5550.0</v>
      </c>
      <c r="C245" s="252"/>
      <c r="D245" s="253"/>
      <c r="F245" s="250"/>
      <c r="G245" s="254" t="s">
        <v>99</v>
      </c>
      <c r="H245" s="251"/>
    </row>
    <row r="246">
      <c r="A246" s="265"/>
      <c r="B246" s="247"/>
      <c r="C246" s="252"/>
      <c r="D246" s="819">
        <v>18360.0</v>
      </c>
      <c r="E246" s="778"/>
      <c r="F246" s="101"/>
      <c r="G246" s="192" t="s">
        <v>2695</v>
      </c>
      <c r="H246" s="818"/>
      <c r="I246" s="192" t="s">
        <v>2696</v>
      </c>
      <c r="J246" s="778"/>
    </row>
    <row r="247">
      <c r="A247" s="265"/>
      <c r="B247" s="247"/>
      <c r="C247" s="252"/>
      <c r="D247" s="253"/>
      <c r="F247" s="250"/>
      <c r="G247" s="254"/>
      <c r="H247" s="251"/>
    </row>
    <row r="248">
      <c r="A248" s="265"/>
      <c r="B248" s="247"/>
      <c r="C248" s="252"/>
      <c r="D248" s="253"/>
      <c r="F248" s="250"/>
      <c r="G248" s="254"/>
      <c r="H248" s="251"/>
    </row>
    <row r="249">
      <c r="A249" s="265"/>
      <c r="B249" s="268"/>
      <c r="C249" s="252"/>
      <c r="D249" s="253"/>
      <c r="F249" s="250"/>
      <c r="G249" s="254"/>
      <c r="H249" s="251"/>
    </row>
    <row r="250">
      <c r="A250" s="265"/>
      <c r="B250" s="277"/>
      <c r="C250" s="252"/>
      <c r="D250" s="253"/>
      <c r="F250" s="282"/>
      <c r="G250" s="269"/>
      <c r="H250" s="251"/>
    </row>
    <row r="251">
      <c r="A251" s="265"/>
      <c r="B251" s="278"/>
      <c r="C251" s="252"/>
      <c r="D251" s="253"/>
      <c r="F251" s="282"/>
      <c r="G251" s="269"/>
      <c r="H251" s="251"/>
    </row>
    <row r="252">
      <c r="A252" s="265"/>
      <c r="B252" s="278"/>
      <c r="C252" s="252"/>
      <c r="D252" s="253"/>
      <c r="F252" s="282"/>
      <c r="G252" s="269"/>
      <c r="H252" s="251"/>
    </row>
    <row r="253">
      <c r="A253" s="270"/>
      <c r="B253" s="271"/>
      <c r="C253" s="272"/>
      <c r="D253" s="273"/>
      <c r="E253" s="18"/>
      <c r="F253" s="274"/>
      <c r="G253" s="275"/>
      <c r="H253" s="261"/>
    </row>
    <row r="254">
      <c r="A254" s="262" t="s">
        <v>2697</v>
      </c>
      <c r="B254" s="239"/>
      <c r="C254" s="263"/>
      <c r="D254" s="241"/>
      <c r="E254" s="242"/>
      <c r="F254" s="243"/>
      <c r="G254" s="2" t="s">
        <v>76</v>
      </c>
      <c r="H254" s="245">
        <v>48.0</v>
      </c>
      <c r="I254" s="2" t="s">
        <v>59</v>
      </c>
    </row>
    <row r="255">
      <c r="A255" s="265"/>
      <c r="B255" s="247"/>
      <c r="C255" s="252"/>
      <c r="D255" s="253"/>
      <c r="F255" s="250">
        <v>500.0</v>
      </c>
      <c r="G255" s="254" t="s">
        <v>2698</v>
      </c>
      <c r="H255" s="251"/>
    </row>
    <row r="256">
      <c r="A256" s="265"/>
      <c r="B256" s="247"/>
      <c r="C256" s="252"/>
      <c r="D256" s="249"/>
      <c r="F256" s="250">
        <v>440.0</v>
      </c>
      <c r="G256" s="254" t="s">
        <v>2699</v>
      </c>
      <c r="H256" s="251"/>
    </row>
    <row r="257">
      <c r="A257" s="265"/>
      <c r="B257" s="247"/>
      <c r="C257" s="248"/>
      <c r="D257" s="253"/>
      <c r="F257" s="250">
        <v>1350.0</v>
      </c>
      <c r="G257" s="254" t="s">
        <v>2700</v>
      </c>
      <c r="H257" s="251"/>
    </row>
    <row r="258">
      <c r="A258" s="265"/>
      <c r="B258" s="247">
        <v>15100.0</v>
      </c>
      <c r="C258" s="252"/>
      <c r="D258" s="253"/>
      <c r="F258" s="250"/>
      <c r="G258" s="254" t="s">
        <v>79</v>
      </c>
      <c r="H258" s="267"/>
    </row>
    <row r="259">
      <c r="A259" s="265"/>
      <c r="B259" s="247"/>
      <c r="C259" s="248"/>
      <c r="D259" s="253"/>
      <c r="F259" s="250">
        <f>198+839</f>
        <v>1037</v>
      </c>
      <c r="G259" s="254" t="s">
        <v>97</v>
      </c>
      <c r="H259" s="267"/>
    </row>
    <row r="260">
      <c r="A260" s="265"/>
      <c r="B260" s="247">
        <v>3000.0</v>
      </c>
      <c r="C260" s="248"/>
      <c r="D260" s="249"/>
      <c r="F260" s="250"/>
      <c r="G260" s="254" t="s">
        <v>2701</v>
      </c>
      <c r="H260" s="251"/>
    </row>
    <row r="261">
      <c r="A261" s="265"/>
      <c r="B261" s="247"/>
      <c r="C261" s="252"/>
      <c r="D261" s="253"/>
      <c r="F261" s="250"/>
      <c r="G261" s="254"/>
      <c r="H261" s="251"/>
    </row>
    <row r="262">
      <c r="A262" s="265"/>
      <c r="B262" s="247"/>
      <c r="C262" s="252"/>
      <c r="D262" s="253"/>
      <c r="F262" s="250"/>
      <c r="G262" s="254"/>
      <c r="H262" s="251"/>
    </row>
    <row r="263">
      <c r="A263" s="265"/>
      <c r="B263" s="247"/>
      <c r="C263" s="252"/>
      <c r="D263" s="253"/>
      <c r="F263" s="250"/>
      <c r="G263" s="254"/>
      <c r="H263" s="251"/>
    </row>
    <row r="264">
      <c r="A264" s="265"/>
      <c r="B264" s="278"/>
      <c r="C264" s="252"/>
      <c r="D264" s="253"/>
      <c r="F264" s="250"/>
      <c r="G264" s="254"/>
      <c r="H264" s="251"/>
    </row>
    <row r="265">
      <c r="A265" s="265"/>
      <c r="B265" s="278"/>
      <c r="C265" s="252"/>
      <c r="D265" s="253"/>
      <c r="F265" s="250"/>
      <c r="G265" s="269"/>
      <c r="H265" s="251"/>
    </row>
    <row r="266">
      <c r="A266" s="265"/>
      <c r="B266" s="278"/>
      <c r="C266" s="252"/>
      <c r="D266" s="253"/>
      <c r="F266" s="250"/>
      <c r="G266" s="269"/>
      <c r="H266" s="251"/>
    </row>
    <row r="267">
      <c r="A267" s="270"/>
      <c r="B267" s="271"/>
      <c r="C267" s="272"/>
      <c r="D267" s="273"/>
      <c r="E267" s="18"/>
      <c r="F267" s="274"/>
      <c r="G267" s="275"/>
      <c r="H267" s="261"/>
    </row>
    <row r="268">
      <c r="A268" s="262" t="s">
        <v>2553</v>
      </c>
      <c r="B268" s="239">
        <v>10268.65</v>
      </c>
      <c r="C268" s="263"/>
      <c r="D268" s="264"/>
      <c r="E268" s="242"/>
      <c r="F268" s="243"/>
      <c r="G268" s="276" t="s">
        <v>82</v>
      </c>
      <c r="H268" s="245">
        <v>50.0</v>
      </c>
      <c r="I268" s="2" t="s">
        <v>2636</v>
      </c>
    </row>
    <row r="269">
      <c r="A269" s="265"/>
      <c r="B269" s="247">
        <v>12850.0</v>
      </c>
      <c r="C269" s="248"/>
      <c r="D269" s="253"/>
      <c r="F269" s="250"/>
      <c r="G269" s="254" t="s">
        <v>76</v>
      </c>
      <c r="H269" s="251"/>
    </row>
    <row r="270">
      <c r="A270" s="265"/>
      <c r="B270" s="247">
        <v>14530.0</v>
      </c>
      <c r="C270" s="252"/>
      <c r="D270" s="249"/>
      <c r="F270" s="250"/>
      <c r="G270" s="254" t="s">
        <v>75</v>
      </c>
      <c r="H270" s="251"/>
    </row>
    <row r="271">
      <c r="A271" s="265"/>
      <c r="B271" s="247"/>
      <c r="C271" s="248"/>
      <c r="D271" s="249"/>
      <c r="F271" s="250">
        <v>198.0</v>
      </c>
      <c r="G271" s="254" t="s">
        <v>97</v>
      </c>
      <c r="H271" s="251"/>
    </row>
    <row r="272">
      <c r="A272" s="265"/>
      <c r="B272" s="247">
        <v>4000.0</v>
      </c>
      <c r="C272" s="248"/>
      <c r="D272" s="249"/>
      <c r="F272" s="250"/>
      <c r="G272" s="254" t="s">
        <v>375</v>
      </c>
      <c r="H272" s="251"/>
    </row>
    <row r="273">
      <c r="A273" s="265"/>
      <c r="B273" s="247">
        <v>7383.0</v>
      </c>
      <c r="C273" s="248"/>
      <c r="D273" s="249"/>
      <c r="F273" s="250"/>
      <c r="G273" s="254" t="s">
        <v>2649</v>
      </c>
      <c r="H273" s="251"/>
    </row>
    <row r="274">
      <c r="A274" s="265"/>
      <c r="B274" s="247"/>
      <c r="C274" s="252"/>
      <c r="D274" s="249"/>
      <c r="F274" s="250">
        <v>3000.0</v>
      </c>
      <c r="G274" s="254" t="s">
        <v>101</v>
      </c>
      <c r="H274" s="251"/>
    </row>
    <row r="275">
      <c r="A275" s="265"/>
      <c r="B275" s="247"/>
      <c r="C275" s="252"/>
      <c r="D275" s="253"/>
      <c r="F275" s="250">
        <v>11300.0</v>
      </c>
      <c r="G275" s="254" t="s">
        <v>344</v>
      </c>
      <c r="H275" s="251"/>
    </row>
    <row r="276">
      <c r="A276" s="265"/>
      <c r="B276" s="247"/>
      <c r="C276" s="252"/>
      <c r="D276" s="253"/>
      <c r="F276" s="250"/>
      <c r="G276" s="254"/>
      <c r="H276" s="251"/>
    </row>
    <row r="277">
      <c r="A277" s="265"/>
      <c r="B277" s="247"/>
      <c r="C277" s="252"/>
      <c r="D277" s="253"/>
      <c r="F277" s="250"/>
      <c r="G277" s="254"/>
      <c r="H277" s="251"/>
    </row>
    <row r="278">
      <c r="A278" s="265"/>
      <c r="B278" s="268"/>
      <c r="C278" s="252"/>
      <c r="D278" s="253"/>
      <c r="F278" s="250"/>
      <c r="G278" s="254"/>
      <c r="H278" s="267"/>
    </row>
    <row r="279">
      <c r="A279" s="265"/>
      <c r="B279" s="268"/>
      <c r="C279" s="252"/>
      <c r="D279" s="253"/>
      <c r="F279" s="250"/>
      <c r="G279" s="254"/>
      <c r="H279" s="251"/>
    </row>
    <row r="280">
      <c r="A280" s="265"/>
      <c r="B280" s="268"/>
      <c r="C280" s="252"/>
      <c r="D280" s="253"/>
      <c r="F280" s="250"/>
      <c r="G280" s="254"/>
      <c r="H280" s="251"/>
    </row>
    <row r="281">
      <c r="A281" s="270"/>
      <c r="B281" s="271"/>
      <c r="C281" s="272"/>
      <c r="D281" s="273"/>
      <c r="E281" s="18"/>
      <c r="F281" s="259"/>
      <c r="G281" s="260"/>
      <c r="H281" s="261"/>
    </row>
    <row r="282">
      <c r="A282" s="262" t="s">
        <v>2555</v>
      </c>
      <c r="B282" s="239"/>
      <c r="C282" s="263">
        <f>28462.36+12525.69</f>
        <v>40988.05</v>
      </c>
      <c r="D282" s="264"/>
      <c r="E282" s="244"/>
      <c r="F282" s="243"/>
      <c r="G282" s="276" t="s">
        <v>71</v>
      </c>
      <c r="H282" s="245">
        <v>65.0</v>
      </c>
      <c r="I282" s="2" t="s">
        <v>2636</v>
      </c>
    </row>
    <row r="283">
      <c r="A283" s="265"/>
      <c r="B283" s="247"/>
      <c r="C283" s="252"/>
      <c r="D283" s="249"/>
      <c r="F283" s="250">
        <v>21900.0</v>
      </c>
      <c r="G283" s="254" t="s">
        <v>2702</v>
      </c>
      <c r="H283" s="267"/>
    </row>
    <row r="284">
      <c r="A284" s="265"/>
      <c r="B284" s="247"/>
      <c r="C284" s="252"/>
      <c r="D284" s="249"/>
      <c r="F284" s="250"/>
      <c r="G284" s="254"/>
      <c r="H284" s="251"/>
    </row>
    <row r="285">
      <c r="A285" s="265"/>
      <c r="B285" s="247"/>
      <c r="C285" s="248"/>
      <c r="D285" s="249"/>
      <c r="F285" s="250"/>
      <c r="G285" s="254"/>
      <c r="H285" s="251"/>
    </row>
    <row r="286">
      <c r="A286" s="265"/>
      <c r="B286" s="247"/>
      <c r="C286" s="252"/>
      <c r="D286" s="249"/>
      <c r="F286" s="250"/>
      <c r="G286" s="254"/>
      <c r="H286" s="251"/>
    </row>
    <row r="287">
      <c r="A287" s="265"/>
      <c r="B287" s="247"/>
      <c r="C287" s="248"/>
      <c r="D287" s="249"/>
      <c r="F287" s="250"/>
      <c r="G287" s="254"/>
      <c r="H287" s="251"/>
    </row>
    <row r="288">
      <c r="A288" s="265"/>
      <c r="B288" s="247"/>
      <c r="C288" s="248"/>
      <c r="D288" s="249"/>
      <c r="F288" s="250"/>
      <c r="G288" s="254"/>
      <c r="H288" s="251"/>
    </row>
    <row r="289">
      <c r="A289" s="265"/>
      <c r="B289" s="247"/>
      <c r="C289" s="248"/>
      <c r="D289" s="249"/>
      <c r="F289" s="250"/>
      <c r="G289" s="254"/>
      <c r="H289" s="251"/>
    </row>
    <row r="290">
      <c r="A290" s="265"/>
      <c r="B290" s="247"/>
      <c r="C290" s="252"/>
      <c r="D290" s="249"/>
      <c r="F290" s="250"/>
      <c r="G290" s="254"/>
      <c r="H290" s="251"/>
    </row>
    <row r="291">
      <c r="A291" s="265"/>
      <c r="B291" s="247"/>
      <c r="C291" s="252"/>
      <c r="D291" s="786"/>
      <c r="E291" s="322"/>
      <c r="F291" s="323"/>
      <c r="G291" s="787"/>
      <c r="H291" s="251"/>
    </row>
    <row r="292">
      <c r="A292" s="265"/>
      <c r="B292" s="247"/>
      <c r="C292" s="252"/>
      <c r="D292" s="253"/>
      <c r="F292" s="250"/>
      <c r="G292" s="254"/>
      <c r="H292" s="251"/>
    </row>
    <row r="293">
      <c r="A293" s="265"/>
      <c r="B293" s="268"/>
      <c r="C293" s="252"/>
      <c r="D293" s="253"/>
      <c r="F293" s="250"/>
      <c r="G293" s="269"/>
      <c r="H293" s="251"/>
    </row>
    <row r="294">
      <c r="A294" s="270"/>
      <c r="B294" s="271"/>
      <c r="C294" s="272"/>
      <c r="D294" s="273"/>
      <c r="E294" s="18"/>
      <c r="F294" s="259"/>
      <c r="G294" s="260"/>
      <c r="H294" s="261"/>
    </row>
    <row r="295">
      <c r="A295" s="262" t="s">
        <v>2557</v>
      </c>
      <c r="B295" s="239"/>
      <c r="C295" s="263"/>
      <c r="D295" s="264">
        <v>18706.75</v>
      </c>
      <c r="E295" s="244"/>
      <c r="F295" s="243"/>
      <c r="G295" s="276" t="s">
        <v>74</v>
      </c>
      <c r="H295" s="245">
        <v>53.0</v>
      </c>
      <c r="I295" s="2" t="s">
        <v>59</v>
      </c>
    </row>
    <row r="296">
      <c r="A296" s="265"/>
      <c r="B296" s="247"/>
      <c r="C296" s="252"/>
      <c r="D296" s="249">
        <v>27057.25</v>
      </c>
      <c r="F296" s="250"/>
      <c r="G296" s="254" t="s">
        <v>73</v>
      </c>
      <c r="H296" s="251"/>
    </row>
    <row r="297">
      <c r="A297" s="265"/>
      <c r="B297" s="247"/>
      <c r="C297" s="248">
        <v>30279.6</v>
      </c>
      <c r="D297" s="249"/>
      <c r="F297" s="250"/>
      <c r="G297" s="254" t="s">
        <v>2703</v>
      </c>
      <c r="H297" s="251"/>
    </row>
    <row r="298">
      <c r="A298" s="265"/>
      <c r="B298" s="247"/>
      <c r="C298" s="248"/>
      <c r="D298" s="249"/>
      <c r="F298" s="250">
        <v>1250.0</v>
      </c>
      <c r="G298" s="254" t="s">
        <v>344</v>
      </c>
      <c r="H298" s="251"/>
    </row>
    <row r="299">
      <c r="A299" s="265"/>
      <c r="B299" s="247"/>
      <c r="C299" s="252"/>
      <c r="D299" s="249">
        <v>18220.0</v>
      </c>
      <c r="F299" s="250"/>
      <c r="G299" s="254" t="s">
        <v>75</v>
      </c>
      <c r="H299" s="251"/>
    </row>
    <row r="300">
      <c r="A300" s="265"/>
      <c r="B300" s="247"/>
      <c r="C300" s="248"/>
      <c r="D300" s="249"/>
      <c r="F300" s="250">
        <v>410.0</v>
      </c>
      <c r="G300" s="254" t="s">
        <v>2704</v>
      </c>
      <c r="H300" s="251"/>
    </row>
    <row r="301">
      <c r="A301" s="265"/>
      <c r="B301" s="247"/>
      <c r="C301" s="248"/>
      <c r="D301" s="249"/>
      <c r="F301" s="250">
        <v>2970.0</v>
      </c>
      <c r="G301" s="254" t="s">
        <v>344</v>
      </c>
      <c r="H301" s="251"/>
    </row>
    <row r="302">
      <c r="A302" s="265"/>
      <c r="B302" s="247"/>
      <c r="C302" s="248"/>
      <c r="D302" s="249"/>
      <c r="F302" s="250">
        <v>2000.0</v>
      </c>
      <c r="G302" s="254" t="s">
        <v>2705</v>
      </c>
      <c r="H302" s="251"/>
    </row>
    <row r="303">
      <c r="A303" s="265"/>
      <c r="B303" s="247"/>
      <c r="C303" s="252"/>
      <c r="D303" s="249"/>
      <c r="F303" s="250">
        <v>1040.0</v>
      </c>
      <c r="G303" s="254" t="s">
        <v>85</v>
      </c>
      <c r="H303" s="251"/>
    </row>
    <row r="304">
      <c r="A304" s="265"/>
      <c r="B304" s="247"/>
      <c r="C304" s="252"/>
      <c r="D304" s="249"/>
      <c r="F304" s="250">
        <v>880.0</v>
      </c>
      <c r="G304" s="254" t="s">
        <v>1169</v>
      </c>
      <c r="H304" s="251"/>
    </row>
    <row r="305">
      <c r="A305" s="265"/>
      <c r="B305" s="247"/>
      <c r="C305" s="252"/>
      <c r="D305" s="253"/>
      <c r="F305" s="250"/>
      <c r="G305" s="254"/>
      <c r="H305" s="251"/>
    </row>
    <row r="306">
      <c r="A306" s="265"/>
      <c r="B306" s="268"/>
      <c r="C306" s="252"/>
      <c r="D306" s="253"/>
      <c r="F306" s="250"/>
      <c r="G306" s="269"/>
      <c r="H306" s="251"/>
    </row>
    <row r="307">
      <c r="A307" s="265"/>
      <c r="B307" s="268"/>
      <c r="C307" s="252"/>
      <c r="D307" s="253"/>
      <c r="F307" s="250"/>
      <c r="G307" s="269"/>
      <c r="H307" s="251"/>
    </row>
    <row r="308">
      <c r="A308" s="270"/>
      <c r="B308" s="271"/>
      <c r="C308" s="272"/>
      <c r="D308" s="273"/>
      <c r="E308" s="18"/>
      <c r="F308" s="274"/>
      <c r="G308" s="275"/>
      <c r="H308" s="261"/>
    </row>
    <row r="309">
      <c r="A309" s="262" t="s">
        <v>2562</v>
      </c>
      <c r="B309" s="239"/>
      <c r="C309" s="263"/>
      <c r="D309" s="241"/>
      <c r="E309" s="242"/>
      <c r="F309" s="243">
        <v>7000.0</v>
      </c>
      <c r="G309" s="276" t="s">
        <v>68</v>
      </c>
      <c r="H309" s="245">
        <v>35.0</v>
      </c>
      <c r="I309" s="2" t="s">
        <v>2636</v>
      </c>
    </row>
    <row r="310">
      <c r="A310" s="265"/>
      <c r="B310" s="247"/>
      <c r="C310" s="248"/>
      <c r="D310" s="249">
        <v>18400.0</v>
      </c>
      <c r="F310" s="250"/>
      <c r="G310" s="254" t="s">
        <v>122</v>
      </c>
      <c r="H310" s="251"/>
    </row>
    <row r="311">
      <c r="A311" s="265"/>
      <c r="B311" s="247"/>
      <c r="C311" s="248"/>
      <c r="D311" s="253"/>
      <c r="F311" s="250">
        <v>2970.0</v>
      </c>
      <c r="G311" s="254" t="s">
        <v>944</v>
      </c>
      <c r="H311" s="251"/>
    </row>
    <row r="312">
      <c r="A312" s="265"/>
      <c r="B312" s="247"/>
      <c r="C312" s="248"/>
      <c r="D312" s="249">
        <v>14708.65</v>
      </c>
      <c r="F312" s="250"/>
      <c r="G312" s="254" t="s">
        <v>114</v>
      </c>
      <c r="H312" s="251"/>
    </row>
    <row r="313">
      <c r="A313" s="265"/>
      <c r="B313" s="247">
        <v>16307.73</v>
      </c>
      <c r="C313" s="252"/>
      <c r="D313" s="253"/>
      <c r="F313" s="250"/>
      <c r="G313" s="254" t="s">
        <v>103</v>
      </c>
      <c r="H313" s="251"/>
    </row>
    <row r="314">
      <c r="A314" s="265"/>
      <c r="B314" s="247"/>
      <c r="C314" s="248"/>
      <c r="D314" s="249"/>
      <c r="F314" s="250"/>
      <c r="G314" s="254"/>
      <c r="H314" s="251"/>
    </row>
    <row r="315">
      <c r="A315" s="265"/>
      <c r="B315" s="247"/>
      <c r="C315" s="248"/>
      <c r="D315" s="253"/>
      <c r="F315" s="250"/>
      <c r="G315" s="254"/>
      <c r="H315" s="251"/>
    </row>
    <row r="316">
      <c r="A316" s="265"/>
      <c r="B316" s="247"/>
      <c r="C316" s="252"/>
      <c r="D316" s="253"/>
      <c r="F316" s="250"/>
      <c r="G316" s="254"/>
      <c r="H316" s="251"/>
    </row>
    <row r="317">
      <c r="A317" s="265"/>
      <c r="B317" s="247"/>
      <c r="C317" s="252"/>
      <c r="D317" s="253"/>
      <c r="F317" s="250"/>
      <c r="G317" s="254"/>
      <c r="H317" s="251"/>
    </row>
    <row r="318">
      <c r="A318" s="265"/>
      <c r="B318" s="268"/>
      <c r="C318" s="252"/>
      <c r="D318" s="253"/>
      <c r="F318" s="250"/>
      <c r="G318" s="254"/>
      <c r="H318" s="251"/>
    </row>
    <row r="319">
      <c r="A319" s="265"/>
      <c r="B319" s="268"/>
      <c r="C319" s="252"/>
      <c r="D319" s="253"/>
      <c r="F319" s="250"/>
      <c r="G319" s="254"/>
      <c r="H319" s="251"/>
    </row>
    <row r="320">
      <c r="A320" s="265"/>
      <c r="B320" s="268"/>
      <c r="C320" s="252"/>
      <c r="D320" s="253"/>
      <c r="F320" s="250"/>
      <c r="G320" s="269"/>
      <c r="H320" s="251"/>
    </row>
    <row r="321">
      <c r="A321" s="265"/>
      <c r="B321" s="268"/>
      <c r="C321" s="252"/>
      <c r="D321" s="253"/>
      <c r="F321" s="250"/>
      <c r="G321" s="269"/>
      <c r="H321" s="251"/>
    </row>
    <row r="322">
      <c r="A322" s="265"/>
      <c r="B322" s="268"/>
      <c r="C322" s="252"/>
      <c r="D322" s="253"/>
      <c r="F322" s="250"/>
      <c r="G322" s="269"/>
      <c r="H322" s="251"/>
    </row>
    <row r="323">
      <c r="A323" s="270"/>
      <c r="B323" s="271"/>
      <c r="C323" s="272"/>
      <c r="D323" s="273"/>
      <c r="E323" s="18"/>
      <c r="F323" s="274"/>
      <c r="G323" s="275"/>
      <c r="H323" s="261"/>
    </row>
    <row r="324">
      <c r="A324" s="262" t="s">
        <v>2564</v>
      </c>
      <c r="B324" s="239"/>
      <c r="C324" s="263">
        <v>47174.17</v>
      </c>
      <c r="D324" s="264"/>
      <c r="E324" s="242"/>
      <c r="F324" s="250"/>
      <c r="G324" s="254" t="s">
        <v>84</v>
      </c>
      <c r="H324" s="245">
        <v>40.0</v>
      </c>
      <c r="I324" s="2" t="s">
        <v>2636</v>
      </c>
    </row>
    <row r="325">
      <c r="A325" s="265"/>
      <c r="B325" s="247">
        <v>5688.0</v>
      </c>
      <c r="C325" s="252"/>
      <c r="D325" s="253"/>
      <c r="F325" s="250"/>
      <c r="G325" s="254" t="s">
        <v>66</v>
      </c>
      <c r="H325" s="251"/>
    </row>
    <row r="326">
      <c r="A326" s="265"/>
      <c r="B326" s="247">
        <v>5800.0</v>
      </c>
      <c r="C326" s="248"/>
      <c r="D326" s="249"/>
      <c r="F326" s="250"/>
      <c r="G326" s="254" t="s">
        <v>2706</v>
      </c>
      <c r="H326" s="251"/>
    </row>
    <row r="327">
      <c r="A327" s="265"/>
      <c r="B327" s="247"/>
      <c r="C327" s="248"/>
      <c r="D327" s="249"/>
      <c r="F327" s="250"/>
      <c r="G327" s="254"/>
      <c r="H327" s="251"/>
    </row>
    <row r="328">
      <c r="A328" s="265"/>
      <c r="B328" s="247"/>
      <c r="C328" s="252"/>
      <c r="D328" s="249"/>
      <c r="F328" s="250"/>
      <c r="G328" s="254"/>
      <c r="H328" s="251"/>
    </row>
    <row r="329">
      <c r="A329" s="265"/>
      <c r="B329" s="247"/>
      <c r="C329" s="252"/>
      <c r="D329" s="249"/>
      <c r="F329" s="250"/>
      <c r="G329" s="254"/>
      <c r="H329" s="251"/>
    </row>
    <row r="330">
      <c r="A330" s="265"/>
      <c r="B330" s="247"/>
      <c r="C330" s="252"/>
      <c r="D330" s="249"/>
      <c r="F330" s="250"/>
      <c r="G330" s="254"/>
      <c r="H330" s="251"/>
    </row>
    <row r="331">
      <c r="A331" s="265"/>
      <c r="B331" s="247"/>
      <c r="C331" s="252"/>
      <c r="D331" s="253"/>
      <c r="F331" s="250"/>
      <c r="G331" s="254"/>
      <c r="H331" s="251"/>
    </row>
    <row r="332">
      <c r="A332" s="265"/>
      <c r="B332" s="268"/>
      <c r="C332" s="252"/>
      <c r="D332" s="253"/>
      <c r="F332" s="250"/>
      <c r="G332" s="254"/>
      <c r="H332" s="251"/>
    </row>
    <row r="333">
      <c r="A333" s="265"/>
      <c r="B333" s="268"/>
      <c r="C333" s="252"/>
      <c r="D333" s="253"/>
      <c r="F333" s="250"/>
      <c r="G333" s="254"/>
      <c r="H333" s="251"/>
    </row>
    <row r="334">
      <c r="A334" s="265"/>
      <c r="B334" s="268"/>
      <c r="C334" s="252"/>
      <c r="D334" s="253"/>
      <c r="F334" s="250"/>
      <c r="G334" s="254"/>
      <c r="H334" s="251"/>
    </row>
    <row r="335">
      <c r="A335" s="265"/>
      <c r="B335" s="247"/>
      <c r="C335" s="252"/>
      <c r="D335" s="253"/>
      <c r="F335" s="250"/>
      <c r="G335" s="269"/>
      <c r="H335" s="251"/>
    </row>
    <row r="336">
      <c r="A336" s="265"/>
      <c r="B336" s="268"/>
      <c r="C336" s="252"/>
      <c r="D336" s="253"/>
      <c r="F336" s="250"/>
      <c r="G336" s="269"/>
      <c r="H336" s="251"/>
    </row>
    <row r="337">
      <c r="A337" s="265"/>
      <c r="B337" s="268"/>
      <c r="C337" s="252"/>
      <c r="D337" s="253"/>
      <c r="F337" s="250"/>
      <c r="G337" s="269"/>
      <c r="H337" s="251"/>
    </row>
    <row r="338">
      <c r="A338" s="270"/>
      <c r="B338" s="271"/>
      <c r="C338" s="272"/>
      <c r="D338" s="273"/>
      <c r="E338" s="18"/>
      <c r="F338" s="274"/>
      <c r="G338" s="18"/>
      <c r="H338" s="261"/>
      <c r="J338" s="2">
        <v>32.0</v>
      </c>
    </row>
    <row r="339">
      <c r="A339" s="262" t="s">
        <v>2565</v>
      </c>
      <c r="B339" s="239">
        <v>9850.0</v>
      </c>
      <c r="C339" s="263"/>
      <c r="D339" s="264"/>
      <c r="E339" s="242"/>
      <c r="F339" s="243"/>
      <c r="G339" s="244" t="s">
        <v>76</v>
      </c>
      <c r="H339" s="245">
        <v>74.0</v>
      </c>
      <c r="I339" s="2" t="s">
        <v>2636</v>
      </c>
      <c r="J339">
        <f>H339+H324+H309+H282</f>
        <v>214</v>
      </c>
    </row>
    <row r="340">
      <c r="A340" s="265"/>
      <c r="B340" s="247"/>
      <c r="C340" s="248"/>
      <c r="D340" s="249"/>
      <c r="F340" s="250">
        <v>21900.0</v>
      </c>
      <c r="G340" s="2" t="s">
        <v>87</v>
      </c>
      <c r="H340" s="251"/>
      <c r="J340" s="2">
        <v>53.0</v>
      </c>
    </row>
    <row r="341">
      <c r="A341" s="265"/>
      <c r="B341" s="247">
        <v>15100.0</v>
      </c>
      <c r="C341" s="248"/>
      <c r="D341" s="249"/>
      <c r="F341" s="250"/>
      <c r="G341" s="2" t="s">
        <v>79</v>
      </c>
      <c r="H341" s="251"/>
      <c r="J341">
        <f>SUM(J338:J340)</f>
        <v>299</v>
      </c>
    </row>
    <row r="342">
      <c r="A342" s="265"/>
      <c r="B342" s="247"/>
      <c r="C342" s="252"/>
      <c r="D342" s="253"/>
      <c r="F342" s="250"/>
      <c r="H342" s="251"/>
    </row>
    <row r="343">
      <c r="A343" s="265"/>
      <c r="B343" s="247"/>
      <c r="C343" s="248"/>
      <c r="D343" s="249"/>
      <c r="F343" s="250"/>
      <c r="H343" s="251"/>
    </row>
    <row r="344">
      <c r="A344" s="265"/>
      <c r="B344" s="247"/>
      <c r="C344" s="252"/>
      <c r="D344" s="249"/>
      <c r="F344" s="250"/>
      <c r="H344" s="251"/>
    </row>
    <row r="345">
      <c r="A345" s="265"/>
      <c r="B345" s="247"/>
      <c r="C345" s="252"/>
      <c r="D345" s="249"/>
      <c r="F345" s="250"/>
      <c r="H345" s="251"/>
    </row>
    <row r="346">
      <c r="A346" s="265"/>
      <c r="B346" s="247"/>
      <c r="C346" s="252"/>
      <c r="D346" s="253"/>
      <c r="F346" s="250"/>
      <c r="H346" s="251"/>
    </row>
    <row r="347">
      <c r="A347" s="265"/>
      <c r="B347" s="247"/>
      <c r="C347" s="252"/>
      <c r="D347" s="249"/>
      <c r="F347" s="250"/>
      <c r="H347" s="251"/>
    </row>
    <row r="348">
      <c r="A348" s="265"/>
      <c r="B348" s="247"/>
      <c r="C348" s="252"/>
      <c r="D348" s="253"/>
      <c r="F348" s="250"/>
      <c r="H348" s="251"/>
    </row>
    <row r="349">
      <c r="A349" s="265"/>
      <c r="B349" s="247"/>
      <c r="C349" s="252"/>
      <c r="D349" s="253"/>
      <c r="F349" s="250"/>
      <c r="H349" s="251"/>
    </row>
    <row r="350">
      <c r="A350" s="265"/>
      <c r="B350" s="247"/>
      <c r="C350" s="252"/>
      <c r="D350" s="249"/>
      <c r="F350" s="250"/>
      <c r="H350" s="251"/>
    </row>
    <row r="351">
      <c r="A351" s="270"/>
      <c r="B351" s="271"/>
      <c r="C351" s="272"/>
      <c r="D351" s="273"/>
      <c r="E351" s="18"/>
      <c r="F351" s="259"/>
      <c r="G351" s="293"/>
      <c r="H351" s="261"/>
    </row>
    <row r="352">
      <c r="A352" s="262" t="s">
        <v>2569</v>
      </c>
      <c r="B352" s="239">
        <v>20409.11</v>
      </c>
      <c r="C352" s="263"/>
      <c r="D352" s="264"/>
      <c r="E352" s="242"/>
      <c r="F352" s="243"/>
      <c r="G352" s="244" t="s">
        <v>82</v>
      </c>
      <c r="H352" s="245"/>
    </row>
    <row r="353">
      <c r="A353" s="265"/>
      <c r="B353" s="247">
        <v>14520.0</v>
      </c>
      <c r="C353" s="248"/>
      <c r="D353" s="249"/>
      <c r="F353" s="250"/>
      <c r="G353" s="2" t="s">
        <v>75</v>
      </c>
      <c r="H353" s="251"/>
    </row>
    <row r="354">
      <c r="A354" s="265"/>
      <c r="B354" s="247"/>
      <c r="C354" s="248"/>
      <c r="D354" s="249">
        <v>77754.6</v>
      </c>
      <c r="F354" s="250"/>
      <c r="G354" s="2" t="s">
        <v>167</v>
      </c>
      <c r="H354" s="251"/>
    </row>
    <row r="355">
      <c r="A355" s="265"/>
      <c r="B355" s="247"/>
      <c r="C355" s="248"/>
      <c r="D355" s="249"/>
      <c r="F355" s="250"/>
      <c r="H355" s="251"/>
    </row>
    <row r="356">
      <c r="A356" s="265"/>
      <c r="B356" s="247"/>
      <c r="C356" s="248"/>
      <c r="D356" s="249"/>
      <c r="F356" s="250"/>
      <c r="H356" s="251"/>
    </row>
    <row r="357">
      <c r="A357" s="265"/>
      <c r="B357" s="247"/>
      <c r="C357" s="252"/>
      <c r="D357" s="253"/>
      <c r="F357" s="250"/>
      <c r="H357" s="251"/>
    </row>
    <row r="358">
      <c r="A358" s="265"/>
      <c r="B358" s="247"/>
      <c r="C358" s="252"/>
      <c r="D358" s="249"/>
      <c r="F358" s="250"/>
      <c r="H358" s="251"/>
    </row>
    <row r="359">
      <c r="A359" s="265"/>
      <c r="B359" s="247"/>
      <c r="C359" s="252"/>
      <c r="D359" s="249"/>
      <c r="F359" s="250"/>
      <c r="H359" s="251"/>
    </row>
    <row r="360">
      <c r="A360" s="265"/>
      <c r="B360" s="247"/>
      <c r="C360" s="252"/>
      <c r="D360" s="253"/>
      <c r="F360" s="250"/>
      <c r="H360" s="251"/>
    </row>
    <row r="361">
      <c r="A361" s="265"/>
      <c r="B361" s="247"/>
      <c r="C361" s="252"/>
      <c r="D361" s="253"/>
      <c r="F361" s="250"/>
      <c r="H361" s="251"/>
    </row>
    <row r="362">
      <c r="A362" s="265"/>
      <c r="B362" s="268"/>
      <c r="C362" s="252"/>
      <c r="D362" s="253"/>
      <c r="F362" s="250"/>
      <c r="H362" s="251"/>
    </row>
    <row r="363">
      <c r="A363" s="265"/>
      <c r="B363" s="247"/>
      <c r="C363" s="252"/>
      <c r="D363" s="253"/>
      <c r="F363" s="250"/>
      <c r="H363" s="251"/>
    </row>
    <row r="364">
      <c r="A364" s="265"/>
      <c r="B364" s="268"/>
      <c r="C364" s="252"/>
      <c r="D364" s="253"/>
      <c r="F364" s="250"/>
      <c r="H364" s="251"/>
    </row>
    <row r="365">
      <c r="A365" s="265"/>
      <c r="B365" s="268"/>
      <c r="C365" s="252"/>
      <c r="D365" s="253"/>
      <c r="F365" s="250"/>
      <c r="H365" s="251"/>
    </row>
    <row r="366">
      <c r="A366" s="265"/>
      <c r="B366" s="268"/>
      <c r="C366" s="252"/>
      <c r="D366" s="253"/>
      <c r="F366" s="250"/>
      <c r="H366" s="251"/>
    </row>
    <row r="367">
      <c r="A367" s="265"/>
      <c r="B367" s="268"/>
      <c r="C367" s="252"/>
      <c r="D367" s="253"/>
      <c r="F367" s="250"/>
      <c r="H367" s="251"/>
    </row>
    <row r="368">
      <c r="A368" s="265"/>
      <c r="B368" s="268"/>
      <c r="C368" s="252"/>
      <c r="D368" s="253"/>
      <c r="F368" s="250"/>
      <c r="H368" s="251"/>
    </row>
    <row r="369">
      <c r="A369" s="270"/>
      <c r="B369" s="271"/>
      <c r="C369" s="272"/>
      <c r="D369" s="273"/>
      <c r="E369" s="18"/>
      <c r="F369" s="274"/>
      <c r="G369" s="18"/>
      <c r="H369" s="261"/>
    </row>
    <row r="370">
      <c r="A370" s="262"/>
      <c r="B370" s="239"/>
      <c r="C370" s="240"/>
      <c r="D370" s="241"/>
      <c r="E370" s="242"/>
      <c r="F370" s="243"/>
      <c r="G370" s="244"/>
      <c r="H370" s="245"/>
    </row>
    <row r="371">
      <c r="A371" s="265"/>
      <c r="B371" s="247"/>
      <c r="C371" s="248"/>
      <c r="D371" s="249"/>
      <c r="F371" s="250"/>
      <c r="H371" s="267"/>
    </row>
    <row r="372">
      <c r="A372" s="265"/>
      <c r="B372" s="247"/>
      <c r="C372" s="252"/>
      <c r="D372" s="253"/>
      <c r="F372" s="250"/>
      <c r="H372" s="251"/>
    </row>
    <row r="373">
      <c r="A373" s="265"/>
      <c r="B373" s="247"/>
      <c r="C373" s="248"/>
      <c r="D373" s="249"/>
      <c r="F373" s="250"/>
      <c r="H373" s="251"/>
    </row>
    <row r="374">
      <c r="A374" s="265"/>
      <c r="B374" s="247"/>
      <c r="C374" s="252"/>
      <c r="D374" s="249"/>
      <c r="F374" s="250"/>
      <c r="H374" s="251"/>
    </row>
    <row r="375">
      <c r="A375" s="265"/>
      <c r="B375" s="247"/>
      <c r="C375" s="252"/>
      <c r="D375" s="253"/>
      <c r="F375" s="250"/>
      <c r="H375" s="251"/>
    </row>
    <row r="376">
      <c r="A376" s="265"/>
      <c r="B376" s="247"/>
      <c r="C376" s="252"/>
      <c r="D376" s="253"/>
      <c r="F376" s="250"/>
      <c r="H376" s="251"/>
    </row>
    <row r="377">
      <c r="A377" s="265"/>
      <c r="B377" s="268"/>
      <c r="C377" s="252"/>
      <c r="D377" s="249"/>
      <c r="F377" s="250"/>
      <c r="H377" s="251"/>
    </row>
    <row r="378">
      <c r="A378" s="265"/>
      <c r="B378" s="268"/>
      <c r="C378" s="252"/>
      <c r="D378" s="253"/>
      <c r="F378" s="250"/>
      <c r="H378" s="251"/>
    </row>
    <row r="379">
      <c r="A379" s="265"/>
      <c r="B379" s="247"/>
      <c r="C379" s="252"/>
      <c r="D379" s="253"/>
      <c r="F379" s="250"/>
      <c r="H379" s="251"/>
    </row>
    <row r="380">
      <c r="A380" s="265"/>
      <c r="B380" s="268"/>
      <c r="C380" s="252"/>
      <c r="D380" s="253"/>
      <c r="F380" s="250"/>
      <c r="H380" s="251"/>
    </row>
    <row r="381">
      <c r="A381" s="265"/>
      <c r="B381" s="247"/>
      <c r="C381" s="252"/>
      <c r="D381" s="253"/>
      <c r="F381" s="250"/>
      <c r="H381" s="251"/>
    </row>
    <row r="382">
      <c r="A382" s="265"/>
      <c r="B382" s="268"/>
      <c r="C382" s="252"/>
      <c r="D382" s="253"/>
      <c r="F382" s="250"/>
      <c r="H382" s="251"/>
    </row>
    <row r="383">
      <c r="A383" s="265"/>
      <c r="B383" s="268"/>
      <c r="C383" s="252"/>
      <c r="D383" s="253"/>
      <c r="F383" s="250"/>
      <c r="H383" s="251"/>
    </row>
    <row r="384">
      <c r="A384" s="265"/>
      <c r="B384" s="268"/>
      <c r="C384" s="252"/>
      <c r="D384" s="253"/>
      <c r="F384" s="250"/>
      <c r="H384" s="251"/>
    </row>
    <row r="385">
      <c r="A385" s="265"/>
      <c r="B385" s="268"/>
      <c r="C385" s="252"/>
      <c r="D385" s="253"/>
      <c r="F385" s="250"/>
      <c r="H385" s="251"/>
    </row>
    <row r="386">
      <c r="A386" s="265"/>
      <c r="B386" s="268"/>
      <c r="C386" s="252"/>
      <c r="D386" s="253"/>
      <c r="F386" s="250"/>
      <c r="H386" s="251"/>
    </row>
    <row r="387">
      <c r="A387" s="270"/>
      <c r="B387" s="271"/>
      <c r="C387" s="272"/>
      <c r="D387" s="273"/>
      <c r="E387" s="18"/>
      <c r="F387" s="274"/>
      <c r="G387" s="18"/>
      <c r="H387" s="261"/>
    </row>
    <row r="388">
      <c r="A388" s="262"/>
      <c r="B388" s="239"/>
      <c r="C388" s="240"/>
      <c r="D388" s="264"/>
      <c r="E388" s="242"/>
      <c r="F388" s="243"/>
      <c r="H388" s="245"/>
    </row>
    <row r="389">
      <c r="A389" s="265"/>
      <c r="B389" s="247"/>
      <c r="C389" s="248"/>
      <c r="D389" s="288"/>
      <c r="F389" s="250"/>
      <c r="H389" s="267"/>
    </row>
    <row r="390">
      <c r="A390" s="265"/>
      <c r="B390" s="247"/>
      <c r="C390" s="248"/>
      <c r="D390" s="249"/>
      <c r="F390" s="250"/>
      <c r="H390" s="267"/>
    </row>
    <row r="391">
      <c r="A391" s="265"/>
      <c r="B391" s="247"/>
      <c r="C391" s="252"/>
      <c r="D391" s="249"/>
      <c r="F391" s="250"/>
      <c r="H391" s="251"/>
    </row>
    <row r="392">
      <c r="A392" s="265"/>
      <c r="B392" s="268"/>
      <c r="C392" s="252"/>
      <c r="D392" s="253"/>
      <c r="F392" s="250"/>
      <c r="H392" s="294"/>
    </row>
    <row r="393">
      <c r="A393" s="265"/>
      <c r="B393" s="247"/>
      <c r="C393" s="252"/>
      <c r="D393" s="249"/>
      <c r="F393" s="250"/>
      <c r="H393" s="251"/>
    </row>
    <row r="394">
      <c r="A394" s="265"/>
      <c r="B394" s="247"/>
      <c r="C394" s="252"/>
      <c r="D394" s="249"/>
      <c r="F394" s="250"/>
      <c r="H394" s="251"/>
    </row>
    <row r="395">
      <c r="A395" s="265"/>
      <c r="B395" s="268"/>
      <c r="C395" s="252"/>
      <c r="D395" s="249"/>
      <c r="F395" s="250"/>
      <c r="H395" s="267"/>
    </row>
    <row r="396">
      <c r="A396" s="265"/>
      <c r="B396" s="268"/>
      <c r="C396" s="252"/>
      <c r="D396" s="249"/>
      <c r="F396" s="250"/>
      <c r="H396" s="251"/>
    </row>
    <row r="397">
      <c r="A397" s="265"/>
      <c r="B397" s="247"/>
      <c r="C397" s="252"/>
      <c r="D397" s="249"/>
      <c r="F397" s="250"/>
      <c r="H397" s="267"/>
    </row>
    <row r="398">
      <c r="A398" s="270"/>
      <c r="B398" s="271"/>
      <c r="C398" s="272"/>
      <c r="D398" s="295"/>
      <c r="E398" s="18"/>
      <c r="F398" s="274"/>
      <c r="G398" s="293"/>
      <c r="H398" s="261"/>
    </row>
    <row r="399">
      <c r="A399" s="262" t="s">
        <v>187</v>
      </c>
      <c r="B399" s="239"/>
      <c r="C399" s="240"/>
      <c r="D399" s="264">
        <v>26809.84</v>
      </c>
      <c r="E399" s="242"/>
      <c r="F399" s="243"/>
      <c r="G399" s="2" t="s">
        <v>188</v>
      </c>
      <c r="H399" s="297">
        <v>44806.0</v>
      </c>
      <c r="I399" s="2" t="s">
        <v>189</v>
      </c>
    </row>
    <row r="400">
      <c r="A400" s="265"/>
      <c r="B400" s="247"/>
      <c r="C400" s="248"/>
      <c r="D400" s="295">
        <v>18057.02</v>
      </c>
      <c r="F400" s="250"/>
      <c r="G400" s="2" t="s">
        <v>190</v>
      </c>
      <c r="H400" s="294">
        <v>44806.0</v>
      </c>
    </row>
    <row r="401">
      <c r="A401" s="265"/>
      <c r="B401" s="247"/>
      <c r="C401" s="248"/>
      <c r="D401" s="249">
        <v>361.2</v>
      </c>
      <c r="F401" s="250"/>
      <c r="G401" s="2" t="s">
        <v>191</v>
      </c>
      <c r="H401" s="294">
        <v>44806.0</v>
      </c>
    </row>
    <row r="402">
      <c r="A402" s="265"/>
      <c r="B402" s="268"/>
      <c r="C402" s="252"/>
      <c r="D402" s="249">
        <v>66550.0</v>
      </c>
      <c r="F402" s="250"/>
      <c r="G402" s="2" t="s">
        <v>192</v>
      </c>
      <c r="H402" s="294">
        <v>44830.0</v>
      </c>
    </row>
    <row r="403">
      <c r="A403" s="265"/>
      <c r="B403" s="268"/>
      <c r="C403" s="252"/>
      <c r="D403" s="253"/>
      <c r="F403" s="250">
        <v>29000.0</v>
      </c>
      <c r="G403" s="2" t="s">
        <v>193</v>
      </c>
      <c r="H403" s="294">
        <v>44832.0</v>
      </c>
    </row>
    <row r="404">
      <c r="A404" s="265"/>
      <c r="B404" s="247"/>
      <c r="C404" s="252"/>
      <c r="D404" s="249"/>
      <c r="F404" s="250"/>
      <c r="G404" s="2" t="s">
        <v>194</v>
      </c>
      <c r="H404" s="267"/>
    </row>
    <row r="405">
      <c r="A405" s="265"/>
      <c r="B405" s="247"/>
      <c r="C405" s="252"/>
      <c r="D405" s="249">
        <v>30000.0</v>
      </c>
      <c r="F405" s="250"/>
      <c r="G405" s="2" t="s">
        <v>196</v>
      </c>
      <c r="H405" s="294">
        <v>44830.0</v>
      </c>
    </row>
    <row r="406">
      <c r="A406" s="265"/>
      <c r="B406" s="268"/>
      <c r="C406" s="252"/>
      <c r="D406" s="249">
        <v>6122.29</v>
      </c>
      <c r="F406" s="250"/>
      <c r="G406" s="2" t="s">
        <v>2285</v>
      </c>
      <c r="H406" s="294">
        <v>44834.0</v>
      </c>
      <c r="I406" s="2" t="s">
        <v>189</v>
      </c>
    </row>
    <row r="407">
      <c r="A407" s="265"/>
      <c r="B407" s="268"/>
      <c r="C407" s="252"/>
      <c r="D407" s="249">
        <v>6005.93</v>
      </c>
      <c r="F407" s="250"/>
      <c r="G407" s="2" t="s">
        <v>199</v>
      </c>
      <c r="H407" s="294">
        <v>44811.0</v>
      </c>
      <c r="I407" s="2" t="s">
        <v>189</v>
      </c>
    </row>
    <row r="408">
      <c r="A408" s="265"/>
      <c r="B408" s="247"/>
      <c r="C408" s="252"/>
      <c r="D408" s="249">
        <v>13642.79</v>
      </c>
      <c r="F408" s="250"/>
      <c r="G408" s="2" t="s">
        <v>200</v>
      </c>
      <c r="H408" s="294">
        <v>44811.0</v>
      </c>
      <c r="I408" s="2" t="s">
        <v>189</v>
      </c>
    </row>
    <row r="409">
      <c r="A409" s="265"/>
      <c r="B409" s="278"/>
      <c r="C409" s="248"/>
      <c r="D409" s="295">
        <v>6467.9</v>
      </c>
      <c r="F409" s="282"/>
      <c r="G409" s="2" t="s">
        <v>201</v>
      </c>
      <c r="H409" s="294"/>
      <c r="I409" s="2" t="s">
        <v>189</v>
      </c>
    </row>
    <row r="410">
      <c r="A410" s="270"/>
      <c r="B410" s="278"/>
      <c r="C410" s="248"/>
      <c r="D410" s="295">
        <v>110230.0</v>
      </c>
      <c r="F410" s="282"/>
      <c r="G410" s="2" t="s">
        <v>208</v>
      </c>
      <c r="H410" s="294">
        <v>44793.0</v>
      </c>
    </row>
    <row r="411">
      <c r="A411" s="299"/>
      <c r="B411" s="278"/>
      <c r="C411" s="248"/>
      <c r="D411" s="295">
        <v>80344.92</v>
      </c>
      <c r="F411" s="282"/>
      <c r="G411" s="2" t="s">
        <v>202</v>
      </c>
      <c r="H411" s="301">
        <v>44816.0</v>
      </c>
      <c r="I411" s="2" t="s">
        <v>203</v>
      </c>
    </row>
    <row r="412">
      <c r="A412" s="299"/>
      <c r="B412" s="278"/>
      <c r="C412" s="248"/>
      <c r="D412" s="295"/>
      <c r="F412" s="250">
        <v>3065.73</v>
      </c>
      <c r="G412" s="2" t="s">
        <v>204</v>
      </c>
      <c r="H412" s="301"/>
    </row>
    <row r="413">
      <c r="A413" s="299"/>
      <c r="B413" s="278"/>
      <c r="C413" s="252"/>
      <c r="D413" s="253"/>
      <c r="F413" s="250">
        <v>3065.73</v>
      </c>
      <c r="G413" s="2" t="s">
        <v>205</v>
      </c>
      <c r="H413" s="302"/>
    </row>
    <row r="414">
      <c r="A414" s="303"/>
      <c r="B414" s="268"/>
      <c r="C414" s="252"/>
      <c r="D414" s="249">
        <v>311865.02</v>
      </c>
      <c r="F414" s="250"/>
      <c r="G414" s="2" t="s">
        <v>206</v>
      </c>
      <c r="H414" s="294">
        <v>44833.0</v>
      </c>
      <c r="I414" s="2" t="s">
        <v>207</v>
      </c>
    </row>
    <row r="415">
      <c r="A415" s="303"/>
      <c r="B415" s="268"/>
      <c r="C415" s="252"/>
      <c r="D415" s="253"/>
      <c r="F415" s="250"/>
      <c r="H415" s="251"/>
    </row>
    <row r="416">
      <c r="A416" s="303"/>
      <c r="B416" s="268"/>
      <c r="C416" s="252"/>
      <c r="D416" s="253"/>
      <c r="F416" s="250"/>
      <c r="H416" s="251"/>
    </row>
    <row r="417">
      <c r="A417" s="303"/>
      <c r="B417" s="268"/>
      <c r="C417" s="252"/>
      <c r="D417" s="253"/>
      <c r="F417" s="250"/>
      <c r="H417" s="251"/>
    </row>
    <row r="418">
      <c r="A418" s="303"/>
      <c r="B418" s="268"/>
      <c r="C418" s="252"/>
      <c r="D418" s="253"/>
      <c r="F418" s="250"/>
      <c r="H418" s="251"/>
    </row>
    <row r="419">
      <c r="A419" s="303"/>
      <c r="B419" s="268"/>
      <c r="C419" s="252"/>
      <c r="D419" s="253"/>
      <c r="F419" s="250"/>
      <c r="H419" s="251"/>
    </row>
    <row r="420">
      <c r="A420" s="304"/>
      <c r="B420" s="271"/>
      <c r="C420" s="272"/>
      <c r="D420" s="273"/>
      <c r="E420" s="18"/>
      <c r="F420" s="274"/>
      <c r="G420" s="18"/>
      <c r="H420" s="261"/>
    </row>
    <row r="421">
      <c r="A421" s="305"/>
      <c r="B421" s="306"/>
      <c r="C421" s="240"/>
      <c r="D421" s="241"/>
      <c r="E421" s="242"/>
      <c r="F421" s="243"/>
      <c r="G421" s="244"/>
      <c r="H421" s="307"/>
    </row>
    <row r="422">
      <c r="A422" s="265"/>
      <c r="B422" s="268"/>
      <c r="C422" s="252"/>
      <c r="D422" s="253"/>
      <c r="F422" s="250"/>
      <c r="H422" s="251"/>
    </row>
    <row r="423">
      <c r="A423" s="265"/>
      <c r="B423" s="268"/>
      <c r="C423" s="252"/>
      <c r="D423" s="253"/>
      <c r="F423" s="250"/>
      <c r="H423" s="251"/>
    </row>
    <row r="424">
      <c r="A424" s="265"/>
      <c r="B424" s="268"/>
      <c r="C424" s="252"/>
      <c r="D424" s="253"/>
      <c r="F424" s="250"/>
      <c r="H424" s="251"/>
    </row>
    <row r="425">
      <c r="A425" s="265"/>
      <c r="B425" s="268"/>
      <c r="C425" s="252"/>
      <c r="D425" s="253"/>
      <c r="F425" s="250"/>
      <c r="H425" s="251"/>
    </row>
    <row r="426">
      <c r="A426" s="265"/>
      <c r="B426" s="268"/>
      <c r="C426" s="252"/>
      <c r="D426" s="253"/>
      <c r="F426" s="250"/>
      <c r="H426" s="251"/>
    </row>
    <row r="427">
      <c r="A427" s="265"/>
      <c r="B427" s="268"/>
      <c r="C427" s="252"/>
      <c r="D427" s="253"/>
      <c r="F427" s="250"/>
      <c r="H427" s="251"/>
    </row>
    <row r="428">
      <c r="A428" s="265"/>
      <c r="B428" s="268"/>
      <c r="C428" s="252"/>
      <c r="D428" s="253"/>
      <c r="F428" s="250"/>
      <c r="H428" s="251"/>
    </row>
    <row r="429">
      <c r="A429" s="265"/>
      <c r="B429" s="268"/>
      <c r="C429" s="252"/>
      <c r="D429" s="253"/>
      <c r="F429" s="250"/>
      <c r="H429" s="251"/>
    </row>
    <row r="430">
      <c r="A430" s="270"/>
      <c r="B430" s="271"/>
      <c r="C430" s="272"/>
      <c r="D430" s="273"/>
      <c r="E430" s="18"/>
      <c r="F430" s="274"/>
      <c r="G430" s="18"/>
      <c r="H430" s="261"/>
    </row>
    <row r="431">
      <c r="A431" s="305"/>
      <c r="B431" s="306"/>
      <c r="C431" s="240"/>
      <c r="D431" s="241"/>
      <c r="E431" s="242"/>
      <c r="F431" s="243"/>
      <c r="G431" s="244"/>
      <c r="H431" s="307"/>
    </row>
    <row r="432">
      <c r="A432" s="265"/>
      <c r="B432" s="268"/>
      <c r="C432" s="252"/>
      <c r="D432" s="253"/>
      <c r="F432" s="250"/>
      <c r="H432" s="251"/>
    </row>
    <row r="433">
      <c r="A433" s="265"/>
      <c r="B433" s="268"/>
      <c r="C433" s="252"/>
      <c r="D433" s="253"/>
      <c r="F433" s="250"/>
      <c r="H433" s="251"/>
    </row>
    <row r="434">
      <c r="A434" s="265"/>
      <c r="B434" s="268"/>
      <c r="C434" s="252"/>
      <c r="D434" s="253"/>
      <c r="F434" s="250"/>
      <c r="H434" s="251"/>
    </row>
    <row r="435">
      <c r="A435" s="265"/>
      <c r="B435" s="268"/>
      <c r="C435" s="252"/>
      <c r="D435" s="253"/>
      <c r="F435" s="250"/>
      <c r="H435" s="251"/>
    </row>
    <row r="436">
      <c r="A436" s="265"/>
      <c r="B436" s="268"/>
      <c r="C436" s="252"/>
      <c r="D436" s="253"/>
      <c r="F436" s="250"/>
      <c r="H436" s="251"/>
    </row>
    <row r="437">
      <c r="A437" s="265"/>
      <c r="B437" s="268"/>
      <c r="C437" s="252"/>
      <c r="D437" s="253"/>
      <c r="F437" s="250"/>
      <c r="H437" s="251"/>
    </row>
    <row r="438">
      <c r="A438" s="265"/>
      <c r="B438" s="268"/>
      <c r="C438" s="252"/>
      <c r="D438" s="253"/>
      <c r="F438" s="250"/>
      <c r="H438" s="251"/>
    </row>
    <row r="439">
      <c r="A439" s="265"/>
      <c r="B439" s="268"/>
      <c r="C439" s="252"/>
      <c r="D439" s="253"/>
      <c r="F439" s="250"/>
      <c r="H439" s="251"/>
    </row>
    <row r="440">
      <c r="A440" s="270"/>
      <c r="B440" s="271"/>
      <c r="C440" s="272"/>
      <c r="D440" s="273"/>
      <c r="E440" s="18"/>
      <c r="F440" s="274"/>
      <c r="G440" s="18"/>
      <c r="H440" s="261"/>
    </row>
    <row r="441">
      <c r="B441" s="306"/>
      <c r="C441" s="240"/>
      <c r="D441" s="241"/>
      <c r="E441" s="242"/>
      <c r="F441" s="243"/>
      <c r="G441" s="244"/>
      <c r="H441" s="307"/>
    </row>
    <row r="442">
      <c r="B442" s="268"/>
      <c r="C442" s="252"/>
      <c r="D442" s="253"/>
      <c r="F442" s="250"/>
      <c r="H442" s="251"/>
    </row>
    <row r="443">
      <c r="B443" s="268"/>
      <c r="C443" s="252"/>
      <c r="D443" s="253"/>
      <c r="F443" s="250"/>
      <c r="H443" s="251"/>
    </row>
    <row r="444">
      <c r="B444" s="308"/>
      <c r="C444" s="252"/>
      <c r="D444" s="253"/>
      <c r="F444" s="309"/>
      <c r="H444" s="302"/>
    </row>
    <row r="445">
      <c r="B445" s="308"/>
      <c r="C445" s="252"/>
      <c r="D445" s="253"/>
      <c r="F445" s="309"/>
      <c r="H445" s="302"/>
    </row>
    <row r="446">
      <c r="B446" s="308"/>
      <c r="C446" s="252"/>
      <c r="D446" s="253"/>
      <c r="F446" s="309"/>
      <c r="H446" s="302"/>
    </row>
    <row r="447">
      <c r="B447" s="308"/>
      <c r="C447" s="252"/>
      <c r="D447" s="253"/>
      <c r="F447" s="309"/>
      <c r="H447" s="302"/>
    </row>
    <row r="448">
      <c r="B448" s="308"/>
      <c r="C448" s="252"/>
      <c r="D448" s="253"/>
      <c r="F448" s="309"/>
      <c r="H448" s="302"/>
    </row>
    <row r="449">
      <c r="B449" s="308"/>
      <c r="C449" s="252"/>
      <c r="D449" s="253"/>
      <c r="F449" s="309"/>
      <c r="H449" s="302"/>
    </row>
    <row r="450">
      <c r="B450" s="308"/>
      <c r="C450" s="252"/>
      <c r="D450" s="253"/>
      <c r="F450" s="309"/>
      <c r="H450" s="302"/>
    </row>
    <row r="451">
      <c r="B451" s="308"/>
      <c r="C451" s="252"/>
      <c r="D451" s="253"/>
      <c r="F451" s="309"/>
      <c r="H451" s="302"/>
    </row>
    <row r="452">
      <c r="B452" s="308"/>
      <c r="C452" s="252"/>
      <c r="D452" s="253"/>
      <c r="F452" s="309"/>
      <c r="H452" s="302"/>
    </row>
    <row r="453">
      <c r="B453" s="308"/>
      <c r="C453" s="252"/>
      <c r="D453" s="253"/>
      <c r="F453" s="309"/>
      <c r="H453" s="302"/>
    </row>
    <row r="454">
      <c r="B454" s="308"/>
      <c r="C454" s="252"/>
      <c r="D454" s="253"/>
      <c r="F454" s="309"/>
      <c r="H454" s="302"/>
    </row>
    <row r="455">
      <c r="B455" s="308"/>
      <c r="C455" s="252"/>
      <c r="D455" s="253"/>
      <c r="F455" s="309"/>
      <c r="H455" s="302"/>
    </row>
    <row r="456">
      <c r="B456" s="308"/>
      <c r="C456" s="252"/>
      <c r="D456" s="253"/>
      <c r="F456" s="309"/>
      <c r="H456" s="302"/>
    </row>
    <row r="457">
      <c r="B457" s="308"/>
      <c r="C457" s="252"/>
      <c r="D457" s="253"/>
      <c r="F457" s="309"/>
      <c r="H457" s="302"/>
    </row>
    <row r="458">
      <c r="B458" s="308"/>
      <c r="C458" s="252"/>
      <c r="D458" s="253"/>
      <c r="F458" s="309"/>
      <c r="H458" s="302"/>
    </row>
    <row r="459">
      <c r="B459" s="308"/>
      <c r="C459" s="252"/>
      <c r="D459" s="253"/>
      <c r="F459" s="309"/>
      <c r="H459" s="302"/>
    </row>
    <row r="460">
      <c r="B460" s="308"/>
      <c r="C460" s="252"/>
      <c r="D460" s="253"/>
      <c r="F460" s="309"/>
      <c r="H460" s="302"/>
    </row>
    <row r="461">
      <c r="B461" s="308"/>
      <c r="C461" s="252"/>
      <c r="D461" s="253"/>
      <c r="F461" s="309"/>
      <c r="H461" s="302"/>
    </row>
    <row r="462">
      <c r="B462" s="308"/>
      <c r="C462" s="252"/>
      <c r="D462" s="253"/>
      <c r="F462" s="309"/>
      <c r="H462" s="302"/>
    </row>
    <row r="463">
      <c r="B463" s="308"/>
      <c r="C463" s="252"/>
      <c r="D463" s="253"/>
      <c r="F463" s="309"/>
      <c r="H463" s="302"/>
    </row>
    <row r="464">
      <c r="B464" s="308"/>
      <c r="C464" s="252"/>
      <c r="D464" s="253"/>
      <c r="F464" s="309"/>
      <c r="H464" s="302"/>
    </row>
    <row r="465">
      <c r="B465" s="308"/>
      <c r="C465" s="252"/>
      <c r="D465" s="253"/>
      <c r="F465" s="309"/>
      <c r="H465" s="302"/>
    </row>
    <row r="466">
      <c r="B466" s="308"/>
      <c r="C466" s="252"/>
      <c r="D466" s="253"/>
      <c r="F466" s="309"/>
      <c r="H466" s="302"/>
    </row>
    <row r="467">
      <c r="B467" s="308"/>
      <c r="C467" s="252"/>
      <c r="D467" s="253"/>
      <c r="F467" s="309"/>
      <c r="H467" s="302"/>
    </row>
    <row r="468">
      <c r="B468" s="308"/>
      <c r="C468" s="252"/>
      <c r="D468" s="253"/>
      <c r="F468" s="309"/>
      <c r="H468" s="302"/>
    </row>
    <row r="469">
      <c r="B469" s="308"/>
      <c r="C469" s="252"/>
      <c r="D469" s="253"/>
      <c r="F469" s="309"/>
      <c r="H469" s="302"/>
    </row>
    <row r="470">
      <c r="B470" s="308"/>
      <c r="C470" s="252"/>
      <c r="D470" s="253"/>
      <c r="F470" s="309"/>
      <c r="H470" s="302"/>
    </row>
    <row r="471">
      <c r="B471" s="308"/>
      <c r="C471" s="252"/>
      <c r="D471" s="253"/>
      <c r="F471" s="309"/>
      <c r="H471" s="302"/>
    </row>
    <row r="472">
      <c r="B472" s="308"/>
      <c r="C472" s="252"/>
      <c r="D472" s="253"/>
      <c r="F472" s="309"/>
      <c r="H472" s="302"/>
    </row>
    <row r="473">
      <c r="B473" s="308"/>
      <c r="C473" s="252"/>
      <c r="D473" s="253"/>
      <c r="F473" s="309"/>
      <c r="H473" s="302"/>
    </row>
    <row r="474">
      <c r="B474" s="308"/>
      <c r="C474" s="252"/>
      <c r="D474" s="253"/>
      <c r="F474" s="309"/>
      <c r="H474" s="302"/>
    </row>
    <row r="475">
      <c r="B475" s="308"/>
      <c r="C475" s="252"/>
      <c r="D475" s="253"/>
      <c r="F475" s="309"/>
      <c r="H475" s="302"/>
    </row>
    <row r="476">
      <c r="B476" s="308"/>
      <c r="C476" s="252"/>
      <c r="D476" s="253"/>
      <c r="F476" s="309"/>
      <c r="H476" s="302"/>
    </row>
    <row r="477">
      <c r="B477" s="308"/>
      <c r="C477" s="252"/>
      <c r="D477" s="253"/>
      <c r="F477" s="309"/>
      <c r="H477" s="302"/>
    </row>
    <row r="478">
      <c r="B478" s="308"/>
      <c r="C478" s="252"/>
      <c r="D478" s="253"/>
      <c r="F478" s="309"/>
      <c r="H478" s="302"/>
    </row>
    <row r="479">
      <c r="B479" s="308"/>
      <c r="C479" s="252"/>
      <c r="D479" s="253"/>
      <c r="F479" s="309"/>
      <c r="H479" s="302"/>
    </row>
    <row r="480">
      <c r="B480" s="308"/>
      <c r="C480" s="252"/>
      <c r="D480" s="253"/>
      <c r="F480" s="309"/>
      <c r="H480" s="302"/>
    </row>
    <row r="481">
      <c r="B481" s="308"/>
      <c r="C481" s="252"/>
      <c r="D481" s="253"/>
      <c r="F481" s="309"/>
      <c r="H481" s="302"/>
    </row>
    <row r="482">
      <c r="B482" s="308"/>
      <c r="C482" s="252"/>
      <c r="D482" s="253"/>
      <c r="F482" s="309"/>
      <c r="H482" s="302"/>
    </row>
    <row r="483">
      <c r="B483" s="308"/>
      <c r="C483" s="252"/>
      <c r="D483" s="253"/>
      <c r="F483" s="309"/>
      <c r="H483" s="302"/>
    </row>
    <row r="484">
      <c r="B484" s="308"/>
      <c r="C484" s="252"/>
      <c r="D484" s="253"/>
      <c r="F484" s="309"/>
      <c r="H484" s="302"/>
    </row>
    <row r="485">
      <c r="B485" s="308"/>
      <c r="C485" s="252"/>
      <c r="D485" s="253"/>
      <c r="F485" s="309"/>
      <c r="H485" s="302"/>
    </row>
    <row r="486">
      <c r="B486" s="308"/>
      <c r="C486" s="252"/>
      <c r="D486" s="253"/>
      <c r="F486" s="309"/>
      <c r="H486" s="302"/>
    </row>
    <row r="487">
      <c r="B487" s="308"/>
      <c r="C487" s="252"/>
      <c r="D487" s="253"/>
      <c r="F487" s="309"/>
      <c r="H487" s="302"/>
    </row>
    <row r="488">
      <c r="B488" s="308"/>
      <c r="C488" s="252"/>
      <c r="D488" s="253"/>
      <c r="F488" s="309"/>
      <c r="H488" s="302"/>
    </row>
    <row r="489">
      <c r="B489" s="308"/>
      <c r="C489" s="252"/>
      <c r="D489" s="253"/>
      <c r="F489" s="309"/>
      <c r="H489" s="302"/>
    </row>
    <row r="490">
      <c r="B490" s="308"/>
      <c r="C490" s="252"/>
      <c r="D490" s="253"/>
      <c r="F490" s="309"/>
      <c r="H490" s="302"/>
    </row>
    <row r="491">
      <c r="B491" s="308"/>
      <c r="C491" s="252"/>
      <c r="D491" s="253"/>
      <c r="F491" s="309"/>
      <c r="H491" s="302"/>
    </row>
    <row r="492">
      <c r="B492" s="308"/>
      <c r="C492" s="252"/>
      <c r="D492" s="253"/>
      <c r="F492" s="309"/>
      <c r="H492" s="302"/>
    </row>
    <row r="493">
      <c r="B493" s="308"/>
      <c r="C493" s="252"/>
      <c r="D493" s="253"/>
      <c r="F493" s="309"/>
      <c r="H493" s="302"/>
    </row>
    <row r="494">
      <c r="B494" s="308"/>
      <c r="C494" s="252"/>
      <c r="D494" s="253"/>
      <c r="F494" s="309"/>
      <c r="H494" s="302"/>
    </row>
    <row r="495">
      <c r="B495" s="308"/>
      <c r="C495" s="252"/>
      <c r="D495" s="253"/>
      <c r="F495" s="309"/>
      <c r="H495" s="302"/>
    </row>
    <row r="496">
      <c r="B496" s="308"/>
      <c r="C496" s="252"/>
      <c r="D496" s="253"/>
      <c r="F496" s="309"/>
      <c r="H496" s="302"/>
    </row>
    <row r="497">
      <c r="B497" s="308"/>
      <c r="C497" s="252"/>
      <c r="D497" s="253"/>
      <c r="F497" s="309"/>
      <c r="H497" s="302"/>
    </row>
    <row r="498">
      <c r="B498" s="308"/>
      <c r="C498" s="252"/>
      <c r="D498" s="253"/>
      <c r="F498" s="309"/>
      <c r="H498" s="302"/>
    </row>
    <row r="499">
      <c r="B499" s="308"/>
      <c r="C499" s="252"/>
      <c r="D499" s="253"/>
      <c r="F499" s="309"/>
      <c r="H499" s="302"/>
    </row>
    <row r="500">
      <c r="B500" s="308"/>
      <c r="C500" s="252"/>
      <c r="D500" s="253"/>
      <c r="F500" s="309"/>
      <c r="H500" s="302"/>
    </row>
    <row r="501">
      <c r="B501" s="308"/>
      <c r="C501" s="252"/>
      <c r="D501" s="253"/>
      <c r="F501" s="309"/>
      <c r="H501" s="302"/>
    </row>
    <row r="502">
      <c r="B502" s="308"/>
      <c r="C502" s="252"/>
      <c r="D502" s="253"/>
      <c r="F502" s="309"/>
      <c r="H502" s="302"/>
    </row>
    <row r="503">
      <c r="B503" s="308"/>
      <c r="C503" s="252"/>
      <c r="D503" s="253"/>
      <c r="F503" s="309"/>
      <c r="H503" s="302"/>
    </row>
    <row r="504">
      <c r="B504" s="308"/>
      <c r="C504" s="252"/>
      <c r="D504" s="253"/>
      <c r="F504" s="309"/>
      <c r="H504" s="302"/>
    </row>
    <row r="505">
      <c r="B505" s="308"/>
      <c r="C505" s="252"/>
      <c r="D505" s="253"/>
      <c r="F505" s="309"/>
      <c r="H505" s="302"/>
    </row>
    <row r="506">
      <c r="B506" s="308"/>
      <c r="C506" s="252"/>
      <c r="D506" s="253"/>
      <c r="F506" s="309"/>
      <c r="H506" s="302"/>
    </row>
    <row r="507">
      <c r="B507" s="308"/>
      <c r="C507" s="252"/>
      <c r="D507" s="253"/>
      <c r="F507" s="309"/>
      <c r="H507" s="302"/>
    </row>
    <row r="508">
      <c r="B508" s="308"/>
      <c r="C508" s="252"/>
      <c r="D508" s="253"/>
      <c r="F508" s="309"/>
      <c r="H508" s="302"/>
    </row>
    <row r="509">
      <c r="B509" s="308"/>
      <c r="C509" s="252"/>
      <c r="D509" s="253"/>
      <c r="F509" s="309"/>
      <c r="H509" s="302"/>
    </row>
    <row r="510">
      <c r="B510" s="308"/>
      <c r="C510" s="252"/>
      <c r="D510" s="253"/>
      <c r="F510" s="309"/>
      <c r="H510" s="302"/>
    </row>
    <row r="511">
      <c r="B511" s="308"/>
      <c r="C511" s="252"/>
      <c r="D511" s="253"/>
      <c r="F511" s="309"/>
      <c r="H511" s="302"/>
    </row>
    <row r="512">
      <c r="B512" s="308"/>
      <c r="C512" s="252"/>
      <c r="D512" s="253"/>
      <c r="F512" s="309"/>
      <c r="H512" s="302"/>
    </row>
    <row r="513">
      <c r="B513" s="308"/>
      <c r="C513" s="252"/>
      <c r="D513" s="253"/>
      <c r="F513" s="309"/>
      <c r="H513" s="302"/>
    </row>
    <row r="514">
      <c r="B514" s="308"/>
      <c r="C514" s="252"/>
      <c r="D514" s="253"/>
      <c r="F514" s="309"/>
      <c r="H514" s="302"/>
    </row>
    <row r="515">
      <c r="B515" s="308"/>
      <c r="C515" s="252"/>
      <c r="D515" s="253"/>
      <c r="F515" s="309"/>
      <c r="H515" s="302"/>
    </row>
    <row r="516">
      <c r="B516" s="308"/>
      <c r="C516" s="252"/>
      <c r="D516" s="253"/>
      <c r="F516" s="309"/>
      <c r="H516" s="302"/>
    </row>
    <row r="517">
      <c r="B517" s="308"/>
      <c r="C517" s="252"/>
      <c r="D517" s="253"/>
      <c r="F517" s="309"/>
      <c r="H517" s="302"/>
    </row>
    <row r="518">
      <c r="B518" s="308"/>
      <c r="C518" s="252"/>
      <c r="D518" s="253"/>
      <c r="F518" s="309"/>
      <c r="H518" s="302"/>
    </row>
    <row r="519">
      <c r="B519" s="308"/>
      <c r="C519" s="252"/>
      <c r="D519" s="253"/>
      <c r="F519" s="309"/>
      <c r="H519" s="302"/>
    </row>
    <row r="520">
      <c r="B520" s="308"/>
      <c r="C520" s="252"/>
      <c r="D520" s="253"/>
      <c r="F520" s="309"/>
      <c r="H520" s="302"/>
    </row>
    <row r="521">
      <c r="B521" s="308"/>
      <c r="C521" s="252"/>
      <c r="D521" s="253"/>
      <c r="F521" s="309"/>
      <c r="H521" s="302"/>
    </row>
    <row r="522">
      <c r="B522" s="308"/>
      <c r="C522" s="252"/>
      <c r="D522" s="253"/>
      <c r="F522" s="309"/>
      <c r="H522" s="302"/>
    </row>
    <row r="523">
      <c r="B523" s="308"/>
      <c r="C523" s="252"/>
      <c r="D523" s="253"/>
      <c r="F523" s="309"/>
      <c r="H523" s="302"/>
    </row>
    <row r="524">
      <c r="B524" s="308"/>
      <c r="C524" s="252"/>
      <c r="D524" s="253"/>
      <c r="F524" s="309"/>
      <c r="H524" s="302"/>
    </row>
    <row r="525">
      <c r="B525" s="308"/>
      <c r="C525" s="252"/>
      <c r="D525" s="253"/>
      <c r="F525" s="309"/>
      <c r="H525" s="302"/>
    </row>
    <row r="526">
      <c r="B526" s="308"/>
      <c r="C526" s="252"/>
      <c r="D526" s="253"/>
      <c r="F526" s="309"/>
      <c r="H526" s="302"/>
    </row>
    <row r="527">
      <c r="B527" s="308"/>
      <c r="C527" s="252"/>
      <c r="D527" s="253"/>
      <c r="F527" s="309"/>
      <c r="H527" s="302"/>
    </row>
    <row r="528">
      <c r="B528" s="308"/>
      <c r="C528" s="252"/>
      <c r="D528" s="253"/>
      <c r="F528" s="309"/>
      <c r="H528" s="302"/>
    </row>
    <row r="529">
      <c r="B529" s="308"/>
      <c r="C529" s="252"/>
      <c r="D529" s="253"/>
      <c r="F529" s="309"/>
      <c r="H529" s="302"/>
    </row>
    <row r="530">
      <c r="B530" s="308"/>
      <c r="C530" s="252"/>
      <c r="D530" s="253"/>
      <c r="F530" s="309"/>
      <c r="H530" s="302"/>
    </row>
    <row r="531">
      <c r="B531" s="308"/>
      <c r="C531" s="252"/>
      <c r="D531" s="253"/>
      <c r="F531" s="309"/>
      <c r="H531" s="302"/>
    </row>
    <row r="532">
      <c r="B532" s="308"/>
      <c r="C532" s="252"/>
      <c r="D532" s="253"/>
      <c r="F532" s="309"/>
      <c r="H532" s="302"/>
    </row>
    <row r="533">
      <c r="B533" s="308"/>
      <c r="C533" s="252"/>
      <c r="D533" s="253"/>
      <c r="F533" s="309"/>
      <c r="H533" s="302"/>
    </row>
    <row r="534">
      <c r="B534" s="308"/>
      <c r="C534" s="252"/>
      <c r="D534" s="253"/>
      <c r="F534" s="309"/>
      <c r="H534" s="302"/>
    </row>
    <row r="535">
      <c r="B535" s="308"/>
      <c r="C535" s="252"/>
      <c r="D535" s="253"/>
      <c r="F535" s="309"/>
      <c r="H535" s="302"/>
    </row>
    <row r="536">
      <c r="B536" s="308"/>
      <c r="C536" s="252"/>
      <c r="D536" s="253"/>
      <c r="F536" s="309"/>
      <c r="H536" s="302"/>
    </row>
    <row r="537">
      <c r="B537" s="308"/>
      <c r="C537" s="252"/>
      <c r="D537" s="253"/>
      <c r="F537" s="309"/>
      <c r="H537" s="302"/>
    </row>
    <row r="538">
      <c r="B538" s="308"/>
      <c r="C538" s="252"/>
      <c r="D538" s="253"/>
      <c r="F538" s="309"/>
      <c r="H538" s="302"/>
    </row>
    <row r="539">
      <c r="B539" s="308"/>
      <c r="C539" s="252"/>
      <c r="D539" s="253"/>
      <c r="F539" s="309"/>
      <c r="H539" s="302"/>
    </row>
    <row r="540">
      <c r="B540" s="308"/>
      <c r="C540" s="252"/>
      <c r="D540" s="253"/>
      <c r="F540" s="309"/>
      <c r="H540" s="302"/>
    </row>
    <row r="541">
      <c r="B541" s="308"/>
      <c r="C541" s="252"/>
      <c r="D541" s="253"/>
      <c r="F541" s="309"/>
      <c r="H541" s="302"/>
    </row>
    <row r="542">
      <c r="B542" s="308"/>
      <c r="C542" s="252"/>
      <c r="D542" s="253"/>
      <c r="F542" s="309"/>
      <c r="H542" s="302"/>
    </row>
    <row r="543">
      <c r="B543" s="308"/>
      <c r="C543" s="252"/>
      <c r="D543" s="253"/>
      <c r="F543" s="309"/>
      <c r="H543" s="302"/>
    </row>
    <row r="544">
      <c r="B544" s="308"/>
      <c r="C544" s="252"/>
      <c r="D544" s="253"/>
      <c r="F544" s="309"/>
      <c r="H544" s="302"/>
    </row>
    <row r="545">
      <c r="B545" s="308"/>
      <c r="C545" s="252"/>
      <c r="D545" s="253"/>
      <c r="F545" s="309"/>
      <c r="H545" s="302"/>
    </row>
    <row r="546">
      <c r="B546" s="308"/>
      <c r="C546" s="252"/>
      <c r="D546" s="253"/>
      <c r="F546" s="309"/>
      <c r="H546" s="302"/>
    </row>
    <row r="547">
      <c r="B547" s="308"/>
      <c r="C547" s="252"/>
      <c r="D547" s="253"/>
      <c r="F547" s="309"/>
      <c r="H547" s="302"/>
    </row>
    <row r="548">
      <c r="B548" s="308"/>
      <c r="C548" s="252"/>
      <c r="D548" s="253"/>
      <c r="F548" s="309"/>
      <c r="H548" s="302"/>
    </row>
    <row r="549">
      <c r="B549" s="308"/>
      <c r="C549" s="252"/>
      <c r="D549" s="253"/>
      <c r="F549" s="309"/>
      <c r="H549" s="302"/>
    </row>
    <row r="550">
      <c r="B550" s="308"/>
      <c r="C550" s="252"/>
      <c r="D550" s="253"/>
      <c r="F550" s="309"/>
      <c r="H550" s="302"/>
    </row>
    <row r="551">
      <c r="B551" s="308"/>
      <c r="C551" s="252"/>
      <c r="D551" s="253"/>
      <c r="F551" s="309"/>
      <c r="H551" s="302"/>
    </row>
    <row r="552">
      <c r="B552" s="308"/>
      <c r="C552" s="252"/>
      <c r="D552" s="253"/>
      <c r="F552" s="309"/>
      <c r="H552" s="302"/>
    </row>
    <row r="553">
      <c r="B553" s="308"/>
      <c r="C553" s="252"/>
      <c r="D553" s="253"/>
      <c r="F553" s="309"/>
      <c r="H553" s="302"/>
    </row>
    <row r="554">
      <c r="B554" s="308"/>
      <c r="C554" s="252"/>
      <c r="D554" s="253"/>
      <c r="F554" s="309"/>
      <c r="H554" s="302"/>
    </row>
    <row r="555">
      <c r="B555" s="308"/>
      <c r="C555" s="252"/>
      <c r="D555" s="253"/>
      <c r="F555" s="309"/>
      <c r="H555" s="302"/>
    </row>
    <row r="556">
      <c r="B556" s="308"/>
      <c r="C556" s="252"/>
      <c r="D556" s="253"/>
      <c r="F556" s="309"/>
      <c r="H556" s="302"/>
    </row>
    <row r="557">
      <c r="B557" s="308"/>
      <c r="C557" s="252"/>
      <c r="D557" s="253"/>
      <c r="F557" s="309"/>
      <c r="H557" s="302"/>
    </row>
    <row r="558">
      <c r="B558" s="308"/>
      <c r="C558" s="252"/>
      <c r="D558" s="253"/>
      <c r="F558" s="309"/>
      <c r="H558" s="302"/>
    </row>
    <row r="559">
      <c r="B559" s="308"/>
      <c r="C559" s="252"/>
      <c r="D559" s="253"/>
      <c r="F559" s="309"/>
      <c r="H559" s="302"/>
    </row>
    <row r="560">
      <c r="B560" s="308"/>
      <c r="C560" s="252"/>
      <c r="D560" s="253"/>
      <c r="F560" s="309"/>
      <c r="H560" s="302"/>
    </row>
    <row r="561">
      <c r="B561" s="308"/>
      <c r="C561" s="252"/>
      <c r="D561" s="253"/>
      <c r="F561" s="309"/>
      <c r="H561" s="302"/>
    </row>
    <row r="562">
      <c r="B562" s="308"/>
      <c r="C562" s="252"/>
      <c r="D562" s="253"/>
      <c r="F562" s="309"/>
      <c r="H562" s="302"/>
    </row>
    <row r="563">
      <c r="B563" s="308"/>
      <c r="C563" s="252"/>
      <c r="D563" s="253"/>
      <c r="F563" s="309"/>
      <c r="H563" s="302"/>
    </row>
    <row r="564">
      <c r="B564" s="308"/>
      <c r="C564" s="252"/>
      <c r="D564" s="253"/>
      <c r="F564" s="309"/>
      <c r="H564" s="302"/>
    </row>
    <row r="565">
      <c r="B565" s="308"/>
      <c r="C565" s="252"/>
      <c r="D565" s="253"/>
      <c r="F565" s="309"/>
      <c r="H565" s="302"/>
    </row>
    <row r="566">
      <c r="B566" s="308"/>
      <c r="C566" s="252"/>
      <c r="D566" s="253"/>
      <c r="F566" s="309"/>
      <c r="H566" s="302"/>
    </row>
    <row r="567">
      <c r="B567" s="308"/>
      <c r="C567" s="252"/>
      <c r="D567" s="253"/>
      <c r="F567" s="309"/>
      <c r="H567" s="302"/>
    </row>
    <row r="568">
      <c r="B568" s="308"/>
      <c r="C568" s="252"/>
      <c r="D568" s="253"/>
      <c r="F568" s="309"/>
      <c r="H568" s="302"/>
    </row>
    <row r="569">
      <c r="B569" s="308"/>
      <c r="C569" s="252"/>
      <c r="D569" s="253"/>
      <c r="F569" s="309"/>
      <c r="H569" s="302"/>
    </row>
    <row r="570">
      <c r="B570" s="308"/>
      <c r="C570" s="252"/>
      <c r="D570" s="253"/>
      <c r="F570" s="309"/>
      <c r="H570" s="302"/>
    </row>
    <row r="571">
      <c r="B571" s="308"/>
      <c r="C571" s="252"/>
      <c r="D571" s="253"/>
      <c r="F571" s="309"/>
      <c r="H571" s="302"/>
    </row>
    <row r="572">
      <c r="B572" s="308"/>
      <c r="C572" s="252"/>
      <c r="D572" s="253"/>
      <c r="F572" s="309"/>
      <c r="H572" s="302"/>
    </row>
    <row r="573">
      <c r="B573" s="308"/>
      <c r="C573" s="252"/>
      <c r="D573" s="253"/>
      <c r="F573" s="309"/>
      <c r="H573" s="302"/>
    </row>
    <row r="574">
      <c r="B574" s="308"/>
      <c r="C574" s="252"/>
      <c r="D574" s="253"/>
      <c r="F574" s="309"/>
      <c r="H574" s="302"/>
    </row>
    <row r="575">
      <c r="B575" s="308"/>
      <c r="C575" s="252"/>
      <c r="D575" s="253"/>
      <c r="F575" s="309"/>
      <c r="H575" s="302"/>
    </row>
    <row r="576">
      <c r="B576" s="308"/>
      <c r="C576" s="252"/>
      <c r="D576" s="253"/>
      <c r="F576" s="309"/>
      <c r="H576" s="302"/>
    </row>
    <row r="577">
      <c r="B577" s="308"/>
      <c r="C577" s="252"/>
      <c r="D577" s="253"/>
      <c r="F577" s="309"/>
      <c r="H577" s="302"/>
    </row>
    <row r="578">
      <c r="B578" s="308"/>
      <c r="C578" s="252"/>
      <c r="D578" s="253"/>
      <c r="F578" s="309"/>
      <c r="H578" s="302"/>
    </row>
    <row r="579">
      <c r="B579" s="308"/>
      <c r="C579" s="252"/>
      <c r="D579" s="253"/>
      <c r="F579" s="309"/>
      <c r="H579" s="302"/>
    </row>
    <row r="580">
      <c r="B580" s="308"/>
      <c r="C580" s="252"/>
      <c r="D580" s="253"/>
      <c r="F580" s="309"/>
      <c r="H580" s="302"/>
    </row>
    <row r="581">
      <c r="B581" s="308"/>
      <c r="C581" s="252"/>
      <c r="D581" s="253"/>
      <c r="F581" s="309"/>
      <c r="H581" s="302"/>
    </row>
    <row r="582">
      <c r="B582" s="308"/>
      <c r="C582" s="252"/>
      <c r="D582" s="253"/>
      <c r="F582" s="309"/>
      <c r="H582" s="302"/>
    </row>
    <row r="583">
      <c r="B583" s="308"/>
      <c r="C583" s="252"/>
      <c r="D583" s="253"/>
      <c r="F583" s="309"/>
      <c r="H583" s="302"/>
    </row>
    <row r="584">
      <c r="B584" s="308"/>
      <c r="C584" s="252"/>
      <c r="D584" s="253"/>
      <c r="F584" s="309"/>
      <c r="H584" s="302"/>
    </row>
    <row r="585">
      <c r="B585" s="308"/>
      <c r="C585" s="252"/>
      <c r="D585" s="253"/>
      <c r="F585" s="309"/>
      <c r="H585" s="302"/>
    </row>
    <row r="586">
      <c r="B586" s="308"/>
      <c r="C586" s="252"/>
      <c r="D586" s="253"/>
      <c r="F586" s="309"/>
      <c r="H586" s="302"/>
    </row>
    <row r="587">
      <c r="B587" s="308"/>
      <c r="C587" s="252"/>
      <c r="D587" s="253"/>
      <c r="F587" s="309"/>
      <c r="H587" s="302"/>
    </row>
    <row r="588">
      <c r="B588" s="308"/>
      <c r="C588" s="252"/>
      <c r="D588" s="253"/>
      <c r="F588" s="309"/>
      <c r="H588" s="302"/>
    </row>
    <row r="589">
      <c r="B589" s="308"/>
      <c r="C589" s="252"/>
      <c r="D589" s="253"/>
      <c r="F589" s="309"/>
      <c r="H589" s="302"/>
    </row>
    <row r="590">
      <c r="B590" s="308"/>
      <c r="C590" s="252"/>
      <c r="D590" s="253"/>
      <c r="F590" s="309"/>
      <c r="H590" s="302"/>
    </row>
    <row r="591">
      <c r="B591" s="308"/>
      <c r="C591" s="252"/>
      <c r="D591" s="253"/>
      <c r="F591" s="309"/>
      <c r="H591" s="302"/>
    </row>
    <row r="592">
      <c r="B592" s="308"/>
      <c r="C592" s="252"/>
      <c r="D592" s="253"/>
      <c r="F592" s="309"/>
      <c r="H592" s="302"/>
    </row>
    <row r="593">
      <c r="B593" s="308"/>
      <c r="C593" s="252"/>
      <c r="D593" s="253"/>
      <c r="F593" s="309"/>
      <c r="H593" s="302"/>
    </row>
    <row r="594">
      <c r="B594" s="308"/>
      <c r="C594" s="252"/>
      <c r="D594" s="253"/>
      <c r="F594" s="309"/>
      <c r="H594" s="302"/>
    </row>
    <row r="595">
      <c r="B595" s="308"/>
      <c r="C595" s="252"/>
      <c r="D595" s="253"/>
      <c r="F595" s="309"/>
      <c r="H595" s="302"/>
    </row>
    <row r="596">
      <c r="B596" s="308"/>
      <c r="C596" s="252"/>
      <c r="D596" s="253"/>
      <c r="F596" s="309"/>
      <c r="H596" s="302"/>
    </row>
    <row r="597">
      <c r="B597" s="308"/>
      <c r="C597" s="252"/>
      <c r="D597" s="253"/>
      <c r="F597" s="309"/>
      <c r="H597" s="302"/>
    </row>
    <row r="598">
      <c r="B598" s="308"/>
      <c r="C598" s="252"/>
      <c r="D598" s="253"/>
      <c r="F598" s="309"/>
      <c r="H598" s="302"/>
    </row>
    <row r="599">
      <c r="B599" s="308"/>
      <c r="C599" s="252"/>
      <c r="D599" s="253"/>
      <c r="F599" s="309"/>
      <c r="H599" s="302"/>
    </row>
    <row r="600">
      <c r="B600" s="308"/>
      <c r="C600" s="252"/>
      <c r="D600" s="253"/>
      <c r="F600" s="309"/>
      <c r="H600" s="302"/>
    </row>
    <row r="601">
      <c r="B601" s="308"/>
      <c r="C601" s="252"/>
      <c r="D601" s="253"/>
      <c r="F601" s="309"/>
      <c r="H601" s="302"/>
    </row>
    <row r="602">
      <c r="B602" s="308"/>
      <c r="C602" s="252"/>
      <c r="D602" s="253"/>
      <c r="F602" s="309"/>
      <c r="H602" s="302"/>
    </row>
    <row r="603">
      <c r="B603" s="308"/>
      <c r="C603" s="252"/>
      <c r="D603" s="253"/>
      <c r="F603" s="309"/>
      <c r="H603" s="302"/>
    </row>
    <row r="604">
      <c r="B604" s="308"/>
      <c r="C604" s="252"/>
      <c r="D604" s="253"/>
      <c r="F604" s="309"/>
      <c r="H604" s="302"/>
    </row>
    <row r="605">
      <c r="B605" s="308"/>
      <c r="C605" s="252"/>
      <c r="D605" s="253"/>
      <c r="F605" s="309"/>
      <c r="H605" s="302"/>
    </row>
    <row r="606">
      <c r="B606" s="308"/>
      <c r="C606" s="252"/>
      <c r="D606" s="253"/>
      <c r="F606" s="309"/>
      <c r="H606" s="302"/>
    </row>
    <row r="607">
      <c r="B607" s="308"/>
      <c r="C607" s="252"/>
      <c r="D607" s="253"/>
      <c r="F607" s="309"/>
      <c r="H607" s="302"/>
    </row>
    <row r="608">
      <c r="B608" s="308"/>
      <c r="C608" s="252"/>
      <c r="D608" s="253"/>
      <c r="F608" s="309"/>
      <c r="H608" s="302"/>
    </row>
    <row r="609">
      <c r="B609" s="308"/>
      <c r="C609" s="252"/>
      <c r="D609" s="253"/>
      <c r="F609" s="309"/>
      <c r="H609" s="302"/>
    </row>
    <row r="610">
      <c r="B610" s="308"/>
      <c r="C610" s="252"/>
      <c r="D610" s="253"/>
      <c r="F610" s="309"/>
      <c r="H610" s="302"/>
    </row>
    <row r="611">
      <c r="B611" s="308"/>
      <c r="C611" s="252"/>
      <c r="D611" s="253"/>
      <c r="F611" s="309"/>
      <c r="H611" s="302"/>
    </row>
    <row r="612">
      <c r="B612" s="308"/>
      <c r="C612" s="252"/>
      <c r="D612" s="253"/>
      <c r="F612" s="309"/>
      <c r="H612" s="302"/>
    </row>
    <row r="613">
      <c r="B613" s="308"/>
      <c r="C613" s="252"/>
      <c r="D613" s="253"/>
      <c r="F613" s="309"/>
      <c r="H613" s="302"/>
    </row>
    <row r="614">
      <c r="B614" s="308"/>
      <c r="C614" s="252"/>
      <c r="D614" s="253"/>
      <c r="F614" s="309"/>
      <c r="H614" s="302"/>
    </row>
    <row r="615">
      <c r="B615" s="308"/>
      <c r="C615" s="252"/>
      <c r="D615" s="253"/>
      <c r="F615" s="309"/>
      <c r="H615" s="302"/>
    </row>
    <row r="616">
      <c r="B616" s="308"/>
      <c r="C616" s="252"/>
      <c r="D616" s="253"/>
      <c r="F616" s="309"/>
      <c r="H616" s="302"/>
    </row>
    <row r="617">
      <c r="B617" s="308"/>
      <c r="C617" s="252"/>
      <c r="D617" s="253"/>
      <c r="F617" s="309"/>
      <c r="H617" s="302"/>
    </row>
    <row r="618">
      <c r="B618" s="308"/>
      <c r="C618" s="252"/>
      <c r="D618" s="253"/>
      <c r="F618" s="309"/>
      <c r="H618" s="302"/>
    </row>
    <row r="619">
      <c r="B619" s="308"/>
      <c r="C619" s="252"/>
      <c r="D619" s="253"/>
      <c r="F619" s="309"/>
      <c r="H619" s="302"/>
    </row>
    <row r="620">
      <c r="B620" s="308"/>
      <c r="C620" s="252"/>
      <c r="D620" s="253"/>
      <c r="F620" s="309"/>
      <c r="H620" s="302"/>
    </row>
    <row r="621">
      <c r="B621" s="308"/>
      <c r="C621" s="252"/>
      <c r="D621" s="253"/>
      <c r="F621" s="309"/>
      <c r="H621" s="302"/>
    </row>
    <row r="622">
      <c r="B622" s="308"/>
      <c r="C622" s="252"/>
      <c r="D622" s="253"/>
      <c r="F622" s="309"/>
      <c r="H622" s="302"/>
    </row>
    <row r="623">
      <c r="B623" s="308"/>
      <c r="C623" s="252"/>
      <c r="D623" s="253"/>
      <c r="F623" s="309"/>
      <c r="H623" s="302"/>
    </row>
    <row r="624">
      <c r="B624" s="308"/>
      <c r="C624" s="252"/>
      <c r="D624" s="253"/>
      <c r="F624" s="309"/>
      <c r="H624" s="302"/>
    </row>
    <row r="625">
      <c r="B625" s="308"/>
      <c r="C625" s="252"/>
      <c r="D625" s="253"/>
      <c r="F625" s="309"/>
      <c r="H625" s="302"/>
    </row>
    <row r="626">
      <c r="B626" s="308"/>
      <c r="C626" s="252"/>
      <c r="D626" s="253"/>
      <c r="F626" s="309"/>
      <c r="H626" s="302"/>
    </row>
    <row r="627">
      <c r="B627" s="308"/>
      <c r="C627" s="252"/>
      <c r="D627" s="253"/>
      <c r="F627" s="309"/>
      <c r="H627" s="302"/>
    </row>
    <row r="628">
      <c r="B628" s="308"/>
      <c r="C628" s="252"/>
      <c r="D628" s="253"/>
      <c r="F628" s="309"/>
      <c r="H628" s="302"/>
    </row>
    <row r="629">
      <c r="B629" s="308"/>
      <c r="C629" s="252"/>
      <c r="D629" s="253"/>
      <c r="F629" s="309"/>
      <c r="H629" s="302"/>
    </row>
    <row r="630">
      <c r="B630" s="308"/>
      <c r="C630" s="252"/>
      <c r="D630" s="253"/>
      <c r="F630" s="309"/>
      <c r="H630" s="302"/>
    </row>
    <row r="631">
      <c r="B631" s="308"/>
      <c r="C631" s="252"/>
      <c r="D631" s="253"/>
      <c r="F631" s="309"/>
      <c r="H631" s="302"/>
    </row>
    <row r="632">
      <c r="B632" s="308"/>
      <c r="C632" s="252"/>
      <c r="D632" s="253"/>
      <c r="F632" s="309"/>
      <c r="H632" s="302"/>
    </row>
    <row r="633">
      <c r="B633" s="308"/>
      <c r="C633" s="252"/>
      <c r="D633" s="253"/>
      <c r="F633" s="309"/>
      <c r="H633" s="302"/>
    </row>
    <row r="634">
      <c r="B634" s="308"/>
      <c r="C634" s="252"/>
      <c r="D634" s="253"/>
      <c r="F634" s="309"/>
      <c r="H634" s="302"/>
    </row>
    <row r="635">
      <c r="B635" s="308"/>
      <c r="C635" s="252"/>
      <c r="D635" s="253"/>
      <c r="F635" s="309"/>
      <c r="H635" s="302"/>
    </row>
    <row r="636">
      <c r="B636" s="308"/>
      <c r="C636" s="252"/>
      <c r="D636" s="253"/>
      <c r="F636" s="309"/>
      <c r="H636" s="302"/>
    </row>
    <row r="637">
      <c r="B637" s="308"/>
      <c r="C637" s="252"/>
      <c r="D637" s="253"/>
      <c r="F637" s="309"/>
      <c r="H637" s="302"/>
    </row>
    <row r="638">
      <c r="B638" s="308"/>
      <c r="C638" s="252"/>
      <c r="D638" s="253"/>
      <c r="F638" s="309"/>
      <c r="H638" s="302"/>
    </row>
    <row r="639">
      <c r="B639" s="308"/>
      <c r="C639" s="252"/>
      <c r="D639" s="253"/>
      <c r="F639" s="309"/>
      <c r="H639" s="302"/>
    </row>
    <row r="640">
      <c r="B640" s="308"/>
      <c r="C640" s="252"/>
      <c r="D640" s="253"/>
      <c r="F640" s="309"/>
      <c r="H640" s="302"/>
    </row>
    <row r="641">
      <c r="B641" s="308"/>
      <c r="C641" s="252"/>
      <c r="D641" s="253"/>
      <c r="F641" s="309"/>
      <c r="H641" s="302"/>
    </row>
    <row r="642">
      <c r="B642" s="308"/>
      <c r="C642" s="252"/>
      <c r="D642" s="253"/>
      <c r="F642" s="309"/>
      <c r="H642" s="302"/>
    </row>
    <row r="643">
      <c r="B643" s="308"/>
      <c r="C643" s="252"/>
      <c r="D643" s="253"/>
      <c r="F643" s="309"/>
      <c r="H643" s="302"/>
    </row>
    <row r="644">
      <c r="B644" s="308"/>
      <c r="C644" s="252"/>
      <c r="D644" s="253"/>
      <c r="F644" s="309"/>
      <c r="H644" s="302"/>
    </row>
    <row r="645">
      <c r="B645" s="308"/>
      <c r="C645" s="252"/>
      <c r="D645" s="253"/>
      <c r="F645" s="309"/>
      <c r="H645" s="302"/>
    </row>
    <row r="646">
      <c r="B646" s="308"/>
      <c r="C646" s="252"/>
      <c r="D646" s="253"/>
      <c r="F646" s="309"/>
      <c r="H646" s="302"/>
    </row>
    <row r="647">
      <c r="B647" s="308"/>
      <c r="C647" s="252"/>
      <c r="D647" s="253"/>
      <c r="F647" s="309"/>
      <c r="H647" s="302"/>
    </row>
    <row r="648">
      <c r="B648" s="308"/>
      <c r="C648" s="252"/>
      <c r="D648" s="253"/>
      <c r="F648" s="309"/>
      <c r="H648" s="302"/>
    </row>
    <row r="649">
      <c r="B649" s="308"/>
      <c r="C649" s="252"/>
      <c r="D649" s="253"/>
      <c r="F649" s="309"/>
      <c r="H649" s="302"/>
    </row>
    <row r="650">
      <c r="B650" s="308"/>
      <c r="C650" s="252"/>
      <c r="D650" s="253"/>
      <c r="F650" s="309"/>
      <c r="H650" s="302"/>
    </row>
    <row r="651">
      <c r="B651" s="308"/>
      <c r="C651" s="252"/>
      <c r="D651" s="253"/>
      <c r="F651" s="309"/>
      <c r="H651" s="302"/>
    </row>
    <row r="652">
      <c r="B652" s="308"/>
      <c r="C652" s="252"/>
      <c r="D652" s="253"/>
      <c r="F652" s="309"/>
      <c r="H652" s="302"/>
    </row>
    <row r="653">
      <c r="B653" s="308"/>
      <c r="C653" s="252"/>
      <c r="D653" s="253"/>
      <c r="F653" s="309"/>
      <c r="H653" s="302"/>
    </row>
    <row r="654">
      <c r="B654" s="308"/>
      <c r="C654" s="252"/>
      <c r="D654" s="253"/>
      <c r="F654" s="309"/>
      <c r="H654" s="302"/>
    </row>
    <row r="655">
      <c r="B655" s="308"/>
      <c r="C655" s="252"/>
      <c r="D655" s="253"/>
      <c r="F655" s="309"/>
      <c r="H655" s="302"/>
    </row>
    <row r="656">
      <c r="B656" s="308"/>
      <c r="C656" s="252"/>
      <c r="D656" s="253"/>
      <c r="F656" s="309"/>
      <c r="H656" s="302"/>
    </row>
    <row r="657">
      <c r="B657" s="308"/>
      <c r="C657" s="252"/>
      <c r="D657" s="253"/>
      <c r="F657" s="309"/>
      <c r="H657" s="302"/>
    </row>
    <row r="658">
      <c r="B658" s="308"/>
      <c r="C658" s="252"/>
      <c r="D658" s="253"/>
      <c r="F658" s="309"/>
      <c r="H658" s="302"/>
    </row>
    <row r="659">
      <c r="B659" s="308"/>
      <c r="C659" s="252"/>
      <c r="D659" s="253"/>
      <c r="F659" s="309"/>
      <c r="H659" s="302"/>
    </row>
    <row r="660">
      <c r="B660" s="308"/>
      <c r="C660" s="252"/>
      <c r="D660" s="253"/>
      <c r="F660" s="309"/>
      <c r="H660" s="302"/>
    </row>
    <row r="661">
      <c r="B661" s="308"/>
      <c r="C661" s="252"/>
      <c r="D661" s="253"/>
      <c r="F661" s="309"/>
      <c r="H661" s="302"/>
    </row>
    <row r="662">
      <c r="B662" s="308"/>
      <c r="C662" s="252"/>
      <c r="D662" s="253"/>
      <c r="F662" s="309"/>
      <c r="H662" s="302"/>
    </row>
    <row r="663">
      <c r="B663" s="308"/>
      <c r="C663" s="252"/>
      <c r="D663" s="253"/>
      <c r="F663" s="309"/>
      <c r="H663" s="302"/>
    </row>
    <row r="664">
      <c r="B664" s="308"/>
      <c r="C664" s="252"/>
      <c r="D664" s="253"/>
      <c r="F664" s="309"/>
      <c r="H664" s="302"/>
    </row>
    <row r="665">
      <c r="B665" s="308"/>
      <c r="C665" s="252"/>
      <c r="D665" s="253"/>
      <c r="F665" s="309"/>
      <c r="H665" s="302"/>
    </row>
    <row r="666">
      <c r="B666" s="308"/>
      <c r="C666" s="252"/>
      <c r="D666" s="253"/>
      <c r="F666" s="309"/>
      <c r="H666" s="302"/>
    </row>
    <row r="667">
      <c r="B667" s="308"/>
      <c r="C667" s="252"/>
      <c r="D667" s="253"/>
      <c r="F667" s="309"/>
      <c r="H667" s="302"/>
    </row>
    <row r="668">
      <c r="B668" s="308"/>
      <c r="C668" s="252"/>
      <c r="D668" s="253"/>
      <c r="F668" s="309"/>
      <c r="H668" s="302"/>
    </row>
    <row r="669">
      <c r="B669" s="308"/>
      <c r="C669" s="252"/>
      <c r="D669" s="253"/>
      <c r="F669" s="309"/>
      <c r="H669" s="302"/>
    </row>
    <row r="670">
      <c r="B670" s="308"/>
      <c r="C670" s="252"/>
      <c r="D670" s="253"/>
      <c r="F670" s="309"/>
      <c r="H670" s="302"/>
    </row>
    <row r="671">
      <c r="B671" s="308"/>
      <c r="C671" s="252"/>
      <c r="D671" s="253"/>
      <c r="F671" s="309"/>
      <c r="H671" s="302"/>
    </row>
    <row r="672">
      <c r="B672" s="308"/>
      <c r="C672" s="252"/>
      <c r="D672" s="253"/>
      <c r="F672" s="309"/>
      <c r="H672" s="302"/>
    </row>
    <row r="673">
      <c r="B673" s="308"/>
      <c r="C673" s="252"/>
      <c r="D673" s="253"/>
      <c r="F673" s="309"/>
      <c r="H673" s="302"/>
    </row>
    <row r="674">
      <c r="B674" s="308"/>
      <c r="C674" s="252"/>
      <c r="D674" s="253"/>
      <c r="F674" s="309"/>
      <c r="H674" s="302"/>
    </row>
    <row r="675">
      <c r="B675" s="308"/>
      <c r="C675" s="252"/>
      <c r="D675" s="253"/>
      <c r="F675" s="309"/>
      <c r="H675" s="302"/>
    </row>
    <row r="676">
      <c r="B676" s="308"/>
      <c r="C676" s="252"/>
      <c r="D676" s="253"/>
      <c r="F676" s="309"/>
      <c r="H676" s="302"/>
    </row>
    <row r="677">
      <c r="B677" s="308"/>
      <c r="C677" s="252"/>
      <c r="D677" s="253"/>
      <c r="F677" s="309"/>
      <c r="H677" s="302"/>
    </row>
    <row r="678">
      <c r="B678" s="308"/>
      <c r="C678" s="252"/>
      <c r="D678" s="253"/>
      <c r="F678" s="309"/>
      <c r="H678" s="302"/>
    </row>
    <row r="679">
      <c r="B679" s="308"/>
      <c r="C679" s="252"/>
      <c r="D679" s="253"/>
      <c r="F679" s="309"/>
      <c r="H679" s="302"/>
    </row>
    <row r="680">
      <c r="B680" s="308"/>
      <c r="C680" s="252"/>
      <c r="D680" s="253"/>
      <c r="F680" s="309"/>
      <c r="H680" s="302"/>
    </row>
    <row r="681">
      <c r="B681" s="308"/>
      <c r="C681" s="252"/>
      <c r="D681" s="253"/>
      <c r="F681" s="309"/>
      <c r="H681" s="302"/>
    </row>
    <row r="682">
      <c r="B682" s="308"/>
      <c r="C682" s="252"/>
      <c r="D682" s="253"/>
      <c r="F682" s="309"/>
      <c r="H682" s="302"/>
    </row>
    <row r="683">
      <c r="B683" s="308"/>
      <c r="C683" s="252"/>
      <c r="D683" s="253"/>
      <c r="F683" s="309"/>
      <c r="H683" s="302"/>
    </row>
    <row r="684">
      <c r="B684" s="308"/>
      <c r="C684" s="252"/>
      <c r="D684" s="253"/>
      <c r="F684" s="309"/>
      <c r="H684" s="302"/>
    </row>
    <row r="685">
      <c r="B685" s="308"/>
      <c r="C685" s="252"/>
      <c r="D685" s="253"/>
      <c r="F685" s="309"/>
      <c r="H685" s="302"/>
    </row>
    <row r="686">
      <c r="B686" s="308"/>
      <c r="C686" s="252"/>
      <c r="D686" s="253"/>
      <c r="F686" s="309"/>
      <c r="H686" s="302"/>
    </row>
    <row r="687">
      <c r="B687" s="308"/>
      <c r="C687" s="252"/>
      <c r="D687" s="253"/>
      <c r="F687" s="309"/>
      <c r="H687" s="302"/>
    </row>
    <row r="688">
      <c r="B688" s="308"/>
      <c r="C688" s="252"/>
      <c r="D688" s="253"/>
      <c r="F688" s="309"/>
      <c r="H688" s="302"/>
    </row>
    <row r="689">
      <c r="B689" s="308"/>
      <c r="C689" s="252"/>
      <c r="D689" s="253"/>
      <c r="F689" s="309"/>
      <c r="H689" s="302"/>
    </row>
    <row r="690">
      <c r="B690" s="308"/>
      <c r="C690" s="252"/>
      <c r="D690" s="253"/>
      <c r="F690" s="309"/>
      <c r="H690" s="302"/>
    </row>
    <row r="691">
      <c r="B691" s="308"/>
      <c r="C691" s="252"/>
      <c r="D691" s="253"/>
      <c r="F691" s="309"/>
      <c r="H691" s="302"/>
    </row>
    <row r="692">
      <c r="B692" s="308"/>
      <c r="C692" s="252"/>
      <c r="D692" s="253"/>
      <c r="F692" s="309"/>
      <c r="H692" s="302"/>
    </row>
    <row r="693">
      <c r="B693" s="308"/>
      <c r="C693" s="252"/>
      <c r="D693" s="253"/>
      <c r="F693" s="309"/>
      <c r="H693" s="302"/>
    </row>
    <row r="694">
      <c r="B694" s="308"/>
      <c r="C694" s="252"/>
      <c r="D694" s="253"/>
      <c r="F694" s="309"/>
      <c r="H694" s="302"/>
    </row>
    <row r="695">
      <c r="B695" s="308"/>
      <c r="C695" s="252"/>
      <c r="D695" s="253"/>
      <c r="F695" s="309"/>
      <c r="H695" s="302"/>
    </row>
    <row r="696">
      <c r="B696" s="308"/>
      <c r="C696" s="252"/>
      <c r="D696" s="253"/>
      <c r="F696" s="309"/>
      <c r="H696" s="302"/>
    </row>
    <row r="697">
      <c r="B697" s="308"/>
      <c r="C697" s="252"/>
      <c r="D697" s="253"/>
      <c r="F697" s="309"/>
      <c r="H697" s="302"/>
    </row>
    <row r="698">
      <c r="B698" s="308"/>
      <c r="C698" s="252"/>
      <c r="D698" s="253"/>
      <c r="F698" s="309"/>
      <c r="H698" s="302"/>
    </row>
    <row r="699">
      <c r="B699" s="308"/>
      <c r="C699" s="252"/>
      <c r="D699" s="253"/>
      <c r="F699" s="309"/>
      <c r="H699" s="302"/>
    </row>
    <row r="700">
      <c r="B700" s="308"/>
      <c r="C700" s="252"/>
      <c r="D700" s="253"/>
      <c r="F700" s="309"/>
      <c r="H700" s="302"/>
    </row>
    <row r="701">
      <c r="B701" s="308"/>
      <c r="C701" s="252"/>
      <c r="D701" s="253"/>
      <c r="F701" s="309"/>
      <c r="H701" s="302"/>
    </row>
    <row r="702">
      <c r="B702" s="308"/>
      <c r="C702" s="252"/>
      <c r="D702" s="253"/>
      <c r="F702" s="309"/>
      <c r="H702" s="302"/>
    </row>
    <row r="703">
      <c r="B703" s="308"/>
      <c r="C703" s="252"/>
      <c r="D703" s="253"/>
      <c r="F703" s="309"/>
      <c r="H703" s="302"/>
    </row>
    <row r="704">
      <c r="B704" s="308"/>
      <c r="C704" s="252"/>
      <c r="D704" s="253"/>
      <c r="F704" s="309"/>
      <c r="H704" s="302"/>
    </row>
    <row r="705">
      <c r="B705" s="308"/>
      <c r="C705" s="252"/>
      <c r="D705" s="253"/>
      <c r="F705" s="309"/>
      <c r="H705" s="302"/>
    </row>
    <row r="706">
      <c r="B706" s="308"/>
      <c r="C706" s="252"/>
      <c r="D706" s="253"/>
      <c r="F706" s="309"/>
      <c r="H706" s="302"/>
    </row>
    <row r="707">
      <c r="B707" s="308"/>
      <c r="C707" s="252"/>
      <c r="D707" s="253"/>
      <c r="F707" s="309"/>
      <c r="H707" s="302"/>
    </row>
    <row r="708">
      <c r="B708" s="308"/>
      <c r="C708" s="252"/>
      <c r="D708" s="253"/>
      <c r="F708" s="309"/>
      <c r="H708" s="302"/>
    </row>
    <row r="709">
      <c r="B709" s="308"/>
      <c r="C709" s="252"/>
      <c r="D709" s="253"/>
      <c r="F709" s="309"/>
      <c r="H709" s="302"/>
    </row>
    <row r="710">
      <c r="B710" s="308"/>
      <c r="C710" s="252"/>
      <c r="D710" s="253"/>
      <c r="F710" s="309"/>
      <c r="H710" s="302"/>
    </row>
    <row r="711">
      <c r="B711" s="308"/>
      <c r="C711" s="252"/>
      <c r="D711" s="253"/>
      <c r="F711" s="309"/>
      <c r="H711" s="302"/>
    </row>
    <row r="712">
      <c r="B712" s="308"/>
      <c r="C712" s="252"/>
      <c r="D712" s="253"/>
      <c r="F712" s="309"/>
      <c r="H712" s="302"/>
    </row>
    <row r="713">
      <c r="B713" s="308"/>
      <c r="C713" s="252"/>
      <c r="D713" s="253"/>
      <c r="F713" s="309"/>
      <c r="H713" s="302"/>
    </row>
    <row r="714">
      <c r="B714" s="308"/>
      <c r="C714" s="252"/>
      <c r="D714" s="253"/>
      <c r="F714" s="309"/>
      <c r="H714" s="302"/>
    </row>
    <row r="715">
      <c r="B715" s="308"/>
      <c r="C715" s="252"/>
      <c r="D715" s="253"/>
      <c r="F715" s="309"/>
      <c r="H715" s="302"/>
    </row>
    <row r="716">
      <c r="B716" s="308"/>
      <c r="C716" s="252"/>
      <c r="D716" s="253"/>
      <c r="F716" s="309"/>
      <c r="H716" s="302"/>
    </row>
    <row r="717">
      <c r="B717" s="308"/>
      <c r="C717" s="252"/>
      <c r="D717" s="253"/>
      <c r="F717" s="309"/>
      <c r="H717" s="302"/>
    </row>
    <row r="718">
      <c r="B718" s="308"/>
      <c r="C718" s="252"/>
      <c r="D718" s="253"/>
      <c r="F718" s="309"/>
      <c r="H718" s="302"/>
    </row>
    <row r="719">
      <c r="B719" s="308"/>
      <c r="C719" s="252"/>
      <c r="D719" s="253"/>
      <c r="F719" s="309"/>
      <c r="H719" s="302"/>
    </row>
    <row r="720">
      <c r="B720" s="308"/>
      <c r="C720" s="252"/>
      <c r="D720" s="253"/>
      <c r="F720" s="309"/>
      <c r="H720" s="302"/>
    </row>
    <row r="721">
      <c r="B721" s="308"/>
      <c r="C721" s="252"/>
      <c r="D721" s="253"/>
      <c r="F721" s="309"/>
      <c r="H721" s="302"/>
    </row>
    <row r="722">
      <c r="B722" s="308"/>
      <c r="C722" s="252"/>
      <c r="D722" s="253"/>
      <c r="F722" s="309"/>
      <c r="H722" s="302"/>
    </row>
    <row r="723">
      <c r="B723" s="308"/>
      <c r="C723" s="252"/>
      <c r="D723" s="253"/>
      <c r="F723" s="309"/>
      <c r="H723" s="302"/>
    </row>
    <row r="724">
      <c r="B724" s="308"/>
      <c r="C724" s="252"/>
      <c r="D724" s="253"/>
      <c r="F724" s="309"/>
      <c r="H724" s="302"/>
    </row>
    <row r="725">
      <c r="B725" s="308"/>
      <c r="C725" s="252"/>
      <c r="D725" s="253"/>
      <c r="F725" s="309"/>
      <c r="H725" s="302"/>
    </row>
    <row r="726">
      <c r="B726" s="308"/>
      <c r="C726" s="252"/>
      <c r="D726" s="253"/>
      <c r="F726" s="309"/>
      <c r="H726" s="302"/>
    </row>
    <row r="727">
      <c r="B727" s="308"/>
      <c r="C727" s="252"/>
      <c r="D727" s="253"/>
      <c r="F727" s="309"/>
      <c r="H727" s="302"/>
    </row>
    <row r="728">
      <c r="B728" s="308"/>
      <c r="C728" s="252"/>
      <c r="D728" s="253"/>
      <c r="F728" s="309"/>
      <c r="H728" s="302"/>
    </row>
    <row r="729">
      <c r="B729" s="308"/>
      <c r="C729" s="252"/>
      <c r="D729" s="253"/>
      <c r="F729" s="309"/>
      <c r="H729" s="302"/>
    </row>
    <row r="730">
      <c r="B730" s="308"/>
      <c r="C730" s="252"/>
      <c r="D730" s="253"/>
      <c r="F730" s="309"/>
      <c r="H730" s="302"/>
    </row>
    <row r="731">
      <c r="B731" s="308"/>
      <c r="C731" s="252"/>
      <c r="D731" s="253"/>
      <c r="F731" s="309"/>
      <c r="H731" s="302"/>
    </row>
    <row r="732">
      <c r="B732" s="308"/>
      <c r="C732" s="252"/>
      <c r="D732" s="253"/>
      <c r="F732" s="309"/>
      <c r="H732" s="302"/>
    </row>
    <row r="733">
      <c r="B733" s="308"/>
      <c r="C733" s="252"/>
      <c r="D733" s="253"/>
      <c r="F733" s="309"/>
      <c r="H733" s="302"/>
    </row>
    <row r="734">
      <c r="B734" s="308"/>
      <c r="C734" s="252"/>
      <c r="D734" s="253"/>
      <c r="F734" s="309"/>
      <c r="H734" s="302"/>
    </row>
    <row r="735">
      <c r="B735" s="308"/>
      <c r="C735" s="252"/>
      <c r="D735" s="253"/>
      <c r="F735" s="309"/>
      <c r="H735" s="302"/>
    </row>
    <row r="736">
      <c r="B736" s="308"/>
      <c r="C736" s="252"/>
      <c r="D736" s="253"/>
      <c r="F736" s="309"/>
      <c r="H736" s="302"/>
    </row>
    <row r="737">
      <c r="B737" s="308"/>
      <c r="C737" s="252"/>
      <c r="D737" s="253"/>
      <c r="F737" s="309"/>
      <c r="H737" s="302"/>
    </row>
    <row r="738">
      <c r="B738" s="308"/>
      <c r="C738" s="252"/>
      <c r="D738" s="253"/>
      <c r="F738" s="309"/>
      <c r="H738" s="302"/>
    </row>
    <row r="739">
      <c r="B739" s="308"/>
      <c r="C739" s="252"/>
      <c r="D739" s="253"/>
      <c r="F739" s="309"/>
      <c r="H739" s="302"/>
    </row>
    <row r="740">
      <c r="B740" s="308"/>
      <c r="C740" s="252"/>
      <c r="D740" s="253"/>
      <c r="F740" s="309"/>
      <c r="H740" s="302"/>
    </row>
    <row r="741">
      <c r="B741" s="308"/>
      <c r="C741" s="252"/>
      <c r="D741" s="253"/>
      <c r="F741" s="309"/>
      <c r="H741" s="302"/>
    </row>
    <row r="742">
      <c r="B742" s="308"/>
      <c r="C742" s="252"/>
      <c r="D742" s="253"/>
      <c r="F742" s="309"/>
      <c r="H742" s="302"/>
    </row>
    <row r="743">
      <c r="B743" s="308"/>
      <c r="C743" s="252"/>
      <c r="D743" s="253"/>
      <c r="F743" s="309"/>
      <c r="H743" s="302"/>
    </row>
    <row r="744">
      <c r="B744" s="308"/>
      <c r="C744" s="252"/>
      <c r="D744" s="253"/>
      <c r="F744" s="309"/>
      <c r="H744" s="302"/>
    </row>
    <row r="745">
      <c r="B745" s="308"/>
      <c r="C745" s="252"/>
      <c r="D745" s="253"/>
      <c r="F745" s="309"/>
      <c r="H745" s="302"/>
    </row>
    <row r="746">
      <c r="B746" s="308"/>
      <c r="C746" s="252"/>
      <c r="D746" s="253"/>
      <c r="F746" s="309"/>
      <c r="H746" s="302"/>
    </row>
    <row r="747">
      <c r="B747" s="308"/>
      <c r="C747" s="252"/>
      <c r="D747" s="253"/>
      <c r="F747" s="309"/>
      <c r="H747" s="302"/>
    </row>
    <row r="748">
      <c r="B748" s="308"/>
      <c r="C748" s="252"/>
      <c r="D748" s="253"/>
      <c r="F748" s="309"/>
      <c r="H748" s="302"/>
    </row>
    <row r="749">
      <c r="B749" s="308"/>
      <c r="C749" s="252"/>
      <c r="D749" s="253"/>
      <c r="F749" s="309"/>
      <c r="H749" s="302"/>
    </row>
  </sheetData>
  <mergeCells count="30">
    <mergeCell ref="A15:A27"/>
    <mergeCell ref="A28:A40"/>
    <mergeCell ref="A41:A54"/>
    <mergeCell ref="A57:A66"/>
    <mergeCell ref="A67:A80"/>
    <mergeCell ref="A81:A92"/>
    <mergeCell ref="A93:A108"/>
    <mergeCell ref="A109:A122"/>
    <mergeCell ref="A123:A140"/>
    <mergeCell ref="A141:A155"/>
    <mergeCell ref="A156:A170"/>
    <mergeCell ref="A171:A180"/>
    <mergeCell ref="A181:A195"/>
    <mergeCell ref="A196:A211"/>
    <mergeCell ref="A212:A226"/>
    <mergeCell ref="A227:A238"/>
    <mergeCell ref="A239:A253"/>
    <mergeCell ref="A254:A267"/>
    <mergeCell ref="A268:A281"/>
    <mergeCell ref="A282:A294"/>
    <mergeCell ref="A295:A308"/>
    <mergeCell ref="A421:A430"/>
    <mergeCell ref="A431:A440"/>
    <mergeCell ref="A309:A323"/>
    <mergeCell ref="A324:A338"/>
    <mergeCell ref="A339:A351"/>
    <mergeCell ref="A352:A369"/>
    <mergeCell ref="A370:A387"/>
    <mergeCell ref="A388:A398"/>
    <mergeCell ref="A399:A4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/>
      <c r="B1" s="232" t="s">
        <v>52</v>
      </c>
      <c r="C1" s="233" t="s">
        <v>53</v>
      </c>
      <c r="D1" s="820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47">
        <v>8730.88</v>
      </c>
      <c r="C2" s="248"/>
      <c r="D2" s="331"/>
      <c r="F2" s="250"/>
      <c r="G2" s="254" t="s">
        <v>58</v>
      </c>
      <c r="H2" s="82">
        <v>60.5</v>
      </c>
      <c r="I2" s="2" t="s">
        <v>59</v>
      </c>
    </row>
    <row r="3">
      <c r="A3" s="246"/>
      <c r="B3" s="247">
        <v>18640.0</v>
      </c>
      <c r="C3" s="248"/>
      <c r="D3" s="331"/>
      <c r="F3" s="250"/>
      <c r="G3" s="254" t="s">
        <v>662</v>
      </c>
      <c r="H3" s="302"/>
    </row>
    <row r="4">
      <c r="A4" s="246"/>
      <c r="B4" s="247"/>
      <c r="C4" s="248"/>
      <c r="D4" s="331"/>
      <c r="F4" s="250">
        <v>525.2</v>
      </c>
      <c r="G4" s="254" t="s">
        <v>63</v>
      </c>
      <c r="H4" s="302"/>
    </row>
    <row r="5">
      <c r="A5" s="246"/>
      <c r="B5" s="247"/>
      <c r="C5" s="248"/>
      <c r="D5" s="331"/>
      <c r="F5" s="250">
        <v>1000.0</v>
      </c>
      <c r="G5" s="254" t="s">
        <v>2707</v>
      </c>
      <c r="H5" s="302"/>
    </row>
    <row r="6">
      <c r="A6" s="246"/>
      <c r="B6" s="247"/>
      <c r="C6" s="248"/>
      <c r="D6" s="331"/>
      <c r="F6" s="250">
        <v>452.0</v>
      </c>
      <c r="G6" s="254" t="s">
        <v>2708</v>
      </c>
      <c r="H6" s="302"/>
    </row>
    <row r="7">
      <c r="A7" s="246">
        <v>1.0</v>
      </c>
      <c r="B7" s="247"/>
      <c r="C7" s="248"/>
      <c r="D7" s="331"/>
      <c r="F7" s="250">
        <v>21000.0</v>
      </c>
      <c r="G7" s="254" t="s">
        <v>64</v>
      </c>
      <c r="H7" s="302"/>
    </row>
    <row r="8">
      <c r="A8" s="246"/>
      <c r="B8" s="247"/>
      <c r="C8" s="248">
        <v>34380.65</v>
      </c>
      <c r="D8" s="331"/>
      <c r="F8" s="250"/>
      <c r="G8" s="254" t="s">
        <v>2637</v>
      </c>
      <c r="H8" s="302"/>
    </row>
    <row r="9">
      <c r="A9" s="246"/>
      <c r="B9" s="247"/>
      <c r="C9" s="248"/>
      <c r="D9" s="331"/>
      <c r="F9" s="250">
        <v>1320.0</v>
      </c>
      <c r="G9" s="254" t="s">
        <v>215</v>
      </c>
      <c r="H9" s="302"/>
    </row>
    <row r="10">
      <c r="A10" s="246"/>
      <c r="B10" s="247"/>
      <c r="C10" s="248"/>
      <c r="D10" s="331"/>
      <c r="F10" s="250">
        <v>2500.0</v>
      </c>
      <c r="G10" s="254" t="s">
        <v>101</v>
      </c>
      <c r="H10" s="302"/>
    </row>
    <row r="11">
      <c r="A11" s="246"/>
      <c r="B11" s="247"/>
      <c r="C11" s="248"/>
      <c r="D11" s="331"/>
      <c r="F11" s="250">
        <v>6500.0</v>
      </c>
      <c r="G11" s="254" t="s">
        <v>426</v>
      </c>
      <c r="H11" s="302"/>
    </row>
    <row r="12">
      <c r="A12" s="246"/>
      <c r="B12" s="247">
        <v>3984.0</v>
      </c>
      <c r="C12" s="248"/>
      <c r="D12" s="331"/>
      <c r="F12" s="250"/>
      <c r="G12" s="254" t="s">
        <v>2681</v>
      </c>
      <c r="H12" s="302"/>
    </row>
    <row r="13">
      <c r="A13" s="246"/>
      <c r="B13" s="247">
        <v>5350.0</v>
      </c>
      <c r="C13" s="248"/>
      <c r="D13" s="331"/>
      <c r="F13" s="250"/>
      <c r="G13" s="254" t="s">
        <v>2706</v>
      </c>
      <c r="H13" s="302"/>
    </row>
    <row r="14">
      <c r="A14" s="255"/>
      <c r="B14" s="256"/>
      <c r="C14" s="248"/>
      <c r="D14" s="331"/>
      <c r="F14" s="250"/>
      <c r="G14" s="254"/>
      <c r="H14" s="251"/>
    </row>
    <row r="15">
      <c r="A15" s="816">
        <v>2.0</v>
      </c>
      <c r="B15" s="247"/>
      <c r="C15" s="263"/>
      <c r="D15" s="821"/>
      <c r="E15" s="242"/>
      <c r="F15" s="243">
        <v>500.0</v>
      </c>
      <c r="G15" s="276" t="s">
        <v>102</v>
      </c>
      <c r="H15" s="245">
        <v>69.0</v>
      </c>
      <c r="I15" s="2" t="s">
        <v>72</v>
      </c>
    </row>
    <row r="16">
      <c r="A16" s="265"/>
      <c r="B16" s="247">
        <v>13700.0</v>
      </c>
      <c r="C16" s="248"/>
      <c r="D16" s="331"/>
      <c r="F16" s="250"/>
      <c r="G16" s="254" t="s">
        <v>79</v>
      </c>
      <c r="H16" s="251"/>
    </row>
    <row r="17">
      <c r="A17" s="265"/>
      <c r="B17" s="247"/>
      <c r="C17" s="248"/>
      <c r="D17" s="331">
        <v>33724.8</v>
      </c>
      <c r="F17" s="250"/>
      <c r="G17" s="254" t="s">
        <v>92</v>
      </c>
      <c r="H17" s="251"/>
    </row>
    <row r="18">
      <c r="A18" s="265"/>
      <c r="B18" s="247">
        <v>3108.0</v>
      </c>
      <c r="C18" s="252"/>
      <c r="D18" s="331"/>
      <c r="F18" s="250"/>
      <c r="G18" s="254" t="s">
        <v>283</v>
      </c>
      <c r="H18" s="251"/>
    </row>
    <row r="19">
      <c r="A19" s="265"/>
      <c r="B19" s="247"/>
      <c r="C19" s="252"/>
      <c r="D19" s="331">
        <v>44068.2</v>
      </c>
      <c r="F19" s="250"/>
      <c r="G19" s="254" t="s">
        <v>167</v>
      </c>
      <c r="H19" s="251"/>
    </row>
    <row r="20">
      <c r="A20" s="265"/>
      <c r="B20" s="247"/>
      <c r="C20" s="248"/>
      <c r="D20" s="331"/>
      <c r="F20" s="250"/>
      <c r="G20" s="254"/>
      <c r="H20" s="251"/>
    </row>
    <row r="21">
      <c r="A21" s="265"/>
      <c r="B21" s="247"/>
      <c r="C21" s="252"/>
      <c r="D21" s="331"/>
      <c r="F21" s="250"/>
      <c r="G21" s="254"/>
      <c r="H21" s="251"/>
    </row>
    <row r="22">
      <c r="A22" s="265"/>
      <c r="B22" s="247"/>
      <c r="C22" s="248"/>
      <c r="D22" s="331"/>
      <c r="F22" s="250"/>
      <c r="G22" s="254"/>
      <c r="H22" s="251"/>
    </row>
    <row r="23">
      <c r="A23" s="265"/>
      <c r="B23" s="247"/>
      <c r="C23" s="252"/>
      <c r="D23" s="822"/>
      <c r="F23" s="250"/>
      <c r="G23" s="254"/>
      <c r="H23" s="251"/>
    </row>
    <row r="24">
      <c r="A24" s="265"/>
      <c r="B24" s="278"/>
      <c r="C24" s="252"/>
      <c r="D24" s="822"/>
      <c r="F24" s="250"/>
      <c r="G24" s="254"/>
      <c r="H24" s="251"/>
    </row>
    <row r="25">
      <c r="A25" s="265"/>
      <c r="B25" s="278"/>
      <c r="C25" s="252"/>
      <c r="D25" s="331"/>
      <c r="F25" s="250"/>
      <c r="H25" s="251"/>
    </row>
    <row r="26">
      <c r="A26" s="265"/>
      <c r="B26" s="278"/>
      <c r="C26" s="252"/>
      <c r="D26" s="822"/>
      <c r="F26" s="250"/>
      <c r="G26" s="269"/>
      <c r="H26" s="251"/>
    </row>
    <row r="27">
      <c r="A27" s="270"/>
      <c r="B27" s="271"/>
      <c r="C27" s="272"/>
      <c r="D27" s="823"/>
      <c r="E27" s="18"/>
      <c r="F27" s="274"/>
      <c r="G27" s="275"/>
      <c r="H27" s="261"/>
    </row>
    <row r="28">
      <c r="A28" s="262">
        <v>3.0</v>
      </c>
      <c r="B28" s="239"/>
      <c r="C28" s="263">
        <v>25499.88</v>
      </c>
      <c r="D28" s="821"/>
      <c r="E28" s="242"/>
      <c r="F28" s="250"/>
      <c r="G28" s="2" t="s">
        <v>84</v>
      </c>
      <c r="H28" s="245">
        <v>58.0</v>
      </c>
      <c r="I28" s="2" t="s">
        <v>72</v>
      </c>
    </row>
    <row r="29">
      <c r="A29" s="265"/>
      <c r="B29" s="247"/>
      <c r="C29" s="248"/>
      <c r="D29" s="331">
        <v>17800.0</v>
      </c>
      <c r="F29" s="266"/>
      <c r="G29" s="2" t="s">
        <v>122</v>
      </c>
      <c r="H29" s="251"/>
    </row>
    <row r="30">
      <c r="A30" s="265"/>
      <c r="B30" s="247">
        <v>7129.68</v>
      </c>
      <c r="C30" s="248"/>
      <c r="D30" s="331"/>
      <c r="F30" s="250"/>
      <c r="G30" s="2" t="s">
        <v>82</v>
      </c>
      <c r="H30" s="251"/>
    </row>
    <row r="31">
      <c r="A31" s="265"/>
      <c r="B31" s="247"/>
      <c r="C31" s="252"/>
      <c r="D31" s="822"/>
      <c r="F31" s="250"/>
      <c r="H31" s="251"/>
    </row>
    <row r="32">
      <c r="A32" s="265"/>
      <c r="B32" s="247"/>
      <c r="C32" s="248"/>
      <c r="D32" s="331"/>
      <c r="F32" s="250"/>
      <c r="H32" s="251"/>
    </row>
    <row r="33">
      <c r="A33" s="265"/>
      <c r="B33" s="247"/>
      <c r="C33" s="252"/>
      <c r="D33" s="331"/>
      <c r="F33" s="250"/>
      <c r="H33" s="251"/>
    </row>
    <row r="34">
      <c r="A34" s="265"/>
      <c r="B34" s="247"/>
      <c r="C34" s="252"/>
      <c r="D34" s="822"/>
      <c r="F34" s="250"/>
      <c r="G34" s="254"/>
      <c r="H34" s="251"/>
    </row>
    <row r="35">
      <c r="A35" s="265"/>
      <c r="B35" s="247"/>
      <c r="C35" s="252"/>
      <c r="D35" s="331"/>
      <c r="F35" s="250"/>
      <c r="G35" s="254"/>
      <c r="H35" s="267"/>
    </row>
    <row r="36">
      <c r="A36" s="265"/>
      <c r="B36" s="268"/>
      <c r="C36" s="252"/>
      <c r="D36" s="822"/>
      <c r="F36" s="250"/>
      <c r="G36" s="254"/>
      <c r="H36" s="267"/>
    </row>
    <row r="37">
      <c r="A37" s="265"/>
      <c r="B37" s="247"/>
      <c r="C37" s="252"/>
      <c r="D37" s="822"/>
      <c r="F37" s="250"/>
      <c r="G37" s="254"/>
      <c r="H37" s="251"/>
    </row>
    <row r="38">
      <c r="A38" s="265"/>
      <c r="B38" s="247"/>
      <c r="C38" s="252"/>
      <c r="D38" s="822"/>
      <c r="F38" s="250"/>
      <c r="G38" s="254"/>
      <c r="H38" s="251"/>
    </row>
    <row r="39">
      <c r="A39" s="265"/>
      <c r="B39" s="268"/>
      <c r="C39" s="252"/>
      <c r="D39" s="822"/>
      <c r="F39" s="250"/>
      <c r="G39" s="269"/>
      <c r="H39" s="251"/>
    </row>
    <row r="40">
      <c r="A40" s="270"/>
      <c r="B40" s="271"/>
      <c r="C40" s="272"/>
      <c r="D40" s="823"/>
      <c r="E40" s="18"/>
      <c r="F40" s="274"/>
      <c r="G40" s="275"/>
      <c r="H40" s="261"/>
    </row>
    <row r="41">
      <c r="A41" s="262">
        <v>4.0</v>
      </c>
      <c r="B41" s="239"/>
      <c r="C41" s="240"/>
      <c r="D41" s="824"/>
      <c r="E41" s="242"/>
      <c r="F41" s="243">
        <v>32985.18</v>
      </c>
      <c r="G41" s="276" t="s">
        <v>794</v>
      </c>
      <c r="H41" s="245">
        <v>28.0</v>
      </c>
      <c r="I41" s="2" t="s">
        <v>59</v>
      </c>
    </row>
    <row r="42">
      <c r="A42" s="265"/>
      <c r="B42" s="247"/>
      <c r="C42" s="248"/>
      <c r="D42" s="331">
        <v>12132.14</v>
      </c>
      <c r="F42" s="250"/>
      <c r="G42" s="2" t="s">
        <v>794</v>
      </c>
      <c r="H42" s="251"/>
    </row>
    <row r="43">
      <c r="A43" s="265"/>
      <c r="B43" s="247"/>
      <c r="C43" s="248"/>
      <c r="D43" s="331"/>
      <c r="F43" s="250"/>
      <c r="G43" s="254" t="s">
        <v>97</v>
      </c>
      <c r="H43" s="251"/>
    </row>
    <row r="44">
      <c r="A44" s="265"/>
      <c r="B44" s="247">
        <v>5639.0</v>
      </c>
      <c r="C44" s="252"/>
      <c r="D44" s="822"/>
      <c r="F44" s="250"/>
      <c r="G44" s="254" t="s">
        <v>2709</v>
      </c>
      <c r="H44" s="251"/>
    </row>
    <row r="45">
      <c r="A45" s="265"/>
      <c r="B45" s="247"/>
      <c r="C45" s="252"/>
      <c r="D45" s="331"/>
      <c r="F45" s="250">
        <v>6700.0</v>
      </c>
      <c r="G45" s="254" t="s">
        <v>68</v>
      </c>
      <c r="H45" s="251"/>
    </row>
    <row r="46">
      <c r="A46" s="265"/>
      <c r="B46" s="247"/>
      <c r="C46" s="252"/>
      <c r="D46" s="331"/>
      <c r="F46" s="250">
        <v>21000.0</v>
      </c>
      <c r="G46" s="254" t="s">
        <v>87</v>
      </c>
      <c r="H46" s="267"/>
    </row>
    <row r="47">
      <c r="A47" s="265"/>
      <c r="B47" s="247"/>
      <c r="C47" s="248"/>
      <c r="D47" s="331"/>
      <c r="F47" s="250">
        <f>852+783+846+462</f>
        <v>2943</v>
      </c>
      <c r="G47" s="254" t="s">
        <v>97</v>
      </c>
      <c r="H47" s="251"/>
    </row>
    <row r="48">
      <c r="A48" s="265"/>
      <c r="B48" s="247"/>
      <c r="C48" s="252"/>
      <c r="D48" s="822"/>
      <c r="F48" s="250">
        <v>700.0</v>
      </c>
      <c r="G48" s="254" t="s">
        <v>2710</v>
      </c>
      <c r="H48" s="251"/>
    </row>
    <row r="49">
      <c r="A49" s="265"/>
      <c r="B49" s="247">
        <v>27297.61</v>
      </c>
      <c r="C49" s="248"/>
      <c r="D49" s="822"/>
      <c r="F49" s="250"/>
      <c r="G49" s="254" t="s">
        <v>450</v>
      </c>
      <c r="H49" s="251"/>
      <c r="I49" s="2" t="s">
        <v>2711</v>
      </c>
    </row>
    <row r="50">
      <c r="A50" s="265"/>
      <c r="B50" s="278"/>
      <c r="C50" s="252"/>
      <c r="D50" s="822"/>
      <c r="F50" s="250">
        <v>640.0</v>
      </c>
      <c r="G50" s="254" t="s">
        <v>464</v>
      </c>
      <c r="H50" s="251"/>
    </row>
    <row r="51">
      <c r="A51" s="265"/>
      <c r="B51" s="278"/>
      <c r="C51" s="252"/>
      <c r="D51" s="822"/>
      <c r="F51" s="250">
        <v>2500.0</v>
      </c>
      <c r="G51" s="254" t="s">
        <v>2712</v>
      </c>
      <c r="H51" s="251"/>
    </row>
    <row r="52">
      <c r="A52" s="270"/>
      <c r="B52" s="271"/>
      <c r="C52" s="272"/>
      <c r="D52" s="823"/>
      <c r="E52" s="18"/>
      <c r="F52" s="259">
        <v>3700.0</v>
      </c>
      <c r="G52" s="260" t="s">
        <v>2713</v>
      </c>
      <c r="H52" s="261">
        <f>SUM(H2:H51)+4</f>
        <v>219.5</v>
      </c>
    </row>
    <row r="53">
      <c r="A53" s="262"/>
      <c r="B53" s="277">
        <v>7129.0</v>
      </c>
      <c r="C53" s="248"/>
      <c r="D53" s="822"/>
      <c r="F53" s="250"/>
      <c r="G53" s="254" t="s">
        <v>82</v>
      </c>
      <c r="H53" s="251"/>
    </row>
    <row r="54">
      <c r="A54" s="280"/>
      <c r="B54" s="277"/>
      <c r="C54" s="252"/>
      <c r="D54" s="331">
        <v>13590.0</v>
      </c>
      <c r="F54" s="250"/>
      <c r="G54" s="254" t="s">
        <v>75</v>
      </c>
      <c r="H54" s="251"/>
    </row>
    <row r="55">
      <c r="A55" s="280">
        <v>5.0</v>
      </c>
      <c r="B55" s="247"/>
      <c r="C55" s="248"/>
      <c r="D55" s="331"/>
      <c r="F55" s="250">
        <v>930.0</v>
      </c>
      <c r="G55" s="254" t="s">
        <v>150</v>
      </c>
      <c r="H55" s="251"/>
    </row>
    <row r="56">
      <c r="A56" s="265"/>
      <c r="B56" s="247"/>
      <c r="C56" s="252"/>
      <c r="D56" s="331"/>
      <c r="F56" s="250">
        <v>3948.0</v>
      </c>
      <c r="G56" s="254" t="s">
        <v>87</v>
      </c>
      <c r="H56" s="251"/>
    </row>
    <row r="57">
      <c r="A57" s="265"/>
      <c r="B57" s="247"/>
      <c r="C57" s="248"/>
      <c r="D57" s="331"/>
      <c r="F57" s="250">
        <v>1053.0</v>
      </c>
      <c r="G57" s="254" t="s">
        <v>97</v>
      </c>
      <c r="H57" s="251"/>
    </row>
    <row r="58">
      <c r="A58" s="265"/>
      <c r="B58" s="247">
        <v>5150.0</v>
      </c>
      <c r="C58" s="252"/>
      <c r="D58" s="822"/>
      <c r="F58" s="250"/>
      <c r="G58" s="254" t="s">
        <v>2621</v>
      </c>
      <c r="H58" s="251"/>
    </row>
    <row r="59">
      <c r="A59" s="265"/>
      <c r="B59" s="247"/>
      <c r="C59" s="248">
        <v>36620.0</v>
      </c>
      <c r="D59" s="331"/>
      <c r="F59" s="250"/>
      <c r="G59" s="254" t="s">
        <v>89</v>
      </c>
      <c r="H59" s="267"/>
    </row>
    <row r="60">
      <c r="A60" s="265"/>
      <c r="B60" s="247"/>
      <c r="C60" s="252"/>
      <c r="D60" s="822"/>
      <c r="F60" s="250">
        <v>245.0</v>
      </c>
      <c r="G60" s="254" t="s">
        <v>374</v>
      </c>
      <c r="H60" s="251"/>
    </row>
    <row r="61">
      <c r="A61" s="265"/>
      <c r="B61" s="247">
        <v>14000.0</v>
      </c>
      <c r="C61" s="248"/>
      <c r="D61" s="822"/>
      <c r="F61" s="250"/>
      <c r="G61" s="254" t="s">
        <v>2714</v>
      </c>
      <c r="H61" s="251"/>
    </row>
    <row r="62">
      <c r="A62" s="265"/>
      <c r="B62" s="268"/>
      <c r="C62" s="252"/>
      <c r="D62" s="822"/>
      <c r="F62" s="250"/>
      <c r="G62" s="254"/>
      <c r="H62" s="251"/>
    </row>
    <row r="63">
      <c r="A63" s="265"/>
      <c r="B63" s="268"/>
      <c r="C63" s="252"/>
      <c r="D63" s="822"/>
      <c r="F63" s="250"/>
      <c r="G63" s="254"/>
      <c r="H63" s="251"/>
    </row>
    <row r="64">
      <c r="A64" s="270"/>
      <c r="B64" s="271"/>
      <c r="C64" s="272"/>
      <c r="D64" s="823"/>
      <c r="E64" s="18"/>
      <c r="F64" s="274"/>
      <c r="G64" s="260"/>
      <c r="H64" s="261"/>
    </row>
    <row r="65">
      <c r="A65" s="262">
        <v>6.0</v>
      </c>
      <c r="B65" s="239"/>
      <c r="C65" s="263"/>
      <c r="D65" s="824">
        <f>30618.32</f>
        <v>30618.32</v>
      </c>
      <c r="E65" s="242"/>
      <c r="F65" s="243"/>
      <c r="G65" s="276" t="s">
        <v>73</v>
      </c>
      <c r="H65" s="245">
        <v>49.0</v>
      </c>
      <c r="I65" s="2" t="s">
        <v>59</v>
      </c>
    </row>
    <row r="66">
      <c r="A66" s="265"/>
      <c r="B66" s="247"/>
      <c r="C66" s="248"/>
      <c r="D66" s="822">
        <f>12918.99+15849.05</f>
        <v>28768.04</v>
      </c>
      <c r="F66" s="250"/>
      <c r="G66" s="254" t="s">
        <v>74</v>
      </c>
      <c r="H66" s="251"/>
    </row>
    <row r="67">
      <c r="A67" s="265"/>
      <c r="B67" s="247"/>
      <c r="C67" s="252">
        <f>27869.58+13790.14</f>
        <v>41659.72</v>
      </c>
      <c r="D67" s="822"/>
      <c r="F67" s="250"/>
      <c r="G67" s="254" t="s">
        <v>71</v>
      </c>
      <c r="H67" s="251"/>
    </row>
    <row r="68">
      <c r="A68" s="265"/>
      <c r="B68" s="247"/>
      <c r="C68" s="252"/>
      <c r="D68" s="331"/>
      <c r="F68" s="250">
        <v>8200.0</v>
      </c>
      <c r="G68" s="254" t="s">
        <v>2669</v>
      </c>
      <c r="H68" s="267"/>
    </row>
    <row r="69">
      <c r="A69" s="265"/>
      <c r="B69" s="247"/>
      <c r="C69" s="248"/>
      <c r="D69" s="822"/>
      <c r="F69" s="250">
        <v>2100.0</v>
      </c>
      <c r="G69" s="254" t="s">
        <v>2713</v>
      </c>
      <c r="H69" s="251"/>
    </row>
    <row r="70">
      <c r="A70" s="265"/>
      <c r="B70" s="247"/>
      <c r="C70" s="252"/>
      <c r="D70" s="822"/>
      <c r="F70" s="250"/>
      <c r="G70" s="254"/>
      <c r="H70" s="251"/>
    </row>
    <row r="71">
      <c r="A71" s="265"/>
      <c r="B71" s="247"/>
      <c r="C71" s="252"/>
      <c r="D71" s="822"/>
      <c r="F71" s="250"/>
      <c r="G71" s="254"/>
      <c r="H71" s="251"/>
    </row>
    <row r="72">
      <c r="A72" s="265"/>
      <c r="B72" s="247"/>
      <c r="C72" s="252"/>
      <c r="D72" s="822"/>
      <c r="F72" s="250"/>
      <c r="G72" s="254"/>
      <c r="H72" s="251"/>
    </row>
    <row r="73">
      <c r="A73" s="265"/>
      <c r="B73" s="268"/>
      <c r="C73" s="248"/>
      <c r="D73" s="822"/>
      <c r="F73" s="250"/>
      <c r="G73" s="254"/>
      <c r="H73" s="251"/>
    </row>
    <row r="74">
      <c r="A74" s="265"/>
      <c r="B74" s="268"/>
      <c r="C74" s="248"/>
      <c r="D74" s="331"/>
      <c r="F74" s="250"/>
      <c r="G74" s="254"/>
      <c r="H74" s="251"/>
    </row>
    <row r="75">
      <c r="A75" s="265"/>
      <c r="B75" s="268"/>
      <c r="C75" s="248"/>
      <c r="D75" s="331"/>
      <c r="F75" s="250"/>
      <c r="G75" s="254"/>
      <c r="H75" s="251"/>
    </row>
    <row r="76">
      <c r="A76" s="265"/>
      <c r="B76" s="268"/>
      <c r="C76" s="248"/>
      <c r="D76" s="331"/>
      <c r="F76" s="250"/>
      <c r="G76" s="269"/>
      <c r="H76" s="251"/>
    </row>
    <row r="77">
      <c r="A77" s="265"/>
      <c r="B77" s="278"/>
      <c r="C77" s="252"/>
      <c r="D77" s="822"/>
      <c r="F77" s="250"/>
      <c r="G77" s="269"/>
      <c r="H77" s="251"/>
    </row>
    <row r="78">
      <c r="A78" s="270"/>
      <c r="B78" s="271"/>
      <c r="C78" s="272"/>
      <c r="D78" s="823"/>
      <c r="E78" s="18"/>
      <c r="F78" s="274"/>
      <c r="G78" s="275"/>
      <c r="H78" s="261"/>
    </row>
    <row r="79">
      <c r="A79" s="262">
        <v>7.0</v>
      </c>
      <c r="B79" s="239"/>
      <c r="C79" s="263"/>
      <c r="D79" s="821"/>
      <c r="E79" s="242"/>
      <c r="F79" s="243"/>
      <c r="G79" s="276"/>
      <c r="H79" s="307"/>
    </row>
    <row r="80">
      <c r="A80" s="265"/>
      <c r="B80" s="247"/>
      <c r="C80" s="248"/>
      <c r="D80" s="331"/>
      <c r="F80" s="250"/>
      <c r="G80" s="254"/>
      <c r="H80" s="251"/>
    </row>
    <row r="81">
      <c r="A81" s="265"/>
      <c r="B81" s="247"/>
      <c r="C81" s="252"/>
      <c r="D81" s="822"/>
      <c r="F81" s="250"/>
      <c r="G81" s="254"/>
      <c r="H81" s="267"/>
    </row>
    <row r="82">
      <c r="A82" s="265"/>
      <c r="B82" s="247"/>
      <c r="C82" s="248"/>
      <c r="D82" s="822"/>
      <c r="F82" s="250"/>
      <c r="G82" s="254"/>
      <c r="H82" s="251"/>
    </row>
    <row r="83">
      <c r="A83" s="265"/>
      <c r="B83" s="247"/>
      <c r="C83" s="248"/>
      <c r="D83" s="331"/>
      <c r="F83" s="250"/>
      <c r="G83" s="254"/>
      <c r="H83" s="251"/>
    </row>
    <row r="84">
      <c r="A84" s="265"/>
      <c r="B84" s="247"/>
      <c r="C84" s="248"/>
      <c r="D84" s="822"/>
      <c r="F84" s="250"/>
      <c r="G84" s="254"/>
      <c r="H84" s="251"/>
    </row>
    <row r="85">
      <c r="A85" s="265"/>
      <c r="B85" s="247"/>
      <c r="C85" s="252"/>
      <c r="D85" s="822"/>
      <c r="F85" s="250"/>
      <c r="G85" s="254"/>
      <c r="H85" s="251"/>
    </row>
    <row r="86">
      <c r="A86" s="265"/>
      <c r="B86" s="247"/>
      <c r="C86" s="252"/>
      <c r="D86" s="822"/>
      <c r="F86" s="250"/>
      <c r="G86" s="254"/>
      <c r="H86" s="251"/>
    </row>
    <row r="87">
      <c r="A87" s="265"/>
      <c r="B87" s="247"/>
      <c r="C87" s="252"/>
      <c r="D87" s="822"/>
      <c r="F87" s="250"/>
      <c r="G87" s="254"/>
      <c r="H87" s="251"/>
    </row>
    <row r="88">
      <c r="A88" s="265"/>
      <c r="B88" s="278"/>
      <c r="C88" s="252"/>
      <c r="D88" s="822"/>
      <c r="F88" s="250"/>
      <c r="G88" s="269"/>
      <c r="H88" s="251"/>
    </row>
    <row r="89">
      <c r="A89" s="265"/>
      <c r="B89" s="278"/>
      <c r="C89" s="252"/>
      <c r="D89" s="822"/>
      <c r="F89" s="250"/>
      <c r="G89" s="269"/>
      <c r="H89" s="251"/>
    </row>
    <row r="90">
      <c r="A90" s="270"/>
      <c r="B90" s="271"/>
      <c r="C90" s="272"/>
      <c r="D90" s="823"/>
      <c r="E90" s="18"/>
      <c r="F90" s="259"/>
      <c r="G90" s="275"/>
      <c r="H90" s="261"/>
    </row>
    <row r="91">
      <c r="A91" s="262">
        <v>8.0</v>
      </c>
      <c r="B91" s="239"/>
      <c r="C91" s="263"/>
      <c r="D91" s="824"/>
      <c r="E91" s="242"/>
      <c r="F91" s="243">
        <v>2500.0</v>
      </c>
      <c r="G91" s="276" t="s">
        <v>101</v>
      </c>
      <c r="H91" s="245">
        <v>57.0</v>
      </c>
      <c r="I91" s="2" t="s">
        <v>59</v>
      </c>
    </row>
    <row r="92">
      <c r="A92" s="265"/>
      <c r="B92" s="247"/>
      <c r="C92" s="248"/>
      <c r="D92" s="822">
        <f>13170-300-300</f>
        <v>12570</v>
      </c>
      <c r="F92" s="250"/>
      <c r="G92" s="254" t="s">
        <v>75</v>
      </c>
      <c r="H92" s="251"/>
    </row>
    <row r="93">
      <c r="A93" s="265"/>
      <c r="B93" s="247">
        <v>8673.38</v>
      </c>
      <c r="C93" s="248"/>
      <c r="D93" s="822"/>
      <c r="F93" s="250"/>
      <c r="G93" s="254" t="s">
        <v>82</v>
      </c>
      <c r="H93" s="251"/>
    </row>
    <row r="94">
      <c r="A94" s="265"/>
      <c r="B94" s="247"/>
      <c r="C94" s="248"/>
      <c r="D94" s="331">
        <v>22481.07</v>
      </c>
      <c r="F94" s="250"/>
      <c r="G94" s="254" t="s">
        <v>114</v>
      </c>
      <c r="H94" s="251"/>
    </row>
    <row r="95">
      <c r="A95" s="265"/>
      <c r="B95" s="85"/>
      <c r="C95" s="248"/>
      <c r="D95" s="331"/>
      <c r="F95" s="250">
        <v>500.0</v>
      </c>
      <c r="G95" s="254" t="s">
        <v>2715</v>
      </c>
      <c r="H95" s="251"/>
    </row>
    <row r="96">
      <c r="A96" s="265"/>
      <c r="B96" s="281">
        <v>5884.0</v>
      </c>
      <c r="C96" s="252"/>
      <c r="D96" s="331"/>
      <c r="F96" s="266"/>
      <c r="G96" s="254" t="s">
        <v>693</v>
      </c>
      <c r="H96" s="251"/>
    </row>
    <row r="97">
      <c r="A97" s="265"/>
      <c r="B97" s="281">
        <v>13514.0</v>
      </c>
      <c r="C97" s="252"/>
      <c r="D97" s="331"/>
      <c r="F97" s="250"/>
      <c r="G97" s="254" t="s">
        <v>2716</v>
      </c>
      <c r="H97" s="251"/>
    </row>
    <row r="98">
      <c r="A98" s="265"/>
      <c r="B98" s="247"/>
      <c r="C98" s="252"/>
      <c r="D98" s="331">
        <v>9994.6</v>
      </c>
      <c r="F98" s="250"/>
      <c r="G98" s="254" t="s">
        <v>2717</v>
      </c>
      <c r="H98" s="251"/>
    </row>
    <row r="99">
      <c r="A99" s="265"/>
      <c r="B99" s="247"/>
      <c r="C99" s="252"/>
      <c r="D99" s="822"/>
      <c r="F99" s="250"/>
      <c r="G99" s="254"/>
      <c r="H99" s="251"/>
    </row>
    <row r="100">
      <c r="A100" s="265"/>
      <c r="B100" s="247"/>
      <c r="C100" s="252"/>
      <c r="D100" s="331"/>
      <c r="F100" s="250"/>
      <c r="G100" s="269"/>
      <c r="H100" s="251"/>
    </row>
    <row r="101">
      <c r="A101" s="265"/>
      <c r="B101" s="268"/>
      <c r="C101" s="252"/>
      <c r="D101" s="822"/>
      <c r="F101" s="250"/>
      <c r="G101" s="269"/>
      <c r="H101" s="251"/>
    </row>
    <row r="102">
      <c r="A102" s="265"/>
      <c r="B102" s="247"/>
      <c r="C102" s="252"/>
      <c r="D102" s="822"/>
      <c r="F102" s="250"/>
      <c r="G102" s="269"/>
      <c r="H102" s="251"/>
    </row>
    <row r="103">
      <c r="A103" s="265"/>
      <c r="B103" s="277"/>
      <c r="C103" s="252"/>
      <c r="D103" s="822"/>
      <c r="F103" s="282"/>
      <c r="G103" s="269"/>
      <c r="H103" s="251"/>
    </row>
    <row r="104">
      <c r="A104" s="265"/>
      <c r="B104" s="278"/>
      <c r="C104" s="248"/>
      <c r="D104" s="822"/>
      <c r="F104" s="282"/>
      <c r="G104" s="269"/>
      <c r="H104" s="251"/>
    </row>
    <row r="105">
      <c r="A105" s="265"/>
      <c r="B105" s="278"/>
      <c r="C105" s="252"/>
      <c r="D105" s="822"/>
      <c r="F105" s="250"/>
      <c r="G105" s="269"/>
      <c r="H105" s="251"/>
    </row>
    <row r="106">
      <c r="A106" s="270"/>
      <c r="B106" s="271"/>
      <c r="C106" s="272"/>
      <c r="D106" s="823"/>
      <c r="E106" s="18"/>
      <c r="F106" s="259"/>
      <c r="G106" s="260"/>
      <c r="H106" s="261"/>
    </row>
    <row r="107">
      <c r="A107" s="262">
        <v>9.0</v>
      </c>
      <c r="B107" s="239"/>
      <c r="C107" s="263"/>
      <c r="D107" s="821"/>
      <c r="E107" s="242"/>
      <c r="F107" s="250">
        <v>750.0</v>
      </c>
      <c r="G107" s="276" t="s">
        <v>76</v>
      </c>
      <c r="H107" s="245">
        <v>55.0</v>
      </c>
      <c r="I107" s="2" t="s">
        <v>72</v>
      </c>
    </row>
    <row r="108">
      <c r="A108" s="265"/>
      <c r="B108" s="247"/>
      <c r="C108" s="248"/>
      <c r="D108" s="331"/>
      <c r="F108" s="250">
        <v>1750.0</v>
      </c>
      <c r="G108" s="254" t="s">
        <v>2543</v>
      </c>
      <c r="H108" s="251"/>
    </row>
    <row r="109">
      <c r="A109" s="265"/>
      <c r="B109" s="247"/>
      <c r="C109" s="248"/>
      <c r="D109" s="331">
        <v>24453.62</v>
      </c>
      <c r="F109" s="250"/>
      <c r="G109" s="254" t="s">
        <v>91</v>
      </c>
      <c r="H109" s="251"/>
    </row>
    <row r="110">
      <c r="A110" s="265"/>
      <c r="B110" s="247"/>
      <c r="C110" s="248"/>
      <c r="D110" s="331">
        <v>11700.0</v>
      </c>
      <c r="F110" s="250"/>
      <c r="G110" s="254" t="s">
        <v>76</v>
      </c>
      <c r="H110" s="251"/>
    </row>
    <row r="111">
      <c r="A111" s="265"/>
      <c r="B111" s="247"/>
      <c r="C111" s="248"/>
      <c r="D111" s="822"/>
      <c r="F111" s="250">
        <v>2000.0</v>
      </c>
      <c r="G111" s="254" t="s">
        <v>572</v>
      </c>
      <c r="H111" s="251"/>
    </row>
    <row r="112">
      <c r="A112" s="265"/>
      <c r="B112" s="247">
        <v>5550.0</v>
      </c>
      <c r="C112" s="252"/>
      <c r="D112" s="822"/>
      <c r="F112" s="250"/>
      <c r="G112" s="254" t="s">
        <v>344</v>
      </c>
      <c r="H112" s="251"/>
    </row>
    <row r="113">
      <c r="A113" s="265"/>
      <c r="B113" s="247"/>
      <c r="C113" s="252"/>
      <c r="D113" s="331"/>
      <c r="F113" s="250">
        <v>21000.0</v>
      </c>
      <c r="G113" s="254" t="s">
        <v>87</v>
      </c>
      <c r="H113" s="251"/>
    </row>
    <row r="114">
      <c r="A114" s="265"/>
      <c r="B114" s="247"/>
      <c r="C114" s="252"/>
      <c r="D114" s="822"/>
      <c r="F114" s="250"/>
      <c r="G114" s="254"/>
      <c r="H114" s="251"/>
    </row>
    <row r="115">
      <c r="A115" s="265"/>
      <c r="B115" s="247"/>
      <c r="C115" s="248"/>
      <c r="D115" s="822"/>
      <c r="F115" s="250"/>
      <c r="G115" s="254"/>
      <c r="H115" s="251"/>
    </row>
    <row r="116">
      <c r="A116" s="265"/>
      <c r="B116" s="247"/>
      <c r="C116" s="252"/>
      <c r="D116" s="822"/>
      <c r="F116" s="250"/>
      <c r="G116" s="254"/>
      <c r="H116" s="251"/>
    </row>
    <row r="117">
      <c r="A117" s="265"/>
      <c r="B117" s="277"/>
      <c r="C117" s="248"/>
      <c r="D117" s="822"/>
      <c r="F117" s="282"/>
      <c r="G117" s="254"/>
      <c r="H117" s="251"/>
    </row>
    <row r="118">
      <c r="A118" s="265"/>
      <c r="B118" s="277"/>
      <c r="C118" s="252"/>
      <c r="D118" s="822"/>
      <c r="F118" s="250"/>
      <c r="G118" s="254"/>
      <c r="H118" s="251"/>
    </row>
    <row r="119">
      <c r="A119" s="265"/>
      <c r="B119" s="278"/>
      <c r="C119" s="252"/>
      <c r="D119" s="822"/>
      <c r="F119" s="282"/>
      <c r="G119" s="269"/>
      <c r="H119" s="251"/>
    </row>
    <row r="120">
      <c r="A120" s="270"/>
      <c r="B120" s="271"/>
      <c r="C120" s="272"/>
      <c r="D120" s="823"/>
      <c r="E120" s="18"/>
      <c r="F120" s="274"/>
      <c r="G120" s="275"/>
      <c r="H120" s="261"/>
    </row>
    <row r="121">
      <c r="A121" s="262">
        <v>10.0</v>
      </c>
      <c r="B121" s="239"/>
      <c r="C121" s="263">
        <v>42247.39</v>
      </c>
      <c r="D121" s="821"/>
      <c r="E121" s="242"/>
      <c r="F121" s="243"/>
      <c r="G121" s="276" t="s">
        <v>84</v>
      </c>
      <c r="H121" s="245">
        <v>85.0</v>
      </c>
      <c r="I121" s="2" t="s">
        <v>72</v>
      </c>
    </row>
    <row r="122">
      <c r="A122" s="265"/>
      <c r="B122" s="247">
        <v>9204.4</v>
      </c>
      <c r="C122" s="252"/>
      <c r="D122" s="331"/>
      <c r="F122" s="250"/>
      <c r="G122" s="254" t="s">
        <v>82</v>
      </c>
      <c r="H122" s="251"/>
    </row>
    <row r="123">
      <c r="A123" s="265"/>
      <c r="B123" s="247"/>
      <c r="C123" s="248"/>
      <c r="D123" s="331"/>
      <c r="F123" s="250"/>
      <c r="G123" s="26"/>
      <c r="H123" s="251"/>
    </row>
    <row r="124">
      <c r="A124" s="265"/>
      <c r="B124" s="247"/>
      <c r="C124" s="248"/>
      <c r="D124" s="331"/>
      <c r="F124" s="250"/>
      <c r="G124" s="254"/>
      <c r="H124" s="251"/>
    </row>
    <row r="125">
      <c r="A125" s="265"/>
      <c r="B125" s="247"/>
      <c r="C125" s="252"/>
      <c r="D125" s="331"/>
      <c r="F125" s="250"/>
      <c r="G125" s="254"/>
      <c r="H125" s="251"/>
    </row>
    <row r="126">
      <c r="A126" s="265"/>
      <c r="B126" s="247"/>
      <c r="C126" s="252"/>
      <c r="D126" s="822"/>
      <c r="F126" s="250"/>
      <c r="G126" s="254"/>
      <c r="H126" s="251"/>
    </row>
    <row r="127">
      <c r="A127" s="265"/>
      <c r="B127" s="247"/>
      <c r="C127" s="252"/>
      <c r="D127" s="822"/>
      <c r="F127" s="250"/>
      <c r="G127" s="254"/>
      <c r="H127" s="251"/>
    </row>
    <row r="128">
      <c r="A128" s="265"/>
      <c r="B128" s="247"/>
      <c r="C128" s="252"/>
      <c r="D128" s="331"/>
      <c r="F128" s="250"/>
      <c r="G128" s="254"/>
      <c r="H128" s="251"/>
    </row>
    <row r="129">
      <c r="A129" s="265"/>
      <c r="B129" s="247"/>
      <c r="C129" s="252"/>
      <c r="D129" s="331"/>
      <c r="F129" s="250"/>
      <c r="G129" s="254"/>
      <c r="H129" s="251"/>
    </row>
    <row r="130">
      <c r="A130" s="265"/>
      <c r="B130" s="247"/>
      <c r="C130" s="248"/>
      <c r="D130" s="822"/>
      <c r="F130" s="250"/>
      <c r="G130" s="254"/>
      <c r="H130" s="251"/>
    </row>
    <row r="131">
      <c r="A131" s="265"/>
      <c r="B131" s="268"/>
      <c r="C131" s="252"/>
      <c r="D131" s="822"/>
      <c r="F131" s="250"/>
      <c r="G131" s="254"/>
      <c r="H131" s="251"/>
    </row>
    <row r="132">
      <c r="A132" s="265"/>
      <c r="B132" s="268"/>
      <c r="C132" s="252"/>
      <c r="D132" s="822"/>
      <c r="F132" s="250"/>
      <c r="G132" s="254"/>
      <c r="H132" s="251"/>
    </row>
    <row r="133">
      <c r="A133" s="265"/>
      <c r="B133" s="268"/>
      <c r="C133" s="252"/>
      <c r="D133" s="822"/>
      <c r="F133" s="250"/>
      <c r="G133" s="269"/>
      <c r="H133" s="251"/>
    </row>
    <row r="134">
      <c r="A134" s="265"/>
      <c r="B134" s="268"/>
      <c r="C134" s="252"/>
      <c r="D134" s="822"/>
      <c r="F134" s="250"/>
      <c r="G134" s="269"/>
      <c r="H134" s="251"/>
    </row>
    <row r="135">
      <c r="A135" s="265"/>
      <c r="B135" s="268"/>
      <c r="C135" s="252"/>
      <c r="D135" s="822"/>
      <c r="F135" s="250"/>
      <c r="G135" s="269"/>
      <c r="H135" s="251"/>
    </row>
    <row r="136">
      <c r="A136" s="265"/>
      <c r="B136" s="268"/>
      <c r="C136" s="252"/>
      <c r="D136" s="822"/>
      <c r="F136" s="250"/>
      <c r="G136" s="269"/>
      <c r="H136" s="251"/>
    </row>
    <row r="137">
      <c r="A137" s="265"/>
      <c r="B137" s="268"/>
      <c r="C137" s="252"/>
      <c r="D137" s="822"/>
      <c r="F137" s="250"/>
      <c r="G137" s="269"/>
      <c r="H137" s="251"/>
    </row>
    <row r="138">
      <c r="A138" s="270"/>
      <c r="B138" s="271"/>
      <c r="C138" s="272"/>
      <c r="D138" s="823"/>
      <c r="E138" s="18"/>
      <c r="F138" s="274"/>
      <c r="G138" s="275"/>
      <c r="H138" s="261"/>
    </row>
    <row r="139">
      <c r="A139" s="262">
        <v>11.0</v>
      </c>
      <c r="B139" s="239"/>
      <c r="C139" s="263"/>
      <c r="D139" s="821"/>
      <c r="E139" s="242"/>
      <c r="F139" s="243">
        <v>1200.0</v>
      </c>
      <c r="G139" s="276" t="s">
        <v>2718</v>
      </c>
      <c r="H139" s="245">
        <v>50.0</v>
      </c>
      <c r="I139" s="2" t="s">
        <v>59</v>
      </c>
    </row>
    <row r="140">
      <c r="A140" s="265"/>
      <c r="B140" s="247"/>
      <c r="C140" s="252"/>
      <c r="D140" s="331"/>
      <c r="F140" s="250">
        <v>100.0</v>
      </c>
      <c r="G140" s="254" t="s">
        <v>367</v>
      </c>
      <c r="H140" s="251"/>
    </row>
    <row r="141">
      <c r="A141" s="265"/>
      <c r="B141" s="247"/>
      <c r="C141" s="248"/>
      <c r="D141" s="331"/>
      <c r="F141" s="250">
        <v>3750.0</v>
      </c>
      <c r="G141" s="254" t="s">
        <v>344</v>
      </c>
      <c r="H141" s="251"/>
    </row>
    <row r="142">
      <c r="A142" s="265"/>
      <c r="B142" s="247"/>
      <c r="C142" s="248"/>
      <c r="D142" s="331"/>
      <c r="F142" s="250">
        <f>1226+250</f>
        <v>1476</v>
      </c>
      <c r="G142" s="254" t="s">
        <v>97</v>
      </c>
      <c r="H142" s="251"/>
    </row>
    <row r="143">
      <c r="A143" s="265"/>
      <c r="B143" s="247">
        <v>6850.0</v>
      </c>
      <c r="C143" s="248"/>
      <c r="D143" s="822"/>
      <c r="F143" s="250"/>
      <c r="G143" s="254" t="s">
        <v>79</v>
      </c>
      <c r="H143" s="251"/>
    </row>
    <row r="144">
      <c r="A144" s="265"/>
      <c r="B144" s="247"/>
      <c r="C144" s="252"/>
      <c r="D144" s="331"/>
      <c r="F144" s="250">
        <v>500.0</v>
      </c>
      <c r="G144" s="254" t="s">
        <v>374</v>
      </c>
      <c r="H144" s="251"/>
    </row>
    <row r="145">
      <c r="A145" s="265"/>
      <c r="B145" s="247"/>
      <c r="C145" s="252"/>
      <c r="D145" s="331"/>
      <c r="F145" s="250">
        <v>1700.0</v>
      </c>
      <c r="G145" s="254" t="s">
        <v>2719</v>
      </c>
      <c r="H145" s="251"/>
    </row>
    <row r="146">
      <c r="A146" s="265"/>
      <c r="B146" s="283"/>
      <c r="C146" s="248"/>
      <c r="D146" s="822"/>
      <c r="F146" s="250"/>
      <c r="G146" s="254"/>
      <c r="H146" s="251"/>
    </row>
    <row r="147">
      <c r="A147" s="265"/>
      <c r="B147" s="247"/>
      <c r="C147" s="248"/>
      <c r="D147" s="822"/>
      <c r="F147" s="250"/>
      <c r="G147" s="254"/>
      <c r="H147" s="251"/>
    </row>
    <row r="148">
      <c r="A148" s="265"/>
      <c r="B148" s="247"/>
      <c r="C148" s="252"/>
      <c r="D148" s="822"/>
      <c r="F148" s="250"/>
      <c r="G148" s="254"/>
      <c r="H148" s="251"/>
    </row>
    <row r="149">
      <c r="A149" s="265"/>
      <c r="B149" s="247"/>
      <c r="C149" s="252"/>
      <c r="D149" s="331"/>
      <c r="F149" s="250"/>
      <c r="G149" s="254"/>
      <c r="H149" s="251"/>
    </row>
    <row r="150">
      <c r="A150" s="265"/>
      <c r="B150" s="277"/>
      <c r="C150" s="252"/>
      <c r="D150" s="822"/>
      <c r="F150" s="250"/>
      <c r="G150" s="254"/>
      <c r="H150" s="251"/>
    </row>
    <row r="151">
      <c r="A151" s="265"/>
      <c r="B151" s="277"/>
      <c r="C151" s="252"/>
      <c r="D151" s="822"/>
      <c r="F151" s="250"/>
      <c r="G151" s="269"/>
      <c r="H151" s="251"/>
    </row>
    <row r="152">
      <c r="A152" s="265"/>
      <c r="B152" s="278"/>
      <c r="C152" s="252"/>
      <c r="D152" s="822"/>
      <c r="F152" s="250"/>
      <c r="G152" s="269"/>
      <c r="H152" s="251"/>
    </row>
    <row r="153">
      <c r="A153" s="270"/>
      <c r="B153" s="271"/>
      <c r="C153" s="272"/>
      <c r="D153" s="823"/>
      <c r="E153" s="18"/>
      <c r="F153" s="274"/>
      <c r="G153" s="275"/>
      <c r="H153" s="261"/>
    </row>
    <row r="154">
      <c r="A154" s="262">
        <v>12.0</v>
      </c>
      <c r="B154" s="239"/>
      <c r="C154" s="240"/>
      <c r="D154" s="824"/>
      <c r="E154" s="242"/>
      <c r="F154" s="243">
        <v>6700.0</v>
      </c>
      <c r="G154" s="276" t="s">
        <v>68</v>
      </c>
      <c r="H154" s="245">
        <v>10.0</v>
      </c>
      <c r="I154" s="2" t="s">
        <v>72</v>
      </c>
    </row>
    <row r="155">
      <c r="A155" s="265"/>
      <c r="B155" s="247"/>
      <c r="C155" s="252"/>
      <c r="D155" s="822"/>
      <c r="F155" s="250">
        <v>430.0</v>
      </c>
      <c r="G155" s="254" t="s">
        <v>97</v>
      </c>
      <c r="H155" s="251"/>
    </row>
    <row r="156">
      <c r="A156" s="265"/>
      <c r="B156" s="247"/>
      <c r="C156" s="252"/>
      <c r="D156" s="331">
        <v>18150.0</v>
      </c>
      <c r="F156" s="418"/>
      <c r="G156" s="285" t="s">
        <v>75</v>
      </c>
      <c r="H156" s="251"/>
    </row>
    <row r="157">
      <c r="A157" s="265"/>
      <c r="B157" s="247">
        <v>7129.68</v>
      </c>
      <c r="C157" s="252"/>
      <c r="D157" s="822"/>
      <c r="F157" s="250"/>
      <c r="G157" s="254" t="s">
        <v>82</v>
      </c>
      <c r="H157" s="251"/>
    </row>
    <row r="158">
      <c r="A158" s="265"/>
      <c r="B158" s="247">
        <v>4750.0</v>
      </c>
      <c r="C158" s="252"/>
      <c r="D158" s="331"/>
      <c r="F158" s="250"/>
      <c r="G158" s="254" t="s">
        <v>2621</v>
      </c>
      <c r="H158" s="251"/>
    </row>
    <row r="159">
      <c r="A159" s="265"/>
      <c r="B159" s="247">
        <v>22827.19</v>
      </c>
      <c r="C159" s="248"/>
      <c r="D159" s="331"/>
      <c r="F159" s="250"/>
      <c r="G159" s="254" t="s">
        <v>787</v>
      </c>
      <c r="H159" s="251"/>
    </row>
    <row r="160">
      <c r="A160" s="265"/>
      <c r="B160" s="247"/>
      <c r="C160" s="248">
        <v>24926.2</v>
      </c>
      <c r="D160" s="331"/>
      <c r="F160" s="250"/>
      <c r="G160" s="254" t="s">
        <v>89</v>
      </c>
      <c r="H160" s="251"/>
    </row>
    <row r="161">
      <c r="A161" s="265"/>
      <c r="B161" s="247">
        <v>16900.0</v>
      </c>
      <c r="C161" s="252"/>
      <c r="D161" s="331"/>
      <c r="F161" s="250"/>
      <c r="G161" s="254" t="s">
        <v>122</v>
      </c>
      <c r="H161" s="251"/>
    </row>
    <row r="162">
      <c r="A162" s="265"/>
      <c r="B162" s="268"/>
      <c r="C162" s="252"/>
      <c r="D162" s="331"/>
      <c r="F162" s="250">
        <v>21000.0</v>
      </c>
      <c r="G162" s="254" t="s">
        <v>2602</v>
      </c>
      <c r="H162" s="251"/>
    </row>
    <row r="163">
      <c r="A163" s="265"/>
      <c r="B163" s="247"/>
      <c r="C163" s="252"/>
      <c r="D163" s="822"/>
      <c r="F163" s="250">
        <v>2000.0</v>
      </c>
      <c r="G163" s="254" t="s">
        <v>2720</v>
      </c>
      <c r="H163" s="251"/>
    </row>
    <row r="164">
      <c r="A164" s="265"/>
      <c r="B164" s="247">
        <v>4720.0</v>
      </c>
      <c r="C164" s="252"/>
      <c r="D164" s="822"/>
      <c r="F164" s="250"/>
      <c r="G164" s="254" t="s">
        <v>919</v>
      </c>
      <c r="H164" s="251"/>
    </row>
    <row r="165">
      <c r="A165" s="265"/>
      <c r="B165" s="277"/>
      <c r="C165" s="252"/>
      <c r="D165" s="822"/>
      <c r="F165" s="250"/>
      <c r="G165" s="269"/>
      <c r="H165" s="251"/>
    </row>
    <row r="166">
      <c r="A166" s="265"/>
      <c r="B166" s="277"/>
      <c r="C166" s="252"/>
      <c r="D166" s="822"/>
      <c r="F166" s="282"/>
      <c r="G166" s="269"/>
      <c r="H166" s="251"/>
    </row>
    <row r="167">
      <c r="A167" s="265"/>
      <c r="B167" s="278"/>
      <c r="C167" s="252"/>
      <c r="D167" s="822"/>
      <c r="F167" s="250"/>
      <c r="G167" s="269"/>
      <c r="H167" s="251"/>
    </row>
    <row r="168">
      <c r="A168" s="270"/>
      <c r="B168" s="271"/>
      <c r="C168" s="272"/>
      <c r="D168" s="823"/>
      <c r="E168" s="18"/>
      <c r="F168" s="259"/>
      <c r="G168" s="260"/>
      <c r="H168" s="261">
        <f>SUM(H65:H154)</f>
        <v>306</v>
      </c>
    </row>
    <row r="169">
      <c r="A169" s="262">
        <v>13.0</v>
      </c>
      <c r="B169" s="239"/>
      <c r="C169" s="263"/>
      <c r="D169" s="821"/>
      <c r="E169" s="242"/>
      <c r="F169" s="243">
        <v>1100.0</v>
      </c>
      <c r="G169" s="276" t="s">
        <v>143</v>
      </c>
      <c r="H169" s="245">
        <v>43.0</v>
      </c>
      <c r="I169" s="2" t="s">
        <v>59</v>
      </c>
    </row>
    <row r="170">
      <c r="A170" s="265"/>
      <c r="B170" s="247"/>
      <c r="C170" s="252"/>
      <c r="D170" s="822"/>
      <c r="F170" s="250">
        <v>320.0</v>
      </c>
      <c r="G170" s="254" t="s">
        <v>2721</v>
      </c>
      <c r="H170" s="251"/>
    </row>
    <row r="171">
      <c r="A171" s="265"/>
      <c r="B171" s="247"/>
      <c r="C171" s="248"/>
      <c r="D171" s="331">
        <v>37081.69</v>
      </c>
      <c r="F171" s="250"/>
      <c r="G171" s="254" t="s">
        <v>73</v>
      </c>
      <c r="H171" s="251"/>
    </row>
    <row r="172">
      <c r="A172" s="265"/>
      <c r="B172" s="247"/>
      <c r="C172" s="248"/>
      <c r="D172" s="331">
        <v>24058.66</v>
      </c>
      <c r="F172" s="250"/>
      <c r="G172" s="254" t="s">
        <v>74</v>
      </c>
      <c r="H172" s="251"/>
    </row>
    <row r="173">
      <c r="A173" s="265"/>
      <c r="B173" s="247"/>
      <c r="C173" s="252"/>
      <c r="D173" s="822"/>
      <c r="F173" s="250">
        <v>9000.0</v>
      </c>
      <c r="G173" s="254" t="s">
        <v>2669</v>
      </c>
      <c r="H173" s="251"/>
    </row>
    <row r="174">
      <c r="A174" s="265"/>
      <c r="B174" s="247"/>
      <c r="C174" s="248"/>
      <c r="D174" s="331"/>
      <c r="F174" s="250"/>
      <c r="G174" s="254"/>
      <c r="H174" s="251"/>
    </row>
    <row r="175">
      <c r="A175" s="265"/>
      <c r="B175" s="247"/>
      <c r="C175" s="248"/>
      <c r="D175" s="331"/>
      <c r="F175" s="250"/>
      <c r="G175" s="254"/>
      <c r="H175" s="251"/>
    </row>
    <row r="176">
      <c r="A176" s="265"/>
      <c r="B176" s="247"/>
      <c r="C176" s="252"/>
      <c r="D176" s="331"/>
      <c r="F176" s="250"/>
      <c r="G176" s="254"/>
      <c r="H176" s="251"/>
    </row>
    <row r="177">
      <c r="A177" s="265"/>
      <c r="B177" s="247"/>
      <c r="C177" s="252"/>
      <c r="D177" s="822"/>
      <c r="F177" s="250"/>
      <c r="G177" s="254"/>
      <c r="H177" s="251"/>
    </row>
    <row r="178">
      <c r="A178" s="270"/>
      <c r="B178" s="279"/>
      <c r="C178" s="272"/>
      <c r="D178" s="823"/>
      <c r="E178" s="18"/>
      <c r="F178" s="274"/>
      <c r="G178" s="260"/>
      <c r="H178" s="261"/>
    </row>
    <row r="179">
      <c r="A179" s="262">
        <v>14.0</v>
      </c>
      <c r="B179" s="239"/>
      <c r="C179" s="263"/>
      <c r="D179" s="821"/>
      <c r="E179" s="242"/>
      <c r="F179" s="250"/>
      <c r="G179" s="276"/>
      <c r="H179" s="245"/>
    </row>
    <row r="180">
      <c r="A180" s="265"/>
      <c r="B180" s="247"/>
      <c r="C180" s="252"/>
      <c r="D180" s="331"/>
      <c r="F180" s="250"/>
      <c r="G180" s="254"/>
      <c r="H180" s="251"/>
    </row>
    <row r="181">
      <c r="A181" s="265"/>
      <c r="B181" s="247"/>
      <c r="C181" s="248"/>
      <c r="D181" s="331"/>
      <c r="F181" s="250"/>
      <c r="G181" s="254"/>
      <c r="H181" s="251"/>
    </row>
    <row r="182">
      <c r="A182" s="265"/>
      <c r="B182" s="247"/>
      <c r="C182" s="248"/>
      <c r="D182" s="331"/>
      <c r="F182" s="250"/>
      <c r="G182" s="254"/>
      <c r="H182" s="251"/>
    </row>
    <row r="183">
      <c r="A183" s="265"/>
      <c r="B183" s="247"/>
      <c r="C183" s="248"/>
      <c r="D183" s="331"/>
      <c r="F183" s="250"/>
      <c r="G183" s="254"/>
      <c r="H183" s="251"/>
    </row>
    <row r="184">
      <c r="A184" s="265"/>
      <c r="B184" s="247"/>
      <c r="C184" s="252"/>
      <c r="D184" s="331"/>
      <c r="F184" s="250"/>
      <c r="G184" s="254"/>
      <c r="H184" s="251"/>
    </row>
    <row r="185">
      <c r="A185" s="265"/>
      <c r="B185" s="247"/>
      <c r="C185" s="252"/>
      <c r="D185" s="331"/>
      <c r="F185" s="250"/>
      <c r="G185" s="254"/>
      <c r="H185" s="251"/>
    </row>
    <row r="186">
      <c r="A186" s="265"/>
      <c r="B186" s="247"/>
      <c r="C186" s="252"/>
      <c r="D186" s="822"/>
      <c r="F186" s="250"/>
      <c r="G186" s="254"/>
      <c r="H186" s="251"/>
    </row>
    <row r="187">
      <c r="A187" s="265"/>
      <c r="B187" s="247"/>
      <c r="C187" s="252"/>
      <c r="D187" s="331"/>
      <c r="F187" s="250"/>
      <c r="G187" s="254"/>
      <c r="H187" s="251"/>
    </row>
    <row r="188">
      <c r="A188" s="265"/>
      <c r="B188" s="247"/>
      <c r="C188" s="252"/>
      <c r="D188" s="822"/>
      <c r="F188" s="250"/>
      <c r="G188" s="254"/>
      <c r="H188" s="251"/>
    </row>
    <row r="189">
      <c r="A189" s="265"/>
      <c r="B189" s="247"/>
      <c r="C189" s="252"/>
      <c r="D189" s="822"/>
      <c r="F189" s="250"/>
      <c r="G189" s="254"/>
      <c r="H189" s="251"/>
    </row>
    <row r="190">
      <c r="A190" s="265"/>
      <c r="B190" s="247"/>
      <c r="C190" s="252"/>
      <c r="D190" s="822"/>
      <c r="F190" s="250"/>
      <c r="G190" s="254"/>
      <c r="H190" s="251"/>
    </row>
    <row r="191">
      <c r="A191" s="265"/>
      <c r="B191" s="268"/>
      <c r="C191" s="252"/>
      <c r="D191" s="822"/>
      <c r="F191" s="250"/>
      <c r="G191" s="269"/>
      <c r="H191" s="251"/>
    </row>
    <row r="192">
      <c r="A192" s="265"/>
      <c r="B192" s="268"/>
      <c r="C192" s="252"/>
      <c r="D192" s="822"/>
      <c r="F192" s="250"/>
      <c r="G192" s="269"/>
      <c r="H192" s="251"/>
    </row>
    <row r="193">
      <c r="A193" s="270"/>
      <c r="B193" s="271"/>
      <c r="C193" s="272"/>
      <c r="D193" s="823"/>
      <c r="E193" s="18"/>
      <c r="F193" s="259"/>
      <c r="G193" s="260"/>
      <c r="H193" s="261"/>
    </row>
    <row r="194">
      <c r="A194" s="262">
        <v>15.0</v>
      </c>
      <c r="B194" s="247"/>
      <c r="C194" s="248"/>
      <c r="D194" s="822"/>
      <c r="F194" s="250"/>
      <c r="G194" s="254"/>
      <c r="H194" s="286"/>
    </row>
    <row r="195">
      <c r="A195" s="265"/>
      <c r="B195" s="247"/>
      <c r="C195" s="252"/>
      <c r="D195" s="331"/>
      <c r="F195" s="250"/>
      <c r="G195" s="254"/>
      <c r="H195" s="251"/>
    </row>
    <row r="196">
      <c r="A196" s="265"/>
      <c r="B196" s="247"/>
      <c r="C196" s="252"/>
      <c r="D196" s="331"/>
      <c r="F196" s="250"/>
      <c r="G196" s="254"/>
      <c r="H196" s="251"/>
    </row>
    <row r="197">
      <c r="A197" s="265"/>
      <c r="B197" s="247"/>
      <c r="C197" s="248"/>
      <c r="D197" s="331"/>
      <c r="F197" s="250"/>
      <c r="G197" s="254"/>
      <c r="H197" s="251"/>
    </row>
    <row r="198">
      <c r="A198" s="265"/>
      <c r="B198" s="247"/>
      <c r="C198" s="248"/>
      <c r="D198" s="331"/>
      <c r="F198" s="250"/>
      <c r="G198" s="254"/>
      <c r="H198" s="251"/>
    </row>
    <row r="199">
      <c r="A199" s="265"/>
      <c r="B199" s="247"/>
      <c r="C199" s="252"/>
      <c r="D199" s="331"/>
      <c r="F199" s="250"/>
      <c r="G199" s="254"/>
      <c r="H199" s="251"/>
    </row>
    <row r="200">
      <c r="A200" s="265"/>
      <c r="B200" s="247"/>
      <c r="C200" s="252"/>
      <c r="D200" s="822"/>
      <c r="F200" s="250"/>
      <c r="G200" s="254"/>
      <c r="H200" s="251"/>
    </row>
    <row r="201">
      <c r="A201" s="265"/>
      <c r="B201" s="247"/>
      <c r="C201" s="252"/>
      <c r="D201" s="331"/>
      <c r="F201" s="250"/>
      <c r="G201" s="254"/>
      <c r="H201" s="251"/>
    </row>
    <row r="202">
      <c r="A202" s="265"/>
      <c r="B202" s="247"/>
      <c r="C202" s="248"/>
      <c r="D202" s="822"/>
      <c r="F202" s="250"/>
      <c r="G202" s="254"/>
      <c r="H202" s="251"/>
    </row>
    <row r="203">
      <c r="A203" s="265"/>
      <c r="B203" s="247"/>
      <c r="C203" s="252"/>
      <c r="D203" s="822"/>
      <c r="F203" s="250"/>
      <c r="G203" s="254"/>
      <c r="H203" s="251"/>
    </row>
    <row r="204">
      <c r="A204" s="265"/>
      <c r="B204" s="247"/>
      <c r="C204" s="252"/>
      <c r="D204" s="331"/>
      <c r="F204" s="250"/>
      <c r="G204" s="254"/>
      <c r="H204" s="251"/>
    </row>
    <row r="205">
      <c r="A205" s="265"/>
      <c r="B205" s="247"/>
      <c r="C205" s="248"/>
      <c r="D205" s="331"/>
      <c r="F205" s="250"/>
      <c r="G205" s="254"/>
      <c r="H205" s="251"/>
    </row>
    <row r="206">
      <c r="A206" s="265"/>
      <c r="B206" s="247"/>
      <c r="C206" s="248"/>
      <c r="D206" s="331"/>
      <c r="F206" s="250"/>
      <c r="G206" s="254"/>
      <c r="H206" s="251"/>
    </row>
    <row r="207">
      <c r="A207" s="265"/>
      <c r="B207" s="247"/>
      <c r="C207" s="252"/>
      <c r="D207" s="331"/>
      <c r="F207" s="250"/>
      <c r="G207" s="254"/>
      <c r="H207" s="251"/>
    </row>
    <row r="208">
      <c r="A208" s="265"/>
      <c r="B208" s="247"/>
      <c r="C208" s="252"/>
      <c r="D208" s="822"/>
      <c r="F208" s="250"/>
      <c r="G208" s="254"/>
      <c r="H208" s="251"/>
    </row>
    <row r="209">
      <c r="A209" s="270"/>
      <c r="B209" s="247"/>
      <c r="C209" s="252"/>
      <c r="D209" s="331"/>
      <c r="F209" s="250"/>
      <c r="G209" s="254"/>
      <c r="H209" s="261"/>
    </row>
    <row r="210">
      <c r="A210" s="262">
        <v>16.0</v>
      </c>
      <c r="B210" s="239"/>
      <c r="C210" s="263"/>
      <c r="D210" s="821"/>
      <c r="E210" s="242"/>
      <c r="F210" s="243"/>
      <c r="G210" s="276"/>
      <c r="H210" s="245">
        <v>80.0</v>
      </c>
      <c r="I210" s="2" t="s">
        <v>72</v>
      </c>
    </row>
    <row r="211">
      <c r="A211" s="265"/>
      <c r="B211" s="247"/>
      <c r="C211" s="248">
        <v>47525.11</v>
      </c>
      <c r="D211" s="331"/>
      <c r="F211" s="250"/>
      <c r="G211" s="254" t="s">
        <v>2722</v>
      </c>
      <c r="H211" s="267"/>
    </row>
    <row r="212">
      <c r="A212" s="265"/>
      <c r="B212" s="247"/>
      <c r="C212" s="252"/>
      <c r="D212" s="822"/>
      <c r="F212" s="250">
        <v>500.0</v>
      </c>
      <c r="G212" s="254" t="s">
        <v>2723</v>
      </c>
      <c r="H212" s="251"/>
    </row>
    <row r="213">
      <c r="A213" s="265"/>
      <c r="B213" s="247"/>
      <c r="C213" s="252"/>
      <c r="D213" s="331">
        <v>11991.1</v>
      </c>
      <c r="F213" s="250"/>
      <c r="G213" s="254" t="s">
        <v>77</v>
      </c>
      <c r="H213" s="251"/>
    </row>
    <row r="214">
      <c r="A214" s="265"/>
      <c r="B214" s="247"/>
      <c r="C214" s="248"/>
      <c r="D214" s="331">
        <v>14800.0</v>
      </c>
      <c r="F214" s="250"/>
      <c r="G214" s="254" t="s">
        <v>76</v>
      </c>
      <c r="H214" s="251"/>
    </row>
    <row r="215">
      <c r="A215" s="265"/>
      <c r="B215" s="247"/>
      <c r="C215" s="248"/>
      <c r="D215" s="331"/>
      <c r="F215" s="250"/>
      <c r="G215" s="254" t="s">
        <v>664</v>
      </c>
      <c r="H215" s="267"/>
    </row>
    <row r="216">
      <c r="A216" s="265"/>
      <c r="B216" s="247">
        <v>12790.0</v>
      </c>
      <c r="C216" s="248"/>
      <c r="D216" s="331"/>
      <c r="F216" s="250"/>
      <c r="G216" s="254" t="s">
        <v>662</v>
      </c>
      <c r="H216" s="251"/>
    </row>
    <row r="217">
      <c r="A217" s="265"/>
      <c r="B217" s="247"/>
      <c r="C217" s="252"/>
      <c r="D217" s="331"/>
      <c r="F217" s="250"/>
      <c r="G217" s="254"/>
      <c r="H217" s="251"/>
    </row>
    <row r="218">
      <c r="A218" s="265"/>
      <c r="B218" s="268"/>
      <c r="C218" s="248"/>
      <c r="D218" s="331"/>
      <c r="F218" s="250">
        <v>433.7</v>
      </c>
      <c r="G218" s="254" t="s">
        <v>2724</v>
      </c>
      <c r="H218" s="251"/>
    </row>
    <row r="219">
      <c r="A219" s="265"/>
      <c r="B219" s="247"/>
      <c r="C219" s="248"/>
      <c r="D219" s="822"/>
      <c r="F219" s="250"/>
      <c r="G219" s="254"/>
      <c r="H219" s="251"/>
    </row>
    <row r="220">
      <c r="A220" s="265"/>
      <c r="B220" s="268"/>
      <c r="C220" s="248"/>
      <c r="D220" s="822"/>
      <c r="F220" s="250"/>
      <c r="G220" s="269"/>
      <c r="H220" s="251"/>
    </row>
    <row r="221">
      <c r="A221" s="265"/>
      <c r="B221" s="247"/>
      <c r="C221" s="248"/>
      <c r="D221" s="822"/>
      <c r="F221" s="250"/>
      <c r="G221" s="269"/>
      <c r="H221" s="251"/>
    </row>
    <row r="222">
      <c r="A222" s="265"/>
      <c r="B222" s="278"/>
      <c r="C222" s="252"/>
      <c r="D222" s="822"/>
      <c r="F222" s="250"/>
      <c r="G222" s="269"/>
      <c r="H222" s="251"/>
    </row>
    <row r="223">
      <c r="A223" s="265"/>
      <c r="B223" s="278"/>
      <c r="C223" s="252"/>
      <c r="D223" s="822"/>
      <c r="F223" s="282"/>
      <c r="G223" s="269"/>
      <c r="H223" s="251"/>
    </row>
    <row r="224">
      <c r="A224" s="270"/>
      <c r="B224" s="271"/>
      <c r="C224" s="272"/>
      <c r="D224" s="823"/>
      <c r="E224" s="18"/>
      <c r="F224" s="274"/>
      <c r="G224" s="275"/>
      <c r="H224" s="261"/>
    </row>
    <row r="225">
      <c r="A225" s="262">
        <v>17.0</v>
      </c>
      <c r="B225" s="239">
        <v>14511.87</v>
      </c>
      <c r="C225" s="263"/>
      <c r="D225" s="821"/>
      <c r="E225" s="242"/>
      <c r="F225" s="243"/>
      <c r="G225" s="276" t="s">
        <v>65</v>
      </c>
      <c r="H225" s="245">
        <v>30.0</v>
      </c>
      <c r="I225" s="2" t="s">
        <v>72</v>
      </c>
    </row>
    <row r="226">
      <c r="A226" s="265"/>
      <c r="B226" s="247"/>
      <c r="C226" s="248">
        <v>23943.15</v>
      </c>
      <c r="D226" s="331"/>
      <c r="F226" s="250"/>
      <c r="G226" s="254" t="s">
        <v>951</v>
      </c>
      <c r="H226" s="251"/>
    </row>
    <row r="227">
      <c r="A227" s="265"/>
      <c r="B227" s="247">
        <v>7771.56</v>
      </c>
      <c r="C227" s="252"/>
      <c r="D227" s="331"/>
      <c r="F227" s="250"/>
      <c r="G227" s="254" t="s">
        <v>58</v>
      </c>
      <c r="H227" s="251"/>
    </row>
    <row r="228">
      <c r="A228" s="265"/>
      <c r="B228" s="247">
        <v>35967.25</v>
      </c>
      <c r="C228" s="248"/>
      <c r="D228" s="331"/>
      <c r="F228" s="250"/>
      <c r="G228" s="254" t="s">
        <v>92</v>
      </c>
      <c r="H228" s="251"/>
    </row>
    <row r="229">
      <c r="A229" s="265"/>
      <c r="B229" s="247"/>
      <c r="C229" s="252"/>
      <c r="D229" s="822"/>
      <c r="F229" s="250">
        <v>21000.0</v>
      </c>
      <c r="G229" s="254" t="s">
        <v>87</v>
      </c>
      <c r="H229" s="251"/>
    </row>
    <row r="230">
      <c r="A230" s="265"/>
      <c r="B230" s="247">
        <v>5400.0</v>
      </c>
      <c r="C230" s="252"/>
      <c r="D230" s="822"/>
      <c r="F230" s="250"/>
      <c r="G230" s="254" t="s">
        <v>344</v>
      </c>
      <c r="H230" s="251"/>
    </row>
    <row r="231">
      <c r="A231" s="265"/>
      <c r="B231" s="247"/>
      <c r="C231" s="252"/>
      <c r="D231" s="822"/>
      <c r="F231" s="250"/>
      <c r="G231" s="254"/>
      <c r="H231" s="251"/>
    </row>
    <row r="232">
      <c r="A232" s="265"/>
      <c r="B232" s="247"/>
      <c r="C232" s="252"/>
      <c r="D232" s="822"/>
      <c r="F232" s="250"/>
      <c r="G232" s="254"/>
      <c r="H232" s="251"/>
    </row>
    <row r="233">
      <c r="A233" s="265"/>
      <c r="B233" s="247"/>
      <c r="C233" s="252"/>
      <c r="D233" s="331"/>
      <c r="F233" s="250"/>
      <c r="G233" s="254"/>
      <c r="H233" s="251"/>
    </row>
    <row r="234">
      <c r="A234" s="265"/>
      <c r="B234" s="278"/>
      <c r="C234" s="252"/>
      <c r="D234" s="822"/>
      <c r="F234" s="250"/>
      <c r="G234" s="254"/>
      <c r="H234" s="251"/>
    </row>
    <row r="235">
      <c r="A235" s="265"/>
      <c r="B235" s="278"/>
      <c r="C235" s="252"/>
      <c r="D235" s="822"/>
      <c r="F235" s="282"/>
      <c r="G235" s="269"/>
      <c r="H235" s="251"/>
    </row>
    <row r="236">
      <c r="A236" s="270"/>
      <c r="B236" s="271"/>
      <c r="C236" s="272"/>
      <c r="D236" s="823"/>
      <c r="E236" s="18"/>
      <c r="F236" s="274"/>
      <c r="G236" s="275"/>
      <c r="H236" s="261"/>
    </row>
    <row r="237">
      <c r="A237" s="262">
        <v>18.0</v>
      </c>
      <c r="B237" s="239"/>
      <c r="C237" s="240"/>
      <c r="D237" s="821"/>
      <c r="E237" s="242"/>
      <c r="F237" s="243">
        <v>2000.0</v>
      </c>
      <c r="G237" s="276" t="s">
        <v>97</v>
      </c>
      <c r="H237" s="245">
        <v>59.0</v>
      </c>
      <c r="I237" s="2" t="s">
        <v>59</v>
      </c>
    </row>
    <row r="238">
      <c r="A238" s="265"/>
      <c r="B238" s="247"/>
      <c r="C238" s="252"/>
      <c r="D238" s="331"/>
      <c r="F238" s="250">
        <v>500.0</v>
      </c>
      <c r="G238" s="254" t="s">
        <v>2725</v>
      </c>
      <c r="H238" s="251"/>
    </row>
    <row r="239">
      <c r="A239" s="265"/>
      <c r="B239" s="247"/>
      <c r="C239" s="252"/>
      <c r="D239" s="331"/>
      <c r="F239" s="250">
        <v>575.0</v>
      </c>
      <c r="G239" s="254" t="s">
        <v>97</v>
      </c>
      <c r="H239" s="251"/>
    </row>
    <row r="240">
      <c r="A240" s="265"/>
      <c r="B240" s="247">
        <v>13700.0</v>
      </c>
      <c r="C240" s="248"/>
      <c r="D240" s="822"/>
      <c r="F240" s="250"/>
      <c r="G240" s="254" t="s">
        <v>79</v>
      </c>
      <c r="H240" s="251"/>
    </row>
    <row r="241">
      <c r="A241" s="265"/>
      <c r="B241" s="247">
        <v>4927.0</v>
      </c>
      <c r="C241" s="248"/>
      <c r="D241" s="822"/>
      <c r="F241" s="250"/>
      <c r="G241" s="254" t="s">
        <v>2726</v>
      </c>
      <c r="H241" s="251"/>
    </row>
    <row r="242">
      <c r="A242" s="265"/>
      <c r="B242" s="247">
        <v>9368.0</v>
      </c>
      <c r="C242" s="248"/>
      <c r="D242" s="331"/>
      <c r="F242" s="250"/>
      <c r="G242" s="254" t="s">
        <v>2727</v>
      </c>
      <c r="H242" s="251"/>
    </row>
    <row r="243">
      <c r="A243" s="265"/>
      <c r="B243" s="247"/>
      <c r="C243" s="252"/>
      <c r="D243" s="822"/>
      <c r="F243" s="250">
        <v>6500.0</v>
      </c>
      <c r="G243" s="254" t="s">
        <v>2728</v>
      </c>
      <c r="H243" s="251"/>
    </row>
    <row r="244">
      <c r="A244" s="265"/>
      <c r="B244" s="247"/>
      <c r="C244" s="252"/>
      <c r="D244" s="822"/>
      <c r="F244" s="250">
        <v>6700.0</v>
      </c>
      <c r="G244" s="254" t="s">
        <v>68</v>
      </c>
      <c r="H244" s="251"/>
    </row>
    <row r="245">
      <c r="A245" s="265"/>
      <c r="B245" s="247"/>
      <c r="C245" s="252"/>
      <c r="D245" s="822"/>
      <c r="F245" s="250">
        <v>940.0</v>
      </c>
      <c r="G245" s="254" t="s">
        <v>85</v>
      </c>
      <c r="H245" s="251"/>
    </row>
    <row r="246">
      <c r="A246" s="265"/>
      <c r="B246" s="247"/>
      <c r="C246" s="252"/>
      <c r="D246" s="822"/>
      <c r="F246" s="250"/>
      <c r="G246" s="254"/>
      <c r="H246" s="251"/>
    </row>
    <row r="247">
      <c r="A247" s="265"/>
      <c r="B247" s="268"/>
      <c r="C247" s="252"/>
      <c r="D247" s="822"/>
      <c r="F247" s="250"/>
      <c r="G247" s="254"/>
      <c r="H247" s="251"/>
    </row>
    <row r="248">
      <c r="A248" s="265"/>
      <c r="B248" s="277"/>
      <c r="C248" s="252"/>
      <c r="D248" s="822"/>
      <c r="F248" s="282"/>
      <c r="G248" s="269"/>
      <c r="H248" s="251"/>
    </row>
    <row r="249">
      <c r="A249" s="265"/>
      <c r="B249" s="278"/>
      <c r="C249" s="252"/>
      <c r="D249" s="822"/>
      <c r="F249" s="282"/>
      <c r="G249" s="269"/>
      <c r="H249" s="251"/>
    </row>
    <row r="250">
      <c r="A250" s="265"/>
      <c r="B250" s="278"/>
      <c r="C250" s="252"/>
      <c r="D250" s="822"/>
      <c r="F250" s="282"/>
      <c r="G250" s="269"/>
      <c r="H250" s="251"/>
    </row>
    <row r="251">
      <c r="A251" s="270"/>
      <c r="B251" s="271"/>
      <c r="C251" s="272"/>
      <c r="D251" s="823"/>
      <c r="E251" s="18"/>
      <c r="F251" s="274"/>
      <c r="G251" s="275"/>
      <c r="H251" s="261"/>
    </row>
    <row r="252">
      <c r="A252" s="262">
        <v>19.0</v>
      </c>
      <c r="B252" s="239">
        <v>9846.29</v>
      </c>
      <c r="C252" s="263"/>
      <c r="D252" s="824"/>
      <c r="E252" s="242"/>
      <c r="F252" s="243"/>
      <c r="G252" s="2" t="s">
        <v>82</v>
      </c>
      <c r="H252" s="245">
        <v>54.0</v>
      </c>
      <c r="I252" s="2" t="s">
        <v>72</v>
      </c>
    </row>
    <row r="253">
      <c r="A253" s="265"/>
      <c r="B253" s="247">
        <v>6624.0</v>
      </c>
      <c r="C253" s="252"/>
      <c r="D253" s="822"/>
      <c r="F253" s="250"/>
      <c r="G253" s="254" t="s">
        <v>549</v>
      </c>
      <c r="H253" s="251">
        <f>SUM(H169:H252)</f>
        <v>266</v>
      </c>
    </row>
    <row r="254">
      <c r="A254" s="265"/>
      <c r="B254" s="247"/>
      <c r="C254" s="252"/>
      <c r="D254" s="331">
        <v>11500.0</v>
      </c>
      <c r="F254" s="250"/>
      <c r="G254" s="254" t="s">
        <v>75</v>
      </c>
      <c r="H254" s="251"/>
    </row>
    <row r="255">
      <c r="A255" s="265"/>
      <c r="B255" s="247">
        <v>7293.0</v>
      </c>
      <c r="C255" s="248"/>
      <c r="D255" s="822"/>
      <c r="F255" s="250"/>
      <c r="G255" s="254" t="s">
        <v>392</v>
      </c>
      <c r="H255" s="251"/>
    </row>
    <row r="256">
      <c r="A256" s="265"/>
      <c r="B256" s="247">
        <v>8086.0</v>
      </c>
      <c r="C256" s="252"/>
      <c r="D256" s="822"/>
      <c r="F256" s="250"/>
      <c r="G256" s="254" t="s">
        <v>389</v>
      </c>
      <c r="H256" s="267"/>
    </row>
    <row r="257">
      <c r="A257" s="265"/>
      <c r="B257" s="247"/>
      <c r="C257" s="248"/>
      <c r="D257" s="822"/>
      <c r="F257" s="250"/>
      <c r="G257" s="254" t="s">
        <v>344</v>
      </c>
      <c r="H257" s="267"/>
    </row>
    <row r="258">
      <c r="A258" s="265"/>
      <c r="B258" s="247"/>
      <c r="C258" s="248"/>
      <c r="D258" s="331">
        <v>15450.0</v>
      </c>
      <c r="F258" s="250"/>
      <c r="G258" s="254" t="s">
        <v>572</v>
      </c>
      <c r="H258" s="251"/>
    </row>
    <row r="259">
      <c r="A259" s="265"/>
      <c r="B259" s="247"/>
      <c r="C259" s="252"/>
      <c r="D259" s="822"/>
      <c r="F259" s="250"/>
      <c r="G259" s="254"/>
      <c r="H259" s="251"/>
    </row>
    <row r="260">
      <c r="A260" s="265"/>
      <c r="B260" s="247"/>
      <c r="C260" s="252"/>
      <c r="D260" s="822"/>
      <c r="F260" s="250"/>
      <c r="G260" s="254"/>
      <c r="H260" s="251"/>
    </row>
    <row r="261">
      <c r="A261" s="265"/>
      <c r="B261" s="247"/>
      <c r="C261" s="252"/>
      <c r="D261" s="822"/>
      <c r="F261" s="250"/>
      <c r="G261" s="254"/>
      <c r="H261" s="251"/>
    </row>
    <row r="262">
      <c r="A262" s="265"/>
      <c r="B262" s="278"/>
      <c r="C262" s="252"/>
      <c r="D262" s="822"/>
      <c r="F262" s="250"/>
      <c r="G262" s="254"/>
      <c r="H262" s="251"/>
    </row>
    <row r="263">
      <c r="A263" s="265"/>
      <c r="B263" s="278"/>
      <c r="C263" s="252"/>
      <c r="D263" s="822"/>
      <c r="F263" s="250"/>
      <c r="G263" s="269"/>
      <c r="H263" s="251"/>
    </row>
    <row r="264">
      <c r="A264" s="265"/>
      <c r="B264" s="278"/>
      <c r="C264" s="252"/>
      <c r="D264" s="822"/>
      <c r="F264" s="250"/>
      <c r="G264" s="269"/>
      <c r="H264" s="251"/>
    </row>
    <row r="265">
      <c r="A265" s="270"/>
      <c r="B265" s="271"/>
      <c r="C265" s="272"/>
      <c r="D265" s="823"/>
      <c r="E265" s="18"/>
      <c r="F265" s="274"/>
      <c r="G265" s="275"/>
      <c r="H265" s="261"/>
    </row>
    <row r="266">
      <c r="A266" s="262">
        <v>20.0</v>
      </c>
      <c r="B266" s="239"/>
      <c r="C266" s="263"/>
      <c r="D266" s="821"/>
      <c r="E266" s="242"/>
      <c r="F266" s="243">
        <v>9000.0</v>
      </c>
      <c r="G266" s="276" t="s">
        <v>2669</v>
      </c>
      <c r="H266" s="245">
        <f>52+4</f>
        <v>56</v>
      </c>
      <c r="I266" s="2" t="s">
        <v>59</v>
      </c>
    </row>
    <row r="267">
      <c r="A267" s="265"/>
      <c r="B267" s="247"/>
      <c r="C267" s="248"/>
      <c r="D267" s="822">
        <f>3321.69+22201.94</f>
        <v>25523.63</v>
      </c>
      <c r="F267" s="250"/>
      <c r="G267" s="254" t="s">
        <v>74</v>
      </c>
      <c r="H267" s="251"/>
    </row>
    <row r="268">
      <c r="A268" s="265"/>
      <c r="B268" s="247"/>
      <c r="C268" s="252"/>
      <c r="D268" s="331">
        <v>14841.8</v>
      </c>
      <c r="F268" s="250"/>
      <c r="G268" s="254" t="s">
        <v>73</v>
      </c>
      <c r="H268" s="251"/>
    </row>
    <row r="269">
      <c r="A269" s="265"/>
      <c r="B269" s="247"/>
      <c r="C269" s="248">
        <f>33527.67+2032.8</f>
        <v>35560.47</v>
      </c>
      <c r="D269" s="331"/>
      <c r="F269" s="250"/>
      <c r="G269" s="254" t="s">
        <v>71</v>
      </c>
      <c r="H269" s="251"/>
    </row>
    <row r="270">
      <c r="A270" s="265"/>
      <c r="B270" s="247"/>
      <c r="C270" s="248"/>
      <c r="D270" s="331"/>
      <c r="F270" s="250">
        <f>1521+676</f>
        <v>2197</v>
      </c>
      <c r="G270" s="254" t="s">
        <v>2638</v>
      </c>
      <c r="H270" s="251"/>
    </row>
    <row r="271">
      <c r="A271" s="265"/>
      <c r="B271" s="247"/>
      <c r="C271" s="248"/>
      <c r="D271" s="331"/>
      <c r="F271" s="250"/>
      <c r="G271" s="254"/>
      <c r="H271" s="251"/>
    </row>
    <row r="272">
      <c r="A272" s="265"/>
      <c r="B272" s="247"/>
      <c r="C272" s="252"/>
      <c r="D272" s="331"/>
      <c r="F272" s="250"/>
      <c r="G272" s="254"/>
      <c r="H272" s="251"/>
    </row>
    <row r="273">
      <c r="A273" s="265"/>
      <c r="B273" s="247"/>
      <c r="C273" s="252"/>
      <c r="D273" s="822"/>
      <c r="F273" s="250"/>
      <c r="G273" s="254"/>
      <c r="H273" s="251"/>
    </row>
    <row r="274">
      <c r="A274" s="265"/>
      <c r="B274" s="247"/>
      <c r="C274" s="252"/>
      <c r="D274" s="822"/>
      <c r="F274" s="250"/>
      <c r="G274" s="254"/>
      <c r="H274" s="251"/>
    </row>
    <row r="275">
      <c r="A275" s="265"/>
      <c r="B275" s="247"/>
      <c r="C275" s="252"/>
      <c r="D275" s="822"/>
      <c r="F275" s="250"/>
      <c r="G275" s="254"/>
      <c r="H275" s="251"/>
    </row>
    <row r="276">
      <c r="A276" s="265"/>
      <c r="B276" s="268"/>
      <c r="C276" s="252"/>
      <c r="D276" s="822"/>
      <c r="F276" s="250"/>
      <c r="G276" s="254"/>
      <c r="H276" s="267"/>
    </row>
    <row r="277">
      <c r="A277" s="265"/>
      <c r="B277" s="268"/>
      <c r="C277" s="252"/>
      <c r="D277" s="822"/>
      <c r="F277" s="250"/>
      <c r="G277" s="254"/>
      <c r="H277" s="251"/>
    </row>
    <row r="278">
      <c r="A278" s="265"/>
      <c r="B278" s="268"/>
      <c r="C278" s="252"/>
      <c r="D278" s="822"/>
      <c r="F278" s="250"/>
      <c r="G278" s="254"/>
      <c r="H278" s="251"/>
    </row>
    <row r="279">
      <c r="A279" s="270"/>
      <c r="B279" s="271"/>
      <c r="C279" s="272"/>
      <c r="D279" s="823"/>
      <c r="E279" s="18"/>
      <c r="F279" s="259"/>
      <c r="G279" s="260"/>
      <c r="H279" s="261"/>
    </row>
    <row r="280">
      <c r="A280" s="262">
        <v>22.0</v>
      </c>
      <c r="B280" s="239"/>
      <c r="C280" s="263"/>
      <c r="D280" s="821">
        <v>15240.0</v>
      </c>
      <c r="E280" s="244"/>
      <c r="F280" s="243"/>
      <c r="G280" s="276" t="s">
        <v>75</v>
      </c>
      <c r="H280" s="245">
        <v>43.0</v>
      </c>
      <c r="I280" s="2" t="s">
        <v>59</v>
      </c>
    </row>
    <row r="281">
      <c r="A281" s="265"/>
      <c r="B281" s="247">
        <v>9419.92</v>
      </c>
      <c r="C281" s="252"/>
      <c r="D281" s="331"/>
      <c r="F281" s="250"/>
      <c r="G281" s="254" t="s">
        <v>82</v>
      </c>
      <c r="H281" s="267"/>
    </row>
    <row r="282">
      <c r="A282" s="265"/>
      <c r="B282" s="247"/>
      <c r="C282" s="252"/>
      <c r="D282" s="331">
        <v>18700.0</v>
      </c>
      <c r="F282" s="250"/>
      <c r="G282" s="254" t="s">
        <v>122</v>
      </c>
      <c r="H282" s="251"/>
    </row>
    <row r="283">
      <c r="A283" s="265"/>
      <c r="B283" s="247"/>
      <c r="C283" s="248">
        <v>27086.0</v>
      </c>
      <c r="D283" s="331"/>
      <c r="F283" s="250"/>
      <c r="G283" s="254" t="s">
        <v>89</v>
      </c>
      <c r="H283" s="251"/>
    </row>
    <row r="284">
      <c r="A284" s="265"/>
      <c r="B284" s="247">
        <v>2750.0</v>
      </c>
      <c r="C284" s="252"/>
      <c r="D284" s="331"/>
      <c r="F284" s="250"/>
      <c r="G284" s="254" t="s">
        <v>2621</v>
      </c>
      <c r="H284" s="251"/>
    </row>
    <row r="285">
      <c r="A285" s="265"/>
      <c r="B285" s="247"/>
      <c r="C285" s="248"/>
      <c r="D285" s="331"/>
      <c r="F285" s="250">
        <v>3000.0</v>
      </c>
      <c r="G285" s="254" t="s">
        <v>94</v>
      </c>
      <c r="H285" s="251"/>
    </row>
    <row r="286">
      <c r="A286" s="265"/>
      <c r="B286" s="247"/>
      <c r="C286" s="248"/>
      <c r="D286" s="331"/>
      <c r="F286" s="250">
        <v>2500.0</v>
      </c>
      <c r="G286" s="254" t="s">
        <v>101</v>
      </c>
      <c r="H286" s="251"/>
    </row>
    <row r="287">
      <c r="A287" s="265"/>
      <c r="B287" s="247"/>
      <c r="C287" s="248"/>
      <c r="D287" s="331"/>
      <c r="F287" s="250">
        <v>21000.0</v>
      </c>
      <c r="G287" s="254" t="s">
        <v>87</v>
      </c>
      <c r="H287" s="251"/>
    </row>
    <row r="288">
      <c r="A288" s="265"/>
      <c r="B288" s="247"/>
      <c r="C288" s="252"/>
      <c r="D288" s="331"/>
      <c r="F288" s="250">
        <v>1700.0</v>
      </c>
      <c r="G288" s="254" t="s">
        <v>2543</v>
      </c>
      <c r="H288" s="251"/>
    </row>
    <row r="289">
      <c r="A289" s="265"/>
      <c r="B289" s="247"/>
      <c r="C289" s="252"/>
      <c r="D289" s="786">
        <v>66646.8</v>
      </c>
      <c r="E289" s="322"/>
      <c r="F289" s="323"/>
      <c r="G289" s="787" t="s">
        <v>2729</v>
      </c>
      <c r="H289" s="251"/>
    </row>
    <row r="290">
      <c r="A290" s="265"/>
      <c r="B290" s="247">
        <v>8760.0</v>
      </c>
      <c r="C290" s="252"/>
      <c r="D290" s="822"/>
      <c r="F290" s="250"/>
      <c r="G290" s="254" t="s">
        <v>2730</v>
      </c>
      <c r="H290" s="251"/>
    </row>
    <row r="291">
      <c r="A291" s="265"/>
      <c r="B291" s="268"/>
      <c r="C291" s="252"/>
      <c r="D291" s="822"/>
      <c r="F291" s="250"/>
      <c r="G291" s="269"/>
      <c r="H291" s="251"/>
    </row>
    <row r="292">
      <c r="A292" s="270"/>
      <c r="B292" s="271"/>
      <c r="C292" s="272"/>
      <c r="D292" s="823"/>
      <c r="E292" s="18"/>
      <c r="F292" s="259"/>
      <c r="G292" s="260"/>
      <c r="H292" s="261"/>
    </row>
    <row r="293">
      <c r="A293" s="262">
        <v>23.0</v>
      </c>
      <c r="B293" s="239"/>
      <c r="C293" s="263"/>
      <c r="D293" s="821">
        <v>24135.75</v>
      </c>
      <c r="E293" s="244"/>
      <c r="F293" s="243"/>
      <c r="G293" s="276" t="s">
        <v>91</v>
      </c>
      <c r="H293" s="245">
        <v>70.0</v>
      </c>
      <c r="I293" s="2" t="s">
        <v>72</v>
      </c>
    </row>
    <row r="294">
      <c r="A294" s="265"/>
      <c r="B294" s="247"/>
      <c r="C294" s="252"/>
      <c r="D294" s="331"/>
      <c r="F294" s="250">
        <v>1750.0</v>
      </c>
      <c r="G294" s="254" t="s">
        <v>2543</v>
      </c>
      <c r="H294" s="251"/>
    </row>
    <row r="295">
      <c r="A295" s="265"/>
      <c r="B295" s="247"/>
      <c r="C295" s="252"/>
      <c r="D295" s="331">
        <v>14238.76</v>
      </c>
      <c r="F295" s="250"/>
      <c r="G295" s="254" t="s">
        <v>114</v>
      </c>
      <c r="H295" s="251"/>
    </row>
    <row r="296">
      <c r="A296" s="265"/>
      <c r="B296" s="247"/>
      <c r="C296" s="248"/>
      <c r="D296" s="331"/>
      <c r="F296" s="250">
        <v>2000.0</v>
      </c>
      <c r="G296" s="254" t="s">
        <v>944</v>
      </c>
      <c r="H296" s="251"/>
    </row>
    <row r="297">
      <c r="A297" s="265"/>
      <c r="B297" s="247"/>
      <c r="C297" s="252"/>
      <c r="D297" s="331"/>
      <c r="F297" s="250">
        <v>6700.0</v>
      </c>
      <c r="G297" s="254" t="s">
        <v>68</v>
      </c>
      <c r="H297" s="251"/>
    </row>
    <row r="298">
      <c r="A298" s="265"/>
      <c r="B298" s="247"/>
      <c r="C298" s="248"/>
      <c r="D298" s="331"/>
      <c r="F298" s="250">
        <v>586.0</v>
      </c>
      <c r="G298" s="254" t="s">
        <v>1015</v>
      </c>
      <c r="H298" s="251"/>
    </row>
    <row r="299">
      <c r="A299" s="265"/>
      <c r="B299" s="247"/>
      <c r="C299" s="248"/>
      <c r="D299" s="331"/>
      <c r="F299" s="250"/>
      <c r="G299" s="254"/>
      <c r="H299" s="251"/>
    </row>
    <row r="300">
      <c r="A300" s="265"/>
      <c r="B300" s="247"/>
      <c r="C300" s="248"/>
      <c r="D300" s="331"/>
      <c r="F300" s="250"/>
      <c r="G300" s="254"/>
      <c r="H300" s="251"/>
    </row>
    <row r="301">
      <c r="A301" s="265"/>
      <c r="B301" s="247"/>
      <c r="C301" s="252"/>
      <c r="D301" s="331"/>
      <c r="F301" s="250"/>
      <c r="G301" s="254"/>
      <c r="H301" s="251"/>
    </row>
    <row r="302">
      <c r="A302" s="265"/>
      <c r="B302" s="247"/>
      <c r="C302" s="252"/>
      <c r="D302" s="331"/>
      <c r="F302" s="250"/>
      <c r="G302" s="254"/>
      <c r="H302" s="251"/>
    </row>
    <row r="303">
      <c r="A303" s="265"/>
      <c r="B303" s="247"/>
      <c r="C303" s="252"/>
      <c r="D303" s="822"/>
      <c r="F303" s="250"/>
      <c r="G303" s="254"/>
      <c r="H303" s="251"/>
    </row>
    <row r="304">
      <c r="A304" s="265"/>
      <c r="B304" s="268"/>
      <c r="C304" s="252"/>
      <c r="D304" s="822"/>
      <c r="F304" s="250"/>
      <c r="G304" s="269"/>
      <c r="H304" s="251"/>
    </row>
    <row r="305">
      <c r="A305" s="265"/>
      <c r="B305" s="268"/>
      <c r="C305" s="252"/>
      <c r="D305" s="822"/>
      <c r="F305" s="250"/>
      <c r="G305" s="269"/>
      <c r="H305" s="251"/>
    </row>
    <row r="306">
      <c r="A306" s="270"/>
      <c r="B306" s="271"/>
      <c r="C306" s="272"/>
      <c r="D306" s="823"/>
      <c r="E306" s="18"/>
      <c r="F306" s="274"/>
      <c r="G306" s="275"/>
      <c r="H306" s="261"/>
    </row>
    <row r="307">
      <c r="A307" s="262">
        <v>24.0</v>
      </c>
      <c r="B307" s="239"/>
      <c r="C307" s="263">
        <v>62782.86</v>
      </c>
      <c r="D307" s="824"/>
      <c r="E307" s="242"/>
      <c r="F307" s="243"/>
      <c r="G307" s="276" t="s">
        <v>84</v>
      </c>
      <c r="H307" s="245">
        <v>55.0</v>
      </c>
      <c r="I307" s="2" t="s">
        <v>72</v>
      </c>
    </row>
    <row r="308">
      <c r="A308" s="265"/>
      <c r="B308" s="247">
        <v>3150.0</v>
      </c>
      <c r="C308" s="248"/>
      <c r="D308" s="822"/>
      <c r="F308" s="250"/>
      <c r="G308" s="254" t="s">
        <v>344</v>
      </c>
      <c r="H308" s="251"/>
    </row>
    <row r="309">
      <c r="A309" s="265"/>
      <c r="B309" s="247"/>
      <c r="C309" s="248"/>
      <c r="D309" s="822"/>
      <c r="F309" s="250">
        <v>2800.0</v>
      </c>
      <c r="G309" s="254" t="s">
        <v>588</v>
      </c>
      <c r="H309" s="251"/>
    </row>
    <row r="310">
      <c r="A310" s="265"/>
      <c r="B310" s="247"/>
      <c r="C310" s="248"/>
      <c r="D310" s="822"/>
      <c r="F310" s="250">
        <v>1800.0</v>
      </c>
      <c r="G310" s="254" t="s">
        <v>94</v>
      </c>
      <c r="H310" s="251"/>
    </row>
    <row r="311">
      <c r="A311" s="265"/>
      <c r="B311" s="247">
        <v>9419.92</v>
      </c>
      <c r="C311" s="252"/>
      <c r="D311" s="822"/>
      <c r="F311" s="250"/>
      <c r="G311" s="254" t="s">
        <v>82</v>
      </c>
      <c r="H311" s="251"/>
    </row>
    <row r="312">
      <c r="A312" s="265"/>
      <c r="B312" s="247"/>
      <c r="C312" s="248"/>
      <c r="D312" s="331">
        <v>14750.0</v>
      </c>
      <c r="F312" s="250"/>
      <c r="G312" s="254" t="s">
        <v>76</v>
      </c>
      <c r="H312" s="251"/>
    </row>
    <row r="313">
      <c r="A313" s="265"/>
      <c r="B313" s="247"/>
      <c r="C313" s="248"/>
      <c r="D313" s="822"/>
      <c r="F313" s="250">
        <v>3800.0</v>
      </c>
      <c r="G313" s="254" t="s">
        <v>94</v>
      </c>
      <c r="H313" s="251"/>
    </row>
    <row r="314">
      <c r="A314" s="265"/>
      <c r="B314" s="247"/>
      <c r="C314" s="252"/>
      <c r="D314" s="822"/>
      <c r="F314" s="250"/>
      <c r="G314" s="254"/>
      <c r="H314" s="251"/>
    </row>
    <row r="315">
      <c r="A315" s="265"/>
      <c r="B315" s="247"/>
      <c r="C315" s="252"/>
      <c r="D315" s="822"/>
      <c r="F315" s="250"/>
      <c r="G315" s="254"/>
      <c r="H315" s="251"/>
    </row>
    <row r="316">
      <c r="A316" s="265"/>
      <c r="B316" s="268"/>
      <c r="C316" s="252"/>
      <c r="D316" s="822"/>
      <c r="F316" s="250"/>
      <c r="G316" s="254"/>
      <c r="H316" s="251"/>
    </row>
    <row r="317">
      <c r="A317" s="265"/>
      <c r="B317" s="268"/>
      <c r="C317" s="252"/>
      <c r="D317" s="822"/>
      <c r="F317" s="250"/>
      <c r="G317" s="254"/>
      <c r="H317" s="251"/>
    </row>
    <row r="318">
      <c r="A318" s="265"/>
      <c r="B318" s="268"/>
      <c r="C318" s="252"/>
      <c r="D318" s="822"/>
      <c r="F318" s="250"/>
      <c r="G318" s="269"/>
      <c r="H318" s="251"/>
    </row>
    <row r="319">
      <c r="A319" s="265"/>
      <c r="B319" s="268"/>
      <c r="C319" s="252"/>
      <c r="D319" s="822"/>
      <c r="F319" s="250"/>
      <c r="G319" s="269"/>
      <c r="H319" s="251"/>
    </row>
    <row r="320">
      <c r="A320" s="265"/>
      <c r="B320" s="268"/>
      <c r="C320" s="252"/>
      <c r="D320" s="822"/>
      <c r="F320" s="250"/>
      <c r="G320" s="269"/>
      <c r="H320" s="251"/>
    </row>
    <row r="321">
      <c r="A321" s="270"/>
      <c r="B321" s="271"/>
      <c r="C321" s="272"/>
      <c r="D321" s="823"/>
      <c r="E321" s="18"/>
      <c r="F321" s="274"/>
      <c r="G321" s="275"/>
      <c r="H321" s="261"/>
    </row>
    <row r="322">
      <c r="A322" s="262">
        <v>25.0</v>
      </c>
      <c r="B322" s="239"/>
      <c r="C322" s="240"/>
      <c r="D322" s="821"/>
      <c r="E322" s="242"/>
      <c r="F322" s="250">
        <f>250+1030</f>
        <v>1280</v>
      </c>
      <c r="G322" s="254" t="s">
        <v>97</v>
      </c>
      <c r="H322" s="245">
        <v>25.0</v>
      </c>
      <c r="I322" s="2" t="s">
        <v>59</v>
      </c>
    </row>
    <row r="323">
      <c r="A323" s="265"/>
      <c r="B323" s="247"/>
      <c r="C323" s="252"/>
      <c r="D323" s="822"/>
      <c r="F323" s="250">
        <v>6990.0</v>
      </c>
      <c r="G323" s="254" t="s">
        <v>2556</v>
      </c>
      <c r="H323" s="251"/>
    </row>
    <row r="324">
      <c r="A324" s="265"/>
      <c r="B324" s="247"/>
      <c r="C324" s="248"/>
      <c r="D324" s="331"/>
      <c r="F324" s="250">
        <v>21000.0</v>
      </c>
      <c r="G324" s="254" t="s">
        <v>87</v>
      </c>
      <c r="H324" s="251"/>
    </row>
    <row r="325">
      <c r="A325" s="265"/>
      <c r="B325" s="247"/>
      <c r="C325" s="248"/>
      <c r="D325" s="331"/>
      <c r="F325" s="250">
        <v>9400.0</v>
      </c>
      <c r="G325" s="254" t="s">
        <v>396</v>
      </c>
      <c r="H325" s="251"/>
    </row>
    <row r="326">
      <c r="A326" s="265"/>
      <c r="B326" s="247"/>
      <c r="C326" s="252"/>
      <c r="D326" s="331"/>
      <c r="F326" s="250"/>
      <c r="G326" s="254"/>
      <c r="H326" s="251"/>
    </row>
    <row r="327">
      <c r="A327" s="265"/>
      <c r="B327" s="247"/>
      <c r="C327" s="252"/>
      <c r="D327" s="331"/>
      <c r="F327" s="250"/>
      <c r="G327" s="254"/>
      <c r="H327" s="251"/>
    </row>
    <row r="328">
      <c r="A328" s="265"/>
      <c r="B328" s="247"/>
      <c r="C328" s="252"/>
      <c r="D328" s="331"/>
      <c r="F328" s="250"/>
      <c r="G328" s="254"/>
      <c r="H328" s="251"/>
    </row>
    <row r="329">
      <c r="A329" s="265"/>
      <c r="B329" s="247"/>
      <c r="C329" s="252"/>
      <c r="D329" s="822"/>
      <c r="F329" s="250"/>
      <c r="G329" s="254"/>
      <c r="H329" s="251"/>
    </row>
    <row r="330">
      <c r="A330" s="265"/>
      <c r="B330" s="268"/>
      <c r="C330" s="252"/>
      <c r="D330" s="822"/>
      <c r="F330" s="250"/>
      <c r="G330" s="254"/>
      <c r="H330" s="251"/>
    </row>
    <row r="331">
      <c r="A331" s="265"/>
      <c r="B331" s="268"/>
      <c r="C331" s="252"/>
      <c r="D331" s="822"/>
      <c r="F331" s="250"/>
      <c r="G331" s="254"/>
      <c r="H331" s="251"/>
    </row>
    <row r="332">
      <c r="A332" s="265"/>
      <c r="B332" s="268"/>
      <c r="C332" s="252"/>
      <c r="D332" s="822"/>
      <c r="F332" s="250"/>
      <c r="G332" s="254"/>
      <c r="H332" s="251"/>
    </row>
    <row r="333">
      <c r="A333" s="265"/>
      <c r="B333" s="247"/>
      <c r="C333" s="252"/>
      <c r="D333" s="822"/>
      <c r="F333" s="250"/>
      <c r="G333" s="269"/>
      <c r="H333" s="251"/>
    </row>
    <row r="334">
      <c r="A334" s="265"/>
      <c r="B334" s="268"/>
      <c r="C334" s="252"/>
      <c r="D334" s="822"/>
      <c r="F334" s="250"/>
      <c r="G334" s="269"/>
      <c r="H334" s="251"/>
    </row>
    <row r="335">
      <c r="A335" s="265"/>
      <c r="B335" s="268"/>
      <c r="C335" s="252"/>
      <c r="D335" s="822"/>
      <c r="F335" s="250"/>
      <c r="G335" s="269"/>
      <c r="H335" s="251"/>
    </row>
    <row r="336">
      <c r="A336" s="270"/>
      <c r="B336" s="271"/>
      <c r="C336" s="272"/>
      <c r="D336" s="823"/>
      <c r="E336" s="18"/>
      <c r="F336" s="274"/>
      <c r="G336" s="18"/>
      <c r="H336" s="261"/>
    </row>
    <row r="337">
      <c r="A337" s="262">
        <v>26.0</v>
      </c>
      <c r="B337" s="239"/>
      <c r="C337" s="263"/>
      <c r="D337" s="824"/>
      <c r="E337" s="242"/>
      <c r="F337" s="243">
        <v>475.0</v>
      </c>
      <c r="G337" s="244" t="s">
        <v>97</v>
      </c>
      <c r="H337" s="245">
        <v>33.0</v>
      </c>
      <c r="I337" s="2" t="s">
        <v>72</v>
      </c>
      <c r="J337" s="2" t="s">
        <v>2731</v>
      </c>
    </row>
    <row r="338">
      <c r="A338" s="265"/>
      <c r="B338" s="247"/>
      <c r="C338" s="248"/>
      <c r="D338" s="331">
        <v>13600.0</v>
      </c>
      <c r="F338" s="250"/>
      <c r="G338" s="2" t="s">
        <v>75</v>
      </c>
      <c r="H338" s="251">
        <f>SUM(H266:H337)</f>
        <v>282</v>
      </c>
    </row>
    <row r="339">
      <c r="A339" s="265"/>
      <c r="B339" s="268"/>
      <c r="C339" s="248"/>
      <c r="D339" s="331"/>
      <c r="F339" s="250">
        <v>94.5</v>
      </c>
      <c r="G339" s="2" t="s">
        <v>303</v>
      </c>
      <c r="H339" s="251"/>
    </row>
    <row r="340">
      <c r="A340" s="265"/>
      <c r="B340" s="247">
        <v>9109.32</v>
      </c>
      <c r="C340" s="252"/>
      <c r="D340" s="822"/>
      <c r="F340" s="250"/>
      <c r="G340" s="2" t="s">
        <v>82</v>
      </c>
      <c r="H340" s="251"/>
    </row>
    <row r="341">
      <c r="A341" s="265"/>
      <c r="B341" s="247"/>
      <c r="C341" s="248"/>
      <c r="D341" s="331"/>
      <c r="F341" s="250"/>
      <c r="H341" s="251"/>
    </row>
    <row r="342">
      <c r="A342" s="265"/>
      <c r="B342" s="247"/>
      <c r="C342" s="252"/>
      <c r="D342" s="331">
        <v>13700.0</v>
      </c>
      <c r="F342" s="250"/>
      <c r="G342" s="2" t="s">
        <v>79</v>
      </c>
      <c r="H342" s="251"/>
    </row>
    <row r="343">
      <c r="A343" s="265"/>
      <c r="B343" s="247">
        <v>6327.0</v>
      </c>
      <c r="C343" s="252"/>
      <c r="D343" s="331"/>
      <c r="F343" s="250"/>
      <c r="G343" s="2" t="s">
        <v>2732</v>
      </c>
      <c r="H343" s="251"/>
    </row>
    <row r="344">
      <c r="A344" s="265"/>
      <c r="B344" s="247">
        <v>4750.0</v>
      </c>
      <c r="C344" s="252"/>
      <c r="D344" s="822"/>
      <c r="F344" s="250"/>
      <c r="G344" s="2" t="s">
        <v>2621</v>
      </c>
      <c r="H344" s="251"/>
    </row>
    <row r="345">
      <c r="A345" s="265"/>
      <c r="B345" s="247"/>
      <c r="C345" s="252"/>
      <c r="D345" s="331"/>
      <c r="F345" s="250">
        <v>3000.0</v>
      </c>
      <c r="G345" s="2" t="s">
        <v>101</v>
      </c>
      <c r="H345" s="251"/>
    </row>
    <row r="346">
      <c r="A346" s="265"/>
      <c r="B346" s="247">
        <v>8496.0</v>
      </c>
      <c r="C346" s="252"/>
      <c r="D346" s="822"/>
      <c r="F346" s="250"/>
      <c r="G346" s="2" t="s">
        <v>2733</v>
      </c>
      <c r="H346" s="251"/>
    </row>
    <row r="347">
      <c r="A347" s="265"/>
      <c r="B347" s="247"/>
      <c r="C347" s="252"/>
      <c r="D347" s="822"/>
      <c r="F347" s="250"/>
      <c r="H347" s="251"/>
    </row>
    <row r="348">
      <c r="A348" s="265"/>
      <c r="B348" s="247"/>
      <c r="C348" s="252"/>
      <c r="D348" s="331"/>
      <c r="F348" s="250"/>
      <c r="H348" s="251"/>
    </row>
    <row r="349">
      <c r="A349" s="270"/>
      <c r="B349" s="271"/>
      <c r="C349" s="272"/>
      <c r="D349" s="823"/>
      <c r="E349" s="18"/>
      <c r="F349" s="259"/>
      <c r="G349" s="293"/>
      <c r="H349" s="261"/>
    </row>
    <row r="350">
      <c r="A350" s="262">
        <v>27.0</v>
      </c>
      <c r="B350" s="306"/>
      <c r="C350" s="263"/>
      <c r="D350" s="821">
        <v>19824.65</v>
      </c>
      <c r="E350" s="242"/>
      <c r="F350" s="243"/>
      <c r="G350" s="244" t="s">
        <v>74</v>
      </c>
      <c r="H350" s="245">
        <v>19.0</v>
      </c>
      <c r="I350" s="2" t="s">
        <v>59</v>
      </c>
    </row>
    <row r="351">
      <c r="A351" s="265"/>
      <c r="B351" s="247"/>
      <c r="C351" s="248"/>
      <c r="D351" s="331">
        <v>28092.74</v>
      </c>
      <c r="F351" s="250"/>
      <c r="G351" s="2" t="s">
        <v>73</v>
      </c>
      <c r="H351" s="251"/>
    </row>
    <row r="352">
      <c r="A352" s="265"/>
      <c r="B352" s="247"/>
      <c r="C352" s="248">
        <v>28731.5</v>
      </c>
      <c r="D352" s="331"/>
      <c r="F352" s="250"/>
      <c r="G352" s="2" t="s">
        <v>89</v>
      </c>
      <c r="H352" s="251"/>
    </row>
    <row r="353">
      <c r="A353" s="265"/>
      <c r="B353" s="247"/>
      <c r="C353" s="248"/>
      <c r="D353" s="331">
        <v>16484.67</v>
      </c>
      <c r="F353" s="250"/>
      <c r="G353" s="2" t="s">
        <v>114</v>
      </c>
      <c r="H353" s="251"/>
    </row>
    <row r="354">
      <c r="A354" s="265"/>
      <c r="B354" s="247"/>
      <c r="C354" s="248">
        <v>40598.19</v>
      </c>
      <c r="D354" s="331"/>
      <c r="F354" s="250"/>
      <c r="G354" s="2" t="s">
        <v>71</v>
      </c>
      <c r="H354" s="251"/>
    </row>
    <row r="355">
      <c r="A355" s="265"/>
      <c r="B355" s="247"/>
      <c r="C355" s="252"/>
      <c r="D355" s="822"/>
      <c r="F355" s="250">
        <v>8800.0</v>
      </c>
      <c r="G355" s="2" t="s">
        <v>2669</v>
      </c>
      <c r="H355" s="251"/>
    </row>
    <row r="356">
      <c r="A356" s="265"/>
      <c r="B356" s="247"/>
      <c r="C356" s="252"/>
      <c r="D356" s="331"/>
      <c r="F356" s="250">
        <v>7500.0</v>
      </c>
      <c r="G356" s="2" t="s">
        <v>2734</v>
      </c>
      <c r="H356" s="251"/>
    </row>
    <row r="357">
      <c r="A357" s="265"/>
      <c r="B357" s="247">
        <v>60000.0</v>
      </c>
      <c r="C357" s="252"/>
      <c r="D357" s="331"/>
      <c r="F357" s="250"/>
      <c r="G357" s="2" t="s">
        <v>2734</v>
      </c>
      <c r="H357" s="251"/>
    </row>
    <row r="358">
      <c r="A358" s="265"/>
      <c r="B358" s="247"/>
      <c r="C358" s="252"/>
      <c r="D358" s="822"/>
      <c r="F358" s="250"/>
      <c r="H358" s="251"/>
    </row>
    <row r="359">
      <c r="A359" s="265"/>
      <c r="B359" s="247"/>
      <c r="C359" s="252"/>
      <c r="D359" s="822"/>
      <c r="F359" s="250"/>
      <c r="H359" s="251"/>
    </row>
    <row r="360">
      <c r="A360" s="265"/>
      <c r="B360" s="268"/>
      <c r="C360" s="252"/>
      <c r="D360" s="822"/>
      <c r="F360" s="250"/>
      <c r="H360" s="251"/>
    </row>
    <row r="361">
      <c r="A361" s="265"/>
      <c r="B361" s="247"/>
      <c r="C361" s="252"/>
      <c r="D361" s="822"/>
      <c r="F361" s="250"/>
      <c r="H361" s="251"/>
    </row>
    <row r="362">
      <c r="A362" s="265"/>
      <c r="B362" s="268"/>
      <c r="C362" s="252"/>
      <c r="D362" s="822"/>
      <c r="F362" s="250"/>
      <c r="H362" s="251"/>
    </row>
    <row r="363">
      <c r="A363" s="265"/>
      <c r="B363" s="268"/>
      <c r="C363" s="252"/>
      <c r="D363" s="822"/>
      <c r="F363" s="250"/>
      <c r="H363" s="251"/>
    </row>
    <row r="364">
      <c r="A364" s="265"/>
      <c r="B364" s="268"/>
      <c r="C364" s="252"/>
      <c r="D364" s="822"/>
      <c r="F364" s="250"/>
      <c r="H364" s="251"/>
    </row>
    <row r="365">
      <c r="A365" s="265"/>
      <c r="B365" s="268"/>
      <c r="C365" s="252"/>
      <c r="D365" s="822"/>
      <c r="F365" s="250"/>
      <c r="H365" s="251"/>
    </row>
    <row r="366">
      <c r="A366" s="265"/>
      <c r="B366" s="268"/>
      <c r="C366" s="252"/>
      <c r="D366" s="822"/>
      <c r="F366" s="250"/>
      <c r="H366" s="251"/>
    </row>
    <row r="367">
      <c r="A367" s="270"/>
      <c r="B367" s="271"/>
      <c r="C367" s="272"/>
      <c r="D367" s="823"/>
      <c r="E367" s="18"/>
      <c r="F367" s="274"/>
      <c r="G367" s="18"/>
      <c r="H367" s="261"/>
    </row>
    <row r="368">
      <c r="A368" s="262">
        <v>29.0</v>
      </c>
      <c r="B368" s="239">
        <v>7771.56</v>
      </c>
      <c r="C368" s="240"/>
      <c r="D368" s="824"/>
      <c r="E368" s="242"/>
      <c r="F368" s="243"/>
      <c r="G368" s="244" t="s">
        <v>82</v>
      </c>
      <c r="H368" s="245">
        <v>43.0</v>
      </c>
      <c r="I368" s="2" t="s">
        <v>59</v>
      </c>
    </row>
    <row r="369">
      <c r="A369" s="265"/>
      <c r="B369" s="247"/>
      <c r="C369" s="248"/>
      <c r="D369" s="331">
        <v>17490.0</v>
      </c>
      <c r="F369" s="250"/>
      <c r="G369" s="2" t="s">
        <v>75</v>
      </c>
      <c r="H369" s="267"/>
    </row>
    <row r="370">
      <c r="A370" s="265"/>
      <c r="B370" s="247"/>
      <c r="C370" s="252"/>
      <c r="D370" s="822"/>
      <c r="F370" s="250">
        <v>500.0</v>
      </c>
      <c r="G370" s="2" t="s">
        <v>2723</v>
      </c>
      <c r="H370" s="251"/>
    </row>
    <row r="371">
      <c r="A371" s="265"/>
      <c r="B371" s="247"/>
      <c r="C371" s="248"/>
      <c r="D371" s="331"/>
      <c r="F371" s="250">
        <v>2500.0</v>
      </c>
      <c r="G371" s="2" t="s">
        <v>101</v>
      </c>
      <c r="H371" s="251"/>
    </row>
    <row r="372">
      <c r="A372" s="265"/>
      <c r="B372" s="247"/>
      <c r="C372" s="252"/>
      <c r="D372" s="331">
        <v>85159.8</v>
      </c>
      <c r="F372" s="250"/>
      <c r="G372" s="2" t="s">
        <v>167</v>
      </c>
      <c r="H372" s="251"/>
    </row>
    <row r="373">
      <c r="A373" s="265"/>
      <c r="B373" s="247"/>
      <c r="C373" s="252"/>
      <c r="D373" s="822"/>
      <c r="F373" s="250">
        <v>2000.0</v>
      </c>
      <c r="G373" s="2" t="s">
        <v>2735</v>
      </c>
      <c r="H373" s="251"/>
    </row>
    <row r="374">
      <c r="A374" s="265"/>
      <c r="B374" s="247"/>
      <c r="C374" s="252"/>
      <c r="D374" s="822"/>
      <c r="F374" s="250">
        <v>21300.0</v>
      </c>
      <c r="G374" s="2" t="s">
        <v>87</v>
      </c>
      <c r="H374" s="251"/>
    </row>
    <row r="375">
      <c r="A375" s="265"/>
      <c r="B375" s="268"/>
      <c r="C375" s="252"/>
      <c r="D375" s="331"/>
      <c r="F375" s="250">
        <v>6700.0</v>
      </c>
      <c r="G375" s="2" t="s">
        <v>68</v>
      </c>
      <c r="H375" s="251"/>
    </row>
    <row r="376">
      <c r="A376" s="265"/>
      <c r="B376" s="268"/>
      <c r="C376" s="252"/>
      <c r="D376" s="822"/>
      <c r="F376" s="250"/>
      <c r="H376" s="251"/>
    </row>
    <row r="377">
      <c r="A377" s="265"/>
      <c r="B377" s="247"/>
      <c r="C377" s="252"/>
      <c r="D377" s="822"/>
      <c r="F377" s="250"/>
      <c r="H377" s="251"/>
    </row>
    <row r="378">
      <c r="A378" s="265"/>
      <c r="B378" s="268"/>
      <c r="C378" s="252"/>
      <c r="D378" s="822"/>
      <c r="F378" s="250"/>
      <c r="H378" s="251"/>
    </row>
    <row r="379">
      <c r="A379" s="265"/>
      <c r="B379" s="247"/>
      <c r="C379" s="252"/>
      <c r="D379" s="822"/>
      <c r="F379" s="250"/>
      <c r="H379" s="251"/>
    </row>
    <row r="380">
      <c r="A380" s="265"/>
      <c r="B380" s="268"/>
      <c r="C380" s="252"/>
      <c r="D380" s="822"/>
      <c r="F380" s="250"/>
      <c r="H380" s="251"/>
    </row>
    <row r="381">
      <c r="A381" s="265"/>
      <c r="B381" s="268"/>
      <c r="C381" s="252"/>
      <c r="D381" s="822"/>
      <c r="F381" s="250"/>
      <c r="H381" s="251"/>
    </row>
    <row r="382">
      <c r="A382" s="265"/>
      <c r="B382" s="268"/>
      <c r="C382" s="252"/>
      <c r="D382" s="822"/>
      <c r="F382" s="250"/>
      <c r="H382" s="251"/>
    </row>
    <row r="383">
      <c r="A383" s="265"/>
      <c r="B383" s="268"/>
      <c r="C383" s="252"/>
      <c r="D383" s="822"/>
      <c r="F383" s="250"/>
      <c r="H383" s="251"/>
    </row>
    <row r="384">
      <c r="A384" s="265"/>
      <c r="B384" s="268"/>
      <c r="C384" s="252"/>
      <c r="D384" s="822"/>
      <c r="F384" s="250"/>
      <c r="H384" s="251"/>
    </row>
    <row r="385">
      <c r="A385" s="270"/>
      <c r="B385" s="271"/>
      <c r="C385" s="272"/>
      <c r="D385" s="823"/>
      <c r="E385" s="18"/>
      <c r="F385" s="274"/>
      <c r="G385" s="18"/>
      <c r="H385" s="261"/>
    </row>
    <row r="386">
      <c r="A386" s="262">
        <v>30.0</v>
      </c>
      <c r="B386" s="239"/>
      <c r="C386" s="240"/>
      <c r="D386" s="821">
        <v>8800.0</v>
      </c>
      <c r="E386" s="242"/>
      <c r="F386" s="243"/>
      <c r="G386" s="2" t="s">
        <v>76</v>
      </c>
      <c r="H386" s="245">
        <v>45.0</v>
      </c>
      <c r="I386" s="2" t="s">
        <v>72</v>
      </c>
    </row>
    <row r="387">
      <c r="A387" s="265"/>
      <c r="B387" s="247"/>
      <c r="C387" s="248"/>
      <c r="D387" s="300"/>
      <c r="F387" s="250">
        <v>9400.0</v>
      </c>
      <c r="G387" s="2" t="s">
        <v>128</v>
      </c>
      <c r="H387" s="267"/>
    </row>
    <row r="388">
      <c r="A388" s="265"/>
      <c r="B388" s="247">
        <v>8800.0</v>
      </c>
      <c r="C388" s="248"/>
      <c r="D388" s="331"/>
      <c r="F388" s="250"/>
      <c r="G388" s="2" t="s">
        <v>344</v>
      </c>
      <c r="H388" s="267"/>
    </row>
    <row r="389">
      <c r="A389" s="265"/>
      <c r="B389" s="247">
        <v>3170.0</v>
      </c>
      <c r="C389" s="252"/>
      <c r="D389" s="331"/>
      <c r="F389" s="250"/>
      <c r="G389" s="2" t="s">
        <v>2736</v>
      </c>
      <c r="H389" s="251"/>
    </row>
    <row r="390">
      <c r="A390" s="265"/>
      <c r="B390" s="247">
        <v>4808.8</v>
      </c>
      <c r="C390" s="252"/>
      <c r="D390" s="822"/>
      <c r="F390" s="250"/>
      <c r="G390" s="2" t="s">
        <v>283</v>
      </c>
      <c r="H390" s="294"/>
    </row>
    <row r="391">
      <c r="A391" s="265"/>
      <c r="B391" s="247"/>
      <c r="C391" s="252"/>
      <c r="D391" s="331"/>
      <c r="F391" s="250">
        <v>3850.0</v>
      </c>
      <c r="G391" s="2" t="s">
        <v>2737</v>
      </c>
      <c r="H391" s="251"/>
    </row>
    <row r="392">
      <c r="A392" s="265"/>
      <c r="B392" s="247"/>
      <c r="C392" s="252"/>
      <c r="D392" s="331"/>
      <c r="F392" s="250"/>
      <c r="H392" s="251"/>
    </row>
    <row r="393">
      <c r="A393" s="265"/>
      <c r="B393" s="268"/>
      <c r="C393" s="252"/>
      <c r="D393" s="331"/>
      <c r="F393" s="250"/>
      <c r="H393" s="267"/>
    </row>
    <row r="394">
      <c r="A394" s="265"/>
      <c r="B394" s="268"/>
      <c r="C394" s="252"/>
      <c r="D394" s="331"/>
      <c r="F394" s="250"/>
      <c r="H394" s="251"/>
    </row>
    <row r="395">
      <c r="A395" s="265"/>
      <c r="B395" s="247"/>
      <c r="C395" s="252"/>
      <c r="D395" s="331"/>
      <c r="F395" s="250"/>
      <c r="H395" s="267"/>
    </row>
    <row r="396">
      <c r="A396" s="270"/>
      <c r="B396" s="271"/>
      <c r="C396" s="272"/>
      <c r="D396" s="812"/>
      <c r="E396" s="18"/>
      <c r="F396" s="274"/>
      <c r="G396" s="293"/>
      <c r="H396" s="261"/>
    </row>
    <row r="397">
      <c r="A397" s="262">
        <v>31.0</v>
      </c>
      <c r="B397" s="278"/>
      <c r="C397" s="248">
        <v>51177.53</v>
      </c>
      <c r="D397" s="812"/>
      <c r="F397" s="282"/>
      <c r="G397" s="2" t="s">
        <v>84</v>
      </c>
      <c r="H397" s="267">
        <v>84.0</v>
      </c>
      <c r="I397" s="2" t="s">
        <v>72</v>
      </c>
    </row>
    <row r="398">
      <c r="A398" s="280"/>
      <c r="B398" s="277">
        <v>7771.56</v>
      </c>
      <c r="C398" s="252"/>
      <c r="D398" s="812"/>
      <c r="F398" s="282"/>
      <c r="G398" s="2" t="s">
        <v>82</v>
      </c>
      <c r="H398" s="251"/>
    </row>
    <row r="399">
      <c r="A399" s="280"/>
      <c r="B399" s="278"/>
      <c r="C399" s="252"/>
      <c r="D399" s="812"/>
      <c r="F399" s="250">
        <v>310.0</v>
      </c>
      <c r="G399" s="2" t="s">
        <v>97</v>
      </c>
      <c r="H399" s="251"/>
    </row>
    <row r="400">
      <c r="A400" s="280"/>
      <c r="B400" s="277">
        <v>6500.0</v>
      </c>
      <c r="C400" s="252"/>
      <c r="D400" s="812"/>
      <c r="F400" s="282"/>
      <c r="G400" s="2" t="s">
        <v>2738</v>
      </c>
      <c r="H400" s="251"/>
    </row>
    <row r="401">
      <c r="A401" s="280"/>
      <c r="B401" s="277">
        <v>29433.0</v>
      </c>
      <c r="C401" s="252"/>
      <c r="D401" s="812"/>
      <c r="F401" s="282"/>
      <c r="G401" s="2" t="s">
        <v>103</v>
      </c>
      <c r="H401" s="251"/>
    </row>
    <row r="402">
      <c r="A402" s="280"/>
      <c r="B402" s="278"/>
      <c r="C402" s="252"/>
      <c r="D402" s="812"/>
      <c r="F402" s="282"/>
      <c r="G402" s="2"/>
      <c r="H402" s="251"/>
    </row>
    <row r="403">
      <c r="A403" s="280"/>
      <c r="B403" s="278"/>
      <c r="C403" s="252"/>
      <c r="D403" s="812"/>
      <c r="F403" s="282"/>
      <c r="G403" s="2"/>
      <c r="H403" s="251"/>
    </row>
    <row r="404">
      <c r="A404" s="446"/>
      <c r="B404" s="278"/>
      <c r="C404" s="252"/>
      <c r="D404" s="812"/>
      <c r="F404" s="282"/>
      <c r="G404" s="2"/>
      <c r="H404" s="251"/>
    </row>
    <row r="405">
      <c r="A405" s="280" t="s">
        <v>187</v>
      </c>
      <c r="B405" s="239"/>
      <c r="C405" s="240"/>
      <c r="D405" s="821">
        <v>26131.11</v>
      </c>
      <c r="E405" s="242"/>
      <c r="F405" s="243"/>
      <c r="G405" s="2" t="s">
        <v>188</v>
      </c>
      <c r="H405" s="297">
        <v>44776.0</v>
      </c>
      <c r="I405" s="2" t="s">
        <v>189</v>
      </c>
    </row>
    <row r="406">
      <c r="A406" s="265"/>
      <c r="B406" s="247"/>
      <c r="C406" s="248"/>
      <c r="D406" s="300">
        <v>19241.78</v>
      </c>
      <c r="F406" s="250"/>
      <c r="G406" s="2" t="s">
        <v>190</v>
      </c>
      <c r="H406" s="294">
        <v>44775.0</v>
      </c>
    </row>
    <row r="407">
      <c r="A407" s="265"/>
      <c r="B407" s="247"/>
      <c r="C407" s="248"/>
      <c r="D407" s="331">
        <v>1835.53</v>
      </c>
      <c r="F407" s="250"/>
      <c r="G407" s="2" t="s">
        <v>191</v>
      </c>
      <c r="H407" s="294">
        <v>44775.0</v>
      </c>
    </row>
    <row r="408">
      <c r="A408" s="265"/>
      <c r="B408" s="268"/>
      <c r="C408" s="252"/>
      <c r="D408" s="331">
        <v>66550.0</v>
      </c>
      <c r="F408" s="250"/>
      <c r="G408" s="2" t="s">
        <v>192</v>
      </c>
      <c r="H408" s="294">
        <v>44795.0</v>
      </c>
    </row>
    <row r="409">
      <c r="A409" s="265"/>
      <c r="B409" s="268"/>
      <c r="C409" s="252"/>
      <c r="D409" s="822"/>
      <c r="F409" s="250">
        <v>29000.0</v>
      </c>
      <c r="G409" s="2" t="s">
        <v>193</v>
      </c>
      <c r="H409" s="294">
        <v>44802.0</v>
      </c>
    </row>
    <row r="410">
      <c r="A410" s="265"/>
      <c r="B410" s="247"/>
      <c r="C410" s="252"/>
      <c r="D410" s="331">
        <v>24487.01</v>
      </c>
      <c r="F410" s="250"/>
      <c r="G410" s="2" t="s">
        <v>194</v>
      </c>
      <c r="H410" s="267" t="s">
        <v>2739</v>
      </c>
    </row>
    <row r="411">
      <c r="A411" s="265"/>
      <c r="B411" s="247"/>
      <c r="C411" s="252"/>
      <c r="D411" s="331"/>
      <c r="F411" s="250"/>
      <c r="G411" s="2" t="s">
        <v>196</v>
      </c>
      <c r="H411" s="251"/>
    </row>
    <row r="412">
      <c r="A412" s="265"/>
      <c r="B412" s="268"/>
      <c r="C412" s="252"/>
      <c r="D412" s="331">
        <v>6120.13</v>
      </c>
      <c r="F412" s="250"/>
      <c r="G412" s="2" t="s">
        <v>2285</v>
      </c>
      <c r="H412" s="251"/>
      <c r="I412" s="2" t="s">
        <v>189</v>
      </c>
    </row>
    <row r="413">
      <c r="A413" s="265"/>
      <c r="B413" s="268"/>
      <c r="C413" s="252"/>
      <c r="D413" s="331">
        <v>6005.93</v>
      </c>
      <c r="F413" s="250"/>
      <c r="G413" s="2" t="s">
        <v>199</v>
      </c>
      <c r="H413" s="251"/>
      <c r="I413" s="2" t="s">
        <v>189</v>
      </c>
    </row>
    <row r="414">
      <c r="A414" s="265"/>
      <c r="B414" s="247"/>
      <c r="C414" s="252"/>
      <c r="D414" s="331">
        <v>11610.88</v>
      </c>
      <c r="F414" s="250"/>
      <c r="G414" s="2" t="s">
        <v>200</v>
      </c>
      <c r="H414" s="267"/>
      <c r="I414" s="2" t="s">
        <v>189</v>
      </c>
    </row>
    <row r="415">
      <c r="A415" s="265"/>
      <c r="B415" s="278"/>
      <c r="C415" s="248"/>
      <c r="D415" s="812">
        <v>6467.9</v>
      </c>
      <c r="F415" s="282"/>
      <c r="G415" s="2" t="s">
        <v>201</v>
      </c>
      <c r="H415" s="294"/>
      <c r="I415" s="2" t="s">
        <v>189</v>
      </c>
    </row>
    <row r="416">
      <c r="A416" s="270"/>
      <c r="B416" s="271"/>
      <c r="C416" s="257">
        <v>44000.0</v>
      </c>
      <c r="D416" s="812"/>
      <c r="E416" s="18"/>
      <c r="F416" s="274"/>
      <c r="G416" s="293" t="s">
        <v>208</v>
      </c>
      <c r="H416" s="825">
        <v>44793.0</v>
      </c>
      <c r="I416" s="2" t="s">
        <v>2740</v>
      </c>
    </row>
    <row r="417">
      <c r="A417" s="446"/>
      <c r="B417" s="271"/>
      <c r="C417" s="272"/>
      <c r="D417" s="823"/>
      <c r="E417" s="18"/>
      <c r="F417" s="274"/>
      <c r="G417" s="18"/>
      <c r="H417" s="261"/>
    </row>
    <row r="418">
      <c r="A418" s="303"/>
      <c r="B418" s="268"/>
      <c r="C418" s="252"/>
      <c r="D418" s="331"/>
      <c r="F418" s="250"/>
      <c r="H418" s="251"/>
    </row>
    <row r="419">
      <c r="A419" s="303"/>
      <c r="B419" s="268"/>
      <c r="C419" s="252"/>
      <c r="D419" s="822"/>
      <c r="F419" s="250"/>
      <c r="H419" s="251"/>
    </row>
    <row r="420">
      <c r="A420" s="303"/>
      <c r="B420" s="268"/>
      <c r="C420" s="252"/>
      <c r="D420" s="822"/>
      <c r="F420" s="250"/>
      <c r="H420" s="251"/>
    </row>
    <row r="421">
      <c r="A421" s="303"/>
      <c r="B421" s="268"/>
      <c r="C421" s="252"/>
      <c r="D421" s="822"/>
      <c r="F421" s="250"/>
      <c r="H421" s="251"/>
    </row>
    <row r="422">
      <c r="A422" s="303"/>
      <c r="B422" s="268"/>
      <c r="C422" s="252"/>
      <c r="D422" s="822"/>
      <c r="F422" s="250"/>
      <c r="H422" s="251"/>
    </row>
    <row r="423">
      <c r="A423" s="303"/>
      <c r="B423" s="268"/>
      <c r="C423" s="252"/>
      <c r="D423" s="822"/>
      <c r="F423" s="250"/>
      <c r="H423" s="251"/>
    </row>
    <row r="424">
      <c r="A424" s="304"/>
      <c r="B424" s="271"/>
      <c r="C424" s="272"/>
      <c r="D424" s="823"/>
      <c r="E424" s="18"/>
      <c r="F424" s="274"/>
      <c r="G424" s="18"/>
      <c r="H424" s="261"/>
    </row>
    <row r="425">
      <c r="A425" s="305"/>
      <c r="B425" s="306"/>
      <c r="C425" s="240"/>
      <c r="D425" s="824"/>
      <c r="E425" s="242"/>
      <c r="F425" s="243"/>
      <c r="G425" s="244"/>
      <c r="H425" s="307"/>
    </row>
    <row r="426">
      <c r="A426" s="265"/>
      <c r="B426" s="268"/>
      <c r="C426" s="252"/>
      <c r="D426" s="822"/>
      <c r="F426" s="250"/>
      <c r="H426" s="251"/>
    </row>
    <row r="427">
      <c r="A427" s="265"/>
      <c r="B427" s="268"/>
      <c r="C427" s="252"/>
      <c r="D427" s="822"/>
      <c r="F427" s="250"/>
      <c r="H427" s="251"/>
    </row>
    <row r="428">
      <c r="A428" s="265"/>
      <c r="B428" s="268"/>
      <c r="C428" s="252"/>
      <c r="D428" s="822"/>
      <c r="F428" s="250"/>
      <c r="H428" s="251"/>
    </row>
    <row r="429">
      <c r="A429" s="265"/>
      <c r="B429" s="268"/>
      <c r="C429" s="252"/>
      <c r="D429" s="822"/>
      <c r="F429" s="250"/>
      <c r="H429" s="251"/>
    </row>
    <row r="430">
      <c r="A430" s="265"/>
      <c r="B430" s="268"/>
      <c r="C430" s="252"/>
      <c r="D430" s="822"/>
      <c r="F430" s="250"/>
      <c r="H430" s="251"/>
    </row>
    <row r="431">
      <c r="A431" s="265"/>
      <c r="B431" s="268"/>
      <c r="C431" s="252"/>
      <c r="D431" s="822"/>
      <c r="F431" s="250"/>
      <c r="H431" s="251"/>
    </row>
    <row r="432">
      <c r="A432" s="265"/>
      <c r="B432" s="268"/>
      <c r="C432" s="252"/>
      <c r="D432" s="822"/>
      <c r="F432" s="250"/>
      <c r="H432" s="251"/>
    </row>
    <row r="433">
      <c r="A433" s="265"/>
      <c r="B433" s="268"/>
      <c r="C433" s="252"/>
      <c r="D433" s="822"/>
      <c r="F433" s="250"/>
      <c r="H433" s="251"/>
    </row>
    <row r="434">
      <c r="A434" s="270"/>
      <c r="B434" s="271"/>
      <c r="C434" s="272"/>
      <c r="D434" s="823"/>
      <c r="E434" s="18"/>
      <c r="F434" s="274"/>
      <c r="G434" s="18"/>
      <c r="H434" s="261"/>
    </row>
    <row r="435">
      <c r="A435" s="305"/>
      <c r="B435" s="306"/>
      <c r="C435" s="240"/>
      <c r="D435" s="824"/>
      <c r="E435" s="242"/>
      <c r="F435" s="243"/>
      <c r="G435" s="244"/>
      <c r="H435" s="307"/>
    </row>
    <row r="436">
      <c r="A436" s="265"/>
      <c r="B436" s="268"/>
      <c r="C436" s="252"/>
      <c r="D436" s="822"/>
      <c r="F436" s="250"/>
      <c r="H436" s="251"/>
    </row>
    <row r="437">
      <c r="A437" s="265"/>
      <c r="B437" s="268"/>
      <c r="C437" s="252"/>
      <c r="D437" s="822"/>
      <c r="F437" s="250"/>
      <c r="H437" s="251"/>
    </row>
    <row r="438">
      <c r="A438" s="265"/>
      <c r="B438" s="268"/>
      <c r="C438" s="252"/>
      <c r="D438" s="822"/>
      <c r="F438" s="250"/>
      <c r="H438" s="251"/>
    </row>
    <row r="439">
      <c r="A439" s="265"/>
      <c r="B439" s="268"/>
      <c r="C439" s="252"/>
      <c r="D439" s="822"/>
      <c r="F439" s="250"/>
      <c r="H439" s="251"/>
    </row>
    <row r="440">
      <c r="A440" s="265"/>
      <c r="B440" s="268"/>
      <c r="C440" s="252"/>
      <c r="D440" s="822"/>
      <c r="F440" s="250"/>
      <c r="H440" s="251"/>
    </row>
    <row r="441">
      <c r="A441" s="265"/>
      <c r="B441" s="268"/>
      <c r="C441" s="252"/>
      <c r="D441" s="822"/>
      <c r="F441" s="250"/>
      <c r="H441" s="251"/>
    </row>
    <row r="442">
      <c r="A442" s="265"/>
      <c r="B442" s="268"/>
      <c r="C442" s="252"/>
      <c r="D442" s="822"/>
      <c r="F442" s="250"/>
      <c r="H442" s="251"/>
    </row>
    <row r="443">
      <c r="A443" s="265"/>
      <c r="B443" s="268"/>
      <c r="C443" s="252"/>
      <c r="D443" s="822"/>
      <c r="F443" s="250"/>
      <c r="H443" s="251"/>
    </row>
    <row r="444">
      <c r="A444" s="270"/>
      <c r="B444" s="271"/>
      <c r="C444" s="272"/>
      <c r="D444" s="823"/>
      <c r="E444" s="18"/>
      <c r="F444" s="274"/>
      <c r="G444" s="18"/>
      <c r="H444" s="261"/>
    </row>
    <row r="445">
      <c r="B445" s="306"/>
      <c r="C445" s="240"/>
      <c r="D445" s="824"/>
      <c r="E445" s="242"/>
      <c r="F445" s="243"/>
      <c r="G445" s="244"/>
      <c r="H445" s="307"/>
    </row>
    <row r="446">
      <c r="B446" s="268"/>
      <c r="C446" s="252"/>
      <c r="D446" s="822"/>
      <c r="F446" s="250"/>
      <c r="H446" s="251"/>
    </row>
    <row r="447">
      <c r="B447" s="268"/>
      <c r="C447" s="252"/>
      <c r="D447" s="822"/>
      <c r="F447" s="250"/>
      <c r="H447" s="251"/>
    </row>
    <row r="448">
      <c r="B448" s="308"/>
      <c r="C448" s="252"/>
      <c r="D448" s="822"/>
      <c r="F448" s="309"/>
      <c r="H448" s="302"/>
    </row>
    <row r="449">
      <c r="B449" s="308"/>
      <c r="C449" s="252"/>
      <c r="D449" s="822"/>
      <c r="F449" s="309"/>
      <c r="H449" s="302"/>
    </row>
    <row r="450">
      <c r="B450" s="308"/>
      <c r="C450" s="252"/>
      <c r="D450" s="822"/>
      <c r="F450" s="309"/>
      <c r="H450" s="302"/>
    </row>
    <row r="451">
      <c r="B451" s="308"/>
      <c r="C451" s="252"/>
      <c r="D451" s="822"/>
      <c r="F451" s="309"/>
      <c r="H451" s="302"/>
    </row>
    <row r="452">
      <c r="B452" s="308"/>
      <c r="C452" s="252"/>
      <c r="D452" s="822"/>
      <c r="F452" s="309"/>
      <c r="H452" s="302"/>
    </row>
    <row r="453">
      <c r="B453" s="308"/>
      <c r="C453" s="252"/>
      <c r="D453" s="822"/>
      <c r="F453" s="309"/>
      <c r="H453" s="302"/>
    </row>
    <row r="454">
      <c r="B454" s="308"/>
      <c r="C454" s="252"/>
      <c r="D454" s="822"/>
      <c r="F454" s="309"/>
      <c r="H454" s="302"/>
    </row>
    <row r="455">
      <c r="B455" s="308"/>
      <c r="C455" s="252"/>
      <c r="D455" s="822"/>
      <c r="F455" s="309"/>
      <c r="H455" s="302"/>
    </row>
    <row r="456">
      <c r="B456" s="308"/>
      <c r="C456" s="252"/>
      <c r="D456" s="822"/>
      <c r="F456" s="309"/>
      <c r="H456" s="302"/>
    </row>
    <row r="457">
      <c r="B457" s="308"/>
      <c r="C457" s="252"/>
      <c r="D457" s="822"/>
      <c r="F457" s="309"/>
      <c r="H457" s="302"/>
    </row>
    <row r="458">
      <c r="B458" s="308"/>
      <c r="C458" s="252"/>
      <c r="D458" s="822"/>
      <c r="F458" s="309"/>
      <c r="H458" s="302"/>
    </row>
    <row r="459">
      <c r="B459" s="308"/>
      <c r="C459" s="252"/>
      <c r="D459" s="822"/>
      <c r="F459" s="309"/>
      <c r="H459" s="302"/>
    </row>
    <row r="460">
      <c r="B460" s="308"/>
      <c r="C460" s="252"/>
      <c r="D460" s="822"/>
      <c r="F460" s="309"/>
      <c r="H460" s="302"/>
    </row>
    <row r="461">
      <c r="B461" s="308"/>
      <c r="C461" s="252"/>
      <c r="D461" s="822"/>
      <c r="F461" s="309"/>
      <c r="H461" s="302"/>
    </row>
    <row r="462">
      <c r="B462" s="308"/>
      <c r="C462" s="252"/>
      <c r="D462" s="822"/>
      <c r="F462" s="309"/>
      <c r="H462" s="302"/>
    </row>
    <row r="463">
      <c r="B463" s="308"/>
      <c r="C463" s="252"/>
      <c r="D463" s="822"/>
      <c r="F463" s="309"/>
      <c r="H463" s="302"/>
    </row>
    <row r="464">
      <c r="B464" s="308"/>
      <c r="C464" s="252"/>
      <c r="D464" s="822"/>
      <c r="F464" s="309"/>
      <c r="H464" s="302"/>
    </row>
    <row r="465">
      <c r="B465" s="308"/>
      <c r="C465" s="252"/>
      <c r="D465" s="822"/>
      <c r="F465" s="309"/>
      <c r="H465" s="302"/>
    </row>
    <row r="466">
      <c r="B466" s="308"/>
      <c r="C466" s="252"/>
      <c r="D466" s="822"/>
      <c r="F466" s="309"/>
      <c r="H466" s="302"/>
    </row>
    <row r="467">
      <c r="B467" s="308"/>
      <c r="C467" s="252"/>
      <c r="D467" s="822"/>
      <c r="F467" s="309"/>
      <c r="H467" s="302"/>
    </row>
    <row r="468">
      <c r="B468" s="308"/>
      <c r="C468" s="252"/>
      <c r="D468" s="822"/>
      <c r="F468" s="309"/>
      <c r="H468" s="302"/>
    </row>
    <row r="469">
      <c r="B469" s="308"/>
      <c r="C469" s="252"/>
      <c r="D469" s="822"/>
      <c r="F469" s="309"/>
      <c r="H469" s="302"/>
    </row>
    <row r="470">
      <c r="B470" s="308"/>
      <c r="C470" s="252"/>
      <c r="D470" s="822"/>
      <c r="F470" s="309"/>
      <c r="H470" s="302"/>
    </row>
    <row r="471">
      <c r="B471" s="308"/>
      <c r="C471" s="252"/>
      <c r="D471" s="822"/>
      <c r="F471" s="309"/>
      <c r="H471" s="302"/>
    </row>
    <row r="472">
      <c r="B472" s="308"/>
      <c r="C472" s="252"/>
      <c r="D472" s="822"/>
      <c r="F472" s="309"/>
      <c r="H472" s="302"/>
    </row>
    <row r="473">
      <c r="B473" s="308"/>
      <c r="C473" s="252"/>
      <c r="D473" s="822"/>
      <c r="F473" s="309"/>
      <c r="H473" s="302"/>
    </row>
    <row r="474">
      <c r="B474" s="308"/>
      <c r="C474" s="252"/>
      <c r="D474" s="822"/>
      <c r="F474" s="309"/>
      <c r="H474" s="302"/>
    </row>
    <row r="475">
      <c r="B475" s="308"/>
      <c r="C475" s="252"/>
      <c r="D475" s="822"/>
      <c r="F475" s="309"/>
      <c r="H475" s="302"/>
    </row>
    <row r="476">
      <c r="B476" s="308"/>
      <c r="C476" s="252"/>
      <c r="D476" s="822"/>
      <c r="F476" s="309"/>
      <c r="H476" s="302"/>
    </row>
    <row r="477">
      <c r="B477" s="308"/>
      <c r="C477" s="252"/>
      <c r="D477" s="822"/>
      <c r="F477" s="309"/>
      <c r="H477" s="302"/>
    </row>
    <row r="478">
      <c r="B478" s="308"/>
      <c r="C478" s="252"/>
      <c r="D478" s="822"/>
      <c r="F478" s="309"/>
      <c r="H478" s="302"/>
    </row>
    <row r="479">
      <c r="B479" s="308"/>
      <c r="C479" s="252"/>
      <c r="D479" s="822"/>
      <c r="F479" s="309"/>
      <c r="H479" s="302"/>
    </row>
    <row r="480">
      <c r="B480" s="308"/>
      <c r="C480" s="252"/>
      <c r="D480" s="822"/>
      <c r="F480" s="309"/>
      <c r="H480" s="302"/>
    </row>
    <row r="481">
      <c r="B481" s="308"/>
      <c r="C481" s="252"/>
      <c r="D481" s="822"/>
      <c r="F481" s="309"/>
      <c r="H481" s="302"/>
    </row>
    <row r="482">
      <c r="B482" s="308"/>
      <c r="C482" s="252"/>
      <c r="D482" s="822"/>
      <c r="F482" s="309"/>
      <c r="H482" s="302"/>
    </row>
    <row r="483">
      <c r="B483" s="308"/>
      <c r="C483" s="252"/>
      <c r="D483" s="822"/>
      <c r="F483" s="309"/>
      <c r="H483" s="302"/>
    </row>
    <row r="484">
      <c r="B484" s="308"/>
      <c r="C484" s="252"/>
      <c r="D484" s="822"/>
      <c r="F484" s="309"/>
      <c r="H484" s="302"/>
    </row>
    <row r="485">
      <c r="B485" s="308"/>
      <c r="C485" s="252"/>
      <c r="D485" s="822"/>
      <c r="F485" s="309"/>
      <c r="H485" s="302"/>
    </row>
    <row r="486">
      <c r="B486" s="308"/>
      <c r="C486" s="252"/>
      <c r="D486" s="822"/>
      <c r="F486" s="309"/>
      <c r="H486" s="302"/>
    </row>
    <row r="487">
      <c r="B487" s="308"/>
      <c r="C487" s="252"/>
      <c r="D487" s="822"/>
      <c r="F487" s="309"/>
      <c r="H487" s="302"/>
    </row>
    <row r="488">
      <c r="B488" s="308"/>
      <c r="C488" s="252"/>
      <c r="D488" s="822"/>
      <c r="F488" s="309"/>
      <c r="H488" s="302"/>
    </row>
    <row r="489">
      <c r="B489" s="308"/>
      <c r="C489" s="252"/>
      <c r="D489" s="822"/>
      <c r="F489" s="309"/>
      <c r="H489" s="302"/>
    </row>
    <row r="490">
      <c r="B490" s="308"/>
      <c r="C490" s="252"/>
      <c r="D490" s="822"/>
      <c r="F490" s="309"/>
      <c r="H490" s="302"/>
    </row>
    <row r="491">
      <c r="B491" s="308"/>
      <c r="C491" s="252"/>
      <c r="D491" s="822"/>
      <c r="F491" s="309"/>
      <c r="H491" s="302"/>
    </row>
    <row r="492">
      <c r="B492" s="308"/>
      <c r="C492" s="252"/>
      <c r="D492" s="822"/>
      <c r="F492" s="309"/>
      <c r="H492" s="302"/>
    </row>
    <row r="493">
      <c r="B493" s="308"/>
      <c r="C493" s="252"/>
      <c r="D493" s="822"/>
      <c r="F493" s="309"/>
      <c r="H493" s="302"/>
    </row>
    <row r="494">
      <c r="B494" s="308"/>
      <c r="C494" s="252"/>
      <c r="D494" s="822"/>
      <c r="F494" s="309"/>
      <c r="H494" s="302"/>
    </row>
    <row r="495">
      <c r="B495" s="308"/>
      <c r="C495" s="252"/>
      <c r="D495" s="822"/>
      <c r="F495" s="309"/>
      <c r="H495" s="302"/>
    </row>
    <row r="496">
      <c r="B496" s="308"/>
      <c r="C496" s="252"/>
      <c r="D496" s="822"/>
      <c r="F496" s="309"/>
      <c r="H496" s="302"/>
    </row>
    <row r="497">
      <c r="B497" s="308"/>
      <c r="C497" s="252"/>
      <c r="D497" s="822"/>
      <c r="F497" s="309"/>
      <c r="H497" s="302"/>
    </row>
    <row r="498">
      <c r="B498" s="308"/>
      <c r="C498" s="252"/>
      <c r="D498" s="822"/>
      <c r="F498" s="309"/>
      <c r="H498" s="302"/>
    </row>
    <row r="499">
      <c r="B499" s="308"/>
      <c r="C499" s="252"/>
      <c r="D499" s="822"/>
      <c r="F499" s="309"/>
      <c r="H499" s="302"/>
    </row>
    <row r="500">
      <c r="B500" s="308"/>
      <c r="C500" s="252"/>
      <c r="D500" s="822"/>
      <c r="F500" s="309"/>
      <c r="H500" s="302"/>
    </row>
    <row r="501">
      <c r="B501" s="308"/>
      <c r="C501" s="252"/>
      <c r="D501" s="822"/>
      <c r="F501" s="309"/>
      <c r="H501" s="302"/>
    </row>
    <row r="502">
      <c r="B502" s="308"/>
      <c r="C502" s="252"/>
      <c r="D502" s="822"/>
      <c r="F502" s="309"/>
      <c r="H502" s="302"/>
    </row>
    <row r="503">
      <c r="B503" s="308"/>
      <c r="C503" s="252"/>
      <c r="D503" s="822"/>
      <c r="F503" s="309"/>
      <c r="H503" s="302"/>
    </row>
    <row r="504">
      <c r="B504" s="308"/>
      <c r="C504" s="252"/>
      <c r="D504" s="822"/>
      <c r="F504" s="309"/>
      <c r="H504" s="302"/>
    </row>
    <row r="505">
      <c r="B505" s="308"/>
      <c r="C505" s="252"/>
      <c r="D505" s="822"/>
      <c r="F505" s="309"/>
      <c r="H505" s="302"/>
    </row>
    <row r="506">
      <c r="B506" s="308"/>
      <c r="C506" s="252"/>
      <c r="D506" s="822"/>
      <c r="F506" s="309"/>
      <c r="H506" s="302"/>
    </row>
    <row r="507">
      <c r="B507" s="308"/>
      <c r="C507" s="252"/>
      <c r="D507" s="822"/>
      <c r="F507" s="309"/>
      <c r="H507" s="302"/>
    </row>
    <row r="508">
      <c r="B508" s="308"/>
      <c r="C508" s="252"/>
      <c r="D508" s="822"/>
      <c r="F508" s="309"/>
      <c r="H508" s="302"/>
    </row>
    <row r="509">
      <c r="B509" s="308"/>
      <c r="C509" s="252"/>
      <c r="D509" s="822"/>
      <c r="F509" s="309"/>
      <c r="H509" s="302"/>
    </row>
    <row r="510">
      <c r="B510" s="308"/>
      <c r="C510" s="252"/>
      <c r="D510" s="822"/>
      <c r="F510" s="309"/>
      <c r="H510" s="302"/>
    </row>
    <row r="511">
      <c r="B511" s="308"/>
      <c r="C511" s="252"/>
      <c r="D511" s="822"/>
      <c r="F511" s="309"/>
      <c r="H511" s="302"/>
    </row>
    <row r="512">
      <c r="B512" s="308"/>
      <c r="C512" s="252"/>
      <c r="D512" s="822"/>
      <c r="F512" s="309"/>
      <c r="H512" s="302"/>
    </row>
    <row r="513">
      <c r="B513" s="308"/>
      <c r="C513" s="252"/>
      <c r="D513" s="822"/>
      <c r="F513" s="309"/>
      <c r="H513" s="302"/>
    </row>
    <row r="514">
      <c r="B514" s="308"/>
      <c r="C514" s="252"/>
      <c r="D514" s="822"/>
      <c r="F514" s="309"/>
      <c r="H514" s="302"/>
    </row>
    <row r="515">
      <c r="B515" s="308"/>
      <c r="C515" s="252"/>
      <c r="D515" s="822"/>
      <c r="F515" s="309"/>
      <c r="H515" s="302"/>
    </row>
    <row r="516">
      <c r="B516" s="308"/>
      <c r="C516" s="252"/>
      <c r="D516" s="822"/>
      <c r="F516" s="309"/>
      <c r="H516" s="302"/>
    </row>
    <row r="517">
      <c r="B517" s="308"/>
      <c r="C517" s="252"/>
      <c r="D517" s="822"/>
      <c r="F517" s="309"/>
      <c r="H517" s="302"/>
    </row>
    <row r="518">
      <c r="B518" s="308"/>
      <c r="C518" s="252"/>
      <c r="D518" s="822"/>
      <c r="F518" s="309"/>
      <c r="H518" s="302"/>
    </row>
    <row r="519">
      <c r="B519" s="308"/>
      <c r="C519" s="252"/>
      <c r="D519" s="822"/>
      <c r="F519" s="309"/>
      <c r="H519" s="302"/>
    </row>
    <row r="520">
      <c r="B520" s="308"/>
      <c r="C520" s="252"/>
      <c r="D520" s="822"/>
      <c r="F520" s="309"/>
      <c r="H520" s="302"/>
    </row>
    <row r="521">
      <c r="B521" s="308"/>
      <c r="C521" s="252"/>
      <c r="D521" s="822"/>
      <c r="F521" s="309"/>
      <c r="H521" s="302"/>
    </row>
    <row r="522">
      <c r="B522" s="308"/>
      <c r="C522" s="252"/>
      <c r="D522" s="822"/>
      <c r="F522" s="309"/>
      <c r="H522" s="302"/>
    </row>
    <row r="523">
      <c r="B523" s="308"/>
      <c r="C523" s="252"/>
      <c r="D523" s="822"/>
      <c r="F523" s="309"/>
      <c r="H523" s="302"/>
    </row>
    <row r="524">
      <c r="B524" s="308"/>
      <c r="C524" s="252"/>
      <c r="D524" s="822"/>
      <c r="F524" s="309"/>
      <c r="H524" s="302"/>
    </row>
    <row r="525">
      <c r="B525" s="308"/>
      <c r="C525" s="252"/>
      <c r="D525" s="822"/>
      <c r="F525" s="309"/>
      <c r="H525" s="302"/>
    </row>
    <row r="526">
      <c r="B526" s="308"/>
      <c r="C526" s="252"/>
      <c r="D526" s="822"/>
      <c r="F526" s="309"/>
      <c r="H526" s="302"/>
    </row>
    <row r="527">
      <c r="B527" s="308"/>
      <c r="C527" s="252"/>
      <c r="D527" s="822"/>
      <c r="F527" s="309"/>
      <c r="H527" s="302"/>
    </row>
    <row r="528">
      <c r="B528" s="308"/>
      <c r="C528" s="252"/>
      <c r="D528" s="822"/>
      <c r="F528" s="309"/>
      <c r="H528" s="302"/>
    </row>
    <row r="529">
      <c r="B529" s="308"/>
      <c r="C529" s="252"/>
      <c r="D529" s="822"/>
      <c r="F529" s="309"/>
      <c r="H529" s="302"/>
    </row>
    <row r="530">
      <c r="B530" s="308"/>
      <c r="C530" s="252"/>
      <c r="D530" s="822"/>
      <c r="F530" s="309"/>
      <c r="H530" s="302"/>
    </row>
    <row r="531">
      <c r="B531" s="308"/>
      <c r="C531" s="252"/>
      <c r="D531" s="822"/>
      <c r="F531" s="309"/>
      <c r="H531" s="302"/>
    </row>
    <row r="532">
      <c r="B532" s="308"/>
      <c r="C532" s="252"/>
      <c r="D532" s="822"/>
      <c r="F532" s="309"/>
      <c r="H532" s="302"/>
    </row>
    <row r="533">
      <c r="B533" s="308"/>
      <c r="C533" s="252"/>
      <c r="D533" s="822"/>
      <c r="F533" s="309"/>
      <c r="H533" s="302"/>
    </row>
    <row r="534">
      <c r="B534" s="308"/>
      <c r="C534" s="252"/>
      <c r="D534" s="822"/>
      <c r="F534" s="309"/>
      <c r="H534" s="302"/>
    </row>
    <row r="535">
      <c r="B535" s="308"/>
      <c r="C535" s="252"/>
      <c r="D535" s="822"/>
      <c r="F535" s="309"/>
      <c r="H535" s="302"/>
    </row>
    <row r="536">
      <c r="B536" s="308"/>
      <c r="C536" s="252"/>
      <c r="D536" s="822"/>
      <c r="F536" s="309"/>
      <c r="H536" s="302"/>
    </row>
    <row r="537">
      <c r="B537" s="308"/>
      <c r="C537" s="252"/>
      <c r="D537" s="822"/>
      <c r="F537" s="309"/>
      <c r="H537" s="302"/>
    </row>
    <row r="538">
      <c r="B538" s="308"/>
      <c r="C538" s="252"/>
      <c r="D538" s="822"/>
      <c r="F538" s="309"/>
      <c r="H538" s="302"/>
    </row>
    <row r="539">
      <c r="B539" s="308"/>
      <c r="C539" s="252"/>
      <c r="D539" s="822"/>
      <c r="F539" s="309"/>
      <c r="H539" s="302"/>
    </row>
    <row r="540">
      <c r="B540" s="308"/>
      <c r="C540" s="252"/>
      <c r="D540" s="822"/>
      <c r="F540" s="309"/>
      <c r="H540" s="302"/>
    </row>
    <row r="541">
      <c r="B541" s="308"/>
      <c r="C541" s="252"/>
      <c r="D541" s="822"/>
      <c r="F541" s="309"/>
      <c r="H541" s="302"/>
    </row>
    <row r="542">
      <c r="B542" s="308"/>
      <c r="C542" s="252"/>
      <c r="D542" s="822"/>
      <c r="F542" s="309"/>
      <c r="H542" s="302"/>
    </row>
    <row r="543">
      <c r="B543" s="308"/>
      <c r="C543" s="252"/>
      <c r="D543" s="822"/>
      <c r="F543" s="309"/>
      <c r="H543" s="302"/>
    </row>
    <row r="544">
      <c r="B544" s="308"/>
      <c r="C544" s="252"/>
      <c r="D544" s="822"/>
      <c r="F544" s="309"/>
      <c r="H544" s="302"/>
    </row>
    <row r="545">
      <c r="B545" s="308"/>
      <c r="C545" s="252"/>
      <c r="D545" s="822"/>
      <c r="F545" s="309"/>
      <c r="H545" s="302"/>
    </row>
    <row r="546">
      <c r="B546" s="308"/>
      <c r="C546" s="252"/>
      <c r="D546" s="822"/>
      <c r="F546" s="309"/>
      <c r="H546" s="302"/>
    </row>
    <row r="547">
      <c r="B547" s="308"/>
      <c r="C547" s="252"/>
      <c r="D547" s="822"/>
      <c r="F547" s="309"/>
      <c r="H547" s="302"/>
    </row>
    <row r="548">
      <c r="B548" s="308"/>
      <c r="C548" s="252"/>
      <c r="D548" s="822"/>
      <c r="F548" s="309"/>
      <c r="H548" s="302"/>
    </row>
    <row r="549">
      <c r="B549" s="308"/>
      <c r="C549" s="252"/>
      <c r="D549" s="822"/>
      <c r="F549" s="309"/>
      <c r="H549" s="302"/>
    </row>
    <row r="550">
      <c r="B550" s="308"/>
      <c r="C550" s="252"/>
      <c r="D550" s="822"/>
      <c r="F550" s="309"/>
      <c r="H550" s="302"/>
    </row>
    <row r="551">
      <c r="B551" s="308"/>
      <c r="C551" s="252"/>
      <c r="D551" s="822"/>
      <c r="F551" s="309"/>
      <c r="H551" s="302"/>
    </row>
    <row r="552">
      <c r="B552" s="308"/>
      <c r="C552" s="252"/>
      <c r="D552" s="822"/>
      <c r="F552" s="309"/>
      <c r="H552" s="302"/>
    </row>
    <row r="553">
      <c r="B553" s="308"/>
      <c r="C553" s="252"/>
      <c r="D553" s="822"/>
      <c r="F553" s="309"/>
      <c r="H553" s="302"/>
    </row>
    <row r="554">
      <c r="B554" s="308"/>
      <c r="C554" s="252"/>
      <c r="D554" s="822"/>
      <c r="F554" s="309"/>
      <c r="H554" s="302"/>
    </row>
    <row r="555">
      <c r="B555" s="308"/>
      <c r="C555" s="252"/>
      <c r="D555" s="822"/>
      <c r="F555" s="309"/>
      <c r="H555" s="302"/>
    </row>
    <row r="556">
      <c r="B556" s="308"/>
      <c r="C556" s="252"/>
      <c r="D556" s="822"/>
      <c r="F556" s="309"/>
      <c r="H556" s="302"/>
    </row>
    <row r="557">
      <c r="B557" s="308"/>
      <c r="C557" s="252"/>
      <c r="D557" s="822"/>
      <c r="F557" s="309"/>
      <c r="H557" s="302"/>
    </row>
    <row r="558">
      <c r="B558" s="308"/>
      <c r="C558" s="252"/>
      <c r="D558" s="822"/>
      <c r="F558" s="309"/>
      <c r="H558" s="302"/>
    </row>
    <row r="559">
      <c r="B559" s="308"/>
      <c r="C559" s="252"/>
      <c r="D559" s="822"/>
      <c r="F559" s="309"/>
      <c r="H559" s="302"/>
    </row>
    <row r="560">
      <c r="B560" s="308"/>
      <c r="C560" s="252"/>
      <c r="D560" s="822"/>
      <c r="F560" s="309"/>
      <c r="H560" s="302"/>
    </row>
    <row r="561">
      <c r="B561" s="308"/>
      <c r="C561" s="252"/>
      <c r="D561" s="822"/>
      <c r="F561" s="309"/>
      <c r="H561" s="302"/>
    </row>
    <row r="562">
      <c r="B562" s="308"/>
      <c r="C562" s="252"/>
      <c r="D562" s="822"/>
      <c r="F562" s="309"/>
      <c r="H562" s="302"/>
    </row>
    <row r="563">
      <c r="B563" s="308"/>
      <c r="C563" s="252"/>
      <c r="D563" s="822"/>
      <c r="F563" s="309"/>
      <c r="H563" s="302"/>
    </row>
    <row r="564">
      <c r="B564" s="308"/>
      <c r="C564" s="252"/>
      <c r="D564" s="822"/>
      <c r="F564" s="309"/>
      <c r="H564" s="302"/>
    </row>
    <row r="565">
      <c r="B565" s="308"/>
      <c r="C565" s="252"/>
      <c r="D565" s="822"/>
      <c r="F565" s="309"/>
      <c r="H565" s="302"/>
    </row>
    <row r="566">
      <c r="B566" s="308"/>
      <c r="C566" s="252"/>
      <c r="D566" s="822"/>
      <c r="F566" s="309"/>
      <c r="H566" s="302"/>
    </row>
    <row r="567">
      <c r="B567" s="308"/>
      <c r="C567" s="252"/>
      <c r="D567" s="822"/>
      <c r="F567" s="309"/>
      <c r="H567" s="302"/>
    </row>
    <row r="568">
      <c r="B568" s="308"/>
      <c r="C568" s="252"/>
      <c r="D568" s="822"/>
      <c r="F568" s="309"/>
      <c r="H568" s="302"/>
    </row>
    <row r="569">
      <c r="B569" s="308"/>
      <c r="C569" s="252"/>
      <c r="D569" s="822"/>
      <c r="F569" s="309"/>
      <c r="H569" s="302"/>
    </row>
    <row r="570">
      <c r="B570" s="308"/>
      <c r="C570" s="252"/>
      <c r="D570" s="822"/>
      <c r="F570" s="309"/>
      <c r="H570" s="302"/>
    </row>
    <row r="571">
      <c r="B571" s="308"/>
      <c r="C571" s="252"/>
      <c r="D571" s="822"/>
      <c r="F571" s="309"/>
      <c r="H571" s="302"/>
    </row>
    <row r="572">
      <c r="B572" s="308"/>
      <c r="C572" s="252"/>
      <c r="D572" s="822"/>
      <c r="F572" s="309"/>
      <c r="H572" s="302"/>
    </row>
    <row r="573">
      <c r="B573" s="308"/>
      <c r="C573" s="252"/>
      <c r="D573" s="822"/>
      <c r="F573" s="309"/>
      <c r="H573" s="302"/>
    </row>
    <row r="574">
      <c r="B574" s="308"/>
      <c r="C574" s="252"/>
      <c r="D574" s="822"/>
      <c r="F574" s="309"/>
      <c r="H574" s="302"/>
    </row>
    <row r="575">
      <c r="B575" s="308"/>
      <c r="C575" s="252"/>
      <c r="D575" s="822"/>
      <c r="F575" s="309"/>
      <c r="H575" s="302"/>
    </row>
    <row r="576">
      <c r="B576" s="308"/>
      <c r="C576" s="252"/>
      <c r="D576" s="822"/>
      <c r="F576" s="309"/>
      <c r="H576" s="302"/>
    </row>
    <row r="577">
      <c r="B577" s="308"/>
      <c r="C577" s="252"/>
      <c r="D577" s="822"/>
      <c r="F577" s="309"/>
      <c r="H577" s="302"/>
    </row>
    <row r="578">
      <c r="B578" s="308"/>
      <c r="C578" s="252"/>
      <c r="D578" s="822"/>
      <c r="F578" s="309"/>
      <c r="H578" s="302"/>
    </row>
    <row r="579">
      <c r="B579" s="308"/>
      <c r="C579" s="252"/>
      <c r="D579" s="822"/>
      <c r="F579" s="309"/>
      <c r="H579" s="302"/>
    </row>
    <row r="580">
      <c r="B580" s="308"/>
      <c r="C580" s="252"/>
      <c r="D580" s="822"/>
      <c r="F580" s="309"/>
      <c r="H580" s="302"/>
    </row>
    <row r="581">
      <c r="B581" s="308"/>
      <c r="C581" s="252"/>
      <c r="D581" s="822"/>
      <c r="F581" s="309"/>
      <c r="H581" s="302"/>
    </row>
    <row r="582">
      <c r="B582" s="308"/>
      <c r="C582" s="252"/>
      <c r="D582" s="822"/>
      <c r="F582" s="309"/>
      <c r="H582" s="302"/>
    </row>
    <row r="583">
      <c r="B583" s="308"/>
      <c r="C583" s="252"/>
      <c r="D583" s="822"/>
      <c r="F583" s="309"/>
      <c r="H583" s="302"/>
    </row>
    <row r="584">
      <c r="B584" s="308"/>
      <c r="C584" s="252"/>
      <c r="D584" s="822"/>
      <c r="F584" s="309"/>
      <c r="H584" s="302"/>
    </row>
    <row r="585">
      <c r="B585" s="308"/>
      <c r="C585" s="252"/>
      <c r="D585" s="822"/>
      <c r="F585" s="309"/>
      <c r="H585" s="302"/>
    </row>
    <row r="586">
      <c r="B586" s="308"/>
      <c r="C586" s="252"/>
      <c r="D586" s="822"/>
      <c r="F586" s="309"/>
      <c r="H586" s="302"/>
    </row>
    <row r="587">
      <c r="B587" s="308"/>
      <c r="C587" s="252"/>
      <c r="D587" s="822"/>
      <c r="F587" s="309"/>
      <c r="H587" s="302"/>
    </row>
    <row r="588">
      <c r="B588" s="308"/>
      <c r="C588" s="252"/>
      <c r="D588" s="822"/>
      <c r="F588" s="309"/>
      <c r="H588" s="302"/>
    </row>
    <row r="589">
      <c r="B589" s="308"/>
      <c r="C589" s="252"/>
      <c r="D589" s="822"/>
      <c r="F589" s="309"/>
      <c r="H589" s="302"/>
    </row>
    <row r="590">
      <c r="B590" s="308"/>
      <c r="C590" s="252"/>
      <c r="D590" s="822"/>
      <c r="F590" s="309"/>
      <c r="H590" s="302"/>
    </row>
    <row r="591">
      <c r="B591" s="308"/>
      <c r="C591" s="252"/>
      <c r="D591" s="822"/>
      <c r="F591" s="309"/>
      <c r="H591" s="302"/>
    </row>
    <row r="592">
      <c r="B592" s="308"/>
      <c r="C592" s="252"/>
      <c r="D592" s="822"/>
      <c r="F592" s="309"/>
      <c r="H592" s="302"/>
    </row>
    <row r="593">
      <c r="B593" s="308"/>
      <c r="C593" s="252"/>
      <c r="D593" s="822"/>
      <c r="F593" s="309"/>
      <c r="H593" s="302"/>
    </row>
    <row r="594">
      <c r="B594" s="308"/>
      <c r="C594" s="252"/>
      <c r="D594" s="822"/>
      <c r="F594" s="309"/>
      <c r="H594" s="302"/>
    </row>
    <row r="595">
      <c r="B595" s="308"/>
      <c r="C595" s="252"/>
      <c r="D595" s="822"/>
      <c r="F595" s="309"/>
      <c r="H595" s="302"/>
    </row>
    <row r="596">
      <c r="B596" s="308"/>
      <c r="C596" s="252"/>
      <c r="D596" s="822"/>
      <c r="F596" s="309"/>
      <c r="H596" s="302"/>
    </row>
    <row r="597">
      <c r="B597" s="308"/>
      <c r="C597" s="252"/>
      <c r="D597" s="822"/>
      <c r="F597" s="309"/>
      <c r="H597" s="302"/>
    </row>
    <row r="598">
      <c r="B598" s="308"/>
      <c r="C598" s="252"/>
      <c r="D598" s="822"/>
      <c r="F598" s="309"/>
      <c r="H598" s="302"/>
    </row>
    <row r="599">
      <c r="B599" s="308"/>
      <c r="C599" s="252"/>
      <c r="D599" s="822"/>
      <c r="F599" s="309"/>
      <c r="H599" s="302"/>
    </row>
    <row r="600">
      <c r="B600" s="308"/>
      <c r="C600" s="252"/>
      <c r="D600" s="822"/>
      <c r="F600" s="309"/>
      <c r="H600" s="302"/>
    </row>
    <row r="601">
      <c r="B601" s="308"/>
      <c r="C601" s="252"/>
      <c r="D601" s="822"/>
      <c r="F601" s="309"/>
      <c r="H601" s="302"/>
    </row>
    <row r="602">
      <c r="B602" s="308"/>
      <c r="C602" s="252"/>
      <c r="D602" s="822"/>
      <c r="F602" s="309"/>
      <c r="H602" s="302"/>
    </row>
    <row r="603">
      <c r="B603" s="308"/>
      <c r="C603" s="252"/>
      <c r="D603" s="822"/>
      <c r="F603" s="309"/>
      <c r="H603" s="302"/>
    </row>
    <row r="604">
      <c r="B604" s="308"/>
      <c r="C604" s="252"/>
      <c r="D604" s="822"/>
      <c r="F604" s="309"/>
      <c r="H604" s="302"/>
    </row>
    <row r="605">
      <c r="B605" s="308"/>
      <c r="C605" s="252"/>
      <c r="D605" s="822"/>
      <c r="F605" s="309"/>
      <c r="H605" s="302"/>
    </row>
    <row r="606">
      <c r="B606" s="308"/>
      <c r="C606" s="252"/>
      <c r="D606" s="822"/>
      <c r="F606" s="309"/>
      <c r="H606" s="302"/>
    </row>
    <row r="607">
      <c r="B607" s="308"/>
      <c r="C607" s="252"/>
      <c r="D607" s="822"/>
      <c r="F607" s="309"/>
      <c r="H607" s="302"/>
    </row>
    <row r="608">
      <c r="B608" s="308"/>
      <c r="C608" s="252"/>
      <c r="D608" s="822"/>
      <c r="F608" s="309"/>
      <c r="H608" s="302"/>
    </row>
    <row r="609">
      <c r="B609" s="308"/>
      <c r="C609" s="252"/>
      <c r="D609" s="822"/>
      <c r="F609" s="309"/>
      <c r="H609" s="302"/>
    </row>
    <row r="610">
      <c r="B610" s="308"/>
      <c r="C610" s="252"/>
      <c r="D610" s="822"/>
      <c r="F610" s="309"/>
      <c r="H610" s="302"/>
    </row>
    <row r="611">
      <c r="B611" s="308"/>
      <c r="C611" s="252"/>
      <c r="D611" s="822"/>
      <c r="F611" s="309"/>
      <c r="H611" s="302"/>
    </row>
    <row r="612">
      <c r="B612" s="308"/>
      <c r="C612" s="252"/>
      <c r="D612" s="822"/>
      <c r="F612" s="309"/>
      <c r="H612" s="302"/>
    </row>
    <row r="613">
      <c r="B613" s="308"/>
      <c r="C613" s="252"/>
      <c r="D613" s="822"/>
      <c r="F613" s="309"/>
      <c r="H613" s="302"/>
    </row>
    <row r="614">
      <c r="B614" s="308"/>
      <c r="C614" s="252"/>
      <c r="D614" s="822"/>
      <c r="F614" s="309"/>
      <c r="H614" s="302"/>
    </row>
    <row r="615">
      <c r="B615" s="308"/>
      <c r="C615" s="252"/>
      <c r="D615" s="822"/>
      <c r="F615" s="309"/>
      <c r="H615" s="302"/>
    </row>
    <row r="616">
      <c r="B616" s="308"/>
      <c r="C616" s="252"/>
      <c r="D616" s="822"/>
      <c r="F616" s="309"/>
      <c r="H616" s="302"/>
    </row>
    <row r="617">
      <c r="B617" s="308"/>
      <c r="C617" s="252"/>
      <c r="D617" s="822"/>
      <c r="F617" s="309"/>
      <c r="H617" s="302"/>
    </row>
    <row r="618">
      <c r="B618" s="308"/>
      <c r="C618" s="252"/>
      <c r="D618" s="822"/>
      <c r="F618" s="309"/>
      <c r="H618" s="302"/>
    </row>
    <row r="619">
      <c r="B619" s="308"/>
      <c r="C619" s="252"/>
      <c r="D619" s="822"/>
      <c r="F619" s="309"/>
      <c r="H619" s="302"/>
    </row>
    <row r="620">
      <c r="B620" s="308"/>
      <c r="C620" s="252"/>
      <c r="D620" s="822"/>
      <c r="F620" s="309"/>
      <c r="H620" s="302"/>
    </row>
    <row r="621">
      <c r="B621" s="308"/>
      <c r="C621" s="252"/>
      <c r="D621" s="822"/>
      <c r="F621" s="309"/>
      <c r="H621" s="302"/>
    </row>
    <row r="622">
      <c r="B622" s="308"/>
      <c r="C622" s="252"/>
      <c r="D622" s="822"/>
      <c r="F622" s="309"/>
      <c r="H622" s="302"/>
    </row>
    <row r="623">
      <c r="B623" s="308"/>
      <c r="C623" s="252"/>
      <c r="D623" s="822"/>
      <c r="F623" s="309"/>
      <c r="H623" s="302"/>
    </row>
    <row r="624">
      <c r="B624" s="308"/>
      <c r="C624" s="252"/>
      <c r="D624" s="822"/>
      <c r="F624" s="309"/>
      <c r="H624" s="302"/>
    </row>
    <row r="625">
      <c r="B625" s="308"/>
      <c r="C625" s="252"/>
      <c r="D625" s="822"/>
      <c r="F625" s="309"/>
      <c r="H625" s="302"/>
    </row>
    <row r="626">
      <c r="B626" s="308"/>
      <c r="C626" s="252"/>
      <c r="D626" s="822"/>
      <c r="F626" s="309"/>
      <c r="H626" s="302"/>
    </row>
    <row r="627">
      <c r="B627" s="308"/>
      <c r="C627" s="252"/>
      <c r="D627" s="822"/>
      <c r="F627" s="309"/>
      <c r="H627" s="302"/>
    </row>
    <row r="628">
      <c r="B628" s="308"/>
      <c r="C628" s="252"/>
      <c r="D628" s="822"/>
      <c r="F628" s="309"/>
      <c r="H628" s="302"/>
    </row>
    <row r="629">
      <c r="B629" s="308"/>
      <c r="C629" s="252"/>
      <c r="D629" s="822"/>
      <c r="F629" s="309"/>
      <c r="H629" s="302"/>
    </row>
    <row r="630">
      <c r="B630" s="308"/>
      <c r="C630" s="252"/>
      <c r="D630" s="822"/>
      <c r="F630" s="309"/>
      <c r="H630" s="302"/>
    </row>
    <row r="631">
      <c r="B631" s="308"/>
      <c r="C631" s="252"/>
      <c r="D631" s="822"/>
      <c r="F631" s="309"/>
      <c r="H631" s="302"/>
    </row>
    <row r="632">
      <c r="B632" s="308"/>
      <c r="C632" s="252"/>
      <c r="D632" s="822"/>
      <c r="F632" s="309"/>
      <c r="H632" s="302"/>
    </row>
    <row r="633">
      <c r="B633" s="308"/>
      <c r="C633" s="252"/>
      <c r="D633" s="822"/>
      <c r="F633" s="309"/>
      <c r="H633" s="302"/>
    </row>
    <row r="634">
      <c r="B634" s="308"/>
      <c r="C634" s="252"/>
      <c r="D634" s="822"/>
      <c r="F634" s="309"/>
      <c r="H634" s="302"/>
    </row>
    <row r="635">
      <c r="B635" s="308"/>
      <c r="C635" s="252"/>
      <c r="D635" s="822"/>
      <c r="F635" s="309"/>
      <c r="H635" s="302"/>
    </row>
    <row r="636">
      <c r="B636" s="308"/>
      <c r="C636" s="252"/>
      <c r="D636" s="822"/>
      <c r="F636" s="309"/>
      <c r="H636" s="302"/>
    </row>
    <row r="637">
      <c r="B637" s="308"/>
      <c r="C637" s="252"/>
      <c r="D637" s="822"/>
      <c r="F637" s="309"/>
      <c r="H637" s="302"/>
    </row>
    <row r="638">
      <c r="B638" s="308"/>
      <c r="C638" s="252"/>
      <c r="D638" s="822"/>
      <c r="F638" s="309"/>
      <c r="H638" s="302"/>
    </row>
    <row r="639">
      <c r="B639" s="308"/>
      <c r="C639" s="252"/>
      <c r="D639" s="822"/>
      <c r="F639" s="309"/>
      <c r="H639" s="302"/>
    </row>
    <row r="640">
      <c r="B640" s="308"/>
      <c r="C640" s="252"/>
      <c r="D640" s="822"/>
      <c r="F640" s="309"/>
      <c r="H640" s="302"/>
    </row>
    <row r="641">
      <c r="B641" s="308"/>
      <c r="C641" s="252"/>
      <c r="D641" s="822"/>
      <c r="F641" s="309"/>
      <c r="H641" s="302"/>
    </row>
    <row r="642">
      <c r="B642" s="308"/>
      <c r="C642" s="252"/>
      <c r="D642" s="822"/>
      <c r="F642" s="309"/>
      <c r="H642" s="302"/>
    </row>
    <row r="643">
      <c r="B643" s="308"/>
      <c r="C643" s="252"/>
      <c r="D643" s="822"/>
      <c r="F643" s="309"/>
      <c r="H643" s="302"/>
    </row>
    <row r="644">
      <c r="B644" s="308"/>
      <c r="C644" s="252"/>
      <c r="D644" s="822"/>
      <c r="F644" s="309"/>
      <c r="H644" s="302"/>
    </row>
    <row r="645">
      <c r="B645" s="308"/>
      <c r="C645" s="252"/>
      <c r="D645" s="822"/>
      <c r="F645" s="309"/>
      <c r="H645" s="302"/>
    </row>
    <row r="646">
      <c r="B646" s="308"/>
      <c r="C646" s="252"/>
      <c r="D646" s="822"/>
      <c r="F646" s="309"/>
      <c r="H646" s="302"/>
    </row>
    <row r="647">
      <c r="B647" s="308"/>
      <c r="C647" s="252"/>
      <c r="D647" s="822"/>
      <c r="F647" s="309"/>
      <c r="H647" s="302"/>
    </row>
    <row r="648">
      <c r="B648" s="308"/>
      <c r="C648" s="252"/>
      <c r="D648" s="822"/>
      <c r="F648" s="309"/>
      <c r="H648" s="302"/>
    </row>
    <row r="649">
      <c r="B649" s="308"/>
      <c r="C649" s="252"/>
      <c r="D649" s="822"/>
      <c r="F649" s="309"/>
      <c r="H649" s="302"/>
    </row>
    <row r="650">
      <c r="B650" s="308"/>
      <c r="C650" s="252"/>
      <c r="D650" s="822"/>
      <c r="F650" s="309"/>
      <c r="H650" s="302"/>
    </row>
    <row r="651">
      <c r="B651" s="308"/>
      <c r="C651" s="252"/>
      <c r="D651" s="822"/>
      <c r="F651" s="309"/>
      <c r="H651" s="302"/>
    </row>
    <row r="652">
      <c r="B652" s="308"/>
      <c r="C652" s="252"/>
      <c r="D652" s="822"/>
      <c r="F652" s="309"/>
      <c r="H652" s="302"/>
    </row>
    <row r="653">
      <c r="B653" s="308"/>
      <c r="C653" s="252"/>
      <c r="D653" s="822"/>
      <c r="F653" s="309"/>
      <c r="H653" s="302"/>
    </row>
    <row r="654">
      <c r="B654" s="308"/>
      <c r="C654" s="252"/>
      <c r="D654" s="822"/>
      <c r="F654" s="309"/>
      <c r="H654" s="302"/>
    </row>
    <row r="655">
      <c r="B655" s="308"/>
      <c r="C655" s="252"/>
      <c r="D655" s="822"/>
      <c r="F655" s="309"/>
      <c r="H655" s="302"/>
    </row>
    <row r="656">
      <c r="B656" s="308"/>
      <c r="C656" s="252"/>
      <c r="D656" s="822"/>
      <c r="F656" s="309"/>
      <c r="H656" s="302"/>
    </row>
    <row r="657">
      <c r="B657" s="308"/>
      <c r="C657" s="252"/>
      <c r="D657" s="822"/>
      <c r="F657" s="309"/>
      <c r="H657" s="302"/>
    </row>
    <row r="658">
      <c r="B658" s="308"/>
      <c r="C658" s="252"/>
      <c r="D658" s="822"/>
      <c r="F658" s="309"/>
      <c r="H658" s="302"/>
    </row>
    <row r="659">
      <c r="B659" s="308"/>
      <c r="C659" s="252"/>
      <c r="D659" s="822"/>
      <c r="F659" s="309"/>
      <c r="H659" s="302"/>
    </row>
    <row r="660">
      <c r="B660" s="308"/>
      <c r="C660" s="252"/>
      <c r="D660" s="822"/>
      <c r="F660" s="309"/>
      <c r="H660" s="302"/>
    </row>
    <row r="661">
      <c r="B661" s="308"/>
      <c r="C661" s="252"/>
      <c r="D661" s="822"/>
      <c r="F661" s="309"/>
      <c r="H661" s="302"/>
    </row>
    <row r="662">
      <c r="B662" s="308"/>
      <c r="C662" s="252"/>
      <c r="D662" s="822"/>
      <c r="F662" s="309"/>
      <c r="H662" s="302"/>
    </row>
    <row r="663">
      <c r="B663" s="308"/>
      <c r="C663" s="252"/>
      <c r="D663" s="822"/>
      <c r="F663" s="309"/>
      <c r="H663" s="302"/>
    </row>
    <row r="664">
      <c r="B664" s="308"/>
      <c r="C664" s="252"/>
      <c r="D664" s="822"/>
      <c r="F664" s="309"/>
      <c r="H664" s="302"/>
    </row>
    <row r="665">
      <c r="B665" s="308"/>
      <c r="C665" s="252"/>
      <c r="D665" s="822"/>
      <c r="F665" s="309"/>
      <c r="H665" s="302"/>
    </row>
    <row r="666">
      <c r="B666" s="308"/>
      <c r="C666" s="252"/>
      <c r="D666" s="822"/>
      <c r="F666" s="309"/>
      <c r="H666" s="302"/>
    </row>
    <row r="667">
      <c r="B667" s="308"/>
      <c r="C667" s="252"/>
      <c r="D667" s="822"/>
      <c r="F667" s="309"/>
      <c r="H667" s="302"/>
    </row>
    <row r="668">
      <c r="B668" s="308"/>
      <c r="C668" s="252"/>
      <c r="D668" s="822"/>
      <c r="F668" s="309"/>
      <c r="H668" s="302"/>
    </row>
    <row r="669">
      <c r="B669" s="308"/>
      <c r="C669" s="252"/>
      <c r="D669" s="822"/>
      <c r="F669" s="309"/>
      <c r="H669" s="302"/>
    </row>
    <row r="670">
      <c r="B670" s="308"/>
      <c r="C670" s="252"/>
      <c r="D670" s="822"/>
      <c r="F670" s="309"/>
      <c r="H670" s="302"/>
    </row>
    <row r="671">
      <c r="B671" s="308"/>
      <c r="C671" s="252"/>
      <c r="D671" s="822"/>
      <c r="F671" s="309"/>
      <c r="H671" s="302"/>
    </row>
    <row r="672">
      <c r="B672" s="308"/>
      <c r="C672" s="252"/>
      <c r="D672" s="822"/>
      <c r="F672" s="309"/>
      <c r="H672" s="302"/>
    </row>
    <row r="673">
      <c r="B673" s="308"/>
      <c r="C673" s="252"/>
      <c r="D673" s="822"/>
      <c r="F673" s="309"/>
      <c r="H673" s="302"/>
    </row>
    <row r="674">
      <c r="B674" s="308"/>
      <c r="C674" s="252"/>
      <c r="D674" s="822"/>
      <c r="F674" s="309"/>
      <c r="H674" s="302"/>
    </row>
    <row r="675">
      <c r="B675" s="308"/>
      <c r="C675" s="252"/>
      <c r="D675" s="822"/>
      <c r="F675" s="309"/>
      <c r="H675" s="302"/>
    </row>
    <row r="676">
      <c r="B676" s="308"/>
      <c r="C676" s="252"/>
      <c r="D676" s="822"/>
      <c r="F676" s="309"/>
      <c r="H676" s="302"/>
    </row>
    <row r="677">
      <c r="B677" s="308"/>
      <c r="C677" s="252"/>
      <c r="D677" s="822"/>
      <c r="F677" s="309"/>
      <c r="H677" s="302"/>
    </row>
    <row r="678">
      <c r="B678" s="308"/>
      <c r="C678" s="252"/>
      <c r="D678" s="822"/>
      <c r="F678" s="309"/>
      <c r="H678" s="302"/>
    </row>
    <row r="679">
      <c r="B679" s="308"/>
      <c r="C679" s="252"/>
      <c r="D679" s="822"/>
      <c r="F679" s="309"/>
      <c r="H679" s="302"/>
    </row>
    <row r="680">
      <c r="B680" s="308"/>
      <c r="C680" s="252"/>
      <c r="D680" s="822"/>
      <c r="F680" s="309"/>
      <c r="H680" s="302"/>
    </row>
    <row r="681">
      <c r="B681" s="308"/>
      <c r="C681" s="252"/>
      <c r="D681" s="822"/>
      <c r="F681" s="309"/>
      <c r="H681" s="302"/>
    </row>
    <row r="682">
      <c r="B682" s="308"/>
      <c r="C682" s="252"/>
      <c r="D682" s="822"/>
      <c r="F682" s="309"/>
      <c r="H682" s="302"/>
    </row>
    <row r="683">
      <c r="B683" s="308"/>
      <c r="C683" s="252"/>
      <c r="D683" s="822"/>
      <c r="F683" s="309"/>
      <c r="H683" s="302"/>
    </row>
    <row r="684">
      <c r="B684" s="308"/>
      <c r="C684" s="252"/>
      <c r="D684" s="822"/>
      <c r="F684" s="309"/>
      <c r="H684" s="302"/>
    </row>
    <row r="685">
      <c r="B685" s="308"/>
      <c r="C685" s="252"/>
      <c r="D685" s="822"/>
      <c r="F685" s="309"/>
      <c r="H685" s="302"/>
    </row>
    <row r="686">
      <c r="B686" s="308"/>
      <c r="C686" s="252"/>
      <c r="D686" s="822"/>
      <c r="F686" s="309"/>
      <c r="H686" s="302"/>
    </row>
    <row r="687">
      <c r="B687" s="308"/>
      <c r="C687" s="252"/>
      <c r="D687" s="822"/>
      <c r="F687" s="309"/>
      <c r="H687" s="302"/>
    </row>
    <row r="688">
      <c r="B688" s="308"/>
      <c r="C688" s="252"/>
      <c r="D688" s="822"/>
      <c r="F688" s="309"/>
      <c r="H688" s="302"/>
    </row>
    <row r="689">
      <c r="B689" s="308"/>
      <c r="C689" s="252"/>
      <c r="D689" s="822"/>
      <c r="F689" s="309"/>
      <c r="H689" s="302"/>
    </row>
    <row r="690">
      <c r="B690" s="308"/>
      <c r="C690" s="252"/>
      <c r="D690" s="822"/>
      <c r="F690" s="309"/>
      <c r="H690" s="302"/>
    </row>
    <row r="691">
      <c r="B691" s="308"/>
      <c r="C691" s="252"/>
      <c r="D691" s="822"/>
      <c r="F691" s="309"/>
      <c r="H691" s="302"/>
    </row>
    <row r="692">
      <c r="B692" s="308"/>
      <c r="C692" s="252"/>
      <c r="D692" s="822"/>
      <c r="F692" s="309"/>
      <c r="H692" s="302"/>
    </row>
    <row r="693">
      <c r="B693" s="308"/>
      <c r="C693" s="252"/>
      <c r="D693" s="822"/>
      <c r="F693" s="309"/>
      <c r="H693" s="302"/>
    </row>
    <row r="694">
      <c r="B694" s="308"/>
      <c r="C694" s="252"/>
      <c r="D694" s="822"/>
      <c r="F694" s="309"/>
      <c r="H694" s="302"/>
    </row>
    <row r="695">
      <c r="B695" s="308"/>
      <c r="C695" s="252"/>
      <c r="D695" s="822"/>
      <c r="F695" s="309"/>
      <c r="H695" s="302"/>
    </row>
    <row r="696">
      <c r="B696" s="308"/>
      <c r="C696" s="252"/>
      <c r="D696" s="822"/>
      <c r="F696" s="309"/>
      <c r="H696" s="302"/>
    </row>
    <row r="697">
      <c r="B697" s="308"/>
      <c r="C697" s="252"/>
      <c r="D697" s="822"/>
      <c r="F697" s="309"/>
      <c r="H697" s="302"/>
    </row>
    <row r="698">
      <c r="B698" s="308"/>
      <c r="C698" s="252"/>
      <c r="D698" s="822"/>
      <c r="F698" s="309"/>
      <c r="H698" s="302"/>
    </row>
    <row r="699">
      <c r="B699" s="308"/>
      <c r="C699" s="252"/>
      <c r="D699" s="822"/>
      <c r="F699" s="309"/>
      <c r="H699" s="302"/>
    </row>
    <row r="700">
      <c r="B700" s="308"/>
      <c r="C700" s="252"/>
      <c r="D700" s="822"/>
      <c r="F700" s="309"/>
      <c r="H700" s="302"/>
    </row>
    <row r="701">
      <c r="B701" s="308"/>
      <c r="C701" s="252"/>
      <c r="D701" s="822"/>
      <c r="F701" s="309"/>
      <c r="H701" s="302"/>
    </row>
    <row r="702">
      <c r="B702" s="308"/>
      <c r="C702" s="252"/>
      <c r="D702" s="822"/>
      <c r="F702" s="309"/>
      <c r="H702" s="302"/>
    </row>
    <row r="703">
      <c r="B703" s="308"/>
      <c r="C703" s="252"/>
      <c r="D703" s="822"/>
      <c r="F703" s="309"/>
      <c r="H703" s="302"/>
    </row>
    <row r="704">
      <c r="B704" s="308"/>
      <c r="C704" s="252"/>
      <c r="D704" s="822"/>
      <c r="F704" s="309"/>
      <c r="H704" s="302"/>
    </row>
    <row r="705">
      <c r="B705" s="308"/>
      <c r="C705" s="252"/>
      <c r="D705" s="822"/>
      <c r="F705" s="309"/>
      <c r="H705" s="302"/>
    </row>
    <row r="706">
      <c r="B706" s="308"/>
      <c r="C706" s="252"/>
      <c r="D706" s="822"/>
      <c r="F706" s="309"/>
      <c r="H706" s="302"/>
    </row>
    <row r="707">
      <c r="B707" s="308"/>
      <c r="C707" s="252"/>
      <c r="D707" s="822"/>
      <c r="F707" s="309"/>
      <c r="H707" s="302"/>
    </row>
    <row r="708">
      <c r="B708" s="308"/>
      <c r="C708" s="252"/>
      <c r="D708" s="822"/>
      <c r="F708" s="309"/>
      <c r="H708" s="302"/>
    </row>
    <row r="709">
      <c r="B709" s="308"/>
      <c r="C709" s="252"/>
      <c r="D709" s="822"/>
      <c r="F709" s="309"/>
      <c r="H709" s="302"/>
    </row>
    <row r="710">
      <c r="B710" s="308"/>
      <c r="C710" s="252"/>
      <c r="D710" s="822"/>
      <c r="F710" s="309"/>
      <c r="H710" s="302"/>
    </row>
    <row r="711">
      <c r="B711" s="308"/>
      <c r="C711" s="252"/>
      <c r="D711" s="822"/>
      <c r="F711" s="309"/>
      <c r="H711" s="302"/>
    </row>
    <row r="712">
      <c r="B712" s="308"/>
      <c r="C712" s="252"/>
      <c r="D712" s="822"/>
      <c r="F712" s="309"/>
      <c r="H712" s="302"/>
    </row>
    <row r="713">
      <c r="B713" s="308"/>
      <c r="C713" s="252"/>
      <c r="D713" s="822"/>
      <c r="F713" s="309"/>
      <c r="H713" s="302"/>
    </row>
    <row r="714">
      <c r="B714" s="308"/>
      <c r="C714" s="252"/>
      <c r="D714" s="822"/>
      <c r="F714" s="309"/>
      <c r="H714" s="302"/>
    </row>
    <row r="715">
      <c r="B715" s="308"/>
      <c r="C715" s="252"/>
      <c r="D715" s="822"/>
      <c r="F715" s="309"/>
      <c r="H715" s="302"/>
    </row>
    <row r="716">
      <c r="B716" s="308"/>
      <c r="C716" s="252"/>
      <c r="D716" s="822"/>
      <c r="F716" s="309"/>
      <c r="H716" s="302"/>
    </row>
    <row r="717">
      <c r="B717" s="308"/>
      <c r="C717" s="252"/>
      <c r="D717" s="822"/>
      <c r="F717" s="309"/>
      <c r="H717" s="302"/>
    </row>
    <row r="718">
      <c r="B718" s="308"/>
      <c r="C718" s="252"/>
      <c r="D718" s="822"/>
      <c r="F718" s="309"/>
      <c r="H718" s="302"/>
    </row>
    <row r="719">
      <c r="B719" s="308"/>
      <c r="C719" s="252"/>
      <c r="D719" s="822"/>
      <c r="F719" s="309"/>
      <c r="H719" s="302"/>
    </row>
    <row r="720">
      <c r="B720" s="308"/>
      <c r="C720" s="252"/>
      <c r="D720" s="822"/>
      <c r="F720" s="309"/>
      <c r="H720" s="302"/>
    </row>
    <row r="721">
      <c r="B721" s="308"/>
      <c r="C721" s="252"/>
      <c r="D721" s="822"/>
      <c r="F721" s="309"/>
      <c r="H721" s="302"/>
    </row>
    <row r="722">
      <c r="B722" s="308"/>
      <c r="C722" s="252"/>
      <c r="D722" s="822"/>
      <c r="F722" s="309"/>
      <c r="H722" s="302"/>
    </row>
    <row r="723">
      <c r="B723" s="308"/>
      <c r="C723" s="252"/>
      <c r="D723" s="822"/>
      <c r="F723" s="309"/>
      <c r="H723" s="302"/>
    </row>
    <row r="724">
      <c r="B724" s="308"/>
      <c r="C724" s="252"/>
      <c r="D724" s="822"/>
      <c r="F724" s="309"/>
      <c r="H724" s="302"/>
    </row>
    <row r="725">
      <c r="B725" s="308"/>
      <c r="C725" s="252"/>
      <c r="D725" s="822"/>
      <c r="F725" s="309"/>
      <c r="H725" s="302"/>
    </row>
    <row r="726">
      <c r="B726" s="308"/>
      <c r="C726" s="252"/>
      <c r="D726" s="822"/>
      <c r="F726" s="309"/>
      <c r="H726" s="302"/>
    </row>
    <row r="727">
      <c r="B727" s="308"/>
      <c r="C727" s="252"/>
      <c r="D727" s="822"/>
      <c r="F727" s="309"/>
      <c r="H727" s="302"/>
    </row>
    <row r="728">
      <c r="B728" s="308"/>
      <c r="C728" s="252"/>
      <c r="D728" s="822"/>
      <c r="F728" s="309"/>
      <c r="H728" s="302"/>
    </row>
    <row r="729">
      <c r="B729" s="308"/>
      <c r="C729" s="252"/>
      <c r="D729" s="822"/>
      <c r="F729" s="309"/>
      <c r="H729" s="302"/>
    </row>
    <row r="730">
      <c r="B730" s="308"/>
      <c r="C730" s="252"/>
      <c r="D730" s="822"/>
      <c r="F730" s="309"/>
      <c r="H730" s="302"/>
    </row>
    <row r="731">
      <c r="B731" s="308"/>
      <c r="C731" s="252"/>
      <c r="D731" s="822"/>
      <c r="F731" s="309"/>
      <c r="H731" s="302"/>
    </row>
    <row r="732">
      <c r="B732" s="308"/>
      <c r="C732" s="252"/>
      <c r="D732" s="822"/>
      <c r="F732" s="309"/>
      <c r="H732" s="302"/>
    </row>
    <row r="733">
      <c r="B733" s="308"/>
      <c r="C733" s="252"/>
      <c r="D733" s="822"/>
      <c r="F733" s="309"/>
      <c r="H733" s="302"/>
    </row>
    <row r="734">
      <c r="B734" s="308"/>
      <c r="C734" s="252"/>
      <c r="D734" s="822"/>
      <c r="F734" s="309"/>
      <c r="H734" s="302"/>
    </row>
    <row r="735">
      <c r="B735" s="308"/>
      <c r="C735" s="252"/>
      <c r="D735" s="822"/>
      <c r="F735" s="309"/>
      <c r="H735" s="302"/>
    </row>
    <row r="736">
      <c r="B736" s="308"/>
      <c r="C736" s="252"/>
      <c r="D736" s="822"/>
      <c r="F736" s="309"/>
      <c r="H736" s="302"/>
    </row>
    <row r="737">
      <c r="B737" s="308"/>
      <c r="C737" s="252"/>
      <c r="D737" s="822"/>
      <c r="F737" s="309"/>
      <c r="H737" s="302"/>
    </row>
    <row r="738">
      <c r="B738" s="308"/>
      <c r="C738" s="252"/>
      <c r="D738" s="822"/>
      <c r="F738" s="309"/>
      <c r="H738" s="302"/>
    </row>
    <row r="739">
      <c r="B739" s="308"/>
      <c r="C739" s="252"/>
      <c r="D739" s="822"/>
      <c r="F739" s="309"/>
      <c r="H739" s="302"/>
    </row>
    <row r="740">
      <c r="B740" s="308"/>
      <c r="C740" s="252"/>
      <c r="D740" s="822"/>
      <c r="F740" s="309"/>
      <c r="H740" s="302"/>
    </row>
    <row r="741">
      <c r="B741" s="308"/>
      <c r="C741" s="252"/>
      <c r="D741" s="822"/>
      <c r="F741" s="309"/>
      <c r="H741" s="302"/>
    </row>
    <row r="742">
      <c r="B742" s="308"/>
      <c r="C742" s="252"/>
      <c r="D742" s="822"/>
      <c r="F742" s="309"/>
      <c r="H742" s="302"/>
    </row>
    <row r="743">
      <c r="B743" s="308"/>
      <c r="C743" s="252"/>
      <c r="D743" s="822"/>
      <c r="F743" s="309"/>
      <c r="H743" s="302"/>
    </row>
    <row r="744">
      <c r="B744" s="308"/>
      <c r="C744" s="252"/>
      <c r="D744" s="822"/>
      <c r="F744" s="309"/>
      <c r="H744" s="302"/>
    </row>
    <row r="745">
      <c r="B745" s="308"/>
      <c r="C745" s="252"/>
      <c r="D745" s="822"/>
      <c r="F745" s="309"/>
      <c r="H745" s="302"/>
    </row>
    <row r="746">
      <c r="B746" s="308"/>
      <c r="C746" s="252"/>
      <c r="D746" s="822"/>
      <c r="F746" s="309"/>
      <c r="H746" s="302"/>
    </row>
    <row r="747">
      <c r="B747" s="308"/>
      <c r="C747" s="252"/>
      <c r="D747" s="822"/>
      <c r="F747" s="309"/>
      <c r="H747" s="302"/>
    </row>
    <row r="748">
      <c r="B748" s="308"/>
      <c r="C748" s="252"/>
      <c r="D748" s="822"/>
      <c r="F748" s="309"/>
      <c r="H748" s="302"/>
    </row>
    <row r="749">
      <c r="B749" s="308"/>
      <c r="C749" s="252"/>
      <c r="D749" s="822"/>
      <c r="F749" s="309"/>
      <c r="H749" s="302"/>
    </row>
    <row r="750">
      <c r="B750" s="308"/>
      <c r="C750" s="252"/>
      <c r="D750" s="822"/>
      <c r="F750" s="309"/>
      <c r="H750" s="302"/>
    </row>
    <row r="751">
      <c r="B751" s="308"/>
      <c r="C751" s="252"/>
      <c r="D751" s="822"/>
      <c r="F751" s="309"/>
      <c r="H751" s="302"/>
    </row>
    <row r="752">
      <c r="B752" s="308"/>
      <c r="C752" s="252"/>
      <c r="D752" s="822"/>
      <c r="F752" s="309"/>
      <c r="H752" s="302"/>
    </row>
    <row r="753">
      <c r="B753" s="308"/>
      <c r="C753" s="252"/>
      <c r="D753" s="822"/>
      <c r="F753" s="309"/>
      <c r="H753" s="302"/>
    </row>
  </sheetData>
  <mergeCells count="30">
    <mergeCell ref="A15:A27"/>
    <mergeCell ref="A28:A40"/>
    <mergeCell ref="A41:A52"/>
    <mergeCell ref="A55:A64"/>
    <mergeCell ref="A65:A78"/>
    <mergeCell ref="A79:A90"/>
    <mergeCell ref="A91:A106"/>
    <mergeCell ref="A107:A120"/>
    <mergeCell ref="A121:A138"/>
    <mergeCell ref="A139:A153"/>
    <mergeCell ref="A154:A168"/>
    <mergeCell ref="A169:A178"/>
    <mergeCell ref="A179:A193"/>
    <mergeCell ref="A194:A209"/>
    <mergeCell ref="A210:A224"/>
    <mergeCell ref="A225:A236"/>
    <mergeCell ref="A237:A251"/>
    <mergeCell ref="A252:A265"/>
    <mergeCell ref="A266:A279"/>
    <mergeCell ref="A280:A292"/>
    <mergeCell ref="A293:A306"/>
    <mergeCell ref="A425:A434"/>
    <mergeCell ref="A435:A444"/>
    <mergeCell ref="A307:A321"/>
    <mergeCell ref="A322:A336"/>
    <mergeCell ref="A337:A349"/>
    <mergeCell ref="A350:A367"/>
    <mergeCell ref="A368:A385"/>
    <mergeCell ref="A386:A396"/>
    <mergeCell ref="A405:A4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/>
      <c r="B1" s="232" t="s">
        <v>52</v>
      </c>
      <c r="C1" s="233" t="s">
        <v>53</v>
      </c>
      <c r="D1" s="820" t="s">
        <v>54</v>
      </c>
      <c r="E1" s="235" t="s">
        <v>55</v>
      </c>
      <c r="F1" s="236" t="s">
        <v>56</v>
      </c>
      <c r="G1" s="235"/>
      <c r="H1" s="237" t="s">
        <v>57</v>
      </c>
    </row>
    <row r="2">
      <c r="A2" s="238"/>
      <c r="B2" s="247"/>
      <c r="C2" s="248"/>
      <c r="D2" s="331"/>
      <c r="F2" s="250">
        <v>18900.0</v>
      </c>
      <c r="G2" s="254" t="s">
        <v>64</v>
      </c>
      <c r="H2" s="302"/>
    </row>
    <row r="3">
      <c r="A3" s="246"/>
      <c r="B3" s="247">
        <v>10750.0</v>
      </c>
      <c r="C3" s="248"/>
      <c r="D3" s="331"/>
      <c r="F3" s="250"/>
      <c r="G3" s="254" t="s">
        <v>662</v>
      </c>
      <c r="H3" s="302"/>
    </row>
    <row r="4">
      <c r="A4" s="246"/>
      <c r="B4" s="247">
        <v>6498.54</v>
      </c>
      <c r="C4" s="248"/>
      <c r="D4" s="331"/>
      <c r="F4" s="250"/>
      <c r="G4" s="254" t="s">
        <v>82</v>
      </c>
      <c r="H4" s="302"/>
    </row>
    <row r="5">
      <c r="A5" s="246"/>
      <c r="B5" s="247">
        <v>10200.0</v>
      </c>
      <c r="C5" s="248"/>
      <c r="D5" s="331"/>
      <c r="F5" s="250"/>
      <c r="G5" s="254" t="s">
        <v>76</v>
      </c>
      <c r="H5" s="302"/>
    </row>
    <row r="6">
      <c r="A6" s="246"/>
      <c r="B6" s="247"/>
      <c r="C6" s="248"/>
      <c r="D6" s="331"/>
      <c r="F6" s="250">
        <f>460+400</f>
        <v>860</v>
      </c>
      <c r="G6" s="254" t="s">
        <v>63</v>
      </c>
      <c r="H6" s="302"/>
    </row>
    <row r="7">
      <c r="A7" s="246">
        <v>1.0</v>
      </c>
      <c r="B7" s="247">
        <v>16640.0</v>
      </c>
      <c r="C7" s="248"/>
      <c r="D7" s="331"/>
      <c r="F7" s="250"/>
      <c r="G7" s="254" t="s">
        <v>122</v>
      </c>
      <c r="H7" s="302"/>
    </row>
    <row r="8">
      <c r="A8" s="246"/>
      <c r="B8" s="247"/>
      <c r="C8" s="248"/>
      <c r="D8" s="331"/>
      <c r="F8" s="250">
        <v>252.0</v>
      </c>
      <c r="G8" s="254" t="s">
        <v>2741</v>
      </c>
      <c r="H8" s="302"/>
    </row>
    <row r="9">
      <c r="A9" s="246"/>
      <c r="B9" s="247">
        <v>3465.0</v>
      </c>
      <c r="C9" s="248"/>
      <c r="D9" s="331"/>
      <c r="F9" s="250"/>
      <c r="G9" s="254" t="s">
        <v>2742</v>
      </c>
      <c r="H9" s="302"/>
    </row>
    <row r="10">
      <c r="A10" s="246"/>
      <c r="B10" s="247">
        <v>3254.0</v>
      </c>
      <c r="C10" s="248"/>
      <c r="D10" s="331"/>
      <c r="F10" s="250"/>
      <c r="G10" s="254" t="s">
        <v>2743</v>
      </c>
      <c r="H10" s="302"/>
    </row>
    <row r="11">
      <c r="A11" s="246"/>
      <c r="B11" s="247">
        <v>1661.0</v>
      </c>
      <c r="C11" s="248"/>
      <c r="D11" s="331"/>
      <c r="F11" s="250"/>
      <c r="G11" s="254" t="s">
        <v>2744</v>
      </c>
      <c r="H11" s="302"/>
    </row>
    <row r="12">
      <c r="A12" s="246"/>
      <c r="B12" s="247">
        <v>2400.0</v>
      </c>
      <c r="C12" s="248"/>
      <c r="D12" s="331"/>
      <c r="F12" s="250"/>
      <c r="G12" s="254" t="s">
        <v>2647</v>
      </c>
      <c r="H12" s="302"/>
    </row>
    <row r="13">
      <c r="A13" s="246"/>
      <c r="B13" s="247"/>
      <c r="C13" s="248"/>
      <c r="D13" s="331"/>
      <c r="F13" s="250"/>
      <c r="G13" s="254"/>
      <c r="H13" s="302"/>
    </row>
    <row r="14">
      <c r="A14" s="255"/>
      <c r="B14" s="256"/>
      <c r="C14" s="248"/>
      <c r="D14" s="331"/>
      <c r="F14" s="250"/>
      <c r="G14" s="254"/>
      <c r="H14" s="251"/>
    </row>
    <row r="15">
      <c r="A15" s="816">
        <v>2.0</v>
      </c>
      <c r="B15" s="247"/>
      <c r="C15" s="263">
        <f>33459.55+19368.22</f>
        <v>52827.77</v>
      </c>
      <c r="D15" s="821"/>
      <c r="E15" s="242"/>
      <c r="F15" s="243"/>
      <c r="G15" s="276" t="s">
        <v>71</v>
      </c>
      <c r="H15" s="307"/>
    </row>
    <row r="16">
      <c r="A16" s="265"/>
      <c r="B16" s="247">
        <v>19787.59</v>
      </c>
      <c r="C16" s="248"/>
      <c r="D16" s="331"/>
      <c r="F16" s="250"/>
      <c r="G16" s="254" t="s">
        <v>114</v>
      </c>
      <c r="H16" s="251"/>
    </row>
    <row r="17">
      <c r="A17" s="265"/>
      <c r="B17" s="247">
        <v>3510.0</v>
      </c>
      <c r="C17" s="248"/>
      <c r="D17" s="331"/>
      <c r="F17" s="250"/>
      <c r="G17" s="254" t="s">
        <v>2621</v>
      </c>
      <c r="H17" s="251"/>
    </row>
    <row r="18">
      <c r="A18" s="265"/>
      <c r="B18" s="247"/>
      <c r="C18" s="252"/>
      <c r="D18" s="331"/>
      <c r="F18" s="250">
        <f>660+1072</f>
        <v>1732</v>
      </c>
      <c r="G18" s="254" t="s">
        <v>97</v>
      </c>
      <c r="H18" s="251"/>
    </row>
    <row r="19">
      <c r="A19" s="265"/>
      <c r="B19" s="247">
        <v>29729.7</v>
      </c>
      <c r="C19" s="252"/>
      <c r="D19" s="331"/>
      <c r="F19" s="250"/>
      <c r="G19" s="254" t="s">
        <v>92</v>
      </c>
      <c r="H19" s="251"/>
    </row>
    <row r="20">
      <c r="A20" s="265"/>
      <c r="B20" s="247"/>
      <c r="C20" s="248"/>
      <c r="D20" s="331"/>
      <c r="F20" s="250">
        <v>9000.0</v>
      </c>
      <c r="G20" s="254" t="s">
        <v>2669</v>
      </c>
      <c r="H20" s="251"/>
    </row>
    <row r="21">
      <c r="A21" s="265"/>
      <c r="B21" s="247"/>
      <c r="C21" s="252"/>
      <c r="D21" s="331"/>
      <c r="F21" s="250"/>
      <c r="G21" s="254"/>
      <c r="H21" s="251"/>
    </row>
    <row r="22">
      <c r="A22" s="265"/>
      <c r="B22" s="247"/>
      <c r="C22" s="248"/>
      <c r="D22" s="331"/>
      <c r="F22" s="250"/>
      <c r="G22" s="254"/>
      <c r="H22" s="251"/>
    </row>
    <row r="23">
      <c r="A23" s="265"/>
      <c r="B23" s="247"/>
      <c r="C23" s="252"/>
      <c r="D23" s="822"/>
      <c r="F23" s="250"/>
      <c r="G23" s="254"/>
      <c r="H23" s="251"/>
    </row>
    <row r="24">
      <c r="A24" s="265"/>
      <c r="B24" s="278"/>
      <c r="C24" s="252"/>
      <c r="D24" s="822"/>
      <c r="F24" s="250"/>
      <c r="G24" s="254"/>
      <c r="H24" s="251"/>
    </row>
    <row r="25">
      <c r="A25" s="265"/>
      <c r="B25" s="278"/>
      <c r="C25" s="252"/>
      <c r="D25" s="331"/>
      <c r="F25" s="250"/>
      <c r="H25" s="251"/>
    </row>
    <row r="26">
      <c r="A26" s="265"/>
      <c r="B26" s="278"/>
      <c r="C26" s="252"/>
      <c r="D26" s="822"/>
      <c r="F26" s="250"/>
      <c r="G26" s="269"/>
      <c r="H26" s="251"/>
    </row>
    <row r="27">
      <c r="A27" s="270"/>
      <c r="B27" s="271"/>
      <c r="C27" s="272"/>
      <c r="D27" s="823"/>
      <c r="E27" s="18"/>
      <c r="F27" s="274"/>
      <c r="G27" s="275"/>
      <c r="H27" s="261"/>
    </row>
    <row r="28">
      <c r="A28" s="262">
        <v>3.0</v>
      </c>
      <c r="B28" s="239"/>
      <c r="C28" s="263"/>
      <c r="D28" s="821"/>
      <c r="E28" s="242"/>
      <c r="F28" s="250"/>
      <c r="H28" s="307"/>
    </row>
    <row r="29">
      <c r="A29" s="265"/>
      <c r="B29" s="247"/>
      <c r="C29" s="248"/>
      <c r="D29" s="822"/>
      <c r="F29" s="266"/>
      <c r="H29" s="251"/>
    </row>
    <row r="30">
      <c r="A30" s="265"/>
      <c r="B30" s="247"/>
      <c r="C30" s="248"/>
      <c r="D30" s="331"/>
      <c r="F30" s="250"/>
      <c r="H30" s="251"/>
    </row>
    <row r="31">
      <c r="A31" s="265"/>
      <c r="B31" s="247"/>
      <c r="C31" s="252"/>
      <c r="D31" s="822"/>
      <c r="F31" s="250"/>
      <c r="H31" s="251"/>
    </row>
    <row r="32">
      <c r="A32" s="265"/>
      <c r="B32" s="247"/>
      <c r="C32" s="248"/>
      <c r="D32" s="331"/>
      <c r="F32" s="250"/>
      <c r="H32" s="251"/>
    </row>
    <row r="33">
      <c r="A33" s="265"/>
      <c r="B33" s="247"/>
      <c r="C33" s="252"/>
      <c r="D33" s="331"/>
      <c r="F33" s="250"/>
      <c r="H33" s="251"/>
    </row>
    <row r="34">
      <c r="A34" s="265"/>
      <c r="B34" s="247"/>
      <c r="C34" s="252"/>
      <c r="D34" s="822"/>
      <c r="F34" s="250"/>
      <c r="G34" s="254"/>
      <c r="H34" s="251"/>
    </row>
    <row r="35">
      <c r="A35" s="265"/>
      <c r="B35" s="247"/>
      <c r="C35" s="252"/>
      <c r="D35" s="331"/>
      <c r="F35" s="250"/>
      <c r="G35" s="254"/>
      <c r="H35" s="267"/>
    </row>
    <row r="36">
      <c r="A36" s="265"/>
      <c r="B36" s="268"/>
      <c r="C36" s="252"/>
      <c r="D36" s="822"/>
      <c r="F36" s="250"/>
      <c r="G36" s="254"/>
      <c r="H36" s="267"/>
    </row>
    <row r="37">
      <c r="A37" s="265"/>
      <c r="B37" s="247"/>
      <c r="C37" s="252"/>
      <c r="D37" s="822"/>
      <c r="F37" s="250"/>
      <c r="G37" s="254"/>
      <c r="H37" s="251"/>
    </row>
    <row r="38">
      <c r="A38" s="265"/>
      <c r="B38" s="247"/>
      <c r="C38" s="252"/>
      <c r="D38" s="822"/>
      <c r="F38" s="250"/>
      <c r="G38" s="254"/>
      <c r="H38" s="251"/>
    </row>
    <row r="39">
      <c r="A39" s="265"/>
      <c r="B39" s="268"/>
      <c r="C39" s="252"/>
      <c r="D39" s="822"/>
      <c r="F39" s="250"/>
      <c r="G39" s="269"/>
      <c r="H39" s="251"/>
    </row>
    <row r="40">
      <c r="A40" s="270"/>
      <c r="B40" s="271"/>
      <c r="C40" s="272"/>
      <c r="D40" s="823"/>
      <c r="E40" s="18"/>
      <c r="F40" s="274"/>
      <c r="G40" s="275"/>
      <c r="H40" s="261"/>
    </row>
    <row r="41">
      <c r="A41" s="262">
        <v>4.0</v>
      </c>
      <c r="B41" s="239"/>
      <c r="C41" s="240"/>
      <c r="D41" s="824"/>
      <c r="E41" s="242"/>
      <c r="F41" s="243">
        <v>5500.0</v>
      </c>
      <c r="G41" s="276" t="s">
        <v>68</v>
      </c>
      <c r="H41" s="307"/>
    </row>
    <row r="42">
      <c r="A42" s="265"/>
      <c r="B42" s="247"/>
      <c r="C42" s="248"/>
      <c r="D42" s="822"/>
      <c r="F42" s="250"/>
      <c r="H42" s="251"/>
    </row>
    <row r="43">
      <c r="A43" s="265"/>
      <c r="B43" s="247"/>
      <c r="C43" s="248"/>
      <c r="D43" s="331"/>
      <c r="F43" s="250">
        <v>7440.0</v>
      </c>
      <c r="G43" s="254" t="s">
        <v>2745</v>
      </c>
      <c r="H43" s="251"/>
    </row>
    <row r="44">
      <c r="A44" s="265"/>
      <c r="B44" s="247">
        <v>7958.0</v>
      </c>
      <c r="C44" s="252"/>
      <c r="D44" s="822"/>
      <c r="F44" s="250"/>
      <c r="G44" s="254" t="s">
        <v>82</v>
      </c>
      <c r="H44" s="251"/>
    </row>
    <row r="45">
      <c r="A45" s="265"/>
      <c r="B45" s="247">
        <v>9420.0</v>
      </c>
      <c r="C45" s="252"/>
      <c r="D45" s="331"/>
      <c r="F45" s="250"/>
      <c r="G45" s="254" t="s">
        <v>75</v>
      </c>
      <c r="H45" s="251"/>
    </row>
    <row r="46">
      <c r="A46" s="265"/>
      <c r="B46" s="247"/>
      <c r="C46" s="252"/>
      <c r="D46" s="331">
        <v>5353.04</v>
      </c>
      <c r="F46" s="250"/>
      <c r="G46" s="254" t="s">
        <v>77</v>
      </c>
      <c r="H46" s="267"/>
    </row>
    <row r="47">
      <c r="A47" s="265"/>
      <c r="B47" s="247"/>
      <c r="C47" s="248"/>
      <c r="D47" s="331"/>
      <c r="F47" s="250">
        <v>2570.0</v>
      </c>
      <c r="G47" s="254" t="s">
        <v>97</v>
      </c>
      <c r="H47" s="251"/>
    </row>
    <row r="48">
      <c r="A48" s="265"/>
      <c r="B48" s="247"/>
      <c r="C48" s="252"/>
      <c r="D48" s="822"/>
      <c r="F48" s="250">
        <v>2500.0</v>
      </c>
      <c r="G48" s="254" t="s">
        <v>101</v>
      </c>
      <c r="H48" s="251"/>
    </row>
    <row r="49">
      <c r="A49" s="265"/>
      <c r="B49" s="268"/>
      <c r="C49" s="248"/>
      <c r="D49" s="822"/>
      <c r="F49" s="250">
        <v>6500.0</v>
      </c>
      <c r="G49" s="254" t="s">
        <v>2746</v>
      </c>
      <c r="H49" s="251"/>
    </row>
    <row r="50">
      <c r="A50" s="265"/>
      <c r="B50" s="278">
        <f>17000+12000</f>
        <v>29000</v>
      </c>
      <c r="C50" s="252"/>
      <c r="D50" s="822"/>
      <c r="F50" s="250"/>
      <c r="G50" s="254" t="s">
        <v>2747</v>
      </c>
      <c r="H50" s="251"/>
    </row>
    <row r="51">
      <c r="A51" s="265"/>
      <c r="B51" s="278"/>
      <c r="C51" s="252"/>
      <c r="D51" s="822"/>
      <c r="F51" s="250"/>
      <c r="G51" s="269"/>
      <c r="H51" s="251"/>
    </row>
    <row r="52">
      <c r="A52" s="270"/>
      <c r="B52" s="271"/>
      <c r="C52" s="272"/>
      <c r="D52" s="823"/>
      <c r="E52" s="18"/>
      <c r="F52" s="259"/>
      <c r="G52" s="260"/>
      <c r="H52" s="261"/>
    </row>
    <row r="53">
      <c r="A53" s="262"/>
      <c r="B53" s="278"/>
      <c r="C53" s="248"/>
      <c r="D53" s="822"/>
      <c r="F53" s="250">
        <v>9000.0</v>
      </c>
      <c r="G53" s="254" t="s">
        <v>128</v>
      </c>
      <c r="H53" s="251"/>
    </row>
    <row r="54">
      <c r="A54" s="280"/>
      <c r="B54" s="277"/>
      <c r="C54" s="252"/>
      <c r="D54" s="822"/>
      <c r="F54" s="250">
        <v>18900.0</v>
      </c>
      <c r="G54" s="254" t="s">
        <v>87</v>
      </c>
      <c r="H54" s="251"/>
    </row>
    <row r="55">
      <c r="A55" s="280">
        <v>5.0</v>
      </c>
      <c r="B55" s="247">
        <f>16631.56</f>
        <v>16631.56</v>
      </c>
      <c r="C55" s="248"/>
      <c r="D55" s="331"/>
      <c r="F55" s="250"/>
      <c r="G55" s="254" t="s">
        <v>73</v>
      </c>
      <c r="H55" s="251"/>
    </row>
    <row r="56">
      <c r="A56" s="265"/>
      <c r="B56" s="247">
        <f>2538.12+6735.1+20575.26</f>
        <v>29848.48</v>
      </c>
      <c r="C56" s="252"/>
      <c r="D56" s="331"/>
      <c r="F56" s="250"/>
      <c r="G56" s="254" t="s">
        <v>74</v>
      </c>
      <c r="H56" s="251"/>
    </row>
    <row r="57">
      <c r="A57" s="265"/>
      <c r="B57" s="247">
        <v>13000.0</v>
      </c>
      <c r="C57" s="248"/>
      <c r="D57" s="331"/>
      <c r="F57" s="250"/>
      <c r="G57" s="254" t="s">
        <v>351</v>
      </c>
      <c r="H57" s="251"/>
    </row>
    <row r="58">
      <c r="A58" s="265"/>
      <c r="B58" s="247"/>
      <c r="C58" s="252"/>
      <c r="D58" s="822"/>
      <c r="F58" s="250"/>
      <c r="G58" s="254"/>
      <c r="H58" s="251"/>
    </row>
    <row r="59">
      <c r="A59" s="265"/>
      <c r="B59" s="247"/>
      <c r="C59" s="252"/>
      <c r="D59" s="331"/>
      <c r="F59" s="250"/>
      <c r="G59" s="254"/>
      <c r="H59" s="267"/>
    </row>
    <row r="60">
      <c r="A60" s="265"/>
      <c r="B60" s="247"/>
      <c r="C60" s="252"/>
      <c r="D60" s="822"/>
      <c r="F60" s="250"/>
      <c r="G60" s="254"/>
      <c r="H60" s="251"/>
    </row>
    <row r="61">
      <c r="A61" s="265"/>
      <c r="B61" s="247"/>
      <c r="C61" s="248"/>
      <c r="D61" s="822"/>
      <c r="F61" s="250"/>
      <c r="G61" s="254"/>
      <c r="H61" s="251"/>
    </row>
    <row r="62">
      <c r="A62" s="265"/>
      <c r="B62" s="268"/>
      <c r="C62" s="252"/>
      <c r="D62" s="822"/>
      <c r="F62" s="250"/>
      <c r="G62" s="254"/>
      <c r="H62" s="251"/>
    </row>
    <row r="63">
      <c r="A63" s="265"/>
      <c r="B63" s="268"/>
      <c r="C63" s="252"/>
      <c r="D63" s="822"/>
      <c r="F63" s="250"/>
      <c r="G63" s="254"/>
      <c r="H63" s="251"/>
    </row>
    <row r="64">
      <c r="A64" s="270"/>
      <c r="B64" s="271"/>
      <c r="C64" s="272"/>
      <c r="D64" s="823"/>
      <c r="E64" s="18"/>
      <c r="F64" s="274"/>
      <c r="G64" s="260"/>
      <c r="H64" s="261"/>
    </row>
    <row r="65">
      <c r="A65" s="262">
        <v>6.0</v>
      </c>
      <c r="B65" s="239"/>
      <c r="C65" s="263">
        <v>49996.91</v>
      </c>
      <c r="D65" s="824"/>
      <c r="E65" s="242"/>
      <c r="F65" s="243"/>
      <c r="G65" s="276" t="s">
        <v>84</v>
      </c>
      <c r="H65" s="307"/>
    </row>
    <row r="66">
      <c r="A66" s="265"/>
      <c r="B66" s="247">
        <v>9129.42</v>
      </c>
      <c r="C66" s="248"/>
      <c r="D66" s="822"/>
      <c r="F66" s="250"/>
      <c r="G66" s="254" t="s">
        <v>82</v>
      </c>
      <c r="H66" s="251"/>
    </row>
    <row r="67">
      <c r="A67" s="265"/>
      <c r="B67" s="247">
        <v>15957.86</v>
      </c>
      <c r="C67" s="252"/>
      <c r="D67" s="822"/>
      <c r="F67" s="250"/>
      <c r="G67" s="254" t="s">
        <v>2748</v>
      </c>
      <c r="H67" s="251"/>
    </row>
    <row r="68">
      <c r="A68" s="265"/>
      <c r="B68" s="247"/>
      <c r="C68" s="252"/>
      <c r="D68" s="331"/>
      <c r="F68" s="250"/>
      <c r="G68" s="254"/>
      <c r="H68" s="267"/>
    </row>
    <row r="69">
      <c r="A69" s="265"/>
      <c r="B69" s="247">
        <v>11668.39</v>
      </c>
      <c r="C69" s="248"/>
      <c r="D69" s="822"/>
      <c r="F69" s="250"/>
      <c r="G69" s="254" t="s">
        <v>84</v>
      </c>
      <c r="H69" s="251"/>
    </row>
    <row r="70">
      <c r="A70" s="265"/>
      <c r="B70" s="247"/>
      <c r="C70" s="252"/>
      <c r="D70" s="822"/>
      <c r="F70" s="250">
        <v>940.0</v>
      </c>
      <c r="G70" s="254" t="s">
        <v>85</v>
      </c>
      <c r="H70" s="251"/>
    </row>
    <row r="71">
      <c r="A71" s="265"/>
      <c r="B71" s="247"/>
      <c r="C71" s="252"/>
      <c r="D71" s="822"/>
      <c r="F71" s="250"/>
      <c r="G71" s="254"/>
      <c r="H71" s="251"/>
    </row>
    <row r="72">
      <c r="A72" s="265"/>
      <c r="B72" s="247"/>
      <c r="C72" s="252"/>
      <c r="D72" s="822"/>
      <c r="F72" s="250"/>
      <c r="G72" s="254"/>
      <c r="H72" s="251"/>
    </row>
    <row r="73">
      <c r="A73" s="265"/>
      <c r="B73" s="268"/>
      <c r="C73" s="248"/>
      <c r="D73" s="822"/>
      <c r="F73" s="250"/>
      <c r="G73" s="254"/>
      <c r="H73" s="251"/>
    </row>
    <row r="74">
      <c r="A74" s="265"/>
      <c r="B74" s="268"/>
      <c r="C74" s="248"/>
      <c r="D74" s="331"/>
      <c r="F74" s="250"/>
      <c r="G74" s="254"/>
      <c r="H74" s="251"/>
    </row>
    <row r="75">
      <c r="A75" s="265"/>
      <c r="B75" s="268"/>
      <c r="C75" s="248"/>
      <c r="D75" s="331"/>
      <c r="F75" s="250"/>
      <c r="G75" s="254"/>
      <c r="H75" s="251"/>
    </row>
    <row r="76">
      <c r="A76" s="265"/>
      <c r="B76" s="268"/>
      <c r="C76" s="248"/>
      <c r="D76" s="331"/>
      <c r="F76" s="250"/>
      <c r="G76" s="269"/>
      <c r="H76" s="251"/>
    </row>
    <row r="77">
      <c r="A77" s="265"/>
      <c r="B77" s="278"/>
      <c r="C77" s="252"/>
      <c r="D77" s="822"/>
      <c r="F77" s="250"/>
      <c r="G77" s="269"/>
      <c r="H77" s="251"/>
    </row>
    <row r="78">
      <c r="A78" s="270"/>
      <c r="B78" s="271"/>
      <c r="C78" s="272"/>
      <c r="D78" s="823"/>
      <c r="E78" s="18"/>
      <c r="F78" s="274"/>
      <c r="G78" s="275"/>
      <c r="H78" s="261"/>
    </row>
    <row r="79">
      <c r="A79" s="262">
        <v>7.0</v>
      </c>
      <c r="B79" s="239">
        <v>3963.23</v>
      </c>
      <c r="C79" s="263"/>
      <c r="D79" s="821"/>
      <c r="E79" s="242"/>
      <c r="F79" s="243"/>
      <c r="G79" s="276" t="s">
        <v>91</v>
      </c>
      <c r="H79" s="307"/>
    </row>
    <row r="80">
      <c r="A80" s="265"/>
      <c r="B80" s="247"/>
      <c r="C80" s="248"/>
      <c r="D80" s="331"/>
      <c r="F80" s="250">
        <v>150.0</v>
      </c>
      <c r="G80" s="254" t="s">
        <v>2749</v>
      </c>
      <c r="H80" s="251"/>
    </row>
    <row r="81">
      <c r="A81" s="265"/>
      <c r="B81" s="247"/>
      <c r="C81" s="252"/>
      <c r="D81" s="822"/>
      <c r="F81" s="250">
        <v>150.0</v>
      </c>
      <c r="G81" s="254" t="s">
        <v>337</v>
      </c>
      <c r="H81" s="267"/>
    </row>
    <row r="82">
      <c r="A82" s="265"/>
      <c r="B82" s="247"/>
      <c r="C82" s="248"/>
      <c r="D82" s="822"/>
      <c r="E82" s="2">
        <v>12883.0</v>
      </c>
      <c r="F82" s="250"/>
      <c r="G82" s="254" t="s">
        <v>2677</v>
      </c>
      <c r="H82" s="251"/>
    </row>
    <row r="83">
      <c r="A83" s="265"/>
      <c r="B83" s="247">
        <v>58624.5</v>
      </c>
      <c r="C83" s="248"/>
      <c r="D83" s="331"/>
      <c r="F83" s="250"/>
      <c r="G83" s="254" t="s">
        <v>2750</v>
      </c>
      <c r="H83" s="251"/>
    </row>
    <row r="84">
      <c r="A84" s="265"/>
      <c r="B84" s="247">
        <v>5030.0</v>
      </c>
      <c r="C84" s="248"/>
      <c r="D84" s="822"/>
      <c r="F84" s="250"/>
      <c r="G84" s="254" t="s">
        <v>2681</v>
      </c>
      <c r="H84" s="251"/>
    </row>
    <row r="85">
      <c r="A85" s="265"/>
      <c r="B85" s="247"/>
      <c r="C85" s="252"/>
      <c r="D85" s="822"/>
      <c r="F85" s="250"/>
      <c r="G85" s="254"/>
      <c r="H85" s="251"/>
    </row>
    <row r="86">
      <c r="A86" s="265"/>
      <c r="B86" s="247"/>
      <c r="C86" s="252"/>
      <c r="D86" s="822"/>
      <c r="F86" s="250"/>
      <c r="G86" s="254"/>
      <c r="H86" s="251"/>
    </row>
    <row r="87">
      <c r="A87" s="265"/>
      <c r="B87" s="247"/>
      <c r="C87" s="252"/>
      <c r="D87" s="822"/>
      <c r="F87" s="250"/>
      <c r="G87" s="254"/>
      <c r="H87" s="251"/>
    </row>
    <row r="88">
      <c r="A88" s="265"/>
      <c r="B88" s="278"/>
      <c r="C88" s="252"/>
      <c r="D88" s="822"/>
      <c r="F88" s="250"/>
      <c r="G88" s="269"/>
      <c r="H88" s="251"/>
    </row>
    <row r="89">
      <c r="A89" s="265"/>
      <c r="B89" s="278"/>
      <c r="C89" s="252"/>
      <c r="D89" s="822"/>
      <c r="F89" s="250"/>
      <c r="G89" s="269"/>
      <c r="H89" s="251"/>
    </row>
    <row r="90">
      <c r="A90" s="270"/>
      <c r="B90" s="271"/>
      <c r="C90" s="272"/>
      <c r="D90" s="823"/>
      <c r="E90" s="18"/>
      <c r="F90" s="259"/>
      <c r="G90" s="275"/>
      <c r="H90" s="261"/>
    </row>
    <row r="91">
      <c r="A91" s="262">
        <v>8.0</v>
      </c>
      <c r="B91" s="239">
        <v>8817.23</v>
      </c>
      <c r="C91" s="263"/>
      <c r="D91" s="824"/>
      <c r="E91" s="242"/>
      <c r="F91" s="243"/>
      <c r="G91" s="276" t="s">
        <v>82</v>
      </c>
      <c r="H91" s="307"/>
    </row>
    <row r="92">
      <c r="A92" s="265"/>
      <c r="B92" s="247"/>
      <c r="C92" s="248"/>
      <c r="D92" s="822"/>
      <c r="F92" s="250">
        <v>1300.0</v>
      </c>
      <c r="G92" s="254" t="s">
        <v>420</v>
      </c>
      <c r="H92" s="251"/>
    </row>
    <row r="93">
      <c r="A93" s="265"/>
      <c r="B93" s="247"/>
      <c r="C93" s="248"/>
      <c r="D93" s="822"/>
      <c r="F93" s="250">
        <f>1129+280</f>
        <v>1409</v>
      </c>
      <c r="G93" s="254" t="s">
        <v>97</v>
      </c>
      <c r="H93" s="251"/>
    </row>
    <row r="94">
      <c r="A94" s="265"/>
      <c r="B94" s="247">
        <v>16640.0</v>
      </c>
      <c r="C94" s="248"/>
      <c r="D94" s="822"/>
      <c r="F94" s="250"/>
      <c r="G94" s="254" t="s">
        <v>122</v>
      </c>
      <c r="H94" s="251"/>
    </row>
    <row r="95">
      <c r="A95" s="265"/>
      <c r="B95" s="85"/>
      <c r="C95" s="248"/>
      <c r="D95" s="331">
        <v>15700.0</v>
      </c>
      <c r="F95" s="250"/>
      <c r="G95" s="254" t="s">
        <v>75</v>
      </c>
      <c r="H95" s="251"/>
    </row>
    <row r="96">
      <c r="A96" s="265"/>
      <c r="B96" s="281"/>
      <c r="C96" s="252"/>
      <c r="D96" s="331">
        <v>30323.31</v>
      </c>
      <c r="F96" s="266"/>
      <c r="G96" s="254" t="s">
        <v>114</v>
      </c>
      <c r="H96" s="251"/>
    </row>
    <row r="97">
      <c r="A97" s="265"/>
      <c r="B97" s="281"/>
      <c r="C97" s="252"/>
      <c r="D97" s="331">
        <v>13016.58</v>
      </c>
      <c r="F97" s="250"/>
      <c r="G97" s="254" t="s">
        <v>2751</v>
      </c>
      <c r="H97" s="251"/>
    </row>
    <row r="98">
      <c r="A98" s="265"/>
      <c r="B98" s="247"/>
      <c r="C98" s="252"/>
      <c r="D98" s="331"/>
      <c r="F98" s="250"/>
      <c r="G98" s="254"/>
      <c r="H98" s="251"/>
    </row>
    <row r="99">
      <c r="A99" s="265"/>
      <c r="B99" s="247"/>
      <c r="C99" s="252"/>
      <c r="D99" s="822"/>
      <c r="F99" s="250"/>
      <c r="G99" s="254"/>
      <c r="H99" s="251"/>
    </row>
    <row r="100">
      <c r="A100" s="265"/>
      <c r="B100" s="247"/>
      <c r="C100" s="252"/>
      <c r="D100" s="331"/>
      <c r="F100" s="250"/>
      <c r="G100" s="269"/>
      <c r="H100" s="251"/>
    </row>
    <row r="101">
      <c r="A101" s="265"/>
      <c r="B101" s="268"/>
      <c r="C101" s="252"/>
      <c r="D101" s="822"/>
      <c r="F101" s="250"/>
      <c r="G101" s="269"/>
      <c r="H101" s="251"/>
    </row>
    <row r="102">
      <c r="A102" s="265"/>
      <c r="B102" s="247"/>
      <c r="C102" s="252"/>
      <c r="D102" s="822"/>
      <c r="F102" s="250"/>
      <c r="G102" s="269"/>
      <c r="H102" s="251"/>
    </row>
    <row r="103">
      <c r="A103" s="265"/>
      <c r="B103" s="277"/>
      <c r="C103" s="252"/>
      <c r="D103" s="822"/>
      <c r="F103" s="282"/>
      <c r="G103" s="269"/>
      <c r="H103" s="251"/>
    </row>
    <row r="104">
      <c r="A104" s="265"/>
      <c r="B104" s="278"/>
      <c r="C104" s="248"/>
      <c r="D104" s="822"/>
      <c r="F104" s="282"/>
      <c r="G104" s="269"/>
      <c r="H104" s="251"/>
    </row>
    <row r="105">
      <c r="A105" s="265"/>
      <c r="B105" s="278"/>
      <c r="C105" s="252"/>
      <c r="D105" s="822"/>
      <c r="F105" s="250"/>
      <c r="G105" s="269"/>
      <c r="H105" s="251"/>
    </row>
    <row r="106">
      <c r="A106" s="270"/>
      <c r="B106" s="271"/>
      <c r="C106" s="272"/>
      <c r="D106" s="823"/>
      <c r="E106" s="18"/>
      <c r="F106" s="259"/>
      <c r="G106" s="260"/>
      <c r="H106" s="261"/>
    </row>
    <row r="107">
      <c r="A107" s="262">
        <v>9.0</v>
      </c>
      <c r="B107" s="239"/>
      <c r="C107" s="263"/>
      <c r="D107" s="821"/>
      <c r="E107" s="242"/>
      <c r="F107" s="250">
        <v>11400.0</v>
      </c>
      <c r="G107" s="276" t="s">
        <v>2669</v>
      </c>
      <c r="H107" s="307"/>
    </row>
    <row r="108">
      <c r="A108" s="265"/>
      <c r="B108" s="247"/>
      <c r="C108" s="248"/>
      <c r="D108" s="331"/>
      <c r="F108" s="250"/>
      <c r="G108" s="254"/>
      <c r="H108" s="251"/>
    </row>
    <row r="109">
      <c r="A109" s="265"/>
      <c r="B109" s="247"/>
      <c r="C109" s="248"/>
      <c r="D109" s="822"/>
      <c r="F109" s="250"/>
      <c r="G109" s="254"/>
      <c r="H109" s="251"/>
    </row>
    <row r="110">
      <c r="A110" s="265"/>
      <c r="B110" s="247"/>
      <c r="C110" s="248"/>
      <c r="D110" s="331"/>
      <c r="F110" s="250"/>
      <c r="G110" s="254"/>
      <c r="H110" s="251"/>
    </row>
    <row r="111">
      <c r="A111" s="265"/>
      <c r="B111" s="247"/>
      <c r="C111" s="248"/>
      <c r="D111" s="822"/>
      <c r="F111" s="250"/>
      <c r="G111" s="254"/>
      <c r="H111" s="251"/>
    </row>
    <row r="112">
      <c r="A112" s="265"/>
      <c r="B112" s="247"/>
      <c r="C112" s="252"/>
      <c r="D112" s="822"/>
      <c r="F112" s="250"/>
      <c r="G112" s="254"/>
      <c r="H112" s="251"/>
    </row>
    <row r="113">
      <c r="A113" s="265"/>
      <c r="B113" s="247"/>
      <c r="C113" s="252"/>
      <c r="D113" s="331"/>
      <c r="F113" s="250"/>
      <c r="G113" s="254"/>
      <c r="H113" s="251"/>
    </row>
    <row r="114">
      <c r="A114" s="265"/>
      <c r="B114" s="247"/>
      <c r="C114" s="252"/>
      <c r="D114" s="822"/>
      <c r="F114" s="250"/>
      <c r="G114" s="254"/>
      <c r="H114" s="251"/>
    </row>
    <row r="115">
      <c r="A115" s="265"/>
      <c r="B115" s="247"/>
      <c r="C115" s="248"/>
      <c r="D115" s="822"/>
      <c r="F115" s="250"/>
      <c r="G115" s="254"/>
      <c r="H115" s="251"/>
    </row>
    <row r="116">
      <c r="A116" s="265"/>
      <c r="B116" s="247"/>
      <c r="C116" s="252"/>
      <c r="D116" s="822"/>
      <c r="F116" s="250"/>
      <c r="G116" s="254"/>
      <c r="H116" s="251"/>
    </row>
    <row r="117">
      <c r="A117" s="265"/>
      <c r="B117" s="277"/>
      <c r="C117" s="248"/>
      <c r="D117" s="822"/>
      <c r="F117" s="282"/>
      <c r="G117" s="254"/>
      <c r="H117" s="251"/>
    </row>
    <row r="118">
      <c r="A118" s="265"/>
      <c r="B118" s="277"/>
      <c r="C118" s="252"/>
      <c r="D118" s="822"/>
      <c r="F118" s="250"/>
      <c r="G118" s="254"/>
      <c r="H118" s="251"/>
    </row>
    <row r="119">
      <c r="A119" s="265"/>
      <c r="B119" s="278"/>
      <c r="C119" s="252"/>
      <c r="D119" s="822"/>
      <c r="F119" s="282"/>
      <c r="G119" s="269"/>
      <c r="H119" s="251"/>
    </row>
    <row r="120">
      <c r="A120" s="270"/>
      <c r="B120" s="271"/>
      <c r="C120" s="272"/>
      <c r="D120" s="823"/>
      <c r="E120" s="18"/>
      <c r="F120" s="274"/>
      <c r="G120" s="275"/>
      <c r="H120" s="261"/>
    </row>
    <row r="121">
      <c r="A121" s="262">
        <v>10.0</v>
      </c>
      <c r="B121" s="239"/>
      <c r="C121" s="263"/>
      <c r="D121" s="821"/>
      <c r="E121" s="242"/>
      <c r="F121" s="243"/>
      <c r="G121" s="276"/>
      <c r="H121" s="307"/>
    </row>
    <row r="122">
      <c r="A122" s="265"/>
      <c r="B122" s="247"/>
      <c r="C122" s="252"/>
      <c r="D122" s="331"/>
      <c r="F122" s="250"/>
      <c r="G122" s="254"/>
      <c r="H122" s="251"/>
    </row>
    <row r="123">
      <c r="A123" s="265"/>
      <c r="B123" s="247"/>
      <c r="C123" s="248"/>
      <c r="D123" s="331"/>
      <c r="F123" s="250"/>
      <c r="G123" s="26"/>
      <c r="H123" s="251"/>
    </row>
    <row r="124">
      <c r="A124" s="265"/>
      <c r="B124" s="247"/>
      <c r="C124" s="248"/>
      <c r="D124" s="331"/>
      <c r="F124" s="250"/>
      <c r="G124" s="254"/>
      <c r="H124" s="251"/>
    </row>
    <row r="125">
      <c r="A125" s="265"/>
      <c r="B125" s="247"/>
      <c r="C125" s="252"/>
      <c r="D125" s="331"/>
      <c r="F125" s="250"/>
      <c r="G125" s="254"/>
      <c r="H125" s="251"/>
    </row>
    <row r="126">
      <c r="A126" s="265"/>
      <c r="B126" s="247"/>
      <c r="C126" s="252"/>
      <c r="D126" s="822"/>
      <c r="F126" s="250"/>
      <c r="G126" s="254"/>
      <c r="H126" s="251"/>
    </row>
    <row r="127">
      <c r="A127" s="265"/>
      <c r="B127" s="247"/>
      <c r="C127" s="252"/>
      <c r="D127" s="822"/>
      <c r="F127" s="250"/>
      <c r="G127" s="254"/>
      <c r="H127" s="251"/>
    </row>
    <row r="128">
      <c r="A128" s="265"/>
      <c r="B128" s="247"/>
      <c r="C128" s="252"/>
      <c r="D128" s="331"/>
      <c r="F128" s="250"/>
      <c r="G128" s="254"/>
      <c r="H128" s="251"/>
    </row>
    <row r="129">
      <c r="A129" s="265"/>
      <c r="B129" s="247"/>
      <c r="C129" s="252"/>
      <c r="D129" s="331"/>
      <c r="F129" s="250"/>
      <c r="G129" s="254"/>
      <c r="H129" s="251"/>
    </row>
    <row r="130">
      <c r="A130" s="265"/>
      <c r="B130" s="247"/>
      <c r="C130" s="248"/>
      <c r="D130" s="822"/>
      <c r="F130" s="250"/>
      <c r="G130" s="254"/>
      <c r="H130" s="251"/>
    </row>
    <row r="131">
      <c r="A131" s="265"/>
      <c r="B131" s="268"/>
      <c r="C131" s="252"/>
      <c r="D131" s="822"/>
      <c r="F131" s="250"/>
      <c r="G131" s="254"/>
      <c r="H131" s="251"/>
    </row>
    <row r="132">
      <c r="A132" s="265"/>
      <c r="B132" s="268"/>
      <c r="C132" s="252"/>
      <c r="D132" s="822"/>
      <c r="F132" s="250"/>
      <c r="G132" s="254"/>
      <c r="H132" s="251"/>
    </row>
    <row r="133">
      <c r="A133" s="265"/>
      <c r="B133" s="268"/>
      <c r="C133" s="252"/>
      <c r="D133" s="822"/>
      <c r="F133" s="250"/>
      <c r="G133" s="269"/>
      <c r="H133" s="251"/>
    </row>
    <row r="134">
      <c r="A134" s="265"/>
      <c r="B134" s="268"/>
      <c r="C134" s="252"/>
      <c r="D134" s="822"/>
      <c r="F134" s="250"/>
      <c r="G134" s="269"/>
      <c r="H134" s="251"/>
    </row>
    <row r="135">
      <c r="A135" s="265"/>
      <c r="B135" s="268"/>
      <c r="C135" s="252"/>
      <c r="D135" s="822"/>
      <c r="F135" s="250"/>
      <c r="G135" s="269"/>
      <c r="H135" s="251"/>
    </row>
    <row r="136">
      <c r="A136" s="265"/>
      <c r="B136" s="268"/>
      <c r="C136" s="252"/>
      <c r="D136" s="822"/>
      <c r="F136" s="250"/>
      <c r="G136" s="269"/>
      <c r="H136" s="251"/>
    </row>
    <row r="137">
      <c r="A137" s="265"/>
      <c r="B137" s="268"/>
      <c r="C137" s="252"/>
      <c r="D137" s="822"/>
      <c r="F137" s="250"/>
      <c r="G137" s="269"/>
      <c r="H137" s="251"/>
    </row>
    <row r="138">
      <c r="A138" s="270"/>
      <c r="B138" s="271"/>
      <c r="C138" s="272"/>
      <c r="D138" s="823"/>
      <c r="E138" s="18"/>
      <c r="F138" s="274"/>
      <c r="G138" s="275"/>
      <c r="H138" s="261"/>
    </row>
    <row r="139">
      <c r="A139" s="262">
        <v>11.0</v>
      </c>
      <c r="B139" s="239">
        <v>7320.0</v>
      </c>
      <c r="C139" s="263"/>
      <c r="D139" s="821"/>
      <c r="E139" s="242"/>
      <c r="F139" s="243"/>
      <c r="G139" s="276" t="s">
        <v>75</v>
      </c>
      <c r="H139" s="307"/>
    </row>
    <row r="140">
      <c r="A140" s="265"/>
      <c r="B140" s="247">
        <v>6888.73</v>
      </c>
      <c r="C140" s="252"/>
      <c r="D140" s="331"/>
      <c r="F140" s="250"/>
      <c r="G140" s="254" t="s">
        <v>82</v>
      </c>
      <c r="H140" s="251"/>
    </row>
    <row r="141">
      <c r="A141" s="265"/>
      <c r="B141" s="247"/>
      <c r="C141" s="248">
        <f>32967.05+37199.84</f>
        <v>70166.89</v>
      </c>
      <c r="D141" s="331"/>
      <c r="F141" s="250"/>
      <c r="G141" s="254" t="s">
        <v>71</v>
      </c>
      <c r="H141" s="251"/>
    </row>
    <row r="142">
      <c r="A142" s="265"/>
      <c r="B142" s="247">
        <f>10436.79</f>
        <v>10436.79</v>
      </c>
      <c r="C142" s="248"/>
      <c r="D142" s="331"/>
      <c r="F142" s="250"/>
      <c r="G142" s="254" t="s">
        <v>73</v>
      </c>
      <c r="H142" s="251"/>
    </row>
    <row r="143">
      <c r="A143" s="265"/>
      <c r="B143" s="247">
        <v>8946.07</v>
      </c>
      <c r="C143" s="248"/>
      <c r="D143" s="822"/>
      <c r="F143" s="250"/>
      <c r="G143" s="254" t="s">
        <v>74</v>
      </c>
      <c r="H143" s="251"/>
    </row>
    <row r="144">
      <c r="A144" s="265"/>
      <c r="B144" s="247">
        <v>5083.5</v>
      </c>
      <c r="C144" s="252"/>
      <c r="D144" s="331"/>
      <c r="F144" s="250"/>
      <c r="G144" s="254" t="s">
        <v>2621</v>
      </c>
      <c r="H144" s="251"/>
    </row>
    <row r="145">
      <c r="A145" s="265"/>
      <c r="B145" s="247">
        <v>15140.0</v>
      </c>
      <c r="C145" s="252"/>
      <c r="D145" s="331"/>
      <c r="F145" s="250"/>
      <c r="G145" s="254" t="s">
        <v>2752</v>
      </c>
      <c r="H145" s="251"/>
    </row>
    <row r="146">
      <c r="A146" s="265"/>
      <c r="B146" s="283"/>
      <c r="C146" s="248"/>
      <c r="D146" s="822"/>
      <c r="F146" s="250">
        <v>2500.0</v>
      </c>
      <c r="G146" s="254" t="s">
        <v>101</v>
      </c>
      <c r="H146" s="251"/>
    </row>
    <row r="147">
      <c r="A147" s="265"/>
      <c r="B147" s="247"/>
      <c r="C147" s="248"/>
      <c r="D147" s="822"/>
      <c r="F147" s="250">
        <v>14900.0</v>
      </c>
      <c r="G147" s="254" t="s">
        <v>2753</v>
      </c>
      <c r="H147" s="251"/>
    </row>
    <row r="148">
      <c r="A148" s="265"/>
      <c r="B148" s="247"/>
      <c r="C148" s="252"/>
      <c r="D148" s="822"/>
      <c r="E148" s="2">
        <v>100672.0</v>
      </c>
      <c r="F148" s="250"/>
      <c r="G148" s="254" t="s">
        <v>167</v>
      </c>
      <c r="H148" s="251"/>
    </row>
    <row r="149">
      <c r="A149" s="265"/>
      <c r="B149" s="247"/>
      <c r="C149" s="252"/>
      <c r="D149" s="331"/>
      <c r="F149" s="250">
        <v>4300.0</v>
      </c>
      <c r="G149" s="254" t="s">
        <v>2754</v>
      </c>
      <c r="H149" s="251"/>
    </row>
    <row r="150">
      <c r="A150" s="265"/>
      <c r="B150" s="277"/>
      <c r="C150" s="252"/>
      <c r="D150" s="822"/>
      <c r="F150" s="250"/>
      <c r="G150" s="254"/>
      <c r="H150" s="251"/>
    </row>
    <row r="151">
      <c r="A151" s="265"/>
      <c r="B151" s="277"/>
      <c r="C151" s="252"/>
      <c r="D151" s="822"/>
      <c r="F151" s="250"/>
      <c r="G151" s="269"/>
      <c r="H151" s="251"/>
    </row>
    <row r="152">
      <c r="A152" s="265"/>
      <c r="B152" s="278"/>
      <c r="C152" s="252"/>
      <c r="D152" s="822"/>
      <c r="F152" s="250"/>
      <c r="G152" s="269"/>
      <c r="H152" s="251"/>
    </row>
    <row r="153">
      <c r="A153" s="270"/>
      <c r="B153" s="271"/>
      <c r="C153" s="272"/>
      <c r="D153" s="823"/>
      <c r="E153" s="18"/>
      <c r="F153" s="274"/>
      <c r="G153" s="275"/>
      <c r="H153" s="261"/>
    </row>
    <row r="154">
      <c r="A154" s="262">
        <v>12.0</v>
      </c>
      <c r="B154" s="239">
        <v>17000.0</v>
      </c>
      <c r="C154" s="240"/>
      <c r="D154" s="824"/>
      <c r="E154" s="242"/>
      <c r="F154" s="243"/>
      <c r="G154" s="276" t="s">
        <v>76</v>
      </c>
      <c r="H154" s="307"/>
    </row>
    <row r="155">
      <c r="A155" s="265"/>
      <c r="B155" s="247"/>
      <c r="C155" s="252"/>
      <c r="D155" s="822"/>
      <c r="F155" s="250">
        <v>1000.0</v>
      </c>
      <c r="G155" s="254" t="s">
        <v>97</v>
      </c>
      <c r="H155" s="251"/>
    </row>
    <row r="156">
      <c r="A156" s="265"/>
      <c r="B156" s="247"/>
      <c r="C156" s="252"/>
      <c r="D156" s="331">
        <v>77965.0</v>
      </c>
      <c r="F156" s="418"/>
      <c r="G156" s="285" t="s">
        <v>144</v>
      </c>
      <c r="H156" s="251"/>
    </row>
    <row r="157">
      <c r="A157" s="265"/>
      <c r="B157" s="247">
        <v>13000.0</v>
      </c>
      <c r="C157" s="252"/>
      <c r="D157" s="822"/>
      <c r="F157" s="250"/>
      <c r="G157" s="254" t="s">
        <v>79</v>
      </c>
      <c r="H157" s="251"/>
    </row>
    <row r="158">
      <c r="A158" s="265"/>
      <c r="B158" s="247"/>
      <c r="C158" s="252"/>
      <c r="D158" s="331"/>
      <c r="F158" s="250"/>
      <c r="G158" s="254"/>
      <c r="H158" s="251"/>
    </row>
    <row r="159">
      <c r="A159" s="265"/>
      <c r="B159" s="247"/>
      <c r="C159" s="248"/>
      <c r="D159" s="331"/>
      <c r="F159" s="250"/>
      <c r="G159" s="254"/>
      <c r="H159" s="251"/>
    </row>
    <row r="160">
      <c r="A160" s="265"/>
      <c r="B160" s="247"/>
      <c r="C160" s="252"/>
      <c r="D160" s="331"/>
      <c r="F160" s="250"/>
      <c r="G160" s="254"/>
      <c r="H160" s="251"/>
    </row>
    <row r="161">
      <c r="A161" s="265"/>
      <c r="B161" s="247"/>
      <c r="C161" s="252"/>
      <c r="D161" s="331"/>
      <c r="F161" s="250"/>
      <c r="G161" s="254"/>
      <c r="H161" s="251"/>
    </row>
    <row r="162">
      <c r="A162" s="265"/>
      <c r="B162" s="268"/>
      <c r="C162" s="252"/>
      <c r="D162" s="331"/>
      <c r="F162" s="250"/>
      <c r="G162" s="254"/>
      <c r="H162" s="251"/>
    </row>
    <row r="163">
      <c r="A163" s="265"/>
      <c r="B163" s="247"/>
      <c r="C163" s="252"/>
      <c r="D163" s="822"/>
      <c r="F163" s="250"/>
      <c r="G163" s="254"/>
      <c r="H163" s="251"/>
    </row>
    <row r="164">
      <c r="A164" s="265"/>
      <c r="B164" s="247"/>
      <c r="C164" s="252"/>
      <c r="D164" s="822"/>
      <c r="F164" s="250"/>
      <c r="G164" s="254"/>
      <c r="H164" s="251"/>
    </row>
    <row r="165">
      <c r="A165" s="265"/>
      <c r="B165" s="277"/>
      <c r="C165" s="252"/>
      <c r="D165" s="822"/>
      <c r="F165" s="250"/>
      <c r="G165" s="269"/>
      <c r="H165" s="251"/>
    </row>
    <row r="166">
      <c r="A166" s="265"/>
      <c r="B166" s="277"/>
      <c r="C166" s="252"/>
      <c r="D166" s="822"/>
      <c r="F166" s="282"/>
      <c r="G166" s="269"/>
      <c r="H166" s="251"/>
    </row>
    <row r="167">
      <c r="A167" s="265"/>
      <c r="B167" s="278"/>
      <c r="C167" s="252"/>
      <c r="D167" s="822"/>
      <c r="F167" s="250"/>
      <c r="G167" s="269"/>
      <c r="H167" s="251"/>
    </row>
    <row r="168">
      <c r="A168" s="270"/>
      <c r="B168" s="271"/>
      <c r="C168" s="272"/>
      <c r="D168" s="823"/>
      <c r="E168" s="18"/>
      <c r="F168" s="259"/>
      <c r="G168" s="260"/>
      <c r="H168" s="261"/>
    </row>
    <row r="169">
      <c r="A169" s="262">
        <v>13.0</v>
      </c>
      <c r="B169" s="239"/>
      <c r="C169" s="263"/>
      <c r="D169" s="821"/>
      <c r="E169" s="242"/>
      <c r="F169" s="243">
        <v>5900.0</v>
      </c>
      <c r="G169" s="276" t="s">
        <v>120</v>
      </c>
      <c r="H169" s="307"/>
    </row>
    <row r="170">
      <c r="A170" s="265"/>
      <c r="B170" s="247">
        <v>8094.03</v>
      </c>
      <c r="C170" s="252"/>
      <c r="D170" s="822"/>
      <c r="F170" s="250"/>
      <c r="G170" s="254" t="s">
        <v>58</v>
      </c>
      <c r="H170" s="251"/>
    </row>
    <row r="171">
      <c r="A171" s="265"/>
      <c r="B171" s="247">
        <v>19046.47</v>
      </c>
      <c r="C171" s="248"/>
      <c r="D171" s="331"/>
      <c r="F171" s="250"/>
      <c r="G171" s="254" t="s">
        <v>2755</v>
      </c>
      <c r="H171" s="251"/>
    </row>
    <row r="172">
      <c r="A172" s="265"/>
      <c r="B172" s="247">
        <v>5140.0</v>
      </c>
      <c r="C172" s="248"/>
      <c r="D172" s="331"/>
      <c r="F172" s="250"/>
      <c r="G172" s="254" t="s">
        <v>2756</v>
      </c>
      <c r="H172" s="251"/>
    </row>
    <row r="173">
      <c r="A173" s="265"/>
      <c r="B173" s="247">
        <v>9874.59</v>
      </c>
      <c r="C173" s="252"/>
      <c r="D173" s="822"/>
      <c r="F173" s="250"/>
      <c r="G173" s="254" t="s">
        <v>2757</v>
      </c>
      <c r="H173" s="251"/>
    </row>
    <row r="174">
      <c r="A174" s="265"/>
      <c r="B174" s="247"/>
      <c r="C174" s="248"/>
      <c r="D174" s="331"/>
      <c r="E174" s="2">
        <v>41656.7</v>
      </c>
      <c r="F174" s="250"/>
      <c r="G174" s="254" t="s">
        <v>89</v>
      </c>
      <c r="H174" s="251"/>
    </row>
    <row r="175">
      <c r="A175" s="265"/>
      <c r="B175" s="247"/>
      <c r="C175" s="248"/>
      <c r="D175" s="331"/>
      <c r="F175" s="250"/>
      <c r="G175" s="254"/>
      <c r="H175" s="251"/>
    </row>
    <row r="176">
      <c r="A176" s="265"/>
      <c r="B176" s="247"/>
      <c r="C176" s="252"/>
      <c r="D176" s="331"/>
      <c r="F176" s="250"/>
      <c r="G176" s="254"/>
      <c r="H176" s="251"/>
    </row>
    <row r="177">
      <c r="A177" s="265"/>
      <c r="B177" s="247"/>
      <c r="C177" s="252"/>
      <c r="D177" s="822"/>
      <c r="F177" s="250"/>
      <c r="G177" s="254"/>
      <c r="H177" s="251"/>
    </row>
    <row r="178">
      <c r="A178" s="270"/>
      <c r="B178" s="279"/>
      <c r="C178" s="272"/>
      <c r="D178" s="823"/>
      <c r="E178" s="18"/>
      <c r="F178" s="274"/>
      <c r="G178" s="260"/>
      <c r="H178" s="261"/>
    </row>
    <row r="179">
      <c r="A179" s="262">
        <v>14.0</v>
      </c>
      <c r="B179" s="239"/>
      <c r="C179" s="263"/>
      <c r="D179" s="821"/>
      <c r="E179" s="242"/>
      <c r="F179" s="250">
        <v>22500.0</v>
      </c>
      <c r="G179" s="276" t="s">
        <v>87</v>
      </c>
      <c r="H179" s="245">
        <v>75.0</v>
      </c>
      <c r="I179" s="2" t="s">
        <v>2758</v>
      </c>
    </row>
    <row r="180">
      <c r="A180" s="265"/>
      <c r="B180" s="247"/>
      <c r="C180" s="252"/>
      <c r="D180" s="331"/>
      <c r="F180" s="250">
        <v>8000.0</v>
      </c>
      <c r="G180" s="254" t="s">
        <v>2759</v>
      </c>
      <c r="H180" s="251"/>
    </row>
    <row r="181">
      <c r="A181" s="265"/>
      <c r="B181" s="247">
        <v>5493.0</v>
      </c>
      <c r="C181" s="248"/>
      <c r="D181" s="331"/>
      <c r="F181" s="250"/>
      <c r="G181" s="254" t="s">
        <v>2649</v>
      </c>
      <c r="H181" s="251"/>
    </row>
    <row r="182">
      <c r="A182" s="265"/>
      <c r="B182" s="247">
        <v>5083.0</v>
      </c>
      <c r="C182" s="248"/>
      <c r="D182" s="331"/>
      <c r="F182" s="250"/>
      <c r="G182" s="254" t="s">
        <v>215</v>
      </c>
      <c r="H182" s="251"/>
    </row>
    <row r="183">
      <c r="A183" s="265"/>
      <c r="B183" s="247"/>
      <c r="C183" s="248"/>
      <c r="D183" s="331"/>
      <c r="F183" s="250">
        <v>2281.6</v>
      </c>
      <c r="G183" s="254" t="s">
        <v>97</v>
      </c>
      <c r="H183" s="251"/>
    </row>
    <row r="184">
      <c r="A184" s="265"/>
      <c r="B184" s="247"/>
      <c r="C184" s="252"/>
      <c r="D184" s="331"/>
      <c r="F184" s="250"/>
      <c r="G184" s="254"/>
      <c r="H184" s="251"/>
    </row>
    <row r="185">
      <c r="A185" s="265"/>
      <c r="B185" s="247"/>
      <c r="C185" s="252"/>
      <c r="D185" s="331"/>
      <c r="F185" s="250"/>
      <c r="G185" s="254"/>
      <c r="H185" s="251"/>
    </row>
    <row r="186">
      <c r="A186" s="265"/>
      <c r="B186" s="247"/>
      <c r="C186" s="252"/>
      <c r="D186" s="822"/>
      <c r="F186" s="250"/>
      <c r="G186" s="254"/>
      <c r="H186" s="251"/>
    </row>
    <row r="187">
      <c r="A187" s="265"/>
      <c r="B187" s="247"/>
      <c r="C187" s="252"/>
      <c r="D187" s="331"/>
      <c r="F187" s="250"/>
      <c r="G187" s="254"/>
      <c r="H187" s="251"/>
    </row>
    <row r="188">
      <c r="A188" s="265"/>
      <c r="B188" s="247"/>
      <c r="C188" s="252"/>
      <c r="D188" s="822"/>
      <c r="F188" s="250"/>
      <c r="G188" s="254"/>
      <c r="H188" s="251"/>
    </row>
    <row r="189">
      <c r="A189" s="265"/>
      <c r="B189" s="247"/>
      <c r="C189" s="252"/>
      <c r="D189" s="822"/>
      <c r="F189" s="250"/>
      <c r="G189" s="254"/>
      <c r="H189" s="251"/>
    </row>
    <row r="190">
      <c r="A190" s="265"/>
      <c r="B190" s="247"/>
      <c r="C190" s="252"/>
      <c r="D190" s="822"/>
      <c r="F190" s="250"/>
      <c r="G190" s="254"/>
      <c r="H190" s="251"/>
    </row>
    <row r="191">
      <c r="A191" s="265"/>
      <c r="B191" s="268"/>
      <c r="C191" s="252"/>
      <c r="D191" s="822"/>
      <c r="F191" s="250"/>
      <c r="G191" s="269"/>
      <c r="H191" s="251"/>
    </row>
    <row r="192">
      <c r="A192" s="265"/>
      <c r="B192" s="268"/>
      <c r="C192" s="252"/>
      <c r="D192" s="822"/>
      <c r="F192" s="250"/>
      <c r="G192" s="269"/>
      <c r="H192" s="251"/>
    </row>
    <row r="193">
      <c r="A193" s="270"/>
      <c r="B193" s="271"/>
      <c r="C193" s="272"/>
      <c r="D193" s="823"/>
      <c r="E193" s="18"/>
      <c r="F193" s="259"/>
      <c r="G193" s="260"/>
      <c r="H193" s="261"/>
    </row>
    <row r="194">
      <c r="A194" s="262">
        <v>15.0</v>
      </c>
      <c r="B194" s="247">
        <v>8435.77</v>
      </c>
      <c r="C194" s="248"/>
      <c r="D194" s="822"/>
      <c r="F194" s="250"/>
      <c r="G194" s="254" t="s">
        <v>82</v>
      </c>
      <c r="H194" s="286">
        <f>11.5+15</f>
        <v>26.5</v>
      </c>
      <c r="I194" s="2" t="s">
        <v>72</v>
      </c>
    </row>
    <row r="195">
      <c r="A195" s="265"/>
      <c r="B195" s="247"/>
      <c r="C195" s="252"/>
      <c r="D195" s="331"/>
      <c r="F195" s="250">
        <f>1076+635</f>
        <v>1711</v>
      </c>
      <c r="G195" s="254" t="s">
        <v>97</v>
      </c>
      <c r="H195" s="251"/>
    </row>
    <row r="196">
      <c r="A196" s="265"/>
      <c r="B196" s="247">
        <v>19330.0</v>
      </c>
      <c r="C196" s="252"/>
      <c r="D196" s="331"/>
      <c r="F196" s="250"/>
      <c r="G196" s="254" t="s">
        <v>75</v>
      </c>
      <c r="H196" s="251"/>
    </row>
    <row r="197">
      <c r="A197" s="265"/>
      <c r="B197" s="247"/>
      <c r="C197" s="248"/>
      <c r="D197" s="331"/>
      <c r="F197" s="250">
        <v>2000.0</v>
      </c>
      <c r="G197" s="254" t="s">
        <v>101</v>
      </c>
      <c r="H197" s="251"/>
    </row>
    <row r="198">
      <c r="A198" s="265"/>
      <c r="B198" s="247">
        <v>7125.0</v>
      </c>
      <c r="C198" s="248"/>
      <c r="D198" s="331"/>
      <c r="F198" s="250"/>
      <c r="G198" s="254" t="s">
        <v>86</v>
      </c>
      <c r="H198" s="251"/>
    </row>
    <row r="199">
      <c r="A199" s="265"/>
      <c r="B199" s="247"/>
      <c r="C199" s="252"/>
      <c r="D199" s="331"/>
      <c r="F199" s="250"/>
      <c r="G199" s="254"/>
      <c r="H199" s="251"/>
    </row>
    <row r="200">
      <c r="A200" s="265"/>
      <c r="B200" s="247"/>
      <c r="C200" s="252"/>
      <c r="D200" s="822"/>
      <c r="F200" s="250"/>
      <c r="G200" s="254"/>
      <c r="H200" s="251"/>
    </row>
    <row r="201">
      <c r="A201" s="265"/>
      <c r="B201" s="247"/>
      <c r="C201" s="252"/>
      <c r="D201" s="331"/>
      <c r="F201" s="250"/>
      <c r="G201" s="254"/>
      <c r="H201" s="251"/>
    </row>
    <row r="202">
      <c r="A202" s="265"/>
      <c r="B202" s="247"/>
      <c r="C202" s="248"/>
      <c r="D202" s="822"/>
      <c r="F202" s="250"/>
      <c r="G202" s="254"/>
      <c r="H202" s="251"/>
    </row>
    <row r="203">
      <c r="A203" s="265"/>
      <c r="B203" s="247"/>
      <c r="C203" s="252"/>
      <c r="D203" s="822"/>
      <c r="F203" s="250"/>
      <c r="G203" s="254"/>
      <c r="H203" s="251"/>
    </row>
    <row r="204">
      <c r="A204" s="265"/>
      <c r="B204" s="247"/>
      <c r="C204" s="252"/>
      <c r="D204" s="331"/>
      <c r="F204" s="250"/>
      <c r="G204" s="254"/>
      <c r="H204" s="251"/>
    </row>
    <row r="205">
      <c r="A205" s="265"/>
      <c r="B205" s="247"/>
      <c r="C205" s="248"/>
      <c r="D205" s="331"/>
      <c r="F205" s="250"/>
      <c r="G205" s="254"/>
      <c r="H205" s="251"/>
    </row>
    <row r="206">
      <c r="A206" s="265"/>
      <c r="B206" s="247"/>
      <c r="C206" s="248"/>
      <c r="D206" s="331"/>
      <c r="F206" s="250"/>
      <c r="G206" s="254"/>
      <c r="H206" s="251"/>
    </row>
    <row r="207">
      <c r="A207" s="265"/>
      <c r="B207" s="247"/>
      <c r="C207" s="252"/>
      <c r="D207" s="331"/>
      <c r="F207" s="250"/>
      <c r="G207" s="254"/>
      <c r="H207" s="251"/>
    </row>
    <row r="208">
      <c r="A208" s="265"/>
      <c r="B208" s="247"/>
      <c r="C208" s="252"/>
      <c r="D208" s="822"/>
      <c r="F208" s="250"/>
      <c r="G208" s="254"/>
      <c r="H208" s="251"/>
    </row>
    <row r="209">
      <c r="A209" s="270"/>
      <c r="B209" s="247"/>
      <c r="C209" s="252"/>
      <c r="D209" s="331"/>
      <c r="F209" s="250"/>
      <c r="G209" s="254"/>
      <c r="H209" s="261"/>
    </row>
    <row r="210">
      <c r="A210" s="262">
        <v>16.0</v>
      </c>
      <c r="B210" s="239"/>
      <c r="C210" s="263">
        <f>31066.96+29767.59</f>
        <v>60834.55</v>
      </c>
      <c r="D210" s="821"/>
      <c r="E210" s="242"/>
      <c r="F210" s="243"/>
      <c r="G210" s="276" t="s">
        <v>71</v>
      </c>
      <c r="H210" s="245"/>
    </row>
    <row r="211">
      <c r="A211" s="265"/>
      <c r="B211" s="247">
        <v>8428.28</v>
      </c>
      <c r="C211" s="248"/>
      <c r="D211" s="331"/>
      <c r="F211" s="250"/>
      <c r="G211" s="254" t="s">
        <v>73</v>
      </c>
      <c r="H211" s="267"/>
    </row>
    <row r="212">
      <c r="A212" s="265"/>
      <c r="B212" s="247">
        <v>19835.51</v>
      </c>
      <c r="C212" s="252"/>
      <c r="D212" s="822"/>
      <c r="F212" s="250"/>
      <c r="G212" s="254" t="s">
        <v>74</v>
      </c>
      <c r="H212" s="251"/>
    </row>
    <row r="213">
      <c r="A213" s="265"/>
      <c r="B213" s="247">
        <v>23690.65</v>
      </c>
      <c r="C213" s="252"/>
      <c r="D213" s="822"/>
      <c r="F213" s="250"/>
      <c r="G213" s="254" t="s">
        <v>114</v>
      </c>
      <c r="H213" s="251"/>
    </row>
    <row r="214">
      <c r="A214" s="265"/>
      <c r="B214" s="247"/>
      <c r="C214" s="248"/>
      <c r="D214" s="331"/>
      <c r="F214" s="250">
        <v>8200.0</v>
      </c>
      <c r="G214" s="254" t="s">
        <v>2760</v>
      </c>
      <c r="H214" s="251"/>
    </row>
    <row r="215">
      <c r="A215" s="265"/>
      <c r="B215" s="247"/>
      <c r="C215" s="248"/>
      <c r="D215" s="331"/>
      <c r="F215" s="250"/>
      <c r="G215" s="254"/>
      <c r="H215" s="267">
        <v>27.0</v>
      </c>
      <c r="I215" s="2" t="s">
        <v>2761</v>
      </c>
    </row>
    <row r="216">
      <c r="A216" s="265"/>
      <c r="B216" s="268"/>
      <c r="C216" s="248"/>
      <c r="D216" s="331"/>
      <c r="F216" s="250"/>
      <c r="G216" s="254"/>
      <c r="H216" s="251"/>
    </row>
    <row r="217">
      <c r="A217" s="265"/>
      <c r="B217" s="247"/>
      <c r="C217" s="252"/>
      <c r="D217" s="331"/>
      <c r="F217" s="250"/>
      <c r="G217" s="254"/>
      <c r="H217" s="251"/>
    </row>
    <row r="218">
      <c r="A218" s="265"/>
      <c r="B218" s="268"/>
      <c r="C218" s="248"/>
      <c r="D218" s="331"/>
      <c r="F218" s="250"/>
      <c r="G218" s="254"/>
      <c r="H218" s="251"/>
    </row>
    <row r="219">
      <c r="A219" s="265"/>
      <c r="B219" s="247"/>
      <c r="C219" s="248"/>
      <c r="D219" s="822"/>
      <c r="F219" s="250"/>
      <c r="G219" s="254"/>
      <c r="H219" s="251"/>
    </row>
    <row r="220">
      <c r="A220" s="265"/>
      <c r="B220" s="268"/>
      <c r="C220" s="248"/>
      <c r="D220" s="822"/>
      <c r="F220" s="250"/>
      <c r="G220" s="269"/>
      <c r="H220" s="251"/>
    </row>
    <row r="221">
      <c r="A221" s="265"/>
      <c r="B221" s="247"/>
      <c r="C221" s="248"/>
      <c r="D221" s="822"/>
      <c r="F221" s="250"/>
      <c r="G221" s="269"/>
      <c r="H221" s="251"/>
    </row>
    <row r="222">
      <c r="A222" s="265"/>
      <c r="B222" s="278"/>
      <c r="C222" s="252"/>
      <c r="D222" s="822"/>
      <c r="F222" s="250"/>
      <c r="G222" s="269"/>
      <c r="H222" s="251"/>
    </row>
    <row r="223">
      <c r="A223" s="265"/>
      <c r="B223" s="278"/>
      <c r="C223" s="252"/>
      <c r="D223" s="822"/>
      <c r="F223" s="282"/>
      <c r="G223" s="269"/>
      <c r="H223" s="251"/>
    </row>
    <row r="224">
      <c r="A224" s="270"/>
      <c r="B224" s="271"/>
      <c r="C224" s="272"/>
      <c r="D224" s="823"/>
      <c r="E224" s="18"/>
      <c r="F224" s="274"/>
      <c r="G224" s="275"/>
      <c r="H224" s="261"/>
    </row>
    <row r="225">
      <c r="A225" s="262">
        <v>18.0</v>
      </c>
      <c r="B225" s="239"/>
      <c r="C225" s="263"/>
      <c r="D225" s="821"/>
      <c r="E225" s="242"/>
      <c r="F225" s="243">
        <v>2500.0</v>
      </c>
      <c r="G225" s="276" t="s">
        <v>101</v>
      </c>
      <c r="H225" s="245">
        <v>54.0</v>
      </c>
      <c r="I225" s="2" t="s">
        <v>2761</v>
      </c>
    </row>
    <row r="226">
      <c r="A226" s="265"/>
      <c r="B226" s="247"/>
      <c r="C226" s="248"/>
      <c r="D226" s="331"/>
      <c r="F226" s="250">
        <v>20700.0</v>
      </c>
      <c r="G226" s="254" t="s">
        <v>87</v>
      </c>
      <c r="H226" s="251"/>
    </row>
    <row r="227">
      <c r="A227" s="265"/>
      <c r="B227" s="247">
        <v>16900.0</v>
      </c>
      <c r="C227" s="252"/>
      <c r="D227" s="331"/>
      <c r="F227" s="250"/>
      <c r="G227" s="254" t="s">
        <v>122</v>
      </c>
      <c r="H227" s="251"/>
    </row>
    <row r="228">
      <c r="A228" s="265"/>
      <c r="B228" s="247">
        <v>6888.73</v>
      </c>
      <c r="C228" s="248"/>
      <c r="D228" s="331"/>
      <c r="F228" s="250"/>
      <c r="G228" s="254" t="s">
        <v>82</v>
      </c>
      <c r="H228" s="251"/>
    </row>
    <row r="229">
      <c r="A229" s="265"/>
      <c r="B229" s="247">
        <v>4066.0</v>
      </c>
      <c r="C229" s="252"/>
      <c r="D229" s="822"/>
      <c r="F229" s="250"/>
      <c r="G229" s="254" t="s">
        <v>2762</v>
      </c>
      <c r="H229" s="251"/>
    </row>
    <row r="230">
      <c r="A230" s="265"/>
      <c r="B230" s="247"/>
      <c r="C230" s="252"/>
      <c r="D230" s="822"/>
      <c r="F230" s="250"/>
      <c r="G230" s="254"/>
      <c r="H230" s="251"/>
    </row>
    <row r="231">
      <c r="A231" s="265"/>
      <c r="B231" s="247"/>
      <c r="C231" s="252"/>
      <c r="D231" s="822"/>
      <c r="F231" s="250"/>
      <c r="G231" s="254"/>
      <c r="H231" s="251"/>
    </row>
    <row r="232">
      <c r="A232" s="265"/>
      <c r="B232" s="247"/>
      <c r="C232" s="252"/>
      <c r="D232" s="822"/>
      <c r="F232" s="250"/>
      <c r="G232" s="254"/>
      <c r="H232" s="251"/>
    </row>
    <row r="233">
      <c r="A233" s="265"/>
      <c r="B233" s="247"/>
      <c r="C233" s="252"/>
      <c r="D233" s="331"/>
      <c r="F233" s="250"/>
      <c r="G233" s="254"/>
      <c r="H233" s="251"/>
    </row>
    <row r="234">
      <c r="A234" s="265"/>
      <c r="B234" s="278"/>
      <c r="C234" s="252"/>
      <c r="D234" s="822"/>
      <c r="F234" s="250"/>
      <c r="G234" s="254"/>
      <c r="H234" s="251"/>
    </row>
    <row r="235">
      <c r="A235" s="265"/>
      <c r="B235" s="278"/>
      <c r="C235" s="252"/>
      <c r="D235" s="822"/>
      <c r="F235" s="282"/>
      <c r="G235" s="269"/>
      <c r="H235" s="251"/>
    </row>
    <row r="236">
      <c r="A236" s="270"/>
      <c r="B236" s="271"/>
      <c r="C236" s="272"/>
      <c r="D236" s="823"/>
      <c r="E236" s="18"/>
      <c r="F236" s="274"/>
      <c r="G236" s="275"/>
      <c r="H236" s="261"/>
    </row>
    <row r="237">
      <c r="A237" s="262">
        <v>19.0</v>
      </c>
      <c r="B237" s="239">
        <v>17669.85</v>
      </c>
      <c r="C237" s="240"/>
      <c r="D237" s="821"/>
      <c r="E237" s="242"/>
      <c r="F237" s="243"/>
      <c r="G237" s="276" t="s">
        <v>91</v>
      </c>
      <c r="H237" s="307">
        <f>15+45</f>
        <v>60</v>
      </c>
      <c r="I237" s="2" t="s">
        <v>72</v>
      </c>
    </row>
    <row r="238">
      <c r="A238" s="265"/>
      <c r="B238" s="247">
        <v>16800.0</v>
      </c>
      <c r="C238" s="252"/>
      <c r="D238" s="331"/>
      <c r="F238" s="250"/>
      <c r="G238" s="254" t="s">
        <v>76</v>
      </c>
      <c r="H238" s="251"/>
    </row>
    <row r="239">
      <c r="A239" s="265"/>
      <c r="B239" s="247"/>
      <c r="C239" s="252"/>
      <c r="D239" s="331"/>
      <c r="F239" s="250">
        <v>1170.0</v>
      </c>
      <c r="G239" s="254" t="s">
        <v>97</v>
      </c>
      <c r="H239" s="251"/>
    </row>
    <row r="240">
      <c r="A240" s="265"/>
      <c r="B240" s="247">
        <v>8872.0</v>
      </c>
      <c r="C240" s="248"/>
      <c r="D240" s="822"/>
      <c r="F240" s="250"/>
      <c r="G240" s="254" t="s">
        <v>2763</v>
      </c>
      <c r="H240" s="251"/>
    </row>
    <row r="241">
      <c r="A241" s="265"/>
      <c r="B241" s="247">
        <v>5350.0</v>
      </c>
      <c r="C241" s="248"/>
      <c r="D241" s="822"/>
      <c r="F241" s="250"/>
      <c r="G241" s="254" t="s">
        <v>215</v>
      </c>
      <c r="H241" s="251"/>
    </row>
    <row r="242">
      <c r="A242" s="265"/>
      <c r="B242" s="247">
        <v>27261.57</v>
      </c>
      <c r="C242" s="248"/>
      <c r="D242" s="331"/>
      <c r="F242" s="250"/>
      <c r="G242" s="254" t="s">
        <v>2748</v>
      </c>
      <c r="H242" s="251"/>
    </row>
    <row r="243">
      <c r="A243" s="265"/>
      <c r="B243" s="247"/>
      <c r="C243" s="252"/>
      <c r="D243" s="822"/>
      <c r="F243" s="250"/>
      <c r="G243" s="254"/>
      <c r="H243" s="251"/>
    </row>
    <row r="244">
      <c r="A244" s="265"/>
      <c r="B244" s="247"/>
      <c r="C244" s="252"/>
      <c r="D244" s="822"/>
      <c r="F244" s="250"/>
      <c r="G244" s="254"/>
      <c r="H244" s="251"/>
    </row>
    <row r="245">
      <c r="A245" s="265"/>
      <c r="B245" s="247"/>
      <c r="C245" s="252"/>
      <c r="D245" s="822"/>
      <c r="F245" s="250"/>
      <c r="G245" s="254"/>
      <c r="H245" s="251"/>
    </row>
    <row r="246">
      <c r="A246" s="265"/>
      <c r="B246" s="247"/>
      <c r="C246" s="252"/>
      <c r="D246" s="822"/>
      <c r="F246" s="250"/>
      <c r="G246" s="254"/>
      <c r="H246" s="251"/>
    </row>
    <row r="247">
      <c r="A247" s="265"/>
      <c r="B247" s="268"/>
      <c r="C247" s="252"/>
      <c r="D247" s="822"/>
      <c r="F247" s="250"/>
      <c r="G247" s="254"/>
      <c r="H247" s="251"/>
    </row>
    <row r="248">
      <c r="A248" s="265"/>
      <c r="B248" s="277"/>
      <c r="C248" s="252"/>
      <c r="D248" s="822"/>
      <c r="F248" s="282"/>
      <c r="G248" s="269"/>
      <c r="H248" s="251"/>
    </row>
    <row r="249">
      <c r="A249" s="265"/>
      <c r="B249" s="278"/>
      <c r="C249" s="252"/>
      <c r="D249" s="822"/>
      <c r="F249" s="282"/>
      <c r="G249" s="269"/>
      <c r="H249" s="251"/>
    </row>
    <row r="250">
      <c r="A250" s="265"/>
      <c r="B250" s="278"/>
      <c r="C250" s="252"/>
      <c r="D250" s="822"/>
      <c r="F250" s="282"/>
      <c r="G250" s="269"/>
      <c r="H250" s="251"/>
    </row>
    <row r="251">
      <c r="A251" s="270"/>
      <c r="B251" s="271"/>
      <c r="C251" s="272"/>
      <c r="D251" s="823"/>
      <c r="E251" s="18"/>
      <c r="F251" s="274"/>
      <c r="G251" s="275"/>
      <c r="H251" s="261"/>
    </row>
    <row r="252">
      <c r="A252" s="262">
        <v>20.0</v>
      </c>
      <c r="B252" s="239"/>
      <c r="C252" s="263"/>
      <c r="D252" s="824"/>
      <c r="E252" s="242"/>
      <c r="F252" s="243">
        <v>6500.0</v>
      </c>
      <c r="G252" s="276" t="s">
        <v>2764</v>
      </c>
      <c r="H252" s="245">
        <v>58.0</v>
      </c>
      <c r="I252" s="2" t="s">
        <v>72</v>
      </c>
    </row>
    <row r="253">
      <c r="A253" s="265"/>
      <c r="B253" s="247"/>
      <c r="C253" s="252"/>
      <c r="D253" s="822"/>
      <c r="F253" s="250">
        <v>6700.0</v>
      </c>
      <c r="G253" s="254" t="s">
        <v>68</v>
      </c>
      <c r="H253" s="251"/>
    </row>
    <row r="254">
      <c r="A254" s="265"/>
      <c r="B254" s="247">
        <v>15440.0</v>
      </c>
      <c r="C254" s="252"/>
      <c r="D254" s="822"/>
      <c r="F254" s="250"/>
      <c r="G254" s="254" t="s">
        <v>75</v>
      </c>
      <c r="H254" s="251"/>
    </row>
    <row r="255">
      <c r="A255" s="265"/>
      <c r="B255" s="247">
        <v>9129.42</v>
      </c>
      <c r="C255" s="248"/>
      <c r="D255" s="822"/>
      <c r="F255" s="250"/>
      <c r="G255" s="254" t="s">
        <v>82</v>
      </c>
      <c r="H255" s="251"/>
    </row>
    <row r="256">
      <c r="A256" s="265"/>
      <c r="B256" s="247"/>
      <c r="C256" s="252"/>
      <c r="D256" s="822"/>
      <c r="F256" s="250">
        <v>500.0</v>
      </c>
      <c r="G256" s="254" t="s">
        <v>2765</v>
      </c>
      <c r="H256" s="267"/>
    </row>
    <row r="257">
      <c r="A257" s="265"/>
      <c r="B257" s="247">
        <v>13700.0</v>
      </c>
      <c r="C257" s="248"/>
      <c r="D257" s="822"/>
      <c r="F257" s="250"/>
      <c r="G257" s="254" t="s">
        <v>79</v>
      </c>
      <c r="H257" s="267"/>
    </row>
    <row r="258">
      <c r="A258" s="265"/>
      <c r="B258" s="247"/>
      <c r="C258" s="248"/>
      <c r="D258" s="822"/>
      <c r="F258" s="250"/>
      <c r="G258" s="254"/>
      <c r="H258" s="251"/>
    </row>
    <row r="259">
      <c r="A259" s="265"/>
      <c r="B259" s="247"/>
      <c r="C259" s="252"/>
      <c r="D259" s="822"/>
      <c r="F259" s="250"/>
      <c r="G259" s="254"/>
      <c r="H259" s="251"/>
    </row>
    <row r="260">
      <c r="A260" s="265"/>
      <c r="B260" s="247"/>
      <c r="C260" s="252"/>
      <c r="D260" s="822"/>
      <c r="F260" s="250"/>
      <c r="G260" s="254"/>
      <c r="H260" s="251"/>
    </row>
    <row r="261">
      <c r="A261" s="265"/>
      <c r="B261" s="247"/>
      <c r="C261" s="252"/>
      <c r="D261" s="822"/>
      <c r="F261" s="250"/>
      <c r="G261" s="254"/>
      <c r="H261" s="251"/>
    </row>
    <row r="262">
      <c r="A262" s="265"/>
      <c r="B262" s="278"/>
      <c r="C262" s="252"/>
      <c r="D262" s="822"/>
      <c r="F262" s="250"/>
      <c r="G262" s="254"/>
      <c r="H262" s="251"/>
    </row>
    <row r="263">
      <c r="A263" s="265"/>
      <c r="B263" s="278"/>
      <c r="C263" s="252"/>
      <c r="D263" s="822"/>
      <c r="F263" s="250"/>
      <c r="G263" s="269"/>
      <c r="H263" s="251"/>
    </row>
    <row r="264">
      <c r="A264" s="265"/>
      <c r="B264" s="278"/>
      <c r="C264" s="252"/>
      <c r="D264" s="822"/>
      <c r="F264" s="250"/>
      <c r="G264" s="269"/>
      <c r="H264" s="251"/>
    </row>
    <row r="265">
      <c r="A265" s="270"/>
      <c r="B265" s="271"/>
      <c r="C265" s="272"/>
      <c r="D265" s="823"/>
      <c r="E265" s="18"/>
      <c r="F265" s="274"/>
      <c r="G265" s="275"/>
      <c r="H265" s="261"/>
    </row>
    <row r="266">
      <c r="A266" s="262">
        <v>21.0</v>
      </c>
      <c r="B266" s="239"/>
      <c r="C266" s="263"/>
      <c r="D266" s="821"/>
      <c r="E266" s="242"/>
      <c r="F266" s="243">
        <v>6000.0</v>
      </c>
      <c r="G266" s="276" t="s">
        <v>2746</v>
      </c>
      <c r="H266" s="245">
        <v>40.0</v>
      </c>
      <c r="I266" s="2" t="s">
        <v>2761</v>
      </c>
    </row>
    <row r="267">
      <c r="A267" s="265"/>
      <c r="B267" s="247">
        <v>37700.0</v>
      </c>
      <c r="C267" s="248"/>
      <c r="D267" s="822"/>
      <c r="F267" s="250"/>
      <c r="G267" s="254" t="s">
        <v>92</v>
      </c>
      <c r="H267" s="251"/>
    </row>
    <row r="268">
      <c r="A268" s="265"/>
      <c r="B268" s="247"/>
      <c r="C268" s="252"/>
      <c r="D268" s="331"/>
      <c r="F268" s="250">
        <v>21000.0</v>
      </c>
      <c r="G268" s="254" t="s">
        <v>87</v>
      </c>
      <c r="H268" s="251"/>
    </row>
    <row r="269">
      <c r="A269" s="265"/>
      <c r="B269" s="247"/>
      <c r="C269" s="248"/>
      <c r="D269" s="331"/>
      <c r="F269" s="250">
        <v>1228.0</v>
      </c>
      <c r="G269" s="254" t="s">
        <v>97</v>
      </c>
      <c r="H269" s="251"/>
    </row>
    <row r="270">
      <c r="A270" s="265"/>
      <c r="B270" s="247"/>
      <c r="C270" s="248"/>
      <c r="D270" s="331"/>
      <c r="F270" s="250"/>
      <c r="G270" s="254"/>
      <c r="H270" s="251"/>
    </row>
    <row r="271">
      <c r="A271" s="265"/>
      <c r="B271" s="247"/>
      <c r="C271" s="248"/>
      <c r="D271" s="331"/>
      <c r="F271" s="250"/>
      <c r="G271" s="254"/>
      <c r="H271" s="251"/>
    </row>
    <row r="272">
      <c r="A272" s="265"/>
      <c r="B272" s="247"/>
      <c r="C272" s="252"/>
      <c r="D272" s="331"/>
      <c r="F272" s="250"/>
      <c r="G272" s="254"/>
      <c r="H272" s="251"/>
    </row>
    <row r="273">
      <c r="A273" s="265"/>
      <c r="B273" s="247"/>
      <c r="C273" s="252"/>
      <c r="D273" s="822"/>
      <c r="F273" s="250"/>
      <c r="G273" s="254"/>
      <c r="H273" s="251"/>
    </row>
    <row r="274">
      <c r="A274" s="265"/>
      <c r="B274" s="247"/>
      <c r="C274" s="252"/>
      <c r="D274" s="822"/>
      <c r="F274" s="250"/>
      <c r="G274" s="254"/>
      <c r="H274" s="251"/>
    </row>
    <row r="275">
      <c r="A275" s="265"/>
      <c r="B275" s="247"/>
      <c r="C275" s="252"/>
      <c r="D275" s="822"/>
      <c r="F275" s="250"/>
      <c r="G275" s="254"/>
      <c r="H275" s="251"/>
    </row>
    <row r="276">
      <c r="A276" s="265"/>
      <c r="B276" s="268"/>
      <c r="C276" s="252"/>
      <c r="D276" s="822"/>
      <c r="F276" s="250"/>
      <c r="G276" s="254"/>
      <c r="H276" s="267"/>
    </row>
    <row r="277">
      <c r="A277" s="265"/>
      <c r="B277" s="268"/>
      <c r="C277" s="252"/>
      <c r="D277" s="822"/>
      <c r="F277" s="250"/>
      <c r="G277" s="254"/>
      <c r="H277" s="251"/>
    </row>
    <row r="278">
      <c r="A278" s="265"/>
      <c r="B278" s="268"/>
      <c r="C278" s="252"/>
      <c r="D278" s="822"/>
      <c r="F278" s="250"/>
      <c r="G278" s="254"/>
      <c r="H278" s="251"/>
    </row>
    <row r="279">
      <c r="A279" s="270"/>
      <c r="B279" s="271"/>
      <c r="C279" s="272"/>
      <c r="D279" s="823"/>
      <c r="E279" s="18"/>
      <c r="F279" s="259"/>
      <c r="G279" s="260"/>
      <c r="H279" s="261"/>
    </row>
    <row r="280">
      <c r="A280" s="262">
        <v>22.0</v>
      </c>
      <c r="B280" s="239">
        <v>8817.23</v>
      </c>
      <c r="C280" s="263"/>
      <c r="D280" s="824"/>
      <c r="E280" s="244"/>
      <c r="F280" s="243"/>
      <c r="G280" s="276" t="s">
        <v>82</v>
      </c>
      <c r="H280" s="245"/>
    </row>
    <row r="281">
      <c r="A281" s="265"/>
      <c r="B281" s="247"/>
      <c r="C281" s="252"/>
      <c r="D281" s="331"/>
      <c r="F281" s="250">
        <v>910.5</v>
      </c>
      <c r="G281" s="254" t="s">
        <v>97</v>
      </c>
      <c r="H281" s="267">
        <v>10.0</v>
      </c>
      <c r="I281" s="2" t="s">
        <v>72</v>
      </c>
    </row>
    <row r="282">
      <c r="A282" s="265"/>
      <c r="B282" s="247">
        <v>8100.0</v>
      </c>
      <c r="C282" s="252"/>
      <c r="D282" s="822"/>
      <c r="F282" s="250"/>
      <c r="G282" s="254" t="s">
        <v>75</v>
      </c>
      <c r="H282" s="251"/>
    </row>
    <row r="283">
      <c r="A283" s="265"/>
      <c r="B283" s="247">
        <v>13650.0</v>
      </c>
      <c r="C283" s="248"/>
      <c r="D283" s="331"/>
      <c r="F283" s="250"/>
      <c r="G283" s="254" t="s">
        <v>2766</v>
      </c>
      <c r="H283" s="251"/>
    </row>
    <row r="284">
      <c r="A284" s="265"/>
      <c r="B284" s="247"/>
      <c r="C284" s="252"/>
      <c r="D284" s="331"/>
      <c r="F284" s="250"/>
      <c r="G284" s="254"/>
      <c r="H284" s="251"/>
    </row>
    <row r="285">
      <c r="A285" s="265"/>
      <c r="B285" s="247"/>
      <c r="C285" s="248"/>
      <c r="D285" s="331"/>
      <c r="F285" s="250"/>
      <c r="G285" s="254"/>
      <c r="H285" s="251"/>
    </row>
    <row r="286">
      <c r="A286" s="265"/>
      <c r="B286" s="247"/>
      <c r="C286" s="248">
        <v>79434.72</v>
      </c>
      <c r="D286" s="331"/>
      <c r="F286" s="250"/>
      <c r="G286" s="254" t="s">
        <v>2767</v>
      </c>
      <c r="H286" s="251"/>
    </row>
    <row r="287">
      <c r="A287" s="265"/>
      <c r="B287" s="247"/>
      <c r="C287" s="248">
        <v>79434.72</v>
      </c>
      <c r="D287" s="331"/>
      <c r="F287" s="250"/>
      <c r="G287" s="254" t="s">
        <v>2768</v>
      </c>
      <c r="H287" s="251"/>
    </row>
    <row r="288">
      <c r="A288" s="265"/>
      <c r="B288" s="247">
        <v>58624.5</v>
      </c>
      <c r="C288" s="252"/>
      <c r="D288" s="331"/>
      <c r="F288" s="250"/>
      <c r="G288" s="254" t="s">
        <v>167</v>
      </c>
      <c r="H288" s="251"/>
    </row>
    <row r="289">
      <c r="A289" s="265"/>
      <c r="B289" s="247"/>
      <c r="C289" s="252"/>
      <c r="D289" s="331"/>
      <c r="F289" s="250">
        <v>2500.0</v>
      </c>
      <c r="G289" s="254" t="s">
        <v>101</v>
      </c>
      <c r="H289" s="251"/>
    </row>
    <row r="290">
      <c r="A290" s="265"/>
      <c r="B290" s="247">
        <v>5350.0</v>
      </c>
      <c r="C290" s="252"/>
      <c r="D290" s="822"/>
      <c r="F290" s="250"/>
      <c r="G290" s="254" t="s">
        <v>344</v>
      </c>
      <c r="H290" s="251"/>
    </row>
    <row r="291">
      <c r="A291" s="265"/>
      <c r="B291" s="268"/>
      <c r="C291" s="252"/>
      <c r="D291" s="822"/>
      <c r="F291" s="250"/>
      <c r="G291" s="269"/>
      <c r="H291" s="251"/>
    </row>
    <row r="292">
      <c r="A292" s="270"/>
      <c r="B292" s="271"/>
      <c r="C292" s="272"/>
      <c r="D292" s="823"/>
      <c r="E292" s="18"/>
      <c r="F292" s="259"/>
      <c r="G292" s="260"/>
      <c r="H292" s="261"/>
    </row>
    <row r="293">
      <c r="A293" s="262">
        <v>23.0</v>
      </c>
      <c r="B293" s="239"/>
      <c r="C293" s="263"/>
      <c r="D293" s="821">
        <v>33370.91</v>
      </c>
      <c r="E293" s="244"/>
      <c r="F293" s="243"/>
      <c r="G293" s="276" t="s">
        <v>73</v>
      </c>
      <c r="H293" s="245">
        <v>40.0</v>
      </c>
      <c r="I293" s="2" t="s">
        <v>72</v>
      </c>
    </row>
    <row r="294">
      <c r="A294" s="265"/>
      <c r="B294" s="247"/>
      <c r="C294" s="252"/>
      <c r="D294" s="331">
        <v>17281.4</v>
      </c>
      <c r="F294" s="250"/>
      <c r="G294" s="254" t="s">
        <v>74</v>
      </c>
      <c r="H294" s="251"/>
    </row>
    <row r="295">
      <c r="A295" s="265"/>
      <c r="B295" s="247"/>
      <c r="C295" s="252"/>
      <c r="D295" s="331">
        <v>26117.0</v>
      </c>
      <c r="F295" s="250"/>
      <c r="G295" s="254" t="s">
        <v>114</v>
      </c>
      <c r="H295" s="251"/>
    </row>
    <row r="296">
      <c r="A296" s="265"/>
      <c r="B296" s="247"/>
      <c r="C296" s="248"/>
      <c r="D296" s="331"/>
      <c r="F296" s="250">
        <v>3000.0</v>
      </c>
      <c r="G296" s="254" t="s">
        <v>2769</v>
      </c>
      <c r="H296" s="251"/>
    </row>
    <row r="297">
      <c r="A297" s="265"/>
      <c r="B297" s="247"/>
      <c r="C297" s="252"/>
      <c r="D297" s="331"/>
      <c r="F297" s="250">
        <v>600.0</v>
      </c>
      <c r="G297" s="254" t="s">
        <v>2770</v>
      </c>
      <c r="H297" s="251"/>
    </row>
    <row r="298">
      <c r="A298" s="265"/>
      <c r="B298" s="247"/>
      <c r="C298" s="248"/>
      <c r="D298" s="331"/>
      <c r="F298" s="250">
        <v>8600.0</v>
      </c>
      <c r="G298" s="254" t="s">
        <v>2669</v>
      </c>
      <c r="H298" s="251"/>
    </row>
    <row r="299">
      <c r="A299" s="265"/>
      <c r="B299" s="247"/>
      <c r="C299" s="248"/>
      <c r="D299" s="331"/>
      <c r="F299" s="250">
        <v>6700.0</v>
      </c>
      <c r="G299" s="254" t="s">
        <v>68</v>
      </c>
      <c r="H299" s="251"/>
    </row>
    <row r="300">
      <c r="A300" s="265"/>
      <c r="B300" s="247"/>
      <c r="C300" s="248"/>
      <c r="D300" s="331"/>
      <c r="F300" s="250">
        <v>1800.0</v>
      </c>
      <c r="G300" s="254" t="s">
        <v>2771</v>
      </c>
      <c r="H300" s="251"/>
    </row>
    <row r="301">
      <c r="A301" s="265"/>
      <c r="B301" s="247">
        <v>5940.0</v>
      </c>
      <c r="C301" s="252"/>
      <c r="D301" s="331"/>
      <c r="F301" s="250"/>
      <c r="G301" s="254" t="s">
        <v>81</v>
      </c>
      <c r="H301" s="251"/>
    </row>
    <row r="302">
      <c r="A302" s="265"/>
      <c r="B302" s="247">
        <v>40000.0</v>
      </c>
      <c r="C302" s="252"/>
      <c r="D302" s="331"/>
      <c r="F302" s="250"/>
      <c r="G302" s="254" t="s">
        <v>453</v>
      </c>
      <c r="H302" s="251"/>
    </row>
    <row r="303">
      <c r="A303" s="265"/>
      <c r="B303" s="247"/>
      <c r="C303" s="252"/>
      <c r="D303" s="822"/>
      <c r="F303" s="250"/>
      <c r="G303" s="254"/>
      <c r="H303" s="251"/>
    </row>
    <row r="304">
      <c r="A304" s="265"/>
      <c r="B304" s="268"/>
      <c r="C304" s="252"/>
      <c r="D304" s="822"/>
      <c r="F304" s="250"/>
      <c r="G304" s="269"/>
      <c r="H304" s="251"/>
    </row>
    <row r="305">
      <c r="A305" s="265"/>
      <c r="B305" s="268"/>
      <c r="C305" s="252"/>
      <c r="D305" s="822"/>
      <c r="F305" s="250"/>
      <c r="G305" s="269"/>
      <c r="H305" s="251"/>
    </row>
    <row r="306">
      <c r="A306" s="270"/>
      <c r="B306" s="271"/>
      <c r="C306" s="272"/>
      <c r="D306" s="823"/>
      <c r="E306" s="18"/>
      <c r="F306" s="274"/>
      <c r="G306" s="275"/>
      <c r="H306" s="261"/>
    </row>
    <row r="307">
      <c r="A307" s="262">
        <v>25.0</v>
      </c>
      <c r="B307" s="239">
        <v>15240.0</v>
      </c>
      <c r="C307" s="263"/>
      <c r="D307" s="824"/>
      <c r="E307" s="242"/>
      <c r="F307" s="243"/>
      <c r="G307" s="276" t="s">
        <v>75</v>
      </c>
      <c r="H307" s="245">
        <v>17.0</v>
      </c>
      <c r="I307" s="2" t="s">
        <v>2761</v>
      </c>
    </row>
    <row r="308">
      <c r="A308" s="265"/>
      <c r="B308" s="247"/>
      <c r="C308" s="248"/>
      <c r="D308" s="822"/>
      <c r="F308" s="250">
        <v>224.0</v>
      </c>
      <c r="G308" s="254" t="s">
        <v>97</v>
      </c>
      <c r="H308" s="251"/>
    </row>
    <row r="309">
      <c r="A309" s="265"/>
      <c r="B309" s="247"/>
      <c r="C309" s="248"/>
      <c r="D309" s="822"/>
      <c r="F309" s="250">
        <v>990.0</v>
      </c>
      <c r="G309" s="254" t="s">
        <v>549</v>
      </c>
      <c r="H309" s="251"/>
    </row>
    <row r="310">
      <c r="A310" s="265"/>
      <c r="B310" s="247">
        <v>8685.72</v>
      </c>
      <c r="C310" s="248"/>
      <c r="D310" s="822"/>
      <c r="F310" s="250"/>
      <c r="G310" s="254" t="s">
        <v>82</v>
      </c>
      <c r="H310" s="251"/>
    </row>
    <row r="311">
      <c r="A311" s="265"/>
      <c r="B311" s="247"/>
      <c r="C311" s="252"/>
      <c r="D311" s="822"/>
      <c r="E311" s="2">
        <v>12928.0</v>
      </c>
      <c r="F311" s="250"/>
      <c r="G311" s="254" t="s">
        <v>549</v>
      </c>
      <c r="H311" s="251"/>
    </row>
    <row r="312">
      <c r="A312" s="265"/>
      <c r="B312" s="247"/>
      <c r="C312" s="248"/>
      <c r="D312" s="331">
        <v>820.0</v>
      </c>
      <c r="F312" s="250"/>
      <c r="G312" s="254" t="s">
        <v>2772</v>
      </c>
      <c r="H312" s="251"/>
    </row>
    <row r="313">
      <c r="A313" s="265"/>
      <c r="B313" s="247"/>
      <c r="C313" s="248">
        <v>41256.55</v>
      </c>
      <c r="D313" s="822"/>
      <c r="F313" s="250"/>
      <c r="G313" s="254" t="s">
        <v>71</v>
      </c>
      <c r="H313" s="251"/>
    </row>
    <row r="314">
      <c r="A314" s="265"/>
      <c r="B314" s="247"/>
      <c r="C314" s="252"/>
      <c r="D314" s="822"/>
      <c r="F314" s="250"/>
      <c r="G314" s="254"/>
      <c r="H314" s="251"/>
    </row>
    <row r="315">
      <c r="A315" s="265"/>
      <c r="B315" s="247"/>
      <c r="C315" s="252"/>
      <c r="D315" s="822"/>
      <c r="F315" s="250"/>
      <c r="G315" s="254"/>
      <c r="H315" s="251"/>
    </row>
    <row r="316">
      <c r="A316" s="265"/>
      <c r="B316" s="268"/>
      <c r="C316" s="252"/>
      <c r="D316" s="822"/>
      <c r="F316" s="250"/>
      <c r="G316" s="254"/>
      <c r="H316" s="251"/>
    </row>
    <row r="317">
      <c r="A317" s="265"/>
      <c r="B317" s="268"/>
      <c r="C317" s="252"/>
      <c r="D317" s="822"/>
      <c r="F317" s="250"/>
      <c r="G317" s="254"/>
      <c r="H317" s="251"/>
    </row>
    <row r="318">
      <c r="A318" s="265"/>
      <c r="B318" s="268"/>
      <c r="C318" s="252"/>
      <c r="D318" s="822"/>
      <c r="F318" s="250"/>
      <c r="G318" s="269"/>
      <c r="H318" s="251"/>
    </row>
    <row r="319">
      <c r="A319" s="265"/>
      <c r="B319" s="268"/>
      <c r="C319" s="252"/>
      <c r="D319" s="822"/>
      <c r="F319" s="250"/>
      <c r="G319" s="269"/>
      <c r="H319" s="251"/>
    </row>
    <row r="320">
      <c r="A320" s="265"/>
      <c r="B320" s="268"/>
      <c r="C320" s="252"/>
      <c r="D320" s="822"/>
      <c r="F320" s="250"/>
      <c r="G320" s="269"/>
      <c r="H320" s="251"/>
    </row>
    <row r="321">
      <c r="A321" s="270"/>
      <c r="B321" s="271"/>
      <c r="C321" s="272"/>
      <c r="D321" s="823"/>
      <c r="E321" s="18"/>
      <c r="F321" s="274"/>
      <c r="G321" s="275"/>
      <c r="H321" s="261"/>
    </row>
    <row r="322">
      <c r="A322" s="262">
        <v>26.0</v>
      </c>
      <c r="B322" s="239"/>
      <c r="C322" s="240"/>
      <c r="D322" s="821"/>
      <c r="E322" s="242"/>
      <c r="F322" s="250">
        <v>21000.0</v>
      </c>
      <c r="G322" s="254" t="s">
        <v>87</v>
      </c>
      <c r="H322" s="245">
        <v>70.0</v>
      </c>
      <c r="I322" s="2" t="s">
        <v>72</v>
      </c>
    </row>
    <row r="323">
      <c r="A323" s="265"/>
      <c r="B323" s="247"/>
      <c r="C323" s="252"/>
      <c r="D323" s="822"/>
      <c r="F323" s="250">
        <v>1261.0</v>
      </c>
      <c r="G323" s="254" t="s">
        <v>97</v>
      </c>
      <c r="H323" s="251"/>
    </row>
    <row r="324">
      <c r="A324" s="265"/>
      <c r="B324" s="247"/>
      <c r="C324" s="248"/>
      <c r="D324" s="331">
        <v>23999.14</v>
      </c>
      <c r="F324" s="250"/>
      <c r="G324" s="254" t="s">
        <v>77</v>
      </c>
      <c r="H324" s="251"/>
    </row>
    <row r="325">
      <c r="A325" s="265"/>
      <c r="B325" s="247"/>
      <c r="C325" s="248"/>
      <c r="D325" s="331">
        <v>17600.0</v>
      </c>
      <c r="F325" s="250"/>
      <c r="G325" s="254" t="s">
        <v>76</v>
      </c>
      <c r="H325" s="251"/>
    </row>
    <row r="326">
      <c r="A326" s="265"/>
      <c r="B326" s="247"/>
      <c r="C326" s="252"/>
      <c r="D326" s="331">
        <v>16900.0</v>
      </c>
      <c r="F326" s="250"/>
      <c r="G326" s="254" t="s">
        <v>122</v>
      </c>
      <c r="H326" s="251"/>
    </row>
    <row r="327">
      <c r="A327" s="265"/>
      <c r="B327" s="247"/>
      <c r="C327" s="252"/>
      <c r="D327" s="331">
        <v>18011.3</v>
      </c>
      <c r="F327" s="250"/>
      <c r="G327" s="254" t="s">
        <v>2773</v>
      </c>
      <c r="H327" s="251"/>
    </row>
    <row r="328">
      <c r="A328" s="265"/>
      <c r="B328" s="247"/>
      <c r="C328" s="252"/>
      <c r="D328" s="331"/>
      <c r="F328" s="250"/>
      <c r="G328" s="254"/>
      <c r="H328" s="251"/>
    </row>
    <row r="329">
      <c r="A329" s="265"/>
      <c r="B329" s="247"/>
      <c r="C329" s="252"/>
      <c r="D329" s="822"/>
      <c r="F329" s="250"/>
      <c r="G329" s="254"/>
      <c r="H329" s="251"/>
    </row>
    <row r="330">
      <c r="A330" s="265"/>
      <c r="B330" s="268"/>
      <c r="C330" s="252"/>
      <c r="D330" s="822"/>
      <c r="F330" s="250"/>
      <c r="G330" s="254"/>
      <c r="H330" s="251"/>
    </row>
    <row r="331">
      <c r="A331" s="265"/>
      <c r="B331" s="268"/>
      <c r="C331" s="252"/>
      <c r="D331" s="822"/>
      <c r="F331" s="250"/>
      <c r="G331" s="254"/>
      <c r="H331" s="251"/>
    </row>
    <row r="332">
      <c r="A332" s="265"/>
      <c r="B332" s="268"/>
      <c r="C332" s="252"/>
      <c r="D332" s="822"/>
      <c r="F332" s="250"/>
      <c r="G332" s="254"/>
      <c r="H332" s="251"/>
    </row>
    <row r="333">
      <c r="A333" s="265"/>
      <c r="B333" s="247"/>
      <c r="C333" s="252"/>
      <c r="D333" s="822"/>
      <c r="F333" s="250"/>
      <c r="G333" s="269"/>
      <c r="H333" s="251"/>
    </row>
    <row r="334">
      <c r="A334" s="265"/>
      <c r="B334" s="268"/>
      <c r="C334" s="252"/>
      <c r="D334" s="822"/>
      <c r="F334" s="250"/>
      <c r="G334" s="269"/>
      <c r="H334" s="251"/>
    </row>
    <row r="335">
      <c r="A335" s="265"/>
      <c r="B335" s="268"/>
      <c r="C335" s="252"/>
      <c r="D335" s="822"/>
      <c r="F335" s="250"/>
      <c r="G335" s="269"/>
      <c r="H335" s="251"/>
    </row>
    <row r="336">
      <c r="A336" s="270"/>
      <c r="B336" s="271"/>
      <c r="C336" s="272"/>
      <c r="D336" s="823"/>
      <c r="E336" s="18"/>
      <c r="F336" s="274"/>
      <c r="G336" s="18"/>
      <c r="H336" s="261"/>
    </row>
    <row r="337">
      <c r="A337" s="262">
        <v>27.0</v>
      </c>
      <c r="B337" s="239"/>
      <c r="C337" s="263">
        <v>24414.12</v>
      </c>
      <c r="D337" s="824"/>
      <c r="E337" s="242"/>
      <c r="F337" s="243"/>
      <c r="G337" s="244" t="s">
        <v>84</v>
      </c>
      <c r="H337" s="245">
        <v>20.0</v>
      </c>
      <c r="I337" s="2" t="s">
        <v>72</v>
      </c>
      <c r="J337" s="2" t="s">
        <v>2731</v>
      </c>
    </row>
    <row r="338">
      <c r="A338" s="265"/>
      <c r="B338" s="247">
        <v>4100.0</v>
      </c>
      <c r="C338" s="248"/>
      <c r="D338" s="331"/>
      <c r="F338" s="250"/>
      <c r="G338" s="2" t="s">
        <v>75</v>
      </c>
      <c r="H338" s="251"/>
    </row>
    <row r="339">
      <c r="A339" s="265"/>
      <c r="B339" s="268"/>
      <c r="C339" s="248"/>
      <c r="D339" s="331"/>
      <c r="F339" s="250">
        <v>120.0</v>
      </c>
      <c r="G339" s="2" t="s">
        <v>552</v>
      </c>
      <c r="H339" s="251"/>
    </row>
    <row r="340">
      <c r="A340" s="265"/>
      <c r="B340" s="247">
        <v>7129.68</v>
      </c>
      <c r="C340" s="252"/>
      <c r="D340" s="822"/>
      <c r="F340" s="250"/>
      <c r="G340" s="2" t="s">
        <v>82</v>
      </c>
      <c r="H340" s="251"/>
    </row>
    <row r="341">
      <c r="A341" s="265"/>
      <c r="B341" s="247"/>
      <c r="C341" s="248"/>
      <c r="D341" s="331"/>
      <c r="E341" s="2">
        <v>29580.0</v>
      </c>
      <c r="F341" s="250"/>
      <c r="G341" s="2" t="s">
        <v>2774</v>
      </c>
      <c r="H341" s="251"/>
    </row>
    <row r="342">
      <c r="A342" s="265"/>
      <c r="B342" s="247"/>
      <c r="C342" s="252"/>
      <c r="D342" s="331"/>
      <c r="F342" s="250"/>
      <c r="H342" s="251"/>
    </row>
    <row r="343">
      <c r="A343" s="265"/>
      <c r="B343" s="247"/>
      <c r="C343" s="252"/>
      <c r="D343" s="331"/>
      <c r="F343" s="250"/>
      <c r="H343" s="251"/>
    </row>
    <row r="344">
      <c r="A344" s="265"/>
      <c r="B344" s="247"/>
      <c r="C344" s="252"/>
      <c r="D344" s="822"/>
      <c r="F344" s="250"/>
      <c r="H344" s="251"/>
    </row>
    <row r="345">
      <c r="A345" s="265"/>
      <c r="B345" s="247"/>
      <c r="C345" s="252"/>
      <c r="D345" s="331"/>
      <c r="F345" s="250"/>
      <c r="H345" s="251"/>
    </row>
    <row r="346">
      <c r="A346" s="265"/>
      <c r="B346" s="247"/>
      <c r="C346" s="252"/>
      <c r="D346" s="822"/>
      <c r="F346" s="250"/>
      <c r="H346" s="251"/>
    </row>
    <row r="347">
      <c r="A347" s="265"/>
      <c r="B347" s="247"/>
      <c r="C347" s="252"/>
      <c r="D347" s="822"/>
      <c r="F347" s="250"/>
      <c r="H347" s="251"/>
    </row>
    <row r="348">
      <c r="A348" s="265"/>
      <c r="B348" s="247"/>
      <c r="C348" s="252"/>
      <c r="D348" s="331"/>
      <c r="F348" s="250"/>
      <c r="H348" s="251"/>
    </row>
    <row r="349">
      <c r="A349" s="270"/>
      <c r="B349" s="271"/>
      <c r="C349" s="272"/>
      <c r="D349" s="823"/>
      <c r="E349" s="18"/>
      <c r="F349" s="259"/>
      <c r="G349" s="293"/>
      <c r="H349" s="261"/>
    </row>
    <row r="350">
      <c r="A350" s="262">
        <v>28.0</v>
      </c>
      <c r="B350" s="306"/>
      <c r="C350" s="263"/>
      <c r="D350" s="824"/>
      <c r="E350" s="242"/>
      <c r="F350" s="243">
        <v>1750.0</v>
      </c>
      <c r="G350" s="244" t="s">
        <v>2543</v>
      </c>
      <c r="H350" s="245">
        <v>62.0</v>
      </c>
      <c r="I350" s="2" t="s">
        <v>107</v>
      </c>
    </row>
    <row r="351">
      <c r="A351" s="265"/>
      <c r="B351" s="247"/>
      <c r="C351" s="248"/>
      <c r="D351" s="331">
        <v>44946.7</v>
      </c>
      <c r="F351" s="250"/>
      <c r="G351" s="2" t="s">
        <v>100</v>
      </c>
      <c r="H351" s="251"/>
    </row>
    <row r="352">
      <c r="A352" s="265"/>
      <c r="B352" s="247"/>
      <c r="C352" s="252"/>
      <c r="D352" s="331">
        <v>100672.0</v>
      </c>
      <c r="F352" s="250"/>
      <c r="G352" s="2" t="s">
        <v>235</v>
      </c>
      <c r="H352" s="251"/>
    </row>
    <row r="353">
      <c r="A353" s="265"/>
      <c r="B353" s="247"/>
      <c r="C353" s="248"/>
      <c r="D353" s="331"/>
      <c r="F353" s="250">
        <v>3300.0</v>
      </c>
      <c r="G353" s="2" t="s">
        <v>1415</v>
      </c>
      <c r="H353" s="251"/>
    </row>
    <row r="354">
      <c r="A354" s="265"/>
      <c r="B354" s="247">
        <v>5981.0</v>
      </c>
      <c r="C354" s="252"/>
      <c r="D354" s="331"/>
      <c r="F354" s="250"/>
      <c r="G354" s="2" t="s">
        <v>344</v>
      </c>
      <c r="H354" s="251"/>
    </row>
    <row r="355">
      <c r="A355" s="265"/>
      <c r="B355" s="247"/>
      <c r="C355" s="252"/>
      <c r="D355" s="822"/>
      <c r="F355" s="250">
        <v>9200.0</v>
      </c>
      <c r="G355" s="2" t="s">
        <v>128</v>
      </c>
      <c r="H355" s="251"/>
    </row>
    <row r="356">
      <c r="A356" s="265"/>
      <c r="B356" s="247"/>
      <c r="C356" s="252"/>
      <c r="D356" s="331"/>
      <c r="F356" s="250">
        <v>6700.0</v>
      </c>
      <c r="G356" s="2" t="s">
        <v>68</v>
      </c>
      <c r="H356" s="251"/>
    </row>
    <row r="357">
      <c r="A357" s="265"/>
      <c r="B357" s="247">
        <v>13700.0</v>
      </c>
      <c r="C357" s="252"/>
      <c r="D357" s="331"/>
      <c r="F357" s="250"/>
      <c r="G357" s="2" t="s">
        <v>79</v>
      </c>
      <c r="H357" s="251"/>
    </row>
    <row r="358">
      <c r="A358" s="265"/>
      <c r="B358" s="247">
        <v>10353.0</v>
      </c>
      <c r="C358" s="252"/>
      <c r="D358" s="822"/>
      <c r="F358" s="250"/>
      <c r="G358" s="2" t="s">
        <v>787</v>
      </c>
      <c r="H358" s="251"/>
    </row>
    <row r="359">
      <c r="A359" s="265"/>
      <c r="B359" s="247">
        <v>5133.0</v>
      </c>
      <c r="C359" s="252"/>
      <c r="D359" s="822"/>
      <c r="F359" s="250"/>
      <c r="G359" s="2" t="s">
        <v>2649</v>
      </c>
      <c r="H359" s="251"/>
    </row>
    <row r="360">
      <c r="A360" s="265"/>
      <c r="B360" s="268"/>
      <c r="C360" s="252"/>
      <c r="D360" s="822"/>
      <c r="F360" s="250"/>
      <c r="H360" s="251"/>
    </row>
    <row r="361">
      <c r="A361" s="265"/>
      <c r="B361" s="247"/>
      <c r="C361" s="252"/>
      <c r="D361" s="822"/>
      <c r="F361" s="250"/>
      <c r="H361" s="251"/>
    </row>
    <row r="362">
      <c r="A362" s="265"/>
      <c r="B362" s="268"/>
      <c r="C362" s="252"/>
      <c r="D362" s="822"/>
      <c r="F362" s="250"/>
      <c r="H362" s="251"/>
    </row>
    <row r="363">
      <c r="A363" s="265"/>
      <c r="B363" s="268"/>
      <c r="C363" s="252"/>
      <c r="D363" s="822"/>
      <c r="F363" s="250"/>
      <c r="H363" s="251"/>
    </row>
    <row r="364">
      <c r="A364" s="265"/>
      <c r="B364" s="268"/>
      <c r="C364" s="252"/>
      <c r="D364" s="822"/>
      <c r="F364" s="250"/>
      <c r="H364" s="251"/>
    </row>
    <row r="365">
      <c r="A365" s="265"/>
      <c r="B365" s="268"/>
      <c r="C365" s="252"/>
      <c r="D365" s="822"/>
      <c r="F365" s="250"/>
      <c r="H365" s="251"/>
    </row>
    <row r="366">
      <c r="A366" s="265"/>
      <c r="B366" s="268"/>
      <c r="C366" s="252"/>
      <c r="D366" s="822"/>
      <c r="F366" s="250"/>
      <c r="H366" s="251"/>
    </row>
    <row r="367">
      <c r="A367" s="270"/>
      <c r="B367" s="271"/>
      <c r="C367" s="272"/>
      <c r="D367" s="823"/>
      <c r="E367" s="18"/>
      <c r="F367" s="274"/>
      <c r="G367" s="18"/>
      <c r="H367" s="261"/>
    </row>
    <row r="368">
      <c r="A368" s="262">
        <v>29.0</v>
      </c>
      <c r="B368" s="306"/>
      <c r="C368" s="240"/>
      <c r="D368" s="824"/>
      <c r="E368" s="242"/>
      <c r="F368" s="243">
        <v>2127.0</v>
      </c>
      <c r="G368" s="244" t="s">
        <v>94</v>
      </c>
      <c r="H368" s="245"/>
      <c r="I368" s="2" t="s">
        <v>292</v>
      </c>
    </row>
    <row r="369">
      <c r="A369" s="265"/>
      <c r="B369" s="247"/>
      <c r="C369" s="248"/>
      <c r="D369" s="822"/>
      <c r="F369" s="250">
        <v>11000.0</v>
      </c>
      <c r="G369" s="2" t="s">
        <v>2534</v>
      </c>
      <c r="H369" s="267">
        <v>16.0</v>
      </c>
      <c r="I369" s="2" t="s">
        <v>72</v>
      </c>
    </row>
    <row r="370">
      <c r="A370" s="265"/>
      <c r="B370" s="247"/>
      <c r="C370" s="252"/>
      <c r="D370" s="822"/>
      <c r="F370" s="250">
        <f>316+2025.7</f>
        <v>2341.7</v>
      </c>
      <c r="G370" s="2" t="s">
        <v>97</v>
      </c>
      <c r="H370" s="251"/>
    </row>
    <row r="371">
      <c r="A371" s="265"/>
      <c r="B371" s="247">
        <v>7129.68</v>
      </c>
      <c r="C371" s="248"/>
      <c r="D371" s="331"/>
      <c r="F371" s="250"/>
      <c r="G371" s="2" t="s">
        <v>82</v>
      </c>
      <c r="H371" s="251"/>
    </row>
    <row r="372">
      <c r="A372" s="265"/>
      <c r="B372" s="247"/>
      <c r="C372" s="252"/>
      <c r="D372" s="331">
        <v>20691.0</v>
      </c>
      <c r="F372" s="250"/>
      <c r="G372" s="2" t="s">
        <v>2775</v>
      </c>
      <c r="H372" s="251"/>
    </row>
    <row r="373">
      <c r="A373" s="265"/>
      <c r="B373" s="247"/>
      <c r="C373" s="252"/>
      <c r="D373" s="822"/>
      <c r="F373" s="250">
        <v>6000.0</v>
      </c>
      <c r="G373" s="2" t="s">
        <v>1105</v>
      </c>
      <c r="H373" s="251"/>
    </row>
    <row r="374">
      <c r="A374" s="265"/>
      <c r="B374" s="247"/>
      <c r="C374" s="252"/>
      <c r="D374" s="822"/>
      <c r="F374" s="250">
        <v>18000.0</v>
      </c>
      <c r="G374" s="2" t="s">
        <v>1743</v>
      </c>
      <c r="H374" s="251"/>
    </row>
    <row r="375">
      <c r="A375" s="265"/>
      <c r="B375" s="268"/>
      <c r="C375" s="252"/>
      <c r="D375" s="331"/>
      <c r="F375" s="250">
        <v>11000.0</v>
      </c>
      <c r="G375" s="2" t="s">
        <v>2776</v>
      </c>
      <c r="H375" s="251"/>
    </row>
    <row r="376">
      <c r="A376" s="265"/>
      <c r="B376" s="268"/>
      <c r="C376" s="252"/>
      <c r="D376" s="822"/>
      <c r="F376" s="250">
        <v>10000.0</v>
      </c>
      <c r="G376" s="2" t="s">
        <v>2771</v>
      </c>
      <c r="H376" s="251"/>
    </row>
    <row r="377">
      <c r="A377" s="265"/>
      <c r="B377" s="247">
        <v>7125.0</v>
      </c>
      <c r="C377" s="252"/>
      <c r="D377" s="822"/>
      <c r="F377" s="250"/>
      <c r="G377" s="2" t="s">
        <v>118</v>
      </c>
      <c r="H377" s="251"/>
    </row>
    <row r="378">
      <c r="A378" s="265"/>
      <c r="B378" s="268"/>
      <c r="C378" s="252"/>
      <c r="D378" s="822"/>
      <c r="F378" s="250"/>
      <c r="H378" s="251"/>
    </row>
    <row r="379">
      <c r="A379" s="265"/>
      <c r="B379" s="247"/>
      <c r="C379" s="252"/>
      <c r="D379" s="822"/>
      <c r="F379" s="250"/>
      <c r="H379" s="251"/>
    </row>
    <row r="380">
      <c r="A380" s="265"/>
      <c r="B380" s="268"/>
      <c r="C380" s="252"/>
      <c r="D380" s="822"/>
      <c r="F380" s="250"/>
      <c r="H380" s="251"/>
    </row>
    <row r="381">
      <c r="A381" s="265"/>
      <c r="B381" s="268"/>
      <c r="C381" s="252"/>
      <c r="D381" s="822"/>
      <c r="F381" s="250"/>
      <c r="H381" s="251"/>
    </row>
    <row r="382">
      <c r="A382" s="265"/>
      <c r="B382" s="268"/>
      <c r="C382" s="252"/>
      <c r="D382" s="822"/>
      <c r="F382" s="250"/>
      <c r="H382" s="251"/>
    </row>
    <row r="383">
      <c r="A383" s="265"/>
      <c r="B383" s="268"/>
      <c r="C383" s="252"/>
      <c r="D383" s="822"/>
      <c r="F383" s="250"/>
      <c r="H383" s="251"/>
    </row>
    <row r="384">
      <c r="A384" s="265"/>
      <c r="B384" s="268"/>
      <c r="C384" s="252"/>
      <c r="D384" s="822"/>
      <c r="F384" s="250"/>
      <c r="H384" s="251"/>
    </row>
    <row r="385">
      <c r="A385" s="270"/>
      <c r="B385" s="271"/>
      <c r="C385" s="272"/>
      <c r="D385" s="823"/>
      <c r="E385" s="18"/>
      <c r="F385" s="274"/>
      <c r="G385" s="18"/>
      <c r="H385" s="261"/>
    </row>
    <row r="386">
      <c r="A386" s="262">
        <v>30.0</v>
      </c>
      <c r="B386" s="239"/>
      <c r="C386" s="240"/>
      <c r="D386" s="821"/>
      <c r="E386" s="242"/>
      <c r="F386" s="243">
        <v>2761.0</v>
      </c>
      <c r="G386" s="2" t="s">
        <v>97</v>
      </c>
      <c r="H386" s="245">
        <v>37.0</v>
      </c>
      <c r="I386" s="2" t="s">
        <v>2777</v>
      </c>
    </row>
    <row r="387">
      <c r="A387" s="265"/>
      <c r="B387" s="247">
        <v>3954.8</v>
      </c>
      <c r="C387" s="248"/>
      <c r="D387" s="300"/>
      <c r="F387" s="250"/>
      <c r="G387" s="2" t="s">
        <v>74</v>
      </c>
      <c r="H387" s="267"/>
    </row>
    <row r="388">
      <c r="A388" s="265"/>
      <c r="B388" s="247">
        <v>14357.46</v>
      </c>
      <c r="C388" s="248"/>
      <c r="D388" s="331"/>
      <c r="F388" s="250"/>
      <c r="G388" s="2" t="s">
        <v>73</v>
      </c>
      <c r="H388" s="267"/>
    </row>
    <row r="389">
      <c r="A389" s="265"/>
      <c r="B389" s="247">
        <v>19534.26</v>
      </c>
      <c r="C389" s="252"/>
      <c r="D389" s="331"/>
      <c r="F389" s="250"/>
      <c r="G389" s="2" t="s">
        <v>114</v>
      </c>
      <c r="H389" s="251"/>
    </row>
    <row r="390">
      <c r="A390" s="265"/>
      <c r="B390" s="268"/>
      <c r="C390" s="252"/>
      <c r="D390" s="822"/>
      <c r="F390" s="250">
        <v>2500.0</v>
      </c>
      <c r="G390" s="2" t="s">
        <v>101</v>
      </c>
      <c r="H390" s="294"/>
    </row>
    <row r="391">
      <c r="A391" s="265"/>
      <c r="B391" s="247"/>
      <c r="C391" s="252"/>
      <c r="D391" s="331"/>
      <c r="F391" s="250">
        <v>2000.0</v>
      </c>
      <c r="G391" s="2" t="s">
        <v>2778</v>
      </c>
      <c r="H391" s="251"/>
    </row>
    <row r="392">
      <c r="A392" s="265"/>
      <c r="B392" s="247"/>
      <c r="C392" s="252"/>
      <c r="D392" s="331"/>
      <c r="F392" s="250">
        <v>8800.0</v>
      </c>
      <c r="G392" s="2" t="s">
        <v>2760</v>
      </c>
      <c r="H392" s="251"/>
    </row>
    <row r="393">
      <c r="A393" s="265"/>
      <c r="B393" s="268"/>
      <c r="C393" s="252"/>
      <c r="D393" s="331"/>
      <c r="F393" s="250">
        <v>21000.0</v>
      </c>
      <c r="G393" s="2" t="s">
        <v>2602</v>
      </c>
      <c r="H393" s="267"/>
    </row>
    <row r="394">
      <c r="A394" s="265"/>
      <c r="B394" s="268"/>
      <c r="C394" s="252"/>
      <c r="D394" s="331"/>
      <c r="F394" s="250"/>
      <c r="H394" s="251"/>
    </row>
    <row r="395">
      <c r="A395" s="265"/>
      <c r="B395" s="247"/>
      <c r="C395" s="252"/>
      <c r="D395" s="331"/>
      <c r="F395" s="250"/>
      <c r="H395" s="267"/>
    </row>
    <row r="396">
      <c r="A396" s="270"/>
      <c r="B396" s="271">
        <f t="shared" ref="B396:D396" si="1">SUM(B2:B395)</f>
        <v>1009658.79</v>
      </c>
      <c r="C396" s="272">
        <f t="shared" si="1"/>
        <v>458366.23</v>
      </c>
      <c r="D396" s="812">
        <f t="shared" si="1"/>
        <v>462767.38</v>
      </c>
      <c r="E396" s="18"/>
      <c r="F396" s="274">
        <f>SUM(F2:F395)</f>
        <v>404278.8</v>
      </c>
      <c r="G396" s="293"/>
      <c r="H396" s="261"/>
      <c r="I396" s="826">
        <f>SUM(B396:H396)</f>
        <v>2335071.2</v>
      </c>
    </row>
    <row r="397">
      <c r="A397" s="262" t="s">
        <v>187</v>
      </c>
      <c r="B397" s="239"/>
      <c r="C397" s="240"/>
      <c r="D397" s="821">
        <v>18206.18</v>
      </c>
      <c r="E397" s="242"/>
      <c r="F397" s="243"/>
      <c r="G397" s="2" t="s">
        <v>188</v>
      </c>
      <c r="H397" s="307"/>
    </row>
    <row r="398">
      <c r="A398" s="265"/>
      <c r="B398" s="247"/>
      <c r="C398" s="248"/>
      <c r="D398" s="300">
        <v>19241.78</v>
      </c>
      <c r="F398" s="250"/>
      <c r="G398" s="2" t="s">
        <v>2779</v>
      </c>
      <c r="H398" s="267"/>
    </row>
    <row r="399">
      <c r="A399" s="265"/>
      <c r="B399" s="247"/>
      <c r="C399" s="248"/>
      <c r="D399" s="331">
        <v>1529.0</v>
      </c>
      <c r="F399" s="250"/>
      <c r="G399" s="2" t="s">
        <v>2284</v>
      </c>
      <c r="H399" s="267"/>
    </row>
    <row r="400">
      <c r="A400" s="265"/>
      <c r="B400" s="268"/>
      <c r="C400" s="252"/>
      <c r="D400" s="331">
        <v>66550.0</v>
      </c>
      <c r="F400" s="250"/>
      <c r="G400" s="2" t="s">
        <v>192</v>
      </c>
      <c r="H400" s="251"/>
    </row>
    <row r="401">
      <c r="A401" s="265"/>
      <c r="B401" s="268"/>
      <c r="C401" s="252"/>
      <c r="D401" s="822"/>
      <c r="F401" s="250">
        <v>29000.0</v>
      </c>
      <c r="G401" s="2" t="s">
        <v>193</v>
      </c>
      <c r="H401" s="294">
        <v>44771.0</v>
      </c>
    </row>
    <row r="402">
      <c r="A402" s="265"/>
      <c r="B402" s="247"/>
      <c r="C402" s="252"/>
      <c r="D402" s="331"/>
      <c r="F402" s="250"/>
      <c r="G402" s="2" t="s">
        <v>194</v>
      </c>
      <c r="H402" s="251"/>
    </row>
    <row r="403">
      <c r="A403" s="265"/>
      <c r="B403" s="247">
        <v>29000.0</v>
      </c>
      <c r="C403" s="252"/>
      <c r="D403" s="331"/>
      <c r="F403" s="250"/>
      <c r="G403" s="2" t="s">
        <v>196</v>
      </c>
      <c r="H403" s="251"/>
    </row>
    <row r="404">
      <c r="A404" s="265"/>
      <c r="B404" s="268"/>
      <c r="C404" s="252"/>
      <c r="D404" s="331">
        <v>4432.81</v>
      </c>
      <c r="F404" s="250"/>
      <c r="G404" s="2" t="s">
        <v>2285</v>
      </c>
      <c r="H404" s="251"/>
    </row>
    <row r="405">
      <c r="A405" s="265"/>
      <c r="B405" s="268"/>
      <c r="C405" s="252"/>
      <c r="D405" s="331">
        <v>6005.93</v>
      </c>
      <c r="F405" s="250"/>
      <c r="G405" s="2" t="s">
        <v>199</v>
      </c>
      <c r="H405" s="251"/>
    </row>
    <row r="406">
      <c r="A406" s="265"/>
      <c r="B406" s="247"/>
      <c r="C406" s="252"/>
      <c r="D406" s="331">
        <v>9983.63</v>
      </c>
      <c r="F406" s="250"/>
      <c r="G406" s="2" t="s">
        <v>200</v>
      </c>
      <c r="H406" s="267"/>
    </row>
    <row r="407">
      <c r="A407" s="270"/>
      <c r="B407" s="271"/>
      <c r="C407" s="272"/>
      <c r="D407" s="812"/>
      <c r="E407" s="18"/>
      <c r="F407" s="274"/>
      <c r="G407" s="293"/>
      <c r="H407" s="261"/>
    </row>
    <row r="408">
      <c r="A408" s="446"/>
      <c r="B408" s="271"/>
      <c r="C408" s="272"/>
      <c r="D408" s="823"/>
      <c r="E408" s="18"/>
      <c r="F408" s="274"/>
      <c r="G408" s="18"/>
      <c r="H408" s="261"/>
    </row>
    <row r="409">
      <c r="A409" s="303"/>
      <c r="B409" s="268"/>
      <c r="C409" s="252"/>
      <c r="D409" s="331"/>
      <c r="F409" s="250"/>
      <c r="H409" s="251"/>
    </row>
    <row r="410">
      <c r="A410" s="303"/>
      <c r="B410" s="268"/>
      <c r="C410" s="252"/>
      <c r="D410" s="822"/>
      <c r="F410" s="250"/>
      <c r="H410" s="251"/>
    </row>
    <row r="411">
      <c r="A411" s="303"/>
      <c r="B411" s="268"/>
      <c r="C411" s="252"/>
      <c r="D411" s="822"/>
      <c r="F411" s="250"/>
      <c r="H411" s="251"/>
    </row>
    <row r="412">
      <c r="A412" s="303"/>
      <c r="B412" s="268"/>
      <c r="C412" s="252"/>
      <c r="D412" s="822"/>
      <c r="F412" s="250"/>
      <c r="H412" s="251"/>
    </row>
    <row r="413">
      <c r="A413" s="303"/>
      <c r="B413" s="268"/>
      <c r="C413" s="252"/>
      <c r="D413" s="822"/>
      <c r="F413" s="250"/>
      <c r="H413" s="251"/>
    </row>
    <row r="414">
      <c r="A414" s="303"/>
      <c r="B414" s="268"/>
      <c r="C414" s="252"/>
      <c r="D414" s="822"/>
      <c r="F414" s="250"/>
      <c r="H414" s="251"/>
    </row>
    <row r="415">
      <c r="A415" s="304"/>
      <c r="B415" s="271"/>
      <c r="C415" s="272"/>
      <c r="D415" s="823"/>
      <c r="E415" s="18"/>
      <c r="F415" s="274"/>
      <c r="G415" s="18"/>
      <c r="H415" s="261"/>
    </row>
    <row r="416">
      <c r="A416" s="305"/>
      <c r="B416" s="306"/>
      <c r="C416" s="240"/>
      <c r="D416" s="824"/>
      <c r="E416" s="242"/>
      <c r="F416" s="243"/>
      <c r="G416" s="244"/>
      <c r="H416" s="307"/>
    </row>
    <row r="417">
      <c r="A417" s="265"/>
      <c r="B417" s="268"/>
      <c r="C417" s="252"/>
      <c r="D417" s="822"/>
      <c r="F417" s="250"/>
      <c r="H417" s="251"/>
    </row>
    <row r="418">
      <c r="A418" s="265"/>
      <c r="B418" s="268"/>
      <c r="C418" s="252"/>
      <c r="D418" s="822"/>
      <c r="F418" s="250"/>
      <c r="H418" s="251"/>
    </row>
    <row r="419">
      <c r="A419" s="265"/>
      <c r="B419" s="268"/>
      <c r="C419" s="252"/>
      <c r="D419" s="822"/>
      <c r="F419" s="250"/>
      <c r="H419" s="251"/>
    </row>
    <row r="420">
      <c r="A420" s="265"/>
      <c r="B420" s="268"/>
      <c r="C420" s="252"/>
      <c r="D420" s="822"/>
      <c r="F420" s="250"/>
      <c r="H420" s="251"/>
    </row>
    <row r="421">
      <c r="A421" s="265"/>
      <c r="B421" s="268"/>
      <c r="C421" s="252"/>
      <c r="D421" s="822"/>
      <c r="F421" s="250"/>
      <c r="H421" s="251"/>
    </row>
    <row r="422">
      <c r="A422" s="265"/>
      <c r="B422" s="268"/>
      <c r="C422" s="252"/>
      <c r="D422" s="822"/>
      <c r="F422" s="250"/>
      <c r="H422" s="251"/>
    </row>
    <row r="423">
      <c r="A423" s="265"/>
      <c r="B423" s="268"/>
      <c r="C423" s="252"/>
      <c r="D423" s="822"/>
      <c r="F423" s="250"/>
      <c r="H423" s="251"/>
    </row>
    <row r="424">
      <c r="A424" s="265"/>
      <c r="B424" s="268"/>
      <c r="C424" s="252"/>
      <c r="D424" s="822"/>
      <c r="F424" s="250"/>
      <c r="H424" s="251"/>
    </row>
    <row r="425">
      <c r="A425" s="270"/>
      <c r="B425" s="271"/>
      <c r="C425" s="272"/>
      <c r="D425" s="823"/>
      <c r="E425" s="18"/>
      <c r="F425" s="274"/>
      <c r="G425" s="18"/>
      <c r="H425" s="261"/>
    </row>
    <row r="426">
      <c r="A426" s="305"/>
      <c r="B426" s="306"/>
      <c r="C426" s="240"/>
      <c r="D426" s="824"/>
      <c r="E426" s="242"/>
      <c r="F426" s="243"/>
      <c r="G426" s="244"/>
      <c r="H426" s="307"/>
    </row>
    <row r="427">
      <c r="A427" s="265"/>
      <c r="B427" s="268"/>
      <c r="C427" s="252"/>
      <c r="D427" s="822"/>
      <c r="F427" s="250"/>
      <c r="H427" s="251"/>
    </row>
    <row r="428">
      <c r="A428" s="265"/>
      <c r="B428" s="268"/>
      <c r="C428" s="252"/>
      <c r="D428" s="822"/>
      <c r="F428" s="250"/>
      <c r="H428" s="251"/>
    </row>
    <row r="429">
      <c r="A429" s="265"/>
      <c r="B429" s="268"/>
      <c r="C429" s="252"/>
      <c r="D429" s="822"/>
      <c r="F429" s="250"/>
      <c r="H429" s="251"/>
    </row>
    <row r="430">
      <c r="A430" s="265"/>
      <c r="B430" s="268"/>
      <c r="C430" s="252"/>
      <c r="D430" s="822"/>
      <c r="F430" s="250"/>
      <c r="H430" s="251"/>
    </row>
    <row r="431">
      <c r="A431" s="265"/>
      <c r="B431" s="268"/>
      <c r="C431" s="252"/>
      <c r="D431" s="822"/>
      <c r="F431" s="250"/>
      <c r="H431" s="251"/>
    </row>
    <row r="432">
      <c r="A432" s="265"/>
      <c r="B432" s="268"/>
      <c r="C432" s="252"/>
      <c r="D432" s="822"/>
      <c r="F432" s="250"/>
      <c r="H432" s="251"/>
    </row>
    <row r="433">
      <c r="A433" s="265"/>
      <c r="B433" s="268"/>
      <c r="C433" s="252"/>
      <c r="D433" s="822"/>
      <c r="F433" s="250"/>
      <c r="H433" s="251"/>
    </row>
    <row r="434">
      <c r="A434" s="265"/>
      <c r="B434" s="268"/>
      <c r="C434" s="252"/>
      <c r="D434" s="822"/>
      <c r="F434" s="250"/>
      <c r="H434" s="251"/>
    </row>
    <row r="435">
      <c r="A435" s="270"/>
      <c r="B435" s="271"/>
      <c r="C435" s="272"/>
      <c r="D435" s="823"/>
      <c r="E435" s="18"/>
      <c r="F435" s="274"/>
      <c r="G435" s="18"/>
      <c r="H435" s="261"/>
    </row>
    <row r="436">
      <c r="B436" s="306"/>
      <c r="C436" s="240"/>
      <c r="D436" s="824"/>
      <c r="E436" s="242"/>
      <c r="F436" s="243"/>
      <c r="G436" s="244"/>
      <c r="H436" s="307"/>
    </row>
    <row r="437">
      <c r="B437" s="268"/>
      <c r="C437" s="252"/>
      <c r="D437" s="822"/>
      <c r="F437" s="250"/>
      <c r="H437" s="251"/>
    </row>
    <row r="438">
      <c r="B438" s="268"/>
      <c r="C438" s="252"/>
      <c r="D438" s="822"/>
      <c r="F438" s="250"/>
      <c r="H438" s="251"/>
    </row>
    <row r="439">
      <c r="B439" s="308"/>
      <c r="C439" s="252"/>
      <c r="D439" s="822"/>
      <c r="F439" s="309"/>
      <c r="H439" s="302"/>
    </row>
    <row r="440">
      <c r="B440" s="308"/>
      <c r="C440" s="252"/>
      <c r="D440" s="822"/>
      <c r="F440" s="309"/>
      <c r="H440" s="302"/>
    </row>
    <row r="441">
      <c r="B441" s="308"/>
      <c r="C441" s="252"/>
      <c r="D441" s="822"/>
      <c r="F441" s="309"/>
      <c r="H441" s="302"/>
    </row>
    <row r="442">
      <c r="B442" s="308"/>
      <c r="C442" s="252"/>
      <c r="D442" s="822"/>
      <c r="F442" s="309"/>
      <c r="H442" s="302"/>
    </row>
    <row r="443">
      <c r="B443" s="308"/>
      <c r="C443" s="252"/>
      <c r="D443" s="822"/>
      <c r="F443" s="309"/>
      <c r="H443" s="302"/>
    </row>
    <row r="444">
      <c r="B444" s="308"/>
      <c r="C444" s="252"/>
      <c r="D444" s="822"/>
      <c r="F444" s="309"/>
      <c r="H444" s="302"/>
    </row>
    <row r="445">
      <c r="B445" s="308"/>
      <c r="C445" s="252"/>
      <c r="D445" s="822"/>
      <c r="F445" s="309"/>
      <c r="H445" s="302"/>
    </row>
    <row r="446">
      <c r="B446" s="308"/>
      <c r="C446" s="252"/>
      <c r="D446" s="822"/>
      <c r="F446" s="309"/>
      <c r="H446" s="302"/>
    </row>
    <row r="447">
      <c r="B447" s="308"/>
      <c r="C447" s="252"/>
      <c r="D447" s="822"/>
      <c r="F447" s="309"/>
      <c r="H447" s="302"/>
    </row>
    <row r="448">
      <c r="B448" s="308"/>
      <c r="C448" s="252"/>
      <c r="D448" s="822"/>
      <c r="F448" s="309"/>
      <c r="H448" s="302"/>
    </row>
    <row r="449">
      <c r="B449" s="308"/>
      <c r="C449" s="252"/>
      <c r="D449" s="822"/>
      <c r="F449" s="309"/>
      <c r="H449" s="302"/>
    </row>
    <row r="450">
      <c r="B450" s="308"/>
      <c r="C450" s="252"/>
      <c r="D450" s="822"/>
      <c r="F450" s="309"/>
      <c r="H450" s="302"/>
    </row>
    <row r="451">
      <c r="B451" s="308"/>
      <c r="C451" s="252"/>
      <c r="D451" s="822"/>
      <c r="F451" s="309"/>
      <c r="H451" s="302"/>
    </row>
    <row r="452">
      <c r="B452" s="308"/>
      <c r="C452" s="252"/>
      <c r="D452" s="822"/>
      <c r="F452" s="309"/>
      <c r="H452" s="302"/>
    </row>
    <row r="453">
      <c r="B453" s="308"/>
      <c r="C453" s="252"/>
      <c r="D453" s="822"/>
      <c r="F453" s="309"/>
      <c r="H453" s="302"/>
    </row>
    <row r="454">
      <c r="B454" s="308"/>
      <c r="C454" s="252"/>
      <c r="D454" s="822"/>
      <c r="F454" s="309"/>
      <c r="H454" s="302"/>
    </row>
    <row r="455">
      <c r="B455" s="308"/>
      <c r="C455" s="252"/>
      <c r="D455" s="822"/>
      <c r="F455" s="309"/>
      <c r="H455" s="302"/>
    </row>
    <row r="456">
      <c r="B456" s="308"/>
      <c r="C456" s="252"/>
      <c r="D456" s="822"/>
      <c r="F456" s="309"/>
      <c r="H456" s="302"/>
    </row>
    <row r="457">
      <c r="B457" s="308"/>
      <c r="C457" s="252"/>
      <c r="D457" s="822"/>
      <c r="F457" s="309"/>
      <c r="H457" s="302"/>
    </row>
    <row r="458">
      <c r="B458" s="308"/>
      <c r="C458" s="252"/>
      <c r="D458" s="822"/>
      <c r="F458" s="309"/>
      <c r="H458" s="302"/>
    </row>
    <row r="459">
      <c r="B459" s="308"/>
      <c r="C459" s="252"/>
      <c r="D459" s="822"/>
      <c r="F459" s="309"/>
      <c r="H459" s="302"/>
    </row>
    <row r="460">
      <c r="B460" s="308"/>
      <c r="C460" s="252"/>
      <c r="D460" s="822"/>
      <c r="F460" s="309"/>
      <c r="H460" s="302"/>
    </row>
    <row r="461">
      <c r="B461" s="308"/>
      <c r="C461" s="252"/>
      <c r="D461" s="822"/>
      <c r="F461" s="309"/>
      <c r="H461" s="302"/>
    </row>
    <row r="462">
      <c r="B462" s="308"/>
      <c r="C462" s="252"/>
      <c r="D462" s="822"/>
      <c r="F462" s="309"/>
      <c r="H462" s="302"/>
    </row>
    <row r="463">
      <c r="B463" s="308"/>
      <c r="C463" s="252"/>
      <c r="D463" s="822"/>
      <c r="F463" s="309"/>
      <c r="H463" s="302"/>
    </row>
    <row r="464">
      <c r="B464" s="308"/>
      <c r="C464" s="252"/>
      <c r="D464" s="822"/>
      <c r="F464" s="309"/>
      <c r="H464" s="302"/>
    </row>
    <row r="465">
      <c r="B465" s="308"/>
      <c r="C465" s="252"/>
      <c r="D465" s="822"/>
      <c r="F465" s="309"/>
      <c r="H465" s="302"/>
    </row>
    <row r="466">
      <c r="B466" s="308"/>
      <c r="C466" s="252"/>
      <c r="D466" s="822"/>
      <c r="F466" s="309"/>
      <c r="H466" s="302"/>
    </row>
    <row r="467">
      <c r="B467" s="308"/>
      <c r="C467" s="252"/>
      <c r="D467" s="822"/>
      <c r="F467" s="309"/>
      <c r="H467" s="302"/>
    </row>
    <row r="468">
      <c r="B468" s="308"/>
      <c r="C468" s="252"/>
      <c r="D468" s="822"/>
      <c r="F468" s="309"/>
      <c r="H468" s="302"/>
    </row>
    <row r="469">
      <c r="B469" s="308"/>
      <c r="C469" s="252"/>
      <c r="D469" s="822"/>
      <c r="F469" s="309"/>
      <c r="H469" s="302"/>
    </row>
    <row r="470">
      <c r="B470" s="308"/>
      <c r="C470" s="252"/>
      <c r="D470" s="822"/>
      <c r="F470" s="309"/>
      <c r="H470" s="302"/>
    </row>
    <row r="471">
      <c r="B471" s="308"/>
      <c r="C471" s="252"/>
      <c r="D471" s="822"/>
      <c r="F471" s="309"/>
      <c r="H471" s="302"/>
    </row>
    <row r="472">
      <c r="B472" s="308"/>
      <c r="C472" s="252"/>
      <c r="D472" s="822"/>
      <c r="F472" s="309"/>
      <c r="H472" s="302"/>
    </row>
    <row r="473">
      <c r="B473" s="308"/>
      <c r="C473" s="252"/>
      <c r="D473" s="822"/>
      <c r="F473" s="309"/>
      <c r="H473" s="302"/>
    </row>
    <row r="474">
      <c r="B474" s="308"/>
      <c r="C474" s="252"/>
      <c r="D474" s="822"/>
      <c r="F474" s="309"/>
      <c r="H474" s="302"/>
    </row>
    <row r="475">
      <c r="B475" s="308"/>
      <c r="C475" s="252"/>
      <c r="D475" s="822"/>
      <c r="F475" s="309"/>
      <c r="H475" s="302"/>
    </row>
    <row r="476">
      <c r="B476" s="308"/>
      <c r="C476" s="252"/>
      <c r="D476" s="822"/>
      <c r="F476" s="309"/>
      <c r="H476" s="302"/>
    </row>
    <row r="477">
      <c r="B477" s="308"/>
      <c r="C477" s="252"/>
      <c r="D477" s="822"/>
      <c r="F477" s="309"/>
      <c r="H477" s="302"/>
    </row>
    <row r="478">
      <c r="B478" s="308"/>
      <c r="C478" s="252"/>
      <c r="D478" s="822"/>
      <c r="F478" s="309"/>
      <c r="H478" s="302"/>
    </row>
    <row r="479">
      <c r="B479" s="308"/>
      <c r="C479" s="252"/>
      <c r="D479" s="822"/>
      <c r="F479" s="309"/>
      <c r="H479" s="302"/>
    </row>
    <row r="480">
      <c r="B480" s="308"/>
      <c r="C480" s="252"/>
      <c r="D480" s="822"/>
      <c r="F480" s="309"/>
      <c r="H480" s="302"/>
    </row>
    <row r="481">
      <c r="B481" s="308"/>
      <c r="C481" s="252"/>
      <c r="D481" s="822"/>
      <c r="F481" s="309"/>
      <c r="H481" s="302"/>
    </row>
    <row r="482">
      <c r="B482" s="308"/>
      <c r="C482" s="252"/>
      <c r="D482" s="822"/>
      <c r="F482" s="309"/>
      <c r="H482" s="302"/>
    </row>
    <row r="483">
      <c r="B483" s="308"/>
      <c r="C483" s="252"/>
      <c r="D483" s="822"/>
      <c r="F483" s="309"/>
      <c r="H483" s="302"/>
    </row>
    <row r="484">
      <c r="B484" s="308"/>
      <c r="C484" s="252"/>
      <c r="D484" s="822"/>
      <c r="F484" s="309"/>
      <c r="H484" s="302"/>
    </row>
    <row r="485">
      <c r="B485" s="308"/>
      <c r="C485" s="252"/>
      <c r="D485" s="822"/>
      <c r="F485" s="309"/>
      <c r="H485" s="302"/>
    </row>
    <row r="486">
      <c r="B486" s="308"/>
      <c r="C486" s="252"/>
      <c r="D486" s="822"/>
      <c r="F486" s="309"/>
      <c r="H486" s="302"/>
    </row>
    <row r="487">
      <c r="B487" s="308"/>
      <c r="C487" s="252"/>
      <c r="D487" s="822"/>
      <c r="F487" s="309"/>
      <c r="H487" s="302"/>
    </row>
    <row r="488">
      <c r="B488" s="308"/>
      <c r="C488" s="252"/>
      <c r="D488" s="822"/>
      <c r="F488" s="309"/>
      <c r="H488" s="302"/>
    </row>
    <row r="489">
      <c r="B489" s="308"/>
      <c r="C489" s="252"/>
      <c r="D489" s="822"/>
      <c r="F489" s="309"/>
      <c r="H489" s="302"/>
    </row>
    <row r="490">
      <c r="B490" s="308"/>
      <c r="C490" s="252"/>
      <c r="D490" s="822"/>
      <c r="F490" s="309"/>
      <c r="H490" s="302"/>
    </row>
    <row r="491">
      <c r="B491" s="308"/>
      <c r="C491" s="252"/>
      <c r="D491" s="822"/>
      <c r="F491" s="309"/>
      <c r="H491" s="302"/>
    </row>
    <row r="492">
      <c r="B492" s="308"/>
      <c r="C492" s="252"/>
      <c r="D492" s="822"/>
      <c r="F492" s="309"/>
      <c r="H492" s="302"/>
    </row>
    <row r="493">
      <c r="B493" s="308"/>
      <c r="C493" s="252"/>
      <c r="D493" s="822"/>
      <c r="F493" s="309"/>
      <c r="H493" s="302"/>
    </row>
    <row r="494">
      <c r="B494" s="308"/>
      <c r="C494" s="252"/>
      <c r="D494" s="822"/>
      <c r="F494" s="309"/>
      <c r="H494" s="302"/>
    </row>
    <row r="495">
      <c r="B495" s="308"/>
      <c r="C495" s="252"/>
      <c r="D495" s="822"/>
      <c r="F495" s="309"/>
      <c r="H495" s="302"/>
    </row>
    <row r="496">
      <c r="B496" s="308"/>
      <c r="C496" s="252"/>
      <c r="D496" s="822"/>
      <c r="F496" s="309"/>
      <c r="H496" s="302"/>
    </row>
    <row r="497">
      <c r="B497" s="308"/>
      <c r="C497" s="252"/>
      <c r="D497" s="822"/>
      <c r="F497" s="309"/>
      <c r="H497" s="302"/>
    </row>
    <row r="498">
      <c r="B498" s="308"/>
      <c r="C498" s="252"/>
      <c r="D498" s="822"/>
      <c r="F498" s="309"/>
      <c r="H498" s="302"/>
    </row>
    <row r="499">
      <c r="B499" s="308"/>
      <c r="C499" s="252"/>
      <c r="D499" s="822"/>
      <c r="F499" s="309"/>
      <c r="H499" s="302"/>
    </row>
    <row r="500">
      <c r="B500" s="308"/>
      <c r="C500" s="252"/>
      <c r="D500" s="822"/>
      <c r="F500" s="309"/>
      <c r="H500" s="302"/>
    </row>
    <row r="501">
      <c r="B501" s="308"/>
      <c r="C501" s="252"/>
      <c r="D501" s="822"/>
      <c r="F501" s="309"/>
      <c r="H501" s="302"/>
    </row>
    <row r="502">
      <c r="B502" s="308"/>
      <c r="C502" s="252"/>
      <c r="D502" s="822"/>
      <c r="F502" s="309"/>
      <c r="H502" s="302"/>
    </row>
    <row r="503">
      <c r="B503" s="308"/>
      <c r="C503" s="252"/>
      <c r="D503" s="822"/>
      <c r="F503" s="309"/>
      <c r="H503" s="302"/>
    </row>
    <row r="504">
      <c r="B504" s="308"/>
      <c r="C504" s="252"/>
      <c r="D504" s="822"/>
      <c r="F504" s="309"/>
      <c r="H504" s="302"/>
    </row>
    <row r="505">
      <c r="B505" s="308"/>
      <c r="C505" s="252"/>
      <c r="D505" s="822"/>
      <c r="F505" s="309"/>
      <c r="H505" s="302"/>
    </row>
    <row r="506">
      <c r="B506" s="308"/>
      <c r="C506" s="252"/>
      <c r="D506" s="822"/>
      <c r="F506" s="309"/>
      <c r="H506" s="302"/>
    </row>
    <row r="507">
      <c r="B507" s="308"/>
      <c r="C507" s="252"/>
      <c r="D507" s="822"/>
      <c r="F507" s="309"/>
      <c r="H507" s="302"/>
    </row>
    <row r="508">
      <c r="B508" s="308"/>
      <c r="C508" s="252"/>
      <c r="D508" s="822"/>
      <c r="F508" s="309"/>
      <c r="H508" s="302"/>
    </row>
    <row r="509">
      <c r="B509" s="308"/>
      <c r="C509" s="252"/>
      <c r="D509" s="822"/>
      <c r="F509" s="309"/>
      <c r="H509" s="302"/>
    </row>
    <row r="510">
      <c r="B510" s="308"/>
      <c r="C510" s="252"/>
      <c r="D510" s="822"/>
      <c r="F510" s="309"/>
      <c r="H510" s="302"/>
    </row>
    <row r="511">
      <c r="B511" s="308"/>
      <c r="C511" s="252"/>
      <c r="D511" s="822"/>
      <c r="F511" s="309"/>
      <c r="H511" s="302"/>
    </row>
    <row r="512">
      <c r="B512" s="308"/>
      <c r="C512" s="252"/>
      <c r="D512" s="822"/>
      <c r="F512" s="309"/>
      <c r="H512" s="302"/>
    </row>
    <row r="513">
      <c r="B513" s="308"/>
      <c r="C513" s="252"/>
      <c r="D513" s="822"/>
      <c r="F513" s="309"/>
      <c r="H513" s="302"/>
    </row>
    <row r="514">
      <c r="B514" s="308"/>
      <c r="C514" s="252"/>
      <c r="D514" s="822"/>
      <c r="F514" s="309"/>
      <c r="H514" s="302"/>
    </row>
    <row r="515">
      <c r="B515" s="308"/>
      <c r="C515" s="252"/>
      <c r="D515" s="822"/>
      <c r="F515" s="309"/>
      <c r="H515" s="302"/>
    </row>
    <row r="516">
      <c r="B516" s="308"/>
      <c r="C516" s="252"/>
      <c r="D516" s="822"/>
      <c r="F516" s="309"/>
      <c r="H516" s="302"/>
    </row>
    <row r="517">
      <c r="B517" s="308"/>
      <c r="C517" s="252"/>
      <c r="D517" s="822"/>
      <c r="F517" s="309"/>
      <c r="H517" s="302"/>
    </row>
    <row r="518">
      <c r="B518" s="308"/>
      <c r="C518" s="252"/>
      <c r="D518" s="822"/>
      <c r="F518" s="309"/>
      <c r="H518" s="302"/>
    </row>
    <row r="519">
      <c r="B519" s="308"/>
      <c r="C519" s="252"/>
      <c r="D519" s="822"/>
      <c r="F519" s="309"/>
      <c r="H519" s="302"/>
    </row>
    <row r="520">
      <c r="B520" s="308"/>
      <c r="C520" s="252"/>
      <c r="D520" s="822"/>
      <c r="F520" s="309"/>
      <c r="H520" s="302"/>
    </row>
    <row r="521">
      <c r="B521" s="308"/>
      <c r="C521" s="252"/>
      <c r="D521" s="822"/>
      <c r="F521" s="309"/>
      <c r="H521" s="302"/>
    </row>
    <row r="522">
      <c r="B522" s="308"/>
      <c r="C522" s="252"/>
      <c r="D522" s="822"/>
      <c r="F522" s="309"/>
      <c r="H522" s="302"/>
    </row>
    <row r="523">
      <c r="B523" s="308"/>
      <c r="C523" s="252"/>
      <c r="D523" s="822"/>
      <c r="F523" s="309"/>
      <c r="H523" s="302"/>
    </row>
    <row r="524">
      <c r="B524" s="308"/>
      <c r="C524" s="252"/>
      <c r="D524" s="822"/>
      <c r="F524" s="309"/>
      <c r="H524" s="302"/>
    </row>
    <row r="525">
      <c r="B525" s="308"/>
      <c r="C525" s="252"/>
      <c r="D525" s="822"/>
      <c r="F525" s="309"/>
      <c r="H525" s="302"/>
    </row>
    <row r="526">
      <c r="B526" s="308"/>
      <c r="C526" s="252"/>
      <c r="D526" s="822"/>
      <c r="F526" s="309"/>
      <c r="H526" s="302"/>
    </row>
    <row r="527">
      <c r="B527" s="308"/>
      <c r="C527" s="252"/>
      <c r="D527" s="822"/>
      <c r="F527" s="309"/>
      <c r="H527" s="302"/>
    </row>
    <row r="528">
      <c r="B528" s="308"/>
      <c r="C528" s="252"/>
      <c r="D528" s="822"/>
      <c r="F528" s="309"/>
      <c r="H528" s="302"/>
    </row>
    <row r="529">
      <c r="B529" s="308"/>
      <c r="C529" s="252"/>
      <c r="D529" s="822"/>
      <c r="F529" s="309"/>
      <c r="H529" s="302"/>
    </row>
    <row r="530">
      <c r="B530" s="308"/>
      <c r="C530" s="252"/>
      <c r="D530" s="822"/>
      <c r="F530" s="309"/>
      <c r="H530" s="302"/>
    </row>
    <row r="531">
      <c r="B531" s="308"/>
      <c r="C531" s="252"/>
      <c r="D531" s="822"/>
      <c r="F531" s="309"/>
      <c r="H531" s="302"/>
    </row>
    <row r="532">
      <c r="B532" s="308"/>
      <c r="C532" s="252"/>
      <c r="D532" s="822"/>
      <c r="F532" s="309"/>
      <c r="H532" s="302"/>
    </row>
    <row r="533">
      <c r="B533" s="308"/>
      <c r="C533" s="252"/>
      <c r="D533" s="822"/>
      <c r="F533" s="309"/>
      <c r="H533" s="302"/>
    </row>
    <row r="534">
      <c r="B534" s="308"/>
      <c r="C534" s="252"/>
      <c r="D534" s="822"/>
      <c r="F534" s="309"/>
      <c r="H534" s="302"/>
    </row>
    <row r="535">
      <c r="B535" s="308"/>
      <c r="C535" s="252"/>
      <c r="D535" s="822"/>
      <c r="F535" s="309"/>
      <c r="H535" s="302"/>
    </row>
    <row r="536">
      <c r="B536" s="308"/>
      <c r="C536" s="252"/>
      <c r="D536" s="822"/>
      <c r="F536" s="309"/>
      <c r="H536" s="302"/>
    </row>
    <row r="537">
      <c r="B537" s="308"/>
      <c r="C537" s="252"/>
      <c r="D537" s="822"/>
      <c r="F537" s="309"/>
      <c r="H537" s="302"/>
    </row>
    <row r="538">
      <c r="B538" s="308"/>
      <c r="C538" s="252"/>
      <c r="D538" s="822"/>
      <c r="F538" s="309"/>
      <c r="H538" s="302"/>
    </row>
    <row r="539">
      <c r="B539" s="308"/>
      <c r="C539" s="252"/>
      <c r="D539" s="822"/>
      <c r="F539" s="309"/>
      <c r="H539" s="302"/>
    </row>
    <row r="540">
      <c r="B540" s="308"/>
      <c r="C540" s="252"/>
      <c r="D540" s="822"/>
      <c r="F540" s="309"/>
      <c r="H540" s="302"/>
    </row>
    <row r="541">
      <c r="B541" s="308"/>
      <c r="C541" s="252"/>
      <c r="D541" s="822"/>
      <c r="F541" s="309"/>
      <c r="H541" s="302"/>
    </row>
    <row r="542">
      <c r="B542" s="308"/>
      <c r="C542" s="252"/>
      <c r="D542" s="822"/>
      <c r="F542" s="309"/>
      <c r="H542" s="302"/>
    </row>
    <row r="543">
      <c r="B543" s="308"/>
      <c r="C543" s="252"/>
      <c r="D543" s="822"/>
      <c r="F543" s="309"/>
      <c r="H543" s="302"/>
    </row>
    <row r="544">
      <c r="B544" s="308"/>
      <c r="C544" s="252"/>
      <c r="D544" s="822"/>
      <c r="F544" s="309"/>
      <c r="H544" s="302"/>
    </row>
    <row r="545">
      <c r="B545" s="308"/>
      <c r="C545" s="252"/>
      <c r="D545" s="822"/>
      <c r="F545" s="309"/>
      <c r="H545" s="302"/>
    </row>
    <row r="546">
      <c r="B546" s="308"/>
      <c r="C546" s="252"/>
      <c r="D546" s="822"/>
      <c r="F546" s="309"/>
      <c r="H546" s="302"/>
    </row>
    <row r="547">
      <c r="B547" s="308"/>
      <c r="C547" s="252"/>
      <c r="D547" s="822"/>
      <c r="F547" s="309"/>
      <c r="H547" s="302"/>
    </row>
    <row r="548">
      <c r="B548" s="308"/>
      <c r="C548" s="252"/>
      <c r="D548" s="822"/>
      <c r="F548" s="309"/>
      <c r="H548" s="302"/>
    </row>
    <row r="549">
      <c r="B549" s="308"/>
      <c r="C549" s="252"/>
      <c r="D549" s="822"/>
      <c r="F549" s="309"/>
      <c r="H549" s="302"/>
    </row>
    <row r="550">
      <c r="B550" s="308"/>
      <c r="C550" s="252"/>
      <c r="D550" s="822"/>
      <c r="F550" s="309"/>
      <c r="H550" s="302"/>
    </row>
    <row r="551">
      <c r="B551" s="308"/>
      <c r="C551" s="252"/>
      <c r="D551" s="822"/>
      <c r="F551" s="309"/>
      <c r="H551" s="302"/>
    </row>
    <row r="552">
      <c r="B552" s="308"/>
      <c r="C552" s="252"/>
      <c r="D552" s="822"/>
      <c r="F552" s="309"/>
      <c r="H552" s="302"/>
    </row>
    <row r="553">
      <c r="B553" s="308"/>
      <c r="C553" s="252"/>
      <c r="D553" s="822"/>
      <c r="F553" s="309"/>
      <c r="H553" s="302"/>
    </row>
    <row r="554">
      <c r="B554" s="308"/>
      <c r="C554" s="252"/>
      <c r="D554" s="822"/>
      <c r="F554" s="309"/>
      <c r="H554" s="302"/>
    </row>
    <row r="555">
      <c r="B555" s="308"/>
      <c r="C555" s="252"/>
      <c r="D555" s="822"/>
      <c r="F555" s="309"/>
      <c r="H555" s="302"/>
    </row>
    <row r="556">
      <c r="B556" s="308"/>
      <c r="C556" s="252"/>
      <c r="D556" s="822"/>
      <c r="F556" s="309"/>
      <c r="H556" s="302"/>
    </row>
    <row r="557">
      <c r="B557" s="308"/>
      <c r="C557" s="252"/>
      <c r="D557" s="822"/>
      <c r="F557" s="309"/>
      <c r="H557" s="302"/>
    </row>
    <row r="558">
      <c r="B558" s="308"/>
      <c r="C558" s="252"/>
      <c r="D558" s="822"/>
      <c r="F558" s="309"/>
      <c r="H558" s="302"/>
    </row>
    <row r="559">
      <c r="B559" s="308"/>
      <c r="C559" s="252"/>
      <c r="D559" s="822"/>
      <c r="F559" s="309"/>
      <c r="H559" s="302"/>
    </row>
    <row r="560">
      <c r="B560" s="308"/>
      <c r="C560" s="252"/>
      <c r="D560" s="822"/>
      <c r="F560" s="309"/>
      <c r="H560" s="302"/>
    </row>
    <row r="561">
      <c r="B561" s="308"/>
      <c r="C561" s="252"/>
      <c r="D561" s="822"/>
      <c r="F561" s="309"/>
      <c r="H561" s="302"/>
    </row>
    <row r="562">
      <c r="B562" s="308"/>
      <c r="C562" s="252"/>
      <c r="D562" s="822"/>
      <c r="F562" s="309"/>
      <c r="H562" s="302"/>
    </row>
    <row r="563">
      <c r="B563" s="308"/>
      <c r="C563" s="252"/>
      <c r="D563" s="822"/>
      <c r="F563" s="309"/>
      <c r="H563" s="302"/>
    </row>
    <row r="564">
      <c r="B564" s="308"/>
      <c r="C564" s="252"/>
      <c r="D564" s="822"/>
      <c r="F564" s="309"/>
      <c r="H564" s="302"/>
    </row>
    <row r="565">
      <c r="B565" s="308"/>
      <c r="C565" s="252"/>
      <c r="D565" s="822"/>
      <c r="F565" s="309"/>
      <c r="H565" s="302"/>
    </row>
    <row r="566">
      <c r="B566" s="308"/>
      <c r="C566" s="252"/>
      <c r="D566" s="822"/>
      <c r="F566" s="309"/>
      <c r="H566" s="302"/>
    </row>
    <row r="567">
      <c r="B567" s="308"/>
      <c r="C567" s="252"/>
      <c r="D567" s="822"/>
      <c r="F567" s="309"/>
      <c r="H567" s="302"/>
    </row>
    <row r="568">
      <c r="B568" s="308"/>
      <c r="C568" s="252"/>
      <c r="D568" s="822"/>
      <c r="F568" s="309"/>
      <c r="H568" s="302"/>
    </row>
    <row r="569">
      <c r="B569" s="308"/>
      <c r="C569" s="252"/>
      <c r="D569" s="822"/>
      <c r="F569" s="309"/>
      <c r="H569" s="302"/>
    </row>
    <row r="570">
      <c r="B570" s="308"/>
      <c r="C570" s="252"/>
      <c r="D570" s="822"/>
      <c r="F570" s="309"/>
      <c r="H570" s="302"/>
    </row>
    <row r="571">
      <c r="B571" s="308"/>
      <c r="C571" s="252"/>
      <c r="D571" s="822"/>
      <c r="F571" s="309"/>
      <c r="H571" s="302"/>
    </row>
    <row r="572">
      <c r="B572" s="308"/>
      <c r="C572" s="252"/>
      <c r="D572" s="822"/>
      <c r="F572" s="309"/>
      <c r="H572" s="302"/>
    </row>
    <row r="573">
      <c r="B573" s="308"/>
      <c r="C573" s="252"/>
      <c r="D573" s="822"/>
      <c r="F573" s="309"/>
      <c r="H573" s="302"/>
    </row>
    <row r="574">
      <c r="B574" s="308"/>
      <c r="C574" s="252"/>
      <c r="D574" s="822"/>
      <c r="F574" s="309"/>
      <c r="H574" s="302"/>
    </row>
    <row r="575">
      <c r="B575" s="308"/>
      <c r="C575" s="252"/>
      <c r="D575" s="822"/>
      <c r="F575" s="309"/>
      <c r="H575" s="302"/>
    </row>
    <row r="576">
      <c r="B576" s="308"/>
      <c r="C576" s="252"/>
      <c r="D576" s="822"/>
      <c r="F576" s="309"/>
      <c r="H576" s="302"/>
    </row>
    <row r="577">
      <c r="B577" s="308"/>
      <c r="C577" s="252"/>
      <c r="D577" s="822"/>
      <c r="F577" s="309"/>
      <c r="H577" s="302"/>
    </row>
    <row r="578">
      <c r="B578" s="308"/>
      <c r="C578" s="252"/>
      <c r="D578" s="822"/>
      <c r="F578" s="309"/>
      <c r="H578" s="302"/>
    </row>
    <row r="579">
      <c r="B579" s="308"/>
      <c r="C579" s="252"/>
      <c r="D579" s="822"/>
      <c r="F579" s="309"/>
      <c r="H579" s="302"/>
    </row>
    <row r="580">
      <c r="B580" s="308"/>
      <c r="C580" s="252"/>
      <c r="D580" s="822"/>
      <c r="F580" s="309"/>
      <c r="H580" s="302"/>
    </row>
    <row r="581">
      <c r="B581" s="308"/>
      <c r="C581" s="252"/>
      <c r="D581" s="822"/>
      <c r="F581" s="309"/>
      <c r="H581" s="302"/>
    </row>
    <row r="582">
      <c r="B582" s="308"/>
      <c r="C582" s="252"/>
      <c r="D582" s="822"/>
      <c r="F582" s="309"/>
      <c r="H582" s="302"/>
    </row>
    <row r="583">
      <c r="B583" s="308"/>
      <c r="C583" s="252"/>
      <c r="D583" s="822"/>
      <c r="F583" s="309"/>
      <c r="H583" s="302"/>
    </row>
    <row r="584">
      <c r="B584" s="308"/>
      <c r="C584" s="252"/>
      <c r="D584" s="822"/>
      <c r="F584" s="309"/>
      <c r="H584" s="302"/>
    </row>
    <row r="585">
      <c r="B585" s="308"/>
      <c r="C585" s="252"/>
      <c r="D585" s="822"/>
      <c r="F585" s="309"/>
      <c r="H585" s="302"/>
    </row>
    <row r="586">
      <c r="B586" s="308"/>
      <c r="C586" s="252"/>
      <c r="D586" s="822"/>
      <c r="F586" s="309"/>
      <c r="H586" s="302"/>
    </row>
    <row r="587">
      <c r="B587" s="308"/>
      <c r="C587" s="252"/>
      <c r="D587" s="822"/>
      <c r="F587" s="309"/>
      <c r="H587" s="302"/>
    </row>
    <row r="588">
      <c r="B588" s="308"/>
      <c r="C588" s="252"/>
      <c r="D588" s="822"/>
      <c r="F588" s="309"/>
      <c r="H588" s="302"/>
    </row>
    <row r="589">
      <c r="B589" s="308"/>
      <c r="C589" s="252"/>
      <c r="D589" s="822"/>
      <c r="F589" s="309"/>
      <c r="H589" s="302"/>
    </row>
    <row r="590">
      <c r="B590" s="308"/>
      <c r="C590" s="252"/>
      <c r="D590" s="822"/>
      <c r="F590" s="309"/>
      <c r="H590" s="302"/>
    </row>
    <row r="591">
      <c r="B591" s="308"/>
      <c r="C591" s="252"/>
      <c r="D591" s="822"/>
      <c r="F591" s="309"/>
      <c r="H591" s="302"/>
    </row>
    <row r="592">
      <c r="B592" s="308"/>
      <c r="C592" s="252"/>
      <c r="D592" s="822"/>
      <c r="F592" s="309"/>
      <c r="H592" s="302"/>
    </row>
    <row r="593">
      <c r="B593" s="308"/>
      <c r="C593" s="252"/>
      <c r="D593" s="822"/>
      <c r="F593" s="309"/>
      <c r="H593" s="302"/>
    </row>
    <row r="594">
      <c r="B594" s="308"/>
      <c r="C594" s="252"/>
      <c r="D594" s="822"/>
      <c r="F594" s="309"/>
      <c r="H594" s="302"/>
    </row>
    <row r="595">
      <c r="B595" s="308"/>
      <c r="C595" s="252"/>
      <c r="D595" s="822"/>
      <c r="F595" s="309"/>
      <c r="H595" s="302"/>
    </row>
    <row r="596">
      <c r="B596" s="308"/>
      <c r="C596" s="252"/>
      <c r="D596" s="822"/>
      <c r="F596" s="309"/>
      <c r="H596" s="302"/>
    </row>
    <row r="597">
      <c r="B597" s="308"/>
      <c r="C597" s="252"/>
      <c r="D597" s="822"/>
      <c r="F597" s="309"/>
      <c r="H597" s="302"/>
    </row>
    <row r="598">
      <c r="B598" s="308"/>
      <c r="C598" s="252"/>
      <c r="D598" s="822"/>
      <c r="F598" s="309"/>
      <c r="H598" s="302"/>
    </row>
    <row r="599">
      <c r="B599" s="308"/>
      <c r="C599" s="252"/>
      <c r="D599" s="822"/>
      <c r="F599" s="309"/>
      <c r="H599" s="302"/>
    </row>
    <row r="600">
      <c r="B600" s="308"/>
      <c r="C600" s="252"/>
      <c r="D600" s="822"/>
      <c r="F600" s="309"/>
      <c r="H600" s="302"/>
    </row>
    <row r="601">
      <c r="B601" s="308"/>
      <c r="C601" s="252"/>
      <c r="D601" s="822"/>
      <c r="F601" s="309"/>
      <c r="H601" s="302"/>
    </row>
    <row r="602">
      <c r="B602" s="308"/>
      <c r="C602" s="252"/>
      <c r="D602" s="822"/>
      <c r="F602" s="309"/>
      <c r="H602" s="302"/>
    </row>
    <row r="603">
      <c r="B603" s="308"/>
      <c r="C603" s="252"/>
      <c r="D603" s="822"/>
      <c r="F603" s="309"/>
      <c r="H603" s="302"/>
    </row>
    <row r="604">
      <c r="B604" s="308"/>
      <c r="C604" s="252"/>
      <c r="D604" s="822"/>
      <c r="F604" s="309"/>
      <c r="H604" s="302"/>
    </row>
    <row r="605">
      <c r="B605" s="308"/>
      <c r="C605" s="252"/>
      <c r="D605" s="822"/>
      <c r="F605" s="309"/>
      <c r="H605" s="302"/>
    </row>
    <row r="606">
      <c r="B606" s="308"/>
      <c r="C606" s="252"/>
      <c r="D606" s="822"/>
      <c r="F606" s="309"/>
      <c r="H606" s="302"/>
    </row>
    <row r="607">
      <c r="B607" s="308"/>
      <c r="C607" s="252"/>
      <c r="D607" s="822"/>
      <c r="F607" s="309"/>
      <c r="H607" s="302"/>
    </row>
    <row r="608">
      <c r="B608" s="308"/>
      <c r="C608" s="252"/>
      <c r="D608" s="822"/>
      <c r="F608" s="309"/>
      <c r="H608" s="302"/>
    </row>
    <row r="609">
      <c r="B609" s="308"/>
      <c r="C609" s="252"/>
      <c r="D609" s="822"/>
      <c r="F609" s="309"/>
      <c r="H609" s="302"/>
    </row>
    <row r="610">
      <c r="B610" s="308"/>
      <c r="C610" s="252"/>
      <c r="D610" s="822"/>
      <c r="F610" s="309"/>
      <c r="H610" s="302"/>
    </row>
    <row r="611">
      <c r="B611" s="308"/>
      <c r="C611" s="252"/>
      <c r="D611" s="822"/>
      <c r="F611" s="309"/>
      <c r="H611" s="302"/>
    </row>
    <row r="612">
      <c r="B612" s="308"/>
      <c r="C612" s="252"/>
      <c r="D612" s="822"/>
      <c r="F612" s="309"/>
      <c r="H612" s="302"/>
    </row>
    <row r="613">
      <c r="B613" s="308"/>
      <c r="C613" s="252"/>
      <c r="D613" s="822"/>
      <c r="F613" s="309"/>
      <c r="H613" s="302"/>
    </row>
    <row r="614">
      <c r="B614" s="308"/>
      <c r="C614" s="252"/>
      <c r="D614" s="822"/>
      <c r="F614" s="309"/>
      <c r="H614" s="302"/>
    </row>
    <row r="615">
      <c r="B615" s="308"/>
      <c r="C615" s="252"/>
      <c r="D615" s="822"/>
      <c r="F615" s="309"/>
      <c r="H615" s="302"/>
    </row>
    <row r="616">
      <c r="B616" s="308"/>
      <c r="C616" s="252"/>
      <c r="D616" s="822"/>
      <c r="F616" s="309"/>
      <c r="H616" s="302"/>
    </row>
    <row r="617">
      <c r="B617" s="308"/>
      <c r="C617" s="252"/>
      <c r="D617" s="822"/>
      <c r="F617" s="309"/>
      <c r="H617" s="302"/>
    </row>
    <row r="618">
      <c r="B618" s="308"/>
      <c r="C618" s="252"/>
      <c r="D618" s="822"/>
      <c r="F618" s="309"/>
      <c r="H618" s="302"/>
    </row>
    <row r="619">
      <c r="B619" s="308"/>
      <c r="C619" s="252"/>
      <c r="D619" s="822"/>
      <c r="F619" s="309"/>
      <c r="H619" s="302"/>
    </row>
    <row r="620">
      <c r="B620" s="308"/>
      <c r="C620" s="252"/>
      <c r="D620" s="822"/>
      <c r="F620" s="309"/>
      <c r="H620" s="302"/>
    </row>
    <row r="621">
      <c r="B621" s="308"/>
      <c r="C621" s="252"/>
      <c r="D621" s="822"/>
      <c r="F621" s="309"/>
      <c r="H621" s="302"/>
    </row>
    <row r="622">
      <c r="B622" s="308"/>
      <c r="C622" s="252"/>
      <c r="D622" s="822"/>
      <c r="F622" s="309"/>
      <c r="H622" s="302"/>
    </row>
    <row r="623">
      <c r="B623" s="308"/>
      <c r="C623" s="252"/>
      <c r="D623" s="822"/>
      <c r="F623" s="309"/>
      <c r="H623" s="302"/>
    </row>
    <row r="624">
      <c r="B624" s="308"/>
      <c r="C624" s="252"/>
      <c r="D624" s="822"/>
      <c r="F624" s="309"/>
      <c r="H624" s="302"/>
    </row>
    <row r="625">
      <c r="B625" s="308"/>
      <c r="C625" s="252"/>
      <c r="D625" s="822"/>
      <c r="F625" s="309"/>
      <c r="H625" s="302"/>
    </row>
    <row r="626">
      <c r="B626" s="308"/>
      <c r="C626" s="252"/>
      <c r="D626" s="822"/>
      <c r="F626" s="309"/>
      <c r="H626" s="302"/>
    </row>
    <row r="627">
      <c r="B627" s="308"/>
      <c r="C627" s="252"/>
      <c r="D627" s="822"/>
      <c r="F627" s="309"/>
      <c r="H627" s="302"/>
    </row>
    <row r="628">
      <c r="B628" s="308"/>
      <c r="C628" s="252"/>
      <c r="D628" s="822"/>
      <c r="F628" s="309"/>
      <c r="H628" s="302"/>
    </row>
    <row r="629">
      <c r="B629" s="308"/>
      <c r="C629" s="252"/>
      <c r="D629" s="822"/>
      <c r="F629" s="309"/>
      <c r="H629" s="302"/>
    </row>
    <row r="630">
      <c r="B630" s="308"/>
      <c r="C630" s="252"/>
      <c r="D630" s="822"/>
      <c r="F630" s="309"/>
      <c r="H630" s="302"/>
    </row>
    <row r="631">
      <c r="B631" s="308"/>
      <c r="C631" s="252"/>
      <c r="D631" s="822"/>
      <c r="F631" s="309"/>
      <c r="H631" s="302"/>
    </row>
    <row r="632">
      <c r="B632" s="308"/>
      <c r="C632" s="252"/>
      <c r="D632" s="822"/>
      <c r="F632" s="309"/>
      <c r="H632" s="302"/>
    </row>
    <row r="633">
      <c r="B633" s="308"/>
      <c r="C633" s="252"/>
      <c r="D633" s="822"/>
      <c r="F633" s="309"/>
      <c r="H633" s="302"/>
    </row>
    <row r="634">
      <c r="B634" s="308"/>
      <c r="C634" s="252"/>
      <c r="D634" s="822"/>
      <c r="F634" s="309"/>
      <c r="H634" s="302"/>
    </row>
    <row r="635">
      <c r="B635" s="308"/>
      <c r="C635" s="252"/>
      <c r="D635" s="822"/>
      <c r="F635" s="309"/>
      <c r="H635" s="302"/>
    </row>
    <row r="636">
      <c r="B636" s="308"/>
      <c r="C636" s="252"/>
      <c r="D636" s="822"/>
      <c r="F636" s="309"/>
      <c r="H636" s="302"/>
    </row>
    <row r="637">
      <c r="B637" s="308"/>
      <c r="C637" s="252"/>
      <c r="D637" s="822"/>
      <c r="F637" s="309"/>
      <c r="H637" s="302"/>
    </row>
    <row r="638">
      <c r="B638" s="308"/>
      <c r="C638" s="252"/>
      <c r="D638" s="822"/>
      <c r="F638" s="309"/>
      <c r="H638" s="302"/>
    </row>
    <row r="639">
      <c r="B639" s="308"/>
      <c r="C639" s="252"/>
      <c r="D639" s="822"/>
      <c r="F639" s="309"/>
      <c r="H639" s="302"/>
    </row>
    <row r="640">
      <c r="B640" s="308"/>
      <c r="C640" s="252"/>
      <c r="D640" s="822"/>
      <c r="F640" s="309"/>
      <c r="H640" s="302"/>
    </row>
    <row r="641">
      <c r="B641" s="308"/>
      <c r="C641" s="252"/>
      <c r="D641" s="822"/>
      <c r="F641" s="309"/>
      <c r="H641" s="302"/>
    </row>
    <row r="642">
      <c r="B642" s="308"/>
      <c r="C642" s="252"/>
      <c r="D642" s="822"/>
      <c r="F642" s="309"/>
      <c r="H642" s="302"/>
    </row>
    <row r="643">
      <c r="B643" s="308"/>
      <c r="C643" s="252"/>
      <c r="D643" s="822"/>
      <c r="F643" s="309"/>
      <c r="H643" s="302"/>
    </row>
    <row r="644">
      <c r="B644" s="308"/>
      <c r="C644" s="252"/>
      <c r="D644" s="822"/>
      <c r="F644" s="309"/>
      <c r="H644" s="302"/>
    </row>
    <row r="645">
      <c r="B645" s="308"/>
      <c r="C645" s="252"/>
      <c r="D645" s="822"/>
      <c r="F645" s="309"/>
      <c r="H645" s="302"/>
    </row>
    <row r="646">
      <c r="B646" s="308"/>
      <c r="C646" s="252"/>
      <c r="D646" s="822"/>
      <c r="F646" s="309"/>
      <c r="H646" s="302"/>
    </row>
    <row r="647">
      <c r="B647" s="308"/>
      <c r="C647" s="252"/>
      <c r="D647" s="822"/>
      <c r="F647" s="309"/>
      <c r="H647" s="302"/>
    </row>
    <row r="648">
      <c r="B648" s="308"/>
      <c r="C648" s="252"/>
      <c r="D648" s="822"/>
      <c r="F648" s="309"/>
      <c r="H648" s="302"/>
    </row>
    <row r="649">
      <c r="B649" s="308"/>
      <c r="C649" s="252"/>
      <c r="D649" s="822"/>
      <c r="F649" s="309"/>
      <c r="H649" s="302"/>
    </row>
    <row r="650">
      <c r="B650" s="308"/>
      <c r="C650" s="252"/>
      <c r="D650" s="822"/>
      <c r="F650" s="309"/>
      <c r="H650" s="302"/>
    </row>
    <row r="651">
      <c r="B651" s="308"/>
      <c r="C651" s="252"/>
      <c r="D651" s="822"/>
      <c r="F651" s="309"/>
      <c r="H651" s="302"/>
    </row>
    <row r="652">
      <c r="B652" s="308"/>
      <c r="C652" s="252"/>
      <c r="D652" s="822"/>
      <c r="F652" s="309"/>
      <c r="H652" s="302"/>
    </row>
    <row r="653">
      <c r="B653" s="308"/>
      <c r="C653" s="252"/>
      <c r="D653" s="822"/>
      <c r="F653" s="309"/>
      <c r="H653" s="302"/>
    </row>
    <row r="654">
      <c r="B654" s="308"/>
      <c r="C654" s="252"/>
      <c r="D654" s="822"/>
      <c r="F654" s="309"/>
      <c r="H654" s="302"/>
    </row>
    <row r="655">
      <c r="B655" s="308"/>
      <c r="C655" s="252"/>
      <c r="D655" s="822"/>
      <c r="F655" s="309"/>
      <c r="H655" s="302"/>
    </row>
    <row r="656">
      <c r="B656" s="308"/>
      <c r="C656" s="252"/>
      <c r="D656" s="822"/>
      <c r="F656" s="309"/>
      <c r="H656" s="302"/>
    </row>
    <row r="657">
      <c r="B657" s="308"/>
      <c r="C657" s="252"/>
      <c r="D657" s="822"/>
      <c r="F657" s="309"/>
      <c r="H657" s="302"/>
    </row>
    <row r="658">
      <c r="B658" s="308"/>
      <c r="C658" s="252"/>
      <c r="D658" s="822"/>
      <c r="F658" s="309"/>
      <c r="H658" s="302"/>
    </row>
    <row r="659">
      <c r="B659" s="308"/>
      <c r="C659" s="252"/>
      <c r="D659" s="822"/>
      <c r="F659" s="309"/>
      <c r="H659" s="302"/>
    </row>
    <row r="660">
      <c r="B660" s="308"/>
      <c r="C660" s="252"/>
      <c r="D660" s="822"/>
      <c r="F660" s="309"/>
      <c r="H660" s="302"/>
    </row>
    <row r="661">
      <c r="B661" s="308"/>
      <c r="C661" s="252"/>
      <c r="D661" s="822"/>
      <c r="F661" s="309"/>
      <c r="H661" s="302"/>
    </row>
    <row r="662">
      <c r="B662" s="308"/>
      <c r="C662" s="252"/>
      <c r="D662" s="822"/>
      <c r="F662" s="309"/>
      <c r="H662" s="302"/>
    </row>
    <row r="663">
      <c r="B663" s="308"/>
      <c r="C663" s="252"/>
      <c r="D663" s="822"/>
      <c r="F663" s="309"/>
      <c r="H663" s="302"/>
    </row>
    <row r="664">
      <c r="B664" s="308"/>
      <c r="C664" s="252"/>
      <c r="D664" s="822"/>
      <c r="F664" s="309"/>
      <c r="H664" s="302"/>
    </row>
    <row r="665">
      <c r="B665" s="308"/>
      <c r="C665" s="252"/>
      <c r="D665" s="822"/>
      <c r="F665" s="309"/>
      <c r="H665" s="302"/>
    </row>
    <row r="666">
      <c r="B666" s="308"/>
      <c r="C666" s="252"/>
      <c r="D666" s="822"/>
      <c r="F666" s="309"/>
      <c r="H666" s="302"/>
    </row>
    <row r="667">
      <c r="B667" s="308"/>
      <c r="C667" s="252"/>
      <c r="D667" s="822"/>
      <c r="F667" s="309"/>
      <c r="H667" s="302"/>
    </row>
    <row r="668">
      <c r="B668" s="308"/>
      <c r="C668" s="252"/>
      <c r="D668" s="822"/>
      <c r="F668" s="309"/>
      <c r="H668" s="302"/>
    </row>
    <row r="669">
      <c r="B669" s="308"/>
      <c r="C669" s="252"/>
      <c r="D669" s="822"/>
      <c r="F669" s="309"/>
      <c r="H669" s="302"/>
    </row>
    <row r="670">
      <c r="B670" s="308"/>
      <c r="C670" s="252"/>
      <c r="D670" s="822"/>
      <c r="F670" s="309"/>
      <c r="H670" s="302"/>
    </row>
    <row r="671">
      <c r="B671" s="308"/>
      <c r="C671" s="252"/>
      <c r="D671" s="822"/>
      <c r="F671" s="309"/>
      <c r="H671" s="302"/>
    </row>
    <row r="672">
      <c r="B672" s="308"/>
      <c r="C672" s="252"/>
      <c r="D672" s="822"/>
      <c r="F672" s="309"/>
      <c r="H672" s="302"/>
    </row>
    <row r="673">
      <c r="B673" s="308"/>
      <c r="C673" s="252"/>
      <c r="D673" s="822"/>
      <c r="F673" s="309"/>
      <c r="H673" s="302"/>
    </row>
    <row r="674">
      <c r="B674" s="308"/>
      <c r="C674" s="252"/>
      <c r="D674" s="822"/>
      <c r="F674" s="309"/>
      <c r="H674" s="302"/>
    </row>
    <row r="675">
      <c r="B675" s="308"/>
      <c r="C675" s="252"/>
      <c r="D675" s="822"/>
      <c r="F675" s="309"/>
      <c r="H675" s="302"/>
    </row>
    <row r="676">
      <c r="B676" s="308"/>
      <c r="C676" s="252"/>
      <c r="D676" s="822"/>
      <c r="F676" s="309"/>
      <c r="H676" s="302"/>
    </row>
    <row r="677">
      <c r="B677" s="308"/>
      <c r="C677" s="252"/>
      <c r="D677" s="822"/>
      <c r="F677" s="309"/>
      <c r="H677" s="302"/>
    </row>
    <row r="678">
      <c r="B678" s="308"/>
      <c r="C678" s="252"/>
      <c r="D678" s="822"/>
      <c r="F678" s="309"/>
      <c r="H678" s="302"/>
    </row>
    <row r="679">
      <c r="B679" s="308"/>
      <c r="C679" s="252"/>
      <c r="D679" s="822"/>
      <c r="F679" s="309"/>
      <c r="H679" s="302"/>
    </row>
    <row r="680">
      <c r="B680" s="308"/>
      <c r="C680" s="252"/>
      <c r="D680" s="822"/>
      <c r="F680" s="309"/>
      <c r="H680" s="302"/>
    </row>
    <row r="681">
      <c r="B681" s="308"/>
      <c r="C681" s="252"/>
      <c r="D681" s="822"/>
      <c r="F681" s="309"/>
      <c r="H681" s="302"/>
    </row>
    <row r="682">
      <c r="B682" s="308"/>
      <c r="C682" s="252"/>
      <c r="D682" s="822"/>
      <c r="F682" s="309"/>
      <c r="H682" s="302"/>
    </row>
    <row r="683">
      <c r="B683" s="308"/>
      <c r="C683" s="252"/>
      <c r="D683" s="822"/>
      <c r="F683" s="309"/>
      <c r="H683" s="302"/>
    </row>
    <row r="684">
      <c r="B684" s="308"/>
      <c r="C684" s="252"/>
      <c r="D684" s="822"/>
      <c r="F684" s="309"/>
      <c r="H684" s="302"/>
    </row>
    <row r="685">
      <c r="B685" s="308"/>
      <c r="C685" s="252"/>
      <c r="D685" s="822"/>
      <c r="F685" s="309"/>
      <c r="H685" s="302"/>
    </row>
    <row r="686">
      <c r="B686" s="308"/>
      <c r="C686" s="252"/>
      <c r="D686" s="822"/>
      <c r="F686" s="309"/>
      <c r="H686" s="302"/>
    </row>
    <row r="687">
      <c r="B687" s="308"/>
      <c r="C687" s="252"/>
      <c r="D687" s="822"/>
      <c r="F687" s="309"/>
      <c r="H687" s="302"/>
    </row>
    <row r="688">
      <c r="B688" s="308"/>
      <c r="C688" s="252"/>
      <c r="D688" s="822"/>
      <c r="F688" s="309"/>
      <c r="H688" s="302"/>
    </row>
    <row r="689">
      <c r="B689" s="308"/>
      <c r="C689" s="252"/>
      <c r="D689" s="822"/>
      <c r="F689" s="309"/>
      <c r="H689" s="302"/>
    </row>
    <row r="690">
      <c r="B690" s="308"/>
      <c r="C690" s="252"/>
      <c r="D690" s="822"/>
      <c r="F690" s="309"/>
      <c r="H690" s="302"/>
    </row>
    <row r="691">
      <c r="B691" s="308"/>
      <c r="C691" s="252"/>
      <c r="D691" s="822"/>
      <c r="F691" s="309"/>
      <c r="H691" s="302"/>
    </row>
    <row r="692">
      <c r="B692" s="308"/>
      <c r="C692" s="252"/>
      <c r="D692" s="822"/>
      <c r="F692" s="309"/>
      <c r="H692" s="302"/>
    </row>
    <row r="693">
      <c r="B693" s="308"/>
      <c r="C693" s="252"/>
      <c r="D693" s="822"/>
      <c r="F693" s="309"/>
      <c r="H693" s="302"/>
    </row>
    <row r="694">
      <c r="B694" s="308"/>
      <c r="C694" s="252"/>
      <c r="D694" s="822"/>
      <c r="F694" s="309"/>
      <c r="H694" s="302"/>
    </row>
    <row r="695">
      <c r="B695" s="308"/>
      <c r="C695" s="252"/>
      <c r="D695" s="822"/>
      <c r="F695" s="309"/>
      <c r="H695" s="302"/>
    </row>
    <row r="696">
      <c r="B696" s="308"/>
      <c r="C696" s="252"/>
      <c r="D696" s="822"/>
      <c r="F696" s="309"/>
      <c r="H696" s="302"/>
    </row>
    <row r="697">
      <c r="B697" s="308"/>
      <c r="C697" s="252"/>
      <c r="D697" s="822"/>
      <c r="F697" s="309"/>
      <c r="H697" s="302"/>
    </row>
    <row r="698">
      <c r="B698" s="308"/>
      <c r="C698" s="252"/>
      <c r="D698" s="822"/>
      <c r="F698" s="309"/>
      <c r="H698" s="302"/>
    </row>
    <row r="699">
      <c r="B699" s="308"/>
      <c r="C699" s="252"/>
      <c r="D699" s="822"/>
      <c r="F699" s="309"/>
      <c r="H699" s="302"/>
    </row>
    <row r="700">
      <c r="B700" s="308"/>
      <c r="C700" s="252"/>
      <c r="D700" s="822"/>
      <c r="F700" s="309"/>
      <c r="H700" s="302"/>
    </row>
    <row r="701">
      <c r="B701" s="308"/>
      <c r="C701" s="252"/>
      <c r="D701" s="822"/>
      <c r="F701" s="309"/>
      <c r="H701" s="302"/>
    </row>
    <row r="702">
      <c r="B702" s="308"/>
      <c r="C702" s="252"/>
      <c r="D702" s="822"/>
      <c r="F702" s="309"/>
      <c r="H702" s="302"/>
    </row>
    <row r="703">
      <c r="B703" s="308"/>
      <c r="C703" s="252"/>
      <c r="D703" s="822"/>
      <c r="F703" s="309"/>
      <c r="H703" s="302"/>
    </row>
    <row r="704">
      <c r="B704" s="308"/>
      <c r="C704" s="252"/>
      <c r="D704" s="822"/>
      <c r="F704" s="309"/>
      <c r="H704" s="302"/>
    </row>
    <row r="705">
      <c r="B705" s="308"/>
      <c r="C705" s="252"/>
      <c r="D705" s="822"/>
      <c r="F705" s="309"/>
      <c r="H705" s="302"/>
    </row>
    <row r="706">
      <c r="B706" s="308"/>
      <c r="C706" s="252"/>
      <c r="D706" s="822"/>
      <c r="F706" s="309"/>
      <c r="H706" s="302"/>
    </row>
    <row r="707">
      <c r="B707" s="308"/>
      <c r="C707" s="252"/>
      <c r="D707" s="822"/>
      <c r="F707" s="309"/>
      <c r="H707" s="302"/>
    </row>
    <row r="708">
      <c r="B708" s="308"/>
      <c r="C708" s="252"/>
      <c r="D708" s="822"/>
      <c r="F708" s="309"/>
      <c r="H708" s="302"/>
    </row>
    <row r="709">
      <c r="B709" s="308"/>
      <c r="C709" s="252"/>
      <c r="D709" s="822"/>
      <c r="F709" s="309"/>
      <c r="H709" s="302"/>
    </row>
    <row r="710">
      <c r="B710" s="308"/>
      <c r="C710" s="252"/>
      <c r="D710" s="822"/>
      <c r="F710" s="309"/>
      <c r="H710" s="302"/>
    </row>
    <row r="711">
      <c r="B711" s="308"/>
      <c r="C711" s="252"/>
      <c r="D711" s="822"/>
      <c r="F711" s="309"/>
      <c r="H711" s="302"/>
    </row>
    <row r="712">
      <c r="B712" s="308"/>
      <c r="C712" s="252"/>
      <c r="D712" s="822"/>
      <c r="F712" s="309"/>
      <c r="H712" s="302"/>
    </row>
    <row r="713">
      <c r="B713" s="308"/>
      <c r="C713" s="252"/>
      <c r="D713" s="822"/>
      <c r="F713" s="309"/>
      <c r="H713" s="302"/>
    </row>
    <row r="714">
      <c r="B714" s="308"/>
      <c r="C714" s="252"/>
      <c r="D714" s="822"/>
      <c r="F714" s="309"/>
      <c r="H714" s="302"/>
    </row>
    <row r="715">
      <c r="B715" s="308"/>
      <c r="C715" s="252"/>
      <c r="D715" s="822"/>
      <c r="F715" s="309"/>
      <c r="H715" s="302"/>
    </row>
    <row r="716">
      <c r="B716" s="308"/>
      <c r="C716" s="252"/>
      <c r="D716" s="822"/>
      <c r="F716" s="309"/>
      <c r="H716" s="302"/>
    </row>
    <row r="717">
      <c r="B717" s="308"/>
      <c r="C717" s="252"/>
      <c r="D717" s="822"/>
      <c r="F717" s="309"/>
      <c r="H717" s="302"/>
    </row>
    <row r="718">
      <c r="B718" s="308"/>
      <c r="C718" s="252"/>
      <c r="D718" s="822"/>
      <c r="F718" s="309"/>
      <c r="H718" s="302"/>
    </row>
    <row r="719">
      <c r="B719" s="308"/>
      <c r="C719" s="252"/>
      <c r="D719" s="822"/>
      <c r="F719" s="309"/>
      <c r="H719" s="302"/>
    </row>
    <row r="720">
      <c r="B720" s="308"/>
      <c r="C720" s="252"/>
      <c r="D720" s="822"/>
      <c r="F720" s="309"/>
      <c r="H720" s="302"/>
    </row>
    <row r="721">
      <c r="B721" s="308"/>
      <c r="C721" s="252"/>
      <c r="D721" s="822"/>
      <c r="F721" s="309"/>
      <c r="H721" s="302"/>
    </row>
    <row r="722">
      <c r="B722" s="308"/>
      <c r="C722" s="252"/>
      <c r="D722" s="822"/>
      <c r="F722" s="309"/>
      <c r="H722" s="302"/>
    </row>
    <row r="723">
      <c r="B723" s="308"/>
      <c r="C723" s="252"/>
      <c r="D723" s="822"/>
      <c r="F723" s="309"/>
      <c r="H723" s="302"/>
    </row>
    <row r="724">
      <c r="B724" s="308"/>
      <c r="C724" s="252"/>
      <c r="D724" s="822"/>
      <c r="F724" s="309"/>
      <c r="H724" s="302"/>
    </row>
    <row r="725">
      <c r="B725" s="308"/>
      <c r="C725" s="252"/>
      <c r="D725" s="822"/>
      <c r="F725" s="309"/>
      <c r="H725" s="302"/>
    </row>
    <row r="726">
      <c r="B726" s="308"/>
      <c r="C726" s="252"/>
      <c r="D726" s="822"/>
      <c r="F726" s="309"/>
      <c r="H726" s="302"/>
    </row>
    <row r="727">
      <c r="B727" s="308"/>
      <c r="C727" s="252"/>
      <c r="D727" s="822"/>
      <c r="F727" s="309"/>
      <c r="H727" s="302"/>
    </row>
    <row r="728">
      <c r="B728" s="308"/>
      <c r="C728" s="252"/>
      <c r="D728" s="822"/>
      <c r="F728" s="309"/>
      <c r="H728" s="302"/>
    </row>
    <row r="729">
      <c r="B729" s="308"/>
      <c r="C729" s="252"/>
      <c r="D729" s="822"/>
      <c r="F729" s="309"/>
      <c r="H729" s="302"/>
    </row>
    <row r="730">
      <c r="B730" s="308"/>
      <c r="C730" s="252"/>
      <c r="D730" s="822"/>
      <c r="F730" s="309"/>
      <c r="H730" s="302"/>
    </row>
    <row r="731">
      <c r="B731" s="308"/>
      <c r="C731" s="252"/>
      <c r="D731" s="822"/>
      <c r="F731" s="309"/>
      <c r="H731" s="302"/>
    </row>
    <row r="732">
      <c r="B732" s="308"/>
      <c r="C732" s="252"/>
      <c r="D732" s="822"/>
      <c r="F732" s="309"/>
      <c r="H732" s="302"/>
    </row>
    <row r="733">
      <c r="B733" s="308"/>
      <c r="C733" s="252"/>
      <c r="D733" s="822"/>
      <c r="F733" s="309"/>
      <c r="H733" s="302"/>
    </row>
    <row r="734">
      <c r="B734" s="308"/>
      <c r="C734" s="252"/>
      <c r="D734" s="822"/>
      <c r="F734" s="309"/>
      <c r="H734" s="302"/>
    </row>
    <row r="735">
      <c r="B735" s="308"/>
      <c r="C735" s="252"/>
      <c r="D735" s="822"/>
      <c r="F735" s="309"/>
      <c r="H735" s="302"/>
    </row>
    <row r="736">
      <c r="B736" s="308"/>
      <c r="C736" s="252"/>
      <c r="D736" s="822"/>
      <c r="F736" s="309"/>
      <c r="H736" s="302"/>
    </row>
    <row r="737">
      <c r="B737" s="308"/>
      <c r="C737" s="252"/>
      <c r="D737" s="822"/>
      <c r="F737" s="309"/>
      <c r="H737" s="302"/>
    </row>
    <row r="738">
      <c r="B738" s="308"/>
      <c r="C738" s="252"/>
      <c r="D738" s="822"/>
      <c r="F738" s="309"/>
      <c r="H738" s="302"/>
    </row>
    <row r="739">
      <c r="B739" s="308"/>
      <c r="C739" s="252"/>
      <c r="D739" s="822"/>
      <c r="F739" s="309"/>
      <c r="H739" s="302"/>
    </row>
    <row r="740">
      <c r="B740" s="308"/>
      <c r="C740" s="252"/>
      <c r="D740" s="822"/>
      <c r="F740" s="309"/>
      <c r="H740" s="302"/>
    </row>
    <row r="741">
      <c r="B741" s="308"/>
      <c r="C741" s="252"/>
      <c r="D741" s="822"/>
      <c r="F741" s="309"/>
      <c r="H741" s="302"/>
    </row>
    <row r="742">
      <c r="B742" s="308"/>
      <c r="C742" s="252"/>
      <c r="D742" s="822"/>
      <c r="F742" s="309"/>
      <c r="H742" s="302"/>
    </row>
    <row r="743">
      <c r="B743" s="308"/>
      <c r="C743" s="252"/>
      <c r="D743" s="822"/>
      <c r="F743" s="309"/>
      <c r="H743" s="302"/>
    </row>
    <row r="744">
      <c r="B744" s="308"/>
      <c r="C744" s="252"/>
      <c r="D744" s="822"/>
      <c r="F744" s="309"/>
      <c r="H744" s="302"/>
    </row>
  </sheetData>
  <mergeCells count="30">
    <mergeCell ref="A15:A27"/>
    <mergeCell ref="A28:A40"/>
    <mergeCell ref="A41:A52"/>
    <mergeCell ref="A55:A64"/>
    <mergeCell ref="A65:A78"/>
    <mergeCell ref="A79:A90"/>
    <mergeCell ref="A91:A106"/>
    <mergeCell ref="A107:A120"/>
    <mergeCell ref="A121:A138"/>
    <mergeCell ref="A139:A153"/>
    <mergeCell ref="A154:A168"/>
    <mergeCell ref="A169:A178"/>
    <mergeCell ref="A179:A193"/>
    <mergeCell ref="A194:A209"/>
    <mergeCell ref="A210:A224"/>
    <mergeCell ref="A225:A236"/>
    <mergeCell ref="A237:A251"/>
    <mergeCell ref="A252:A265"/>
    <mergeCell ref="A266:A279"/>
    <mergeCell ref="A280:A292"/>
    <mergeCell ref="A293:A306"/>
    <mergeCell ref="A416:A425"/>
    <mergeCell ref="A426:A435"/>
    <mergeCell ref="A307:A321"/>
    <mergeCell ref="A322:A336"/>
    <mergeCell ref="A337:A349"/>
    <mergeCell ref="A350:A367"/>
    <mergeCell ref="A368:A385"/>
    <mergeCell ref="A386:A396"/>
    <mergeCell ref="A397:A40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 t="s">
        <v>2780</v>
      </c>
      <c r="B1" s="232" t="s">
        <v>52</v>
      </c>
      <c r="C1" s="233" t="s">
        <v>53</v>
      </c>
      <c r="D1" s="820" t="s">
        <v>54</v>
      </c>
      <c r="E1" s="235" t="s">
        <v>55</v>
      </c>
      <c r="F1" s="236" t="s">
        <v>56</v>
      </c>
      <c r="G1" s="827" t="s">
        <v>2781</v>
      </c>
      <c r="H1" s="242"/>
      <c r="I1" s="662"/>
      <c r="J1" s="237" t="s">
        <v>2782</v>
      </c>
    </row>
    <row r="2">
      <c r="A2" s="238"/>
      <c r="B2" s="247"/>
      <c r="C2" s="248">
        <v>29376.57</v>
      </c>
      <c r="D2" s="331"/>
      <c r="F2" s="250"/>
      <c r="G2" s="254" t="s">
        <v>84</v>
      </c>
      <c r="H2" s="254"/>
      <c r="I2" s="254"/>
      <c r="J2" s="302"/>
    </row>
    <row r="3">
      <c r="A3" s="246"/>
      <c r="B3" s="247"/>
      <c r="C3" s="248"/>
      <c r="D3" s="331"/>
      <c r="F3" s="250"/>
      <c r="G3" s="254" t="s">
        <v>2543</v>
      </c>
      <c r="H3" s="254"/>
      <c r="I3" s="254"/>
      <c r="J3" s="302"/>
    </row>
    <row r="4">
      <c r="A4" s="246"/>
      <c r="B4" s="247"/>
      <c r="C4" s="248"/>
      <c r="D4" s="331"/>
      <c r="F4" s="250">
        <v>18600.0</v>
      </c>
      <c r="G4" s="254" t="s">
        <v>87</v>
      </c>
      <c r="H4" s="254"/>
      <c r="I4" s="254"/>
      <c r="J4" s="302"/>
    </row>
    <row r="5">
      <c r="A5" s="246"/>
      <c r="B5" s="247"/>
      <c r="C5" s="248"/>
      <c r="D5" s="331"/>
      <c r="F5" s="250">
        <v>591.0</v>
      </c>
      <c r="G5" s="254" t="s">
        <v>329</v>
      </c>
      <c r="H5" s="254"/>
      <c r="I5" s="254"/>
      <c r="J5" s="302"/>
    </row>
    <row r="6">
      <c r="A6" s="246"/>
      <c r="B6" s="247">
        <v>8612.31</v>
      </c>
      <c r="C6" s="248"/>
      <c r="D6" s="331"/>
      <c r="F6" s="250"/>
      <c r="G6" s="254" t="s">
        <v>82</v>
      </c>
      <c r="H6" s="254"/>
      <c r="I6" s="254"/>
      <c r="J6" s="302"/>
    </row>
    <row r="7">
      <c r="A7" s="246">
        <v>1.0</v>
      </c>
      <c r="B7" s="247"/>
      <c r="C7" s="248"/>
      <c r="D7" s="331"/>
      <c r="F7" s="250">
        <v>2800.0</v>
      </c>
      <c r="G7" s="254" t="s">
        <v>2543</v>
      </c>
      <c r="H7" s="254"/>
      <c r="I7" s="254"/>
      <c r="J7" s="302"/>
    </row>
    <row r="8">
      <c r="A8" s="246"/>
      <c r="B8" s="247">
        <v>28105.76</v>
      </c>
      <c r="C8" s="248"/>
      <c r="D8" s="331"/>
      <c r="F8" s="250"/>
      <c r="G8" s="254" t="s">
        <v>100</v>
      </c>
      <c r="H8" s="254"/>
      <c r="I8" s="254"/>
      <c r="J8" s="302"/>
    </row>
    <row r="9">
      <c r="A9" s="246"/>
      <c r="B9" s="247"/>
      <c r="C9" s="248"/>
      <c r="D9" s="331"/>
      <c r="F9" s="250"/>
      <c r="G9" s="254"/>
      <c r="H9" s="254"/>
      <c r="I9" s="254"/>
      <c r="J9" s="302"/>
    </row>
    <row r="10">
      <c r="A10" s="246"/>
      <c r="B10" s="247"/>
      <c r="C10" s="248"/>
      <c r="D10" s="331"/>
      <c r="F10" s="250"/>
      <c r="G10" s="254"/>
      <c r="H10" s="254"/>
      <c r="I10" s="254"/>
      <c r="J10" s="302"/>
    </row>
    <row r="11">
      <c r="A11" s="246"/>
      <c r="B11" s="247"/>
      <c r="C11" s="248"/>
      <c r="D11" s="331"/>
      <c r="F11" s="250"/>
      <c r="G11" s="254"/>
      <c r="H11" s="254"/>
      <c r="I11" s="254"/>
      <c r="J11" s="302"/>
    </row>
    <row r="12">
      <c r="A12" s="246"/>
      <c r="B12" s="247"/>
      <c r="C12" s="248"/>
      <c r="D12" s="331"/>
      <c r="F12" s="250"/>
      <c r="G12" s="254"/>
      <c r="H12" s="254"/>
      <c r="I12" s="254"/>
      <c r="J12" s="302"/>
    </row>
    <row r="13">
      <c r="A13" s="246"/>
      <c r="B13" s="247"/>
      <c r="C13" s="248"/>
      <c r="D13" s="331"/>
      <c r="F13" s="250"/>
      <c r="G13" s="254"/>
      <c r="H13" s="254"/>
      <c r="I13" s="254"/>
      <c r="J13" s="302"/>
    </row>
    <row r="14">
      <c r="A14" s="255"/>
      <c r="B14" s="256"/>
      <c r="C14" s="248"/>
      <c r="D14" s="331"/>
      <c r="F14" s="250"/>
      <c r="G14" s="254"/>
      <c r="H14" s="254"/>
      <c r="I14" s="254"/>
      <c r="J14" s="251"/>
    </row>
    <row r="15">
      <c r="A15" s="816">
        <v>2.0</v>
      </c>
      <c r="B15" s="247">
        <v>4215.0</v>
      </c>
      <c r="C15" s="263"/>
      <c r="D15" s="821"/>
      <c r="E15" s="242"/>
      <c r="F15" s="243"/>
      <c r="G15" s="276" t="s">
        <v>2742</v>
      </c>
      <c r="H15" s="276"/>
      <c r="I15" s="276"/>
      <c r="J15" s="307"/>
    </row>
    <row r="16">
      <c r="A16" s="265"/>
      <c r="B16" s="247"/>
      <c r="C16" s="248"/>
      <c r="D16" s="331"/>
      <c r="F16" s="250"/>
      <c r="G16" s="254" t="s">
        <v>265</v>
      </c>
      <c r="H16" s="269"/>
      <c r="I16" s="269"/>
      <c r="J16" s="251"/>
    </row>
    <row r="17">
      <c r="A17" s="265"/>
      <c r="B17" s="247"/>
      <c r="C17" s="248"/>
      <c r="D17" s="331"/>
      <c r="F17" s="250">
        <v>6000.0</v>
      </c>
      <c r="G17" s="254" t="s">
        <v>2783</v>
      </c>
      <c r="H17" s="269"/>
      <c r="I17" s="269"/>
      <c r="J17" s="251"/>
    </row>
    <row r="18">
      <c r="A18" s="265"/>
      <c r="B18" s="247"/>
      <c r="C18" s="252"/>
      <c r="D18" s="331"/>
      <c r="F18" s="250"/>
      <c r="G18" s="254"/>
      <c r="H18" s="269"/>
      <c r="I18" s="269"/>
      <c r="J18" s="251"/>
    </row>
    <row r="19">
      <c r="A19" s="265"/>
      <c r="B19" s="247"/>
      <c r="C19" s="252"/>
      <c r="D19" s="331"/>
      <c r="F19" s="250"/>
      <c r="G19" s="254"/>
      <c r="H19" s="269"/>
      <c r="I19" s="269"/>
      <c r="J19" s="251"/>
    </row>
    <row r="20">
      <c r="A20" s="265"/>
      <c r="B20" s="247"/>
      <c r="C20" s="248"/>
      <c r="D20" s="331"/>
      <c r="F20" s="250"/>
      <c r="G20" s="254"/>
      <c r="H20" s="269"/>
      <c r="I20" s="269"/>
      <c r="J20" s="251"/>
    </row>
    <row r="21">
      <c r="A21" s="265"/>
      <c r="B21" s="247"/>
      <c r="C21" s="252"/>
      <c r="D21" s="331"/>
      <c r="F21" s="250"/>
      <c r="G21" s="254"/>
      <c r="H21" s="269"/>
      <c r="I21" s="269"/>
      <c r="J21" s="251"/>
    </row>
    <row r="22">
      <c r="A22" s="265"/>
      <c r="B22" s="247"/>
      <c r="C22" s="248"/>
      <c r="D22" s="331"/>
      <c r="F22" s="250"/>
      <c r="G22" s="254"/>
      <c r="H22" s="269"/>
      <c r="I22" s="269"/>
      <c r="J22" s="251"/>
    </row>
    <row r="23">
      <c r="A23" s="265"/>
      <c r="B23" s="247"/>
      <c r="C23" s="252"/>
      <c r="D23" s="822"/>
      <c r="F23" s="250"/>
      <c r="G23" s="254"/>
      <c r="H23" s="254"/>
      <c r="I23" s="269"/>
      <c r="J23" s="251"/>
    </row>
    <row r="24">
      <c r="A24" s="265"/>
      <c r="B24" s="278"/>
      <c r="C24" s="252"/>
      <c r="D24" s="822"/>
      <c r="F24" s="250"/>
      <c r="G24" s="254"/>
      <c r="H24" s="254"/>
      <c r="I24" s="269"/>
      <c r="J24" s="251"/>
    </row>
    <row r="25">
      <c r="A25" s="265"/>
      <c r="B25" s="278"/>
      <c r="C25" s="252"/>
      <c r="D25" s="331"/>
      <c r="F25" s="250"/>
      <c r="H25" s="269"/>
      <c r="I25" s="269"/>
      <c r="J25" s="251"/>
    </row>
    <row r="26">
      <c r="A26" s="265"/>
      <c r="B26" s="278"/>
      <c r="C26" s="252"/>
      <c r="D26" s="822"/>
      <c r="F26" s="250"/>
      <c r="G26" s="269"/>
      <c r="H26" s="269"/>
      <c r="I26" s="269"/>
      <c r="J26" s="251"/>
    </row>
    <row r="27">
      <c r="A27" s="270"/>
      <c r="B27" s="271"/>
      <c r="C27" s="272"/>
      <c r="D27" s="823"/>
      <c r="E27" s="18"/>
      <c r="F27" s="274"/>
      <c r="G27" s="275"/>
      <c r="H27" s="275"/>
      <c r="I27" s="275"/>
      <c r="J27" s="261"/>
    </row>
    <row r="28">
      <c r="A28" s="262">
        <v>3.0</v>
      </c>
      <c r="B28" s="239"/>
      <c r="C28" s="263"/>
      <c r="D28" s="821"/>
      <c r="E28" s="242"/>
      <c r="F28" s="250">
        <v>2250.0</v>
      </c>
      <c r="G28" s="276" t="s">
        <v>215</v>
      </c>
      <c r="H28" s="276"/>
      <c r="I28" s="276"/>
      <c r="J28" s="307"/>
    </row>
    <row r="29">
      <c r="A29" s="265"/>
      <c r="B29" s="247">
        <v>13000.0</v>
      </c>
      <c r="C29" s="248"/>
      <c r="D29" s="822"/>
      <c r="F29" s="266"/>
      <c r="G29" s="254" t="s">
        <v>79</v>
      </c>
      <c r="H29" s="269"/>
      <c r="I29" s="269"/>
      <c r="J29" s="251"/>
    </row>
    <row r="30">
      <c r="A30" s="265"/>
      <c r="B30" s="247">
        <v>4750.0</v>
      </c>
      <c r="C30" s="248"/>
      <c r="D30" s="331"/>
      <c r="F30" s="250"/>
      <c r="G30" s="254" t="s">
        <v>2621</v>
      </c>
      <c r="H30" s="269"/>
      <c r="I30" s="269"/>
      <c r="J30" s="251"/>
    </row>
    <row r="31">
      <c r="A31" s="265"/>
      <c r="B31" s="247">
        <v>6421.7</v>
      </c>
      <c r="C31" s="252"/>
      <c r="D31" s="822"/>
      <c r="F31" s="250"/>
      <c r="G31" s="254" t="s">
        <v>82</v>
      </c>
      <c r="H31" s="269"/>
      <c r="I31" s="269"/>
      <c r="J31" s="251"/>
    </row>
    <row r="32">
      <c r="A32" s="265"/>
      <c r="B32" s="247">
        <v>6300.0</v>
      </c>
      <c r="C32" s="248"/>
      <c r="D32" s="331"/>
      <c r="F32" s="250"/>
      <c r="G32" s="254" t="s">
        <v>75</v>
      </c>
      <c r="H32" s="269"/>
      <c r="I32" s="269"/>
      <c r="J32" s="251"/>
    </row>
    <row r="33">
      <c r="A33" s="265"/>
      <c r="B33" s="247"/>
      <c r="C33" s="252"/>
      <c r="D33" s="331">
        <v>72358.0</v>
      </c>
      <c r="F33" s="250"/>
      <c r="G33" s="254" t="s">
        <v>2784</v>
      </c>
      <c r="H33" s="269"/>
      <c r="I33" s="269"/>
      <c r="J33" s="251"/>
    </row>
    <row r="34">
      <c r="A34" s="265"/>
      <c r="B34" s="247">
        <v>60000.0</v>
      </c>
      <c r="C34" s="252"/>
      <c r="D34" s="822"/>
      <c r="F34" s="250"/>
      <c r="G34" s="254" t="s">
        <v>1291</v>
      </c>
      <c r="H34" s="269"/>
      <c r="I34" s="269"/>
      <c r="J34" s="251"/>
    </row>
    <row r="35">
      <c r="A35" s="265"/>
      <c r="B35" s="247"/>
      <c r="C35" s="252"/>
      <c r="D35" s="331"/>
      <c r="F35" s="250"/>
      <c r="G35" s="254"/>
      <c r="H35" s="269"/>
      <c r="I35" s="269"/>
      <c r="J35" s="267"/>
    </row>
    <row r="36">
      <c r="A36" s="265"/>
      <c r="B36" s="268"/>
      <c r="C36" s="252"/>
      <c r="D36" s="822"/>
      <c r="F36" s="250"/>
      <c r="G36" s="254"/>
      <c r="H36" s="269"/>
      <c r="I36" s="269"/>
      <c r="J36" s="267"/>
    </row>
    <row r="37">
      <c r="A37" s="265"/>
      <c r="B37" s="247"/>
      <c r="C37" s="252"/>
      <c r="D37" s="822"/>
      <c r="F37" s="250"/>
      <c r="G37" s="254"/>
      <c r="H37" s="269"/>
      <c r="I37" s="269"/>
      <c r="J37" s="251"/>
    </row>
    <row r="38">
      <c r="A38" s="265"/>
      <c r="B38" s="247"/>
      <c r="C38" s="252"/>
      <c r="D38" s="822"/>
      <c r="F38" s="250"/>
      <c r="G38" s="254"/>
      <c r="H38" s="269"/>
      <c r="I38" s="269"/>
      <c r="J38" s="251"/>
    </row>
    <row r="39">
      <c r="A39" s="265"/>
      <c r="B39" s="268"/>
      <c r="C39" s="252"/>
      <c r="D39" s="822"/>
      <c r="F39" s="250"/>
      <c r="G39" s="269"/>
      <c r="H39" s="269"/>
      <c r="I39" s="269"/>
      <c r="J39" s="251"/>
    </row>
    <row r="40">
      <c r="A40" s="270"/>
      <c r="B40" s="271"/>
      <c r="C40" s="272"/>
      <c r="D40" s="823"/>
      <c r="E40" s="18"/>
      <c r="F40" s="274"/>
      <c r="G40" s="275"/>
      <c r="H40" s="275"/>
      <c r="I40" s="275"/>
      <c r="J40" s="261"/>
    </row>
    <row r="41">
      <c r="A41" s="262">
        <v>4.0</v>
      </c>
      <c r="B41" s="239">
        <v>19446.63</v>
      </c>
      <c r="C41" s="240"/>
      <c r="D41" s="824"/>
      <c r="E41" s="242"/>
      <c r="F41" s="243"/>
      <c r="G41" s="276" t="s">
        <v>114</v>
      </c>
      <c r="H41" s="276"/>
      <c r="I41" s="276"/>
      <c r="J41" s="307"/>
    </row>
    <row r="42">
      <c r="A42" s="265"/>
      <c r="B42" s="247"/>
      <c r="C42" s="248"/>
      <c r="D42" s="822"/>
      <c r="F42" s="250">
        <v>1028.0</v>
      </c>
      <c r="G42" s="254" t="s">
        <v>97</v>
      </c>
      <c r="H42" s="269"/>
      <c r="I42" s="269"/>
      <c r="J42" s="251"/>
    </row>
    <row r="43">
      <c r="A43" s="265"/>
      <c r="B43" s="247"/>
      <c r="C43" s="248">
        <f>31218.89+17304.69-3577.97</f>
        <v>44945.61</v>
      </c>
      <c r="D43" s="331"/>
      <c r="F43" s="250"/>
      <c r="G43" s="254" t="s">
        <v>71</v>
      </c>
      <c r="H43" s="269"/>
      <c r="I43" s="269"/>
      <c r="J43" s="251"/>
    </row>
    <row r="44">
      <c r="A44" s="265"/>
      <c r="B44" s="247"/>
      <c r="C44" s="252"/>
      <c r="D44" s="822"/>
      <c r="F44" s="250">
        <v>18600.0</v>
      </c>
      <c r="G44" s="254" t="s">
        <v>87</v>
      </c>
      <c r="H44" s="269"/>
      <c r="I44" s="269"/>
      <c r="J44" s="251"/>
    </row>
    <row r="45">
      <c r="A45" s="265"/>
      <c r="B45" s="247"/>
      <c r="C45" s="252"/>
      <c r="D45" s="331"/>
      <c r="F45" s="250"/>
      <c r="G45" s="254"/>
      <c r="H45" s="269"/>
      <c r="I45" s="269"/>
      <c r="J45" s="251"/>
    </row>
    <row r="46">
      <c r="A46" s="265"/>
      <c r="B46" s="247"/>
      <c r="C46" s="252"/>
      <c r="D46" s="331"/>
      <c r="F46" s="250"/>
      <c r="G46" s="254"/>
      <c r="H46" s="269"/>
      <c r="I46" s="269"/>
      <c r="J46" s="267"/>
    </row>
    <row r="47">
      <c r="A47" s="265"/>
      <c r="B47" s="247"/>
      <c r="C47" s="248"/>
      <c r="D47" s="331"/>
      <c r="F47" s="250"/>
      <c r="G47" s="254"/>
      <c r="H47" s="269"/>
      <c r="I47" s="269"/>
      <c r="J47" s="251"/>
    </row>
    <row r="48">
      <c r="A48" s="265"/>
      <c r="B48" s="247"/>
      <c r="C48" s="252"/>
      <c r="D48" s="822"/>
      <c r="F48" s="250"/>
      <c r="G48" s="254"/>
      <c r="H48" s="269"/>
      <c r="I48" s="269"/>
      <c r="J48" s="251"/>
    </row>
    <row r="49">
      <c r="A49" s="265"/>
      <c r="B49" s="268"/>
      <c r="C49" s="248"/>
      <c r="D49" s="822"/>
      <c r="F49" s="250"/>
      <c r="G49" s="254"/>
      <c r="H49" s="269"/>
      <c r="I49" s="269"/>
      <c r="J49" s="251"/>
    </row>
    <row r="50">
      <c r="A50" s="265"/>
      <c r="B50" s="278"/>
      <c r="C50" s="252"/>
      <c r="D50" s="822"/>
      <c r="F50" s="250"/>
      <c r="G50" s="269"/>
      <c r="H50" s="269"/>
      <c r="I50" s="269"/>
      <c r="J50" s="251"/>
    </row>
    <row r="51">
      <c r="A51" s="265"/>
      <c r="B51" s="278"/>
      <c r="C51" s="252"/>
      <c r="D51" s="822"/>
      <c r="F51" s="250"/>
      <c r="G51" s="269"/>
      <c r="H51" s="269"/>
      <c r="I51" s="269"/>
      <c r="J51" s="251"/>
    </row>
    <row r="52">
      <c r="A52" s="270"/>
      <c r="B52" s="271"/>
      <c r="C52" s="272"/>
      <c r="D52" s="823"/>
      <c r="E52" s="18"/>
      <c r="F52" s="259"/>
      <c r="G52" s="260"/>
      <c r="H52" s="260"/>
      <c r="I52" s="275"/>
      <c r="J52" s="261"/>
    </row>
    <row r="53">
      <c r="A53" s="262"/>
      <c r="B53" s="278"/>
      <c r="C53" s="248"/>
      <c r="D53" s="822"/>
      <c r="F53" s="250"/>
      <c r="H53" s="269"/>
      <c r="I53" s="269"/>
      <c r="J53" s="251"/>
    </row>
    <row r="54">
      <c r="A54" s="280"/>
      <c r="B54" s="277"/>
      <c r="C54" s="252"/>
      <c r="D54" s="822"/>
      <c r="F54" s="250"/>
      <c r="G54" s="254"/>
      <c r="H54" s="269"/>
      <c r="I54" s="269"/>
      <c r="J54" s="251"/>
    </row>
    <row r="55">
      <c r="A55" s="280">
        <v>5.0</v>
      </c>
      <c r="B55" s="247"/>
      <c r="C55" s="248"/>
      <c r="D55" s="331"/>
      <c r="F55" s="250"/>
      <c r="G55" s="254"/>
      <c r="H55" s="254"/>
      <c r="I55" s="254"/>
      <c r="J55" s="251"/>
    </row>
    <row r="56">
      <c r="A56" s="265"/>
      <c r="B56" s="247"/>
      <c r="C56" s="252"/>
      <c r="D56" s="331"/>
      <c r="F56" s="250"/>
      <c r="G56" s="254"/>
      <c r="H56" s="254"/>
      <c r="I56" s="269"/>
      <c r="J56" s="251"/>
    </row>
    <row r="57">
      <c r="A57" s="265"/>
      <c r="B57" s="247"/>
      <c r="C57" s="248"/>
      <c r="D57" s="331"/>
      <c r="F57" s="250"/>
      <c r="G57" s="254"/>
      <c r="H57" s="254"/>
      <c r="I57" s="269"/>
      <c r="J57" s="251"/>
    </row>
    <row r="58">
      <c r="A58" s="265"/>
      <c r="B58" s="247"/>
      <c r="C58" s="252"/>
      <c r="D58" s="822"/>
      <c r="F58" s="250"/>
      <c r="G58" s="254"/>
      <c r="H58" s="269"/>
      <c r="I58" s="269"/>
      <c r="J58" s="251"/>
    </row>
    <row r="59">
      <c r="A59" s="265"/>
      <c r="B59" s="247"/>
      <c r="C59" s="252"/>
      <c r="D59" s="331"/>
      <c r="F59" s="250"/>
      <c r="G59" s="254"/>
      <c r="H59" s="269"/>
      <c r="I59" s="269"/>
      <c r="J59" s="267"/>
    </row>
    <row r="60">
      <c r="A60" s="265"/>
      <c r="B60" s="247"/>
      <c r="C60" s="252"/>
      <c r="D60" s="822"/>
      <c r="F60" s="250"/>
      <c r="G60" s="254"/>
      <c r="H60" s="269"/>
      <c r="I60" s="269"/>
      <c r="J60" s="251"/>
    </row>
    <row r="61">
      <c r="A61" s="265"/>
      <c r="B61" s="247"/>
      <c r="C61" s="248"/>
      <c r="D61" s="822"/>
      <c r="F61" s="250"/>
      <c r="G61" s="254"/>
      <c r="H61" s="269"/>
      <c r="I61" s="269"/>
      <c r="J61" s="251"/>
    </row>
    <row r="62">
      <c r="A62" s="265"/>
      <c r="B62" s="268"/>
      <c r="C62" s="252"/>
      <c r="D62" s="822"/>
      <c r="F62" s="250"/>
      <c r="G62" s="254"/>
      <c r="H62" s="269"/>
      <c r="I62" s="269"/>
      <c r="J62" s="251"/>
    </row>
    <row r="63">
      <c r="A63" s="265"/>
      <c r="B63" s="268"/>
      <c r="C63" s="252"/>
      <c r="D63" s="822"/>
      <c r="F63" s="250"/>
      <c r="G63" s="254"/>
      <c r="H63" s="269"/>
      <c r="I63" s="269"/>
      <c r="J63" s="251"/>
    </row>
    <row r="64">
      <c r="A64" s="270"/>
      <c r="B64" s="271"/>
      <c r="C64" s="272"/>
      <c r="D64" s="823"/>
      <c r="E64" s="18"/>
      <c r="F64" s="274"/>
      <c r="G64" s="260"/>
      <c r="H64" s="275"/>
      <c r="I64" s="275"/>
      <c r="J64" s="261"/>
    </row>
    <row r="65">
      <c r="A65" s="262">
        <v>6.0</v>
      </c>
      <c r="B65" s="239"/>
      <c r="C65" s="263"/>
      <c r="D65" s="824"/>
      <c r="E65" s="242"/>
      <c r="F65" s="243">
        <v>4800.0</v>
      </c>
      <c r="G65" s="276" t="s">
        <v>68</v>
      </c>
      <c r="H65" s="276"/>
      <c r="I65" s="276"/>
      <c r="J65" s="307"/>
    </row>
    <row r="66">
      <c r="A66" s="265"/>
      <c r="B66" s="247">
        <v>6498.54</v>
      </c>
      <c r="C66" s="248"/>
      <c r="D66" s="822"/>
      <c r="F66" s="250"/>
      <c r="G66" s="254" t="s">
        <v>82</v>
      </c>
      <c r="H66" s="269"/>
      <c r="I66" s="269"/>
      <c r="J66" s="251"/>
    </row>
    <row r="67">
      <c r="A67" s="265"/>
      <c r="B67" s="247">
        <v>16420.0</v>
      </c>
      <c r="C67" s="252"/>
      <c r="D67" s="822"/>
      <c r="F67" s="250"/>
      <c r="G67" s="254" t="s">
        <v>75</v>
      </c>
      <c r="H67" s="269"/>
      <c r="I67" s="269"/>
      <c r="J67" s="251"/>
    </row>
    <row r="68">
      <c r="A68" s="265"/>
      <c r="B68" s="247">
        <v>16640.0</v>
      </c>
      <c r="C68" s="252"/>
      <c r="D68" s="331"/>
      <c r="F68" s="250"/>
      <c r="G68" s="254" t="s">
        <v>122</v>
      </c>
      <c r="H68" s="269"/>
      <c r="I68" s="269"/>
      <c r="J68" s="267"/>
    </row>
    <row r="69">
      <c r="A69" s="265"/>
      <c r="B69" s="247"/>
      <c r="C69" s="248"/>
      <c r="D69" s="822"/>
      <c r="F69" s="250">
        <v>480.0</v>
      </c>
      <c r="G69" s="254" t="s">
        <v>695</v>
      </c>
      <c r="H69" s="269"/>
      <c r="I69" s="269"/>
      <c r="J69" s="251"/>
    </row>
    <row r="70">
      <c r="A70" s="265"/>
      <c r="B70" s="247">
        <v>35000.0</v>
      </c>
      <c r="C70" s="252"/>
      <c r="D70" s="822"/>
      <c r="F70" s="250"/>
      <c r="G70" s="254" t="s">
        <v>2785</v>
      </c>
      <c r="H70" s="269"/>
      <c r="I70" s="269"/>
      <c r="J70" s="251"/>
    </row>
    <row r="71">
      <c r="A71" s="265"/>
      <c r="B71" s="247"/>
      <c r="C71" s="252"/>
      <c r="D71" s="822"/>
      <c r="F71" s="250"/>
      <c r="G71" s="254"/>
      <c r="H71" s="269"/>
      <c r="I71" s="269"/>
      <c r="J71" s="251"/>
    </row>
    <row r="72">
      <c r="A72" s="265"/>
      <c r="B72" s="247"/>
      <c r="C72" s="252"/>
      <c r="D72" s="822"/>
      <c r="F72" s="250"/>
      <c r="G72" s="254"/>
      <c r="H72" s="269"/>
      <c r="I72" s="269"/>
      <c r="J72" s="251"/>
    </row>
    <row r="73">
      <c r="A73" s="265"/>
      <c r="B73" s="268"/>
      <c r="C73" s="248"/>
      <c r="D73" s="822"/>
      <c r="F73" s="250"/>
      <c r="G73" s="254"/>
      <c r="H73" s="269"/>
      <c r="I73" s="269"/>
      <c r="J73" s="251"/>
    </row>
    <row r="74">
      <c r="A74" s="265"/>
      <c r="B74" s="268"/>
      <c r="C74" s="248"/>
      <c r="D74" s="331"/>
      <c r="F74" s="250"/>
      <c r="G74" s="254"/>
      <c r="H74" s="269"/>
      <c r="I74" s="269"/>
      <c r="J74" s="251"/>
    </row>
    <row r="75">
      <c r="A75" s="265"/>
      <c r="B75" s="268"/>
      <c r="C75" s="248"/>
      <c r="D75" s="331"/>
      <c r="F75" s="250"/>
      <c r="G75" s="254"/>
      <c r="H75" s="269"/>
      <c r="I75" s="269"/>
      <c r="J75" s="251"/>
    </row>
    <row r="76">
      <c r="A76" s="265"/>
      <c r="B76" s="268"/>
      <c r="C76" s="248"/>
      <c r="D76" s="331"/>
      <c r="F76" s="250"/>
      <c r="G76" s="269"/>
      <c r="H76" s="269"/>
      <c r="I76" s="269"/>
      <c r="J76" s="251"/>
    </row>
    <row r="77">
      <c r="A77" s="265"/>
      <c r="B77" s="278"/>
      <c r="C77" s="252"/>
      <c r="D77" s="822"/>
      <c r="F77" s="250"/>
      <c r="G77" s="269"/>
      <c r="H77" s="269"/>
      <c r="I77" s="269"/>
      <c r="J77" s="251"/>
    </row>
    <row r="78">
      <c r="A78" s="270"/>
      <c r="B78" s="271"/>
      <c r="C78" s="272"/>
      <c r="D78" s="823"/>
      <c r="E78" s="18"/>
      <c r="F78" s="274"/>
      <c r="G78" s="275"/>
      <c r="H78" s="275"/>
      <c r="I78" s="275"/>
      <c r="J78" s="261"/>
    </row>
    <row r="79">
      <c r="A79" s="262">
        <v>7.0</v>
      </c>
      <c r="B79" s="239"/>
      <c r="C79" s="263"/>
      <c r="D79" s="821">
        <v>16895.2</v>
      </c>
      <c r="E79" s="242"/>
      <c r="F79" s="243"/>
      <c r="G79" s="276" t="s">
        <v>74</v>
      </c>
      <c r="H79" s="276"/>
      <c r="I79" s="276"/>
      <c r="J79" s="307"/>
    </row>
    <row r="80">
      <c r="A80" s="265"/>
      <c r="B80" s="247"/>
      <c r="C80" s="248"/>
      <c r="D80" s="331">
        <v>20936.5</v>
      </c>
      <c r="F80" s="250"/>
      <c r="G80" s="254" t="s">
        <v>73</v>
      </c>
      <c r="H80" s="269"/>
      <c r="I80" s="269"/>
      <c r="J80" s="251"/>
    </row>
    <row r="81">
      <c r="A81" s="265"/>
      <c r="B81" s="247">
        <v>17359.46</v>
      </c>
      <c r="C81" s="252"/>
      <c r="D81" s="822"/>
      <c r="F81" s="250"/>
      <c r="G81" s="254" t="s">
        <v>91</v>
      </c>
      <c r="H81" s="254"/>
      <c r="I81" s="828"/>
      <c r="J81" s="267"/>
    </row>
    <row r="82">
      <c r="A82" s="265"/>
      <c r="B82" s="247"/>
      <c r="C82" s="248"/>
      <c r="D82" s="822"/>
      <c r="F82" s="250">
        <v>18600.0</v>
      </c>
      <c r="G82" s="254" t="s">
        <v>87</v>
      </c>
      <c r="H82" s="269"/>
      <c r="I82" s="269"/>
      <c r="J82" s="251"/>
    </row>
    <row r="83">
      <c r="A83" s="265"/>
      <c r="B83" s="247"/>
      <c r="C83" s="248"/>
      <c r="D83" s="331">
        <v>11650.0</v>
      </c>
      <c r="F83" s="250"/>
      <c r="G83" s="254" t="s">
        <v>612</v>
      </c>
      <c r="H83" s="269"/>
      <c r="I83" s="269"/>
      <c r="J83" s="251"/>
    </row>
    <row r="84">
      <c r="A84" s="265"/>
      <c r="B84" s="247">
        <v>5130.0</v>
      </c>
      <c r="C84" s="248"/>
      <c r="D84" s="822"/>
      <c r="F84" s="250"/>
      <c r="G84" s="254" t="s">
        <v>2621</v>
      </c>
      <c r="H84" s="269"/>
      <c r="I84" s="269"/>
      <c r="J84" s="251"/>
    </row>
    <row r="85">
      <c r="A85" s="265"/>
      <c r="B85" s="247"/>
      <c r="C85" s="252"/>
      <c r="D85" s="822"/>
      <c r="F85" s="250"/>
      <c r="G85" s="254"/>
      <c r="H85" s="269"/>
      <c r="I85" s="269"/>
      <c r="J85" s="251"/>
    </row>
    <row r="86">
      <c r="A86" s="265"/>
      <c r="B86" s="247"/>
      <c r="C86" s="252"/>
      <c r="D86" s="822"/>
      <c r="F86" s="250"/>
      <c r="G86" s="254"/>
      <c r="H86" s="269"/>
      <c r="I86" s="269"/>
      <c r="J86" s="251"/>
    </row>
    <row r="87">
      <c r="A87" s="265"/>
      <c r="B87" s="247"/>
      <c r="C87" s="252"/>
      <c r="D87" s="822"/>
      <c r="F87" s="250"/>
      <c r="G87" s="254"/>
      <c r="H87" s="254"/>
      <c r="I87" s="269"/>
      <c r="J87" s="251"/>
    </row>
    <row r="88">
      <c r="A88" s="265"/>
      <c r="B88" s="278"/>
      <c r="C88" s="252"/>
      <c r="D88" s="822"/>
      <c r="F88" s="250"/>
      <c r="G88" s="269"/>
      <c r="H88" s="269"/>
      <c r="I88" s="269"/>
      <c r="J88" s="251"/>
    </row>
    <row r="89">
      <c r="A89" s="265"/>
      <c r="B89" s="278"/>
      <c r="C89" s="252"/>
      <c r="D89" s="822"/>
      <c r="F89" s="250"/>
      <c r="G89" s="269"/>
      <c r="H89" s="269"/>
      <c r="I89" s="269"/>
      <c r="J89" s="251"/>
    </row>
    <row r="90">
      <c r="A90" s="270"/>
      <c r="B90" s="271"/>
      <c r="C90" s="272"/>
      <c r="D90" s="823"/>
      <c r="E90" s="18"/>
      <c r="F90" s="259"/>
      <c r="G90" s="275"/>
      <c r="H90" s="275"/>
      <c r="I90" s="275"/>
      <c r="J90" s="261"/>
    </row>
    <row r="91">
      <c r="A91" s="262">
        <v>8.0</v>
      </c>
      <c r="B91" s="239">
        <v>6498.54</v>
      </c>
      <c r="C91" s="263"/>
      <c r="D91" s="824"/>
      <c r="E91" s="242"/>
      <c r="F91" s="243"/>
      <c r="G91" s="276" t="s">
        <v>82</v>
      </c>
      <c r="H91" s="276"/>
      <c r="I91" s="276"/>
      <c r="J91" s="307"/>
    </row>
    <row r="92">
      <c r="A92" s="265"/>
      <c r="B92" s="247">
        <v>18459.0</v>
      </c>
      <c r="C92" s="248"/>
      <c r="D92" s="822"/>
      <c r="F92" s="250"/>
      <c r="G92" s="254" t="s">
        <v>2786</v>
      </c>
      <c r="H92" s="269"/>
      <c r="I92" s="269"/>
      <c r="J92" s="251"/>
    </row>
    <row r="93">
      <c r="A93" s="265"/>
      <c r="B93" s="247"/>
      <c r="C93" s="248">
        <v>30530.74</v>
      </c>
      <c r="D93" s="822"/>
      <c r="F93" s="250"/>
      <c r="G93" s="254" t="s">
        <v>951</v>
      </c>
      <c r="H93" s="269"/>
      <c r="I93" s="269"/>
      <c r="J93" s="251"/>
    </row>
    <row r="94">
      <c r="A94" s="265"/>
      <c r="B94" s="247"/>
      <c r="C94" s="248"/>
      <c r="D94" s="822"/>
      <c r="F94" s="250"/>
      <c r="G94" s="254"/>
      <c r="H94" s="269"/>
      <c r="I94" s="269"/>
      <c r="J94" s="251"/>
    </row>
    <row r="95">
      <c r="A95" s="265"/>
      <c r="B95" s="85"/>
      <c r="C95" s="248"/>
      <c r="D95" s="822"/>
      <c r="F95" s="250"/>
      <c r="G95" s="254"/>
      <c r="H95" s="269"/>
      <c r="I95" s="269"/>
      <c r="J95" s="251"/>
    </row>
    <row r="96">
      <c r="A96" s="265"/>
      <c r="B96" s="281"/>
      <c r="C96" s="252"/>
      <c r="D96" s="331"/>
      <c r="F96" s="266"/>
      <c r="G96" s="254"/>
      <c r="H96" s="269"/>
      <c r="I96" s="269"/>
      <c r="J96" s="251"/>
    </row>
    <row r="97">
      <c r="A97" s="265"/>
      <c r="B97" s="281"/>
      <c r="C97" s="252"/>
      <c r="D97" s="331"/>
      <c r="F97" s="250"/>
      <c r="G97" s="254"/>
      <c r="H97" s="269"/>
      <c r="I97" s="269"/>
      <c r="J97" s="251"/>
    </row>
    <row r="98">
      <c r="A98" s="265"/>
      <c r="B98" s="247"/>
      <c r="C98" s="252"/>
      <c r="D98" s="331"/>
      <c r="F98" s="250"/>
      <c r="G98" s="254"/>
      <c r="H98" s="269"/>
      <c r="I98" s="269"/>
      <c r="J98" s="251"/>
    </row>
    <row r="99">
      <c r="A99" s="265"/>
      <c r="B99" s="247"/>
      <c r="C99" s="252"/>
      <c r="D99" s="822"/>
      <c r="F99" s="250"/>
      <c r="G99" s="254"/>
      <c r="H99" s="269"/>
      <c r="I99" s="269"/>
      <c r="J99" s="251"/>
    </row>
    <row r="100">
      <c r="A100" s="265"/>
      <c r="B100" s="247"/>
      <c r="C100" s="252"/>
      <c r="D100" s="331"/>
      <c r="F100" s="250"/>
      <c r="G100" s="269"/>
      <c r="H100" s="269"/>
      <c r="I100" s="269"/>
      <c r="J100" s="251"/>
    </row>
    <row r="101">
      <c r="A101" s="265"/>
      <c r="B101" s="268"/>
      <c r="C101" s="252"/>
      <c r="D101" s="822"/>
      <c r="F101" s="250"/>
      <c r="G101" s="269"/>
      <c r="H101" s="269"/>
      <c r="I101" s="269"/>
      <c r="J101" s="251"/>
    </row>
    <row r="102">
      <c r="A102" s="265"/>
      <c r="B102" s="247"/>
      <c r="C102" s="252"/>
      <c r="D102" s="822"/>
      <c r="F102" s="250"/>
      <c r="G102" s="269"/>
      <c r="H102" s="269"/>
      <c r="I102" s="269"/>
      <c r="J102" s="251"/>
    </row>
    <row r="103">
      <c r="A103" s="265"/>
      <c r="B103" s="277"/>
      <c r="C103" s="252"/>
      <c r="D103" s="822"/>
      <c r="F103" s="282"/>
      <c r="G103" s="269"/>
      <c r="H103" s="269"/>
      <c r="I103" s="269"/>
      <c r="J103" s="251"/>
    </row>
    <row r="104">
      <c r="A104" s="265"/>
      <c r="B104" s="278"/>
      <c r="C104" s="248"/>
      <c r="D104" s="822"/>
      <c r="F104" s="282"/>
      <c r="G104" s="269"/>
      <c r="H104" s="269"/>
      <c r="I104" s="269"/>
      <c r="J104" s="251"/>
    </row>
    <row r="105">
      <c r="A105" s="265"/>
      <c r="B105" s="278"/>
      <c r="C105" s="252"/>
      <c r="D105" s="822"/>
      <c r="F105" s="250"/>
      <c r="G105" s="269"/>
      <c r="H105" s="269"/>
      <c r="I105" s="269"/>
      <c r="J105" s="251"/>
    </row>
    <row r="106">
      <c r="A106" s="270"/>
      <c r="B106" s="271"/>
      <c r="C106" s="272"/>
      <c r="D106" s="823"/>
      <c r="E106" s="18"/>
      <c r="F106" s="259"/>
      <c r="G106" s="260"/>
      <c r="H106" s="260"/>
      <c r="I106" s="275"/>
      <c r="J106" s="261"/>
    </row>
    <row r="107">
      <c r="A107" s="262">
        <v>9.0</v>
      </c>
      <c r="B107" s="239"/>
      <c r="C107" s="263"/>
      <c r="D107" s="821"/>
      <c r="E107" s="242"/>
      <c r="F107" s="250">
        <f>1006+214</f>
        <v>1220</v>
      </c>
      <c r="G107" s="276" t="s">
        <v>97</v>
      </c>
      <c r="H107" s="276"/>
      <c r="I107" s="276"/>
      <c r="J107" s="307"/>
    </row>
    <row r="108">
      <c r="A108" s="265"/>
      <c r="B108" s="247">
        <v>19686.55</v>
      </c>
      <c r="C108" s="248"/>
      <c r="D108" s="331"/>
      <c r="F108" s="250"/>
      <c r="G108" s="254" t="s">
        <v>114</v>
      </c>
      <c r="H108" s="254"/>
      <c r="I108" s="269"/>
      <c r="J108" s="251"/>
    </row>
    <row r="109">
      <c r="A109" s="265"/>
      <c r="B109" s="247"/>
      <c r="C109" s="248"/>
      <c r="D109" s="822"/>
      <c r="F109" s="250">
        <v>7000.0</v>
      </c>
      <c r="G109" s="254" t="s">
        <v>2787</v>
      </c>
      <c r="H109" s="254"/>
      <c r="I109" s="269"/>
      <c r="J109" s="251"/>
    </row>
    <row r="110">
      <c r="A110" s="265"/>
      <c r="B110" s="247"/>
      <c r="C110" s="248"/>
      <c r="D110" s="331"/>
      <c r="F110" s="250">
        <v>940.0</v>
      </c>
      <c r="G110" s="254" t="s">
        <v>85</v>
      </c>
      <c r="H110" s="254"/>
      <c r="I110" s="269"/>
      <c r="J110" s="251"/>
    </row>
    <row r="111">
      <c r="A111" s="265"/>
      <c r="B111" s="247"/>
      <c r="C111" s="248"/>
      <c r="D111" s="822"/>
      <c r="F111" s="250"/>
      <c r="G111" s="254"/>
      <c r="H111" s="254"/>
      <c r="I111" s="269"/>
      <c r="J111" s="251"/>
    </row>
    <row r="112">
      <c r="A112" s="265"/>
      <c r="B112" s="247"/>
      <c r="C112" s="252"/>
      <c r="D112" s="822"/>
      <c r="F112" s="250"/>
      <c r="G112" s="254"/>
      <c r="H112" s="254"/>
      <c r="I112" s="269"/>
      <c r="J112" s="251"/>
    </row>
    <row r="113">
      <c r="A113" s="265"/>
      <c r="B113" s="247"/>
      <c r="C113" s="252"/>
      <c r="D113" s="331"/>
      <c r="F113" s="250"/>
      <c r="G113" s="254"/>
      <c r="H113" s="269"/>
      <c r="I113" s="269"/>
      <c r="J113" s="251"/>
    </row>
    <row r="114">
      <c r="A114" s="265"/>
      <c r="B114" s="247"/>
      <c r="C114" s="252"/>
      <c r="D114" s="822"/>
      <c r="F114" s="250"/>
      <c r="G114" s="254"/>
      <c r="H114" s="269"/>
      <c r="I114" s="269"/>
      <c r="J114" s="251"/>
    </row>
    <row r="115">
      <c r="A115" s="265"/>
      <c r="B115" s="247"/>
      <c r="C115" s="248"/>
      <c r="D115" s="822"/>
      <c r="F115" s="250"/>
      <c r="G115" s="254"/>
      <c r="H115" s="269"/>
      <c r="I115" s="269"/>
      <c r="J115" s="251"/>
    </row>
    <row r="116">
      <c r="A116" s="265"/>
      <c r="B116" s="247"/>
      <c r="C116" s="252"/>
      <c r="D116" s="822"/>
      <c r="F116" s="250"/>
      <c r="G116" s="254"/>
      <c r="H116" s="269"/>
      <c r="I116" s="269"/>
      <c r="J116" s="251"/>
    </row>
    <row r="117">
      <c r="A117" s="265"/>
      <c r="B117" s="277"/>
      <c r="C117" s="248"/>
      <c r="D117" s="822"/>
      <c r="F117" s="282"/>
      <c r="G117" s="254"/>
      <c r="H117" s="269"/>
      <c r="I117" s="269"/>
      <c r="J117" s="251"/>
    </row>
    <row r="118">
      <c r="A118" s="265"/>
      <c r="B118" s="277"/>
      <c r="C118" s="252"/>
      <c r="D118" s="822"/>
      <c r="F118" s="250"/>
      <c r="G118" s="254"/>
      <c r="H118" s="269"/>
      <c r="I118" s="269"/>
      <c r="J118" s="251"/>
    </row>
    <row r="119">
      <c r="A119" s="265"/>
      <c r="B119" s="278"/>
      <c r="C119" s="252"/>
      <c r="D119" s="822"/>
      <c r="F119" s="282"/>
      <c r="G119" s="269"/>
      <c r="H119" s="269"/>
      <c r="I119" s="269"/>
      <c r="J119" s="251"/>
    </row>
    <row r="120">
      <c r="A120" s="270"/>
      <c r="B120" s="271"/>
      <c r="C120" s="272"/>
      <c r="D120" s="823"/>
      <c r="E120" s="18"/>
      <c r="F120" s="274"/>
      <c r="G120" s="275"/>
      <c r="H120" s="275"/>
      <c r="I120" s="275"/>
      <c r="J120" s="261"/>
    </row>
    <row r="121">
      <c r="A121" s="262">
        <v>10.0</v>
      </c>
      <c r="B121" s="239">
        <v>7339.23</v>
      </c>
      <c r="C121" s="263"/>
      <c r="D121" s="821"/>
      <c r="E121" s="242"/>
      <c r="F121" s="243"/>
      <c r="G121" s="276" t="s">
        <v>82</v>
      </c>
      <c r="H121" s="276"/>
      <c r="I121" s="276"/>
      <c r="J121" s="307"/>
    </row>
    <row r="122">
      <c r="A122" s="265"/>
      <c r="B122" s="247"/>
      <c r="C122" s="252"/>
      <c r="D122" s="331"/>
      <c r="F122" s="250">
        <v>4800.0</v>
      </c>
      <c r="G122" s="254" t="s">
        <v>68</v>
      </c>
      <c r="H122" s="269"/>
      <c r="I122" s="269"/>
      <c r="J122" s="251"/>
    </row>
    <row r="123">
      <c r="A123" s="265"/>
      <c r="B123" s="247"/>
      <c r="C123" s="248"/>
      <c r="D123" s="331"/>
      <c r="F123" s="250">
        <f>155+150</f>
        <v>305</v>
      </c>
      <c r="G123" s="26" t="s">
        <v>97</v>
      </c>
      <c r="H123" s="26"/>
      <c r="I123" s="269"/>
      <c r="J123" s="251"/>
    </row>
    <row r="124">
      <c r="A124" s="265"/>
      <c r="B124" s="247">
        <v>4600.0</v>
      </c>
      <c r="C124" s="248"/>
      <c r="D124" s="331"/>
      <c r="F124" s="250"/>
      <c r="G124" s="254" t="s">
        <v>75</v>
      </c>
      <c r="H124" s="254"/>
      <c r="I124" s="269"/>
      <c r="J124" s="251"/>
    </row>
    <row r="125">
      <c r="A125" s="265"/>
      <c r="B125" s="247"/>
      <c r="C125" s="252"/>
      <c r="D125" s="331"/>
      <c r="F125" s="250">
        <v>200.0</v>
      </c>
      <c r="G125" s="254" t="s">
        <v>2788</v>
      </c>
      <c r="H125" s="269"/>
      <c r="I125" s="269"/>
      <c r="J125" s="251"/>
    </row>
    <row r="126">
      <c r="A126" s="265"/>
      <c r="B126" s="247"/>
      <c r="C126" s="252"/>
      <c r="D126" s="822"/>
      <c r="F126" s="250">
        <v>2000.0</v>
      </c>
      <c r="G126" s="254" t="s">
        <v>101</v>
      </c>
      <c r="H126" s="254"/>
      <c r="I126" s="269"/>
      <c r="J126" s="251"/>
    </row>
    <row r="127">
      <c r="A127" s="265"/>
      <c r="B127" s="247">
        <v>6400.0</v>
      </c>
      <c r="C127" s="252"/>
      <c r="D127" s="822"/>
      <c r="F127" s="250"/>
      <c r="G127" s="254" t="s">
        <v>2789</v>
      </c>
      <c r="H127" s="269"/>
      <c r="I127" s="269"/>
      <c r="J127" s="251"/>
    </row>
    <row r="128">
      <c r="A128" s="265"/>
      <c r="B128" s="247"/>
      <c r="C128" s="252"/>
      <c r="D128" s="331"/>
      <c r="F128" s="250"/>
      <c r="G128" s="254"/>
      <c r="H128" s="269"/>
      <c r="I128" s="269"/>
      <c r="J128" s="251"/>
    </row>
    <row r="129">
      <c r="A129" s="265"/>
      <c r="B129" s="247"/>
      <c r="C129" s="252"/>
      <c r="D129" s="331"/>
      <c r="F129" s="250"/>
      <c r="G129" s="254"/>
      <c r="H129" s="269"/>
      <c r="I129" s="269"/>
      <c r="J129" s="251"/>
    </row>
    <row r="130">
      <c r="A130" s="265"/>
      <c r="B130" s="247"/>
      <c r="C130" s="248"/>
      <c r="D130" s="822"/>
      <c r="F130" s="250"/>
      <c r="G130" s="254"/>
      <c r="H130" s="269"/>
      <c r="I130" s="269"/>
      <c r="J130" s="251"/>
    </row>
    <row r="131">
      <c r="A131" s="265"/>
      <c r="B131" s="268"/>
      <c r="C131" s="252"/>
      <c r="D131" s="822"/>
      <c r="F131" s="250"/>
      <c r="G131" s="254"/>
      <c r="H131" s="269"/>
      <c r="I131" s="269"/>
      <c r="J131" s="251"/>
    </row>
    <row r="132">
      <c r="A132" s="265"/>
      <c r="B132" s="268"/>
      <c r="C132" s="252"/>
      <c r="D132" s="822"/>
      <c r="F132" s="250"/>
      <c r="G132" s="254"/>
      <c r="H132" s="254"/>
      <c r="I132" s="269"/>
      <c r="J132" s="251"/>
    </row>
    <row r="133">
      <c r="A133" s="265"/>
      <c r="B133" s="268"/>
      <c r="C133" s="252"/>
      <c r="D133" s="822"/>
      <c r="F133" s="250"/>
      <c r="G133" s="269"/>
      <c r="H133" s="269"/>
      <c r="I133" s="269"/>
      <c r="J133" s="251"/>
    </row>
    <row r="134">
      <c r="A134" s="265"/>
      <c r="B134" s="268"/>
      <c r="C134" s="252"/>
      <c r="D134" s="822"/>
      <c r="F134" s="250"/>
      <c r="G134" s="269"/>
      <c r="H134" s="269"/>
      <c r="I134" s="269"/>
      <c r="J134" s="251"/>
    </row>
    <row r="135">
      <c r="A135" s="265"/>
      <c r="B135" s="268"/>
      <c r="C135" s="252"/>
      <c r="D135" s="822"/>
      <c r="F135" s="250"/>
      <c r="G135" s="269"/>
      <c r="H135" s="269"/>
      <c r="I135" s="269"/>
      <c r="J135" s="251"/>
    </row>
    <row r="136">
      <c r="A136" s="265"/>
      <c r="B136" s="268"/>
      <c r="C136" s="252"/>
      <c r="D136" s="822"/>
      <c r="F136" s="250"/>
      <c r="G136" s="269"/>
      <c r="H136" s="269"/>
      <c r="I136" s="269"/>
      <c r="J136" s="251"/>
    </row>
    <row r="137">
      <c r="A137" s="265"/>
      <c r="B137" s="268"/>
      <c r="C137" s="252"/>
      <c r="D137" s="822"/>
      <c r="F137" s="250"/>
      <c r="G137" s="269"/>
      <c r="H137" s="269"/>
      <c r="I137" s="269"/>
      <c r="J137" s="251"/>
    </row>
    <row r="138">
      <c r="A138" s="270"/>
      <c r="B138" s="271"/>
      <c r="C138" s="272"/>
      <c r="D138" s="823"/>
      <c r="E138" s="18"/>
      <c r="F138" s="274"/>
      <c r="G138" s="275"/>
      <c r="H138" s="275"/>
      <c r="I138" s="275"/>
      <c r="J138" s="261"/>
    </row>
    <row r="139">
      <c r="A139" s="262">
        <v>11.0</v>
      </c>
      <c r="B139" s="239"/>
      <c r="C139" s="263"/>
      <c r="D139" s="821"/>
      <c r="E139" s="242"/>
      <c r="F139" s="243">
        <v>18600.0</v>
      </c>
      <c r="G139" s="276" t="s">
        <v>87</v>
      </c>
      <c r="H139" s="276"/>
      <c r="I139" s="276"/>
      <c r="J139" s="307"/>
    </row>
    <row r="140">
      <c r="A140" s="265"/>
      <c r="B140" s="247"/>
      <c r="C140" s="252"/>
      <c r="D140" s="331"/>
      <c r="F140" s="250"/>
      <c r="G140" s="254" t="s">
        <v>89</v>
      </c>
      <c r="H140" s="254" t="s">
        <v>2790</v>
      </c>
      <c r="I140" s="269"/>
      <c r="J140" s="251"/>
    </row>
    <row r="141">
      <c r="A141" s="265"/>
      <c r="B141" s="247"/>
      <c r="C141" s="248">
        <v>55290.0</v>
      </c>
      <c r="D141" s="331"/>
      <c r="F141" s="250"/>
      <c r="G141" s="254" t="s">
        <v>89</v>
      </c>
      <c r="H141" s="254" t="s">
        <v>2791</v>
      </c>
      <c r="I141" s="269"/>
      <c r="J141" s="251"/>
    </row>
    <row r="142">
      <c r="A142" s="265"/>
      <c r="B142" s="247"/>
      <c r="C142" s="248">
        <v>66703.54</v>
      </c>
      <c r="D142" s="331"/>
      <c r="F142" s="250"/>
      <c r="G142" s="254" t="s">
        <v>71</v>
      </c>
      <c r="H142" s="269"/>
      <c r="I142" s="269"/>
      <c r="J142" s="251"/>
    </row>
    <row r="143">
      <c r="A143" s="265"/>
      <c r="B143" s="247">
        <v>5097.0</v>
      </c>
      <c r="C143" s="248"/>
      <c r="D143" s="822"/>
      <c r="F143" s="250"/>
      <c r="G143" s="254" t="s">
        <v>2621</v>
      </c>
      <c r="H143" s="269"/>
      <c r="I143" s="269"/>
      <c r="J143" s="251"/>
    </row>
    <row r="144">
      <c r="A144" s="265"/>
      <c r="B144" s="247"/>
      <c r="C144" s="252"/>
      <c r="D144" s="331">
        <v>47085.88</v>
      </c>
      <c r="F144" s="250"/>
      <c r="G144" s="254" t="s">
        <v>2792</v>
      </c>
      <c r="H144" s="269"/>
      <c r="I144" s="269"/>
      <c r="J144" s="251"/>
    </row>
    <row r="145">
      <c r="A145" s="265"/>
      <c r="B145" s="247"/>
      <c r="C145" s="252"/>
      <c r="D145" s="331"/>
      <c r="F145" s="250">
        <v>9200.0</v>
      </c>
      <c r="G145" s="254" t="s">
        <v>2760</v>
      </c>
      <c r="H145" s="269"/>
      <c r="I145" s="269"/>
      <c r="J145" s="251"/>
    </row>
    <row r="146">
      <c r="A146" s="265"/>
      <c r="B146" s="283"/>
      <c r="C146" s="248"/>
      <c r="D146" s="822"/>
      <c r="F146" s="250"/>
      <c r="G146" s="254"/>
      <c r="H146" s="269"/>
      <c r="I146" s="269"/>
      <c r="J146" s="251"/>
    </row>
    <row r="147">
      <c r="A147" s="265"/>
      <c r="B147" s="247"/>
      <c r="C147" s="248"/>
      <c r="D147" s="822"/>
      <c r="F147" s="250"/>
      <c r="G147" s="254"/>
      <c r="H147" s="269"/>
      <c r="I147" s="269"/>
      <c r="J147" s="251"/>
    </row>
    <row r="148">
      <c r="A148" s="265"/>
      <c r="B148" s="247"/>
      <c r="C148" s="252"/>
      <c r="D148" s="822"/>
      <c r="F148" s="250"/>
      <c r="G148" s="254"/>
      <c r="H148" s="269"/>
      <c r="I148" s="269"/>
      <c r="J148" s="251"/>
    </row>
    <row r="149">
      <c r="A149" s="265"/>
      <c r="B149" s="247"/>
      <c r="C149" s="252"/>
      <c r="D149" s="331"/>
      <c r="F149" s="250"/>
      <c r="G149" s="254"/>
      <c r="H149" s="269"/>
      <c r="I149" s="269"/>
      <c r="J149" s="251"/>
    </row>
    <row r="150">
      <c r="A150" s="265"/>
      <c r="B150" s="277"/>
      <c r="C150" s="252"/>
      <c r="D150" s="822"/>
      <c r="F150" s="250"/>
      <c r="G150" s="254"/>
      <c r="H150" s="269"/>
      <c r="I150" s="269"/>
      <c r="J150" s="251"/>
    </row>
    <row r="151">
      <c r="A151" s="265"/>
      <c r="B151" s="277"/>
      <c r="C151" s="252"/>
      <c r="D151" s="822"/>
      <c r="F151" s="250"/>
      <c r="G151" s="269"/>
      <c r="H151" s="269"/>
      <c r="I151" s="269"/>
      <c r="J151" s="251"/>
    </row>
    <row r="152">
      <c r="A152" s="265"/>
      <c r="B152" s="278"/>
      <c r="C152" s="252"/>
      <c r="D152" s="822"/>
      <c r="F152" s="250"/>
      <c r="G152" s="269"/>
      <c r="H152" s="269"/>
      <c r="I152" s="269"/>
      <c r="J152" s="251"/>
    </row>
    <row r="153">
      <c r="A153" s="270"/>
      <c r="B153" s="271"/>
      <c r="C153" s="272"/>
      <c r="D153" s="823"/>
      <c r="E153" s="18"/>
      <c r="F153" s="274"/>
      <c r="G153" s="275"/>
      <c r="H153" s="275"/>
      <c r="I153" s="275"/>
      <c r="J153" s="261"/>
    </row>
    <row r="154">
      <c r="A154" s="262">
        <v>13.0</v>
      </c>
      <c r="B154" s="239"/>
      <c r="C154" s="240"/>
      <c r="D154" s="824"/>
      <c r="E154" s="242"/>
      <c r="F154" s="243"/>
      <c r="G154" s="276" t="s">
        <v>76</v>
      </c>
      <c r="H154" s="276"/>
      <c r="I154" s="276"/>
      <c r="J154" s="307"/>
    </row>
    <row r="155">
      <c r="A155" s="265"/>
      <c r="B155" s="247">
        <v>27500.57</v>
      </c>
      <c r="C155" s="252"/>
      <c r="D155" s="822"/>
      <c r="F155" s="250"/>
      <c r="G155" s="254" t="s">
        <v>74</v>
      </c>
      <c r="H155" s="269"/>
      <c r="I155" s="269"/>
      <c r="J155" s="251"/>
    </row>
    <row r="156">
      <c r="A156" s="265"/>
      <c r="B156" s="247">
        <v>18065.74</v>
      </c>
      <c r="C156" s="252"/>
      <c r="D156" s="331"/>
      <c r="F156" s="418"/>
      <c r="G156" s="285" t="s">
        <v>73</v>
      </c>
      <c r="H156" s="420"/>
      <c r="I156" s="829"/>
      <c r="J156" s="251"/>
    </row>
    <row r="157">
      <c r="A157" s="265"/>
      <c r="B157" s="247">
        <v>14640.0</v>
      </c>
      <c r="C157" s="252"/>
      <c r="D157" s="822"/>
      <c r="F157" s="250"/>
      <c r="G157" s="254" t="s">
        <v>75</v>
      </c>
      <c r="H157" s="269"/>
      <c r="I157" s="269"/>
      <c r="J157" s="251"/>
    </row>
    <row r="158">
      <c r="A158" s="265"/>
      <c r="B158" s="247"/>
      <c r="C158" s="252"/>
      <c r="D158" s="331"/>
      <c r="F158" s="250"/>
      <c r="G158" s="254" t="s">
        <v>97</v>
      </c>
      <c r="H158" s="269"/>
      <c r="I158" s="269"/>
      <c r="J158" s="251"/>
    </row>
    <row r="159">
      <c r="A159" s="265"/>
      <c r="B159" s="247">
        <v>20238.21</v>
      </c>
      <c r="C159" s="248"/>
      <c r="D159" s="331"/>
      <c r="F159" s="250"/>
      <c r="G159" s="254" t="s">
        <v>114</v>
      </c>
      <c r="H159" s="269"/>
      <c r="I159" s="269"/>
      <c r="J159" s="251"/>
    </row>
    <row r="160">
      <c r="A160" s="265"/>
      <c r="B160" s="247">
        <v>9505.41</v>
      </c>
      <c r="C160" s="252"/>
      <c r="D160" s="331"/>
      <c r="F160" s="250"/>
      <c r="G160" s="254" t="s">
        <v>82</v>
      </c>
      <c r="H160" s="269"/>
      <c r="I160" s="269"/>
      <c r="J160" s="251"/>
    </row>
    <row r="161">
      <c r="A161" s="265"/>
      <c r="B161" s="247"/>
      <c r="C161" s="252"/>
      <c r="D161" s="331"/>
      <c r="F161" s="250">
        <v>810.0</v>
      </c>
      <c r="G161" s="254" t="s">
        <v>260</v>
      </c>
      <c r="H161" s="269"/>
      <c r="I161" s="269"/>
      <c r="J161" s="251"/>
    </row>
    <row r="162">
      <c r="A162" s="265"/>
      <c r="B162" s="268"/>
      <c r="C162" s="252"/>
      <c r="D162" s="331">
        <v>99715.0</v>
      </c>
      <c r="F162" s="250"/>
      <c r="G162" s="254" t="s">
        <v>144</v>
      </c>
      <c r="H162" s="254"/>
      <c r="I162" s="269"/>
      <c r="J162" s="251"/>
    </row>
    <row r="163">
      <c r="A163" s="265"/>
      <c r="B163" s="247"/>
      <c r="C163" s="252"/>
      <c r="D163" s="822"/>
      <c r="F163" s="250"/>
      <c r="G163" s="254"/>
      <c r="H163" s="269"/>
      <c r="I163" s="269"/>
      <c r="J163" s="251"/>
    </row>
    <row r="164">
      <c r="A164" s="265"/>
      <c r="B164" s="247"/>
      <c r="C164" s="252"/>
      <c r="D164" s="822"/>
      <c r="F164" s="250"/>
      <c r="G164" s="254"/>
      <c r="H164" s="269"/>
      <c r="I164" s="269"/>
      <c r="J164" s="251"/>
    </row>
    <row r="165">
      <c r="A165" s="265"/>
      <c r="B165" s="277"/>
      <c r="C165" s="252"/>
      <c r="D165" s="822"/>
      <c r="F165" s="250"/>
      <c r="G165" s="269"/>
      <c r="H165" s="269"/>
      <c r="I165" s="269"/>
      <c r="J165" s="251"/>
    </row>
    <row r="166">
      <c r="A166" s="265"/>
      <c r="B166" s="277"/>
      <c r="C166" s="252"/>
      <c r="D166" s="822"/>
      <c r="F166" s="282"/>
      <c r="G166" s="269"/>
      <c r="H166" s="269"/>
      <c r="I166" s="269"/>
      <c r="J166" s="251"/>
    </row>
    <row r="167">
      <c r="A167" s="265"/>
      <c r="B167" s="278"/>
      <c r="C167" s="252"/>
      <c r="D167" s="822"/>
      <c r="F167" s="250"/>
      <c r="G167" s="269"/>
      <c r="H167" s="269"/>
      <c r="I167" s="269"/>
      <c r="J167" s="251"/>
    </row>
    <row r="168">
      <c r="A168" s="270"/>
      <c r="B168" s="271"/>
      <c r="C168" s="272"/>
      <c r="D168" s="823"/>
      <c r="E168" s="18"/>
      <c r="F168" s="259"/>
      <c r="G168" s="260"/>
      <c r="H168" s="260"/>
      <c r="I168" s="275"/>
      <c r="J168" s="261"/>
    </row>
    <row r="169">
      <c r="A169" s="262">
        <v>14.0</v>
      </c>
      <c r="B169" s="239">
        <v>16640.0</v>
      </c>
      <c r="C169" s="263"/>
      <c r="D169" s="821"/>
      <c r="E169" s="242"/>
      <c r="F169" s="243"/>
      <c r="G169" s="276" t="s">
        <v>122</v>
      </c>
      <c r="H169" s="276"/>
      <c r="I169" s="276"/>
      <c r="J169" s="307"/>
    </row>
    <row r="170">
      <c r="A170" s="265"/>
      <c r="B170" s="247"/>
      <c r="C170" s="252"/>
      <c r="D170" s="822"/>
      <c r="F170" s="250">
        <v>2800.0</v>
      </c>
      <c r="G170" s="254" t="s">
        <v>2543</v>
      </c>
      <c r="H170" s="269"/>
      <c r="I170" s="269"/>
      <c r="J170" s="251"/>
    </row>
    <row r="171">
      <c r="A171" s="265"/>
      <c r="B171" s="247"/>
      <c r="C171" s="248">
        <v>33813.1</v>
      </c>
      <c r="D171" s="331"/>
      <c r="F171" s="250"/>
      <c r="G171" s="254" t="s">
        <v>84</v>
      </c>
      <c r="H171" s="254"/>
      <c r="I171" s="269"/>
      <c r="J171" s="251"/>
    </row>
    <row r="172">
      <c r="A172" s="265"/>
      <c r="B172" s="247"/>
      <c r="C172" s="248"/>
      <c r="D172" s="331"/>
      <c r="F172" s="250">
        <v>8600.0</v>
      </c>
      <c r="G172" s="254" t="s">
        <v>128</v>
      </c>
      <c r="H172" s="254"/>
      <c r="I172" s="254"/>
      <c r="J172" s="251"/>
    </row>
    <row r="173">
      <c r="A173" s="265"/>
      <c r="B173" s="247"/>
      <c r="C173" s="252"/>
      <c r="D173" s="822"/>
      <c r="F173" s="250">
        <v>18600.0</v>
      </c>
      <c r="G173" s="254" t="s">
        <v>87</v>
      </c>
      <c r="H173" s="269"/>
      <c r="I173" s="269"/>
      <c r="J173" s="251"/>
    </row>
    <row r="174">
      <c r="A174" s="265"/>
      <c r="B174" s="247"/>
      <c r="C174" s="248"/>
      <c r="D174" s="331"/>
      <c r="F174" s="250">
        <v>3725.0</v>
      </c>
      <c r="G174" s="254" t="s">
        <v>2793</v>
      </c>
      <c r="H174" s="269"/>
      <c r="I174" s="269"/>
      <c r="J174" s="251"/>
    </row>
    <row r="175">
      <c r="A175" s="265"/>
      <c r="B175" s="247"/>
      <c r="C175" s="248"/>
      <c r="D175" s="331"/>
      <c r="F175" s="250">
        <v>14500.0</v>
      </c>
      <c r="G175" s="254" t="s">
        <v>612</v>
      </c>
      <c r="H175" s="269"/>
      <c r="I175" s="269"/>
      <c r="J175" s="251"/>
    </row>
    <row r="176">
      <c r="A176" s="265"/>
      <c r="B176" s="247"/>
      <c r="C176" s="252"/>
      <c r="D176" s="331"/>
      <c r="F176" s="250"/>
      <c r="G176" s="254"/>
      <c r="H176" s="269"/>
      <c r="I176" s="269"/>
      <c r="J176" s="251"/>
    </row>
    <row r="177">
      <c r="A177" s="265"/>
      <c r="B177" s="247"/>
      <c r="C177" s="252"/>
      <c r="D177" s="822"/>
      <c r="F177" s="250"/>
      <c r="G177" s="254"/>
      <c r="H177" s="269"/>
      <c r="I177" s="269"/>
      <c r="J177" s="251"/>
    </row>
    <row r="178">
      <c r="A178" s="270"/>
      <c r="B178" s="279"/>
      <c r="C178" s="272"/>
      <c r="D178" s="823"/>
      <c r="E178" s="18"/>
      <c r="F178" s="274"/>
      <c r="G178" s="260"/>
      <c r="H178" s="260"/>
      <c r="I178" s="275"/>
      <c r="J178" s="261"/>
    </row>
    <row r="179">
      <c r="A179" s="262">
        <v>15.0</v>
      </c>
      <c r="B179" s="239"/>
      <c r="C179" s="263"/>
      <c r="D179" s="821"/>
      <c r="E179" s="242"/>
      <c r="F179" s="250">
        <v>4800.0</v>
      </c>
      <c r="G179" s="276" t="s">
        <v>68</v>
      </c>
      <c r="H179" s="276"/>
      <c r="I179" s="276"/>
      <c r="J179" s="307"/>
    </row>
    <row r="180">
      <c r="A180" s="265"/>
      <c r="B180" s="247">
        <v>7958.0</v>
      </c>
      <c r="C180" s="252"/>
      <c r="D180" s="331"/>
      <c r="F180" s="250"/>
      <c r="G180" s="254" t="s">
        <v>82</v>
      </c>
      <c r="H180" s="269"/>
      <c r="I180" s="269"/>
      <c r="J180" s="251"/>
    </row>
    <row r="181">
      <c r="A181" s="265"/>
      <c r="B181" s="247">
        <v>35973.12</v>
      </c>
      <c r="C181" s="248"/>
      <c r="D181" s="331"/>
      <c r="F181" s="250"/>
      <c r="G181" s="254" t="s">
        <v>100</v>
      </c>
      <c r="H181" s="269"/>
      <c r="I181" s="269"/>
      <c r="J181" s="251"/>
    </row>
    <row r="182">
      <c r="A182" s="265"/>
      <c r="B182" s="247">
        <v>24620.44</v>
      </c>
      <c r="C182" s="248"/>
      <c r="D182" s="331"/>
      <c r="F182" s="250"/>
      <c r="G182" s="254" t="s">
        <v>2748</v>
      </c>
      <c r="H182" s="269"/>
      <c r="I182" s="269"/>
      <c r="J182" s="251"/>
    </row>
    <row r="183">
      <c r="A183" s="265"/>
      <c r="B183" s="247">
        <v>13000.0</v>
      </c>
      <c r="C183" s="248"/>
      <c r="D183" s="331"/>
      <c r="F183" s="250"/>
      <c r="G183" s="254" t="s">
        <v>79</v>
      </c>
      <c r="H183" s="269"/>
      <c r="I183" s="269"/>
      <c r="J183" s="251"/>
    </row>
    <row r="184">
      <c r="A184" s="265"/>
      <c r="B184" s="247"/>
      <c r="C184" s="252"/>
      <c r="D184" s="331"/>
      <c r="F184" s="250"/>
      <c r="G184" s="254"/>
      <c r="H184" s="269"/>
      <c r="I184" s="269"/>
      <c r="J184" s="251"/>
    </row>
    <row r="185">
      <c r="A185" s="265"/>
      <c r="B185" s="247"/>
      <c r="C185" s="252"/>
      <c r="D185" s="331"/>
      <c r="F185" s="250"/>
      <c r="G185" s="254"/>
      <c r="H185" s="269"/>
      <c r="I185" s="269"/>
      <c r="J185" s="251"/>
    </row>
    <row r="186">
      <c r="A186" s="265"/>
      <c r="B186" s="247"/>
      <c r="C186" s="252"/>
      <c r="D186" s="822"/>
      <c r="F186" s="250"/>
      <c r="G186" s="254"/>
      <c r="H186" s="269"/>
      <c r="I186" s="269"/>
      <c r="J186" s="251"/>
    </row>
    <row r="187">
      <c r="A187" s="265"/>
      <c r="B187" s="247"/>
      <c r="C187" s="252"/>
      <c r="D187" s="331"/>
      <c r="F187" s="250"/>
      <c r="G187" s="254"/>
      <c r="H187" s="254"/>
      <c r="I187" s="269"/>
      <c r="J187" s="251"/>
    </row>
    <row r="188">
      <c r="A188" s="265"/>
      <c r="B188" s="247"/>
      <c r="C188" s="252"/>
      <c r="D188" s="822"/>
      <c r="F188" s="250"/>
      <c r="G188" s="254"/>
      <c r="H188" s="269"/>
      <c r="I188" s="269"/>
      <c r="J188" s="251"/>
    </row>
    <row r="189">
      <c r="A189" s="265"/>
      <c r="B189" s="247"/>
      <c r="C189" s="252"/>
      <c r="D189" s="822"/>
      <c r="F189" s="250"/>
      <c r="G189" s="254"/>
      <c r="H189" s="269"/>
      <c r="I189" s="269"/>
      <c r="J189" s="251"/>
    </row>
    <row r="190">
      <c r="A190" s="265"/>
      <c r="B190" s="247"/>
      <c r="C190" s="252"/>
      <c r="D190" s="822"/>
      <c r="F190" s="250"/>
      <c r="G190" s="254"/>
      <c r="H190" s="254"/>
      <c r="I190" s="269"/>
      <c r="J190" s="251"/>
    </row>
    <row r="191">
      <c r="A191" s="265"/>
      <c r="B191" s="268"/>
      <c r="C191" s="252"/>
      <c r="D191" s="822"/>
      <c r="F191" s="250"/>
      <c r="G191" s="269"/>
      <c r="H191" s="269"/>
      <c r="I191" s="269"/>
      <c r="J191" s="251"/>
    </row>
    <row r="192">
      <c r="A192" s="265"/>
      <c r="B192" s="268"/>
      <c r="C192" s="252"/>
      <c r="D192" s="822"/>
      <c r="F192" s="250"/>
      <c r="G192" s="269"/>
      <c r="H192" s="269"/>
      <c r="I192" s="269"/>
      <c r="J192" s="251"/>
    </row>
    <row r="193">
      <c r="A193" s="270"/>
      <c r="B193" s="271"/>
      <c r="C193" s="272"/>
      <c r="D193" s="823"/>
      <c r="E193" s="18"/>
      <c r="F193" s="259"/>
      <c r="G193" s="260"/>
      <c r="H193" s="260"/>
      <c r="I193" s="275"/>
      <c r="J193" s="261"/>
    </row>
    <row r="194">
      <c r="A194" s="262">
        <v>16.0</v>
      </c>
      <c r="B194" s="247"/>
      <c r="C194" s="248"/>
      <c r="D194" s="822"/>
      <c r="F194" s="250">
        <f>280+990</f>
        <v>1270</v>
      </c>
      <c r="G194" s="254" t="s">
        <v>63</v>
      </c>
      <c r="H194" s="276"/>
      <c r="I194" s="269"/>
      <c r="J194" s="286"/>
    </row>
    <row r="195">
      <c r="A195" s="265"/>
      <c r="B195" s="247"/>
      <c r="C195" s="252"/>
      <c r="D195" s="331">
        <v>16253.64</v>
      </c>
      <c r="F195" s="250"/>
      <c r="G195" s="254" t="s">
        <v>65</v>
      </c>
      <c r="H195" s="269"/>
      <c r="I195" s="269"/>
      <c r="J195" s="251"/>
    </row>
    <row r="196">
      <c r="A196" s="265"/>
      <c r="B196" s="247"/>
      <c r="C196" s="252"/>
      <c r="D196" s="331">
        <v>35973.12</v>
      </c>
      <c r="F196" s="250"/>
      <c r="G196" s="254" t="s">
        <v>2794</v>
      </c>
      <c r="H196" s="269"/>
      <c r="I196" s="269"/>
      <c r="J196" s="251"/>
    </row>
    <row r="197">
      <c r="A197" s="265"/>
      <c r="B197" s="247">
        <v>8380.0</v>
      </c>
      <c r="C197" s="248"/>
      <c r="D197" s="331"/>
      <c r="F197" s="250"/>
      <c r="G197" s="254" t="s">
        <v>2795</v>
      </c>
      <c r="H197" s="269"/>
      <c r="I197" s="269"/>
      <c r="J197" s="251"/>
    </row>
    <row r="198">
      <c r="A198" s="265"/>
      <c r="B198" s="247">
        <v>5235.0</v>
      </c>
      <c r="C198" s="248"/>
      <c r="D198" s="331"/>
      <c r="F198" s="250"/>
      <c r="G198" s="254" t="s">
        <v>344</v>
      </c>
      <c r="H198" s="269"/>
      <c r="I198" s="269"/>
      <c r="J198" s="251"/>
    </row>
    <row r="199">
      <c r="A199" s="265"/>
      <c r="B199" s="247"/>
      <c r="C199" s="252"/>
      <c r="D199" s="331"/>
      <c r="F199" s="250">
        <v>6000.0</v>
      </c>
      <c r="G199" s="254" t="s">
        <v>1105</v>
      </c>
      <c r="H199" s="269"/>
      <c r="I199" s="269"/>
      <c r="J199" s="251"/>
    </row>
    <row r="200">
      <c r="A200" s="265"/>
      <c r="B200" s="247"/>
      <c r="C200" s="252"/>
      <c r="D200" s="822"/>
      <c r="F200" s="250"/>
      <c r="G200" s="254"/>
      <c r="H200" s="269"/>
      <c r="I200" s="269"/>
      <c r="J200" s="251"/>
    </row>
    <row r="201">
      <c r="A201" s="265"/>
      <c r="B201" s="247"/>
      <c r="C201" s="252"/>
      <c r="D201" s="331"/>
      <c r="F201" s="250"/>
      <c r="G201" s="254"/>
      <c r="H201" s="269"/>
      <c r="I201" s="269"/>
      <c r="J201" s="251"/>
    </row>
    <row r="202">
      <c r="A202" s="265"/>
      <c r="B202" s="247"/>
      <c r="C202" s="248"/>
      <c r="D202" s="822"/>
      <c r="F202" s="250"/>
      <c r="G202" s="254"/>
      <c r="H202" s="269"/>
      <c r="I202" s="269"/>
      <c r="J202" s="251"/>
    </row>
    <row r="203">
      <c r="A203" s="265"/>
      <c r="B203" s="247"/>
      <c r="C203" s="252"/>
      <c r="D203" s="822"/>
      <c r="F203" s="250"/>
      <c r="G203" s="254"/>
      <c r="H203" s="254"/>
      <c r="I203" s="269"/>
      <c r="J203" s="251"/>
    </row>
    <row r="204">
      <c r="A204" s="265"/>
      <c r="B204" s="247"/>
      <c r="C204" s="252"/>
      <c r="D204" s="331"/>
      <c r="F204" s="250"/>
      <c r="G204" s="254"/>
      <c r="H204" s="269"/>
      <c r="I204" s="269"/>
      <c r="J204" s="251"/>
    </row>
    <row r="205">
      <c r="A205" s="265"/>
      <c r="B205" s="247"/>
      <c r="C205" s="248"/>
      <c r="D205" s="331"/>
      <c r="F205" s="250"/>
      <c r="G205" s="254"/>
      <c r="H205" s="269"/>
      <c r="I205" s="269"/>
      <c r="J205" s="251"/>
    </row>
    <row r="206">
      <c r="A206" s="265"/>
      <c r="B206" s="247"/>
      <c r="C206" s="248"/>
      <c r="D206" s="331"/>
      <c r="F206" s="250"/>
      <c r="G206" s="254"/>
      <c r="H206" s="269"/>
      <c r="I206" s="269"/>
      <c r="J206" s="251"/>
    </row>
    <row r="207">
      <c r="A207" s="265"/>
      <c r="B207" s="247"/>
      <c r="C207" s="252"/>
      <c r="D207" s="331"/>
      <c r="F207" s="250"/>
      <c r="G207" s="254"/>
      <c r="H207" s="269"/>
      <c r="I207" s="269"/>
      <c r="J207" s="251"/>
    </row>
    <row r="208">
      <c r="A208" s="265"/>
      <c r="B208" s="247"/>
      <c r="C208" s="252"/>
      <c r="D208" s="822"/>
      <c r="F208" s="250"/>
      <c r="G208" s="254"/>
      <c r="H208" s="269"/>
      <c r="I208" s="269"/>
      <c r="J208" s="251"/>
    </row>
    <row r="209">
      <c r="A209" s="270"/>
      <c r="B209" s="247"/>
      <c r="C209" s="252"/>
      <c r="D209" s="331"/>
      <c r="F209" s="250"/>
      <c r="G209" s="254"/>
      <c r="H209" s="275"/>
      <c r="I209" s="275"/>
      <c r="J209" s="261"/>
    </row>
    <row r="210">
      <c r="A210" s="262">
        <v>17.0</v>
      </c>
      <c r="B210" s="239"/>
      <c r="C210" s="263"/>
      <c r="D210" s="821"/>
      <c r="E210" s="242"/>
      <c r="F210" s="243">
        <v>2000.0</v>
      </c>
      <c r="G210" s="276" t="s">
        <v>101</v>
      </c>
      <c r="H210" s="276"/>
      <c r="I210" s="276"/>
      <c r="J210" s="307"/>
    </row>
    <row r="211">
      <c r="A211" s="265"/>
      <c r="B211" s="247">
        <v>8612.31</v>
      </c>
      <c r="C211" s="248"/>
      <c r="D211" s="331"/>
      <c r="F211" s="250"/>
      <c r="G211" s="254" t="s">
        <v>82</v>
      </c>
      <c r="H211" s="269"/>
      <c r="I211" s="269"/>
      <c r="J211" s="251"/>
    </row>
    <row r="212">
      <c r="A212" s="265"/>
      <c r="B212" s="247"/>
      <c r="C212" s="252"/>
      <c r="D212" s="822"/>
      <c r="F212" s="250">
        <v>237.0</v>
      </c>
      <c r="G212" s="254" t="s">
        <v>97</v>
      </c>
      <c r="H212" s="269"/>
      <c r="I212" s="269"/>
      <c r="J212" s="251"/>
    </row>
    <row r="213">
      <c r="A213" s="265"/>
      <c r="B213" s="247">
        <v>8200.0</v>
      </c>
      <c r="C213" s="252"/>
      <c r="D213" s="822"/>
      <c r="F213" s="250"/>
      <c r="G213" s="254" t="s">
        <v>75</v>
      </c>
      <c r="H213" s="269"/>
      <c r="I213" s="269"/>
      <c r="J213" s="251"/>
    </row>
    <row r="214">
      <c r="A214" s="265"/>
      <c r="B214" s="247"/>
      <c r="C214" s="248"/>
      <c r="D214" s="331"/>
      <c r="F214" s="250"/>
      <c r="G214" s="254"/>
      <c r="H214" s="269"/>
      <c r="I214" s="269"/>
      <c r="J214" s="251"/>
    </row>
    <row r="215">
      <c r="A215" s="265"/>
      <c r="B215" s="247"/>
      <c r="C215" s="248"/>
      <c r="D215" s="331"/>
      <c r="F215" s="250"/>
      <c r="G215" s="254"/>
      <c r="H215" s="269"/>
      <c r="I215" s="269"/>
      <c r="J215" s="251"/>
    </row>
    <row r="216">
      <c r="A216" s="265"/>
      <c r="B216" s="268"/>
      <c r="C216" s="248"/>
      <c r="D216" s="331"/>
      <c r="F216" s="250"/>
      <c r="G216" s="254"/>
      <c r="H216" s="269"/>
      <c r="I216" s="269"/>
      <c r="J216" s="251"/>
    </row>
    <row r="217">
      <c r="A217" s="265"/>
      <c r="B217" s="247"/>
      <c r="C217" s="252"/>
      <c r="D217" s="331"/>
      <c r="F217" s="250"/>
      <c r="G217" s="254"/>
      <c r="H217" s="269"/>
      <c r="I217" s="269"/>
      <c r="J217" s="251"/>
    </row>
    <row r="218">
      <c r="A218" s="265"/>
      <c r="B218" s="268"/>
      <c r="C218" s="248"/>
      <c r="D218" s="331"/>
      <c r="F218" s="250"/>
      <c r="G218" s="254"/>
      <c r="H218" s="254"/>
      <c r="I218" s="269"/>
      <c r="J218" s="251"/>
    </row>
    <row r="219">
      <c r="A219" s="265"/>
      <c r="B219" s="247"/>
      <c r="C219" s="248"/>
      <c r="D219" s="822"/>
      <c r="F219" s="250"/>
      <c r="G219" s="254"/>
      <c r="H219" s="269"/>
      <c r="I219" s="269"/>
      <c r="J219" s="251"/>
    </row>
    <row r="220">
      <c r="A220" s="265"/>
      <c r="B220" s="268"/>
      <c r="C220" s="248"/>
      <c r="D220" s="822"/>
      <c r="F220" s="250"/>
      <c r="G220" s="269"/>
      <c r="H220" s="269"/>
      <c r="I220" s="269"/>
      <c r="J220" s="251"/>
    </row>
    <row r="221">
      <c r="A221" s="265"/>
      <c r="B221" s="247"/>
      <c r="C221" s="248"/>
      <c r="D221" s="822"/>
      <c r="F221" s="250"/>
      <c r="G221" s="269"/>
      <c r="H221" s="269"/>
      <c r="I221" s="269"/>
      <c r="J221" s="251"/>
    </row>
    <row r="222">
      <c r="A222" s="265"/>
      <c r="B222" s="278"/>
      <c r="C222" s="252"/>
      <c r="D222" s="822"/>
      <c r="F222" s="250"/>
      <c r="G222" s="269"/>
      <c r="H222" s="269"/>
      <c r="I222" s="269"/>
      <c r="J222" s="251"/>
    </row>
    <row r="223">
      <c r="A223" s="265"/>
      <c r="B223" s="278"/>
      <c r="C223" s="252"/>
      <c r="D223" s="822"/>
      <c r="F223" s="282"/>
      <c r="G223" s="269"/>
      <c r="H223" s="269"/>
      <c r="I223" s="269"/>
      <c r="J223" s="251"/>
    </row>
    <row r="224">
      <c r="A224" s="270"/>
      <c r="B224" s="271"/>
      <c r="C224" s="272"/>
      <c r="D224" s="823"/>
      <c r="E224" s="18"/>
      <c r="F224" s="274"/>
      <c r="G224" s="275"/>
      <c r="H224" s="275"/>
      <c r="I224" s="275"/>
      <c r="J224" s="261"/>
    </row>
    <row r="225">
      <c r="A225" s="262">
        <v>18.0</v>
      </c>
      <c r="B225" s="239">
        <v>12000.0</v>
      </c>
      <c r="C225" s="263"/>
      <c r="D225" s="821"/>
      <c r="E225" s="242"/>
      <c r="F225" s="243"/>
      <c r="G225" s="276" t="s">
        <v>295</v>
      </c>
      <c r="H225" s="276"/>
      <c r="I225" s="276"/>
      <c r="J225" s="307"/>
    </row>
    <row r="226">
      <c r="A226" s="265"/>
      <c r="B226" s="247">
        <v>14208.0</v>
      </c>
      <c r="C226" s="248"/>
      <c r="D226" s="331"/>
      <c r="F226" s="250"/>
      <c r="G226" s="254" t="s">
        <v>94</v>
      </c>
      <c r="H226" s="269"/>
      <c r="I226" s="269"/>
      <c r="J226" s="251"/>
    </row>
    <row r="227">
      <c r="A227" s="265"/>
      <c r="B227" s="247"/>
      <c r="C227" s="252"/>
      <c r="D227" s="331"/>
      <c r="F227" s="250">
        <v>18600.0</v>
      </c>
      <c r="G227" s="254" t="s">
        <v>87</v>
      </c>
      <c r="H227" s="269"/>
      <c r="I227" s="269"/>
      <c r="J227" s="251"/>
    </row>
    <row r="228">
      <c r="A228" s="265"/>
      <c r="B228" s="247">
        <v>14886.32</v>
      </c>
      <c r="C228" s="248"/>
      <c r="D228" s="331"/>
      <c r="F228" s="250"/>
      <c r="G228" s="254" t="s">
        <v>73</v>
      </c>
      <c r="H228" s="269"/>
      <c r="I228" s="269"/>
      <c r="J228" s="251"/>
    </row>
    <row r="229">
      <c r="A229" s="265"/>
      <c r="B229" s="247">
        <v>19473.86</v>
      </c>
      <c r="C229" s="252"/>
      <c r="D229" s="822"/>
      <c r="F229" s="250"/>
      <c r="G229" s="254" t="s">
        <v>74</v>
      </c>
      <c r="H229" s="269"/>
      <c r="I229" s="269"/>
      <c r="J229" s="251"/>
    </row>
    <row r="230">
      <c r="A230" s="265"/>
      <c r="B230" s="247"/>
      <c r="C230" s="252">
        <f>41021.44+29488.91+17991.73</f>
        <v>88502.08</v>
      </c>
      <c r="D230" s="822"/>
      <c r="F230" s="250"/>
      <c r="G230" s="254"/>
      <c r="H230" s="269"/>
      <c r="I230" s="269"/>
      <c r="J230" s="251"/>
    </row>
    <row r="231">
      <c r="A231" s="265"/>
      <c r="B231" s="247">
        <v>3500.0</v>
      </c>
      <c r="C231" s="252"/>
      <c r="D231" s="822"/>
      <c r="F231" s="250"/>
      <c r="G231" s="254" t="s">
        <v>2796</v>
      </c>
      <c r="H231" s="269"/>
      <c r="I231" s="269"/>
      <c r="J231" s="251"/>
    </row>
    <row r="232">
      <c r="A232" s="265"/>
      <c r="B232" s="247"/>
      <c r="C232" s="252"/>
      <c r="D232" s="822"/>
      <c r="F232" s="250">
        <f>1010+1050</f>
        <v>2060</v>
      </c>
      <c r="G232" s="254" t="s">
        <v>215</v>
      </c>
      <c r="H232" s="269"/>
      <c r="I232" s="269"/>
      <c r="J232" s="251"/>
    </row>
    <row r="233">
      <c r="A233" s="265"/>
      <c r="B233" s="247"/>
      <c r="C233" s="252"/>
      <c r="D233" s="331"/>
      <c r="F233" s="250"/>
      <c r="G233" s="254"/>
      <c r="H233" s="269"/>
      <c r="I233" s="269"/>
      <c r="J233" s="251"/>
    </row>
    <row r="234">
      <c r="A234" s="265"/>
      <c r="B234" s="278"/>
      <c r="C234" s="252"/>
      <c r="D234" s="822"/>
      <c r="F234" s="250"/>
      <c r="G234" s="254"/>
      <c r="H234" s="269"/>
      <c r="I234" s="269"/>
      <c r="J234" s="251"/>
    </row>
    <row r="235">
      <c r="A235" s="265"/>
      <c r="B235" s="278"/>
      <c r="C235" s="252"/>
      <c r="D235" s="822"/>
      <c r="F235" s="282"/>
      <c r="G235" s="269"/>
      <c r="H235" s="269"/>
      <c r="I235" s="269"/>
      <c r="J235" s="251"/>
    </row>
    <row r="236">
      <c r="A236" s="270"/>
      <c r="B236" s="271"/>
      <c r="C236" s="272"/>
      <c r="D236" s="823"/>
      <c r="E236" s="18"/>
      <c r="F236" s="274"/>
      <c r="G236" s="275"/>
      <c r="H236" s="275"/>
      <c r="I236" s="275"/>
      <c r="J236" s="261"/>
    </row>
    <row r="237">
      <c r="A237" s="262">
        <v>21.0</v>
      </c>
      <c r="B237" s="239"/>
      <c r="C237" s="240"/>
      <c r="D237" s="821"/>
      <c r="E237" s="242"/>
      <c r="F237" s="243">
        <v>597.0</v>
      </c>
      <c r="G237" s="276" t="s">
        <v>63</v>
      </c>
      <c r="H237" s="276"/>
      <c r="I237" s="276"/>
      <c r="J237" s="307"/>
    </row>
    <row r="238">
      <c r="A238" s="265"/>
      <c r="B238" s="247"/>
      <c r="C238" s="252"/>
      <c r="D238" s="331">
        <v>10180.0</v>
      </c>
      <c r="F238" s="250"/>
      <c r="G238" s="254" t="s">
        <v>662</v>
      </c>
      <c r="H238" s="254"/>
      <c r="I238" s="269"/>
      <c r="J238" s="251"/>
    </row>
    <row r="239">
      <c r="A239" s="265"/>
      <c r="B239" s="247">
        <v>6498.54</v>
      </c>
      <c r="C239" s="252"/>
      <c r="D239" s="331"/>
      <c r="F239" s="250"/>
      <c r="G239" s="254" t="s">
        <v>58</v>
      </c>
      <c r="H239" s="269"/>
      <c r="I239" s="269"/>
      <c r="J239" s="251"/>
    </row>
    <row r="240">
      <c r="A240" s="265"/>
      <c r="B240" s="247"/>
      <c r="C240" s="248"/>
      <c r="D240" s="822"/>
      <c r="F240" s="250">
        <v>6000.0</v>
      </c>
      <c r="G240" s="254" t="s">
        <v>2797</v>
      </c>
      <c r="H240" s="269"/>
      <c r="I240" s="269"/>
      <c r="J240" s="251"/>
    </row>
    <row r="241">
      <c r="A241" s="265"/>
      <c r="B241" s="247">
        <v>1075.0</v>
      </c>
      <c r="C241" s="248"/>
      <c r="D241" s="822"/>
      <c r="F241" s="250"/>
      <c r="G241" s="254" t="s">
        <v>2798</v>
      </c>
      <c r="H241" s="269"/>
      <c r="I241" s="269"/>
      <c r="J241" s="251"/>
    </row>
    <row r="242">
      <c r="A242" s="265"/>
      <c r="B242" s="247"/>
      <c r="C242" s="248"/>
      <c r="D242" s="331"/>
      <c r="F242" s="250">
        <v>2000.0</v>
      </c>
      <c r="G242" s="254" t="s">
        <v>101</v>
      </c>
      <c r="H242" s="269"/>
      <c r="I242" s="269"/>
      <c r="J242" s="251"/>
    </row>
    <row r="243">
      <c r="A243" s="265"/>
      <c r="B243" s="247"/>
      <c r="C243" s="252"/>
      <c r="D243" s="822"/>
      <c r="F243" s="250"/>
      <c r="G243" s="254"/>
      <c r="H243" s="269"/>
      <c r="I243" s="269"/>
      <c r="J243" s="251"/>
    </row>
    <row r="244">
      <c r="A244" s="265"/>
      <c r="B244" s="247"/>
      <c r="C244" s="252"/>
      <c r="D244" s="822"/>
      <c r="F244" s="250"/>
      <c r="G244" s="254"/>
      <c r="H244" s="269"/>
      <c r="I244" s="269"/>
      <c r="J244" s="251"/>
    </row>
    <row r="245">
      <c r="A245" s="265"/>
      <c r="B245" s="247"/>
      <c r="C245" s="252"/>
      <c r="D245" s="822"/>
      <c r="F245" s="250"/>
      <c r="G245" s="254"/>
      <c r="H245" s="269"/>
      <c r="I245" s="269"/>
      <c r="J245" s="251"/>
    </row>
    <row r="246">
      <c r="A246" s="265"/>
      <c r="B246" s="247"/>
      <c r="C246" s="252"/>
      <c r="D246" s="822"/>
      <c r="F246" s="250"/>
      <c r="G246" s="254"/>
      <c r="H246" s="269"/>
      <c r="I246" s="269"/>
      <c r="J246" s="251"/>
    </row>
    <row r="247">
      <c r="A247" s="265"/>
      <c r="B247" s="268"/>
      <c r="C247" s="252"/>
      <c r="D247" s="822"/>
      <c r="F247" s="250"/>
      <c r="G247" s="254"/>
      <c r="H247" s="269"/>
      <c r="I247" s="269"/>
      <c r="J247" s="251"/>
    </row>
    <row r="248">
      <c r="A248" s="265"/>
      <c r="B248" s="277"/>
      <c r="C248" s="252"/>
      <c r="D248" s="822"/>
      <c r="F248" s="282"/>
      <c r="G248" s="269"/>
      <c r="H248" s="269"/>
      <c r="I248" s="269"/>
      <c r="J248" s="251"/>
    </row>
    <row r="249">
      <c r="A249" s="265"/>
      <c r="B249" s="278"/>
      <c r="C249" s="252"/>
      <c r="D249" s="822"/>
      <c r="F249" s="282"/>
      <c r="G249" s="269"/>
      <c r="H249" s="269"/>
      <c r="I249" s="269"/>
      <c r="J249" s="251"/>
    </row>
    <row r="250">
      <c r="A250" s="265"/>
      <c r="B250" s="278"/>
      <c r="C250" s="252"/>
      <c r="D250" s="822"/>
      <c r="F250" s="282"/>
      <c r="G250" s="269"/>
      <c r="H250" s="269"/>
      <c r="I250" s="269"/>
      <c r="J250" s="251"/>
    </row>
    <row r="251">
      <c r="A251" s="270"/>
      <c r="B251" s="271"/>
      <c r="C251" s="272"/>
      <c r="D251" s="823"/>
      <c r="E251" s="18"/>
      <c r="F251" s="274"/>
      <c r="G251" s="275"/>
      <c r="H251" s="275"/>
      <c r="I251" s="275"/>
      <c r="J251" s="261"/>
    </row>
    <row r="252">
      <c r="A252" s="262">
        <v>22.0</v>
      </c>
      <c r="B252" s="239">
        <v>10180.0</v>
      </c>
      <c r="C252" s="263"/>
      <c r="D252" s="824"/>
      <c r="E252" s="242"/>
      <c r="F252" s="243"/>
      <c r="G252" s="276" t="s">
        <v>75</v>
      </c>
      <c r="H252" s="276"/>
      <c r="I252" s="276"/>
      <c r="J252" s="307"/>
    </row>
    <row r="253">
      <c r="A253" s="265"/>
      <c r="B253" s="247"/>
      <c r="C253" s="252"/>
      <c r="D253" s="822"/>
      <c r="F253" s="250">
        <v>18600.0</v>
      </c>
      <c r="G253" s="254" t="s">
        <v>87</v>
      </c>
      <c r="H253" s="269"/>
      <c r="I253" s="269"/>
      <c r="J253" s="251"/>
    </row>
    <row r="254">
      <c r="A254" s="265"/>
      <c r="B254" s="247"/>
      <c r="C254" s="252"/>
      <c r="D254" s="822"/>
      <c r="F254" s="250">
        <v>4800.0</v>
      </c>
      <c r="G254" s="254" t="s">
        <v>68</v>
      </c>
      <c r="H254" s="254"/>
      <c r="I254" s="269"/>
      <c r="J254" s="251"/>
    </row>
    <row r="255">
      <c r="A255" s="265"/>
      <c r="B255" s="247"/>
      <c r="C255" s="248">
        <v>25327.64</v>
      </c>
      <c r="D255" s="822"/>
      <c r="F255" s="250"/>
      <c r="G255" s="254" t="s">
        <v>84</v>
      </c>
      <c r="H255" s="269"/>
      <c r="I255" s="269"/>
      <c r="J255" s="251"/>
    </row>
    <row r="256">
      <c r="A256" s="265"/>
      <c r="B256" s="247"/>
      <c r="C256" s="252"/>
      <c r="D256" s="822"/>
      <c r="F256" s="250">
        <v>1350.0</v>
      </c>
      <c r="G256" s="254" t="s">
        <v>312</v>
      </c>
      <c r="H256" s="269"/>
      <c r="I256" s="269"/>
      <c r="J256" s="267"/>
    </row>
    <row r="257">
      <c r="A257" s="265"/>
      <c r="B257" s="247">
        <v>11677.0</v>
      </c>
      <c r="C257" s="248"/>
      <c r="D257" s="822"/>
      <c r="F257" s="250"/>
      <c r="G257" s="254" t="s">
        <v>2623</v>
      </c>
      <c r="H257" s="269"/>
      <c r="I257" s="269"/>
      <c r="J257" s="251"/>
    </row>
    <row r="258">
      <c r="A258" s="265"/>
      <c r="B258" s="247">
        <v>31823.0</v>
      </c>
      <c r="C258" s="248"/>
      <c r="D258" s="822"/>
      <c r="F258" s="250"/>
      <c r="G258" s="254" t="s">
        <v>92</v>
      </c>
      <c r="H258" s="269"/>
      <c r="I258" s="269"/>
      <c r="J258" s="251"/>
    </row>
    <row r="259">
      <c r="A259" s="265"/>
      <c r="B259" s="247">
        <v>3410.0</v>
      </c>
      <c r="C259" s="252"/>
      <c r="D259" s="822"/>
      <c r="F259" s="250"/>
      <c r="G259" s="254" t="s">
        <v>2649</v>
      </c>
      <c r="H259" s="269"/>
      <c r="I259" s="269"/>
      <c r="J259" s="251"/>
    </row>
    <row r="260">
      <c r="A260" s="265"/>
      <c r="B260" s="247">
        <v>2800.0</v>
      </c>
      <c r="C260" s="252"/>
      <c r="D260" s="822"/>
      <c r="F260" s="250"/>
      <c r="G260" s="254" t="s">
        <v>434</v>
      </c>
      <c r="H260" s="269"/>
      <c r="I260" s="269"/>
      <c r="J260" s="251"/>
    </row>
    <row r="261">
      <c r="A261" s="265"/>
      <c r="B261" s="247">
        <v>11100.0</v>
      </c>
      <c r="C261" s="252"/>
      <c r="D261" s="822"/>
      <c r="F261" s="250"/>
      <c r="G261" s="254" t="s">
        <v>1347</v>
      </c>
      <c r="H261" s="269"/>
      <c r="I261" s="269"/>
      <c r="J261" s="251"/>
    </row>
    <row r="262">
      <c r="A262" s="265"/>
      <c r="B262" s="278"/>
      <c r="C262" s="252"/>
      <c r="D262" s="822"/>
      <c r="E262" s="2">
        <v>15707.5</v>
      </c>
      <c r="F262" s="250"/>
      <c r="G262" s="254" t="s">
        <v>89</v>
      </c>
      <c r="H262" s="269"/>
      <c r="I262" s="269"/>
      <c r="J262" s="251"/>
    </row>
    <row r="263">
      <c r="A263" s="265"/>
      <c r="B263" s="278"/>
      <c r="C263" s="252"/>
      <c r="D263" s="822"/>
      <c r="F263" s="250"/>
      <c r="G263" s="269"/>
      <c r="H263" s="269"/>
      <c r="I263" s="269"/>
      <c r="J263" s="251"/>
    </row>
    <row r="264">
      <c r="A264" s="265"/>
      <c r="B264" s="278"/>
      <c r="C264" s="252"/>
      <c r="D264" s="822"/>
      <c r="F264" s="250"/>
      <c r="G264" s="269"/>
      <c r="H264" s="269"/>
      <c r="I264" s="269"/>
      <c r="J264" s="251"/>
    </row>
    <row r="265">
      <c r="A265" s="270"/>
      <c r="B265" s="271"/>
      <c r="C265" s="272"/>
      <c r="D265" s="823"/>
      <c r="E265" s="18"/>
      <c r="F265" s="274"/>
      <c r="G265" s="275"/>
      <c r="H265" s="275"/>
      <c r="I265" s="275"/>
      <c r="J265" s="261"/>
    </row>
    <row r="266">
      <c r="A266" s="262">
        <v>23.0</v>
      </c>
      <c r="B266" s="239"/>
      <c r="C266" s="263"/>
      <c r="D266" s="821">
        <v>14690.0</v>
      </c>
      <c r="E266" s="242"/>
      <c r="F266" s="243"/>
      <c r="G266" s="276" t="s">
        <v>150</v>
      </c>
      <c r="H266" s="276"/>
      <c r="I266" s="276"/>
      <c r="J266" s="307"/>
    </row>
    <row r="267">
      <c r="A267" s="265"/>
      <c r="B267" s="247">
        <v>6498.54</v>
      </c>
      <c r="C267" s="248"/>
      <c r="D267" s="822"/>
      <c r="F267" s="250"/>
      <c r="G267" s="254" t="s">
        <v>82</v>
      </c>
      <c r="H267" s="254" t="s">
        <v>2799</v>
      </c>
      <c r="I267" s="269"/>
      <c r="J267" s="251"/>
    </row>
    <row r="268">
      <c r="A268" s="265"/>
      <c r="B268" s="247"/>
      <c r="C268" s="252"/>
      <c r="D268" s="331">
        <v>20504.09</v>
      </c>
      <c r="F268" s="250"/>
      <c r="G268" s="254" t="s">
        <v>91</v>
      </c>
      <c r="H268" s="269"/>
      <c r="I268" s="269"/>
      <c r="J268" s="251"/>
    </row>
    <row r="269">
      <c r="A269" s="265"/>
      <c r="B269" s="247"/>
      <c r="C269" s="248"/>
      <c r="D269" s="331"/>
      <c r="F269" s="250">
        <v>524.0</v>
      </c>
      <c r="G269" s="254" t="s">
        <v>97</v>
      </c>
      <c r="H269" s="269"/>
      <c r="I269" s="269"/>
      <c r="J269" s="251"/>
    </row>
    <row r="270">
      <c r="A270" s="265"/>
      <c r="B270" s="247"/>
      <c r="C270" s="248"/>
      <c r="D270" s="331">
        <v>14820.0</v>
      </c>
      <c r="F270" s="250"/>
      <c r="G270" s="254" t="s">
        <v>114</v>
      </c>
      <c r="H270" s="269"/>
      <c r="I270" s="269"/>
      <c r="J270" s="251"/>
    </row>
    <row r="271">
      <c r="A271" s="265"/>
      <c r="B271" s="247">
        <v>4890.0</v>
      </c>
      <c r="C271" s="248"/>
      <c r="D271" s="331"/>
      <c r="F271" s="250"/>
      <c r="G271" s="254" t="s">
        <v>215</v>
      </c>
      <c r="H271" s="269"/>
      <c r="I271" s="269"/>
      <c r="J271" s="251"/>
    </row>
    <row r="272">
      <c r="A272" s="265"/>
      <c r="B272" s="247"/>
      <c r="C272" s="252"/>
      <c r="D272" s="331"/>
      <c r="F272" s="250">
        <v>6000.0</v>
      </c>
      <c r="G272" s="254" t="s">
        <v>1105</v>
      </c>
      <c r="H272" s="269"/>
      <c r="I272" s="269"/>
      <c r="J272" s="251"/>
    </row>
    <row r="273">
      <c r="A273" s="265"/>
      <c r="B273" s="247">
        <v>13000.0</v>
      </c>
      <c r="C273" s="252"/>
      <c r="D273" s="822"/>
      <c r="F273" s="250"/>
      <c r="G273" s="254" t="s">
        <v>79</v>
      </c>
      <c r="H273" s="269"/>
      <c r="I273" s="269"/>
      <c r="J273" s="251"/>
    </row>
    <row r="274">
      <c r="A274" s="265"/>
      <c r="B274" s="247">
        <v>14400.0</v>
      </c>
      <c r="C274" s="252"/>
      <c r="D274" s="822"/>
      <c r="F274" s="250"/>
      <c r="G274" s="254" t="s">
        <v>2800</v>
      </c>
      <c r="H274" s="269"/>
      <c r="I274" s="269"/>
      <c r="J274" s="251"/>
    </row>
    <row r="275">
      <c r="A275" s="265"/>
      <c r="B275" s="247"/>
      <c r="C275" s="252"/>
      <c r="D275" s="822"/>
      <c r="F275" s="250"/>
      <c r="G275" s="254"/>
      <c r="H275" s="269"/>
      <c r="I275" s="269"/>
      <c r="J275" s="251"/>
    </row>
    <row r="276">
      <c r="A276" s="265"/>
      <c r="B276" s="268"/>
      <c r="C276" s="252"/>
      <c r="D276" s="822"/>
      <c r="F276" s="250"/>
      <c r="G276" s="254"/>
      <c r="H276" s="269"/>
      <c r="I276" s="269"/>
      <c r="J276" s="267"/>
    </row>
    <row r="277">
      <c r="A277" s="265"/>
      <c r="B277" s="268"/>
      <c r="C277" s="252"/>
      <c r="D277" s="822"/>
      <c r="F277" s="250"/>
      <c r="G277" s="254"/>
      <c r="H277" s="269"/>
      <c r="I277" s="269"/>
      <c r="J277" s="251"/>
    </row>
    <row r="278">
      <c r="A278" s="265"/>
      <c r="B278" s="268"/>
      <c r="C278" s="252"/>
      <c r="D278" s="822"/>
      <c r="F278" s="250"/>
      <c r="G278" s="254"/>
      <c r="H278" s="269"/>
      <c r="I278" s="269"/>
      <c r="J278" s="251"/>
    </row>
    <row r="279">
      <c r="A279" s="270"/>
      <c r="B279" s="271"/>
      <c r="C279" s="272"/>
      <c r="D279" s="823"/>
      <c r="E279" s="18"/>
      <c r="F279" s="259"/>
      <c r="G279" s="260"/>
      <c r="H279" s="260"/>
      <c r="I279" s="275"/>
      <c r="J279" s="261"/>
    </row>
    <row r="280">
      <c r="A280" s="262">
        <v>24.0</v>
      </c>
      <c r="B280" s="239">
        <v>1330.0</v>
      </c>
      <c r="C280" s="263"/>
      <c r="D280" s="821"/>
      <c r="E280" s="242"/>
      <c r="F280" s="243"/>
      <c r="G280" s="276" t="s">
        <v>2801</v>
      </c>
      <c r="H280" s="276"/>
      <c r="I280" s="276"/>
      <c r="J280" s="307"/>
    </row>
    <row r="281">
      <c r="A281" s="265"/>
      <c r="B281" s="247"/>
      <c r="C281" s="252"/>
      <c r="D281" s="822"/>
      <c r="F281" s="250">
        <v>2000.0</v>
      </c>
      <c r="G281" s="254" t="s">
        <v>2802</v>
      </c>
      <c r="H281" s="269"/>
      <c r="I281" s="269"/>
      <c r="J281" s="251"/>
    </row>
    <row r="282">
      <c r="A282" s="265"/>
      <c r="B282" s="247">
        <v>3540.0</v>
      </c>
      <c r="C282" s="248"/>
      <c r="D282" s="331"/>
      <c r="F282" s="250"/>
      <c r="G282" s="254" t="s">
        <v>2803</v>
      </c>
      <c r="H282" s="254"/>
      <c r="I282" s="269"/>
      <c r="J282" s="251"/>
    </row>
    <row r="283">
      <c r="A283" s="265"/>
      <c r="B283" s="247"/>
      <c r="C283" s="252"/>
      <c r="D283" s="331">
        <v>16640.0</v>
      </c>
      <c r="F283" s="250"/>
      <c r="G283" s="254" t="s">
        <v>122</v>
      </c>
      <c r="H283" s="254"/>
      <c r="I283" s="269"/>
      <c r="J283" s="251"/>
    </row>
    <row r="284">
      <c r="A284" s="265"/>
      <c r="B284" s="247"/>
      <c r="C284" s="248"/>
      <c r="D284" s="331">
        <v>11900.0</v>
      </c>
      <c r="F284" s="250"/>
      <c r="G284" s="254" t="s">
        <v>75</v>
      </c>
      <c r="H284" s="269"/>
      <c r="I284" s="269"/>
      <c r="J284" s="251"/>
    </row>
    <row r="285">
      <c r="A285" s="265"/>
      <c r="B285" s="247">
        <v>9826.0</v>
      </c>
      <c r="C285" s="248"/>
      <c r="D285" s="331"/>
      <c r="F285" s="250">
        <v>734.0</v>
      </c>
      <c r="G285" s="254" t="s">
        <v>2804</v>
      </c>
      <c r="H285" s="269"/>
      <c r="I285" s="269"/>
      <c r="J285" s="251"/>
    </row>
    <row r="286">
      <c r="A286" s="265"/>
      <c r="B286" s="247"/>
      <c r="C286" s="252"/>
      <c r="D286" s="822"/>
      <c r="F286" s="250">
        <v>29000.0</v>
      </c>
      <c r="G286" s="254" t="s">
        <v>193</v>
      </c>
      <c r="H286" s="254"/>
      <c r="I286" s="269"/>
      <c r="J286" s="251"/>
    </row>
    <row r="287">
      <c r="A287" s="265"/>
      <c r="B287" s="247">
        <v>2050.0</v>
      </c>
      <c r="C287" s="248"/>
      <c r="D287" s="331"/>
      <c r="F287" s="250"/>
      <c r="G287" s="254" t="s">
        <v>2805</v>
      </c>
      <c r="H287" s="254"/>
      <c r="I287" s="269"/>
      <c r="J287" s="251"/>
    </row>
    <row r="288">
      <c r="A288" s="265"/>
      <c r="B288" s="268"/>
      <c r="C288" s="248"/>
      <c r="D288" s="822"/>
      <c r="F288" s="250">
        <v>10000.0</v>
      </c>
      <c r="G288" s="254" t="s">
        <v>2806</v>
      </c>
      <c r="H288" s="269"/>
      <c r="I288" s="269"/>
      <c r="J288" s="251"/>
    </row>
    <row r="289">
      <c r="A289" s="265"/>
      <c r="B289" s="268"/>
      <c r="C289" s="252"/>
      <c r="D289" s="822"/>
      <c r="E289" s="2">
        <v>58624.5</v>
      </c>
      <c r="F289" s="250"/>
      <c r="G289" s="254" t="s">
        <v>167</v>
      </c>
      <c r="H289" s="269"/>
      <c r="I289" s="269"/>
      <c r="J289" s="251"/>
    </row>
    <row r="290">
      <c r="A290" s="265"/>
      <c r="B290" s="268"/>
      <c r="C290" s="252"/>
      <c r="D290" s="822"/>
      <c r="F290" s="250"/>
      <c r="G290" s="269"/>
      <c r="H290" s="269"/>
      <c r="I290" s="269"/>
      <c r="J290" s="251"/>
    </row>
    <row r="291">
      <c r="A291" s="265"/>
      <c r="B291" s="268"/>
      <c r="C291" s="252"/>
      <c r="D291" s="822"/>
      <c r="F291" s="250"/>
      <c r="G291" s="269"/>
      <c r="H291" s="269"/>
      <c r="I291" s="269"/>
      <c r="J291" s="251"/>
    </row>
    <row r="292">
      <c r="A292" s="270"/>
      <c r="B292" s="271"/>
      <c r="C292" s="272"/>
      <c r="D292" s="823"/>
      <c r="E292" s="18"/>
      <c r="F292" s="259"/>
      <c r="G292" s="260"/>
      <c r="H292" s="260"/>
      <c r="I292" s="275"/>
      <c r="J292" s="261"/>
    </row>
    <row r="293">
      <c r="A293" s="262">
        <v>25.0</v>
      </c>
      <c r="B293" s="239"/>
      <c r="C293" s="263"/>
      <c r="D293" s="824"/>
      <c r="E293" s="244">
        <v>5791.82</v>
      </c>
      <c r="F293" s="243"/>
      <c r="G293" s="276" t="s">
        <v>82</v>
      </c>
      <c r="H293" s="276"/>
      <c r="I293" s="276"/>
      <c r="J293" s="307"/>
    </row>
    <row r="294">
      <c r="A294" s="265"/>
      <c r="B294" s="247"/>
      <c r="C294" s="252"/>
      <c r="D294" s="331">
        <v>25084.76</v>
      </c>
      <c r="F294" s="250"/>
      <c r="G294" s="254" t="s">
        <v>114</v>
      </c>
      <c r="H294" s="254"/>
      <c r="I294" s="269"/>
      <c r="J294" s="251"/>
    </row>
    <row r="295">
      <c r="A295" s="265"/>
      <c r="B295" s="247"/>
      <c r="C295" s="252"/>
      <c r="D295" s="822"/>
      <c r="F295" s="250">
        <v>9200.0</v>
      </c>
      <c r="G295" s="254" t="s">
        <v>2807</v>
      </c>
      <c r="H295" s="269"/>
      <c r="I295" s="269"/>
      <c r="J295" s="251"/>
    </row>
    <row r="296">
      <c r="A296" s="265"/>
      <c r="B296" s="268"/>
      <c r="C296" s="248"/>
      <c r="D296" s="331"/>
      <c r="F296" s="250"/>
      <c r="G296" s="254"/>
      <c r="H296" s="254"/>
      <c r="I296" s="269"/>
      <c r="J296" s="251"/>
    </row>
    <row r="297">
      <c r="A297" s="265"/>
      <c r="B297" s="247"/>
      <c r="C297" s="252"/>
      <c r="D297" s="331"/>
      <c r="F297" s="250"/>
      <c r="G297" s="254"/>
      <c r="H297" s="254"/>
      <c r="I297" s="269"/>
      <c r="J297" s="251"/>
    </row>
    <row r="298">
      <c r="A298" s="265"/>
      <c r="B298" s="247"/>
      <c r="C298" s="248"/>
      <c r="D298" s="331"/>
      <c r="F298" s="250"/>
      <c r="G298" s="254"/>
      <c r="H298" s="254"/>
      <c r="I298" s="269"/>
      <c r="J298" s="251"/>
    </row>
    <row r="299">
      <c r="A299" s="265"/>
      <c r="B299" s="247"/>
      <c r="C299" s="248"/>
      <c r="D299" s="331"/>
      <c r="F299" s="250"/>
      <c r="G299" s="254"/>
      <c r="H299" s="254"/>
      <c r="I299" s="269"/>
      <c r="J299" s="251"/>
    </row>
    <row r="300">
      <c r="A300" s="265"/>
      <c r="B300" s="247"/>
      <c r="C300" s="248"/>
      <c r="D300" s="331"/>
      <c r="F300" s="250"/>
      <c r="G300" s="254"/>
      <c r="H300" s="269"/>
      <c r="I300" s="269"/>
      <c r="J300" s="251"/>
    </row>
    <row r="301">
      <c r="A301" s="265"/>
      <c r="B301" s="268"/>
      <c r="C301" s="252"/>
      <c r="D301" s="331"/>
      <c r="F301" s="250"/>
      <c r="G301" s="254"/>
      <c r="H301" s="269"/>
      <c r="I301" s="269"/>
      <c r="J301" s="251"/>
    </row>
    <row r="302">
      <c r="A302" s="265"/>
      <c r="B302" s="247"/>
      <c r="C302" s="252"/>
      <c r="D302" s="331"/>
      <c r="F302" s="250"/>
      <c r="G302" s="254"/>
      <c r="H302" s="269"/>
      <c r="I302" s="269"/>
      <c r="J302" s="251"/>
    </row>
    <row r="303">
      <c r="A303" s="265"/>
      <c r="B303" s="268"/>
      <c r="C303" s="252"/>
      <c r="D303" s="822"/>
      <c r="F303" s="250"/>
      <c r="G303" s="269"/>
      <c r="H303" s="269"/>
      <c r="I303" s="269"/>
      <c r="J303" s="251"/>
    </row>
    <row r="304">
      <c r="A304" s="265"/>
      <c r="B304" s="268"/>
      <c r="C304" s="252"/>
      <c r="D304" s="822"/>
      <c r="F304" s="250"/>
      <c r="G304" s="269"/>
      <c r="H304" s="269"/>
      <c r="I304" s="269"/>
      <c r="J304" s="251"/>
    </row>
    <row r="305">
      <c r="A305" s="265"/>
      <c r="B305" s="268"/>
      <c r="C305" s="252"/>
      <c r="D305" s="822"/>
      <c r="F305" s="250"/>
      <c r="G305" s="269"/>
      <c r="H305" s="269"/>
      <c r="I305" s="269"/>
      <c r="J305" s="251"/>
    </row>
    <row r="306">
      <c r="A306" s="270"/>
      <c r="B306" s="271"/>
      <c r="C306" s="272"/>
      <c r="D306" s="823"/>
      <c r="E306" s="18"/>
      <c r="F306" s="274"/>
      <c r="G306" s="275"/>
      <c r="H306" s="275"/>
      <c r="I306" s="275"/>
      <c r="J306" s="261"/>
    </row>
    <row r="307">
      <c r="A307" s="262">
        <v>26.0</v>
      </c>
      <c r="B307" s="239"/>
      <c r="C307" s="263"/>
      <c r="D307" s="824"/>
      <c r="E307" s="242"/>
      <c r="F307" s="243"/>
      <c r="G307" s="276"/>
      <c r="H307" s="276"/>
      <c r="I307" s="276"/>
      <c r="J307" s="307"/>
    </row>
    <row r="308">
      <c r="A308" s="265"/>
      <c r="B308" s="247"/>
      <c r="C308" s="248"/>
      <c r="D308" s="822"/>
      <c r="F308" s="250"/>
      <c r="G308" s="254"/>
      <c r="H308" s="254"/>
      <c r="I308" s="269"/>
      <c r="J308" s="251"/>
    </row>
    <row r="309">
      <c r="A309" s="265"/>
      <c r="B309" s="247"/>
      <c r="C309" s="248"/>
      <c r="D309" s="822"/>
      <c r="F309" s="250"/>
      <c r="G309" s="254"/>
      <c r="H309" s="269"/>
      <c r="I309" s="269"/>
      <c r="J309" s="251"/>
    </row>
    <row r="310">
      <c r="A310" s="265"/>
      <c r="B310" s="247"/>
      <c r="C310" s="248"/>
      <c r="D310" s="822"/>
      <c r="F310" s="250"/>
      <c r="G310" s="254"/>
      <c r="H310" s="269"/>
      <c r="I310" s="269"/>
      <c r="J310" s="251"/>
    </row>
    <row r="311">
      <c r="A311" s="265"/>
      <c r="B311" s="247"/>
      <c r="C311" s="252"/>
      <c r="D311" s="822"/>
      <c r="F311" s="250"/>
      <c r="G311" s="254"/>
      <c r="H311" s="269"/>
      <c r="I311" s="269"/>
      <c r="J311" s="251"/>
    </row>
    <row r="312">
      <c r="A312" s="265"/>
      <c r="B312" s="247"/>
      <c r="C312" s="248"/>
      <c r="D312" s="822"/>
      <c r="F312" s="250"/>
      <c r="G312" s="254"/>
      <c r="H312" s="269"/>
      <c r="I312" s="269"/>
      <c r="J312" s="251"/>
    </row>
    <row r="313">
      <c r="A313" s="265"/>
      <c r="B313" s="247"/>
      <c r="C313" s="248"/>
      <c r="D313" s="822"/>
      <c r="F313" s="250"/>
      <c r="G313" s="254"/>
      <c r="H313" s="269"/>
      <c r="I313" s="269"/>
      <c r="J313" s="251"/>
    </row>
    <row r="314">
      <c r="A314" s="265"/>
      <c r="B314" s="247"/>
      <c r="C314" s="252"/>
      <c r="D314" s="822"/>
      <c r="F314" s="250"/>
      <c r="G314" s="254"/>
      <c r="H314" s="269"/>
      <c r="I314" s="269"/>
      <c r="J314" s="251"/>
    </row>
    <row r="315">
      <c r="A315" s="265"/>
      <c r="B315" s="247"/>
      <c r="C315" s="252"/>
      <c r="D315" s="822"/>
      <c r="F315" s="250"/>
      <c r="G315" s="254"/>
      <c r="H315" s="269"/>
      <c r="I315" s="269"/>
      <c r="J315" s="251"/>
    </row>
    <row r="316">
      <c r="A316" s="265"/>
      <c r="B316" s="268"/>
      <c r="C316" s="252"/>
      <c r="D316" s="822"/>
      <c r="F316" s="250"/>
      <c r="G316" s="254"/>
      <c r="H316" s="269"/>
      <c r="I316" s="269"/>
      <c r="J316" s="251"/>
    </row>
    <row r="317">
      <c r="A317" s="265"/>
      <c r="B317" s="268"/>
      <c r="C317" s="252"/>
      <c r="D317" s="822"/>
      <c r="F317" s="250"/>
      <c r="G317" s="254"/>
      <c r="H317" s="254"/>
      <c r="I317" s="269"/>
      <c r="J317" s="251"/>
    </row>
    <row r="318">
      <c r="A318" s="265"/>
      <c r="B318" s="268"/>
      <c r="C318" s="252"/>
      <c r="D318" s="822"/>
      <c r="F318" s="250"/>
      <c r="G318" s="269"/>
      <c r="H318" s="269"/>
      <c r="I318" s="269"/>
      <c r="J318" s="251"/>
    </row>
    <row r="319">
      <c r="A319" s="265"/>
      <c r="B319" s="268"/>
      <c r="C319" s="252"/>
      <c r="D319" s="822"/>
      <c r="F319" s="250"/>
      <c r="G319" s="269"/>
      <c r="H319" s="269"/>
      <c r="I319" s="269"/>
      <c r="J319" s="251"/>
    </row>
    <row r="320">
      <c r="A320" s="265"/>
      <c r="B320" s="268"/>
      <c r="C320" s="252"/>
      <c r="D320" s="822"/>
      <c r="F320" s="250"/>
      <c r="G320" s="269"/>
      <c r="H320" s="269"/>
      <c r="I320" s="269"/>
      <c r="J320" s="251"/>
    </row>
    <row r="321">
      <c r="A321" s="270"/>
      <c r="B321" s="271"/>
      <c r="C321" s="272"/>
      <c r="D321" s="823"/>
      <c r="E321" s="18"/>
      <c r="F321" s="274"/>
      <c r="G321" s="275"/>
      <c r="H321" s="275"/>
      <c r="I321" s="275"/>
      <c r="J321" s="261"/>
    </row>
    <row r="322">
      <c r="A322" s="262">
        <v>27.0</v>
      </c>
      <c r="B322" s="239"/>
      <c r="C322" s="240"/>
      <c r="D322" s="821"/>
      <c r="E322" s="242"/>
      <c r="F322" s="250">
        <v>2500.0</v>
      </c>
      <c r="G322" s="254" t="s">
        <v>160</v>
      </c>
      <c r="H322" s="269"/>
      <c r="I322" s="269"/>
      <c r="J322" s="307"/>
    </row>
    <row r="323">
      <c r="A323" s="265"/>
      <c r="B323" s="247">
        <v>10124.0</v>
      </c>
      <c r="C323" s="252"/>
      <c r="D323" s="822"/>
      <c r="F323" s="250"/>
      <c r="G323" s="254" t="s">
        <v>82</v>
      </c>
      <c r="H323" s="254" t="s">
        <v>2808</v>
      </c>
      <c r="I323" s="269"/>
      <c r="J323" s="251"/>
    </row>
    <row r="324">
      <c r="A324" s="265"/>
      <c r="B324" s="247">
        <v>10160.0</v>
      </c>
      <c r="C324" s="248"/>
      <c r="D324" s="331"/>
      <c r="F324" s="250"/>
      <c r="G324" s="254" t="s">
        <v>75</v>
      </c>
      <c r="H324" s="269"/>
      <c r="I324" s="269"/>
      <c r="J324" s="251"/>
    </row>
    <row r="325">
      <c r="A325" s="265"/>
      <c r="B325" s="247"/>
      <c r="C325" s="248"/>
      <c r="D325" s="822"/>
      <c r="F325" s="250">
        <v>940.0</v>
      </c>
      <c r="G325" s="254" t="s">
        <v>85</v>
      </c>
      <c r="H325" s="269"/>
      <c r="I325" s="269"/>
      <c r="J325" s="251"/>
    </row>
    <row r="326">
      <c r="A326" s="265"/>
      <c r="B326" s="247"/>
      <c r="C326" s="252"/>
      <c r="D326" s="822"/>
      <c r="F326" s="250">
        <v>18900.0</v>
      </c>
      <c r="G326" s="254" t="s">
        <v>87</v>
      </c>
      <c r="H326" s="269"/>
      <c r="I326" s="269"/>
      <c r="J326" s="251"/>
    </row>
    <row r="327">
      <c r="A327" s="265"/>
      <c r="B327" s="247"/>
      <c r="C327" s="252"/>
      <c r="D327" s="822"/>
      <c r="F327" s="250">
        <v>4900.0</v>
      </c>
      <c r="G327" s="254" t="s">
        <v>68</v>
      </c>
      <c r="H327" s="269"/>
      <c r="I327" s="269"/>
      <c r="J327" s="251"/>
    </row>
    <row r="328">
      <c r="A328" s="265"/>
      <c r="B328" s="247"/>
      <c r="C328" s="252"/>
      <c r="D328" s="331"/>
      <c r="F328" s="250">
        <v>440.0</v>
      </c>
      <c r="G328" s="254" t="s">
        <v>590</v>
      </c>
      <c r="H328" s="269"/>
      <c r="I328" s="269"/>
      <c r="J328" s="251"/>
    </row>
    <row r="329">
      <c r="A329" s="265"/>
      <c r="B329" s="247"/>
      <c r="C329" s="252">
        <f>29806.38+28843.53</f>
        <v>58649.91</v>
      </c>
      <c r="D329" s="822"/>
      <c r="F329" s="250"/>
      <c r="G329" s="254" t="s">
        <v>2637</v>
      </c>
      <c r="H329" s="269"/>
      <c r="I329" s="269"/>
      <c r="J329" s="251"/>
    </row>
    <row r="330">
      <c r="A330" s="265"/>
      <c r="B330" s="268"/>
      <c r="C330" s="252"/>
      <c r="D330" s="822"/>
      <c r="F330" s="250"/>
      <c r="G330" s="254" t="s">
        <v>2809</v>
      </c>
      <c r="H330" s="269"/>
      <c r="I330" s="269"/>
      <c r="J330" s="251"/>
    </row>
    <row r="331">
      <c r="A331" s="265"/>
      <c r="B331" s="268"/>
      <c r="C331" s="252"/>
      <c r="D331" s="822"/>
      <c r="F331" s="250">
        <v>3000.0</v>
      </c>
      <c r="G331" s="254" t="s">
        <v>650</v>
      </c>
      <c r="H331" s="269"/>
      <c r="I331" s="269"/>
      <c r="J331" s="251"/>
    </row>
    <row r="332">
      <c r="A332" s="265"/>
      <c r="B332" s="268"/>
      <c r="C332" s="252"/>
      <c r="D332" s="822"/>
      <c r="F332" s="250">
        <v>1873.0</v>
      </c>
      <c r="G332" s="254" t="s">
        <v>94</v>
      </c>
      <c r="H332" s="269"/>
      <c r="I332" s="269"/>
      <c r="J332" s="251"/>
    </row>
    <row r="333">
      <c r="A333" s="265"/>
      <c r="B333" s="247"/>
      <c r="C333" s="252"/>
      <c r="D333" s="822"/>
      <c r="F333" s="250"/>
      <c r="G333" s="269"/>
      <c r="H333" s="269"/>
      <c r="I333" s="269"/>
      <c r="J333" s="251"/>
    </row>
    <row r="334">
      <c r="A334" s="265"/>
      <c r="B334" s="268"/>
      <c r="C334" s="252"/>
      <c r="D334" s="822"/>
      <c r="F334" s="250"/>
      <c r="G334" s="269"/>
      <c r="H334" s="269"/>
      <c r="I334" s="269"/>
      <c r="J334" s="251"/>
    </row>
    <row r="335">
      <c r="A335" s="265"/>
      <c r="B335" s="268"/>
      <c r="C335" s="252"/>
      <c r="D335" s="822"/>
      <c r="F335" s="250"/>
      <c r="G335" s="269"/>
      <c r="H335" s="269"/>
      <c r="I335" s="269"/>
      <c r="J335" s="251"/>
    </row>
    <row r="336">
      <c r="A336" s="270"/>
      <c r="B336" s="271"/>
      <c r="C336" s="272"/>
      <c r="D336" s="823"/>
      <c r="E336" s="18"/>
      <c r="F336" s="274"/>
      <c r="G336" s="18"/>
      <c r="H336" s="18"/>
      <c r="I336" s="18"/>
      <c r="J336" s="261"/>
    </row>
    <row r="337">
      <c r="A337" s="262">
        <v>28.0</v>
      </c>
      <c r="B337" s="239">
        <v>10700.0</v>
      </c>
      <c r="C337" s="263"/>
      <c r="D337" s="824"/>
      <c r="E337" s="242"/>
      <c r="F337" s="243"/>
      <c r="G337" s="244" t="s">
        <v>76</v>
      </c>
      <c r="H337" s="244"/>
      <c r="I337" s="244"/>
      <c r="J337" s="307"/>
    </row>
    <row r="338">
      <c r="A338" s="265"/>
      <c r="B338" s="247"/>
      <c r="C338" s="248"/>
      <c r="D338" s="331">
        <v>5843.6</v>
      </c>
      <c r="F338" s="250"/>
      <c r="G338" s="2" t="s">
        <v>73</v>
      </c>
      <c r="J338" s="251"/>
    </row>
    <row r="339">
      <c r="A339" s="265"/>
      <c r="B339" s="268"/>
      <c r="C339" s="248"/>
      <c r="D339" s="331">
        <v>14027.52</v>
      </c>
      <c r="F339" s="250"/>
      <c r="G339" s="2" t="s">
        <v>74</v>
      </c>
      <c r="J339" s="251"/>
    </row>
    <row r="340">
      <c r="A340" s="265"/>
      <c r="B340" s="247"/>
      <c r="C340" s="252"/>
      <c r="D340" s="822"/>
      <c r="E340" s="2">
        <v>42473.2</v>
      </c>
      <c r="F340" s="250"/>
      <c r="G340" s="2" t="s">
        <v>89</v>
      </c>
      <c r="J340" s="251"/>
    </row>
    <row r="341">
      <c r="A341" s="265"/>
      <c r="B341" s="247"/>
      <c r="C341" s="248"/>
      <c r="D341" s="331"/>
      <c r="F341" s="250">
        <v>90.0</v>
      </c>
      <c r="G341" s="2" t="s">
        <v>97</v>
      </c>
      <c r="J341" s="251"/>
    </row>
    <row r="342">
      <c r="A342" s="265"/>
      <c r="B342" s="247"/>
      <c r="C342" s="252"/>
      <c r="D342" s="331"/>
      <c r="F342" s="250">
        <v>10000.0</v>
      </c>
      <c r="G342" s="2" t="s">
        <v>2810</v>
      </c>
      <c r="J342" s="251"/>
    </row>
    <row r="343">
      <c r="A343" s="265"/>
      <c r="B343" s="247"/>
      <c r="C343" s="252"/>
      <c r="D343" s="331">
        <v>99401.5</v>
      </c>
      <c r="F343" s="250"/>
      <c r="G343" s="2" t="s">
        <v>2811</v>
      </c>
      <c r="J343" s="251"/>
    </row>
    <row r="344">
      <c r="A344" s="265"/>
      <c r="B344" s="247"/>
      <c r="C344" s="252"/>
      <c r="D344" s="822"/>
      <c r="F344" s="250">
        <v>5000.0</v>
      </c>
      <c r="G344" s="2" t="s">
        <v>2812</v>
      </c>
      <c r="J344" s="251"/>
    </row>
    <row r="345">
      <c r="A345" s="265"/>
      <c r="B345" s="247">
        <v>1800.0</v>
      </c>
      <c r="C345" s="252"/>
      <c r="D345" s="331"/>
      <c r="F345" s="250"/>
      <c r="G345" s="2" t="s">
        <v>2813</v>
      </c>
      <c r="J345" s="251"/>
    </row>
    <row r="346">
      <c r="A346" s="265"/>
      <c r="B346" s="247"/>
      <c r="C346" s="252"/>
      <c r="D346" s="822"/>
      <c r="F346" s="250"/>
      <c r="J346" s="251"/>
    </row>
    <row r="347">
      <c r="A347" s="265"/>
      <c r="B347" s="247"/>
      <c r="C347" s="252"/>
      <c r="D347" s="822"/>
      <c r="F347" s="250"/>
      <c r="J347" s="251"/>
    </row>
    <row r="348">
      <c r="A348" s="265"/>
      <c r="B348" s="247"/>
      <c r="C348" s="252"/>
      <c r="D348" s="331"/>
      <c r="F348" s="250"/>
      <c r="J348" s="251"/>
    </row>
    <row r="349">
      <c r="A349" s="270"/>
      <c r="B349" s="271"/>
      <c r="C349" s="272"/>
      <c r="D349" s="823"/>
      <c r="E349" s="18"/>
      <c r="F349" s="259"/>
      <c r="G349" s="293"/>
      <c r="H349" s="293"/>
      <c r="I349" s="18"/>
      <c r="J349" s="261"/>
    </row>
    <row r="350">
      <c r="A350" s="262">
        <v>29.0</v>
      </c>
      <c r="B350" s="306"/>
      <c r="C350" s="263"/>
      <c r="D350" s="824"/>
      <c r="E350" s="242"/>
      <c r="F350" s="243">
        <v>210.0</v>
      </c>
      <c r="G350" s="244" t="s">
        <v>464</v>
      </c>
      <c r="H350" s="244"/>
      <c r="I350" s="244"/>
      <c r="J350" s="307"/>
    </row>
    <row r="351">
      <c r="A351" s="265"/>
      <c r="B351" s="247"/>
      <c r="C351" s="248"/>
      <c r="D351" s="822"/>
      <c r="F351" s="250">
        <v>2800.0</v>
      </c>
      <c r="G351" s="2" t="s">
        <v>2543</v>
      </c>
      <c r="J351" s="251"/>
    </row>
    <row r="352">
      <c r="A352" s="265"/>
      <c r="B352" s="247">
        <v>9505.41</v>
      </c>
      <c r="C352" s="252"/>
      <c r="D352" s="822"/>
      <c r="F352" s="250"/>
      <c r="G352" s="2" t="s">
        <v>82</v>
      </c>
      <c r="J352" s="251"/>
    </row>
    <row r="353">
      <c r="A353" s="265"/>
      <c r="B353" s="247"/>
      <c r="C353" s="248">
        <v>25267.5</v>
      </c>
      <c r="D353" s="331"/>
      <c r="F353" s="250"/>
      <c r="G353" s="2" t="s">
        <v>84</v>
      </c>
      <c r="J353" s="251"/>
    </row>
    <row r="354">
      <c r="A354" s="265"/>
      <c r="B354" s="247"/>
      <c r="C354" s="252"/>
      <c r="D354" s="331"/>
      <c r="F354" s="250">
        <v>6000.0</v>
      </c>
      <c r="G354" s="2" t="s">
        <v>2746</v>
      </c>
      <c r="J354" s="251"/>
    </row>
    <row r="355">
      <c r="A355" s="265"/>
      <c r="B355" s="247">
        <v>19463.0</v>
      </c>
      <c r="C355" s="252"/>
      <c r="D355" s="822"/>
      <c r="F355" s="250"/>
      <c r="G355" s="2" t="s">
        <v>2623</v>
      </c>
      <c r="J355" s="251"/>
    </row>
    <row r="356">
      <c r="A356" s="265"/>
      <c r="B356" s="247">
        <v>3510.0</v>
      </c>
      <c r="C356" s="252"/>
      <c r="D356" s="331"/>
      <c r="F356" s="250"/>
      <c r="G356" s="2" t="s">
        <v>2621</v>
      </c>
      <c r="I356" s="318"/>
      <c r="J356" s="251"/>
    </row>
    <row r="357">
      <c r="A357" s="265"/>
      <c r="B357" s="268"/>
      <c r="C357" s="252"/>
      <c r="D357" s="331"/>
      <c r="F357" s="250">
        <v>2000.0</v>
      </c>
      <c r="G357" s="2" t="s">
        <v>344</v>
      </c>
      <c r="J357" s="251"/>
    </row>
    <row r="358">
      <c r="A358" s="265"/>
      <c r="B358" s="268"/>
      <c r="C358" s="252"/>
      <c r="D358" s="822"/>
      <c r="F358" s="250"/>
      <c r="J358" s="251"/>
    </row>
    <row r="359">
      <c r="A359" s="265"/>
      <c r="B359" s="268"/>
      <c r="C359" s="252"/>
      <c r="D359" s="822"/>
      <c r="F359" s="250"/>
      <c r="J359" s="251"/>
    </row>
    <row r="360">
      <c r="A360" s="265"/>
      <c r="B360" s="268"/>
      <c r="C360" s="252"/>
      <c r="D360" s="822"/>
      <c r="F360" s="250"/>
      <c r="J360" s="251"/>
    </row>
    <row r="361">
      <c r="A361" s="265"/>
      <c r="B361" s="247"/>
      <c r="C361" s="252"/>
      <c r="D361" s="822"/>
      <c r="F361" s="250"/>
      <c r="J361" s="251"/>
    </row>
    <row r="362">
      <c r="A362" s="265"/>
      <c r="B362" s="268"/>
      <c r="C362" s="252"/>
      <c r="D362" s="822"/>
      <c r="F362" s="250"/>
      <c r="J362" s="251"/>
    </row>
    <row r="363">
      <c r="A363" s="265"/>
      <c r="B363" s="268"/>
      <c r="C363" s="252"/>
      <c r="D363" s="822"/>
      <c r="F363" s="250"/>
      <c r="J363" s="251"/>
    </row>
    <row r="364">
      <c r="A364" s="265"/>
      <c r="B364" s="268"/>
      <c r="C364" s="252"/>
      <c r="D364" s="822"/>
      <c r="F364" s="250"/>
      <c r="J364" s="251"/>
    </row>
    <row r="365">
      <c r="A365" s="265"/>
      <c r="B365" s="268"/>
      <c r="C365" s="252"/>
      <c r="D365" s="822"/>
      <c r="F365" s="250"/>
      <c r="J365" s="251"/>
    </row>
    <row r="366">
      <c r="A366" s="265"/>
      <c r="B366" s="268"/>
      <c r="C366" s="252"/>
      <c r="D366" s="822"/>
      <c r="F366" s="250"/>
      <c r="J366" s="251"/>
    </row>
    <row r="367">
      <c r="A367" s="270"/>
      <c r="B367" s="271"/>
      <c r="C367" s="272"/>
      <c r="D367" s="823"/>
      <c r="E367" s="18"/>
      <c r="F367" s="274"/>
      <c r="G367" s="18"/>
      <c r="H367" s="18"/>
      <c r="I367" s="293"/>
      <c r="J367" s="261"/>
    </row>
    <row r="368">
      <c r="A368" s="262">
        <v>30.0</v>
      </c>
      <c r="B368" s="306"/>
      <c r="C368" s="240"/>
      <c r="D368" s="824"/>
      <c r="E368" s="242"/>
      <c r="F368" s="243"/>
      <c r="G368" s="244" t="s">
        <v>2814</v>
      </c>
      <c r="H368" s="244"/>
      <c r="I368" s="244"/>
      <c r="J368" s="307"/>
    </row>
    <row r="369">
      <c r="A369" s="265"/>
      <c r="B369" s="247"/>
      <c r="C369" s="248"/>
      <c r="D369" s="822"/>
      <c r="F369" s="250">
        <v>1096.0</v>
      </c>
      <c r="G369" s="2" t="s">
        <v>2815</v>
      </c>
      <c r="J369" s="251"/>
    </row>
    <row r="370">
      <c r="A370" s="265"/>
      <c r="B370" s="247"/>
      <c r="C370" s="252"/>
      <c r="D370" s="822"/>
      <c r="F370" s="250">
        <v>1958.0</v>
      </c>
      <c r="G370" s="2" t="s">
        <v>2816</v>
      </c>
      <c r="J370" s="251"/>
    </row>
    <row r="371">
      <c r="A371" s="265"/>
      <c r="B371" s="247">
        <v>6479.0</v>
      </c>
      <c r="C371" s="248"/>
      <c r="D371" s="331"/>
      <c r="F371" s="250"/>
      <c r="G371" s="2" t="s">
        <v>86</v>
      </c>
      <c r="J371" s="251"/>
    </row>
    <row r="372">
      <c r="A372" s="265"/>
      <c r="B372" s="247"/>
      <c r="C372" s="252"/>
      <c r="D372" s="822"/>
      <c r="F372" s="250"/>
      <c r="J372" s="251"/>
    </row>
    <row r="373">
      <c r="A373" s="265"/>
      <c r="B373" s="247"/>
      <c r="C373" s="252"/>
      <c r="D373" s="822"/>
      <c r="F373" s="250"/>
      <c r="J373" s="251"/>
    </row>
    <row r="374">
      <c r="A374" s="265"/>
      <c r="B374" s="247"/>
      <c r="C374" s="252"/>
      <c r="D374" s="822"/>
      <c r="F374" s="250"/>
      <c r="I374" s="318"/>
      <c r="J374" s="251"/>
    </row>
    <row r="375">
      <c r="A375" s="265"/>
      <c r="B375" s="268"/>
      <c r="C375" s="252"/>
      <c r="D375" s="331"/>
      <c r="F375" s="250"/>
      <c r="J375" s="251"/>
    </row>
    <row r="376">
      <c r="A376" s="265"/>
      <c r="B376" s="268"/>
      <c r="C376" s="252"/>
      <c r="D376" s="822"/>
      <c r="F376" s="250"/>
      <c r="J376" s="251"/>
    </row>
    <row r="377">
      <c r="A377" s="265"/>
      <c r="B377" s="268"/>
      <c r="C377" s="252"/>
      <c r="D377" s="822"/>
      <c r="F377" s="250"/>
      <c r="J377" s="251"/>
    </row>
    <row r="378">
      <c r="A378" s="265"/>
      <c r="B378" s="268"/>
      <c r="C378" s="252"/>
      <c r="D378" s="822"/>
      <c r="F378" s="250"/>
      <c r="J378" s="251"/>
    </row>
    <row r="379">
      <c r="A379" s="265"/>
      <c r="B379" s="247"/>
      <c r="C379" s="252"/>
      <c r="D379" s="822"/>
      <c r="F379" s="250"/>
      <c r="J379" s="251"/>
    </row>
    <row r="380">
      <c r="A380" s="265"/>
      <c r="B380" s="268"/>
      <c r="C380" s="252"/>
      <c r="D380" s="822"/>
      <c r="F380" s="250"/>
      <c r="J380" s="251"/>
    </row>
    <row r="381">
      <c r="A381" s="265"/>
      <c r="B381" s="268"/>
      <c r="C381" s="252"/>
      <c r="D381" s="822"/>
      <c r="F381" s="250"/>
      <c r="J381" s="251"/>
    </row>
    <row r="382">
      <c r="A382" s="265"/>
      <c r="B382" s="268"/>
      <c r="C382" s="252"/>
      <c r="D382" s="822"/>
      <c r="F382" s="250"/>
      <c r="J382" s="251"/>
    </row>
    <row r="383">
      <c r="A383" s="265"/>
      <c r="B383" s="268"/>
      <c r="C383" s="252"/>
      <c r="D383" s="822"/>
      <c r="F383" s="250"/>
      <c r="J383" s="251"/>
    </row>
    <row r="384">
      <c r="A384" s="265"/>
      <c r="B384" s="268"/>
      <c r="C384" s="252"/>
      <c r="D384" s="822"/>
      <c r="F384" s="250"/>
      <c r="J384" s="251"/>
    </row>
    <row r="385">
      <c r="A385" s="270"/>
      <c r="B385" s="271"/>
      <c r="C385" s="272"/>
      <c r="D385" s="823"/>
      <c r="E385" s="18"/>
      <c r="F385" s="274"/>
      <c r="G385" s="18"/>
      <c r="H385" s="18"/>
      <c r="I385" s="293" t="s">
        <v>2817</v>
      </c>
      <c r="J385" s="261"/>
    </row>
    <row r="386">
      <c r="A386" s="262" t="s">
        <v>187</v>
      </c>
      <c r="B386" s="239"/>
      <c r="C386" s="240"/>
      <c r="D386" s="821">
        <v>22804.64</v>
      </c>
      <c r="E386" s="242"/>
      <c r="F386" s="243"/>
      <c r="G386" s="2" t="s">
        <v>188</v>
      </c>
      <c r="H386" s="318"/>
      <c r="I386" s="254" t="s">
        <v>2818</v>
      </c>
      <c r="J386" s="307"/>
    </row>
    <row r="387">
      <c r="A387" s="265"/>
      <c r="B387" s="247"/>
      <c r="C387" s="248"/>
      <c r="D387" s="300">
        <v>13184.45</v>
      </c>
      <c r="F387" s="250"/>
      <c r="G387" s="2" t="s">
        <v>2819</v>
      </c>
      <c r="H387" s="318">
        <v>44736.0</v>
      </c>
      <c r="I387" s="169" t="s">
        <v>2820</v>
      </c>
      <c r="J387" s="267"/>
    </row>
    <row r="388">
      <c r="A388" s="265"/>
      <c r="B388" s="247"/>
      <c r="C388" s="248"/>
      <c r="D388" s="331">
        <v>1529.59</v>
      </c>
      <c r="F388" s="250"/>
      <c r="G388" s="2" t="s">
        <v>2284</v>
      </c>
      <c r="H388" s="318">
        <v>44736.0</v>
      </c>
      <c r="I388" s="318"/>
      <c r="J388" s="267"/>
    </row>
    <row r="389">
      <c r="A389" s="265"/>
      <c r="B389" s="268"/>
      <c r="C389" s="252"/>
      <c r="D389" s="331">
        <v>66550.0</v>
      </c>
      <c r="F389" s="250"/>
      <c r="G389" s="2" t="s">
        <v>192</v>
      </c>
      <c r="H389" s="318">
        <v>44736.0</v>
      </c>
      <c r="I389" s="318"/>
      <c r="J389" s="251"/>
    </row>
    <row r="390">
      <c r="A390" s="265"/>
      <c r="B390" s="268"/>
      <c r="C390" s="252"/>
      <c r="D390" s="822"/>
      <c r="F390" s="250">
        <v>29000.0</v>
      </c>
      <c r="G390" s="2" t="s">
        <v>193</v>
      </c>
      <c r="H390" s="318">
        <v>44736.0</v>
      </c>
      <c r="J390" s="251"/>
    </row>
    <row r="391">
      <c r="A391" s="265"/>
      <c r="B391" s="247"/>
      <c r="C391" s="252"/>
      <c r="D391" s="331">
        <v>20430.0</v>
      </c>
      <c r="F391" s="250"/>
      <c r="G391" s="2" t="s">
        <v>194</v>
      </c>
      <c r="H391" s="318">
        <v>44736.0</v>
      </c>
      <c r="I391" s="318"/>
      <c r="J391" s="251"/>
    </row>
    <row r="392">
      <c r="A392" s="265"/>
      <c r="B392" s="247">
        <v>13500.0</v>
      </c>
      <c r="C392" s="252"/>
      <c r="D392" s="331"/>
      <c r="F392" s="250"/>
      <c r="G392" s="2" t="s">
        <v>196</v>
      </c>
      <c r="H392" s="318">
        <v>44756.0</v>
      </c>
      <c r="J392" s="251"/>
    </row>
    <row r="393">
      <c r="A393" s="265"/>
      <c r="B393" s="268"/>
      <c r="C393" s="252"/>
      <c r="D393" s="331">
        <v>4432.81</v>
      </c>
      <c r="F393" s="250"/>
      <c r="G393" s="2" t="s">
        <v>2285</v>
      </c>
      <c r="H393" s="2"/>
      <c r="I393" s="2" t="s">
        <v>2821</v>
      </c>
      <c r="J393" s="251"/>
    </row>
    <row r="394">
      <c r="A394" s="265"/>
      <c r="B394" s="268"/>
      <c r="C394" s="252"/>
      <c r="D394" s="331">
        <v>6005.93</v>
      </c>
      <c r="F394" s="250"/>
      <c r="G394" s="2" t="s">
        <v>199</v>
      </c>
      <c r="H394" s="2"/>
      <c r="I394" s="2" t="s">
        <v>2818</v>
      </c>
      <c r="J394" s="251"/>
    </row>
    <row r="395">
      <c r="A395" s="265"/>
      <c r="B395" s="247"/>
      <c r="C395" s="252"/>
      <c r="D395" s="331">
        <v>9983.63</v>
      </c>
      <c r="F395" s="250"/>
      <c r="G395" s="2" t="s">
        <v>200</v>
      </c>
      <c r="H395" s="2"/>
      <c r="I395" s="2" t="s">
        <v>2818</v>
      </c>
      <c r="J395" s="267"/>
    </row>
    <row r="396">
      <c r="A396" s="270"/>
      <c r="B396" s="271"/>
      <c r="C396" s="272"/>
      <c r="D396" s="812"/>
      <c r="E396" s="18"/>
      <c r="F396" s="274"/>
      <c r="G396" s="293"/>
      <c r="H396" s="830"/>
      <c r="I396" s="18"/>
      <c r="J396" s="261"/>
    </row>
    <row r="397">
      <c r="A397" s="262"/>
      <c r="B397" s="239"/>
      <c r="C397" s="240"/>
      <c r="D397" s="831">
        <f>SUM(D387:F396)</f>
        <v>151116.41</v>
      </c>
      <c r="E397" s="242"/>
      <c r="F397" s="243"/>
      <c r="I397" s="318"/>
      <c r="J397" s="307"/>
    </row>
    <row r="398">
      <c r="A398" s="265"/>
      <c r="B398" s="247"/>
      <c r="C398" s="248"/>
      <c r="D398" s="331"/>
      <c r="F398" s="250"/>
      <c r="I398" s="318"/>
      <c r="J398" s="251"/>
    </row>
    <row r="399">
      <c r="A399" s="265"/>
      <c r="B399" s="247"/>
      <c r="C399" s="248"/>
      <c r="D399" s="331"/>
      <c r="F399" s="250"/>
      <c r="I399" s="318"/>
      <c r="J399" s="267"/>
    </row>
    <row r="400">
      <c r="A400" s="265"/>
      <c r="B400" s="247"/>
      <c r="C400" s="248"/>
      <c r="D400" s="331"/>
      <c r="F400" s="250"/>
      <c r="I400" s="318"/>
      <c r="J400" s="267"/>
    </row>
    <row r="401">
      <c r="A401" s="265"/>
      <c r="B401" s="268"/>
      <c r="C401" s="252"/>
      <c r="D401" s="331"/>
      <c r="F401" s="250"/>
      <c r="I401" s="318"/>
      <c r="J401" s="251"/>
    </row>
    <row r="402">
      <c r="A402" s="265"/>
      <c r="B402" s="268"/>
      <c r="C402" s="252"/>
      <c r="D402" s="822"/>
      <c r="F402" s="250"/>
      <c r="J402" s="251"/>
    </row>
    <row r="403">
      <c r="A403" s="265"/>
      <c r="B403" s="247"/>
      <c r="C403" s="252"/>
      <c r="D403" s="331"/>
      <c r="F403" s="250"/>
      <c r="I403" s="318"/>
      <c r="J403" s="251"/>
    </row>
    <row r="404">
      <c r="A404" s="265"/>
      <c r="B404" s="268"/>
      <c r="C404" s="252"/>
      <c r="D404" s="331"/>
      <c r="F404" s="250"/>
      <c r="I404" s="318"/>
      <c r="J404" s="251"/>
    </row>
    <row r="405">
      <c r="A405" s="265"/>
      <c r="B405" s="268"/>
      <c r="C405" s="252"/>
      <c r="D405" s="331"/>
      <c r="F405" s="250"/>
      <c r="J405" s="251"/>
    </row>
    <row r="406">
      <c r="A406" s="265"/>
      <c r="B406" s="268"/>
      <c r="C406" s="252"/>
      <c r="D406" s="331"/>
      <c r="F406" s="250"/>
      <c r="J406" s="251"/>
    </row>
    <row r="407">
      <c r="A407" s="265"/>
      <c r="B407" s="247"/>
      <c r="C407" s="252"/>
      <c r="D407" s="822"/>
      <c r="F407" s="250"/>
      <c r="J407" s="267"/>
    </row>
    <row r="408">
      <c r="A408" s="270"/>
      <c r="B408" s="271"/>
      <c r="C408" s="272"/>
      <c r="D408" s="823"/>
      <c r="E408" s="18"/>
      <c r="F408" s="274"/>
      <c r="G408" s="18"/>
      <c r="H408" s="18"/>
      <c r="I408" s="18"/>
      <c r="J408" s="261"/>
    </row>
    <row r="409">
      <c r="A409" s="303"/>
      <c r="B409" s="268"/>
      <c r="C409" s="252"/>
      <c r="D409" s="331"/>
      <c r="F409" s="250"/>
      <c r="J409" s="251"/>
    </row>
    <row r="410">
      <c r="A410" s="303"/>
      <c r="B410" s="268"/>
      <c r="C410" s="252"/>
      <c r="D410" s="822"/>
      <c r="F410" s="250"/>
      <c r="J410" s="251"/>
    </row>
    <row r="411">
      <c r="A411" s="303"/>
      <c r="B411" s="268"/>
      <c r="C411" s="252"/>
      <c r="D411" s="822"/>
      <c r="F411" s="250"/>
      <c r="J411" s="251"/>
    </row>
    <row r="412">
      <c r="A412" s="303"/>
      <c r="B412" s="268"/>
      <c r="C412" s="252"/>
      <c r="D412" s="822"/>
      <c r="F412" s="250"/>
      <c r="J412" s="251"/>
    </row>
    <row r="413">
      <c r="A413" s="303"/>
      <c r="B413" s="268"/>
      <c r="C413" s="252"/>
      <c r="D413" s="822"/>
      <c r="F413" s="250"/>
      <c r="J413" s="251"/>
    </row>
    <row r="414">
      <c r="A414" s="303"/>
      <c r="B414" s="268"/>
      <c r="C414" s="252"/>
      <c r="D414" s="822"/>
      <c r="F414" s="250"/>
      <c r="J414" s="251"/>
    </row>
    <row r="415">
      <c r="A415" s="304"/>
      <c r="B415" s="271"/>
      <c r="C415" s="272"/>
      <c r="D415" s="823"/>
      <c r="E415" s="18"/>
      <c r="F415" s="274"/>
      <c r="G415" s="18"/>
      <c r="H415" s="18"/>
      <c r="I415" s="18"/>
      <c r="J415" s="261"/>
    </row>
    <row r="416">
      <c r="A416" s="305"/>
      <c r="B416" s="306"/>
      <c r="C416" s="240"/>
      <c r="D416" s="824"/>
      <c r="E416" s="242"/>
      <c r="F416" s="243"/>
      <c r="G416" s="244"/>
      <c r="H416" s="244"/>
      <c r="I416" s="244"/>
      <c r="J416" s="307"/>
    </row>
    <row r="417">
      <c r="A417" s="265"/>
      <c r="B417" s="268"/>
      <c r="C417" s="252"/>
      <c r="D417" s="822"/>
      <c r="F417" s="250"/>
      <c r="I417" s="252"/>
      <c r="J417" s="251"/>
    </row>
    <row r="418">
      <c r="A418" s="265"/>
      <c r="B418" s="268"/>
      <c r="C418" s="252"/>
      <c r="D418" s="822"/>
      <c r="F418" s="250"/>
      <c r="I418" s="252"/>
      <c r="J418" s="251"/>
    </row>
    <row r="419">
      <c r="A419" s="265"/>
      <c r="B419" s="268"/>
      <c r="C419" s="252"/>
      <c r="D419" s="822"/>
      <c r="F419" s="250"/>
      <c r="I419" s="252"/>
      <c r="J419" s="251"/>
    </row>
    <row r="420">
      <c r="A420" s="265"/>
      <c r="B420" s="268"/>
      <c r="C420" s="252"/>
      <c r="D420" s="822"/>
      <c r="F420" s="250"/>
      <c r="I420" s="252"/>
      <c r="J420" s="251"/>
    </row>
    <row r="421">
      <c r="A421" s="265"/>
      <c r="B421" s="268"/>
      <c r="C421" s="252"/>
      <c r="D421" s="822"/>
      <c r="F421" s="250"/>
      <c r="J421" s="251"/>
    </row>
    <row r="422">
      <c r="A422" s="265"/>
      <c r="B422" s="268"/>
      <c r="C422" s="252"/>
      <c r="D422" s="822"/>
      <c r="F422" s="250"/>
      <c r="J422" s="251"/>
    </row>
    <row r="423">
      <c r="A423" s="265"/>
      <c r="B423" s="268"/>
      <c r="C423" s="252"/>
      <c r="D423" s="822"/>
      <c r="F423" s="250"/>
      <c r="J423" s="251"/>
    </row>
    <row r="424">
      <c r="A424" s="265"/>
      <c r="B424" s="268"/>
      <c r="C424" s="252"/>
      <c r="D424" s="822"/>
      <c r="F424" s="250"/>
      <c r="J424" s="251"/>
    </row>
    <row r="425">
      <c r="A425" s="270"/>
      <c r="B425" s="271"/>
      <c r="C425" s="272"/>
      <c r="D425" s="823"/>
      <c r="E425" s="18"/>
      <c r="F425" s="274"/>
      <c r="G425" s="18"/>
      <c r="H425" s="18"/>
      <c r="I425" s="18"/>
      <c r="J425" s="261"/>
    </row>
    <row r="426">
      <c r="A426" s="305"/>
      <c r="B426" s="306"/>
      <c r="C426" s="240"/>
      <c r="D426" s="824"/>
      <c r="E426" s="242"/>
      <c r="F426" s="243"/>
      <c r="G426" s="244"/>
      <c r="H426" s="244"/>
      <c r="I426" s="244"/>
      <c r="J426" s="307"/>
    </row>
    <row r="427">
      <c r="A427" s="265"/>
      <c r="B427" s="268"/>
      <c r="C427" s="252"/>
      <c r="D427" s="822"/>
      <c r="F427" s="250"/>
      <c r="J427" s="251"/>
    </row>
    <row r="428">
      <c r="A428" s="265"/>
      <c r="B428" s="268"/>
      <c r="C428" s="252"/>
      <c r="D428" s="822"/>
      <c r="F428" s="250"/>
      <c r="J428" s="251"/>
    </row>
    <row r="429">
      <c r="A429" s="265"/>
      <c r="B429" s="268"/>
      <c r="C429" s="252"/>
      <c r="D429" s="822"/>
      <c r="F429" s="250"/>
      <c r="J429" s="251"/>
    </row>
    <row r="430">
      <c r="A430" s="265"/>
      <c r="B430" s="268"/>
      <c r="C430" s="252"/>
      <c r="D430" s="822"/>
      <c r="F430" s="250"/>
      <c r="J430" s="251"/>
    </row>
    <row r="431">
      <c r="A431" s="265"/>
      <c r="B431" s="268"/>
      <c r="C431" s="252"/>
      <c r="D431" s="822"/>
      <c r="F431" s="250"/>
      <c r="J431" s="251"/>
    </row>
    <row r="432">
      <c r="A432" s="265"/>
      <c r="B432" s="268"/>
      <c r="C432" s="252"/>
      <c r="D432" s="822"/>
      <c r="F432" s="250"/>
      <c r="J432" s="251"/>
    </row>
    <row r="433">
      <c r="A433" s="265"/>
      <c r="B433" s="268"/>
      <c r="C433" s="252"/>
      <c r="D433" s="822"/>
      <c r="F433" s="250"/>
      <c r="J433" s="251"/>
    </row>
    <row r="434">
      <c r="A434" s="265"/>
      <c r="B434" s="268"/>
      <c r="C434" s="252"/>
      <c r="D434" s="822"/>
      <c r="F434" s="250"/>
      <c r="J434" s="251"/>
    </row>
    <row r="435">
      <c r="A435" s="270"/>
      <c r="B435" s="271"/>
      <c r="C435" s="272"/>
      <c r="D435" s="823"/>
      <c r="E435" s="18"/>
      <c r="F435" s="274"/>
      <c r="G435" s="18"/>
      <c r="H435" s="18"/>
      <c r="I435" s="18"/>
      <c r="J435" s="261"/>
    </row>
    <row r="436">
      <c r="B436" s="306"/>
      <c r="C436" s="240"/>
      <c r="D436" s="824"/>
      <c r="E436" s="242"/>
      <c r="F436" s="243"/>
      <c r="G436" s="244"/>
      <c r="H436" s="244"/>
      <c r="I436" s="244"/>
      <c r="J436" s="307"/>
    </row>
    <row r="437">
      <c r="B437" s="268"/>
      <c r="C437" s="252"/>
      <c r="D437" s="822"/>
      <c r="F437" s="250"/>
      <c r="J437" s="251"/>
    </row>
    <row r="438">
      <c r="B438" s="268"/>
      <c r="C438" s="252"/>
      <c r="D438" s="822"/>
      <c r="F438" s="250"/>
      <c r="J438" s="251"/>
    </row>
    <row r="439">
      <c r="B439" s="308"/>
      <c r="C439" s="252"/>
      <c r="D439" s="822"/>
      <c r="F439" s="309"/>
      <c r="J439" s="302"/>
    </row>
    <row r="440">
      <c r="B440" s="308"/>
      <c r="C440" s="252"/>
      <c r="D440" s="822"/>
      <c r="F440" s="309"/>
      <c r="J440" s="302"/>
    </row>
    <row r="441">
      <c r="B441" s="308"/>
      <c r="C441" s="252"/>
      <c r="D441" s="822"/>
      <c r="F441" s="309"/>
      <c r="J441" s="302"/>
    </row>
    <row r="442">
      <c r="B442" s="308"/>
      <c r="C442" s="252"/>
      <c r="D442" s="822"/>
      <c r="F442" s="309"/>
      <c r="J442" s="302"/>
    </row>
    <row r="443">
      <c r="B443" s="308"/>
      <c r="C443" s="252"/>
      <c r="D443" s="822"/>
      <c r="F443" s="309"/>
      <c r="J443" s="302"/>
    </row>
    <row r="444">
      <c r="B444" s="308"/>
      <c r="C444" s="252"/>
      <c r="D444" s="822"/>
      <c r="F444" s="309"/>
      <c r="J444" s="302"/>
    </row>
    <row r="445">
      <c r="B445" s="308"/>
      <c r="C445" s="252"/>
      <c r="D445" s="822"/>
      <c r="F445" s="309"/>
      <c r="J445" s="302"/>
    </row>
    <row r="446">
      <c r="B446" s="308"/>
      <c r="C446" s="252"/>
      <c r="D446" s="822"/>
      <c r="F446" s="309"/>
      <c r="J446" s="302"/>
    </row>
    <row r="447">
      <c r="B447" s="308"/>
      <c r="C447" s="252"/>
      <c r="D447" s="822"/>
      <c r="F447" s="309"/>
      <c r="J447" s="302"/>
    </row>
    <row r="448">
      <c r="B448" s="308"/>
      <c r="C448" s="252"/>
      <c r="D448" s="822"/>
      <c r="F448" s="309"/>
      <c r="J448" s="302"/>
    </row>
    <row r="449">
      <c r="B449" s="308"/>
      <c r="C449" s="252"/>
      <c r="D449" s="822"/>
      <c r="F449" s="309"/>
      <c r="J449" s="302"/>
    </row>
    <row r="450">
      <c r="B450" s="308"/>
      <c r="C450" s="252"/>
      <c r="D450" s="822"/>
      <c r="F450" s="309"/>
      <c r="J450" s="302"/>
    </row>
    <row r="451">
      <c r="B451" s="308"/>
      <c r="C451" s="252"/>
      <c r="D451" s="822"/>
      <c r="F451" s="309"/>
      <c r="J451" s="302"/>
    </row>
    <row r="452">
      <c r="B452" s="308"/>
      <c r="C452" s="252"/>
      <c r="D452" s="822"/>
      <c r="F452" s="309"/>
      <c r="J452" s="302"/>
    </row>
    <row r="453">
      <c r="B453" s="308"/>
      <c r="C453" s="252"/>
      <c r="D453" s="822"/>
      <c r="F453" s="309"/>
      <c r="J453" s="302"/>
    </row>
    <row r="454">
      <c r="B454" s="308"/>
      <c r="C454" s="252"/>
      <c r="D454" s="822"/>
      <c r="F454" s="309"/>
      <c r="J454" s="302"/>
    </row>
    <row r="455">
      <c r="B455" s="308"/>
      <c r="C455" s="252"/>
      <c r="D455" s="822"/>
      <c r="F455" s="309"/>
      <c r="J455" s="302"/>
    </row>
    <row r="456">
      <c r="B456" s="308"/>
      <c r="C456" s="252"/>
      <c r="D456" s="822"/>
      <c r="F456" s="309"/>
      <c r="J456" s="302"/>
    </row>
    <row r="457">
      <c r="B457" s="308"/>
      <c r="C457" s="252"/>
      <c r="D457" s="822"/>
      <c r="F457" s="309"/>
      <c r="J457" s="302"/>
    </row>
    <row r="458">
      <c r="B458" s="308"/>
      <c r="C458" s="252"/>
      <c r="D458" s="822"/>
      <c r="F458" s="309"/>
      <c r="J458" s="302"/>
    </row>
    <row r="459">
      <c r="B459" s="308"/>
      <c r="C459" s="252"/>
      <c r="D459" s="822"/>
      <c r="F459" s="309"/>
      <c r="J459" s="302"/>
    </row>
    <row r="460">
      <c r="B460" s="308"/>
      <c r="C460" s="252"/>
      <c r="D460" s="822"/>
      <c r="F460" s="309"/>
      <c r="J460" s="302"/>
    </row>
    <row r="461">
      <c r="B461" s="308"/>
      <c r="C461" s="252"/>
      <c r="D461" s="822"/>
      <c r="F461" s="309"/>
      <c r="J461" s="302"/>
    </row>
    <row r="462">
      <c r="B462" s="308"/>
      <c r="C462" s="252"/>
      <c r="D462" s="822"/>
      <c r="F462" s="309"/>
      <c r="J462" s="302"/>
    </row>
    <row r="463">
      <c r="B463" s="308"/>
      <c r="C463" s="252"/>
      <c r="D463" s="822"/>
      <c r="F463" s="309"/>
      <c r="J463" s="302"/>
    </row>
    <row r="464">
      <c r="B464" s="308"/>
      <c r="C464" s="252"/>
      <c r="D464" s="822"/>
      <c r="F464" s="309"/>
      <c r="J464" s="302"/>
    </row>
    <row r="465">
      <c r="B465" s="308"/>
      <c r="C465" s="252"/>
      <c r="D465" s="822"/>
      <c r="F465" s="309"/>
      <c r="J465" s="302"/>
    </row>
    <row r="466">
      <c r="B466" s="308"/>
      <c r="C466" s="252"/>
      <c r="D466" s="822"/>
      <c r="F466" s="309"/>
      <c r="J466" s="302"/>
    </row>
    <row r="467">
      <c r="B467" s="308"/>
      <c r="C467" s="252"/>
      <c r="D467" s="822"/>
      <c r="F467" s="309"/>
      <c r="J467" s="302"/>
    </row>
    <row r="468">
      <c r="B468" s="308"/>
      <c r="C468" s="252"/>
      <c r="D468" s="822"/>
      <c r="F468" s="309"/>
      <c r="J468" s="302"/>
    </row>
    <row r="469">
      <c r="B469" s="308"/>
      <c r="C469" s="252"/>
      <c r="D469" s="822"/>
      <c r="F469" s="309"/>
      <c r="J469" s="302"/>
    </row>
    <row r="470">
      <c r="B470" s="308"/>
      <c r="C470" s="252"/>
      <c r="D470" s="822"/>
      <c r="F470" s="309"/>
      <c r="J470" s="302"/>
    </row>
    <row r="471">
      <c r="B471" s="308"/>
      <c r="C471" s="252"/>
      <c r="D471" s="822"/>
      <c r="F471" s="309"/>
      <c r="J471" s="302"/>
    </row>
    <row r="472">
      <c r="B472" s="308"/>
      <c r="C472" s="252"/>
      <c r="D472" s="822"/>
      <c r="F472" s="309"/>
      <c r="J472" s="302"/>
    </row>
    <row r="473">
      <c r="B473" s="308"/>
      <c r="C473" s="252"/>
      <c r="D473" s="822"/>
      <c r="F473" s="309"/>
      <c r="J473" s="302"/>
    </row>
    <row r="474">
      <c r="B474" s="308"/>
      <c r="C474" s="252"/>
      <c r="D474" s="822"/>
      <c r="F474" s="309"/>
      <c r="J474" s="302"/>
    </row>
    <row r="475">
      <c r="B475" s="308"/>
      <c r="C475" s="252"/>
      <c r="D475" s="822"/>
      <c r="F475" s="309"/>
      <c r="J475" s="302"/>
    </row>
    <row r="476">
      <c r="B476" s="308"/>
      <c r="C476" s="252"/>
      <c r="D476" s="822"/>
      <c r="F476" s="309"/>
      <c r="J476" s="302"/>
    </row>
    <row r="477">
      <c r="B477" s="308"/>
      <c r="C477" s="252"/>
      <c r="D477" s="822"/>
      <c r="F477" s="309"/>
      <c r="J477" s="302"/>
    </row>
    <row r="478">
      <c r="B478" s="308"/>
      <c r="C478" s="252"/>
      <c r="D478" s="822"/>
      <c r="F478" s="309"/>
      <c r="J478" s="302"/>
    </row>
    <row r="479">
      <c r="B479" s="308"/>
      <c r="C479" s="252"/>
      <c r="D479" s="822"/>
      <c r="F479" s="309"/>
      <c r="J479" s="302"/>
    </row>
    <row r="480">
      <c r="B480" s="308"/>
      <c r="C480" s="252"/>
      <c r="D480" s="822"/>
      <c r="F480" s="309"/>
      <c r="J480" s="302"/>
    </row>
    <row r="481">
      <c r="B481" s="308"/>
      <c r="C481" s="252"/>
      <c r="D481" s="822"/>
      <c r="F481" s="309"/>
      <c r="J481" s="302"/>
    </row>
    <row r="482">
      <c r="B482" s="308"/>
      <c r="C482" s="252"/>
      <c r="D482" s="822"/>
      <c r="F482" s="309"/>
      <c r="J482" s="302"/>
    </row>
    <row r="483">
      <c r="B483" s="308"/>
      <c r="C483" s="252"/>
      <c r="D483" s="822"/>
      <c r="F483" s="309"/>
      <c r="J483" s="302"/>
    </row>
    <row r="484">
      <c r="B484" s="308"/>
      <c r="C484" s="252"/>
      <c r="D484" s="822"/>
      <c r="F484" s="309"/>
      <c r="J484" s="302"/>
    </row>
    <row r="485">
      <c r="B485" s="308"/>
      <c r="C485" s="252"/>
      <c r="D485" s="822"/>
      <c r="F485" s="309"/>
      <c r="J485" s="302"/>
    </row>
    <row r="486">
      <c r="B486" s="308"/>
      <c r="C486" s="252"/>
      <c r="D486" s="822"/>
      <c r="F486" s="309"/>
      <c r="J486" s="302"/>
    </row>
    <row r="487">
      <c r="B487" s="308"/>
      <c r="C487" s="252"/>
      <c r="D487" s="822"/>
      <c r="F487" s="309"/>
      <c r="J487" s="302"/>
    </row>
    <row r="488">
      <c r="B488" s="308"/>
      <c r="C488" s="252"/>
      <c r="D488" s="822"/>
      <c r="F488" s="309"/>
      <c r="J488" s="302"/>
    </row>
    <row r="489">
      <c r="B489" s="308"/>
      <c r="C489" s="252"/>
      <c r="D489" s="822"/>
      <c r="F489" s="309"/>
      <c r="J489" s="302"/>
    </row>
    <row r="490">
      <c r="B490" s="308"/>
      <c r="C490" s="252"/>
      <c r="D490" s="822"/>
      <c r="F490" s="309"/>
      <c r="J490" s="302"/>
    </row>
    <row r="491">
      <c r="B491" s="308"/>
      <c r="C491" s="252"/>
      <c r="D491" s="822"/>
      <c r="F491" s="309"/>
      <c r="J491" s="302"/>
    </row>
    <row r="492">
      <c r="B492" s="308"/>
      <c r="C492" s="252"/>
      <c r="D492" s="822"/>
      <c r="F492" s="309"/>
      <c r="J492" s="302"/>
    </row>
    <row r="493">
      <c r="B493" s="308"/>
      <c r="C493" s="252"/>
      <c r="D493" s="822"/>
      <c r="F493" s="309"/>
      <c r="J493" s="302"/>
    </row>
    <row r="494">
      <c r="B494" s="308"/>
      <c r="C494" s="252"/>
      <c r="D494" s="822"/>
      <c r="F494" s="309"/>
      <c r="J494" s="302"/>
    </row>
    <row r="495">
      <c r="B495" s="308"/>
      <c r="C495" s="252"/>
      <c r="D495" s="822"/>
      <c r="F495" s="309"/>
      <c r="J495" s="302"/>
    </row>
    <row r="496">
      <c r="B496" s="308"/>
      <c r="C496" s="252"/>
      <c r="D496" s="822"/>
      <c r="F496" s="309"/>
      <c r="J496" s="302"/>
    </row>
    <row r="497">
      <c r="B497" s="308"/>
      <c r="C497" s="252"/>
      <c r="D497" s="822"/>
      <c r="F497" s="309"/>
      <c r="J497" s="302"/>
    </row>
    <row r="498">
      <c r="B498" s="308"/>
      <c r="C498" s="252"/>
      <c r="D498" s="822"/>
      <c r="F498" s="309"/>
      <c r="J498" s="302"/>
    </row>
    <row r="499">
      <c r="B499" s="308"/>
      <c r="C499" s="252"/>
      <c r="D499" s="822"/>
      <c r="F499" s="309"/>
      <c r="J499" s="302"/>
    </row>
    <row r="500">
      <c r="B500" s="308"/>
      <c r="C500" s="252"/>
      <c r="D500" s="822"/>
      <c r="F500" s="309"/>
      <c r="J500" s="302"/>
    </row>
    <row r="501">
      <c r="B501" s="308"/>
      <c r="C501" s="252"/>
      <c r="D501" s="822"/>
      <c r="F501" s="309"/>
      <c r="J501" s="302"/>
    </row>
    <row r="502">
      <c r="B502" s="308"/>
      <c r="C502" s="252"/>
      <c r="D502" s="822"/>
      <c r="F502" s="309"/>
      <c r="J502" s="302"/>
    </row>
    <row r="503">
      <c r="B503" s="308"/>
      <c r="C503" s="252"/>
      <c r="D503" s="822"/>
      <c r="F503" s="309"/>
      <c r="J503" s="302"/>
    </row>
    <row r="504">
      <c r="B504" s="308"/>
      <c r="C504" s="252"/>
      <c r="D504" s="822"/>
      <c r="F504" s="309"/>
      <c r="J504" s="302"/>
    </row>
    <row r="505">
      <c r="B505" s="308"/>
      <c r="C505" s="252"/>
      <c r="D505" s="822"/>
      <c r="F505" s="309"/>
      <c r="J505" s="302"/>
    </row>
    <row r="506">
      <c r="B506" s="308"/>
      <c r="C506" s="252"/>
      <c r="D506" s="822"/>
      <c r="F506" s="309"/>
      <c r="J506" s="302"/>
    </row>
    <row r="507">
      <c r="B507" s="308"/>
      <c r="C507" s="252"/>
      <c r="D507" s="822"/>
      <c r="F507" s="309"/>
      <c r="J507" s="302"/>
    </row>
    <row r="508">
      <c r="B508" s="308"/>
      <c r="C508" s="252"/>
      <c r="D508" s="822"/>
      <c r="F508" s="309"/>
      <c r="J508" s="302"/>
    </row>
    <row r="509">
      <c r="B509" s="308"/>
      <c r="C509" s="252"/>
      <c r="D509" s="822"/>
      <c r="F509" s="309"/>
      <c r="J509" s="302"/>
    </row>
    <row r="510">
      <c r="B510" s="308"/>
      <c r="C510" s="252"/>
      <c r="D510" s="822"/>
      <c r="F510" s="309"/>
      <c r="J510" s="302"/>
    </row>
    <row r="511">
      <c r="B511" s="308"/>
      <c r="C511" s="252"/>
      <c r="D511" s="822"/>
      <c r="F511" s="309"/>
      <c r="J511" s="302"/>
    </row>
    <row r="512">
      <c r="B512" s="308"/>
      <c r="C512" s="252"/>
      <c r="D512" s="822"/>
      <c r="F512" s="309"/>
      <c r="J512" s="302"/>
    </row>
    <row r="513">
      <c r="B513" s="308"/>
      <c r="C513" s="252"/>
      <c r="D513" s="822"/>
      <c r="F513" s="309"/>
      <c r="J513" s="302"/>
    </row>
    <row r="514">
      <c r="B514" s="308"/>
      <c r="C514" s="252"/>
      <c r="D514" s="822"/>
      <c r="F514" s="309"/>
      <c r="J514" s="302"/>
    </row>
    <row r="515">
      <c r="B515" s="308"/>
      <c r="C515" s="252"/>
      <c r="D515" s="822"/>
      <c r="F515" s="309"/>
      <c r="J515" s="302"/>
    </row>
    <row r="516">
      <c r="B516" s="308"/>
      <c r="C516" s="252"/>
      <c r="D516" s="822"/>
      <c r="F516" s="309"/>
      <c r="J516" s="302"/>
    </row>
    <row r="517">
      <c r="B517" s="308"/>
      <c r="C517" s="252"/>
      <c r="D517" s="822"/>
      <c r="F517" s="309"/>
      <c r="J517" s="302"/>
    </row>
    <row r="518">
      <c r="B518" s="308"/>
      <c r="C518" s="252"/>
      <c r="D518" s="822"/>
      <c r="F518" s="309"/>
      <c r="J518" s="302"/>
    </row>
    <row r="519">
      <c r="B519" s="308"/>
      <c r="C519" s="252"/>
      <c r="D519" s="822"/>
      <c r="F519" s="309"/>
      <c r="J519" s="302"/>
    </row>
    <row r="520">
      <c r="B520" s="308"/>
      <c r="C520" s="252"/>
      <c r="D520" s="822"/>
      <c r="F520" s="309"/>
      <c r="J520" s="302"/>
    </row>
    <row r="521">
      <c r="B521" s="308"/>
      <c r="C521" s="252"/>
      <c r="D521" s="822"/>
      <c r="F521" s="309"/>
      <c r="J521" s="302"/>
    </row>
    <row r="522">
      <c r="B522" s="308"/>
      <c r="C522" s="252"/>
      <c r="D522" s="822"/>
      <c r="F522" s="309"/>
      <c r="J522" s="302"/>
    </row>
    <row r="523">
      <c r="B523" s="308"/>
      <c r="C523" s="252"/>
      <c r="D523" s="822"/>
      <c r="F523" s="309"/>
      <c r="J523" s="302"/>
    </row>
    <row r="524">
      <c r="B524" s="308"/>
      <c r="C524" s="252"/>
      <c r="D524" s="822"/>
      <c r="F524" s="309"/>
      <c r="J524" s="302"/>
    </row>
    <row r="525">
      <c r="B525" s="308"/>
      <c r="C525" s="252"/>
      <c r="D525" s="822"/>
      <c r="F525" s="309"/>
      <c r="J525" s="302"/>
    </row>
    <row r="526">
      <c r="B526" s="308"/>
      <c r="C526" s="252"/>
      <c r="D526" s="822"/>
      <c r="F526" s="309"/>
      <c r="J526" s="302"/>
    </row>
    <row r="527">
      <c r="B527" s="308"/>
      <c r="C527" s="252"/>
      <c r="D527" s="822"/>
      <c r="F527" s="309"/>
      <c r="J527" s="302"/>
    </row>
    <row r="528">
      <c r="B528" s="308"/>
      <c r="C528" s="252"/>
      <c r="D528" s="822"/>
      <c r="F528" s="309"/>
      <c r="J528" s="302"/>
    </row>
    <row r="529">
      <c r="B529" s="308"/>
      <c r="C529" s="252"/>
      <c r="D529" s="822"/>
      <c r="F529" s="309"/>
      <c r="J529" s="302"/>
    </row>
    <row r="530">
      <c r="B530" s="308"/>
      <c r="C530" s="252"/>
      <c r="D530" s="822"/>
      <c r="F530" s="309"/>
      <c r="J530" s="302"/>
    </row>
    <row r="531">
      <c r="B531" s="308"/>
      <c r="C531" s="252"/>
      <c r="D531" s="822"/>
      <c r="F531" s="309"/>
      <c r="J531" s="302"/>
    </row>
    <row r="532">
      <c r="B532" s="308"/>
      <c r="C532" s="252"/>
      <c r="D532" s="822"/>
      <c r="F532" s="309"/>
      <c r="J532" s="302"/>
    </row>
    <row r="533">
      <c r="B533" s="308"/>
      <c r="C533" s="252"/>
      <c r="D533" s="822"/>
      <c r="F533" s="309"/>
      <c r="J533" s="302"/>
    </row>
    <row r="534">
      <c r="B534" s="308"/>
      <c r="C534" s="252"/>
      <c r="D534" s="822"/>
      <c r="F534" s="309"/>
      <c r="J534" s="302"/>
    </row>
    <row r="535">
      <c r="B535" s="308"/>
      <c r="C535" s="252"/>
      <c r="D535" s="822"/>
      <c r="F535" s="309"/>
      <c r="J535" s="302"/>
    </row>
    <row r="536">
      <c r="B536" s="308"/>
      <c r="C536" s="252"/>
      <c r="D536" s="822"/>
      <c r="F536" s="309"/>
      <c r="J536" s="302"/>
    </row>
    <row r="537">
      <c r="B537" s="308"/>
      <c r="C537" s="252"/>
      <c r="D537" s="822"/>
      <c r="F537" s="309"/>
      <c r="J537" s="302"/>
    </row>
    <row r="538">
      <c r="B538" s="308"/>
      <c r="C538" s="252"/>
      <c r="D538" s="822"/>
      <c r="F538" s="309"/>
      <c r="J538" s="302"/>
    </row>
    <row r="539">
      <c r="B539" s="308"/>
      <c r="C539" s="252"/>
      <c r="D539" s="822"/>
      <c r="F539" s="309"/>
      <c r="J539" s="302"/>
    </row>
    <row r="540">
      <c r="B540" s="308"/>
      <c r="C540" s="252"/>
      <c r="D540" s="822"/>
      <c r="F540" s="309"/>
      <c r="J540" s="302"/>
    </row>
    <row r="541">
      <c r="B541" s="308"/>
      <c r="C541" s="252"/>
      <c r="D541" s="822"/>
      <c r="F541" s="309"/>
      <c r="J541" s="302"/>
    </row>
    <row r="542">
      <c r="B542" s="308"/>
      <c r="C542" s="252"/>
      <c r="D542" s="822"/>
      <c r="F542" s="309"/>
      <c r="J542" s="302"/>
    </row>
    <row r="543">
      <c r="B543" s="308"/>
      <c r="C543" s="252"/>
      <c r="D543" s="822"/>
      <c r="F543" s="309"/>
      <c r="J543" s="302"/>
    </row>
    <row r="544">
      <c r="B544" s="308"/>
      <c r="C544" s="252"/>
      <c r="D544" s="822"/>
      <c r="F544" s="309"/>
      <c r="J544" s="302"/>
    </row>
    <row r="545">
      <c r="B545" s="308"/>
      <c r="C545" s="252"/>
      <c r="D545" s="822"/>
      <c r="F545" s="309"/>
      <c r="J545" s="302"/>
    </row>
    <row r="546">
      <c r="B546" s="308"/>
      <c r="C546" s="252"/>
      <c r="D546" s="822"/>
      <c r="F546" s="309"/>
      <c r="J546" s="302"/>
    </row>
    <row r="547">
      <c r="B547" s="308"/>
      <c r="C547" s="252"/>
      <c r="D547" s="822"/>
      <c r="F547" s="309"/>
      <c r="J547" s="302"/>
    </row>
    <row r="548">
      <c r="B548" s="308"/>
      <c r="C548" s="252"/>
      <c r="D548" s="822"/>
      <c r="F548" s="309"/>
      <c r="J548" s="302"/>
    </row>
    <row r="549">
      <c r="B549" s="308"/>
      <c r="C549" s="252"/>
      <c r="D549" s="822"/>
      <c r="F549" s="309"/>
      <c r="J549" s="302"/>
    </row>
    <row r="550">
      <c r="B550" s="308"/>
      <c r="C550" s="252"/>
      <c r="D550" s="822"/>
      <c r="F550" s="309"/>
      <c r="J550" s="302"/>
    </row>
    <row r="551">
      <c r="B551" s="308"/>
      <c r="C551" s="252"/>
      <c r="D551" s="822"/>
      <c r="F551" s="309"/>
      <c r="J551" s="302"/>
    </row>
    <row r="552">
      <c r="B552" s="308"/>
      <c r="C552" s="252"/>
      <c r="D552" s="822"/>
      <c r="F552" s="309"/>
      <c r="J552" s="302"/>
    </row>
    <row r="553">
      <c r="B553" s="308"/>
      <c r="C553" s="252"/>
      <c r="D553" s="822"/>
      <c r="F553" s="309"/>
      <c r="J553" s="302"/>
    </row>
    <row r="554">
      <c r="B554" s="308"/>
      <c r="C554" s="252"/>
      <c r="D554" s="822"/>
      <c r="F554" s="309"/>
      <c r="J554" s="302"/>
    </row>
    <row r="555">
      <c r="B555" s="308"/>
      <c r="C555" s="252"/>
      <c r="D555" s="822"/>
      <c r="F555" s="309"/>
      <c r="J555" s="302"/>
    </row>
    <row r="556">
      <c r="B556" s="308"/>
      <c r="C556" s="252"/>
      <c r="D556" s="822"/>
      <c r="F556" s="309"/>
      <c r="J556" s="302"/>
    </row>
    <row r="557">
      <c r="B557" s="308"/>
      <c r="C557" s="252"/>
      <c r="D557" s="822"/>
      <c r="F557" s="309"/>
      <c r="J557" s="302"/>
    </row>
    <row r="558">
      <c r="B558" s="308"/>
      <c r="C558" s="252"/>
      <c r="D558" s="822"/>
      <c r="F558" s="309"/>
      <c r="J558" s="302"/>
    </row>
    <row r="559">
      <c r="B559" s="308"/>
      <c r="C559" s="252"/>
      <c r="D559" s="822"/>
      <c r="F559" s="309"/>
      <c r="J559" s="302"/>
    </row>
    <row r="560">
      <c r="B560" s="308"/>
      <c r="C560" s="252"/>
      <c r="D560" s="822"/>
      <c r="F560" s="309"/>
      <c r="J560" s="302"/>
    </row>
    <row r="561">
      <c r="B561" s="308"/>
      <c r="C561" s="252"/>
      <c r="D561" s="822"/>
      <c r="F561" s="309"/>
      <c r="J561" s="302"/>
    </row>
    <row r="562">
      <c r="B562" s="308"/>
      <c r="C562" s="252"/>
      <c r="D562" s="822"/>
      <c r="F562" s="309"/>
      <c r="J562" s="302"/>
    </row>
    <row r="563">
      <c r="B563" s="308"/>
      <c r="C563" s="252"/>
      <c r="D563" s="822"/>
      <c r="F563" s="309"/>
      <c r="J563" s="302"/>
    </row>
    <row r="564">
      <c r="B564" s="308"/>
      <c r="C564" s="252"/>
      <c r="D564" s="822"/>
      <c r="F564" s="309"/>
      <c r="J564" s="302"/>
    </row>
    <row r="565">
      <c r="B565" s="308"/>
      <c r="C565" s="252"/>
      <c r="D565" s="822"/>
      <c r="F565" s="309"/>
      <c r="J565" s="302"/>
    </row>
    <row r="566">
      <c r="B566" s="308"/>
      <c r="C566" s="252"/>
      <c r="D566" s="822"/>
      <c r="F566" s="309"/>
      <c r="J566" s="302"/>
    </row>
    <row r="567">
      <c r="B567" s="308"/>
      <c r="C567" s="252"/>
      <c r="D567" s="822"/>
      <c r="F567" s="309"/>
      <c r="J567" s="302"/>
    </row>
    <row r="568">
      <c r="B568" s="308"/>
      <c r="C568" s="252"/>
      <c r="D568" s="822"/>
      <c r="F568" s="309"/>
      <c r="J568" s="302"/>
    </row>
    <row r="569">
      <c r="B569" s="308"/>
      <c r="C569" s="252"/>
      <c r="D569" s="822"/>
      <c r="F569" s="309"/>
      <c r="J569" s="302"/>
    </row>
    <row r="570">
      <c r="B570" s="308"/>
      <c r="C570" s="252"/>
      <c r="D570" s="822"/>
      <c r="F570" s="309"/>
      <c r="J570" s="302"/>
    </row>
    <row r="571">
      <c r="B571" s="308"/>
      <c r="C571" s="252"/>
      <c r="D571" s="822"/>
      <c r="F571" s="309"/>
      <c r="J571" s="302"/>
    </row>
    <row r="572">
      <c r="B572" s="308"/>
      <c r="C572" s="252"/>
      <c r="D572" s="822"/>
      <c r="F572" s="309"/>
      <c r="J572" s="302"/>
    </row>
    <row r="573">
      <c r="B573" s="308"/>
      <c r="C573" s="252"/>
      <c r="D573" s="822"/>
      <c r="F573" s="309"/>
      <c r="J573" s="302"/>
    </row>
    <row r="574">
      <c r="B574" s="308"/>
      <c r="C574" s="252"/>
      <c r="D574" s="822"/>
      <c r="F574" s="309"/>
      <c r="J574" s="302"/>
    </row>
    <row r="575">
      <c r="B575" s="308"/>
      <c r="C575" s="252"/>
      <c r="D575" s="822"/>
      <c r="F575" s="309"/>
      <c r="J575" s="302"/>
    </row>
    <row r="576">
      <c r="B576" s="308"/>
      <c r="C576" s="252"/>
      <c r="D576" s="822"/>
      <c r="F576" s="309"/>
      <c r="J576" s="302"/>
    </row>
    <row r="577">
      <c r="B577" s="308"/>
      <c r="C577" s="252"/>
      <c r="D577" s="822"/>
      <c r="F577" s="309"/>
      <c r="J577" s="302"/>
    </row>
    <row r="578">
      <c r="B578" s="308"/>
      <c r="C578" s="252"/>
      <c r="D578" s="822"/>
      <c r="F578" s="309"/>
      <c r="J578" s="302"/>
    </row>
    <row r="579">
      <c r="B579" s="308"/>
      <c r="C579" s="252"/>
      <c r="D579" s="822"/>
      <c r="F579" s="309"/>
      <c r="J579" s="302"/>
    </row>
    <row r="580">
      <c r="B580" s="308"/>
      <c r="C580" s="252"/>
      <c r="D580" s="822"/>
      <c r="F580" s="309"/>
      <c r="J580" s="302"/>
    </row>
    <row r="581">
      <c r="B581" s="308"/>
      <c r="C581" s="252"/>
      <c r="D581" s="822"/>
      <c r="F581" s="309"/>
      <c r="J581" s="302"/>
    </row>
    <row r="582">
      <c r="B582" s="308"/>
      <c r="C582" s="252"/>
      <c r="D582" s="822"/>
      <c r="F582" s="309"/>
      <c r="J582" s="302"/>
    </row>
    <row r="583">
      <c r="B583" s="308"/>
      <c r="C583" s="252"/>
      <c r="D583" s="822"/>
      <c r="F583" s="309"/>
      <c r="J583" s="302"/>
    </row>
    <row r="584">
      <c r="B584" s="308"/>
      <c r="C584" s="252"/>
      <c r="D584" s="822"/>
      <c r="F584" s="309"/>
      <c r="J584" s="302"/>
    </row>
    <row r="585">
      <c r="B585" s="308"/>
      <c r="C585" s="252"/>
      <c r="D585" s="822"/>
      <c r="F585" s="309"/>
      <c r="J585" s="302"/>
    </row>
    <row r="586">
      <c r="B586" s="308"/>
      <c r="C586" s="252"/>
      <c r="D586" s="822"/>
      <c r="F586" s="309"/>
      <c r="J586" s="302"/>
    </row>
    <row r="587">
      <c r="B587" s="308"/>
      <c r="C587" s="252"/>
      <c r="D587" s="822"/>
      <c r="F587" s="309"/>
      <c r="J587" s="302"/>
    </row>
    <row r="588">
      <c r="B588" s="308"/>
      <c r="C588" s="252"/>
      <c r="D588" s="822"/>
      <c r="F588" s="309"/>
      <c r="J588" s="302"/>
    </row>
    <row r="589">
      <c r="B589" s="308"/>
      <c r="C589" s="252"/>
      <c r="D589" s="822"/>
      <c r="F589" s="309"/>
      <c r="J589" s="302"/>
    </row>
    <row r="590">
      <c r="B590" s="308"/>
      <c r="C590" s="252"/>
      <c r="D590" s="822"/>
      <c r="F590" s="309"/>
      <c r="J590" s="302"/>
    </row>
    <row r="591">
      <c r="B591" s="308"/>
      <c r="C591" s="252"/>
      <c r="D591" s="822"/>
      <c r="F591" s="309"/>
      <c r="J591" s="302"/>
    </row>
    <row r="592">
      <c r="B592" s="308"/>
      <c r="C592" s="252"/>
      <c r="D592" s="822"/>
      <c r="F592" s="309"/>
      <c r="J592" s="302"/>
    </row>
    <row r="593">
      <c r="B593" s="308"/>
      <c r="C593" s="252"/>
      <c r="D593" s="822"/>
      <c r="F593" s="309"/>
      <c r="J593" s="302"/>
    </row>
    <row r="594">
      <c r="B594" s="308"/>
      <c r="C594" s="252"/>
      <c r="D594" s="822"/>
      <c r="F594" s="309"/>
      <c r="J594" s="302"/>
    </row>
    <row r="595">
      <c r="B595" s="308"/>
      <c r="C595" s="252"/>
      <c r="D595" s="822"/>
      <c r="F595" s="309"/>
      <c r="J595" s="302"/>
    </row>
    <row r="596">
      <c r="B596" s="308"/>
      <c r="C596" s="252"/>
      <c r="D596" s="822"/>
      <c r="F596" s="309"/>
      <c r="J596" s="302"/>
    </row>
    <row r="597">
      <c r="B597" s="308"/>
      <c r="C597" s="252"/>
      <c r="D597" s="822"/>
      <c r="F597" s="309"/>
      <c r="J597" s="302"/>
    </row>
    <row r="598">
      <c r="B598" s="308"/>
      <c r="C598" s="252"/>
      <c r="D598" s="822"/>
      <c r="F598" s="309"/>
      <c r="J598" s="302"/>
    </row>
    <row r="599">
      <c r="B599" s="308"/>
      <c r="C599" s="252"/>
      <c r="D599" s="822"/>
      <c r="F599" s="309"/>
      <c r="J599" s="302"/>
    </row>
    <row r="600">
      <c r="B600" s="308"/>
      <c r="C600" s="252"/>
      <c r="D600" s="822"/>
      <c r="F600" s="309"/>
      <c r="J600" s="302"/>
    </row>
    <row r="601">
      <c r="B601" s="308"/>
      <c r="C601" s="252"/>
      <c r="D601" s="822"/>
      <c r="F601" s="309"/>
      <c r="J601" s="302"/>
    </row>
    <row r="602">
      <c r="B602" s="308"/>
      <c r="C602" s="252"/>
      <c r="D602" s="822"/>
      <c r="F602" s="309"/>
      <c r="J602" s="302"/>
    </row>
    <row r="603">
      <c r="B603" s="308"/>
      <c r="C603" s="252"/>
      <c r="D603" s="822"/>
      <c r="F603" s="309"/>
      <c r="J603" s="302"/>
    </row>
    <row r="604">
      <c r="B604" s="308"/>
      <c r="C604" s="252"/>
      <c r="D604" s="822"/>
      <c r="F604" s="309"/>
      <c r="J604" s="302"/>
    </row>
    <row r="605">
      <c r="B605" s="308"/>
      <c r="C605" s="252"/>
      <c r="D605" s="822"/>
      <c r="F605" s="309"/>
      <c r="J605" s="302"/>
    </row>
    <row r="606">
      <c r="B606" s="308"/>
      <c r="C606" s="252"/>
      <c r="D606" s="822"/>
      <c r="F606" s="309"/>
      <c r="J606" s="302"/>
    </row>
    <row r="607">
      <c r="B607" s="308"/>
      <c r="C607" s="252"/>
      <c r="D607" s="822"/>
      <c r="F607" s="309"/>
      <c r="J607" s="302"/>
    </row>
    <row r="608">
      <c r="B608" s="308"/>
      <c r="C608" s="252"/>
      <c r="D608" s="822"/>
      <c r="F608" s="309"/>
      <c r="J608" s="302"/>
    </row>
    <row r="609">
      <c r="B609" s="308"/>
      <c r="C609" s="252"/>
      <c r="D609" s="822"/>
      <c r="F609" s="309"/>
      <c r="J609" s="302"/>
    </row>
    <row r="610">
      <c r="B610" s="308"/>
      <c r="C610" s="252"/>
      <c r="D610" s="822"/>
      <c r="F610" s="309"/>
      <c r="J610" s="302"/>
    </row>
    <row r="611">
      <c r="B611" s="308"/>
      <c r="C611" s="252"/>
      <c r="D611" s="822"/>
      <c r="F611" s="309"/>
      <c r="J611" s="302"/>
    </row>
    <row r="612">
      <c r="B612" s="308"/>
      <c r="C612" s="252"/>
      <c r="D612" s="822"/>
      <c r="F612" s="309"/>
      <c r="J612" s="302"/>
    </row>
    <row r="613">
      <c r="B613" s="308"/>
      <c r="C613" s="252"/>
      <c r="D613" s="822"/>
      <c r="F613" s="309"/>
      <c r="J613" s="302"/>
    </row>
    <row r="614">
      <c r="B614" s="308"/>
      <c r="C614" s="252"/>
      <c r="D614" s="822"/>
      <c r="F614" s="309"/>
      <c r="J614" s="302"/>
    </row>
    <row r="615">
      <c r="B615" s="308"/>
      <c r="C615" s="252"/>
      <c r="D615" s="822"/>
      <c r="F615" s="309"/>
      <c r="J615" s="302"/>
    </row>
    <row r="616">
      <c r="B616" s="308"/>
      <c r="C616" s="252"/>
      <c r="D616" s="822"/>
      <c r="F616" s="309"/>
      <c r="J616" s="302"/>
    </row>
    <row r="617">
      <c r="B617" s="308"/>
      <c r="C617" s="252"/>
      <c r="D617" s="822"/>
      <c r="F617" s="309"/>
      <c r="J617" s="302"/>
    </row>
    <row r="618">
      <c r="B618" s="308"/>
      <c r="C618" s="252"/>
      <c r="D618" s="822"/>
      <c r="F618" s="309"/>
      <c r="J618" s="302"/>
    </row>
    <row r="619">
      <c r="B619" s="308"/>
      <c r="C619" s="252"/>
      <c r="D619" s="822"/>
      <c r="F619" s="309"/>
      <c r="J619" s="302"/>
    </row>
    <row r="620">
      <c r="B620" s="308"/>
      <c r="C620" s="252"/>
      <c r="D620" s="822"/>
      <c r="F620" s="309"/>
      <c r="J620" s="302"/>
    </row>
    <row r="621">
      <c r="B621" s="308"/>
      <c r="C621" s="252"/>
      <c r="D621" s="822"/>
      <c r="F621" s="309"/>
      <c r="J621" s="302"/>
    </row>
    <row r="622">
      <c r="B622" s="308"/>
      <c r="C622" s="252"/>
      <c r="D622" s="822"/>
      <c r="F622" s="309"/>
      <c r="J622" s="302"/>
    </row>
    <row r="623">
      <c r="B623" s="308"/>
      <c r="C623" s="252"/>
      <c r="D623" s="822"/>
      <c r="F623" s="309"/>
      <c r="J623" s="302"/>
    </row>
    <row r="624">
      <c r="B624" s="308"/>
      <c r="C624" s="252"/>
      <c r="D624" s="822"/>
      <c r="F624" s="309"/>
      <c r="J624" s="302"/>
    </row>
    <row r="625">
      <c r="B625" s="308"/>
      <c r="C625" s="252"/>
      <c r="D625" s="822"/>
      <c r="F625" s="309"/>
      <c r="J625" s="302"/>
    </row>
    <row r="626">
      <c r="B626" s="308"/>
      <c r="C626" s="252"/>
      <c r="D626" s="822"/>
      <c r="F626" s="309"/>
      <c r="J626" s="302"/>
    </row>
    <row r="627">
      <c r="B627" s="308"/>
      <c r="C627" s="252"/>
      <c r="D627" s="822"/>
      <c r="F627" s="309"/>
      <c r="J627" s="302"/>
    </row>
    <row r="628">
      <c r="B628" s="308"/>
      <c r="C628" s="252"/>
      <c r="D628" s="822"/>
      <c r="F628" s="309"/>
      <c r="J628" s="302"/>
    </row>
    <row r="629">
      <c r="B629" s="308"/>
      <c r="C629" s="252"/>
      <c r="D629" s="822"/>
      <c r="F629" s="309"/>
      <c r="J629" s="302"/>
    </row>
    <row r="630">
      <c r="B630" s="308"/>
      <c r="C630" s="252"/>
      <c r="D630" s="822"/>
      <c r="F630" s="309"/>
      <c r="J630" s="302"/>
    </row>
    <row r="631">
      <c r="B631" s="308"/>
      <c r="C631" s="252"/>
      <c r="D631" s="822"/>
      <c r="F631" s="309"/>
      <c r="J631" s="302"/>
    </row>
    <row r="632">
      <c r="B632" s="308"/>
      <c r="C632" s="252"/>
      <c r="D632" s="822"/>
      <c r="F632" s="309"/>
      <c r="J632" s="302"/>
    </row>
    <row r="633">
      <c r="B633" s="308"/>
      <c r="C633" s="252"/>
      <c r="D633" s="822"/>
      <c r="F633" s="309"/>
      <c r="J633" s="302"/>
    </row>
    <row r="634">
      <c r="B634" s="308"/>
      <c r="C634" s="252"/>
      <c r="D634" s="822"/>
      <c r="F634" s="309"/>
      <c r="J634" s="302"/>
    </row>
    <row r="635">
      <c r="B635" s="308"/>
      <c r="C635" s="252"/>
      <c r="D635" s="822"/>
      <c r="F635" s="309"/>
      <c r="J635" s="302"/>
    </row>
    <row r="636">
      <c r="B636" s="308"/>
      <c r="C636" s="252"/>
      <c r="D636" s="822"/>
      <c r="F636" s="309"/>
      <c r="J636" s="302"/>
    </row>
    <row r="637">
      <c r="B637" s="308"/>
      <c r="C637" s="252"/>
      <c r="D637" s="822"/>
      <c r="F637" s="309"/>
      <c r="J637" s="302"/>
    </row>
    <row r="638">
      <c r="B638" s="308"/>
      <c r="C638" s="252"/>
      <c r="D638" s="822"/>
      <c r="F638" s="309"/>
      <c r="J638" s="302"/>
    </row>
    <row r="639">
      <c r="B639" s="308"/>
      <c r="C639" s="252"/>
      <c r="D639" s="822"/>
      <c r="F639" s="309"/>
      <c r="J639" s="302"/>
    </row>
    <row r="640">
      <c r="B640" s="308"/>
      <c r="C640" s="252"/>
      <c r="D640" s="822"/>
      <c r="F640" s="309"/>
      <c r="J640" s="302"/>
    </row>
    <row r="641">
      <c r="B641" s="308"/>
      <c r="C641" s="252"/>
      <c r="D641" s="822"/>
      <c r="F641" s="309"/>
      <c r="J641" s="302"/>
    </row>
    <row r="642">
      <c r="B642" s="308"/>
      <c r="C642" s="252"/>
      <c r="D642" s="822"/>
      <c r="F642" s="309"/>
      <c r="J642" s="302"/>
    </row>
    <row r="643">
      <c r="B643" s="308"/>
      <c r="C643" s="252"/>
      <c r="D643" s="822"/>
      <c r="F643" s="309"/>
      <c r="J643" s="302"/>
    </row>
    <row r="644">
      <c r="B644" s="308"/>
      <c r="C644" s="252"/>
      <c r="D644" s="822"/>
      <c r="F644" s="309"/>
      <c r="J644" s="302"/>
    </row>
    <row r="645">
      <c r="B645" s="308"/>
      <c r="C645" s="252"/>
      <c r="D645" s="822"/>
      <c r="F645" s="309"/>
      <c r="J645" s="302"/>
    </row>
    <row r="646">
      <c r="B646" s="308"/>
      <c r="C646" s="252"/>
      <c r="D646" s="822"/>
      <c r="F646" s="309"/>
      <c r="J646" s="302"/>
    </row>
    <row r="647">
      <c r="B647" s="308"/>
      <c r="C647" s="252"/>
      <c r="D647" s="822"/>
      <c r="F647" s="309"/>
      <c r="J647" s="302"/>
    </row>
    <row r="648">
      <c r="B648" s="308"/>
      <c r="C648" s="252"/>
      <c r="D648" s="822"/>
      <c r="F648" s="309"/>
      <c r="J648" s="302"/>
    </row>
    <row r="649">
      <c r="B649" s="308"/>
      <c r="C649" s="252"/>
      <c r="D649" s="822"/>
      <c r="F649" s="309"/>
      <c r="J649" s="302"/>
    </row>
    <row r="650">
      <c r="B650" s="308"/>
      <c r="C650" s="252"/>
      <c r="D650" s="822"/>
      <c r="F650" s="309"/>
      <c r="J650" s="302"/>
    </row>
    <row r="651">
      <c r="B651" s="308"/>
      <c r="C651" s="252"/>
      <c r="D651" s="822"/>
      <c r="F651" s="309"/>
      <c r="J651" s="302"/>
    </row>
    <row r="652">
      <c r="B652" s="308"/>
      <c r="C652" s="252"/>
      <c r="D652" s="822"/>
      <c r="F652" s="309"/>
      <c r="J652" s="302"/>
    </row>
    <row r="653">
      <c r="B653" s="308"/>
      <c r="C653" s="252"/>
      <c r="D653" s="822"/>
      <c r="F653" s="309"/>
      <c r="J653" s="302"/>
    </row>
    <row r="654">
      <c r="B654" s="308"/>
      <c r="C654" s="252"/>
      <c r="D654" s="822"/>
      <c r="F654" s="309"/>
      <c r="J654" s="302"/>
    </row>
    <row r="655">
      <c r="B655" s="308"/>
      <c r="C655" s="252"/>
      <c r="D655" s="822"/>
      <c r="F655" s="309"/>
      <c r="J655" s="302"/>
    </row>
    <row r="656">
      <c r="B656" s="308"/>
      <c r="C656" s="252"/>
      <c r="D656" s="822"/>
      <c r="F656" s="309"/>
      <c r="J656" s="302"/>
    </row>
    <row r="657">
      <c r="B657" s="308"/>
      <c r="C657" s="252"/>
      <c r="D657" s="822"/>
      <c r="F657" s="309"/>
      <c r="J657" s="302"/>
    </row>
    <row r="658">
      <c r="B658" s="308"/>
      <c r="C658" s="252"/>
      <c r="D658" s="822"/>
      <c r="F658" s="309"/>
      <c r="J658" s="302"/>
    </row>
    <row r="659">
      <c r="B659" s="308"/>
      <c r="C659" s="252"/>
      <c r="D659" s="822"/>
      <c r="F659" s="309"/>
      <c r="J659" s="302"/>
    </row>
    <row r="660">
      <c r="B660" s="308"/>
      <c r="C660" s="252"/>
      <c r="D660" s="822"/>
      <c r="F660" s="309"/>
      <c r="J660" s="302"/>
    </row>
    <row r="661">
      <c r="B661" s="308"/>
      <c r="C661" s="252"/>
      <c r="D661" s="822"/>
      <c r="F661" s="309"/>
      <c r="J661" s="302"/>
    </row>
    <row r="662">
      <c r="B662" s="308"/>
      <c r="C662" s="252"/>
      <c r="D662" s="822"/>
      <c r="F662" s="309"/>
      <c r="J662" s="302"/>
    </row>
    <row r="663">
      <c r="B663" s="308"/>
      <c r="C663" s="252"/>
      <c r="D663" s="822"/>
      <c r="F663" s="309"/>
      <c r="J663" s="302"/>
    </row>
    <row r="664">
      <c r="B664" s="308"/>
      <c r="C664" s="252"/>
      <c r="D664" s="822"/>
      <c r="F664" s="309"/>
      <c r="J664" s="302"/>
    </row>
    <row r="665">
      <c r="B665" s="308"/>
      <c r="C665" s="252"/>
      <c r="D665" s="822"/>
      <c r="F665" s="309"/>
      <c r="J665" s="302"/>
    </row>
    <row r="666">
      <c r="B666" s="308"/>
      <c r="C666" s="252"/>
      <c r="D666" s="822"/>
      <c r="F666" s="309"/>
      <c r="J666" s="302"/>
    </row>
    <row r="667">
      <c r="B667" s="308"/>
      <c r="C667" s="252"/>
      <c r="D667" s="822"/>
      <c r="F667" s="309"/>
      <c r="J667" s="302"/>
    </row>
    <row r="668">
      <c r="B668" s="308"/>
      <c r="C668" s="252"/>
      <c r="D668" s="822"/>
      <c r="F668" s="309"/>
      <c r="J668" s="302"/>
    </row>
    <row r="669">
      <c r="B669" s="308"/>
      <c r="C669" s="252"/>
      <c r="D669" s="822"/>
      <c r="F669" s="309"/>
      <c r="J669" s="302"/>
    </row>
    <row r="670">
      <c r="B670" s="308"/>
      <c r="C670" s="252"/>
      <c r="D670" s="822"/>
      <c r="F670" s="309"/>
      <c r="J670" s="302"/>
    </row>
    <row r="671">
      <c r="B671" s="308"/>
      <c r="C671" s="252"/>
      <c r="D671" s="822"/>
      <c r="F671" s="309"/>
      <c r="J671" s="302"/>
    </row>
    <row r="672">
      <c r="B672" s="308"/>
      <c r="C672" s="252"/>
      <c r="D672" s="822"/>
      <c r="F672" s="309"/>
      <c r="J672" s="302"/>
    </row>
    <row r="673">
      <c r="B673" s="308"/>
      <c r="C673" s="252"/>
      <c r="D673" s="822"/>
      <c r="F673" s="309"/>
      <c r="J673" s="302"/>
    </row>
    <row r="674">
      <c r="B674" s="308"/>
      <c r="C674" s="252"/>
      <c r="D674" s="822"/>
      <c r="F674" s="309"/>
      <c r="J674" s="302"/>
    </row>
    <row r="675">
      <c r="B675" s="308"/>
      <c r="C675" s="252"/>
      <c r="D675" s="822"/>
      <c r="F675" s="309"/>
      <c r="J675" s="302"/>
    </row>
    <row r="676">
      <c r="B676" s="308"/>
      <c r="C676" s="252"/>
      <c r="D676" s="822"/>
      <c r="F676" s="309"/>
      <c r="J676" s="302"/>
    </row>
    <row r="677">
      <c r="B677" s="308"/>
      <c r="C677" s="252"/>
      <c r="D677" s="822"/>
      <c r="F677" s="309"/>
      <c r="J677" s="302"/>
    </row>
    <row r="678">
      <c r="B678" s="308"/>
      <c r="C678" s="252"/>
      <c r="D678" s="822"/>
      <c r="F678" s="309"/>
      <c r="J678" s="302"/>
    </row>
    <row r="679">
      <c r="B679" s="308"/>
      <c r="C679" s="252"/>
      <c r="D679" s="822"/>
      <c r="F679" s="309"/>
      <c r="J679" s="302"/>
    </row>
    <row r="680">
      <c r="B680" s="308"/>
      <c r="C680" s="252"/>
      <c r="D680" s="822"/>
      <c r="F680" s="309"/>
      <c r="J680" s="302"/>
    </row>
    <row r="681">
      <c r="B681" s="308"/>
      <c r="C681" s="252"/>
      <c r="D681" s="822"/>
      <c r="F681" s="309"/>
      <c r="J681" s="302"/>
    </row>
    <row r="682">
      <c r="B682" s="308"/>
      <c r="C682" s="252"/>
      <c r="D682" s="822"/>
      <c r="F682" s="309"/>
      <c r="J682" s="302"/>
    </row>
    <row r="683">
      <c r="B683" s="308"/>
      <c r="C683" s="252"/>
      <c r="D683" s="822"/>
      <c r="F683" s="309"/>
      <c r="J683" s="302"/>
    </row>
    <row r="684">
      <c r="B684" s="308"/>
      <c r="C684" s="252"/>
      <c r="D684" s="822"/>
      <c r="F684" s="309"/>
      <c r="J684" s="302"/>
    </row>
    <row r="685">
      <c r="B685" s="308"/>
      <c r="C685" s="252"/>
      <c r="D685" s="822"/>
      <c r="F685" s="309"/>
      <c r="J685" s="302"/>
    </row>
    <row r="686">
      <c r="B686" s="308"/>
      <c r="C686" s="252"/>
      <c r="D686" s="822"/>
      <c r="F686" s="309"/>
      <c r="J686" s="302"/>
    </row>
    <row r="687">
      <c r="B687" s="308"/>
      <c r="C687" s="252"/>
      <c r="D687" s="822"/>
      <c r="F687" s="309"/>
      <c r="J687" s="302"/>
    </row>
    <row r="688">
      <c r="B688" s="308"/>
      <c r="C688" s="252"/>
      <c r="D688" s="822"/>
      <c r="F688" s="309"/>
      <c r="J688" s="302"/>
    </row>
    <row r="689">
      <c r="B689" s="308"/>
      <c r="C689" s="252"/>
      <c r="D689" s="822"/>
      <c r="F689" s="309"/>
      <c r="J689" s="302"/>
    </row>
    <row r="690">
      <c r="B690" s="308"/>
      <c r="C690" s="252"/>
      <c r="D690" s="822"/>
      <c r="F690" s="309"/>
      <c r="J690" s="302"/>
    </row>
    <row r="691">
      <c r="B691" s="308"/>
      <c r="C691" s="252"/>
      <c r="D691" s="822"/>
      <c r="F691" s="309"/>
      <c r="J691" s="302"/>
    </row>
    <row r="692">
      <c r="B692" s="308"/>
      <c r="C692" s="252"/>
      <c r="D692" s="822"/>
      <c r="F692" s="309"/>
      <c r="J692" s="302"/>
    </row>
    <row r="693">
      <c r="B693" s="308"/>
      <c r="C693" s="252"/>
      <c r="D693" s="822"/>
      <c r="F693" s="309"/>
      <c r="J693" s="302"/>
    </row>
    <row r="694">
      <c r="B694" s="308"/>
      <c r="C694" s="252"/>
      <c r="D694" s="822"/>
      <c r="F694" s="309"/>
      <c r="J694" s="302"/>
    </row>
    <row r="695">
      <c r="B695" s="308"/>
      <c r="C695" s="252"/>
      <c r="D695" s="822"/>
      <c r="F695" s="309"/>
      <c r="J695" s="302"/>
    </row>
    <row r="696">
      <c r="B696" s="308"/>
      <c r="C696" s="252"/>
      <c r="D696" s="822"/>
      <c r="F696" s="309"/>
      <c r="J696" s="302"/>
    </row>
    <row r="697">
      <c r="B697" s="308"/>
      <c r="C697" s="252"/>
      <c r="D697" s="822"/>
      <c r="F697" s="309"/>
      <c r="J697" s="302"/>
    </row>
    <row r="698">
      <c r="B698" s="308"/>
      <c r="C698" s="252"/>
      <c r="D698" s="822"/>
      <c r="F698" s="309"/>
      <c r="J698" s="302"/>
    </row>
    <row r="699">
      <c r="B699" s="308"/>
      <c r="C699" s="252"/>
      <c r="D699" s="822"/>
      <c r="F699" s="309"/>
      <c r="J699" s="302"/>
    </row>
    <row r="700">
      <c r="B700" s="308"/>
      <c r="C700" s="252"/>
      <c r="D700" s="822"/>
      <c r="F700" s="309"/>
      <c r="J700" s="302"/>
    </row>
    <row r="701">
      <c r="B701" s="308"/>
      <c r="C701" s="252"/>
      <c r="D701" s="822"/>
      <c r="F701" s="309"/>
      <c r="J701" s="302"/>
    </row>
    <row r="702">
      <c r="B702" s="308"/>
      <c r="C702" s="252"/>
      <c r="D702" s="822"/>
      <c r="F702" s="309"/>
      <c r="J702" s="302"/>
    </row>
    <row r="703">
      <c r="B703" s="308"/>
      <c r="C703" s="252"/>
      <c r="D703" s="822"/>
      <c r="F703" s="309"/>
      <c r="J703" s="302"/>
    </row>
    <row r="704">
      <c r="B704" s="308"/>
      <c r="C704" s="252"/>
      <c r="D704" s="822"/>
      <c r="F704" s="309"/>
      <c r="J704" s="302"/>
    </row>
    <row r="705">
      <c r="B705" s="308"/>
      <c r="C705" s="252"/>
      <c r="D705" s="822"/>
      <c r="F705" s="309"/>
      <c r="J705" s="302"/>
    </row>
    <row r="706">
      <c r="B706" s="308"/>
      <c r="C706" s="252"/>
      <c r="D706" s="822"/>
      <c r="F706" s="309"/>
      <c r="J706" s="302"/>
    </row>
    <row r="707">
      <c r="B707" s="308"/>
      <c r="C707" s="252"/>
      <c r="D707" s="822"/>
      <c r="F707" s="309"/>
      <c r="J707" s="302"/>
    </row>
    <row r="708">
      <c r="B708" s="308"/>
      <c r="C708" s="252"/>
      <c r="D708" s="822"/>
      <c r="F708" s="309"/>
      <c r="J708" s="302"/>
    </row>
    <row r="709">
      <c r="B709" s="308"/>
      <c r="C709" s="252"/>
      <c r="D709" s="822"/>
      <c r="F709" s="309"/>
      <c r="J709" s="302"/>
    </row>
    <row r="710">
      <c r="B710" s="308"/>
      <c r="C710" s="252"/>
      <c r="D710" s="822"/>
      <c r="F710" s="309"/>
      <c r="J710" s="302"/>
    </row>
    <row r="711">
      <c r="B711" s="308"/>
      <c r="C711" s="252"/>
      <c r="D711" s="822"/>
      <c r="F711" s="309"/>
      <c r="J711" s="302"/>
    </row>
    <row r="712">
      <c r="B712" s="308"/>
      <c r="C712" s="252"/>
      <c r="D712" s="822"/>
      <c r="F712" s="309"/>
      <c r="J712" s="302"/>
    </row>
    <row r="713">
      <c r="B713" s="308"/>
      <c r="C713" s="252"/>
      <c r="D713" s="822"/>
      <c r="F713" s="309"/>
      <c r="J713" s="302"/>
    </row>
    <row r="714">
      <c r="B714" s="308"/>
      <c r="C714" s="252"/>
      <c r="D714" s="822"/>
      <c r="F714" s="309"/>
      <c r="J714" s="302"/>
    </row>
    <row r="715">
      <c r="B715" s="308"/>
      <c r="C715" s="252"/>
      <c r="D715" s="822"/>
      <c r="F715" s="309"/>
      <c r="J715" s="302"/>
    </row>
    <row r="716">
      <c r="B716" s="308"/>
      <c r="C716" s="252"/>
      <c r="D716" s="822"/>
      <c r="F716" s="309"/>
      <c r="J716" s="302"/>
    </row>
    <row r="717">
      <c r="B717" s="308"/>
      <c r="C717" s="252"/>
      <c r="D717" s="822"/>
      <c r="F717" s="309"/>
      <c r="J717" s="302"/>
    </row>
    <row r="718">
      <c r="B718" s="308"/>
      <c r="C718" s="252"/>
      <c r="D718" s="822"/>
      <c r="F718" s="309"/>
      <c r="J718" s="302"/>
    </row>
    <row r="719">
      <c r="B719" s="308"/>
      <c r="C719" s="252"/>
      <c r="D719" s="822"/>
      <c r="F719" s="309"/>
      <c r="J719" s="302"/>
    </row>
    <row r="720">
      <c r="B720" s="308"/>
      <c r="C720" s="252"/>
      <c r="D720" s="822"/>
      <c r="F720" s="309"/>
      <c r="J720" s="302"/>
    </row>
    <row r="721">
      <c r="B721" s="308"/>
      <c r="C721" s="252"/>
      <c r="D721" s="822"/>
      <c r="F721" s="309"/>
      <c r="J721" s="302"/>
    </row>
    <row r="722">
      <c r="B722" s="308"/>
      <c r="C722" s="252"/>
      <c r="D722" s="822"/>
      <c r="F722" s="309"/>
      <c r="J722" s="302"/>
    </row>
    <row r="723">
      <c r="B723" s="308"/>
      <c r="C723" s="252"/>
      <c r="D723" s="822"/>
      <c r="F723" s="309"/>
      <c r="J723" s="302"/>
    </row>
    <row r="724">
      <c r="B724" s="308"/>
      <c r="C724" s="252"/>
      <c r="D724" s="822"/>
      <c r="F724" s="309"/>
      <c r="J724" s="302"/>
    </row>
    <row r="725">
      <c r="B725" s="308"/>
      <c r="C725" s="252"/>
      <c r="D725" s="822"/>
      <c r="F725" s="309"/>
      <c r="J725" s="302"/>
    </row>
    <row r="726">
      <c r="B726" s="308"/>
      <c r="C726" s="252"/>
      <c r="D726" s="822"/>
      <c r="F726" s="309"/>
      <c r="J726" s="302"/>
    </row>
    <row r="727">
      <c r="B727" s="308"/>
      <c r="C727" s="252"/>
      <c r="D727" s="822"/>
      <c r="F727" s="309"/>
      <c r="J727" s="302"/>
    </row>
    <row r="728">
      <c r="B728" s="308"/>
      <c r="C728" s="252"/>
      <c r="D728" s="822"/>
      <c r="F728" s="309"/>
      <c r="J728" s="302"/>
    </row>
    <row r="729">
      <c r="B729" s="308"/>
      <c r="C729" s="252"/>
      <c r="D729" s="822"/>
      <c r="F729" s="309"/>
      <c r="J729" s="302"/>
    </row>
    <row r="730">
      <c r="B730" s="308"/>
      <c r="C730" s="252"/>
      <c r="D730" s="822"/>
      <c r="F730" s="309"/>
      <c r="J730" s="302"/>
    </row>
    <row r="731">
      <c r="B731" s="308"/>
      <c r="C731" s="252"/>
      <c r="D731" s="822"/>
      <c r="F731" s="309"/>
      <c r="J731" s="302"/>
    </row>
    <row r="732">
      <c r="B732" s="308"/>
      <c r="C732" s="252"/>
      <c r="D732" s="822"/>
      <c r="F732" s="309"/>
      <c r="J732" s="302"/>
    </row>
    <row r="733">
      <c r="B733" s="308"/>
      <c r="C733" s="252"/>
      <c r="D733" s="822"/>
      <c r="F733" s="309"/>
      <c r="J733" s="302"/>
    </row>
    <row r="734">
      <c r="B734" s="308"/>
      <c r="C734" s="252"/>
      <c r="D734" s="822"/>
      <c r="F734" s="309"/>
      <c r="J734" s="302"/>
    </row>
    <row r="735">
      <c r="B735" s="308"/>
      <c r="C735" s="252"/>
      <c r="D735" s="822"/>
      <c r="F735" s="309"/>
      <c r="J735" s="302"/>
    </row>
    <row r="736">
      <c r="B736" s="308"/>
      <c r="C736" s="252"/>
      <c r="D736" s="822"/>
      <c r="F736" s="309"/>
      <c r="J736" s="302"/>
    </row>
    <row r="737">
      <c r="B737" s="308"/>
      <c r="C737" s="252"/>
      <c r="D737" s="822"/>
      <c r="F737" s="309"/>
      <c r="J737" s="302"/>
    </row>
    <row r="738">
      <c r="B738" s="308"/>
      <c r="C738" s="252"/>
      <c r="D738" s="822"/>
      <c r="F738" s="309"/>
      <c r="J738" s="302"/>
    </row>
    <row r="739">
      <c r="B739" s="308"/>
      <c r="C739" s="252"/>
      <c r="D739" s="822"/>
      <c r="F739" s="309"/>
      <c r="J739" s="302"/>
    </row>
    <row r="740">
      <c r="B740" s="308"/>
      <c r="C740" s="252"/>
      <c r="D740" s="822"/>
      <c r="F740" s="309"/>
      <c r="J740" s="302"/>
    </row>
    <row r="741">
      <c r="B741" s="308"/>
      <c r="C741" s="252"/>
      <c r="D741" s="822"/>
      <c r="F741" s="309"/>
      <c r="J741" s="302"/>
    </row>
    <row r="742">
      <c r="B742" s="308"/>
      <c r="C742" s="252"/>
      <c r="D742" s="822"/>
      <c r="F742" s="309"/>
      <c r="J742" s="302"/>
    </row>
    <row r="743">
      <c r="B743" s="308"/>
      <c r="C743" s="252"/>
      <c r="D743" s="822"/>
      <c r="F743" s="309"/>
      <c r="J743" s="302"/>
    </row>
    <row r="744">
      <c r="B744" s="308"/>
      <c r="C744" s="252"/>
      <c r="D744" s="822"/>
      <c r="F744" s="309"/>
      <c r="J744" s="302"/>
    </row>
  </sheetData>
  <mergeCells count="31">
    <mergeCell ref="G1:I1"/>
    <mergeCell ref="A15:A27"/>
    <mergeCell ref="A28:A40"/>
    <mergeCell ref="A41:A52"/>
    <mergeCell ref="A55:A64"/>
    <mergeCell ref="A65:A78"/>
    <mergeCell ref="A79:A90"/>
    <mergeCell ref="A91:A106"/>
    <mergeCell ref="A107:A120"/>
    <mergeCell ref="A121:A138"/>
    <mergeCell ref="A139:A153"/>
    <mergeCell ref="A154:A168"/>
    <mergeCell ref="A169:A178"/>
    <mergeCell ref="A179:A193"/>
    <mergeCell ref="A194:A209"/>
    <mergeCell ref="A210:A224"/>
    <mergeCell ref="A225:A236"/>
    <mergeCell ref="A237:A251"/>
    <mergeCell ref="A252:A265"/>
    <mergeCell ref="A266:A279"/>
    <mergeCell ref="A280:A292"/>
    <mergeCell ref="A397:A408"/>
    <mergeCell ref="A416:A425"/>
    <mergeCell ref="A426:A435"/>
    <mergeCell ref="A293:A306"/>
    <mergeCell ref="A307:A321"/>
    <mergeCell ref="A322:A336"/>
    <mergeCell ref="A337:A349"/>
    <mergeCell ref="A350:A367"/>
    <mergeCell ref="A368:A385"/>
    <mergeCell ref="A386:A3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3.13"/>
  </cols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54</v>
      </c>
      <c r="E1" s="411" t="s">
        <v>55</v>
      </c>
      <c r="F1" s="412" t="s">
        <v>56</v>
      </c>
      <c r="G1" s="833" t="s">
        <v>2781</v>
      </c>
      <c r="H1" s="636"/>
      <c r="I1" s="637"/>
      <c r="J1" s="413" t="s">
        <v>2782</v>
      </c>
    </row>
    <row r="2">
      <c r="A2" s="816">
        <v>2.0</v>
      </c>
      <c r="B2" s="247"/>
      <c r="C2" s="263"/>
      <c r="D2" s="821">
        <v>15023.92</v>
      </c>
      <c r="E2" s="242"/>
      <c r="F2" s="243"/>
      <c r="G2" s="276" t="s">
        <v>2822</v>
      </c>
      <c r="H2" s="276"/>
      <c r="I2" s="276"/>
      <c r="J2" s="307"/>
    </row>
    <row r="3">
      <c r="A3" s="265"/>
      <c r="B3" s="247"/>
      <c r="C3" s="248"/>
      <c r="D3" s="331">
        <v>7670.0</v>
      </c>
      <c r="F3" s="250"/>
      <c r="G3" s="254" t="s">
        <v>2823</v>
      </c>
      <c r="H3" s="269"/>
      <c r="I3" s="269"/>
      <c r="J3" s="251"/>
    </row>
    <row r="4">
      <c r="A4" s="265"/>
      <c r="B4" s="247"/>
      <c r="C4" s="248"/>
      <c r="D4" s="331"/>
      <c r="F4" s="250">
        <v>18000.0</v>
      </c>
      <c r="G4" s="254" t="s">
        <v>2824</v>
      </c>
      <c r="H4" s="269"/>
      <c r="I4" s="269"/>
      <c r="J4" s="251"/>
    </row>
    <row r="5">
      <c r="A5" s="265"/>
      <c r="B5" s="247">
        <v>7116.1</v>
      </c>
      <c r="C5" s="252"/>
      <c r="D5" s="331"/>
      <c r="F5" s="250"/>
      <c r="G5" s="254" t="s">
        <v>58</v>
      </c>
      <c r="H5" s="269"/>
      <c r="I5" s="269"/>
      <c r="J5" s="251"/>
    </row>
    <row r="6">
      <c r="A6" s="265"/>
      <c r="B6" s="247"/>
      <c r="C6" s="252"/>
      <c r="D6" s="331"/>
      <c r="F6" s="250">
        <v>2500.0</v>
      </c>
      <c r="G6" s="254" t="s">
        <v>63</v>
      </c>
      <c r="H6" s="269"/>
      <c r="I6" s="269"/>
      <c r="J6" s="251"/>
    </row>
    <row r="7">
      <c r="A7" s="265"/>
      <c r="B7" s="247"/>
      <c r="C7" s="248"/>
      <c r="D7" s="331"/>
      <c r="F7" s="250">
        <v>4800.0</v>
      </c>
      <c r="G7" s="254" t="s">
        <v>120</v>
      </c>
      <c r="H7" s="269"/>
      <c r="I7" s="269"/>
      <c r="J7" s="251"/>
    </row>
    <row r="8">
      <c r="A8" s="265"/>
      <c r="B8" s="247"/>
      <c r="C8" s="252"/>
      <c r="D8" s="331">
        <v>18810.0</v>
      </c>
      <c r="F8" s="250"/>
      <c r="G8" s="254" t="s">
        <v>2825</v>
      </c>
      <c r="H8" s="269"/>
      <c r="I8" s="269"/>
      <c r="J8" s="251"/>
    </row>
    <row r="9">
      <c r="A9" s="265"/>
      <c r="B9" s="247"/>
      <c r="C9" s="248">
        <v>42500.27</v>
      </c>
      <c r="D9" s="331"/>
      <c r="F9" s="250"/>
      <c r="G9" s="254" t="s">
        <v>2637</v>
      </c>
      <c r="H9" s="269"/>
      <c r="I9" s="269"/>
      <c r="J9" s="251"/>
    </row>
    <row r="10">
      <c r="A10" s="265"/>
      <c r="B10" s="247"/>
      <c r="C10" s="252"/>
      <c r="D10" s="822"/>
      <c r="F10" s="250">
        <v>2000.0</v>
      </c>
      <c r="G10" s="254" t="s">
        <v>105</v>
      </c>
      <c r="H10" s="254"/>
      <c r="I10" s="269"/>
      <c r="J10" s="251"/>
    </row>
    <row r="11">
      <c r="A11" s="265"/>
      <c r="B11" s="278"/>
      <c r="C11" s="252"/>
      <c r="D11" s="822"/>
      <c r="F11" s="250">
        <v>1669.0</v>
      </c>
      <c r="G11" s="254" t="s">
        <v>97</v>
      </c>
      <c r="H11" s="254"/>
      <c r="I11" s="269"/>
      <c r="J11" s="251"/>
    </row>
    <row r="12">
      <c r="A12" s="265"/>
      <c r="B12" s="278"/>
      <c r="C12" s="252"/>
      <c r="D12" s="331"/>
      <c r="F12" s="250"/>
      <c r="H12" s="269"/>
      <c r="I12" s="269"/>
      <c r="J12" s="251"/>
    </row>
    <row r="13">
      <c r="A13" s="265"/>
      <c r="B13" s="278"/>
      <c r="C13" s="252"/>
      <c r="D13" s="822"/>
      <c r="F13" s="250"/>
      <c r="G13" s="269"/>
      <c r="H13" s="269"/>
      <c r="I13" s="269"/>
      <c r="J13" s="251"/>
    </row>
    <row r="14">
      <c r="A14" s="270"/>
      <c r="B14" s="271"/>
      <c r="C14" s="272"/>
      <c r="D14" s="823"/>
      <c r="E14" s="18"/>
      <c r="F14" s="274"/>
      <c r="G14" s="275"/>
      <c r="H14" s="275"/>
      <c r="I14" s="275"/>
      <c r="J14" s="261"/>
    </row>
    <row r="15">
      <c r="A15" s="262">
        <v>3.0</v>
      </c>
      <c r="B15" s="239"/>
      <c r="C15" s="263"/>
      <c r="D15" s="821">
        <v>16400.0</v>
      </c>
      <c r="E15" s="242"/>
      <c r="F15" s="250"/>
      <c r="G15" s="276" t="s">
        <v>612</v>
      </c>
      <c r="H15" s="276"/>
      <c r="I15" s="276"/>
      <c r="J15" s="307"/>
    </row>
    <row r="16">
      <c r="A16" s="265"/>
      <c r="B16" s="247">
        <v>4500.0</v>
      </c>
      <c r="C16" s="248"/>
      <c r="D16" s="822"/>
      <c r="F16" s="266"/>
      <c r="G16" s="254" t="s">
        <v>2638</v>
      </c>
      <c r="H16" s="269"/>
      <c r="I16" s="269"/>
      <c r="J16" s="251"/>
    </row>
    <row r="17">
      <c r="A17" s="265"/>
      <c r="B17" s="247"/>
      <c r="C17" s="248"/>
      <c r="D17" s="331">
        <v>15939.23</v>
      </c>
      <c r="F17" s="250"/>
      <c r="G17" s="254" t="s">
        <v>2457</v>
      </c>
      <c r="H17" s="269"/>
      <c r="I17" s="269"/>
      <c r="J17" s="251"/>
    </row>
    <row r="18">
      <c r="A18" s="265"/>
      <c r="B18" s="247"/>
      <c r="C18" s="252"/>
      <c r="D18" s="822">
        <f>1563.26+26903.08</f>
        <v>28466.34</v>
      </c>
      <c r="F18" s="250"/>
      <c r="G18" s="254" t="s">
        <v>2456</v>
      </c>
      <c r="H18" s="269"/>
      <c r="I18" s="269"/>
      <c r="J18" s="251"/>
    </row>
    <row r="19">
      <c r="A19" s="265"/>
      <c r="B19" s="247"/>
      <c r="C19" s="248"/>
      <c r="D19" s="331">
        <v>13270.0</v>
      </c>
      <c r="F19" s="250"/>
      <c r="G19" s="254" t="s">
        <v>662</v>
      </c>
      <c r="H19" s="269"/>
      <c r="I19" s="269"/>
      <c r="J19" s="251"/>
    </row>
    <row r="20">
      <c r="A20" s="265"/>
      <c r="B20" s="247"/>
      <c r="C20" s="252"/>
      <c r="D20" s="331">
        <v>27842.0</v>
      </c>
      <c r="F20" s="250"/>
      <c r="G20" s="254" t="s">
        <v>2826</v>
      </c>
      <c r="H20" s="269"/>
      <c r="I20" s="269"/>
      <c r="J20" s="251"/>
    </row>
    <row r="21">
      <c r="A21" s="265"/>
      <c r="B21" s="247"/>
      <c r="C21" s="252"/>
      <c r="D21" s="822"/>
      <c r="F21" s="250">
        <v>3800.0</v>
      </c>
      <c r="G21" s="254" t="s">
        <v>2827</v>
      </c>
      <c r="H21" s="269"/>
      <c r="I21" s="269"/>
      <c r="J21" s="251"/>
    </row>
    <row r="22">
      <c r="A22" s="265"/>
      <c r="B22" s="247"/>
      <c r="C22" s="252"/>
      <c r="D22" s="331"/>
      <c r="F22" s="250">
        <v>500.0</v>
      </c>
      <c r="G22" s="254" t="s">
        <v>2828</v>
      </c>
      <c r="H22" s="269"/>
      <c r="I22" s="269"/>
      <c r="J22" s="267"/>
    </row>
    <row r="23">
      <c r="A23" s="265"/>
      <c r="B23" s="268"/>
      <c r="C23" s="252"/>
      <c r="D23" s="822"/>
      <c r="F23" s="250">
        <v>5000.0</v>
      </c>
      <c r="G23" s="254" t="s">
        <v>2829</v>
      </c>
      <c r="H23" s="269"/>
      <c r="I23" s="269"/>
      <c r="J23" s="267"/>
    </row>
    <row r="24">
      <c r="A24" s="265"/>
      <c r="B24" s="247"/>
      <c r="C24" s="252"/>
      <c r="D24" s="822"/>
      <c r="F24" s="250">
        <v>1500.0</v>
      </c>
      <c r="G24" s="254" t="s">
        <v>2830</v>
      </c>
      <c r="H24" s="269"/>
      <c r="I24" s="269"/>
      <c r="J24" s="251"/>
    </row>
    <row r="25">
      <c r="A25" s="265"/>
      <c r="B25" s="247"/>
      <c r="C25" s="252"/>
      <c r="D25" s="822"/>
      <c r="F25" s="250"/>
      <c r="G25" s="254"/>
      <c r="H25" s="269"/>
      <c r="I25" s="269"/>
      <c r="J25" s="251"/>
    </row>
    <row r="26">
      <c r="A26" s="265"/>
      <c r="B26" s="268"/>
      <c r="C26" s="252"/>
      <c r="D26" s="822"/>
      <c r="F26" s="250"/>
      <c r="G26" s="269"/>
      <c r="H26" s="269"/>
      <c r="I26" s="269"/>
      <c r="J26" s="251"/>
    </row>
    <row r="27">
      <c r="A27" s="270"/>
      <c r="B27" s="271"/>
      <c r="C27" s="272"/>
      <c r="D27" s="823"/>
      <c r="E27" s="18"/>
      <c r="F27" s="274"/>
      <c r="G27" s="275"/>
      <c r="H27" s="275"/>
      <c r="I27" s="275"/>
      <c r="J27" s="261"/>
    </row>
    <row r="28">
      <c r="A28" s="262">
        <v>4.0</v>
      </c>
      <c r="B28" s="239">
        <v>7561.48</v>
      </c>
      <c r="C28" s="240"/>
      <c r="D28" s="824"/>
      <c r="E28" s="242"/>
      <c r="F28" s="243"/>
      <c r="G28" s="276" t="s">
        <v>82</v>
      </c>
      <c r="H28" s="276"/>
      <c r="I28" s="276"/>
      <c r="J28" s="307"/>
    </row>
    <row r="29">
      <c r="A29" s="265"/>
      <c r="B29" s="247"/>
      <c r="C29" s="248">
        <v>30806.16</v>
      </c>
      <c r="D29" s="822"/>
      <c r="F29" s="250"/>
      <c r="G29" s="254" t="s">
        <v>84</v>
      </c>
      <c r="H29" s="269"/>
      <c r="I29" s="269"/>
      <c r="J29" s="251"/>
    </row>
    <row r="30">
      <c r="A30" s="265"/>
      <c r="B30" s="247"/>
      <c r="C30" s="248"/>
      <c r="D30" s="331"/>
      <c r="F30" s="250">
        <v>800.0</v>
      </c>
      <c r="G30" s="254" t="s">
        <v>85</v>
      </c>
      <c r="H30" s="269"/>
      <c r="I30" s="269"/>
      <c r="J30" s="251"/>
    </row>
    <row r="31">
      <c r="A31" s="265"/>
      <c r="B31" s="247"/>
      <c r="C31" s="252"/>
      <c r="D31" s="822"/>
      <c r="F31" s="250">
        <v>196.0</v>
      </c>
      <c r="G31" s="254" t="s">
        <v>374</v>
      </c>
      <c r="H31" s="269"/>
      <c r="I31" s="269"/>
      <c r="J31" s="251"/>
    </row>
    <row r="32">
      <c r="A32" s="265"/>
      <c r="B32" s="247">
        <v>22693.0</v>
      </c>
      <c r="C32" s="252"/>
      <c r="D32" s="331"/>
      <c r="F32" s="250"/>
      <c r="G32" s="254" t="s">
        <v>2623</v>
      </c>
      <c r="H32" s="269"/>
      <c r="I32" s="269"/>
      <c r="J32" s="251"/>
    </row>
    <row r="33">
      <c r="A33" s="265"/>
      <c r="B33" s="247"/>
      <c r="C33" s="252"/>
      <c r="D33" s="331"/>
      <c r="F33" s="250">
        <v>18000.0</v>
      </c>
      <c r="G33" s="254" t="s">
        <v>2602</v>
      </c>
      <c r="H33" s="269"/>
      <c r="I33" s="269"/>
      <c r="J33" s="267"/>
    </row>
    <row r="34">
      <c r="A34" s="265"/>
      <c r="B34" s="247"/>
      <c r="C34" s="248"/>
      <c r="D34" s="331"/>
      <c r="F34" s="250"/>
      <c r="G34" s="254"/>
      <c r="H34" s="269"/>
      <c r="I34" s="269"/>
      <c r="J34" s="251"/>
    </row>
    <row r="35">
      <c r="A35" s="265"/>
      <c r="B35" s="247"/>
      <c r="C35" s="252"/>
      <c r="D35" s="822"/>
      <c r="F35" s="250"/>
      <c r="G35" s="254"/>
      <c r="H35" s="269"/>
      <c r="I35" s="269"/>
      <c r="J35" s="251"/>
    </row>
    <row r="36">
      <c r="A36" s="265"/>
      <c r="B36" s="268"/>
      <c r="C36" s="248"/>
      <c r="D36" s="822"/>
      <c r="F36" s="250"/>
      <c r="G36" s="254"/>
      <c r="H36" s="269"/>
      <c r="I36" s="269"/>
      <c r="J36" s="251"/>
    </row>
    <row r="37">
      <c r="A37" s="265"/>
      <c r="B37" s="278"/>
      <c r="C37" s="252"/>
      <c r="D37" s="822"/>
      <c r="F37" s="250"/>
      <c r="G37" s="269"/>
      <c r="H37" s="269"/>
      <c r="I37" s="269"/>
      <c r="J37" s="251"/>
    </row>
    <row r="38">
      <c r="A38" s="265"/>
      <c r="B38" s="278"/>
      <c r="C38" s="252"/>
      <c r="D38" s="822"/>
      <c r="F38" s="250"/>
      <c r="G38" s="269"/>
      <c r="H38" s="269"/>
      <c r="I38" s="269"/>
      <c r="J38" s="251"/>
    </row>
    <row r="39">
      <c r="A39" s="270"/>
      <c r="B39" s="271"/>
      <c r="C39" s="272"/>
      <c r="D39" s="823"/>
      <c r="E39" s="18"/>
      <c r="F39" s="259"/>
      <c r="G39" s="260"/>
      <c r="H39" s="260"/>
      <c r="I39" s="275"/>
      <c r="J39" s="261"/>
    </row>
    <row r="40">
      <c r="A40" s="262"/>
      <c r="B40" s="278"/>
      <c r="C40" s="248">
        <v>9478.22</v>
      </c>
      <c r="D40" s="822"/>
      <c r="F40" s="250"/>
      <c r="G40" s="2" t="s">
        <v>71</v>
      </c>
      <c r="H40" s="269"/>
      <c r="I40" s="269"/>
      <c r="J40" s="251"/>
    </row>
    <row r="41">
      <c r="A41" s="280"/>
      <c r="B41" s="277"/>
      <c r="C41" s="252"/>
      <c r="D41" s="822"/>
      <c r="F41" s="250">
        <v>18000.0</v>
      </c>
      <c r="G41" s="254" t="s">
        <v>87</v>
      </c>
      <c r="H41" s="269"/>
      <c r="I41" s="269"/>
      <c r="J41" s="251"/>
    </row>
    <row r="42">
      <c r="A42" s="280">
        <v>5.0</v>
      </c>
      <c r="B42" s="247"/>
      <c r="C42" s="248"/>
      <c r="D42" s="331">
        <v>34621.64</v>
      </c>
      <c r="F42" s="250"/>
      <c r="G42" s="254" t="s">
        <v>114</v>
      </c>
      <c r="H42" s="254"/>
      <c r="I42" s="254"/>
      <c r="J42" s="251"/>
    </row>
    <row r="43">
      <c r="A43" s="265"/>
      <c r="B43" s="247">
        <v>16640.0</v>
      </c>
      <c r="C43" s="252"/>
      <c r="D43" s="331"/>
      <c r="F43" s="250"/>
      <c r="G43" s="254" t="s">
        <v>122</v>
      </c>
      <c r="H43" s="254"/>
      <c r="I43" s="269"/>
      <c r="J43" s="251"/>
    </row>
    <row r="44">
      <c r="A44" s="265"/>
      <c r="B44" s="247">
        <v>7720.0</v>
      </c>
      <c r="C44" s="248"/>
      <c r="D44" s="331"/>
      <c r="F44" s="250"/>
      <c r="G44" s="254" t="s">
        <v>75</v>
      </c>
      <c r="H44" s="254"/>
      <c r="I44" s="269"/>
      <c r="J44" s="251"/>
    </row>
    <row r="45">
      <c r="A45" s="265"/>
      <c r="B45" s="247"/>
      <c r="C45" s="252"/>
      <c r="D45" s="822"/>
      <c r="F45" s="250">
        <v>240.0</v>
      </c>
      <c r="G45" s="254" t="s">
        <v>97</v>
      </c>
      <c r="H45" s="269"/>
      <c r="I45" s="269"/>
      <c r="J45" s="251"/>
    </row>
    <row r="46">
      <c r="A46" s="265"/>
      <c r="B46" s="247"/>
      <c r="C46" s="252"/>
      <c r="D46" s="331">
        <v>27842.0</v>
      </c>
      <c r="F46" s="250"/>
      <c r="G46" s="254" t="s">
        <v>92</v>
      </c>
      <c r="H46" s="269"/>
      <c r="I46" s="269"/>
      <c r="J46" s="267"/>
    </row>
    <row r="47">
      <c r="A47" s="265"/>
      <c r="B47" s="247"/>
      <c r="C47" s="252"/>
      <c r="D47" s="822"/>
      <c r="F47" s="250"/>
      <c r="G47" s="254"/>
      <c r="H47" s="269"/>
      <c r="I47" s="269"/>
      <c r="J47" s="251"/>
    </row>
    <row r="48">
      <c r="A48" s="265"/>
      <c r="B48" s="247"/>
      <c r="C48" s="248"/>
      <c r="D48" s="822"/>
      <c r="F48" s="250"/>
      <c r="G48" s="254"/>
      <c r="H48" s="269"/>
      <c r="I48" s="269"/>
      <c r="J48" s="251"/>
    </row>
    <row r="49">
      <c r="A49" s="265"/>
      <c r="B49" s="268"/>
      <c r="C49" s="252"/>
      <c r="D49" s="822"/>
      <c r="F49" s="250"/>
      <c r="G49" s="254"/>
      <c r="H49" s="269"/>
      <c r="I49" s="269"/>
      <c r="J49" s="251"/>
    </row>
    <row r="50">
      <c r="A50" s="265"/>
      <c r="B50" s="268"/>
      <c r="C50" s="252"/>
      <c r="D50" s="822"/>
      <c r="F50" s="250"/>
      <c r="G50" s="254"/>
      <c r="H50" s="269"/>
      <c r="I50" s="269"/>
      <c r="J50" s="251"/>
    </row>
    <row r="51">
      <c r="A51" s="270"/>
      <c r="B51" s="271"/>
      <c r="C51" s="272"/>
      <c r="D51" s="823"/>
      <c r="E51" s="18"/>
      <c r="F51" s="274"/>
      <c r="G51" s="260"/>
      <c r="H51" s="275"/>
      <c r="I51" s="275"/>
      <c r="J51" s="261"/>
    </row>
    <row r="52">
      <c r="A52" s="262">
        <v>6.0</v>
      </c>
      <c r="B52" s="239"/>
      <c r="C52" s="263"/>
      <c r="D52" s="824"/>
      <c r="E52" s="242"/>
      <c r="F52" s="243">
        <f>480+600</f>
        <v>1080</v>
      </c>
      <c r="G52" s="276" t="s">
        <v>97</v>
      </c>
      <c r="H52" s="276"/>
      <c r="I52" s="276"/>
      <c r="J52" s="307"/>
    </row>
    <row r="53">
      <c r="A53" s="265"/>
      <c r="B53" s="247"/>
      <c r="C53" s="248"/>
      <c r="D53" s="822"/>
      <c r="F53" s="250">
        <v>18000.0</v>
      </c>
      <c r="G53" s="254" t="s">
        <v>87</v>
      </c>
      <c r="H53" s="269"/>
      <c r="I53" s="269"/>
      <c r="J53" s="251"/>
    </row>
    <row r="54">
      <c r="A54" s="265"/>
      <c r="B54" s="247">
        <v>4068.02</v>
      </c>
      <c r="C54" s="252"/>
      <c r="D54" s="822"/>
      <c r="F54" s="250"/>
      <c r="G54" s="254" t="s">
        <v>82</v>
      </c>
      <c r="H54" s="269"/>
      <c r="I54" s="269"/>
      <c r="J54" s="251"/>
    </row>
    <row r="55">
      <c r="A55" s="265"/>
      <c r="B55" s="247"/>
      <c r="C55" s="252"/>
      <c r="D55" s="331"/>
      <c r="F55" s="250">
        <v>8000.0</v>
      </c>
      <c r="G55" s="254" t="s">
        <v>128</v>
      </c>
      <c r="H55" s="269"/>
      <c r="I55" s="269"/>
      <c r="J55" s="267"/>
    </row>
    <row r="56">
      <c r="A56" s="265"/>
      <c r="B56" s="247"/>
      <c r="C56" s="248"/>
      <c r="D56" s="822"/>
      <c r="F56" s="250">
        <v>3540.0</v>
      </c>
      <c r="G56" s="254" t="s">
        <v>516</v>
      </c>
      <c r="H56" s="269"/>
      <c r="I56" s="269"/>
      <c r="J56" s="251"/>
    </row>
    <row r="57">
      <c r="A57" s="265"/>
      <c r="B57" s="247"/>
      <c r="C57" s="252"/>
      <c r="D57" s="822"/>
      <c r="F57" s="250"/>
      <c r="G57" s="254"/>
      <c r="H57" s="269"/>
      <c r="I57" s="269"/>
      <c r="J57" s="251"/>
    </row>
    <row r="58">
      <c r="A58" s="265"/>
      <c r="B58" s="247"/>
      <c r="C58" s="252"/>
      <c r="D58" s="822"/>
      <c r="F58" s="250"/>
      <c r="G58" s="254"/>
      <c r="H58" s="269"/>
      <c r="I58" s="269"/>
      <c r="J58" s="251"/>
    </row>
    <row r="59">
      <c r="A59" s="265"/>
      <c r="B59" s="247"/>
      <c r="C59" s="252"/>
      <c r="D59" s="822"/>
      <c r="F59" s="250"/>
      <c r="G59" s="254"/>
      <c r="H59" s="269"/>
      <c r="I59" s="269"/>
      <c r="J59" s="251"/>
    </row>
    <row r="60">
      <c r="A60" s="265"/>
      <c r="B60" s="268"/>
      <c r="C60" s="248"/>
      <c r="D60" s="822"/>
      <c r="F60" s="250"/>
      <c r="G60" s="254"/>
      <c r="H60" s="269"/>
      <c r="I60" s="269"/>
      <c r="J60" s="251"/>
    </row>
    <row r="61">
      <c r="A61" s="265"/>
      <c r="B61" s="268"/>
      <c r="C61" s="248"/>
      <c r="D61" s="331"/>
      <c r="F61" s="250"/>
      <c r="G61" s="254"/>
      <c r="H61" s="269"/>
      <c r="I61" s="269"/>
      <c r="J61" s="251"/>
    </row>
    <row r="62">
      <c r="A62" s="265"/>
      <c r="B62" s="268"/>
      <c r="C62" s="248"/>
      <c r="D62" s="331"/>
      <c r="F62" s="250"/>
      <c r="G62" s="254"/>
      <c r="H62" s="269"/>
      <c r="I62" s="269"/>
      <c r="J62" s="251"/>
    </row>
    <row r="63">
      <c r="A63" s="265"/>
      <c r="B63" s="268"/>
      <c r="C63" s="248"/>
      <c r="D63" s="331"/>
      <c r="F63" s="250"/>
      <c r="G63" s="269"/>
      <c r="H63" s="269"/>
      <c r="I63" s="269"/>
      <c r="J63" s="251"/>
    </row>
    <row r="64">
      <c r="A64" s="265"/>
      <c r="B64" s="278"/>
      <c r="C64" s="252"/>
      <c r="D64" s="822"/>
      <c r="F64" s="250"/>
      <c r="G64" s="269"/>
      <c r="H64" s="269"/>
      <c r="I64" s="269"/>
      <c r="J64" s="251"/>
    </row>
    <row r="65">
      <c r="A65" s="270"/>
      <c r="B65" s="271"/>
      <c r="C65" s="272"/>
      <c r="D65" s="823"/>
      <c r="E65" s="18"/>
      <c r="F65" s="274"/>
      <c r="G65" s="275"/>
      <c r="H65" s="275"/>
      <c r="I65" s="275"/>
      <c r="J65" s="261"/>
    </row>
    <row r="66">
      <c r="A66" s="262">
        <v>7.0</v>
      </c>
      <c r="B66" s="239"/>
      <c r="C66" s="263"/>
      <c r="D66" s="824"/>
      <c r="E66" s="242"/>
      <c r="F66" s="243">
        <f>1028+460</f>
        <v>1488</v>
      </c>
      <c r="G66" s="276" t="s">
        <v>63</v>
      </c>
      <c r="H66" s="276"/>
      <c r="I66" s="276"/>
      <c r="J66" s="307"/>
    </row>
    <row r="67">
      <c r="A67" s="265"/>
      <c r="B67" s="247"/>
      <c r="C67" s="248">
        <f>12445.14+25463.47</f>
        <v>37908.61</v>
      </c>
      <c r="D67" s="822"/>
      <c r="F67" s="250"/>
      <c r="G67" s="254" t="s">
        <v>2637</v>
      </c>
      <c r="H67" s="269"/>
      <c r="I67" s="269"/>
      <c r="J67" s="251"/>
    </row>
    <row r="68">
      <c r="A68" s="265"/>
      <c r="B68" s="247"/>
      <c r="C68" s="252"/>
      <c r="D68" s="822"/>
      <c r="E68" s="2">
        <v>19166.0</v>
      </c>
      <c r="F68" s="250"/>
      <c r="G68" s="254" t="s">
        <v>89</v>
      </c>
      <c r="H68" s="254" t="s">
        <v>2831</v>
      </c>
      <c r="I68" s="828"/>
      <c r="J68" s="267"/>
    </row>
    <row r="69">
      <c r="A69" s="265"/>
      <c r="B69" s="247">
        <v>17922.0</v>
      </c>
      <c r="C69" s="248"/>
      <c r="D69" s="822"/>
      <c r="F69" s="250"/>
      <c r="G69" s="254" t="s">
        <v>114</v>
      </c>
      <c r="H69" s="269"/>
      <c r="I69" s="269"/>
      <c r="J69" s="251"/>
    </row>
    <row r="70">
      <c r="A70" s="265"/>
      <c r="B70" s="247"/>
      <c r="C70" s="248"/>
      <c r="D70" s="822"/>
      <c r="F70" s="250">
        <v>6200.0</v>
      </c>
      <c r="G70" s="254" t="s">
        <v>770</v>
      </c>
      <c r="H70" s="269"/>
      <c r="I70" s="269"/>
      <c r="J70" s="251"/>
    </row>
    <row r="71">
      <c r="A71" s="265"/>
      <c r="B71" s="247"/>
      <c r="C71" s="248"/>
      <c r="D71" s="822"/>
      <c r="F71" s="250"/>
      <c r="G71" s="254"/>
      <c r="H71" s="269"/>
      <c r="I71" s="269"/>
      <c r="J71" s="251"/>
    </row>
    <row r="72">
      <c r="A72" s="265"/>
      <c r="B72" s="247"/>
      <c r="C72" s="252"/>
      <c r="D72" s="822"/>
      <c r="F72" s="250"/>
      <c r="G72" s="254"/>
      <c r="H72" s="269"/>
      <c r="I72" s="269"/>
      <c r="J72" s="251"/>
    </row>
    <row r="73">
      <c r="A73" s="265"/>
      <c r="B73" s="247"/>
      <c r="C73" s="252"/>
      <c r="D73" s="822"/>
      <c r="F73" s="250"/>
      <c r="G73" s="254"/>
      <c r="H73" s="269"/>
      <c r="I73" s="269"/>
      <c r="J73" s="251"/>
    </row>
    <row r="74">
      <c r="A74" s="265"/>
      <c r="B74" s="247"/>
      <c r="C74" s="252"/>
      <c r="D74" s="822"/>
      <c r="F74" s="250"/>
      <c r="G74" s="254"/>
      <c r="H74" s="254"/>
      <c r="I74" s="269"/>
      <c r="J74" s="251"/>
    </row>
    <row r="75">
      <c r="A75" s="265"/>
      <c r="B75" s="278"/>
      <c r="C75" s="252"/>
      <c r="D75" s="822"/>
      <c r="F75" s="250"/>
      <c r="G75" s="269"/>
      <c r="H75" s="269"/>
      <c r="I75" s="269"/>
      <c r="J75" s="251"/>
    </row>
    <row r="76">
      <c r="A76" s="265"/>
      <c r="B76" s="278"/>
      <c r="C76" s="252"/>
      <c r="D76" s="822"/>
      <c r="F76" s="250"/>
      <c r="G76" s="269"/>
      <c r="H76" s="269"/>
      <c r="I76" s="269"/>
      <c r="J76" s="251"/>
    </row>
    <row r="77">
      <c r="A77" s="270"/>
      <c r="B77" s="271"/>
      <c r="C77" s="272"/>
      <c r="D77" s="823"/>
      <c r="E77" s="18"/>
      <c r="F77" s="259"/>
      <c r="G77" s="275"/>
      <c r="H77" s="275"/>
      <c r="I77" s="275"/>
      <c r="J77" s="261"/>
    </row>
    <row r="78">
      <c r="A78" s="262">
        <v>9.0</v>
      </c>
      <c r="B78" s="239"/>
      <c r="C78" s="263"/>
      <c r="D78" s="824"/>
      <c r="E78" s="242"/>
      <c r="F78" s="243">
        <v>2000.0</v>
      </c>
      <c r="G78" s="276" t="s">
        <v>160</v>
      </c>
      <c r="H78" s="276"/>
      <c r="I78" s="276"/>
      <c r="J78" s="307"/>
    </row>
    <row r="79">
      <c r="A79" s="265"/>
      <c r="B79" s="247"/>
      <c r="C79" s="248"/>
      <c r="D79" s="822"/>
      <c r="F79" s="250">
        <v>3800.0</v>
      </c>
      <c r="G79" s="254" t="s">
        <v>2832</v>
      </c>
      <c r="H79" s="269"/>
      <c r="I79" s="269"/>
      <c r="J79" s="251"/>
    </row>
    <row r="80">
      <c r="A80" s="265"/>
      <c r="B80" s="247"/>
      <c r="C80" s="248"/>
      <c r="D80" s="822"/>
      <c r="F80" s="250">
        <v>4800.0</v>
      </c>
      <c r="G80" s="254" t="s">
        <v>68</v>
      </c>
      <c r="H80" s="269"/>
      <c r="I80" s="269"/>
      <c r="J80" s="251"/>
    </row>
    <row r="81">
      <c r="A81" s="265"/>
      <c r="B81" s="247"/>
      <c r="C81" s="248"/>
      <c r="D81" s="822"/>
      <c r="F81" s="250">
        <v>2800.0</v>
      </c>
      <c r="G81" s="254" t="s">
        <v>97</v>
      </c>
      <c r="H81" s="269"/>
      <c r="I81" s="269"/>
      <c r="J81" s="251"/>
    </row>
    <row r="82">
      <c r="A82" s="265"/>
      <c r="B82" s="85"/>
      <c r="C82" s="248"/>
      <c r="D82" s="822"/>
      <c r="F82" s="250">
        <v>18000.0</v>
      </c>
      <c r="G82" s="254" t="s">
        <v>87</v>
      </c>
      <c r="H82" s="269"/>
      <c r="I82" s="269"/>
      <c r="J82" s="251"/>
    </row>
    <row r="83">
      <c r="A83" s="265"/>
      <c r="B83" s="281">
        <v>8066.83</v>
      </c>
      <c r="C83" s="252"/>
      <c r="D83" s="331"/>
      <c r="F83" s="266"/>
      <c r="G83" s="254" t="s">
        <v>82</v>
      </c>
      <c r="H83" s="269"/>
      <c r="I83" s="269"/>
      <c r="J83" s="251"/>
    </row>
    <row r="84">
      <c r="A84" s="265"/>
      <c r="B84" s="281"/>
      <c r="C84" s="252"/>
      <c r="D84" s="331"/>
      <c r="F84" s="250">
        <v>940.0</v>
      </c>
      <c r="G84" s="254" t="s">
        <v>85</v>
      </c>
      <c r="H84" s="269"/>
      <c r="I84" s="269"/>
      <c r="J84" s="251"/>
    </row>
    <row r="85">
      <c r="A85" s="265"/>
      <c r="B85" s="247"/>
      <c r="C85" s="252"/>
      <c r="D85" s="331"/>
      <c r="F85" s="250"/>
      <c r="G85" s="254"/>
      <c r="H85" s="269"/>
      <c r="I85" s="269"/>
      <c r="J85" s="251"/>
    </row>
    <row r="86">
      <c r="A86" s="265"/>
      <c r="B86" s="247"/>
      <c r="C86" s="252"/>
      <c r="D86" s="822"/>
      <c r="F86" s="250"/>
      <c r="G86" s="254"/>
      <c r="H86" s="269"/>
      <c r="I86" s="269"/>
      <c r="J86" s="251"/>
    </row>
    <row r="87">
      <c r="A87" s="265"/>
      <c r="B87" s="247"/>
      <c r="C87" s="252"/>
      <c r="D87" s="331"/>
      <c r="F87" s="250"/>
      <c r="G87" s="269"/>
      <c r="H87" s="269"/>
      <c r="I87" s="269"/>
      <c r="J87" s="251"/>
    </row>
    <row r="88">
      <c r="A88" s="265"/>
      <c r="B88" s="268"/>
      <c r="C88" s="252"/>
      <c r="D88" s="822"/>
      <c r="F88" s="250"/>
      <c r="G88" s="269"/>
      <c r="H88" s="269"/>
      <c r="I88" s="269"/>
      <c r="J88" s="251"/>
    </row>
    <row r="89">
      <c r="A89" s="265"/>
      <c r="B89" s="247"/>
      <c r="C89" s="252"/>
      <c r="D89" s="822"/>
      <c r="F89" s="250"/>
      <c r="G89" s="269"/>
      <c r="H89" s="269"/>
      <c r="I89" s="269"/>
      <c r="J89" s="251"/>
    </row>
    <row r="90">
      <c r="A90" s="265"/>
      <c r="B90" s="277"/>
      <c r="C90" s="252"/>
      <c r="D90" s="822"/>
      <c r="F90" s="282"/>
      <c r="G90" s="269"/>
      <c r="H90" s="269"/>
      <c r="I90" s="269"/>
      <c r="J90" s="251"/>
    </row>
    <row r="91">
      <c r="A91" s="265"/>
      <c r="B91" s="278"/>
      <c r="C91" s="248"/>
      <c r="D91" s="822"/>
      <c r="F91" s="282"/>
      <c r="G91" s="269"/>
      <c r="H91" s="269"/>
      <c r="I91" s="269"/>
      <c r="J91" s="251"/>
    </row>
    <row r="92">
      <c r="A92" s="265"/>
      <c r="B92" s="278"/>
      <c r="C92" s="252"/>
      <c r="D92" s="822"/>
      <c r="F92" s="250"/>
      <c r="G92" s="269"/>
      <c r="H92" s="269"/>
      <c r="I92" s="269"/>
      <c r="J92" s="251"/>
    </row>
    <row r="93">
      <c r="A93" s="270"/>
      <c r="B93" s="271"/>
      <c r="C93" s="272"/>
      <c r="D93" s="823"/>
      <c r="E93" s="18"/>
      <c r="F93" s="259"/>
      <c r="G93" s="260"/>
      <c r="H93" s="260"/>
      <c r="I93" s="275"/>
      <c r="J93" s="261"/>
    </row>
    <row r="94">
      <c r="A94" s="262">
        <v>10.0</v>
      </c>
      <c r="B94" s="239">
        <v>6292.0</v>
      </c>
      <c r="C94" s="263"/>
      <c r="D94" s="821"/>
      <c r="E94" s="242"/>
      <c r="F94" s="250"/>
      <c r="G94" s="276" t="s">
        <v>91</v>
      </c>
      <c r="H94" s="276" t="s">
        <v>328</v>
      </c>
      <c r="I94" s="276"/>
      <c r="J94" s="307"/>
    </row>
    <row r="95">
      <c r="A95" s="265"/>
      <c r="B95" s="247"/>
      <c r="C95" s="248"/>
      <c r="D95" s="331">
        <v>14100.0</v>
      </c>
      <c r="F95" s="250"/>
      <c r="G95" s="254" t="s">
        <v>76</v>
      </c>
      <c r="H95" s="254" t="s">
        <v>328</v>
      </c>
      <c r="I95" s="269"/>
      <c r="J95" s="251"/>
    </row>
    <row r="96">
      <c r="A96" s="265"/>
      <c r="B96" s="247">
        <v>4902.29</v>
      </c>
      <c r="C96" s="248"/>
      <c r="D96" s="822"/>
      <c r="F96" s="250"/>
      <c r="G96" s="254" t="s">
        <v>2833</v>
      </c>
      <c r="H96" s="254" t="s">
        <v>328</v>
      </c>
      <c r="I96" s="269"/>
      <c r="J96" s="251"/>
    </row>
    <row r="97">
      <c r="A97" s="265"/>
      <c r="B97" s="247"/>
      <c r="C97" s="248"/>
      <c r="D97" s="331">
        <v>26279.3</v>
      </c>
      <c r="F97" s="250"/>
      <c r="G97" s="254" t="s">
        <v>73</v>
      </c>
      <c r="H97" s="254" t="s">
        <v>328</v>
      </c>
      <c r="I97" s="269"/>
      <c r="J97" s="251"/>
    </row>
    <row r="98">
      <c r="A98" s="265"/>
      <c r="B98" s="247"/>
      <c r="C98" s="248">
        <v>16833.52</v>
      </c>
      <c r="D98" s="822"/>
      <c r="F98" s="250"/>
      <c r="G98" s="254" t="s">
        <v>77</v>
      </c>
      <c r="H98" s="254"/>
      <c r="I98" s="269"/>
      <c r="J98" s="251"/>
    </row>
    <row r="99">
      <c r="A99" s="265"/>
      <c r="B99" s="247">
        <v>14830.0</v>
      </c>
      <c r="C99" s="252"/>
      <c r="D99" s="822"/>
      <c r="F99" s="250"/>
      <c r="G99" s="254" t="s">
        <v>75</v>
      </c>
      <c r="H99" s="254" t="s">
        <v>328</v>
      </c>
      <c r="I99" s="269"/>
      <c r="J99" s="251"/>
    </row>
    <row r="100">
      <c r="A100" s="265"/>
      <c r="B100" s="247">
        <v>4215.0</v>
      </c>
      <c r="C100" s="252"/>
      <c r="D100" s="331"/>
      <c r="F100" s="250"/>
      <c r="G100" s="254" t="s">
        <v>2649</v>
      </c>
      <c r="H100" s="269"/>
      <c r="I100" s="269"/>
      <c r="J100" s="251"/>
    </row>
    <row r="101">
      <c r="A101" s="265"/>
      <c r="B101" s="247">
        <v>19448.0</v>
      </c>
      <c r="C101" s="252"/>
      <c r="D101" s="822"/>
      <c r="F101" s="250"/>
      <c r="G101" s="254" t="s">
        <v>2623</v>
      </c>
      <c r="H101" s="269"/>
      <c r="I101" s="269"/>
      <c r="J101" s="251"/>
    </row>
    <row r="102">
      <c r="A102" s="265"/>
      <c r="B102" s="247"/>
      <c r="C102" s="248"/>
      <c r="D102" s="822"/>
      <c r="F102" s="250"/>
      <c r="G102" s="254"/>
      <c r="H102" s="269"/>
      <c r="I102" s="269"/>
      <c r="J102" s="251"/>
    </row>
    <row r="103">
      <c r="A103" s="265"/>
      <c r="B103" s="247"/>
      <c r="C103" s="252"/>
      <c r="D103" s="822"/>
      <c r="F103" s="250"/>
      <c r="G103" s="254"/>
      <c r="H103" s="269"/>
      <c r="I103" s="269"/>
      <c r="J103" s="251"/>
    </row>
    <row r="104">
      <c r="A104" s="265"/>
      <c r="B104" s="277"/>
      <c r="C104" s="248"/>
      <c r="D104" s="822"/>
      <c r="F104" s="282"/>
      <c r="G104" s="254"/>
      <c r="H104" s="269"/>
      <c r="I104" s="269"/>
      <c r="J104" s="251"/>
    </row>
    <row r="105">
      <c r="A105" s="265"/>
      <c r="B105" s="277"/>
      <c r="C105" s="252"/>
      <c r="D105" s="822"/>
      <c r="F105" s="250"/>
      <c r="G105" s="254"/>
      <c r="H105" s="269"/>
      <c r="I105" s="269"/>
      <c r="J105" s="251"/>
    </row>
    <row r="106">
      <c r="A106" s="265"/>
      <c r="B106" s="278"/>
      <c r="C106" s="252"/>
      <c r="D106" s="822"/>
      <c r="F106" s="282"/>
      <c r="G106" s="269"/>
      <c r="H106" s="269"/>
      <c r="I106" s="269"/>
      <c r="J106" s="251"/>
    </row>
    <row r="107">
      <c r="A107" s="270"/>
      <c r="B107" s="271"/>
      <c r="C107" s="272"/>
      <c r="D107" s="823"/>
      <c r="E107" s="18"/>
      <c r="F107" s="274"/>
      <c r="G107" s="275"/>
      <c r="H107" s="275"/>
      <c r="I107" s="275"/>
      <c r="J107" s="261"/>
    </row>
    <row r="108">
      <c r="A108" s="262">
        <v>11.0</v>
      </c>
      <c r="B108" s="239"/>
      <c r="C108" s="263"/>
      <c r="D108" s="821"/>
      <c r="E108" s="242"/>
      <c r="F108" s="243">
        <v>18000.0</v>
      </c>
      <c r="G108" s="276" t="s">
        <v>2602</v>
      </c>
      <c r="H108" s="276"/>
      <c r="I108" s="276"/>
      <c r="J108" s="307"/>
    </row>
    <row r="109">
      <c r="A109" s="265"/>
      <c r="B109" s="247"/>
      <c r="C109" s="252"/>
      <c r="D109" s="331"/>
      <c r="F109" s="250">
        <v>714.0</v>
      </c>
      <c r="G109" s="254" t="s">
        <v>97</v>
      </c>
      <c r="H109" s="269"/>
      <c r="I109" s="269"/>
      <c r="J109" s="251"/>
    </row>
    <row r="110">
      <c r="A110" s="265"/>
      <c r="B110" s="247">
        <v>6102.0</v>
      </c>
      <c r="C110" s="248"/>
      <c r="D110" s="331"/>
      <c r="F110" s="250"/>
      <c r="G110" s="26" t="s">
        <v>82</v>
      </c>
      <c r="H110" s="26"/>
      <c r="I110" s="269"/>
      <c r="J110" s="251"/>
    </row>
    <row r="111">
      <c r="A111" s="265"/>
      <c r="B111" s="247"/>
      <c r="C111" s="248"/>
      <c r="D111" s="331"/>
      <c r="F111" s="250"/>
      <c r="G111" s="254" t="s">
        <v>89</v>
      </c>
      <c r="H111" s="254" t="s">
        <v>2834</v>
      </c>
      <c r="I111" s="269"/>
      <c r="J111" s="251"/>
    </row>
    <row r="112">
      <c r="A112" s="265"/>
      <c r="B112" s="247"/>
      <c r="C112" s="252"/>
      <c r="D112" s="331">
        <v>14574.47</v>
      </c>
      <c r="F112" s="250"/>
      <c r="G112" s="254" t="s">
        <v>114</v>
      </c>
      <c r="H112" s="269"/>
      <c r="I112" s="269"/>
      <c r="J112" s="251"/>
    </row>
    <row r="113">
      <c r="A113" s="265"/>
      <c r="B113" s="247">
        <v>46472.4</v>
      </c>
      <c r="C113" s="252"/>
      <c r="D113" s="822"/>
      <c r="F113" s="250"/>
      <c r="G113" s="254" t="s">
        <v>84</v>
      </c>
      <c r="H113" s="254"/>
      <c r="I113" s="269"/>
      <c r="J113" s="251"/>
    </row>
    <row r="114">
      <c r="A114" s="265"/>
      <c r="B114" s="247"/>
      <c r="C114" s="252"/>
      <c r="D114" s="822"/>
      <c r="F114" s="250">
        <v>3800.0</v>
      </c>
      <c r="G114" s="254" t="s">
        <v>344</v>
      </c>
      <c r="H114" s="269"/>
      <c r="I114" s="269"/>
      <c r="J114" s="251"/>
    </row>
    <row r="115">
      <c r="A115" s="265"/>
      <c r="B115" s="247"/>
      <c r="C115" s="252"/>
      <c r="D115" s="331">
        <v>18810.0</v>
      </c>
      <c r="F115" s="250"/>
      <c r="G115" s="254" t="s">
        <v>79</v>
      </c>
      <c r="H115" s="269"/>
      <c r="I115" s="269"/>
      <c r="J115" s="251"/>
    </row>
    <row r="116">
      <c r="A116" s="265"/>
      <c r="B116" s="247"/>
      <c r="C116" s="252"/>
      <c r="D116" s="331"/>
      <c r="F116" s="250">
        <v>1400.0</v>
      </c>
      <c r="G116" s="254" t="s">
        <v>2835</v>
      </c>
      <c r="H116" s="269"/>
      <c r="I116" s="269"/>
      <c r="J116" s="251"/>
    </row>
    <row r="117">
      <c r="A117" s="265"/>
      <c r="B117" s="247"/>
      <c r="C117" s="248"/>
      <c r="D117" s="822"/>
      <c r="F117" s="250"/>
      <c r="G117" s="254"/>
      <c r="H117" s="269"/>
      <c r="I117" s="269"/>
      <c r="J117" s="251"/>
    </row>
    <row r="118">
      <c r="A118" s="265"/>
      <c r="B118" s="268"/>
      <c r="C118" s="252"/>
      <c r="D118" s="822"/>
      <c r="F118" s="250"/>
      <c r="G118" s="254"/>
      <c r="H118" s="269"/>
      <c r="I118" s="269"/>
      <c r="J118" s="251"/>
    </row>
    <row r="119">
      <c r="A119" s="265"/>
      <c r="B119" s="268"/>
      <c r="C119" s="252"/>
      <c r="D119" s="822"/>
      <c r="F119" s="250"/>
      <c r="G119" s="254"/>
      <c r="H119" s="254"/>
      <c r="I119" s="269"/>
      <c r="J119" s="251"/>
    </row>
    <row r="120">
      <c r="A120" s="265"/>
      <c r="B120" s="268"/>
      <c r="C120" s="252"/>
      <c r="D120" s="822"/>
      <c r="F120" s="250"/>
      <c r="G120" s="269"/>
      <c r="H120" s="269"/>
      <c r="I120" s="269"/>
      <c r="J120" s="251"/>
    </row>
    <row r="121">
      <c r="A121" s="265"/>
      <c r="B121" s="268"/>
      <c r="C121" s="252"/>
      <c r="D121" s="822"/>
      <c r="F121" s="250"/>
      <c r="G121" s="269"/>
      <c r="H121" s="269"/>
      <c r="I121" s="269"/>
      <c r="J121" s="251"/>
    </row>
    <row r="122">
      <c r="A122" s="265"/>
      <c r="B122" s="268"/>
      <c r="C122" s="252"/>
      <c r="D122" s="822"/>
      <c r="F122" s="250"/>
      <c r="G122" s="269"/>
      <c r="H122" s="269"/>
      <c r="I122" s="269"/>
      <c r="J122" s="251"/>
    </row>
    <row r="123">
      <c r="A123" s="265"/>
      <c r="B123" s="268"/>
      <c r="C123" s="252"/>
      <c r="D123" s="822"/>
      <c r="F123" s="250"/>
      <c r="G123" s="269"/>
      <c r="H123" s="269"/>
      <c r="I123" s="269"/>
      <c r="J123" s="251"/>
    </row>
    <row r="124">
      <c r="A124" s="265"/>
      <c r="B124" s="268"/>
      <c r="C124" s="252"/>
      <c r="D124" s="822"/>
      <c r="F124" s="250"/>
      <c r="G124" s="269"/>
      <c r="H124" s="269"/>
      <c r="I124" s="269"/>
      <c r="J124" s="251"/>
    </row>
    <row r="125">
      <c r="A125" s="270"/>
      <c r="B125" s="271"/>
      <c r="C125" s="272"/>
      <c r="D125" s="823"/>
      <c r="E125" s="18"/>
      <c r="F125" s="274"/>
      <c r="G125" s="275"/>
      <c r="H125" s="275"/>
      <c r="I125" s="275"/>
      <c r="J125" s="261"/>
    </row>
    <row r="126">
      <c r="A126" s="262">
        <v>12.0</v>
      </c>
      <c r="B126" s="239"/>
      <c r="C126" s="263"/>
      <c r="D126" s="821"/>
      <c r="E126" s="242"/>
      <c r="F126" s="243">
        <v>960.0</v>
      </c>
      <c r="G126" s="276" t="s">
        <v>169</v>
      </c>
      <c r="H126" s="276"/>
      <c r="I126" s="276"/>
      <c r="J126" s="307"/>
    </row>
    <row r="127">
      <c r="A127" s="265"/>
      <c r="B127" s="247"/>
      <c r="C127" s="252"/>
      <c r="D127" s="331"/>
      <c r="F127" s="250">
        <v>4800.0</v>
      </c>
      <c r="G127" s="254" t="s">
        <v>68</v>
      </c>
      <c r="H127" s="254"/>
      <c r="I127" s="269"/>
      <c r="J127" s="251"/>
    </row>
    <row r="128">
      <c r="A128" s="265"/>
      <c r="B128" s="247">
        <v>9760.0</v>
      </c>
      <c r="C128" s="252"/>
      <c r="D128" s="331"/>
      <c r="F128" s="250"/>
      <c r="G128" s="254" t="s">
        <v>75</v>
      </c>
      <c r="H128" s="269"/>
      <c r="I128" s="269"/>
      <c r="J128" s="251"/>
    </row>
    <row r="129">
      <c r="A129" s="265"/>
      <c r="B129" s="247"/>
      <c r="C129" s="252"/>
      <c r="D129" s="331"/>
      <c r="F129" s="250"/>
      <c r="G129" s="254"/>
      <c r="H129" s="269"/>
      <c r="I129" s="269"/>
      <c r="J129" s="251"/>
    </row>
    <row r="130">
      <c r="A130" s="265"/>
      <c r="B130" s="247"/>
      <c r="C130" s="248"/>
      <c r="D130" s="822"/>
      <c r="F130" s="250"/>
      <c r="G130" s="254"/>
      <c r="H130" s="269"/>
      <c r="I130" s="269"/>
      <c r="J130" s="251"/>
    </row>
    <row r="131">
      <c r="A131" s="265"/>
      <c r="B131" s="247"/>
      <c r="C131" s="252"/>
      <c r="D131" s="331"/>
      <c r="F131" s="250"/>
      <c r="G131" s="254"/>
      <c r="H131" s="269"/>
      <c r="I131" s="269"/>
      <c r="J131" s="251"/>
    </row>
    <row r="132">
      <c r="A132" s="265"/>
      <c r="B132" s="247"/>
      <c r="C132" s="252"/>
      <c r="D132" s="331"/>
      <c r="F132" s="250"/>
      <c r="G132" s="254"/>
      <c r="H132" s="269"/>
      <c r="I132" s="269"/>
      <c r="J132" s="251"/>
    </row>
    <row r="133">
      <c r="A133" s="265"/>
      <c r="B133" s="283"/>
      <c r="C133" s="248"/>
      <c r="D133" s="822"/>
      <c r="F133" s="250"/>
      <c r="G133" s="254"/>
      <c r="H133" s="269"/>
      <c r="I133" s="269"/>
      <c r="J133" s="251"/>
    </row>
    <row r="134">
      <c r="A134" s="265"/>
      <c r="B134" s="247"/>
      <c r="C134" s="248"/>
      <c r="D134" s="822"/>
      <c r="F134" s="250"/>
      <c r="G134" s="254"/>
      <c r="H134" s="269"/>
      <c r="I134" s="269"/>
      <c r="J134" s="251"/>
    </row>
    <row r="135">
      <c r="A135" s="265"/>
      <c r="B135" s="247"/>
      <c r="C135" s="252"/>
      <c r="D135" s="822"/>
      <c r="F135" s="250"/>
      <c r="G135" s="254"/>
      <c r="H135" s="269"/>
      <c r="I135" s="269"/>
      <c r="J135" s="251"/>
    </row>
    <row r="136">
      <c r="A136" s="265"/>
      <c r="B136" s="247"/>
      <c r="C136" s="252"/>
      <c r="D136" s="331"/>
      <c r="F136" s="250"/>
      <c r="G136" s="254"/>
      <c r="H136" s="269"/>
      <c r="I136" s="269"/>
      <c r="J136" s="251"/>
    </row>
    <row r="137">
      <c r="A137" s="265"/>
      <c r="B137" s="277"/>
      <c r="C137" s="252"/>
      <c r="D137" s="822"/>
      <c r="F137" s="250"/>
      <c r="G137" s="254"/>
      <c r="H137" s="269"/>
      <c r="I137" s="269"/>
      <c r="J137" s="251"/>
    </row>
    <row r="138">
      <c r="A138" s="265"/>
      <c r="B138" s="277"/>
      <c r="C138" s="252"/>
      <c r="D138" s="822"/>
      <c r="F138" s="250"/>
      <c r="G138" s="269"/>
      <c r="H138" s="269"/>
      <c r="I138" s="269"/>
      <c r="J138" s="251"/>
    </row>
    <row r="139">
      <c r="A139" s="265"/>
      <c r="B139" s="278"/>
      <c r="C139" s="252"/>
      <c r="D139" s="822"/>
      <c r="F139" s="250"/>
      <c r="G139" s="269"/>
      <c r="H139" s="269"/>
      <c r="I139" s="269"/>
      <c r="J139" s="251"/>
    </row>
    <row r="140">
      <c r="A140" s="270"/>
      <c r="B140" s="271"/>
      <c r="C140" s="272"/>
      <c r="D140" s="823"/>
      <c r="E140" s="18"/>
      <c r="F140" s="274"/>
      <c r="G140" s="275"/>
      <c r="H140" s="275"/>
      <c r="I140" s="275"/>
      <c r="J140" s="261"/>
    </row>
    <row r="141">
      <c r="A141" s="262">
        <v>13.0</v>
      </c>
      <c r="B141" s="239">
        <v>6710.47</v>
      </c>
      <c r="C141" s="240"/>
      <c r="D141" s="824"/>
      <c r="E141" s="242"/>
      <c r="F141" s="243"/>
      <c r="G141" s="276" t="s">
        <v>82</v>
      </c>
      <c r="H141" s="276"/>
      <c r="I141" s="276"/>
      <c r="J141" s="307"/>
    </row>
    <row r="142">
      <c r="A142" s="265"/>
      <c r="B142" s="247">
        <v>8017.24</v>
      </c>
      <c r="C142" s="252"/>
      <c r="D142" s="822"/>
      <c r="F142" s="250"/>
      <c r="G142" s="254" t="s">
        <v>2836</v>
      </c>
      <c r="H142" s="269"/>
      <c r="I142" s="269"/>
      <c r="J142" s="251"/>
    </row>
    <row r="143">
      <c r="A143" s="265"/>
      <c r="B143" s="247"/>
      <c r="C143" s="252"/>
      <c r="D143" s="331"/>
      <c r="F143" s="418"/>
      <c r="G143" s="285"/>
      <c r="H143" s="420"/>
      <c r="I143" s="829"/>
      <c r="J143" s="251"/>
    </row>
    <row r="144">
      <c r="A144" s="265"/>
      <c r="B144" s="247"/>
      <c r="C144" s="252"/>
      <c r="D144" s="822"/>
      <c r="F144" s="250"/>
      <c r="G144" s="254"/>
      <c r="H144" s="269"/>
      <c r="I144" s="269"/>
      <c r="J144" s="251"/>
    </row>
    <row r="145">
      <c r="A145" s="265"/>
      <c r="B145" s="247"/>
      <c r="C145" s="252"/>
      <c r="D145" s="331"/>
      <c r="F145" s="250"/>
      <c r="G145" s="254"/>
      <c r="H145" s="269"/>
      <c r="I145" s="269"/>
      <c r="J145" s="251"/>
    </row>
    <row r="146">
      <c r="A146" s="265"/>
      <c r="B146" s="268"/>
      <c r="C146" s="248"/>
      <c r="D146" s="331"/>
      <c r="F146" s="250"/>
      <c r="G146" s="254"/>
      <c r="H146" s="269"/>
      <c r="I146" s="269"/>
      <c r="J146" s="251"/>
    </row>
    <row r="147">
      <c r="A147" s="265"/>
      <c r="B147" s="247"/>
      <c r="C147" s="252"/>
      <c r="D147" s="331"/>
      <c r="F147" s="250"/>
      <c r="G147" s="254"/>
      <c r="H147" s="269"/>
      <c r="I147" s="269"/>
      <c r="J147" s="251"/>
    </row>
    <row r="148">
      <c r="A148" s="265"/>
      <c r="B148" s="247"/>
      <c r="C148" s="252"/>
      <c r="D148" s="331"/>
      <c r="F148" s="250"/>
      <c r="G148" s="254"/>
      <c r="H148" s="269"/>
      <c r="I148" s="269"/>
      <c r="J148" s="251"/>
    </row>
    <row r="149">
      <c r="A149" s="265"/>
      <c r="B149" s="268"/>
      <c r="C149" s="252"/>
      <c r="D149" s="331"/>
      <c r="F149" s="250"/>
      <c r="G149" s="254"/>
      <c r="H149" s="254"/>
      <c r="I149" s="269"/>
      <c r="J149" s="251"/>
    </row>
    <row r="150">
      <c r="A150" s="265"/>
      <c r="B150" s="247"/>
      <c r="C150" s="252"/>
      <c r="D150" s="822"/>
      <c r="F150" s="250"/>
      <c r="G150" s="254"/>
      <c r="H150" s="269"/>
      <c r="I150" s="269"/>
      <c r="J150" s="251"/>
    </row>
    <row r="151">
      <c r="A151" s="265"/>
      <c r="B151" s="247"/>
      <c r="C151" s="252"/>
      <c r="D151" s="822"/>
      <c r="F151" s="250"/>
      <c r="G151" s="254"/>
      <c r="H151" s="269"/>
      <c r="I151" s="269"/>
      <c r="J151" s="251"/>
    </row>
    <row r="152">
      <c r="A152" s="265"/>
      <c r="B152" s="277"/>
      <c r="C152" s="252"/>
      <c r="D152" s="822"/>
      <c r="F152" s="250"/>
      <c r="G152" s="269"/>
      <c r="H152" s="269"/>
      <c r="I152" s="269"/>
      <c r="J152" s="251"/>
    </row>
    <row r="153">
      <c r="A153" s="265"/>
      <c r="B153" s="277"/>
      <c r="C153" s="252"/>
      <c r="D153" s="822"/>
      <c r="F153" s="282"/>
      <c r="G153" s="269"/>
      <c r="H153" s="269"/>
      <c r="I153" s="269"/>
      <c r="J153" s="251"/>
    </row>
    <row r="154">
      <c r="A154" s="265"/>
      <c r="B154" s="278"/>
      <c r="C154" s="252"/>
      <c r="D154" s="822"/>
      <c r="F154" s="250"/>
      <c r="G154" s="269"/>
      <c r="H154" s="269"/>
      <c r="I154" s="269"/>
      <c r="J154" s="251"/>
    </row>
    <row r="155">
      <c r="A155" s="270"/>
      <c r="B155" s="271"/>
      <c r="C155" s="272"/>
      <c r="D155" s="823"/>
      <c r="E155" s="18"/>
      <c r="F155" s="259"/>
      <c r="G155" s="260"/>
      <c r="H155" s="260"/>
      <c r="I155" s="275"/>
      <c r="J155" s="261"/>
    </row>
    <row r="156">
      <c r="A156" s="262">
        <v>14.0</v>
      </c>
      <c r="B156" s="239"/>
      <c r="C156" s="263"/>
      <c r="D156" s="821"/>
      <c r="E156" s="242"/>
      <c r="F156" s="243">
        <v>18600.0</v>
      </c>
      <c r="G156" s="276" t="s">
        <v>87</v>
      </c>
      <c r="H156" s="276"/>
      <c r="I156" s="276"/>
      <c r="J156" s="307"/>
    </row>
    <row r="157">
      <c r="A157" s="265"/>
      <c r="B157" s="247"/>
      <c r="C157" s="252">
        <f>25452.24+29693.24</f>
        <v>55145.48</v>
      </c>
      <c r="D157" s="822"/>
      <c r="F157" s="250"/>
      <c r="G157" s="254" t="s">
        <v>71</v>
      </c>
      <c r="H157" s="269"/>
      <c r="I157" s="269"/>
      <c r="J157" s="251"/>
    </row>
    <row r="158">
      <c r="A158" s="265"/>
      <c r="B158" s="247"/>
      <c r="C158" s="248"/>
      <c r="D158" s="331"/>
      <c r="F158" s="250">
        <v>9400.0</v>
      </c>
      <c r="G158" s="254" t="s">
        <v>2669</v>
      </c>
      <c r="H158" s="254"/>
      <c r="I158" s="269"/>
      <c r="J158" s="251"/>
    </row>
    <row r="159">
      <c r="A159" s="265"/>
      <c r="B159" s="247">
        <v>7730.0</v>
      </c>
      <c r="C159" s="248"/>
      <c r="D159" s="331"/>
      <c r="F159" s="250"/>
      <c r="G159" s="254" t="s">
        <v>2714</v>
      </c>
      <c r="H159" s="254"/>
      <c r="I159" s="254"/>
      <c r="J159" s="251"/>
    </row>
    <row r="160">
      <c r="A160" s="265"/>
      <c r="B160" s="247"/>
      <c r="C160" s="252"/>
      <c r="D160" s="822"/>
      <c r="F160" s="250"/>
      <c r="G160" s="254"/>
      <c r="H160" s="269"/>
      <c r="I160" s="269"/>
      <c r="J160" s="251"/>
    </row>
    <row r="161">
      <c r="A161" s="265"/>
      <c r="B161" s="247"/>
      <c r="C161" s="248"/>
      <c r="D161" s="331"/>
      <c r="F161" s="250"/>
      <c r="G161" s="254"/>
      <c r="H161" s="269"/>
      <c r="I161" s="269"/>
      <c r="J161" s="251"/>
    </row>
    <row r="162">
      <c r="A162" s="265"/>
      <c r="B162" s="247"/>
      <c r="C162" s="248"/>
      <c r="D162" s="331"/>
      <c r="F162" s="250"/>
      <c r="G162" s="254"/>
      <c r="H162" s="269"/>
      <c r="I162" s="269"/>
      <c r="J162" s="251"/>
    </row>
    <row r="163">
      <c r="A163" s="265"/>
      <c r="B163" s="247"/>
      <c r="C163" s="252"/>
      <c r="D163" s="331"/>
      <c r="F163" s="250"/>
      <c r="G163" s="254"/>
      <c r="H163" s="269"/>
      <c r="I163" s="269"/>
      <c r="J163" s="251"/>
    </row>
    <row r="164">
      <c r="A164" s="265"/>
      <c r="B164" s="247"/>
      <c r="C164" s="252"/>
      <c r="D164" s="822"/>
      <c r="F164" s="250"/>
      <c r="G164" s="254"/>
      <c r="H164" s="269"/>
      <c r="I164" s="269"/>
      <c r="J164" s="251"/>
    </row>
    <row r="165">
      <c r="A165" s="270"/>
      <c r="B165" s="279"/>
      <c r="C165" s="272"/>
      <c r="D165" s="823"/>
      <c r="E165" s="18"/>
      <c r="F165" s="274"/>
      <c r="G165" s="260"/>
      <c r="H165" s="260"/>
      <c r="I165" s="275"/>
      <c r="J165" s="261"/>
    </row>
    <row r="166">
      <c r="A166" s="262">
        <v>16.0</v>
      </c>
      <c r="B166" s="239"/>
      <c r="C166" s="263"/>
      <c r="D166" s="821"/>
      <c r="E166" s="242"/>
      <c r="F166" s="250">
        <v>2000.0</v>
      </c>
      <c r="G166" s="276" t="s">
        <v>160</v>
      </c>
      <c r="H166" s="276"/>
      <c r="I166" s="276"/>
      <c r="J166" s="307"/>
    </row>
    <row r="167">
      <c r="A167" s="265"/>
      <c r="B167" s="247"/>
      <c r="C167" s="252"/>
      <c r="D167" s="331"/>
      <c r="F167" s="250">
        <v>1900.0</v>
      </c>
      <c r="G167" s="254" t="s">
        <v>651</v>
      </c>
      <c r="H167" s="269"/>
      <c r="I167" s="269"/>
      <c r="J167" s="251"/>
    </row>
    <row r="168">
      <c r="A168" s="265"/>
      <c r="B168" s="247">
        <v>7677.85</v>
      </c>
      <c r="C168" s="248"/>
      <c r="D168" s="331"/>
      <c r="F168" s="250"/>
      <c r="G168" s="254" t="s">
        <v>82</v>
      </c>
      <c r="H168" s="269"/>
      <c r="I168" s="269"/>
      <c r="J168" s="251"/>
    </row>
    <row r="169">
      <c r="A169" s="265"/>
      <c r="B169" s="247"/>
      <c r="C169" s="248"/>
      <c r="D169" s="331">
        <v>13640.0</v>
      </c>
      <c r="F169" s="250"/>
      <c r="G169" s="254" t="s">
        <v>75</v>
      </c>
      <c r="H169" s="269"/>
      <c r="I169" s="269"/>
      <c r="J169" s="251"/>
    </row>
    <row r="170">
      <c r="A170" s="265"/>
      <c r="B170" s="247"/>
      <c r="C170" s="248"/>
      <c r="D170" s="331">
        <v>16640.0</v>
      </c>
      <c r="F170" s="250"/>
      <c r="G170" s="254" t="s">
        <v>122</v>
      </c>
      <c r="H170" s="269"/>
      <c r="I170" s="269"/>
      <c r="J170" s="251"/>
    </row>
    <row r="171">
      <c r="A171" s="265"/>
      <c r="B171" s="247">
        <v>9498.9</v>
      </c>
      <c r="C171" s="252"/>
      <c r="D171" s="331"/>
      <c r="F171" s="250"/>
      <c r="G171" s="254" t="s">
        <v>74</v>
      </c>
      <c r="H171" s="269"/>
      <c r="I171" s="269"/>
      <c r="J171" s="251"/>
    </row>
    <row r="172">
      <c r="A172" s="265"/>
      <c r="B172" s="247"/>
      <c r="C172" s="252"/>
      <c r="D172" s="331">
        <v>19858.5</v>
      </c>
      <c r="F172" s="250"/>
      <c r="G172" s="254" t="s">
        <v>73</v>
      </c>
      <c r="H172" s="269"/>
      <c r="I172" s="269"/>
      <c r="J172" s="251"/>
    </row>
    <row r="173">
      <c r="A173" s="265"/>
      <c r="B173" s="247"/>
      <c r="C173" s="252"/>
      <c r="D173" s="822"/>
      <c r="F173" s="250">
        <v>12000.0</v>
      </c>
      <c r="G173" s="254" t="s">
        <v>2837</v>
      </c>
      <c r="H173" s="269"/>
      <c r="I173" s="269"/>
      <c r="J173" s="251"/>
    </row>
    <row r="174">
      <c r="A174" s="265"/>
      <c r="B174" s="247"/>
      <c r="C174" s="252"/>
      <c r="D174" s="331">
        <v>50000.0</v>
      </c>
      <c r="F174" s="250"/>
      <c r="G174" s="254" t="s">
        <v>144</v>
      </c>
      <c r="H174" s="254"/>
      <c r="I174" s="269"/>
      <c r="J174" s="251"/>
    </row>
    <row r="175">
      <c r="A175" s="265"/>
      <c r="B175" s="247">
        <v>11100.0</v>
      </c>
      <c r="C175" s="252"/>
      <c r="D175" s="822"/>
      <c r="F175" s="250"/>
      <c r="G175" s="254" t="s">
        <v>859</v>
      </c>
      <c r="H175" s="269"/>
      <c r="I175" s="269"/>
      <c r="J175" s="251"/>
    </row>
    <row r="176">
      <c r="A176" s="265"/>
      <c r="B176" s="247"/>
      <c r="C176" s="252"/>
      <c r="D176" s="822"/>
      <c r="F176" s="250">
        <v>2800.0</v>
      </c>
      <c r="G176" s="254" t="s">
        <v>2838</v>
      </c>
      <c r="H176" s="269"/>
      <c r="I176" s="269"/>
      <c r="J176" s="251"/>
    </row>
    <row r="177">
      <c r="A177" s="265"/>
      <c r="B177" s="247"/>
      <c r="C177" s="252"/>
      <c r="D177" s="822"/>
      <c r="F177" s="250"/>
      <c r="G177" s="254"/>
      <c r="H177" s="254"/>
      <c r="I177" s="269"/>
      <c r="J177" s="251"/>
    </row>
    <row r="178">
      <c r="A178" s="265"/>
      <c r="B178" s="268"/>
      <c r="C178" s="252"/>
      <c r="D178" s="822"/>
      <c r="F178" s="250"/>
      <c r="G178" s="269"/>
      <c r="H178" s="269"/>
      <c r="I178" s="269"/>
      <c r="J178" s="251"/>
    </row>
    <row r="179">
      <c r="A179" s="265"/>
      <c r="B179" s="268"/>
      <c r="C179" s="252"/>
      <c r="D179" s="822"/>
      <c r="F179" s="250"/>
      <c r="G179" s="269"/>
      <c r="H179" s="269"/>
      <c r="I179" s="269"/>
      <c r="J179" s="251"/>
    </row>
    <row r="180">
      <c r="A180" s="270"/>
      <c r="B180" s="271"/>
      <c r="C180" s="272"/>
      <c r="D180" s="823"/>
      <c r="E180" s="18"/>
      <c r="F180" s="259"/>
      <c r="G180" s="260"/>
      <c r="H180" s="260"/>
      <c r="I180" s="275"/>
      <c r="J180" s="261"/>
    </row>
    <row r="181">
      <c r="A181" s="262">
        <v>18.0</v>
      </c>
      <c r="B181" s="247"/>
      <c r="C181" s="248">
        <v>22586.8</v>
      </c>
      <c r="D181" s="822"/>
      <c r="F181" s="250"/>
      <c r="G181" s="254" t="s">
        <v>84</v>
      </c>
      <c r="H181" s="276"/>
      <c r="I181" s="269"/>
      <c r="J181" s="286"/>
    </row>
    <row r="182">
      <c r="A182" s="265"/>
      <c r="B182" s="247"/>
      <c r="C182" s="252"/>
      <c r="D182" s="822"/>
      <c r="F182" s="250">
        <v>18600.0</v>
      </c>
      <c r="G182" s="254" t="s">
        <v>87</v>
      </c>
      <c r="H182" s="269"/>
      <c r="I182" s="269"/>
      <c r="J182" s="251"/>
    </row>
    <row r="183">
      <c r="A183" s="265"/>
      <c r="B183" s="247"/>
      <c r="C183" s="252"/>
      <c r="D183" s="331"/>
      <c r="F183" s="250">
        <v>4800.0</v>
      </c>
      <c r="G183" s="254" t="s">
        <v>68</v>
      </c>
      <c r="H183" s="269"/>
      <c r="I183" s="269"/>
      <c r="J183" s="251"/>
    </row>
    <row r="184">
      <c r="A184" s="265"/>
      <c r="B184" s="247">
        <v>6500.0</v>
      </c>
      <c r="C184" s="248"/>
      <c r="D184" s="331"/>
      <c r="F184" s="250"/>
      <c r="G184" s="254" t="s">
        <v>79</v>
      </c>
      <c r="H184" s="269"/>
      <c r="I184" s="269"/>
      <c r="J184" s="251"/>
    </row>
    <row r="185">
      <c r="A185" s="265"/>
      <c r="B185" s="247">
        <v>11406.52</v>
      </c>
      <c r="C185" s="248"/>
      <c r="D185" s="331"/>
      <c r="F185" s="250"/>
      <c r="G185" s="254" t="s">
        <v>114</v>
      </c>
      <c r="H185" s="269"/>
      <c r="I185" s="269"/>
      <c r="J185" s="251"/>
    </row>
    <row r="186">
      <c r="A186" s="265"/>
      <c r="B186" s="247">
        <v>4398.6</v>
      </c>
      <c r="C186" s="252"/>
      <c r="D186" s="331"/>
      <c r="F186" s="250"/>
      <c r="G186" s="254" t="s">
        <v>91</v>
      </c>
      <c r="H186" s="269"/>
      <c r="I186" s="269"/>
      <c r="J186" s="251"/>
    </row>
    <row r="187">
      <c r="A187" s="265"/>
      <c r="B187" s="247">
        <v>3886.75</v>
      </c>
      <c r="C187" s="252"/>
      <c r="D187" s="822"/>
      <c r="F187" s="250"/>
      <c r="G187" s="254" t="s">
        <v>82</v>
      </c>
      <c r="H187" s="269"/>
      <c r="I187" s="269"/>
      <c r="J187" s="251"/>
    </row>
    <row r="188">
      <c r="A188" s="265"/>
      <c r="B188" s="247"/>
      <c r="C188" s="252"/>
      <c r="D188" s="331"/>
      <c r="F188" s="250">
        <v>245.0</v>
      </c>
      <c r="G188" s="254" t="s">
        <v>97</v>
      </c>
      <c r="H188" s="269"/>
      <c r="I188" s="269"/>
      <c r="J188" s="251"/>
    </row>
    <row r="189">
      <c r="A189" s="265"/>
      <c r="B189" s="247"/>
      <c r="C189" s="248"/>
      <c r="D189" s="822"/>
      <c r="F189" s="250">
        <v>3800.0</v>
      </c>
      <c r="G189" s="254" t="s">
        <v>651</v>
      </c>
      <c r="H189" s="269"/>
      <c r="I189" s="269"/>
      <c r="J189" s="251"/>
    </row>
    <row r="190">
      <c r="A190" s="265"/>
      <c r="B190" s="247"/>
      <c r="C190" s="252"/>
      <c r="D190" s="822"/>
      <c r="F190" s="250">
        <v>105.0</v>
      </c>
      <c r="G190" s="254" t="s">
        <v>2839</v>
      </c>
      <c r="H190" s="254"/>
      <c r="I190" s="269"/>
      <c r="J190" s="251"/>
    </row>
    <row r="191">
      <c r="A191" s="265"/>
      <c r="B191" s="247"/>
      <c r="C191" s="252"/>
      <c r="D191" s="331"/>
      <c r="F191" s="250"/>
      <c r="G191" s="254"/>
      <c r="H191" s="269"/>
      <c r="I191" s="269"/>
      <c r="J191" s="251"/>
    </row>
    <row r="192">
      <c r="A192" s="265"/>
      <c r="B192" s="247"/>
      <c r="C192" s="248"/>
      <c r="D192" s="331"/>
      <c r="F192" s="250"/>
      <c r="G192" s="254"/>
      <c r="H192" s="269"/>
      <c r="I192" s="269"/>
      <c r="J192" s="251"/>
    </row>
    <row r="193">
      <c r="A193" s="265"/>
      <c r="B193" s="247"/>
      <c r="C193" s="248"/>
      <c r="D193" s="331"/>
      <c r="F193" s="250"/>
      <c r="G193" s="254"/>
      <c r="H193" s="269"/>
      <c r="I193" s="269"/>
      <c r="J193" s="251"/>
    </row>
    <row r="194">
      <c r="A194" s="265"/>
      <c r="B194" s="247"/>
      <c r="C194" s="252"/>
      <c r="D194" s="331"/>
      <c r="F194" s="250"/>
      <c r="G194" s="254"/>
      <c r="H194" s="269"/>
      <c r="I194" s="269"/>
      <c r="J194" s="251"/>
    </row>
    <row r="195">
      <c r="A195" s="265"/>
      <c r="B195" s="247"/>
      <c r="C195" s="252"/>
      <c r="D195" s="822"/>
      <c r="F195" s="250"/>
      <c r="G195" s="254"/>
      <c r="H195" s="269"/>
      <c r="I195" s="269"/>
      <c r="J195" s="251"/>
    </row>
    <row r="196">
      <c r="A196" s="270"/>
      <c r="B196" s="247"/>
      <c r="C196" s="252"/>
      <c r="D196" s="331"/>
      <c r="F196" s="250"/>
      <c r="G196" s="254"/>
      <c r="H196" s="275"/>
      <c r="I196" s="275"/>
      <c r="J196" s="261"/>
    </row>
    <row r="197">
      <c r="A197" s="262">
        <v>19.0</v>
      </c>
      <c r="B197" s="239">
        <v>26778.56</v>
      </c>
      <c r="C197" s="263"/>
      <c r="D197" s="821"/>
      <c r="E197" s="242"/>
      <c r="F197" s="243"/>
      <c r="G197" s="276" t="s">
        <v>787</v>
      </c>
      <c r="H197" s="276"/>
      <c r="I197" s="276"/>
      <c r="J197" s="307"/>
    </row>
    <row r="198">
      <c r="A198" s="265"/>
      <c r="B198" s="247">
        <v>5899.0</v>
      </c>
      <c r="C198" s="248"/>
      <c r="D198" s="331"/>
      <c r="F198" s="250"/>
      <c r="G198" s="254" t="s">
        <v>2840</v>
      </c>
      <c r="H198" s="269"/>
      <c r="I198" s="269"/>
      <c r="J198" s="251"/>
    </row>
    <row r="199">
      <c r="A199" s="265"/>
      <c r="B199" s="247"/>
      <c r="C199" s="252"/>
      <c r="D199" s="822"/>
      <c r="F199" s="250">
        <v>1120.0</v>
      </c>
      <c r="G199" s="254" t="s">
        <v>549</v>
      </c>
      <c r="H199" s="269"/>
      <c r="I199" s="269"/>
      <c r="J199" s="251"/>
    </row>
    <row r="200">
      <c r="A200" s="265"/>
      <c r="B200" s="247">
        <v>4938.15</v>
      </c>
      <c r="C200" s="252"/>
      <c r="D200" s="822"/>
      <c r="F200" s="250"/>
      <c r="G200" s="254" t="s">
        <v>114</v>
      </c>
      <c r="H200" s="269"/>
      <c r="I200" s="269"/>
      <c r="J200" s="251"/>
    </row>
    <row r="201">
      <c r="A201" s="265"/>
      <c r="B201" s="247"/>
      <c r="C201" s="248"/>
      <c r="D201" s="331"/>
      <c r="F201" s="250">
        <f>757+121</f>
        <v>878</v>
      </c>
      <c r="G201" s="254" t="s">
        <v>97</v>
      </c>
      <c r="H201" s="269"/>
      <c r="I201" s="269"/>
      <c r="J201" s="251"/>
    </row>
    <row r="202">
      <c r="A202" s="265"/>
      <c r="B202" s="247">
        <v>6102.03</v>
      </c>
      <c r="C202" s="248"/>
      <c r="D202" s="331"/>
      <c r="F202" s="250"/>
      <c r="G202" s="254" t="s">
        <v>82</v>
      </c>
      <c r="H202" s="269"/>
      <c r="I202" s="269"/>
      <c r="J202" s="251"/>
    </row>
    <row r="203">
      <c r="A203" s="265"/>
      <c r="B203" s="268"/>
      <c r="C203" s="248"/>
      <c r="D203" s="331"/>
      <c r="F203" s="250"/>
      <c r="G203" s="254"/>
      <c r="H203" s="269"/>
      <c r="I203" s="269"/>
      <c r="J203" s="251"/>
    </row>
    <row r="204">
      <c r="A204" s="265"/>
      <c r="B204" s="247"/>
      <c r="C204" s="252"/>
      <c r="D204" s="331"/>
      <c r="F204" s="250"/>
      <c r="G204" s="254"/>
      <c r="H204" s="269"/>
      <c r="I204" s="269"/>
      <c r="J204" s="251"/>
    </row>
    <row r="205">
      <c r="A205" s="265"/>
      <c r="B205" s="268"/>
      <c r="C205" s="248"/>
      <c r="D205" s="331"/>
      <c r="F205" s="250"/>
      <c r="G205" s="254"/>
      <c r="H205" s="254"/>
      <c r="I205" s="269"/>
      <c r="J205" s="251"/>
    </row>
    <row r="206">
      <c r="A206" s="265"/>
      <c r="B206" s="247"/>
      <c r="C206" s="248"/>
      <c r="D206" s="822"/>
      <c r="F206" s="250"/>
      <c r="G206" s="254"/>
      <c r="H206" s="269"/>
      <c r="I206" s="269"/>
      <c r="J206" s="251"/>
    </row>
    <row r="207">
      <c r="A207" s="265"/>
      <c r="B207" s="268"/>
      <c r="C207" s="248"/>
      <c r="D207" s="822"/>
      <c r="F207" s="250"/>
      <c r="G207" s="269"/>
      <c r="H207" s="269"/>
      <c r="I207" s="269"/>
      <c r="J207" s="251"/>
    </row>
    <row r="208">
      <c r="A208" s="265"/>
      <c r="B208" s="247"/>
      <c r="C208" s="248"/>
      <c r="D208" s="822"/>
      <c r="F208" s="250"/>
      <c r="G208" s="269"/>
      <c r="H208" s="269"/>
      <c r="I208" s="269"/>
      <c r="J208" s="251"/>
    </row>
    <row r="209">
      <c r="A209" s="265"/>
      <c r="B209" s="278"/>
      <c r="C209" s="252"/>
      <c r="D209" s="822"/>
      <c r="F209" s="250"/>
      <c r="G209" s="269"/>
      <c r="H209" s="269"/>
      <c r="I209" s="269"/>
      <c r="J209" s="251"/>
    </row>
    <row r="210">
      <c r="A210" s="265"/>
      <c r="B210" s="278"/>
      <c r="C210" s="252"/>
      <c r="D210" s="822"/>
      <c r="F210" s="282"/>
      <c r="G210" s="269"/>
      <c r="H210" s="269"/>
      <c r="I210" s="269"/>
      <c r="J210" s="251"/>
    </row>
    <row r="211">
      <c r="A211" s="270"/>
      <c r="B211" s="271"/>
      <c r="C211" s="272"/>
      <c r="D211" s="823"/>
      <c r="E211" s="18"/>
      <c r="F211" s="274"/>
      <c r="G211" s="275"/>
      <c r="H211" s="275"/>
      <c r="I211" s="275"/>
      <c r="J211" s="261"/>
    </row>
    <row r="212">
      <c r="A212" s="262">
        <v>20.0</v>
      </c>
      <c r="B212" s="239">
        <v>2200.0</v>
      </c>
      <c r="C212" s="263"/>
      <c r="D212" s="824"/>
      <c r="E212" s="242"/>
      <c r="F212" s="243"/>
      <c r="G212" s="276" t="s">
        <v>349</v>
      </c>
      <c r="H212" s="276"/>
      <c r="I212" s="276"/>
      <c r="J212" s="307"/>
    </row>
    <row r="213">
      <c r="A213" s="265"/>
      <c r="B213" s="247">
        <v>12900.0</v>
      </c>
      <c r="C213" s="248"/>
      <c r="D213" s="331"/>
      <c r="F213" s="250"/>
      <c r="G213" s="254" t="s">
        <v>75</v>
      </c>
      <c r="H213" s="269"/>
      <c r="I213" s="269"/>
      <c r="J213" s="251"/>
    </row>
    <row r="214">
      <c r="A214" s="265"/>
      <c r="B214" s="247">
        <v>9652.78</v>
      </c>
      <c r="C214" s="252"/>
      <c r="D214" s="331"/>
      <c r="F214" s="250"/>
      <c r="G214" s="254" t="s">
        <v>114</v>
      </c>
      <c r="H214" s="269"/>
      <c r="I214" s="269"/>
      <c r="J214" s="251"/>
    </row>
    <row r="215">
      <c r="A215" s="265"/>
      <c r="B215" s="247"/>
      <c r="C215" s="248"/>
      <c r="D215" s="331"/>
      <c r="F215" s="250"/>
      <c r="G215" s="254"/>
      <c r="H215" s="269"/>
      <c r="I215" s="269"/>
      <c r="J215" s="251"/>
    </row>
    <row r="216">
      <c r="A216" s="265"/>
      <c r="B216" s="247"/>
      <c r="C216" s="252"/>
      <c r="D216" s="822"/>
      <c r="F216" s="250"/>
      <c r="G216" s="254"/>
      <c r="H216" s="269"/>
      <c r="I216" s="269"/>
      <c r="J216" s="251"/>
    </row>
    <row r="217">
      <c r="A217" s="265"/>
      <c r="B217" s="247"/>
      <c r="C217" s="252"/>
      <c r="D217" s="822"/>
      <c r="F217" s="250"/>
      <c r="G217" s="254"/>
      <c r="H217" s="269"/>
      <c r="I217" s="269"/>
      <c r="J217" s="251"/>
    </row>
    <row r="218">
      <c r="A218" s="265"/>
      <c r="B218" s="247"/>
      <c r="C218" s="252"/>
      <c r="D218" s="822"/>
      <c r="F218" s="250"/>
      <c r="G218" s="254"/>
      <c r="H218" s="269"/>
      <c r="I218" s="269"/>
      <c r="J218" s="251"/>
    </row>
    <row r="219">
      <c r="A219" s="265"/>
      <c r="B219" s="247"/>
      <c r="C219" s="252"/>
      <c r="D219" s="822"/>
      <c r="F219" s="250"/>
      <c r="G219" s="254"/>
      <c r="H219" s="269"/>
      <c r="I219" s="269"/>
      <c r="J219" s="251"/>
    </row>
    <row r="220">
      <c r="A220" s="265"/>
      <c r="B220" s="247"/>
      <c r="C220" s="252"/>
      <c r="D220" s="331"/>
      <c r="F220" s="250"/>
      <c r="G220" s="254"/>
      <c r="H220" s="269"/>
      <c r="I220" s="269"/>
      <c r="J220" s="251"/>
    </row>
    <row r="221">
      <c r="A221" s="265"/>
      <c r="B221" s="278"/>
      <c r="C221" s="252"/>
      <c r="D221" s="822"/>
      <c r="F221" s="250"/>
      <c r="G221" s="254"/>
      <c r="H221" s="269"/>
      <c r="I221" s="269"/>
      <c r="J221" s="251"/>
    </row>
    <row r="222">
      <c r="A222" s="265"/>
      <c r="B222" s="278"/>
      <c r="C222" s="252"/>
      <c r="D222" s="822"/>
      <c r="F222" s="282"/>
      <c r="G222" s="269"/>
      <c r="H222" s="269"/>
      <c r="I222" s="269"/>
      <c r="J222" s="251"/>
    </row>
    <row r="223">
      <c r="A223" s="270"/>
      <c r="B223" s="271"/>
      <c r="C223" s="272"/>
      <c r="D223" s="823"/>
      <c r="E223" s="18"/>
      <c r="F223" s="274"/>
      <c r="G223" s="275"/>
      <c r="H223" s="275"/>
      <c r="I223" s="275"/>
      <c r="J223" s="261"/>
    </row>
    <row r="224">
      <c r="A224" s="262">
        <v>21.0</v>
      </c>
      <c r="B224" s="239">
        <v>5946.0</v>
      </c>
      <c r="C224" s="240"/>
      <c r="D224" s="821"/>
      <c r="E224" s="242"/>
      <c r="F224" s="243"/>
      <c r="G224" s="276" t="s">
        <v>2841</v>
      </c>
      <c r="H224" s="276"/>
      <c r="I224" s="276"/>
      <c r="J224" s="307"/>
    </row>
    <row r="225">
      <c r="A225" s="265"/>
      <c r="B225" s="247"/>
      <c r="C225" s="252"/>
      <c r="D225" s="331"/>
      <c r="F225" s="250">
        <v>8000.0</v>
      </c>
      <c r="G225" s="254" t="s">
        <v>128</v>
      </c>
      <c r="H225" s="254"/>
      <c r="I225" s="269"/>
      <c r="J225" s="251"/>
    </row>
    <row r="226">
      <c r="A226" s="265"/>
      <c r="B226" s="247"/>
      <c r="C226" s="252"/>
      <c r="D226" s="331">
        <v>69676.84</v>
      </c>
      <c r="F226" s="250"/>
      <c r="G226" s="254" t="s">
        <v>71</v>
      </c>
      <c r="H226" s="269"/>
      <c r="I226" s="269"/>
      <c r="J226" s="251"/>
    </row>
    <row r="227">
      <c r="A227" s="265"/>
      <c r="B227" s="247"/>
      <c r="C227" s="248"/>
      <c r="D227" s="822"/>
      <c r="F227" s="250">
        <v>18600.0</v>
      </c>
      <c r="G227" s="254" t="s">
        <v>87</v>
      </c>
      <c r="H227" s="269"/>
      <c r="I227" s="269"/>
      <c r="J227" s="251"/>
    </row>
    <row r="228">
      <c r="A228" s="265"/>
      <c r="B228" s="247"/>
      <c r="C228" s="248"/>
      <c r="D228" s="822"/>
      <c r="F228" s="250"/>
      <c r="G228" s="254"/>
      <c r="H228" s="269"/>
      <c r="I228" s="269"/>
      <c r="J228" s="251"/>
    </row>
    <row r="229">
      <c r="A229" s="265"/>
      <c r="B229" s="247"/>
      <c r="C229" s="248"/>
      <c r="D229" s="331"/>
      <c r="F229" s="250"/>
      <c r="G229" s="254"/>
      <c r="H229" s="269"/>
      <c r="I229" s="269"/>
      <c r="J229" s="251"/>
    </row>
    <row r="230">
      <c r="A230" s="265"/>
      <c r="B230" s="247"/>
      <c r="C230" s="252"/>
      <c r="D230" s="822"/>
      <c r="F230" s="250"/>
      <c r="G230" s="254"/>
      <c r="H230" s="269"/>
      <c r="I230" s="269"/>
      <c r="J230" s="251"/>
    </row>
    <row r="231">
      <c r="A231" s="265"/>
      <c r="B231" s="247"/>
      <c r="C231" s="252"/>
      <c r="D231" s="822"/>
      <c r="F231" s="250"/>
      <c r="G231" s="254"/>
      <c r="H231" s="269"/>
      <c r="I231" s="269"/>
      <c r="J231" s="251"/>
    </row>
    <row r="232">
      <c r="A232" s="265"/>
      <c r="B232" s="247"/>
      <c r="C232" s="252"/>
      <c r="D232" s="822"/>
      <c r="F232" s="250"/>
      <c r="G232" s="254"/>
      <c r="H232" s="269"/>
      <c r="I232" s="269"/>
      <c r="J232" s="251"/>
    </row>
    <row r="233">
      <c r="A233" s="265"/>
      <c r="B233" s="247"/>
      <c r="C233" s="252"/>
      <c r="D233" s="822"/>
      <c r="F233" s="250"/>
      <c r="G233" s="254"/>
      <c r="H233" s="269"/>
      <c r="I233" s="269"/>
      <c r="J233" s="251"/>
    </row>
    <row r="234">
      <c r="A234" s="265"/>
      <c r="B234" s="268"/>
      <c r="C234" s="252"/>
      <c r="D234" s="822"/>
      <c r="F234" s="250"/>
      <c r="G234" s="254"/>
      <c r="H234" s="269"/>
      <c r="I234" s="269"/>
      <c r="J234" s="251"/>
    </row>
    <row r="235">
      <c r="A235" s="265"/>
      <c r="B235" s="277"/>
      <c r="C235" s="252"/>
      <c r="D235" s="822"/>
      <c r="F235" s="282"/>
      <c r="G235" s="269"/>
      <c r="H235" s="269"/>
      <c r="I235" s="269"/>
      <c r="J235" s="251"/>
    </row>
    <row r="236">
      <c r="A236" s="265"/>
      <c r="B236" s="278"/>
      <c r="C236" s="252"/>
      <c r="D236" s="822"/>
      <c r="F236" s="282"/>
      <c r="G236" s="269"/>
      <c r="H236" s="269"/>
      <c r="I236" s="269"/>
      <c r="J236" s="251"/>
    </row>
    <row r="237">
      <c r="A237" s="265"/>
      <c r="B237" s="278"/>
      <c r="C237" s="252"/>
      <c r="D237" s="822"/>
      <c r="F237" s="282"/>
      <c r="G237" s="269"/>
      <c r="H237" s="269"/>
      <c r="I237" s="269"/>
      <c r="J237" s="251"/>
    </row>
    <row r="238">
      <c r="A238" s="270"/>
      <c r="B238" s="271"/>
      <c r="C238" s="272"/>
      <c r="D238" s="823"/>
      <c r="E238" s="18"/>
      <c r="F238" s="274"/>
      <c r="G238" s="275"/>
      <c r="H238" s="275"/>
      <c r="I238" s="275"/>
      <c r="J238" s="261"/>
    </row>
    <row r="239">
      <c r="A239" s="262">
        <v>22.0</v>
      </c>
      <c r="B239" s="239"/>
      <c r="C239" s="263"/>
      <c r="D239" s="824"/>
      <c r="E239" s="242"/>
      <c r="F239" s="243"/>
      <c r="G239" s="276"/>
      <c r="H239" s="276"/>
      <c r="I239" s="276"/>
      <c r="J239" s="307"/>
    </row>
    <row r="240">
      <c r="A240" s="265"/>
      <c r="B240" s="247"/>
      <c r="C240" s="252"/>
      <c r="D240" s="822"/>
      <c r="F240" s="250"/>
      <c r="G240" s="254"/>
      <c r="H240" s="269"/>
      <c r="I240" s="269"/>
      <c r="J240" s="251"/>
    </row>
    <row r="241">
      <c r="A241" s="265"/>
      <c r="B241" s="247"/>
      <c r="C241" s="252"/>
      <c r="D241" s="822"/>
      <c r="F241" s="250"/>
      <c r="G241" s="254"/>
      <c r="H241" s="254"/>
      <c r="I241" s="269"/>
      <c r="J241" s="251"/>
    </row>
    <row r="242">
      <c r="A242" s="265"/>
      <c r="B242" s="247"/>
      <c r="C242" s="248"/>
      <c r="D242" s="822"/>
      <c r="F242" s="250"/>
      <c r="G242" s="254"/>
      <c r="H242" s="269"/>
      <c r="I242" s="269"/>
      <c r="J242" s="251"/>
    </row>
    <row r="243">
      <c r="A243" s="265"/>
      <c r="B243" s="247"/>
      <c r="C243" s="252"/>
      <c r="D243" s="822"/>
      <c r="F243" s="250"/>
      <c r="G243" s="254"/>
      <c r="H243" s="269"/>
      <c r="I243" s="269"/>
      <c r="J243" s="267"/>
    </row>
    <row r="244">
      <c r="A244" s="265"/>
      <c r="B244" s="247"/>
      <c r="C244" s="248"/>
      <c r="D244" s="822"/>
      <c r="F244" s="250"/>
      <c r="G244" s="254"/>
      <c r="H244" s="269"/>
      <c r="I244" s="269"/>
      <c r="J244" s="251"/>
    </row>
    <row r="245">
      <c r="A245" s="265"/>
      <c r="B245" s="247"/>
      <c r="C245" s="248"/>
      <c r="D245" s="822"/>
      <c r="F245" s="250"/>
      <c r="G245" s="254"/>
      <c r="H245" s="269"/>
      <c r="I245" s="269"/>
      <c r="J245" s="251"/>
    </row>
    <row r="246">
      <c r="A246" s="265"/>
      <c r="B246" s="268"/>
      <c r="C246" s="252"/>
      <c r="D246" s="822"/>
      <c r="F246" s="250"/>
      <c r="G246" s="254"/>
      <c r="H246" s="269"/>
      <c r="I246" s="269"/>
      <c r="J246" s="251"/>
    </row>
    <row r="247">
      <c r="A247" s="265"/>
      <c r="B247" s="247"/>
      <c r="C247" s="252"/>
      <c r="D247" s="822"/>
      <c r="F247" s="250"/>
      <c r="G247" s="254"/>
      <c r="H247" s="269"/>
      <c r="I247" s="269"/>
      <c r="J247" s="251"/>
    </row>
    <row r="248">
      <c r="A248" s="265"/>
      <c r="B248" s="247"/>
      <c r="C248" s="252"/>
      <c r="D248" s="822"/>
      <c r="F248" s="250"/>
      <c r="G248" s="254"/>
      <c r="H248" s="269"/>
      <c r="I248" s="269"/>
      <c r="J248" s="251"/>
    </row>
    <row r="249">
      <c r="A249" s="265"/>
      <c r="B249" s="278"/>
      <c r="C249" s="252"/>
      <c r="D249" s="822"/>
      <c r="F249" s="250"/>
      <c r="G249" s="269"/>
      <c r="H249" s="269"/>
      <c r="I249" s="269"/>
      <c r="J249" s="251"/>
    </row>
    <row r="250">
      <c r="A250" s="265"/>
      <c r="B250" s="278"/>
      <c r="C250" s="252"/>
      <c r="D250" s="822"/>
      <c r="F250" s="250"/>
      <c r="G250" s="269"/>
      <c r="H250" s="269"/>
      <c r="I250" s="269"/>
      <c r="J250" s="251"/>
    </row>
    <row r="251">
      <c r="A251" s="265"/>
      <c r="B251" s="278"/>
      <c r="C251" s="252"/>
      <c r="D251" s="822"/>
      <c r="F251" s="250"/>
      <c r="G251" s="269"/>
      <c r="H251" s="269"/>
      <c r="I251" s="269"/>
      <c r="J251" s="251"/>
    </row>
    <row r="252">
      <c r="A252" s="270"/>
      <c r="B252" s="271"/>
      <c r="C252" s="272"/>
      <c r="D252" s="823"/>
      <c r="E252" s="18"/>
      <c r="F252" s="274"/>
      <c r="G252" s="275"/>
      <c r="H252" s="275"/>
      <c r="I252" s="275"/>
      <c r="J252" s="261"/>
    </row>
    <row r="253">
      <c r="A253" s="262">
        <v>23.0</v>
      </c>
      <c r="B253" s="239"/>
      <c r="C253" s="263"/>
      <c r="D253" s="821">
        <v>12270.0</v>
      </c>
      <c r="E253" s="242"/>
      <c r="F253" s="243"/>
      <c r="G253" s="276" t="s">
        <v>75</v>
      </c>
      <c r="H253" s="276"/>
      <c r="I253" s="276"/>
      <c r="J253" s="307"/>
    </row>
    <row r="254">
      <c r="A254" s="265"/>
      <c r="B254" s="247">
        <v>10137.67</v>
      </c>
      <c r="C254" s="248"/>
      <c r="D254" s="822"/>
      <c r="F254" s="250"/>
      <c r="G254" s="254" t="s">
        <v>114</v>
      </c>
      <c r="H254" s="269"/>
      <c r="I254" s="269"/>
      <c r="J254" s="251"/>
    </row>
    <row r="255">
      <c r="A255" s="265"/>
      <c r="B255" s="247">
        <v>6102.0</v>
      </c>
      <c r="C255" s="252"/>
      <c r="D255" s="822"/>
      <c r="F255" s="250"/>
      <c r="G255" s="254" t="s">
        <v>82</v>
      </c>
      <c r="H255" s="269"/>
      <c r="I255" s="269"/>
      <c r="J255" s="251"/>
    </row>
    <row r="256">
      <c r="A256" s="265"/>
      <c r="B256" s="247"/>
      <c r="C256" s="248"/>
      <c r="D256" s="331">
        <v>25777.3</v>
      </c>
      <c r="F256" s="250"/>
      <c r="G256" s="254" t="s">
        <v>73</v>
      </c>
      <c r="H256" s="269"/>
      <c r="I256" s="269"/>
      <c r="J256" s="251"/>
    </row>
    <row r="257">
      <c r="A257" s="265"/>
      <c r="B257" s="247">
        <v>17960.0</v>
      </c>
      <c r="C257" s="248"/>
      <c r="D257" s="331"/>
      <c r="F257" s="250"/>
      <c r="G257" s="254" t="s">
        <v>74</v>
      </c>
      <c r="H257" s="269"/>
      <c r="I257" s="269"/>
      <c r="J257" s="251"/>
    </row>
    <row r="258">
      <c r="A258" s="265"/>
      <c r="B258" s="247">
        <v>4580.0</v>
      </c>
      <c r="C258" s="248"/>
      <c r="D258" s="331"/>
      <c r="F258" s="250"/>
      <c r="G258" s="254" t="s">
        <v>2842</v>
      </c>
      <c r="H258" s="269"/>
      <c r="I258" s="269"/>
      <c r="J258" s="251"/>
    </row>
    <row r="259">
      <c r="A259" s="265"/>
      <c r="B259" s="247">
        <v>30201.6</v>
      </c>
      <c r="C259" s="252"/>
      <c r="D259" s="331"/>
      <c r="F259" s="250"/>
      <c r="G259" s="254" t="s">
        <v>92</v>
      </c>
      <c r="H259" s="269"/>
      <c r="I259" s="269"/>
      <c r="J259" s="251"/>
    </row>
    <row r="260">
      <c r="A260" s="265"/>
      <c r="B260" s="247"/>
      <c r="C260" s="252"/>
      <c r="D260" s="822"/>
      <c r="F260" s="250">
        <v>875.0</v>
      </c>
      <c r="G260" s="254" t="s">
        <v>2843</v>
      </c>
      <c r="H260" s="269"/>
      <c r="I260" s="269"/>
      <c r="J260" s="251"/>
    </row>
    <row r="261">
      <c r="A261" s="265"/>
      <c r="B261" s="247"/>
      <c r="C261" s="252"/>
      <c r="D261" s="822"/>
      <c r="F261" s="250"/>
      <c r="G261" s="254"/>
      <c r="H261" s="269"/>
      <c r="I261" s="269"/>
      <c r="J261" s="251"/>
    </row>
    <row r="262">
      <c r="A262" s="265"/>
      <c r="B262" s="247"/>
      <c r="C262" s="252"/>
      <c r="D262" s="822"/>
      <c r="F262" s="250"/>
      <c r="G262" s="254"/>
      <c r="H262" s="269"/>
      <c r="I262" s="269"/>
      <c r="J262" s="251"/>
    </row>
    <row r="263">
      <c r="A263" s="265"/>
      <c r="B263" s="268"/>
      <c r="C263" s="252"/>
      <c r="D263" s="822"/>
      <c r="F263" s="250"/>
      <c r="G263" s="254"/>
      <c r="H263" s="269"/>
      <c r="I263" s="269"/>
      <c r="J263" s="267"/>
    </row>
    <row r="264">
      <c r="A264" s="265"/>
      <c r="B264" s="268"/>
      <c r="C264" s="252"/>
      <c r="D264" s="822"/>
      <c r="F264" s="250"/>
      <c r="G264" s="254"/>
      <c r="H264" s="269"/>
      <c r="I264" s="269"/>
      <c r="J264" s="251"/>
    </row>
    <row r="265">
      <c r="A265" s="265"/>
      <c r="B265" s="268"/>
      <c r="C265" s="252"/>
      <c r="D265" s="822"/>
      <c r="F265" s="250"/>
      <c r="G265" s="254"/>
      <c r="H265" s="269"/>
      <c r="I265" s="269"/>
      <c r="J265" s="251"/>
    </row>
    <row r="266">
      <c r="A266" s="270"/>
      <c r="B266" s="271"/>
      <c r="C266" s="272"/>
      <c r="D266" s="823"/>
      <c r="E266" s="18"/>
      <c r="F266" s="259"/>
      <c r="G266" s="260"/>
      <c r="H266" s="260"/>
      <c r="I266" s="275"/>
      <c r="J266" s="261"/>
    </row>
    <row r="267">
      <c r="A267" s="262">
        <v>24.0</v>
      </c>
      <c r="B267" s="239"/>
      <c r="C267" s="263"/>
      <c r="D267" s="821"/>
      <c r="E267" s="242"/>
      <c r="F267" s="243">
        <v>250.0</v>
      </c>
      <c r="G267" s="276" t="s">
        <v>2844</v>
      </c>
      <c r="H267" s="276"/>
      <c r="I267" s="276"/>
      <c r="J267" s="307"/>
    </row>
    <row r="268">
      <c r="A268" s="265"/>
      <c r="B268" s="247"/>
      <c r="C268" s="252"/>
      <c r="D268" s="822"/>
      <c r="F268" s="250">
        <v>4800.0</v>
      </c>
      <c r="G268" s="254" t="s">
        <v>68</v>
      </c>
      <c r="H268" s="269"/>
      <c r="I268" s="269"/>
      <c r="J268" s="251"/>
    </row>
    <row r="269">
      <c r="A269" s="265"/>
      <c r="B269" s="247"/>
      <c r="C269" s="248"/>
      <c r="D269" s="331">
        <v>16640.0</v>
      </c>
      <c r="F269" s="250"/>
      <c r="G269" s="254" t="s">
        <v>122</v>
      </c>
      <c r="H269" s="254"/>
      <c r="I269" s="269"/>
      <c r="J269" s="251"/>
    </row>
    <row r="270">
      <c r="A270" s="265"/>
      <c r="B270" s="247"/>
      <c r="C270" s="252"/>
      <c r="D270" s="331">
        <v>12987.9</v>
      </c>
      <c r="F270" s="250"/>
      <c r="G270" s="254" t="s">
        <v>114</v>
      </c>
      <c r="H270" s="254"/>
      <c r="I270" s="269"/>
      <c r="J270" s="251"/>
    </row>
    <row r="271">
      <c r="A271" s="265"/>
      <c r="B271" s="247"/>
      <c r="C271" s="248"/>
      <c r="D271" s="822"/>
      <c r="F271" s="250">
        <v>18600.0</v>
      </c>
      <c r="G271" s="254" t="s">
        <v>87</v>
      </c>
      <c r="H271" s="269"/>
      <c r="I271" s="269"/>
      <c r="J271" s="251"/>
    </row>
    <row r="272">
      <c r="A272" s="265"/>
      <c r="B272" s="247"/>
      <c r="C272" s="248">
        <v>40994.92</v>
      </c>
      <c r="D272" s="331"/>
      <c r="F272" s="250"/>
      <c r="G272" s="254" t="s">
        <v>84</v>
      </c>
      <c r="H272" s="269"/>
      <c r="I272" s="269"/>
      <c r="J272" s="251"/>
    </row>
    <row r="273">
      <c r="A273" s="265"/>
      <c r="B273" s="247">
        <v>11100.0</v>
      </c>
      <c r="C273" s="252"/>
      <c r="D273" s="822"/>
      <c r="F273" s="250"/>
      <c r="G273" s="254" t="s">
        <v>76</v>
      </c>
      <c r="H273" s="254"/>
      <c r="I273" s="269"/>
      <c r="J273" s="251"/>
    </row>
    <row r="274">
      <c r="A274" s="265"/>
      <c r="B274" s="247">
        <v>13000.0</v>
      </c>
      <c r="C274" s="248"/>
      <c r="D274" s="331"/>
      <c r="F274" s="250"/>
      <c r="G274" s="254" t="s">
        <v>394</v>
      </c>
      <c r="H274" s="254"/>
      <c r="I274" s="269"/>
      <c r="J274" s="251"/>
    </row>
    <row r="275">
      <c r="A275" s="265"/>
      <c r="B275" s="268"/>
      <c r="C275" s="248"/>
      <c r="D275" s="822"/>
      <c r="F275" s="250">
        <v>8000.0</v>
      </c>
      <c r="G275" s="254" t="s">
        <v>1105</v>
      </c>
      <c r="H275" s="269"/>
      <c r="I275" s="269"/>
      <c r="J275" s="251"/>
    </row>
    <row r="276">
      <c r="A276" s="265"/>
      <c r="B276" s="268"/>
      <c r="C276" s="252"/>
      <c r="D276" s="822"/>
      <c r="F276" s="250"/>
      <c r="G276" s="269"/>
      <c r="H276" s="269"/>
      <c r="I276" s="269"/>
      <c r="J276" s="251"/>
    </row>
    <row r="277">
      <c r="A277" s="265"/>
      <c r="B277" s="268"/>
      <c r="C277" s="252"/>
      <c r="D277" s="822"/>
      <c r="F277" s="250"/>
      <c r="G277" s="269"/>
      <c r="H277" s="269"/>
      <c r="I277" s="269"/>
      <c r="J277" s="251"/>
    </row>
    <row r="278">
      <c r="A278" s="265"/>
      <c r="B278" s="268"/>
      <c r="C278" s="252"/>
      <c r="D278" s="822"/>
      <c r="F278" s="250"/>
      <c r="G278" s="269"/>
      <c r="H278" s="269"/>
      <c r="I278" s="269"/>
      <c r="J278" s="251"/>
    </row>
    <row r="279">
      <c r="A279" s="270"/>
      <c r="B279" s="271"/>
      <c r="C279" s="272"/>
      <c r="D279" s="823"/>
      <c r="E279" s="18"/>
      <c r="F279" s="259"/>
      <c r="G279" s="260"/>
      <c r="H279" s="260"/>
      <c r="I279" s="275"/>
      <c r="J279" s="261"/>
    </row>
    <row r="280">
      <c r="A280" s="262">
        <v>25.0</v>
      </c>
      <c r="B280" s="239">
        <v>6913.29</v>
      </c>
      <c r="C280" s="263"/>
      <c r="D280" s="824"/>
      <c r="E280" s="242"/>
      <c r="F280" s="243"/>
      <c r="G280" s="276" t="s">
        <v>82</v>
      </c>
      <c r="H280" s="276"/>
      <c r="I280" s="276"/>
      <c r="J280" s="307"/>
    </row>
    <row r="281">
      <c r="A281" s="265"/>
      <c r="B281" s="247"/>
      <c r="C281" s="252"/>
      <c r="D281" s="822"/>
      <c r="F281" s="250"/>
      <c r="G281" s="254" t="s">
        <v>2845</v>
      </c>
      <c r="H281" s="254">
        <v>36124.8</v>
      </c>
      <c r="I281" s="269"/>
      <c r="J281" s="251"/>
    </row>
    <row r="282">
      <c r="A282" s="265"/>
      <c r="B282" s="247"/>
      <c r="C282" s="252"/>
      <c r="D282" s="822"/>
      <c r="F282" s="250">
        <v>1000.0</v>
      </c>
      <c r="G282" s="254" t="s">
        <v>2846</v>
      </c>
      <c r="H282" s="269"/>
      <c r="I282" s="269"/>
      <c r="J282" s="251"/>
    </row>
    <row r="283">
      <c r="A283" s="265"/>
      <c r="B283" s="268"/>
      <c r="C283" s="248"/>
      <c r="D283" s="331"/>
      <c r="F283" s="250"/>
      <c r="G283" s="254"/>
      <c r="H283" s="254"/>
      <c r="I283" s="269"/>
      <c r="J283" s="251"/>
    </row>
    <row r="284">
      <c r="A284" s="265"/>
      <c r="B284" s="247"/>
      <c r="C284" s="252"/>
      <c r="D284" s="331"/>
      <c r="F284" s="250"/>
      <c r="G284" s="254"/>
      <c r="H284" s="254"/>
      <c r="I284" s="269"/>
      <c r="J284" s="251"/>
    </row>
    <row r="285">
      <c r="A285" s="265"/>
      <c r="B285" s="247"/>
      <c r="C285" s="248"/>
      <c r="D285" s="331"/>
      <c r="F285" s="250"/>
      <c r="G285" s="254"/>
      <c r="H285" s="254"/>
      <c r="I285" s="269"/>
      <c r="J285" s="251"/>
    </row>
    <row r="286">
      <c r="A286" s="265"/>
      <c r="B286" s="247"/>
      <c r="C286" s="248"/>
      <c r="D286" s="331"/>
      <c r="F286" s="250"/>
      <c r="G286" s="254"/>
      <c r="H286" s="254"/>
      <c r="I286" s="269"/>
      <c r="J286" s="251"/>
    </row>
    <row r="287">
      <c r="A287" s="265"/>
      <c r="B287" s="247"/>
      <c r="C287" s="248"/>
      <c r="D287" s="331"/>
      <c r="F287" s="250"/>
      <c r="G287" s="254"/>
      <c r="H287" s="269"/>
      <c r="I287" s="269"/>
      <c r="J287" s="251"/>
    </row>
    <row r="288">
      <c r="A288" s="265"/>
      <c r="B288" s="268"/>
      <c r="C288" s="252"/>
      <c r="D288" s="331"/>
      <c r="F288" s="250"/>
      <c r="G288" s="254"/>
      <c r="H288" s="269"/>
      <c r="I288" s="269"/>
      <c r="J288" s="251"/>
    </row>
    <row r="289">
      <c r="A289" s="265"/>
      <c r="B289" s="247"/>
      <c r="C289" s="252"/>
      <c r="D289" s="331"/>
      <c r="F289" s="250"/>
      <c r="G289" s="254"/>
      <c r="H289" s="269"/>
      <c r="I289" s="269"/>
      <c r="J289" s="251"/>
    </row>
    <row r="290">
      <c r="A290" s="265"/>
      <c r="B290" s="268"/>
      <c r="C290" s="252"/>
      <c r="D290" s="822"/>
      <c r="F290" s="250"/>
      <c r="G290" s="269"/>
      <c r="H290" s="269"/>
      <c r="I290" s="269"/>
      <c r="J290" s="251"/>
    </row>
    <row r="291">
      <c r="A291" s="265"/>
      <c r="B291" s="268"/>
      <c r="C291" s="252"/>
      <c r="D291" s="822"/>
      <c r="F291" s="250"/>
      <c r="G291" s="269"/>
      <c r="H291" s="269"/>
      <c r="I291" s="269"/>
      <c r="J291" s="251"/>
    </row>
    <row r="292">
      <c r="A292" s="265"/>
      <c r="B292" s="268"/>
      <c r="C292" s="252"/>
      <c r="D292" s="822"/>
      <c r="F292" s="250"/>
      <c r="G292" s="269"/>
      <c r="H292" s="269"/>
      <c r="I292" s="269"/>
      <c r="J292" s="251"/>
    </row>
    <row r="293">
      <c r="A293" s="270"/>
      <c r="B293" s="271"/>
      <c r="C293" s="272"/>
      <c r="D293" s="823"/>
      <c r="E293" s="18"/>
      <c r="F293" s="274"/>
      <c r="G293" s="275"/>
      <c r="H293" s="275"/>
      <c r="I293" s="275"/>
      <c r="J293" s="261"/>
    </row>
    <row r="294">
      <c r="A294" s="262">
        <v>26.0</v>
      </c>
      <c r="B294" s="239">
        <v>2997.0</v>
      </c>
      <c r="C294" s="263"/>
      <c r="D294" s="824"/>
      <c r="E294" s="242"/>
      <c r="F294" s="243"/>
      <c r="G294" s="276" t="s">
        <v>2847</v>
      </c>
      <c r="H294" s="276"/>
      <c r="I294" s="276"/>
      <c r="J294" s="307"/>
    </row>
    <row r="295">
      <c r="A295" s="265"/>
      <c r="B295" s="247"/>
      <c r="C295" s="248"/>
      <c r="D295" s="822"/>
      <c r="F295" s="250"/>
      <c r="G295" s="254" t="s">
        <v>615</v>
      </c>
      <c r="H295" s="254">
        <v>10228.95</v>
      </c>
      <c r="I295" s="269"/>
      <c r="J295" s="251"/>
    </row>
    <row r="296">
      <c r="A296" s="265"/>
      <c r="B296" s="247"/>
      <c r="C296" s="248"/>
      <c r="D296" s="822"/>
      <c r="F296" s="250">
        <f>210+126</f>
        <v>336</v>
      </c>
      <c r="G296" s="254" t="s">
        <v>97</v>
      </c>
      <c r="H296" s="269"/>
      <c r="I296" s="269"/>
      <c r="J296" s="251"/>
    </row>
    <row r="297">
      <c r="A297" s="265"/>
      <c r="B297" s="247"/>
      <c r="C297" s="248"/>
      <c r="D297" s="822"/>
      <c r="F297" s="250">
        <v>3800.0</v>
      </c>
      <c r="G297" s="254" t="s">
        <v>344</v>
      </c>
      <c r="H297" s="269"/>
      <c r="I297" s="269"/>
      <c r="J297" s="251"/>
    </row>
    <row r="298">
      <c r="A298" s="265"/>
      <c r="B298" s="247"/>
      <c r="C298" s="252"/>
      <c r="D298" s="822"/>
      <c r="F298" s="250"/>
      <c r="G298" s="254"/>
      <c r="H298" s="269"/>
      <c r="I298" s="269"/>
      <c r="J298" s="251"/>
    </row>
    <row r="299">
      <c r="A299" s="265"/>
      <c r="B299" s="247"/>
      <c r="C299" s="248"/>
      <c r="D299" s="822"/>
      <c r="F299" s="250"/>
      <c r="G299" s="254"/>
      <c r="H299" s="269"/>
      <c r="I299" s="269"/>
      <c r="J299" s="251"/>
    </row>
    <row r="300">
      <c r="A300" s="265"/>
      <c r="B300" s="247"/>
      <c r="C300" s="248"/>
      <c r="D300" s="822"/>
      <c r="F300" s="250"/>
      <c r="G300" s="254"/>
      <c r="H300" s="269"/>
      <c r="I300" s="269"/>
      <c r="J300" s="251"/>
    </row>
    <row r="301">
      <c r="A301" s="265"/>
      <c r="B301" s="247"/>
      <c r="C301" s="252"/>
      <c r="D301" s="822"/>
      <c r="F301" s="250"/>
      <c r="G301" s="254"/>
      <c r="H301" s="269"/>
      <c r="I301" s="269"/>
      <c r="J301" s="251"/>
    </row>
    <row r="302">
      <c r="A302" s="265"/>
      <c r="B302" s="247"/>
      <c r="C302" s="252"/>
      <c r="D302" s="822"/>
      <c r="F302" s="250"/>
      <c r="G302" s="254"/>
      <c r="H302" s="269"/>
      <c r="I302" s="269"/>
      <c r="J302" s="251"/>
    </row>
    <row r="303">
      <c r="A303" s="265"/>
      <c r="B303" s="268"/>
      <c r="C303" s="252"/>
      <c r="D303" s="822"/>
      <c r="F303" s="250"/>
      <c r="G303" s="254"/>
      <c r="H303" s="269"/>
      <c r="I303" s="269"/>
      <c r="J303" s="251"/>
    </row>
    <row r="304">
      <c r="A304" s="265"/>
      <c r="B304" s="268"/>
      <c r="C304" s="252"/>
      <c r="D304" s="822"/>
      <c r="F304" s="250"/>
      <c r="G304" s="254"/>
      <c r="H304" s="254"/>
      <c r="I304" s="269"/>
      <c r="J304" s="251"/>
    </row>
    <row r="305">
      <c r="A305" s="265"/>
      <c r="B305" s="268"/>
      <c r="C305" s="252"/>
      <c r="D305" s="822"/>
      <c r="F305" s="250"/>
      <c r="G305" s="269"/>
      <c r="H305" s="269"/>
      <c r="I305" s="269"/>
      <c r="J305" s="251"/>
    </row>
    <row r="306">
      <c r="A306" s="265"/>
      <c r="B306" s="268"/>
      <c r="C306" s="252"/>
      <c r="D306" s="822"/>
      <c r="F306" s="250"/>
      <c r="G306" s="269"/>
      <c r="H306" s="269"/>
      <c r="I306" s="269"/>
      <c r="J306" s="251"/>
    </row>
    <row r="307">
      <c r="A307" s="265"/>
      <c r="B307" s="268"/>
      <c r="C307" s="252"/>
      <c r="D307" s="822"/>
      <c r="F307" s="250"/>
      <c r="G307" s="269"/>
      <c r="H307" s="269"/>
      <c r="I307" s="269"/>
      <c r="J307" s="251"/>
    </row>
    <row r="308">
      <c r="A308" s="270"/>
      <c r="B308" s="271"/>
      <c r="C308" s="272"/>
      <c r="D308" s="823"/>
      <c r="E308" s="18"/>
      <c r="F308" s="274"/>
      <c r="G308" s="275"/>
      <c r="H308" s="275"/>
      <c r="I308" s="275"/>
      <c r="J308" s="261"/>
    </row>
    <row r="309">
      <c r="A309" s="262">
        <v>27.0</v>
      </c>
      <c r="B309" s="239">
        <v>4068.02</v>
      </c>
      <c r="C309" s="240"/>
      <c r="D309" s="821"/>
      <c r="E309" s="242"/>
      <c r="F309" s="250"/>
      <c r="G309" s="254" t="s">
        <v>82</v>
      </c>
      <c r="H309" s="269"/>
      <c r="I309" s="269"/>
      <c r="J309" s="307"/>
    </row>
    <row r="310">
      <c r="A310" s="265"/>
      <c r="B310" s="247"/>
      <c r="C310" s="252"/>
      <c r="D310" s="822"/>
      <c r="F310" s="250">
        <v>7200.0</v>
      </c>
      <c r="G310" s="254" t="s">
        <v>2848</v>
      </c>
      <c r="H310" s="269"/>
      <c r="I310" s="269"/>
      <c r="J310" s="251"/>
    </row>
    <row r="311">
      <c r="A311" s="265"/>
      <c r="B311" s="247">
        <v>6140.0</v>
      </c>
      <c r="C311" s="248"/>
      <c r="D311" s="331"/>
      <c r="F311" s="250"/>
      <c r="G311" s="254" t="s">
        <v>2849</v>
      </c>
      <c r="H311" s="269"/>
      <c r="I311" s="269"/>
      <c r="J311" s="251"/>
    </row>
    <row r="312">
      <c r="A312" s="265"/>
      <c r="B312" s="247"/>
      <c r="C312" s="248"/>
      <c r="D312" s="822"/>
      <c r="F312" s="250">
        <v>281.0</v>
      </c>
      <c r="G312" s="254" t="s">
        <v>97</v>
      </c>
      <c r="H312" s="269"/>
      <c r="I312" s="269"/>
      <c r="J312" s="251"/>
    </row>
    <row r="313">
      <c r="A313" s="265"/>
      <c r="B313" s="247"/>
      <c r="C313" s="252"/>
      <c r="D313" s="822"/>
      <c r="F313" s="250">
        <v>3246.0</v>
      </c>
      <c r="G313" s="254" t="s">
        <v>549</v>
      </c>
      <c r="H313" s="269"/>
      <c r="I313" s="269"/>
      <c r="J313" s="251"/>
    </row>
    <row r="314">
      <c r="A314" s="265"/>
      <c r="B314" s="247"/>
      <c r="C314" s="252"/>
      <c r="D314" s="822"/>
      <c r="F314" s="250"/>
      <c r="G314" s="254"/>
      <c r="H314" s="269"/>
      <c r="I314" s="269"/>
      <c r="J314" s="251"/>
    </row>
    <row r="315">
      <c r="A315" s="265"/>
      <c r="B315" s="247"/>
      <c r="C315" s="252"/>
      <c r="D315" s="331"/>
      <c r="F315" s="250"/>
      <c r="G315" s="269"/>
      <c r="H315" s="269"/>
      <c r="I315" s="269"/>
      <c r="J315" s="251"/>
    </row>
    <row r="316">
      <c r="A316" s="265"/>
      <c r="B316" s="247"/>
      <c r="C316" s="252"/>
      <c r="D316" s="822"/>
      <c r="F316" s="250"/>
      <c r="G316" s="269"/>
      <c r="H316" s="269"/>
      <c r="I316" s="269"/>
      <c r="J316" s="251"/>
    </row>
    <row r="317">
      <c r="A317" s="265"/>
      <c r="B317" s="268"/>
      <c r="C317" s="252"/>
      <c r="D317" s="822"/>
      <c r="F317" s="250"/>
      <c r="G317" s="269"/>
      <c r="H317" s="269"/>
      <c r="I317" s="269"/>
      <c r="J317" s="251"/>
    </row>
    <row r="318">
      <c r="A318" s="265"/>
      <c r="B318" s="268"/>
      <c r="C318" s="252"/>
      <c r="D318" s="822"/>
      <c r="F318" s="250"/>
      <c r="G318" s="269"/>
      <c r="H318" s="269"/>
      <c r="I318" s="269"/>
      <c r="J318" s="251"/>
    </row>
    <row r="319">
      <c r="A319" s="265"/>
      <c r="B319" s="268"/>
      <c r="C319" s="252"/>
      <c r="D319" s="822"/>
      <c r="F319" s="250"/>
      <c r="G319" s="269"/>
      <c r="H319" s="269"/>
      <c r="I319" s="269"/>
      <c r="J319" s="251"/>
    </row>
    <row r="320">
      <c r="A320" s="265"/>
      <c r="B320" s="247"/>
      <c r="C320" s="252"/>
      <c r="D320" s="822"/>
      <c r="F320" s="250"/>
      <c r="G320" s="269"/>
      <c r="H320" s="269"/>
      <c r="I320" s="269"/>
      <c r="J320" s="251"/>
    </row>
    <row r="321">
      <c r="A321" s="265"/>
      <c r="B321" s="268"/>
      <c r="C321" s="252"/>
      <c r="D321" s="822"/>
      <c r="F321" s="250"/>
      <c r="G321" s="269"/>
      <c r="H321" s="269"/>
      <c r="I321" s="269"/>
      <c r="J321" s="251"/>
    </row>
    <row r="322">
      <c r="A322" s="265"/>
      <c r="B322" s="268"/>
      <c r="C322" s="252"/>
      <c r="D322" s="822"/>
      <c r="F322" s="250"/>
      <c r="G322" s="269"/>
      <c r="H322" s="269"/>
      <c r="I322" s="269"/>
      <c r="J322" s="251"/>
    </row>
    <row r="323">
      <c r="A323" s="270"/>
      <c r="B323" s="271"/>
      <c r="C323" s="272"/>
      <c r="D323" s="823"/>
      <c r="E323" s="18"/>
      <c r="F323" s="274"/>
      <c r="G323" s="18"/>
      <c r="H323" s="18"/>
      <c r="I323" s="18"/>
      <c r="J323" s="261"/>
    </row>
    <row r="324">
      <c r="A324" s="262">
        <v>28.0</v>
      </c>
      <c r="B324" s="239">
        <v>20291.0</v>
      </c>
      <c r="C324" s="263"/>
      <c r="D324" s="824"/>
      <c r="E324" s="242"/>
      <c r="F324" s="243"/>
      <c r="G324" s="244" t="s">
        <v>2755</v>
      </c>
      <c r="H324" s="244"/>
      <c r="I324" s="244"/>
      <c r="J324" s="307"/>
    </row>
    <row r="325">
      <c r="A325" s="265"/>
      <c r="B325" s="247"/>
      <c r="C325" s="248"/>
      <c r="D325" s="822"/>
      <c r="F325" s="250">
        <v>630.0</v>
      </c>
      <c r="G325" s="2" t="s">
        <v>2638</v>
      </c>
      <c r="J325" s="251"/>
    </row>
    <row r="326">
      <c r="A326" s="265"/>
      <c r="B326" s="268"/>
      <c r="C326" s="248"/>
      <c r="D326" s="331"/>
      <c r="F326" s="250">
        <v>380.0</v>
      </c>
      <c r="G326" s="2" t="s">
        <v>2850</v>
      </c>
      <c r="J326" s="251"/>
    </row>
    <row r="327">
      <c r="A327" s="265"/>
      <c r="B327" s="247"/>
      <c r="C327" s="252"/>
      <c r="D327" s="822"/>
      <c r="F327" s="250">
        <v>9200.0</v>
      </c>
      <c r="G327" s="2" t="s">
        <v>770</v>
      </c>
      <c r="J327" s="251"/>
    </row>
    <row r="328">
      <c r="A328" s="265"/>
      <c r="B328" s="247"/>
      <c r="C328" s="248"/>
      <c r="D328" s="331"/>
      <c r="F328" s="250"/>
      <c r="J328" s="251"/>
    </row>
    <row r="329">
      <c r="A329" s="265"/>
      <c r="B329" s="247"/>
      <c r="C329" s="252"/>
      <c r="D329" s="331"/>
      <c r="F329" s="250"/>
      <c r="J329" s="251"/>
    </row>
    <row r="330">
      <c r="A330" s="265"/>
      <c r="B330" s="247"/>
      <c r="C330" s="252"/>
      <c r="D330" s="331"/>
      <c r="F330" s="250"/>
      <c r="J330" s="251"/>
    </row>
    <row r="331">
      <c r="A331" s="265"/>
      <c r="B331" s="247"/>
      <c r="C331" s="252"/>
      <c r="D331" s="822"/>
      <c r="F331" s="250"/>
      <c r="J331" s="251"/>
    </row>
    <row r="332">
      <c r="A332" s="265"/>
      <c r="B332" s="247"/>
      <c r="C332" s="252"/>
      <c r="D332" s="331"/>
      <c r="F332" s="250"/>
      <c r="J332" s="251"/>
    </row>
    <row r="333">
      <c r="A333" s="265"/>
      <c r="B333" s="247"/>
      <c r="C333" s="252"/>
      <c r="D333" s="822"/>
      <c r="F333" s="250"/>
      <c r="J333" s="251"/>
    </row>
    <row r="334">
      <c r="A334" s="265"/>
      <c r="B334" s="247"/>
      <c r="C334" s="252"/>
      <c r="D334" s="822"/>
      <c r="F334" s="250"/>
      <c r="J334" s="251"/>
    </row>
    <row r="335">
      <c r="A335" s="265"/>
      <c r="B335" s="247"/>
      <c r="C335" s="252"/>
      <c r="D335" s="331"/>
      <c r="F335" s="250"/>
      <c r="J335" s="251"/>
    </row>
    <row r="336">
      <c r="A336" s="270"/>
      <c r="B336" s="271"/>
      <c r="C336" s="272"/>
      <c r="D336" s="823"/>
      <c r="E336" s="18"/>
      <c r="F336" s="259"/>
      <c r="G336" s="293"/>
      <c r="H336" s="293"/>
      <c r="I336" s="18"/>
      <c r="J336" s="261"/>
    </row>
    <row r="337">
      <c r="A337" s="262">
        <v>30.0</v>
      </c>
      <c r="B337" s="306"/>
      <c r="C337" s="263"/>
      <c r="D337" s="824"/>
      <c r="E337" s="242"/>
      <c r="F337" s="243">
        <v>18600.0</v>
      </c>
      <c r="G337" s="244" t="s">
        <v>64</v>
      </c>
      <c r="H337" s="244"/>
      <c r="I337" s="244"/>
      <c r="J337" s="307"/>
    </row>
    <row r="338">
      <c r="A338" s="265"/>
      <c r="B338" s="247"/>
      <c r="C338" s="248"/>
      <c r="D338" s="822"/>
      <c r="F338" s="250">
        <v>4800.0</v>
      </c>
      <c r="G338" s="2" t="s">
        <v>120</v>
      </c>
      <c r="J338" s="251"/>
    </row>
    <row r="339">
      <c r="A339" s="265"/>
      <c r="B339" s="247">
        <v>56378.43</v>
      </c>
      <c r="C339" s="252"/>
      <c r="D339" s="822"/>
      <c r="F339" s="250"/>
      <c r="G339" s="2" t="s">
        <v>2637</v>
      </c>
      <c r="J339" s="251"/>
    </row>
    <row r="340">
      <c r="A340" s="265"/>
      <c r="B340" s="247"/>
      <c r="C340" s="248"/>
      <c r="D340" s="331"/>
      <c r="F340" s="250">
        <v>560.0</v>
      </c>
      <c r="G340" s="2" t="s">
        <v>590</v>
      </c>
      <c r="J340" s="251"/>
    </row>
    <row r="341">
      <c r="A341" s="265"/>
      <c r="B341" s="247"/>
      <c r="C341" s="252"/>
      <c r="D341" s="331">
        <v>13580.0</v>
      </c>
      <c r="F341" s="250"/>
      <c r="G341" s="2" t="s">
        <v>75</v>
      </c>
      <c r="J341" s="251"/>
    </row>
    <row r="342">
      <c r="A342" s="265"/>
      <c r="B342" s="247">
        <v>8372.74</v>
      </c>
      <c r="C342" s="252"/>
      <c r="D342" s="822"/>
      <c r="F342" s="250"/>
      <c r="G342" s="2" t="s">
        <v>82</v>
      </c>
      <c r="J342" s="251"/>
    </row>
    <row r="343">
      <c r="A343" s="265"/>
      <c r="B343" s="247"/>
      <c r="C343" s="252"/>
      <c r="D343" s="331">
        <v>17771.56</v>
      </c>
      <c r="F343" s="250"/>
      <c r="G343" s="2" t="s">
        <v>114</v>
      </c>
      <c r="I343" s="318"/>
      <c r="J343" s="251"/>
    </row>
    <row r="344">
      <c r="A344" s="265"/>
      <c r="B344" s="247">
        <v>11080.0</v>
      </c>
      <c r="C344" s="252"/>
      <c r="D344" s="331"/>
      <c r="F344" s="250"/>
      <c r="G344" s="2" t="s">
        <v>2752</v>
      </c>
      <c r="J344" s="251"/>
    </row>
    <row r="345">
      <c r="A345" s="265"/>
      <c r="B345" s="268"/>
      <c r="C345" s="252"/>
      <c r="D345" s="822"/>
      <c r="F345" s="250"/>
      <c r="J345" s="251"/>
    </row>
    <row r="346">
      <c r="A346" s="265"/>
      <c r="B346" s="268"/>
      <c r="C346" s="252"/>
      <c r="D346" s="822"/>
      <c r="F346" s="250"/>
      <c r="J346" s="251"/>
    </row>
    <row r="347">
      <c r="A347" s="265"/>
      <c r="B347" s="268"/>
      <c r="C347" s="252"/>
      <c r="D347" s="822"/>
      <c r="F347" s="250"/>
      <c r="J347" s="251"/>
    </row>
    <row r="348">
      <c r="A348" s="265"/>
      <c r="B348" s="247"/>
      <c r="C348" s="252"/>
      <c r="D348" s="822"/>
      <c r="F348" s="250"/>
      <c r="J348" s="251"/>
    </row>
    <row r="349">
      <c r="A349" s="265"/>
      <c r="B349" s="268"/>
      <c r="C349" s="252"/>
      <c r="D349" s="822"/>
      <c r="F349" s="250"/>
      <c r="J349" s="251"/>
    </row>
    <row r="350">
      <c r="A350" s="265"/>
      <c r="B350" s="268"/>
      <c r="C350" s="252"/>
      <c r="D350" s="822"/>
      <c r="F350" s="250"/>
      <c r="J350" s="251"/>
    </row>
    <row r="351">
      <c r="A351" s="265"/>
      <c r="B351" s="268"/>
      <c r="C351" s="252"/>
      <c r="D351" s="822"/>
      <c r="F351" s="250"/>
      <c r="J351" s="251"/>
    </row>
    <row r="352">
      <c r="A352" s="265"/>
      <c r="B352" s="268"/>
      <c r="C352" s="252"/>
      <c r="D352" s="822"/>
      <c r="F352" s="250"/>
      <c r="J352" s="251"/>
    </row>
    <row r="353">
      <c r="A353" s="265"/>
      <c r="B353" s="268"/>
      <c r="C353" s="252"/>
      <c r="D353" s="822"/>
      <c r="F353" s="250"/>
      <c r="J353" s="251"/>
    </row>
    <row r="354">
      <c r="A354" s="270"/>
      <c r="B354" s="271"/>
      <c r="C354" s="272"/>
      <c r="D354" s="823"/>
      <c r="E354" s="18"/>
      <c r="F354" s="274"/>
      <c r="G354" s="18"/>
      <c r="H354" s="18"/>
      <c r="I354" s="293"/>
      <c r="J354" s="261"/>
    </row>
    <row r="355">
      <c r="A355" s="262">
        <v>31.0</v>
      </c>
      <c r="B355" s="306"/>
      <c r="C355" s="240"/>
      <c r="D355" s="821">
        <v>11821.26</v>
      </c>
      <c r="E355" s="242"/>
      <c r="F355" s="243"/>
      <c r="G355" s="244" t="s">
        <v>73</v>
      </c>
      <c r="H355" s="244"/>
      <c r="I355" s="244"/>
      <c r="J355" s="307"/>
    </row>
    <row r="356">
      <c r="A356" s="265"/>
      <c r="B356" s="247"/>
      <c r="C356" s="248"/>
      <c r="D356" s="331">
        <v>13853.62</v>
      </c>
      <c r="F356" s="250"/>
      <c r="G356" s="2" t="s">
        <v>74</v>
      </c>
      <c r="J356" s="251"/>
    </row>
    <row r="357">
      <c r="A357" s="265"/>
      <c r="B357" s="247"/>
      <c r="C357" s="252"/>
      <c r="D357" s="822"/>
      <c r="F357" s="250"/>
      <c r="G357" s="2" t="s">
        <v>71</v>
      </c>
      <c r="H357" s="2">
        <v>2469.9</v>
      </c>
      <c r="I357" s="2" t="s">
        <v>2851</v>
      </c>
      <c r="J357" s="251"/>
    </row>
    <row r="358">
      <c r="A358" s="265"/>
      <c r="B358" s="247"/>
      <c r="C358" s="248"/>
      <c r="D358" s="331"/>
      <c r="F358" s="250">
        <v>3800.0</v>
      </c>
      <c r="G358" s="2" t="s">
        <v>215</v>
      </c>
      <c r="J358" s="251"/>
    </row>
    <row r="359">
      <c r="A359" s="265"/>
      <c r="B359" s="247">
        <v>13900.0</v>
      </c>
      <c r="C359" s="252"/>
      <c r="D359" s="822"/>
      <c r="F359" s="250"/>
      <c r="G359" s="2" t="s">
        <v>76</v>
      </c>
      <c r="J359" s="251"/>
    </row>
    <row r="360">
      <c r="A360" s="265"/>
      <c r="B360" s="247">
        <v>5900.0</v>
      </c>
      <c r="C360" s="252"/>
      <c r="D360" s="822"/>
      <c r="F360" s="250"/>
      <c r="G360" s="2" t="s">
        <v>2852</v>
      </c>
      <c r="J360" s="251"/>
    </row>
    <row r="361">
      <c r="A361" s="265"/>
      <c r="B361" s="247"/>
      <c r="C361" s="252"/>
      <c r="D361" s="822"/>
      <c r="F361" s="250">
        <v>30000.0</v>
      </c>
      <c r="G361" s="2" t="s">
        <v>2853</v>
      </c>
      <c r="I361" s="318"/>
      <c r="J361" s="251"/>
    </row>
    <row r="362">
      <c r="A362" s="265"/>
      <c r="B362" s="268"/>
      <c r="C362" s="252"/>
      <c r="D362" s="331"/>
      <c r="F362" s="250"/>
      <c r="J362" s="251"/>
    </row>
    <row r="363">
      <c r="A363" s="265"/>
      <c r="B363" s="268"/>
      <c r="C363" s="252"/>
      <c r="D363" s="822"/>
      <c r="F363" s="250"/>
      <c r="J363" s="251"/>
    </row>
    <row r="364">
      <c r="A364" s="265"/>
      <c r="B364" s="268"/>
      <c r="C364" s="252"/>
      <c r="D364" s="822"/>
      <c r="F364" s="250"/>
      <c r="J364" s="251"/>
    </row>
    <row r="365">
      <c r="A365" s="265"/>
      <c r="B365" s="268"/>
      <c r="C365" s="252"/>
      <c r="D365" s="822"/>
      <c r="F365" s="250"/>
      <c r="J365" s="251"/>
    </row>
    <row r="366">
      <c r="A366" s="265"/>
      <c r="B366" s="247"/>
      <c r="C366" s="252"/>
      <c r="D366" s="822"/>
      <c r="F366" s="250"/>
      <c r="J366" s="251"/>
    </row>
    <row r="367">
      <c r="A367" s="265"/>
      <c r="B367" s="268"/>
      <c r="C367" s="252"/>
      <c r="D367" s="822"/>
      <c r="F367" s="250"/>
      <c r="J367" s="251"/>
    </row>
    <row r="368">
      <c r="A368" s="265"/>
      <c r="B368" s="268"/>
      <c r="C368" s="252"/>
      <c r="D368" s="822"/>
      <c r="F368" s="250"/>
      <c r="J368" s="251"/>
    </row>
    <row r="369">
      <c r="A369" s="265"/>
      <c r="B369" s="268"/>
      <c r="C369" s="252"/>
      <c r="D369" s="822"/>
      <c r="F369" s="250"/>
      <c r="J369" s="251"/>
    </row>
    <row r="370">
      <c r="A370" s="265"/>
      <c r="B370" s="268"/>
      <c r="C370" s="252"/>
      <c r="D370" s="822"/>
      <c r="F370" s="250"/>
      <c r="J370" s="251"/>
    </row>
    <row r="371">
      <c r="A371" s="265"/>
      <c r="B371" s="268"/>
      <c r="C371" s="252"/>
      <c r="D371" s="822"/>
      <c r="F371" s="250"/>
      <c r="J371" s="251"/>
    </row>
    <row r="372">
      <c r="A372" s="270"/>
      <c r="B372" s="271"/>
      <c r="C372" s="272"/>
      <c r="D372" s="823"/>
      <c r="E372" s="18"/>
      <c r="F372" s="274"/>
      <c r="G372" s="18"/>
      <c r="H372" s="18"/>
      <c r="I372" s="293" t="s">
        <v>2817</v>
      </c>
      <c r="J372" s="261"/>
    </row>
    <row r="373">
      <c r="A373" s="262" t="s">
        <v>187</v>
      </c>
      <c r="B373" s="239">
        <v>99301.73</v>
      </c>
      <c r="C373" s="240"/>
      <c r="D373" s="821"/>
      <c r="E373" s="242"/>
      <c r="F373" s="243"/>
      <c r="G373" s="2" t="s">
        <v>188</v>
      </c>
      <c r="H373" s="318">
        <v>44692.0</v>
      </c>
      <c r="I373" s="169" t="s">
        <v>2854</v>
      </c>
      <c r="J373" s="307"/>
    </row>
    <row r="374">
      <c r="A374" s="265"/>
      <c r="B374" s="247"/>
      <c r="C374" s="248"/>
      <c r="D374" s="300">
        <v>14482.87</v>
      </c>
      <c r="F374" s="250"/>
      <c r="G374" s="2" t="s">
        <v>2819</v>
      </c>
      <c r="H374" s="318">
        <v>44700.0</v>
      </c>
      <c r="I374" s="169" t="s">
        <v>2820</v>
      </c>
      <c r="J374" s="267"/>
    </row>
    <row r="375">
      <c r="A375" s="265"/>
      <c r="B375" s="247"/>
      <c r="C375" s="248"/>
      <c r="D375" s="331">
        <v>1529.59</v>
      </c>
      <c r="F375" s="250"/>
      <c r="G375" s="2" t="s">
        <v>2284</v>
      </c>
      <c r="H375" s="318">
        <v>44692.0</v>
      </c>
      <c r="I375" s="318"/>
      <c r="J375" s="267"/>
    </row>
    <row r="376">
      <c r="A376" s="265"/>
      <c r="B376" s="268"/>
      <c r="C376" s="252"/>
      <c r="D376" s="331">
        <v>66550.0</v>
      </c>
      <c r="F376" s="250"/>
      <c r="G376" s="2" t="s">
        <v>192</v>
      </c>
      <c r="H376" s="318">
        <v>44704.0</v>
      </c>
      <c r="I376" s="318"/>
      <c r="J376" s="251"/>
    </row>
    <row r="377">
      <c r="A377" s="265"/>
      <c r="B377" s="268"/>
      <c r="C377" s="252"/>
      <c r="D377" s="822"/>
      <c r="F377" s="250">
        <v>29000.0</v>
      </c>
      <c r="G377" s="2" t="s">
        <v>193</v>
      </c>
      <c r="H377" s="318">
        <v>44700.0</v>
      </c>
      <c r="J377" s="251"/>
    </row>
    <row r="378">
      <c r="A378" s="265"/>
      <c r="B378" s="247"/>
      <c r="C378" s="252"/>
      <c r="D378" s="331"/>
      <c r="F378" s="250"/>
      <c r="G378" s="2" t="s">
        <v>194</v>
      </c>
      <c r="H378" s="318"/>
      <c r="I378" s="318"/>
      <c r="J378" s="251"/>
    </row>
    <row r="379">
      <c r="A379" s="265"/>
      <c r="B379" s="268"/>
      <c r="C379" s="252"/>
      <c r="D379" s="331">
        <v>28000.0</v>
      </c>
      <c r="F379" s="250"/>
      <c r="G379" s="2" t="s">
        <v>196</v>
      </c>
      <c r="H379" s="2" t="s">
        <v>2855</v>
      </c>
      <c r="J379" s="251"/>
    </row>
    <row r="380">
      <c r="A380" s="265"/>
      <c r="B380" s="268"/>
      <c r="C380" s="252"/>
      <c r="D380" s="331">
        <v>4432.81</v>
      </c>
      <c r="F380" s="250"/>
      <c r="G380" s="2" t="s">
        <v>2285</v>
      </c>
      <c r="H380" s="2"/>
      <c r="I380" s="2" t="s">
        <v>2821</v>
      </c>
      <c r="J380" s="251"/>
    </row>
    <row r="381">
      <c r="A381" s="265"/>
      <c r="B381" s="268"/>
      <c r="C381" s="252"/>
      <c r="D381" s="331">
        <v>4064.24</v>
      </c>
      <c r="F381" s="250"/>
      <c r="G381" s="2" t="s">
        <v>199</v>
      </c>
      <c r="H381" s="2"/>
      <c r="I381" s="2" t="s">
        <v>2821</v>
      </c>
      <c r="J381" s="251"/>
    </row>
    <row r="382">
      <c r="A382" s="265"/>
      <c r="B382" s="247"/>
      <c r="C382" s="252"/>
      <c r="D382" s="331">
        <v>8629.42</v>
      </c>
      <c r="F382" s="250"/>
      <c r="G382" s="2" t="s">
        <v>200</v>
      </c>
      <c r="H382" s="2"/>
      <c r="I382" s="2" t="s">
        <v>2821</v>
      </c>
      <c r="J382" s="267"/>
    </row>
    <row r="383">
      <c r="A383" s="270"/>
      <c r="B383" s="271"/>
      <c r="C383" s="272"/>
      <c r="D383" s="812">
        <v>11493.86</v>
      </c>
      <c r="E383" s="18"/>
      <c r="F383" s="274"/>
      <c r="G383" s="293" t="s">
        <v>2856</v>
      </c>
      <c r="H383" s="830">
        <v>44707.0</v>
      </c>
      <c r="I383" s="18"/>
      <c r="J383" s="261"/>
    </row>
    <row r="384">
      <c r="A384" s="262" t="s">
        <v>2857</v>
      </c>
      <c r="B384" s="239"/>
      <c r="C384" s="240"/>
      <c r="D384" s="821"/>
      <c r="E384" s="242"/>
      <c r="F384" s="243"/>
      <c r="I384" s="318"/>
      <c r="J384" s="307"/>
    </row>
    <row r="385">
      <c r="A385" s="265"/>
      <c r="B385" s="247"/>
      <c r="C385" s="248"/>
      <c r="D385" s="331"/>
      <c r="F385" s="250"/>
      <c r="I385" s="318"/>
      <c r="J385" s="251"/>
    </row>
    <row r="386">
      <c r="A386" s="265"/>
      <c r="B386" s="247"/>
      <c r="C386" s="248"/>
      <c r="D386" s="331"/>
      <c r="F386" s="250"/>
      <c r="I386" s="318"/>
      <c r="J386" s="267"/>
    </row>
    <row r="387">
      <c r="A387" s="265"/>
      <c r="B387" s="247"/>
      <c r="C387" s="248"/>
      <c r="D387" s="331"/>
      <c r="F387" s="250"/>
      <c r="I387" s="318"/>
      <c r="J387" s="267"/>
    </row>
    <row r="388">
      <c r="A388" s="265"/>
      <c r="B388" s="268"/>
      <c r="C388" s="252"/>
      <c r="D388" s="331"/>
      <c r="F388" s="250"/>
      <c r="I388" s="318"/>
      <c r="J388" s="251"/>
    </row>
    <row r="389">
      <c r="A389" s="265"/>
      <c r="B389" s="834">
        <f t="shared" ref="B389:D389" si="1">SUM(B3:B388)</f>
        <v>688075.45</v>
      </c>
      <c r="C389" s="835">
        <f t="shared" si="1"/>
        <v>256253.98</v>
      </c>
      <c r="D389" s="836">
        <f t="shared" si="1"/>
        <v>698324.75</v>
      </c>
      <c r="E389" s="835"/>
      <c r="F389" s="110">
        <f>SUM(F3:F388)</f>
        <v>425533</v>
      </c>
      <c r="G389" s="834">
        <f>SUM(B389:F389)</f>
        <v>2068187.18</v>
      </c>
      <c r="J389" s="251"/>
    </row>
    <row r="390">
      <c r="A390" s="265"/>
      <c r="B390" s="247"/>
      <c r="C390" s="252"/>
      <c r="D390" s="331"/>
      <c r="F390" s="250"/>
      <c r="I390" s="318"/>
      <c r="J390" s="251"/>
    </row>
    <row r="391">
      <c r="A391" s="265"/>
      <c r="B391" s="268"/>
      <c r="C391" s="252"/>
      <c r="D391" s="331"/>
      <c r="F391" s="250"/>
      <c r="I391" s="318"/>
      <c r="J391" s="251"/>
    </row>
    <row r="392">
      <c r="A392" s="265"/>
      <c r="B392" s="268"/>
      <c r="C392" s="252"/>
      <c r="D392" s="331"/>
      <c r="F392" s="250"/>
      <c r="J392" s="251"/>
    </row>
    <row r="393">
      <c r="A393" s="265"/>
      <c r="B393" s="268"/>
      <c r="C393" s="252"/>
      <c r="D393" s="331"/>
      <c r="F393" s="250"/>
      <c r="J393" s="251"/>
    </row>
    <row r="394">
      <c r="A394" s="265"/>
      <c r="B394" s="247"/>
      <c r="C394" s="252"/>
      <c r="D394" s="822"/>
      <c r="F394" s="250"/>
      <c r="J394" s="267"/>
    </row>
    <row r="395">
      <c r="A395" s="270"/>
      <c r="B395" s="271"/>
      <c r="C395" s="272"/>
      <c r="D395" s="823"/>
      <c r="E395" s="18"/>
      <c r="F395" s="274"/>
      <c r="G395" s="18"/>
      <c r="H395" s="18"/>
      <c r="I395" s="18"/>
      <c r="J395" s="261"/>
    </row>
    <row r="396">
      <c r="A396" s="303"/>
      <c r="B396" s="268"/>
      <c r="C396" s="252"/>
      <c r="D396" s="331"/>
      <c r="F396" s="250"/>
      <c r="J396" s="251"/>
    </row>
    <row r="397">
      <c r="A397" s="303"/>
      <c r="B397" s="268"/>
      <c r="C397" s="252"/>
      <c r="D397" s="822"/>
      <c r="F397" s="250"/>
      <c r="J397" s="251"/>
    </row>
    <row r="398">
      <c r="A398" s="303"/>
      <c r="B398" s="268"/>
      <c r="C398" s="252"/>
      <c r="D398" s="822"/>
      <c r="F398" s="250"/>
      <c r="J398" s="251"/>
    </row>
    <row r="399">
      <c r="A399" s="303"/>
      <c r="B399" s="268"/>
      <c r="C399" s="252"/>
      <c r="D399" s="822"/>
      <c r="F399" s="250"/>
      <c r="J399" s="251"/>
    </row>
    <row r="400">
      <c r="A400" s="303"/>
      <c r="B400" s="268"/>
      <c r="C400" s="252"/>
      <c r="D400" s="822"/>
      <c r="F400" s="250"/>
      <c r="J400" s="251"/>
    </row>
    <row r="401">
      <c r="A401" s="303"/>
      <c r="B401" s="268"/>
      <c r="C401" s="252"/>
      <c r="D401" s="822"/>
      <c r="F401" s="250"/>
      <c r="J401" s="251"/>
    </row>
    <row r="402">
      <c r="A402" s="304"/>
      <c r="B402" s="271"/>
      <c r="C402" s="272"/>
      <c r="D402" s="823"/>
      <c r="E402" s="18"/>
      <c r="F402" s="274"/>
      <c r="G402" s="18"/>
      <c r="H402" s="18"/>
      <c r="I402" s="18"/>
      <c r="J402" s="261"/>
    </row>
    <row r="403">
      <c r="A403" s="305"/>
      <c r="B403" s="306"/>
      <c r="C403" s="240"/>
      <c r="D403" s="824"/>
      <c r="E403" s="242"/>
      <c r="F403" s="243"/>
      <c r="G403" s="244"/>
      <c r="H403" s="244"/>
      <c r="I403" s="244"/>
      <c r="J403" s="307"/>
    </row>
    <row r="404">
      <c r="A404" s="265"/>
      <c r="B404" s="268"/>
      <c r="C404" s="252"/>
      <c r="D404" s="822"/>
      <c r="F404" s="250"/>
      <c r="I404" s="252"/>
      <c r="J404" s="251"/>
    </row>
    <row r="405">
      <c r="A405" s="265"/>
      <c r="B405" s="268"/>
      <c r="C405" s="252"/>
      <c r="D405" s="822"/>
      <c r="F405" s="250"/>
      <c r="I405" s="252"/>
      <c r="J405" s="251"/>
    </row>
    <row r="406">
      <c r="A406" s="265"/>
      <c r="B406" s="268"/>
      <c r="C406" s="252"/>
      <c r="D406" s="822"/>
      <c r="F406" s="250"/>
      <c r="I406" s="252"/>
      <c r="J406" s="251"/>
    </row>
    <row r="407">
      <c r="A407" s="265"/>
      <c r="B407" s="268"/>
      <c r="C407" s="252"/>
      <c r="D407" s="822"/>
      <c r="F407" s="250"/>
      <c r="I407" s="252"/>
      <c r="J407" s="251"/>
    </row>
    <row r="408">
      <c r="A408" s="265"/>
      <c r="B408" s="268"/>
      <c r="C408" s="252"/>
      <c r="D408" s="822"/>
      <c r="F408" s="250"/>
      <c r="J408" s="251"/>
    </row>
    <row r="409">
      <c r="A409" s="265"/>
      <c r="B409" s="268"/>
      <c r="C409" s="252"/>
      <c r="D409" s="822"/>
      <c r="F409" s="250"/>
      <c r="J409" s="251"/>
    </row>
    <row r="410">
      <c r="A410" s="265"/>
      <c r="B410" s="268"/>
      <c r="C410" s="252"/>
      <c r="D410" s="822"/>
      <c r="F410" s="250"/>
      <c r="J410" s="251"/>
    </row>
    <row r="411">
      <c r="A411" s="265"/>
      <c r="B411" s="268"/>
      <c r="C411" s="252"/>
      <c r="D411" s="822"/>
      <c r="F411" s="250"/>
      <c r="J411" s="251"/>
    </row>
    <row r="412">
      <c r="A412" s="270"/>
      <c r="B412" s="271"/>
      <c r="C412" s="272"/>
      <c r="D412" s="823"/>
      <c r="E412" s="18"/>
      <c r="F412" s="274"/>
      <c r="G412" s="18"/>
      <c r="H412" s="18"/>
      <c r="I412" s="18"/>
      <c r="J412" s="261"/>
    </row>
    <row r="413">
      <c r="A413" s="305"/>
      <c r="B413" s="306"/>
      <c r="C413" s="240"/>
      <c r="D413" s="824"/>
      <c r="E413" s="242"/>
      <c r="F413" s="243"/>
      <c r="G413" s="244"/>
      <c r="H413" s="244"/>
      <c r="I413" s="244"/>
      <c r="J413" s="307"/>
    </row>
    <row r="414">
      <c r="A414" s="265"/>
      <c r="B414" s="268"/>
      <c r="C414" s="252"/>
      <c r="D414" s="822"/>
      <c r="F414" s="250"/>
      <c r="J414" s="251"/>
    </row>
    <row r="415">
      <c r="A415" s="265"/>
      <c r="B415" s="268"/>
      <c r="C415" s="252"/>
      <c r="D415" s="822"/>
      <c r="F415" s="250"/>
      <c r="J415" s="251"/>
    </row>
    <row r="416">
      <c r="A416" s="265"/>
      <c r="B416" s="268"/>
      <c r="C416" s="252"/>
      <c r="D416" s="822"/>
      <c r="F416" s="250"/>
      <c r="J416" s="251"/>
    </row>
    <row r="417">
      <c r="A417" s="265"/>
      <c r="B417" s="268"/>
      <c r="C417" s="252"/>
      <c r="D417" s="822"/>
      <c r="F417" s="250"/>
      <c r="J417" s="251"/>
    </row>
    <row r="418">
      <c r="A418" s="265"/>
      <c r="B418" s="268"/>
      <c r="C418" s="252"/>
      <c r="D418" s="822"/>
      <c r="F418" s="250"/>
      <c r="J418" s="251"/>
    </row>
    <row r="419">
      <c r="A419" s="265"/>
      <c r="B419" s="268"/>
      <c r="C419" s="252"/>
      <c r="D419" s="822"/>
      <c r="F419" s="250"/>
      <c r="J419" s="251"/>
    </row>
    <row r="420">
      <c r="A420" s="265"/>
      <c r="B420" s="268"/>
      <c r="C420" s="252"/>
      <c r="D420" s="822"/>
      <c r="F420" s="250"/>
      <c r="J420" s="251"/>
    </row>
    <row r="421">
      <c r="A421" s="265"/>
      <c r="B421" s="268"/>
      <c r="C421" s="252"/>
      <c r="D421" s="822"/>
      <c r="F421" s="250"/>
      <c r="J421" s="251"/>
    </row>
    <row r="422">
      <c r="A422" s="270"/>
      <c r="B422" s="271"/>
      <c r="C422" s="272"/>
      <c r="D422" s="823"/>
      <c r="E422" s="18"/>
      <c r="F422" s="274"/>
      <c r="G422" s="18"/>
      <c r="H422" s="18"/>
      <c r="I422" s="18"/>
      <c r="J422" s="261"/>
    </row>
    <row r="423">
      <c r="B423" s="306"/>
      <c r="C423" s="240"/>
      <c r="D423" s="824"/>
      <c r="E423" s="242"/>
      <c r="F423" s="243"/>
      <c r="G423" s="244"/>
      <c r="H423" s="244"/>
      <c r="I423" s="244"/>
      <c r="J423" s="307"/>
    </row>
    <row r="424">
      <c r="B424" s="268"/>
      <c r="C424" s="252"/>
      <c r="D424" s="822"/>
      <c r="F424" s="250"/>
      <c r="J424" s="251"/>
    </row>
    <row r="425">
      <c r="B425" s="268"/>
      <c r="C425" s="252"/>
      <c r="D425" s="822"/>
      <c r="F425" s="250"/>
      <c r="J425" s="251"/>
    </row>
    <row r="426">
      <c r="B426" s="308"/>
      <c r="C426" s="252"/>
      <c r="D426" s="822"/>
      <c r="F426" s="309"/>
      <c r="J426" s="302"/>
    </row>
    <row r="427">
      <c r="B427" s="308"/>
      <c r="C427" s="252"/>
      <c r="D427" s="822"/>
      <c r="F427" s="309"/>
      <c r="J427" s="302"/>
    </row>
    <row r="428">
      <c r="B428" s="308"/>
      <c r="C428" s="252"/>
      <c r="D428" s="822"/>
      <c r="F428" s="309"/>
      <c r="J428" s="302"/>
    </row>
    <row r="429">
      <c r="B429" s="308"/>
      <c r="C429" s="252"/>
      <c r="D429" s="822"/>
      <c r="F429" s="309"/>
      <c r="J429" s="302"/>
    </row>
    <row r="430">
      <c r="B430" s="308"/>
      <c r="C430" s="252"/>
      <c r="D430" s="822"/>
      <c r="F430" s="309"/>
      <c r="J430" s="302"/>
    </row>
    <row r="431">
      <c r="B431" s="308"/>
      <c r="C431" s="252"/>
      <c r="D431" s="822"/>
      <c r="F431" s="309"/>
      <c r="J431" s="302"/>
    </row>
    <row r="432">
      <c r="B432" s="308"/>
      <c r="C432" s="252"/>
      <c r="D432" s="822"/>
      <c r="F432" s="309"/>
      <c r="J432" s="302"/>
    </row>
    <row r="433">
      <c r="B433" s="308"/>
      <c r="C433" s="252"/>
      <c r="D433" s="822"/>
      <c r="F433" s="309"/>
      <c r="J433" s="302"/>
    </row>
    <row r="434">
      <c r="B434" s="308"/>
      <c r="C434" s="252"/>
      <c r="D434" s="822"/>
      <c r="F434" s="309"/>
      <c r="J434" s="302"/>
    </row>
    <row r="435">
      <c r="B435" s="308"/>
      <c r="C435" s="252"/>
      <c r="D435" s="822"/>
      <c r="F435" s="309"/>
      <c r="J435" s="302"/>
    </row>
    <row r="436">
      <c r="B436" s="308"/>
      <c r="C436" s="252"/>
      <c r="D436" s="822"/>
      <c r="F436" s="309"/>
      <c r="J436" s="302"/>
    </row>
    <row r="437">
      <c r="B437" s="308"/>
      <c r="C437" s="252"/>
      <c r="D437" s="822"/>
      <c r="F437" s="309"/>
      <c r="J437" s="302"/>
    </row>
    <row r="438">
      <c r="B438" s="308"/>
      <c r="C438" s="252"/>
      <c r="D438" s="822"/>
      <c r="F438" s="309"/>
      <c r="J438" s="302"/>
    </row>
    <row r="439">
      <c r="B439" s="308"/>
      <c r="C439" s="252"/>
      <c r="D439" s="822"/>
      <c r="F439" s="309"/>
      <c r="J439" s="302"/>
    </row>
    <row r="440">
      <c r="B440" s="308"/>
      <c r="C440" s="252"/>
      <c r="D440" s="822"/>
      <c r="F440" s="309"/>
      <c r="J440" s="302"/>
    </row>
    <row r="441">
      <c r="B441" s="308"/>
      <c r="C441" s="252"/>
      <c r="D441" s="822"/>
      <c r="F441" s="309"/>
      <c r="J441" s="302"/>
    </row>
    <row r="442">
      <c r="B442" s="308"/>
      <c r="C442" s="252"/>
      <c r="D442" s="822"/>
      <c r="F442" s="309"/>
      <c r="J442" s="302"/>
    </row>
    <row r="443">
      <c r="B443" s="308"/>
      <c r="C443" s="252"/>
      <c r="D443" s="822"/>
      <c r="F443" s="309"/>
      <c r="J443" s="302"/>
    </row>
    <row r="444">
      <c r="B444" s="308"/>
      <c r="C444" s="252"/>
      <c r="D444" s="822"/>
      <c r="F444" s="309"/>
      <c r="J444" s="302"/>
    </row>
    <row r="445">
      <c r="B445" s="308"/>
      <c r="C445" s="252"/>
      <c r="D445" s="822"/>
      <c r="F445" s="309"/>
      <c r="J445" s="302"/>
    </row>
    <row r="446">
      <c r="B446" s="308"/>
      <c r="C446" s="252"/>
      <c r="D446" s="822"/>
      <c r="F446" s="309"/>
      <c r="J446" s="302"/>
    </row>
    <row r="447">
      <c r="B447" s="308"/>
      <c r="C447" s="252"/>
      <c r="D447" s="822"/>
      <c r="F447" s="309"/>
      <c r="J447" s="302"/>
    </row>
    <row r="448">
      <c r="B448" s="308"/>
      <c r="C448" s="252"/>
      <c r="D448" s="822"/>
      <c r="F448" s="309"/>
      <c r="J448" s="302"/>
    </row>
    <row r="449">
      <c r="B449" s="308"/>
      <c r="C449" s="252"/>
      <c r="D449" s="822"/>
      <c r="F449" s="309"/>
      <c r="J449" s="302"/>
    </row>
    <row r="450">
      <c r="B450" s="308"/>
      <c r="C450" s="252"/>
      <c r="D450" s="822"/>
      <c r="F450" s="309"/>
      <c r="J450" s="302"/>
    </row>
    <row r="451">
      <c r="B451" s="308"/>
      <c r="C451" s="252"/>
      <c r="D451" s="822"/>
      <c r="F451" s="309"/>
      <c r="J451" s="302"/>
    </row>
    <row r="452">
      <c r="B452" s="308"/>
      <c r="C452" s="252"/>
      <c r="D452" s="822"/>
      <c r="F452" s="309"/>
      <c r="J452" s="302"/>
    </row>
    <row r="453">
      <c r="B453" s="308"/>
      <c r="C453" s="252"/>
      <c r="D453" s="822"/>
      <c r="F453" s="309"/>
      <c r="J453" s="302"/>
    </row>
    <row r="454">
      <c r="B454" s="308"/>
      <c r="C454" s="252"/>
      <c r="D454" s="822"/>
      <c r="F454" s="309"/>
      <c r="J454" s="302"/>
    </row>
    <row r="455">
      <c r="B455" s="308"/>
      <c r="C455" s="252"/>
      <c r="D455" s="822"/>
      <c r="F455" s="309"/>
      <c r="J455" s="302"/>
    </row>
    <row r="456">
      <c r="B456" s="308"/>
      <c r="C456" s="252"/>
      <c r="D456" s="822"/>
      <c r="F456" s="309"/>
      <c r="J456" s="302"/>
    </row>
    <row r="457">
      <c r="B457" s="308"/>
      <c r="C457" s="252"/>
      <c r="D457" s="822"/>
      <c r="F457" s="309"/>
      <c r="J457" s="302"/>
    </row>
    <row r="458">
      <c r="B458" s="308"/>
      <c r="C458" s="252"/>
      <c r="D458" s="822"/>
      <c r="F458" s="309"/>
      <c r="J458" s="302"/>
    </row>
    <row r="459">
      <c r="B459" s="308"/>
      <c r="C459" s="252"/>
      <c r="D459" s="822"/>
      <c r="F459" s="309"/>
      <c r="J459" s="302"/>
    </row>
    <row r="460">
      <c r="B460" s="308"/>
      <c r="C460" s="252"/>
      <c r="D460" s="822"/>
      <c r="F460" s="309"/>
      <c r="J460" s="302"/>
    </row>
    <row r="461">
      <c r="B461" s="308"/>
      <c r="C461" s="252"/>
      <c r="D461" s="822"/>
      <c r="F461" s="309"/>
      <c r="J461" s="302"/>
    </row>
    <row r="462">
      <c r="B462" s="308"/>
      <c r="C462" s="252"/>
      <c r="D462" s="822"/>
      <c r="F462" s="309"/>
      <c r="J462" s="302"/>
    </row>
    <row r="463">
      <c r="B463" s="308"/>
      <c r="C463" s="252"/>
      <c r="D463" s="822"/>
      <c r="F463" s="309"/>
      <c r="J463" s="302"/>
    </row>
    <row r="464">
      <c r="B464" s="308"/>
      <c r="C464" s="252"/>
      <c r="D464" s="822"/>
      <c r="F464" s="309"/>
      <c r="J464" s="302"/>
    </row>
    <row r="465">
      <c r="B465" s="308"/>
      <c r="C465" s="252"/>
      <c r="D465" s="822"/>
      <c r="F465" s="309"/>
      <c r="J465" s="302"/>
    </row>
    <row r="466">
      <c r="B466" s="308"/>
      <c r="C466" s="252"/>
      <c r="D466" s="822"/>
      <c r="F466" s="309"/>
      <c r="J466" s="302"/>
    </row>
    <row r="467">
      <c r="B467" s="308"/>
      <c r="C467" s="252"/>
      <c r="D467" s="822"/>
      <c r="F467" s="309"/>
      <c r="J467" s="302"/>
    </row>
    <row r="468">
      <c r="B468" s="308"/>
      <c r="C468" s="252"/>
      <c r="D468" s="822"/>
      <c r="F468" s="309"/>
      <c r="J468" s="302"/>
    </row>
    <row r="469">
      <c r="B469" s="308"/>
      <c r="C469" s="252"/>
      <c r="D469" s="822"/>
      <c r="F469" s="309"/>
      <c r="J469" s="302"/>
    </row>
    <row r="470">
      <c r="B470" s="308"/>
      <c r="C470" s="252"/>
      <c r="D470" s="822"/>
      <c r="F470" s="309"/>
      <c r="J470" s="302"/>
    </row>
    <row r="471">
      <c r="B471" s="308"/>
      <c r="C471" s="252"/>
      <c r="D471" s="822"/>
      <c r="F471" s="309"/>
      <c r="J471" s="302"/>
    </row>
    <row r="472">
      <c r="B472" s="308"/>
      <c r="C472" s="252"/>
      <c r="D472" s="822"/>
      <c r="F472" s="309"/>
      <c r="J472" s="302"/>
    </row>
    <row r="473">
      <c r="B473" s="308"/>
      <c r="C473" s="252"/>
      <c r="D473" s="822"/>
      <c r="F473" s="309"/>
      <c r="J473" s="302"/>
    </row>
    <row r="474">
      <c r="B474" s="308"/>
      <c r="C474" s="252"/>
      <c r="D474" s="822"/>
      <c r="F474" s="309"/>
      <c r="J474" s="302"/>
    </row>
    <row r="475">
      <c r="B475" s="308"/>
      <c r="C475" s="252"/>
      <c r="D475" s="822"/>
      <c r="F475" s="309"/>
      <c r="J475" s="302"/>
    </row>
    <row r="476">
      <c r="B476" s="308"/>
      <c r="C476" s="252"/>
      <c r="D476" s="822"/>
      <c r="F476" s="309"/>
      <c r="J476" s="302"/>
    </row>
    <row r="477">
      <c r="B477" s="308"/>
      <c r="C477" s="252"/>
      <c r="D477" s="822"/>
      <c r="F477" s="309"/>
      <c r="J477" s="302"/>
    </row>
    <row r="478">
      <c r="B478" s="308"/>
      <c r="C478" s="252"/>
      <c r="D478" s="822"/>
      <c r="F478" s="309"/>
      <c r="J478" s="302"/>
    </row>
    <row r="479">
      <c r="B479" s="308"/>
      <c r="C479" s="252"/>
      <c r="D479" s="822"/>
      <c r="F479" s="309"/>
      <c r="J479" s="302"/>
    </row>
    <row r="480">
      <c r="B480" s="308"/>
      <c r="C480" s="252"/>
      <c r="D480" s="822"/>
      <c r="F480" s="309"/>
      <c r="J480" s="302"/>
    </row>
    <row r="481">
      <c r="B481" s="308"/>
      <c r="C481" s="252"/>
      <c r="D481" s="822"/>
      <c r="F481" s="309"/>
      <c r="J481" s="302"/>
    </row>
    <row r="482">
      <c r="B482" s="308"/>
      <c r="C482" s="252"/>
      <c r="D482" s="822"/>
      <c r="F482" s="309"/>
      <c r="J482" s="302"/>
    </row>
    <row r="483">
      <c r="B483" s="308"/>
      <c r="C483" s="252"/>
      <c r="D483" s="822"/>
      <c r="F483" s="309"/>
      <c r="J483" s="302"/>
    </row>
    <row r="484">
      <c r="B484" s="308"/>
      <c r="C484" s="252"/>
      <c r="D484" s="822"/>
      <c r="F484" s="309"/>
      <c r="J484" s="302"/>
    </row>
    <row r="485">
      <c r="B485" s="308"/>
      <c r="C485" s="252"/>
      <c r="D485" s="822"/>
      <c r="F485" s="309"/>
      <c r="J485" s="302"/>
    </row>
    <row r="486">
      <c r="B486" s="308"/>
      <c r="C486" s="252"/>
      <c r="D486" s="822"/>
      <c r="F486" s="309"/>
      <c r="J486" s="302"/>
    </row>
    <row r="487">
      <c r="B487" s="308"/>
      <c r="C487" s="252"/>
      <c r="D487" s="822"/>
      <c r="F487" s="309"/>
      <c r="J487" s="302"/>
    </row>
    <row r="488">
      <c r="B488" s="308"/>
      <c r="C488" s="252"/>
      <c r="D488" s="822"/>
      <c r="F488" s="309"/>
      <c r="J488" s="302"/>
    </row>
    <row r="489">
      <c r="B489" s="308"/>
      <c r="C489" s="252"/>
      <c r="D489" s="822"/>
      <c r="F489" s="309"/>
      <c r="J489" s="302"/>
    </row>
    <row r="490">
      <c r="B490" s="308"/>
      <c r="C490" s="252"/>
      <c r="D490" s="822"/>
      <c r="F490" s="309"/>
      <c r="J490" s="302"/>
    </row>
    <row r="491">
      <c r="B491" s="308"/>
      <c r="C491" s="252"/>
      <c r="D491" s="822"/>
      <c r="F491" s="309"/>
      <c r="J491" s="302"/>
    </row>
    <row r="492">
      <c r="B492" s="308"/>
      <c r="C492" s="252"/>
      <c r="D492" s="822"/>
      <c r="F492" s="309"/>
      <c r="J492" s="302"/>
    </row>
    <row r="493">
      <c r="B493" s="308"/>
      <c r="C493" s="252"/>
      <c r="D493" s="822"/>
      <c r="F493" s="309"/>
      <c r="J493" s="302"/>
    </row>
    <row r="494">
      <c r="B494" s="308"/>
      <c r="C494" s="252"/>
      <c r="D494" s="822"/>
      <c r="F494" s="309"/>
      <c r="J494" s="302"/>
    </row>
    <row r="495">
      <c r="B495" s="308"/>
      <c r="C495" s="252"/>
      <c r="D495" s="822"/>
      <c r="F495" s="309"/>
      <c r="J495" s="302"/>
    </row>
    <row r="496">
      <c r="B496" s="308"/>
      <c r="C496" s="252"/>
      <c r="D496" s="822"/>
      <c r="F496" s="309"/>
      <c r="J496" s="302"/>
    </row>
    <row r="497">
      <c r="B497" s="308"/>
      <c r="C497" s="252"/>
      <c r="D497" s="822"/>
      <c r="F497" s="309"/>
      <c r="J497" s="302"/>
    </row>
    <row r="498">
      <c r="B498" s="308"/>
      <c r="C498" s="252"/>
      <c r="D498" s="822"/>
      <c r="F498" s="309"/>
      <c r="J498" s="302"/>
    </row>
    <row r="499">
      <c r="B499" s="308"/>
      <c r="C499" s="252"/>
      <c r="D499" s="822"/>
      <c r="F499" s="309"/>
      <c r="J499" s="302"/>
    </row>
    <row r="500">
      <c r="B500" s="308"/>
      <c r="C500" s="252"/>
      <c r="D500" s="822"/>
      <c r="F500" s="309"/>
      <c r="J500" s="302"/>
    </row>
    <row r="501">
      <c r="B501" s="308"/>
      <c r="C501" s="252"/>
      <c r="D501" s="822"/>
      <c r="F501" s="309"/>
      <c r="J501" s="302"/>
    </row>
    <row r="502">
      <c r="B502" s="308"/>
      <c r="C502" s="252"/>
      <c r="D502" s="822"/>
      <c r="F502" s="309"/>
      <c r="J502" s="302"/>
    </row>
    <row r="503">
      <c r="B503" s="308"/>
      <c r="C503" s="252"/>
      <c r="D503" s="822"/>
      <c r="F503" s="309"/>
      <c r="J503" s="302"/>
    </row>
    <row r="504">
      <c r="B504" s="308"/>
      <c r="C504" s="252"/>
      <c r="D504" s="822"/>
      <c r="F504" s="309"/>
      <c r="J504" s="302"/>
    </row>
    <row r="505">
      <c r="B505" s="308"/>
      <c r="C505" s="252"/>
      <c r="D505" s="822"/>
      <c r="F505" s="309"/>
      <c r="J505" s="302"/>
    </row>
    <row r="506">
      <c r="B506" s="308"/>
      <c r="C506" s="252"/>
      <c r="D506" s="822"/>
      <c r="F506" s="309"/>
      <c r="J506" s="302"/>
    </row>
    <row r="507">
      <c r="B507" s="308"/>
      <c r="C507" s="252"/>
      <c r="D507" s="822"/>
      <c r="F507" s="309"/>
      <c r="J507" s="302"/>
    </row>
    <row r="508">
      <c r="B508" s="308"/>
      <c r="C508" s="252"/>
      <c r="D508" s="822"/>
      <c r="F508" s="309"/>
      <c r="J508" s="302"/>
    </row>
    <row r="509">
      <c r="B509" s="308"/>
      <c r="C509" s="252"/>
      <c r="D509" s="822"/>
      <c r="F509" s="309"/>
      <c r="J509" s="302"/>
    </row>
    <row r="510">
      <c r="B510" s="308"/>
      <c r="C510" s="252"/>
      <c r="D510" s="822"/>
      <c r="F510" s="309"/>
      <c r="J510" s="302"/>
    </row>
    <row r="511">
      <c r="B511" s="308"/>
      <c r="C511" s="252"/>
      <c r="D511" s="822"/>
      <c r="F511" s="309"/>
      <c r="J511" s="302"/>
    </row>
    <row r="512">
      <c r="B512" s="308"/>
      <c r="C512" s="252"/>
      <c r="D512" s="822"/>
      <c r="F512" s="309"/>
      <c r="J512" s="302"/>
    </row>
    <row r="513">
      <c r="B513" s="308"/>
      <c r="C513" s="252"/>
      <c r="D513" s="822"/>
      <c r="F513" s="309"/>
      <c r="J513" s="302"/>
    </row>
    <row r="514">
      <c r="B514" s="308"/>
      <c r="C514" s="252"/>
      <c r="D514" s="822"/>
      <c r="F514" s="309"/>
      <c r="J514" s="302"/>
    </row>
    <row r="515">
      <c r="B515" s="308"/>
      <c r="C515" s="252"/>
      <c r="D515" s="822"/>
      <c r="F515" s="309"/>
      <c r="J515" s="302"/>
    </row>
    <row r="516">
      <c r="B516" s="308"/>
      <c r="C516" s="252"/>
      <c r="D516" s="822"/>
      <c r="F516" s="309"/>
      <c r="J516" s="302"/>
    </row>
    <row r="517">
      <c r="B517" s="308"/>
      <c r="C517" s="252"/>
      <c r="D517" s="822"/>
      <c r="F517" s="309"/>
      <c r="J517" s="302"/>
    </row>
    <row r="518">
      <c r="B518" s="308"/>
      <c r="C518" s="252"/>
      <c r="D518" s="822"/>
      <c r="F518" s="309"/>
      <c r="J518" s="302"/>
    </row>
    <row r="519">
      <c r="B519" s="308"/>
      <c r="C519" s="252"/>
      <c r="D519" s="822"/>
      <c r="F519" s="309"/>
      <c r="J519" s="302"/>
    </row>
    <row r="520">
      <c r="B520" s="308"/>
      <c r="C520" s="252"/>
      <c r="D520" s="822"/>
      <c r="F520" s="309"/>
      <c r="J520" s="302"/>
    </row>
    <row r="521">
      <c r="B521" s="308"/>
      <c r="C521" s="252"/>
      <c r="D521" s="822"/>
      <c r="F521" s="309"/>
      <c r="J521" s="302"/>
    </row>
    <row r="522">
      <c r="B522" s="308"/>
      <c r="C522" s="252"/>
      <c r="D522" s="822"/>
      <c r="F522" s="309"/>
      <c r="J522" s="302"/>
    </row>
    <row r="523">
      <c r="B523" s="308"/>
      <c r="C523" s="252"/>
      <c r="D523" s="822"/>
      <c r="F523" s="309"/>
      <c r="J523" s="302"/>
    </row>
    <row r="524">
      <c r="B524" s="308"/>
      <c r="C524" s="252"/>
      <c r="D524" s="822"/>
      <c r="F524" s="309"/>
      <c r="J524" s="302"/>
    </row>
    <row r="525">
      <c r="B525" s="308"/>
      <c r="C525" s="252"/>
      <c r="D525" s="822"/>
      <c r="F525" s="309"/>
      <c r="J525" s="302"/>
    </row>
    <row r="526">
      <c r="B526" s="308"/>
      <c r="C526" s="252"/>
      <c r="D526" s="822"/>
      <c r="F526" s="309"/>
      <c r="J526" s="302"/>
    </row>
    <row r="527">
      <c r="B527" s="308"/>
      <c r="C527" s="252"/>
      <c r="D527" s="822"/>
      <c r="F527" s="309"/>
      <c r="J527" s="302"/>
    </row>
    <row r="528">
      <c r="B528" s="308"/>
      <c r="C528" s="252"/>
      <c r="D528" s="822"/>
      <c r="F528" s="309"/>
      <c r="J528" s="302"/>
    </row>
    <row r="529">
      <c r="B529" s="308"/>
      <c r="C529" s="252"/>
      <c r="D529" s="822"/>
      <c r="F529" s="309"/>
      <c r="J529" s="302"/>
    </row>
    <row r="530">
      <c r="B530" s="308"/>
      <c r="C530" s="252"/>
      <c r="D530" s="822"/>
      <c r="F530" s="309"/>
      <c r="J530" s="302"/>
    </row>
    <row r="531">
      <c r="B531" s="308"/>
      <c r="C531" s="252"/>
      <c r="D531" s="822"/>
      <c r="F531" s="309"/>
      <c r="J531" s="302"/>
    </row>
    <row r="532">
      <c r="B532" s="308"/>
      <c r="C532" s="252"/>
      <c r="D532" s="822"/>
      <c r="F532" s="309"/>
      <c r="J532" s="302"/>
    </row>
    <row r="533">
      <c r="B533" s="308"/>
      <c r="C533" s="252"/>
      <c r="D533" s="822"/>
      <c r="F533" s="309"/>
      <c r="J533" s="302"/>
    </row>
    <row r="534">
      <c r="B534" s="308"/>
      <c r="C534" s="252"/>
      <c r="D534" s="822"/>
      <c r="F534" s="309"/>
      <c r="J534" s="302"/>
    </row>
    <row r="535">
      <c r="B535" s="308"/>
      <c r="C535" s="252"/>
      <c r="D535" s="822"/>
      <c r="F535" s="309"/>
      <c r="J535" s="302"/>
    </row>
    <row r="536">
      <c r="B536" s="308"/>
      <c r="C536" s="252"/>
      <c r="D536" s="822"/>
      <c r="F536" s="309"/>
      <c r="J536" s="302"/>
    </row>
    <row r="537">
      <c r="B537" s="308"/>
      <c r="C537" s="252"/>
      <c r="D537" s="822"/>
      <c r="F537" s="309"/>
      <c r="J537" s="302"/>
    </row>
    <row r="538">
      <c r="B538" s="308"/>
      <c r="C538" s="252"/>
      <c r="D538" s="822"/>
      <c r="F538" s="309"/>
      <c r="J538" s="302"/>
    </row>
    <row r="539">
      <c r="B539" s="308"/>
      <c r="C539" s="252"/>
      <c r="D539" s="822"/>
      <c r="F539" s="309"/>
      <c r="J539" s="302"/>
    </row>
    <row r="540">
      <c r="B540" s="308"/>
      <c r="C540" s="252"/>
      <c r="D540" s="822"/>
      <c r="F540" s="309"/>
      <c r="J540" s="302"/>
    </row>
    <row r="541">
      <c r="B541" s="308"/>
      <c r="C541" s="252"/>
      <c r="D541" s="822"/>
      <c r="F541" s="309"/>
      <c r="J541" s="302"/>
    </row>
    <row r="542">
      <c r="B542" s="308"/>
      <c r="C542" s="252"/>
      <c r="D542" s="822"/>
      <c r="F542" s="309"/>
      <c r="J542" s="302"/>
    </row>
    <row r="543">
      <c r="B543" s="308"/>
      <c r="C543" s="252"/>
      <c r="D543" s="822"/>
      <c r="F543" s="309"/>
      <c r="J543" s="302"/>
    </row>
    <row r="544">
      <c r="B544" s="308"/>
      <c r="C544" s="252"/>
      <c r="D544" s="822"/>
      <c r="F544" s="309"/>
      <c r="J544" s="302"/>
    </row>
    <row r="545">
      <c r="B545" s="308"/>
      <c r="C545" s="252"/>
      <c r="D545" s="822"/>
      <c r="F545" s="309"/>
      <c r="J545" s="302"/>
    </row>
    <row r="546">
      <c r="B546" s="308"/>
      <c r="C546" s="252"/>
      <c r="D546" s="822"/>
      <c r="F546" s="309"/>
      <c r="J546" s="302"/>
    </row>
    <row r="547">
      <c r="B547" s="308"/>
      <c r="C547" s="252"/>
      <c r="D547" s="822"/>
      <c r="F547" s="309"/>
      <c r="J547" s="302"/>
    </row>
    <row r="548">
      <c r="B548" s="308"/>
      <c r="C548" s="252"/>
      <c r="D548" s="822"/>
      <c r="F548" s="309"/>
      <c r="J548" s="302"/>
    </row>
    <row r="549">
      <c r="B549" s="308"/>
      <c r="C549" s="252"/>
      <c r="D549" s="822"/>
      <c r="F549" s="309"/>
      <c r="J549" s="302"/>
    </row>
    <row r="550">
      <c r="B550" s="308"/>
      <c r="C550" s="252"/>
      <c r="D550" s="822"/>
      <c r="F550" s="309"/>
      <c r="J550" s="302"/>
    </row>
    <row r="551">
      <c r="B551" s="308"/>
      <c r="C551" s="252"/>
      <c r="D551" s="822"/>
      <c r="F551" s="309"/>
      <c r="J551" s="302"/>
    </row>
    <row r="552">
      <c r="B552" s="308"/>
      <c r="C552" s="252"/>
      <c r="D552" s="822"/>
      <c r="F552" s="309"/>
      <c r="J552" s="302"/>
    </row>
    <row r="553">
      <c r="B553" s="308"/>
      <c r="C553" s="252"/>
      <c r="D553" s="822"/>
      <c r="F553" s="309"/>
      <c r="J553" s="302"/>
    </row>
    <row r="554">
      <c r="B554" s="308"/>
      <c r="C554" s="252"/>
      <c r="D554" s="822"/>
      <c r="F554" s="309"/>
      <c r="J554" s="302"/>
    </row>
    <row r="555">
      <c r="B555" s="308"/>
      <c r="C555" s="252"/>
      <c r="D555" s="822"/>
      <c r="F555" s="309"/>
      <c r="J555" s="302"/>
    </row>
    <row r="556">
      <c r="B556" s="308"/>
      <c r="C556" s="252"/>
      <c r="D556" s="822"/>
      <c r="F556" s="309"/>
      <c r="J556" s="302"/>
    </row>
    <row r="557">
      <c r="B557" s="308"/>
      <c r="C557" s="252"/>
      <c r="D557" s="822"/>
      <c r="F557" s="309"/>
      <c r="J557" s="302"/>
    </row>
    <row r="558">
      <c r="B558" s="308"/>
      <c r="C558" s="252"/>
      <c r="D558" s="822"/>
      <c r="F558" s="309"/>
      <c r="J558" s="302"/>
    </row>
    <row r="559">
      <c r="B559" s="308"/>
      <c r="C559" s="252"/>
      <c r="D559" s="822"/>
      <c r="F559" s="309"/>
      <c r="J559" s="302"/>
    </row>
    <row r="560">
      <c r="B560" s="308"/>
      <c r="C560" s="252"/>
      <c r="D560" s="822"/>
      <c r="F560" s="309"/>
      <c r="J560" s="302"/>
    </row>
    <row r="561">
      <c r="B561" s="308"/>
      <c r="C561" s="252"/>
      <c r="D561" s="822"/>
      <c r="F561" s="309"/>
      <c r="J561" s="302"/>
    </row>
    <row r="562">
      <c r="B562" s="308"/>
      <c r="C562" s="252"/>
      <c r="D562" s="822"/>
      <c r="F562" s="309"/>
      <c r="J562" s="302"/>
    </row>
    <row r="563">
      <c r="B563" s="308"/>
      <c r="C563" s="252"/>
      <c r="D563" s="822"/>
      <c r="F563" s="309"/>
      <c r="J563" s="302"/>
    </row>
    <row r="564">
      <c r="B564" s="308"/>
      <c r="C564" s="252"/>
      <c r="D564" s="822"/>
      <c r="F564" s="309"/>
      <c r="J564" s="302"/>
    </row>
    <row r="565">
      <c r="B565" s="308"/>
      <c r="C565" s="252"/>
      <c r="D565" s="822"/>
      <c r="F565" s="309"/>
      <c r="J565" s="302"/>
    </row>
    <row r="566">
      <c r="B566" s="308"/>
      <c r="C566" s="252"/>
      <c r="D566" s="822"/>
      <c r="F566" s="309"/>
      <c r="J566" s="302"/>
    </row>
    <row r="567">
      <c r="B567" s="308"/>
      <c r="C567" s="252"/>
      <c r="D567" s="822"/>
      <c r="F567" s="309"/>
      <c r="J567" s="302"/>
    </row>
    <row r="568">
      <c r="B568" s="308"/>
      <c r="C568" s="252"/>
      <c r="D568" s="822"/>
      <c r="F568" s="309"/>
      <c r="J568" s="302"/>
    </row>
    <row r="569">
      <c r="B569" s="308"/>
      <c r="C569" s="252"/>
      <c r="D569" s="822"/>
      <c r="F569" s="309"/>
      <c r="J569" s="302"/>
    </row>
    <row r="570">
      <c r="B570" s="308"/>
      <c r="C570" s="252"/>
      <c r="D570" s="822"/>
      <c r="F570" s="309"/>
      <c r="J570" s="302"/>
    </row>
    <row r="571">
      <c r="B571" s="308"/>
      <c r="C571" s="252"/>
      <c r="D571" s="822"/>
      <c r="F571" s="309"/>
      <c r="J571" s="302"/>
    </row>
    <row r="572">
      <c r="B572" s="308"/>
      <c r="C572" s="252"/>
      <c r="D572" s="822"/>
      <c r="F572" s="309"/>
      <c r="J572" s="302"/>
    </row>
    <row r="573">
      <c r="B573" s="308"/>
      <c r="C573" s="252"/>
      <c r="D573" s="822"/>
      <c r="F573" s="309"/>
      <c r="J573" s="302"/>
    </row>
    <row r="574">
      <c r="B574" s="308"/>
      <c r="C574" s="252"/>
      <c r="D574" s="822"/>
      <c r="F574" s="309"/>
      <c r="J574" s="302"/>
    </row>
    <row r="575">
      <c r="B575" s="308"/>
      <c r="C575" s="252"/>
      <c r="D575" s="822"/>
      <c r="F575" s="309"/>
      <c r="J575" s="302"/>
    </row>
    <row r="576">
      <c r="B576" s="308"/>
      <c r="C576" s="252"/>
      <c r="D576" s="822"/>
      <c r="F576" s="309"/>
      <c r="J576" s="302"/>
    </row>
    <row r="577">
      <c r="B577" s="308"/>
      <c r="C577" s="252"/>
      <c r="D577" s="822"/>
      <c r="F577" s="309"/>
      <c r="J577" s="302"/>
    </row>
    <row r="578">
      <c r="B578" s="308"/>
      <c r="C578" s="252"/>
      <c r="D578" s="822"/>
      <c r="F578" s="309"/>
      <c r="J578" s="302"/>
    </row>
    <row r="579">
      <c r="B579" s="308"/>
      <c r="C579" s="252"/>
      <c r="D579" s="822"/>
      <c r="F579" s="309"/>
      <c r="J579" s="302"/>
    </row>
    <row r="580">
      <c r="B580" s="308"/>
      <c r="C580" s="252"/>
      <c r="D580" s="822"/>
      <c r="F580" s="309"/>
      <c r="J580" s="302"/>
    </row>
    <row r="581">
      <c r="B581" s="308"/>
      <c r="C581" s="252"/>
      <c r="D581" s="822"/>
      <c r="F581" s="309"/>
      <c r="J581" s="302"/>
    </row>
    <row r="582">
      <c r="B582" s="308"/>
      <c r="C582" s="252"/>
      <c r="D582" s="822"/>
      <c r="F582" s="309"/>
      <c r="J582" s="302"/>
    </row>
    <row r="583">
      <c r="B583" s="308"/>
      <c r="C583" s="252"/>
      <c r="D583" s="822"/>
      <c r="F583" s="309"/>
      <c r="J583" s="302"/>
    </row>
    <row r="584">
      <c r="B584" s="308"/>
      <c r="C584" s="252"/>
      <c r="D584" s="822"/>
      <c r="F584" s="309"/>
      <c r="J584" s="302"/>
    </row>
    <row r="585">
      <c r="B585" s="308"/>
      <c r="C585" s="252"/>
      <c r="D585" s="822"/>
      <c r="F585" s="309"/>
      <c r="J585" s="302"/>
    </row>
    <row r="586">
      <c r="B586" s="308"/>
      <c r="C586" s="252"/>
      <c r="D586" s="822"/>
      <c r="F586" s="309"/>
      <c r="J586" s="302"/>
    </row>
    <row r="587">
      <c r="B587" s="308"/>
      <c r="C587" s="252"/>
      <c r="D587" s="822"/>
      <c r="F587" s="309"/>
      <c r="J587" s="302"/>
    </row>
    <row r="588">
      <c r="B588" s="308"/>
      <c r="C588" s="252"/>
      <c r="D588" s="822"/>
      <c r="F588" s="309"/>
      <c r="J588" s="302"/>
    </row>
    <row r="589">
      <c r="B589" s="308"/>
      <c r="C589" s="252"/>
      <c r="D589" s="822"/>
      <c r="F589" s="309"/>
      <c r="J589" s="302"/>
    </row>
    <row r="590">
      <c r="B590" s="308"/>
      <c r="C590" s="252"/>
      <c r="D590" s="822"/>
      <c r="F590" s="309"/>
      <c r="J590" s="302"/>
    </row>
    <row r="591">
      <c r="B591" s="308"/>
      <c r="C591" s="252"/>
      <c r="D591" s="822"/>
      <c r="F591" s="309"/>
      <c r="J591" s="302"/>
    </row>
    <row r="592">
      <c r="B592" s="308"/>
      <c r="C592" s="252"/>
      <c r="D592" s="822"/>
      <c r="F592" s="309"/>
      <c r="J592" s="302"/>
    </row>
    <row r="593">
      <c r="B593" s="308"/>
      <c r="C593" s="252"/>
      <c r="D593" s="822"/>
      <c r="F593" s="309"/>
      <c r="J593" s="302"/>
    </row>
    <row r="594">
      <c r="B594" s="308"/>
      <c r="C594" s="252"/>
      <c r="D594" s="822"/>
      <c r="F594" s="309"/>
      <c r="J594" s="302"/>
    </row>
    <row r="595">
      <c r="B595" s="308"/>
      <c r="C595" s="252"/>
      <c r="D595" s="822"/>
      <c r="F595" s="309"/>
      <c r="J595" s="302"/>
    </row>
    <row r="596">
      <c r="B596" s="308"/>
      <c r="C596" s="252"/>
      <c r="D596" s="822"/>
      <c r="F596" s="309"/>
      <c r="J596" s="302"/>
    </row>
    <row r="597">
      <c r="B597" s="308"/>
      <c r="C597" s="252"/>
      <c r="D597" s="822"/>
      <c r="F597" s="309"/>
      <c r="J597" s="302"/>
    </row>
    <row r="598">
      <c r="B598" s="308"/>
      <c r="C598" s="252"/>
      <c r="D598" s="822"/>
      <c r="F598" s="309"/>
      <c r="J598" s="302"/>
    </row>
    <row r="599">
      <c r="B599" s="308"/>
      <c r="C599" s="252"/>
      <c r="D599" s="822"/>
      <c r="F599" s="309"/>
      <c r="J599" s="302"/>
    </row>
    <row r="600">
      <c r="B600" s="308"/>
      <c r="C600" s="252"/>
      <c r="D600" s="822"/>
      <c r="F600" s="309"/>
      <c r="J600" s="302"/>
    </row>
    <row r="601">
      <c r="B601" s="308"/>
      <c r="C601" s="252"/>
      <c r="D601" s="822"/>
      <c r="F601" s="309"/>
      <c r="J601" s="302"/>
    </row>
    <row r="602">
      <c r="B602" s="308"/>
      <c r="C602" s="252"/>
      <c r="D602" s="822"/>
      <c r="F602" s="309"/>
      <c r="J602" s="302"/>
    </row>
    <row r="603">
      <c r="B603" s="308"/>
      <c r="C603" s="252"/>
      <c r="D603" s="822"/>
      <c r="F603" s="309"/>
      <c r="J603" s="302"/>
    </row>
    <row r="604">
      <c r="B604" s="308"/>
      <c r="C604" s="252"/>
      <c r="D604" s="822"/>
      <c r="F604" s="309"/>
      <c r="J604" s="302"/>
    </row>
    <row r="605">
      <c r="B605" s="308"/>
      <c r="C605" s="252"/>
      <c r="D605" s="822"/>
      <c r="F605" s="309"/>
      <c r="J605" s="302"/>
    </row>
    <row r="606">
      <c r="B606" s="308"/>
      <c r="C606" s="252"/>
      <c r="D606" s="822"/>
      <c r="F606" s="309"/>
      <c r="J606" s="302"/>
    </row>
    <row r="607">
      <c r="B607" s="308"/>
      <c r="C607" s="252"/>
      <c r="D607" s="822"/>
      <c r="F607" s="309"/>
      <c r="J607" s="302"/>
    </row>
    <row r="608">
      <c r="B608" s="308"/>
      <c r="C608" s="252"/>
      <c r="D608" s="822"/>
      <c r="F608" s="309"/>
      <c r="J608" s="302"/>
    </row>
    <row r="609">
      <c r="B609" s="308"/>
      <c r="C609" s="252"/>
      <c r="D609" s="822"/>
      <c r="F609" s="309"/>
      <c r="J609" s="302"/>
    </row>
    <row r="610">
      <c r="B610" s="308"/>
      <c r="C610" s="252"/>
      <c r="D610" s="822"/>
      <c r="F610" s="309"/>
      <c r="J610" s="302"/>
    </row>
    <row r="611">
      <c r="B611" s="308"/>
      <c r="C611" s="252"/>
      <c r="D611" s="822"/>
      <c r="F611" s="309"/>
      <c r="J611" s="302"/>
    </row>
    <row r="612">
      <c r="B612" s="308"/>
      <c r="C612" s="252"/>
      <c r="D612" s="822"/>
      <c r="F612" s="309"/>
      <c r="J612" s="302"/>
    </row>
    <row r="613">
      <c r="B613" s="308"/>
      <c r="C613" s="252"/>
      <c r="D613" s="822"/>
      <c r="F613" s="309"/>
      <c r="J613" s="302"/>
    </row>
    <row r="614">
      <c r="B614" s="308"/>
      <c r="C614" s="252"/>
      <c r="D614" s="822"/>
      <c r="F614" s="309"/>
      <c r="J614" s="302"/>
    </row>
    <row r="615">
      <c r="B615" s="308"/>
      <c r="C615" s="252"/>
      <c r="D615" s="822"/>
      <c r="F615" s="309"/>
      <c r="J615" s="302"/>
    </row>
    <row r="616">
      <c r="B616" s="308"/>
      <c r="C616" s="252"/>
      <c r="D616" s="822"/>
      <c r="F616" s="309"/>
      <c r="J616" s="302"/>
    </row>
    <row r="617">
      <c r="B617" s="308"/>
      <c r="C617" s="252"/>
      <c r="D617" s="822"/>
      <c r="F617" s="309"/>
      <c r="J617" s="302"/>
    </row>
    <row r="618">
      <c r="B618" s="308"/>
      <c r="C618" s="252"/>
      <c r="D618" s="822"/>
      <c r="F618" s="309"/>
      <c r="J618" s="302"/>
    </row>
    <row r="619">
      <c r="B619" s="308"/>
      <c r="C619" s="252"/>
      <c r="D619" s="822"/>
      <c r="F619" s="309"/>
      <c r="J619" s="302"/>
    </row>
    <row r="620">
      <c r="B620" s="308"/>
      <c r="C620" s="252"/>
      <c r="D620" s="822"/>
      <c r="F620" s="309"/>
      <c r="J620" s="302"/>
    </row>
    <row r="621">
      <c r="B621" s="308"/>
      <c r="C621" s="252"/>
      <c r="D621" s="822"/>
      <c r="F621" s="309"/>
      <c r="J621" s="302"/>
    </row>
    <row r="622">
      <c r="B622" s="308"/>
      <c r="C622" s="252"/>
      <c r="D622" s="822"/>
      <c r="F622" s="309"/>
      <c r="J622" s="302"/>
    </row>
    <row r="623">
      <c r="B623" s="308"/>
      <c r="C623" s="252"/>
      <c r="D623" s="822"/>
      <c r="F623" s="309"/>
      <c r="J623" s="302"/>
    </row>
    <row r="624">
      <c r="B624" s="308"/>
      <c r="C624" s="252"/>
      <c r="D624" s="822"/>
      <c r="F624" s="309"/>
      <c r="J624" s="302"/>
    </row>
    <row r="625">
      <c r="B625" s="308"/>
      <c r="C625" s="252"/>
      <c r="D625" s="822"/>
      <c r="F625" s="309"/>
      <c r="J625" s="302"/>
    </row>
    <row r="626">
      <c r="B626" s="308"/>
      <c r="C626" s="252"/>
      <c r="D626" s="822"/>
      <c r="F626" s="309"/>
      <c r="J626" s="302"/>
    </row>
    <row r="627">
      <c r="B627" s="308"/>
      <c r="C627" s="252"/>
      <c r="D627" s="822"/>
      <c r="F627" s="309"/>
      <c r="J627" s="302"/>
    </row>
    <row r="628">
      <c r="B628" s="308"/>
      <c r="C628" s="252"/>
      <c r="D628" s="822"/>
      <c r="F628" s="309"/>
      <c r="J628" s="302"/>
    </row>
    <row r="629">
      <c r="B629" s="308"/>
      <c r="C629" s="252"/>
      <c r="D629" s="822"/>
      <c r="F629" s="309"/>
      <c r="J629" s="302"/>
    </row>
    <row r="630">
      <c r="B630" s="308"/>
      <c r="C630" s="252"/>
      <c r="D630" s="822"/>
      <c r="F630" s="309"/>
      <c r="J630" s="302"/>
    </row>
    <row r="631">
      <c r="B631" s="308"/>
      <c r="C631" s="252"/>
      <c r="D631" s="822"/>
      <c r="F631" s="309"/>
      <c r="J631" s="302"/>
    </row>
    <row r="632">
      <c r="B632" s="308"/>
      <c r="C632" s="252"/>
      <c r="D632" s="822"/>
      <c r="F632" s="309"/>
      <c r="J632" s="302"/>
    </row>
    <row r="633">
      <c r="B633" s="308"/>
      <c r="C633" s="252"/>
      <c r="D633" s="822"/>
      <c r="F633" s="309"/>
      <c r="J633" s="302"/>
    </row>
    <row r="634">
      <c r="B634" s="308"/>
      <c r="C634" s="252"/>
      <c r="D634" s="822"/>
      <c r="F634" s="309"/>
      <c r="J634" s="302"/>
    </row>
    <row r="635">
      <c r="B635" s="308"/>
      <c r="C635" s="252"/>
      <c r="D635" s="822"/>
      <c r="F635" s="309"/>
      <c r="J635" s="302"/>
    </row>
    <row r="636">
      <c r="B636" s="308"/>
      <c r="C636" s="252"/>
      <c r="D636" s="822"/>
      <c r="F636" s="309"/>
      <c r="J636" s="302"/>
    </row>
    <row r="637">
      <c r="B637" s="308"/>
      <c r="C637" s="252"/>
      <c r="D637" s="822"/>
      <c r="F637" s="309"/>
      <c r="J637" s="302"/>
    </row>
    <row r="638">
      <c r="B638" s="308"/>
      <c r="C638" s="252"/>
      <c r="D638" s="822"/>
      <c r="F638" s="309"/>
      <c r="J638" s="302"/>
    </row>
    <row r="639">
      <c r="B639" s="308"/>
      <c r="C639" s="252"/>
      <c r="D639" s="822"/>
      <c r="F639" s="309"/>
      <c r="J639" s="302"/>
    </row>
    <row r="640">
      <c r="B640" s="308"/>
      <c r="C640" s="252"/>
      <c r="D640" s="822"/>
      <c r="F640" s="309"/>
      <c r="J640" s="302"/>
    </row>
    <row r="641">
      <c r="B641" s="308"/>
      <c r="C641" s="252"/>
      <c r="D641" s="822"/>
      <c r="F641" s="309"/>
      <c r="J641" s="302"/>
    </row>
    <row r="642">
      <c r="B642" s="308"/>
      <c r="C642" s="252"/>
      <c r="D642" s="822"/>
      <c r="F642" s="309"/>
      <c r="J642" s="302"/>
    </row>
    <row r="643">
      <c r="B643" s="308"/>
      <c r="C643" s="252"/>
      <c r="D643" s="822"/>
      <c r="F643" s="309"/>
      <c r="J643" s="302"/>
    </row>
    <row r="644">
      <c r="B644" s="308"/>
      <c r="C644" s="252"/>
      <c r="D644" s="822"/>
      <c r="F644" s="309"/>
      <c r="J644" s="302"/>
    </row>
    <row r="645">
      <c r="B645" s="308"/>
      <c r="C645" s="252"/>
      <c r="D645" s="822"/>
      <c r="F645" s="309"/>
      <c r="J645" s="302"/>
    </row>
    <row r="646">
      <c r="B646" s="308"/>
      <c r="C646" s="252"/>
      <c r="D646" s="822"/>
      <c r="F646" s="309"/>
      <c r="J646" s="302"/>
    </row>
    <row r="647">
      <c r="B647" s="308"/>
      <c r="C647" s="252"/>
      <c r="D647" s="822"/>
      <c r="F647" s="309"/>
      <c r="J647" s="302"/>
    </row>
    <row r="648">
      <c r="B648" s="308"/>
      <c r="C648" s="252"/>
      <c r="D648" s="822"/>
      <c r="F648" s="309"/>
      <c r="J648" s="302"/>
    </row>
    <row r="649">
      <c r="B649" s="308"/>
      <c r="C649" s="252"/>
      <c r="D649" s="822"/>
      <c r="F649" s="309"/>
      <c r="J649" s="302"/>
    </row>
    <row r="650">
      <c r="B650" s="308"/>
      <c r="C650" s="252"/>
      <c r="D650" s="822"/>
      <c r="F650" s="309"/>
      <c r="J650" s="302"/>
    </row>
    <row r="651">
      <c r="B651" s="308"/>
      <c r="C651" s="252"/>
      <c r="D651" s="822"/>
      <c r="F651" s="309"/>
      <c r="J651" s="302"/>
    </row>
    <row r="652">
      <c r="B652" s="308"/>
      <c r="C652" s="252"/>
      <c r="D652" s="822"/>
      <c r="F652" s="309"/>
      <c r="J652" s="302"/>
    </row>
    <row r="653">
      <c r="B653" s="308"/>
      <c r="C653" s="252"/>
      <c r="D653" s="822"/>
      <c r="F653" s="309"/>
      <c r="J653" s="302"/>
    </row>
    <row r="654">
      <c r="B654" s="308"/>
      <c r="C654" s="252"/>
      <c r="D654" s="822"/>
      <c r="F654" s="309"/>
      <c r="J654" s="302"/>
    </row>
    <row r="655">
      <c r="B655" s="308"/>
      <c r="C655" s="252"/>
      <c r="D655" s="822"/>
      <c r="F655" s="309"/>
      <c r="J655" s="302"/>
    </row>
    <row r="656">
      <c r="B656" s="308"/>
      <c r="C656" s="252"/>
      <c r="D656" s="822"/>
      <c r="F656" s="309"/>
      <c r="J656" s="302"/>
    </row>
    <row r="657">
      <c r="B657" s="308"/>
      <c r="C657" s="252"/>
      <c r="D657" s="822"/>
      <c r="F657" s="309"/>
      <c r="J657" s="302"/>
    </row>
    <row r="658">
      <c r="B658" s="308"/>
      <c r="C658" s="252"/>
      <c r="D658" s="822"/>
      <c r="F658" s="309"/>
      <c r="J658" s="302"/>
    </row>
    <row r="659">
      <c r="B659" s="308"/>
      <c r="C659" s="252"/>
      <c r="D659" s="822"/>
      <c r="F659" s="309"/>
      <c r="J659" s="302"/>
    </row>
    <row r="660">
      <c r="B660" s="308"/>
      <c r="C660" s="252"/>
      <c r="D660" s="822"/>
      <c r="F660" s="309"/>
      <c r="J660" s="302"/>
    </row>
    <row r="661">
      <c r="B661" s="308"/>
      <c r="C661" s="252"/>
      <c r="D661" s="822"/>
      <c r="F661" s="309"/>
      <c r="J661" s="302"/>
    </row>
    <row r="662">
      <c r="B662" s="308"/>
      <c r="C662" s="252"/>
      <c r="D662" s="822"/>
      <c r="F662" s="309"/>
      <c r="J662" s="302"/>
    </row>
    <row r="663">
      <c r="B663" s="308"/>
      <c r="C663" s="252"/>
      <c r="D663" s="822"/>
      <c r="F663" s="309"/>
      <c r="J663" s="302"/>
    </row>
    <row r="664">
      <c r="B664" s="308"/>
      <c r="C664" s="252"/>
      <c r="D664" s="822"/>
      <c r="F664" s="309"/>
      <c r="J664" s="302"/>
    </row>
    <row r="665">
      <c r="B665" s="308"/>
      <c r="C665" s="252"/>
      <c r="D665" s="822"/>
      <c r="F665" s="309"/>
      <c r="J665" s="302"/>
    </row>
    <row r="666">
      <c r="B666" s="308"/>
      <c r="C666" s="252"/>
      <c r="D666" s="822"/>
      <c r="F666" s="309"/>
      <c r="J666" s="302"/>
    </row>
    <row r="667">
      <c r="B667" s="308"/>
      <c r="C667" s="252"/>
      <c r="D667" s="822"/>
      <c r="F667" s="309"/>
      <c r="J667" s="302"/>
    </row>
    <row r="668">
      <c r="B668" s="308"/>
      <c r="C668" s="252"/>
      <c r="D668" s="822"/>
      <c r="F668" s="309"/>
      <c r="J668" s="302"/>
    </row>
    <row r="669">
      <c r="B669" s="308"/>
      <c r="C669" s="252"/>
      <c r="D669" s="822"/>
      <c r="F669" s="309"/>
      <c r="J669" s="302"/>
    </row>
    <row r="670">
      <c r="B670" s="308"/>
      <c r="C670" s="252"/>
      <c r="D670" s="822"/>
      <c r="F670" s="309"/>
      <c r="J670" s="302"/>
    </row>
    <row r="671">
      <c r="B671" s="308"/>
      <c r="C671" s="252"/>
      <c r="D671" s="822"/>
      <c r="F671" s="309"/>
      <c r="J671" s="302"/>
    </row>
    <row r="672">
      <c r="B672" s="308"/>
      <c r="C672" s="252"/>
      <c r="D672" s="822"/>
      <c r="F672" s="309"/>
      <c r="J672" s="302"/>
    </row>
    <row r="673">
      <c r="B673" s="308"/>
      <c r="C673" s="252"/>
      <c r="D673" s="822"/>
      <c r="F673" s="309"/>
      <c r="J673" s="302"/>
    </row>
    <row r="674">
      <c r="B674" s="308"/>
      <c r="C674" s="252"/>
      <c r="D674" s="822"/>
      <c r="F674" s="309"/>
      <c r="J674" s="302"/>
    </row>
    <row r="675">
      <c r="B675" s="308"/>
      <c r="C675" s="252"/>
      <c r="D675" s="822"/>
      <c r="F675" s="309"/>
      <c r="J675" s="302"/>
    </row>
    <row r="676">
      <c r="B676" s="308"/>
      <c r="C676" s="252"/>
      <c r="D676" s="822"/>
      <c r="F676" s="309"/>
      <c r="J676" s="302"/>
    </row>
    <row r="677">
      <c r="B677" s="308"/>
      <c r="C677" s="252"/>
      <c r="D677" s="822"/>
      <c r="F677" s="309"/>
      <c r="J677" s="302"/>
    </row>
    <row r="678">
      <c r="B678" s="308"/>
      <c r="C678" s="252"/>
      <c r="D678" s="822"/>
      <c r="F678" s="309"/>
      <c r="J678" s="302"/>
    </row>
    <row r="679">
      <c r="B679" s="308"/>
      <c r="C679" s="252"/>
      <c r="D679" s="822"/>
      <c r="F679" s="309"/>
      <c r="J679" s="302"/>
    </row>
    <row r="680">
      <c r="B680" s="308"/>
      <c r="C680" s="252"/>
      <c r="D680" s="822"/>
      <c r="F680" s="309"/>
      <c r="J680" s="302"/>
    </row>
    <row r="681">
      <c r="B681" s="308"/>
      <c r="C681" s="252"/>
      <c r="D681" s="822"/>
      <c r="F681" s="309"/>
      <c r="J681" s="302"/>
    </row>
    <row r="682">
      <c r="B682" s="308"/>
      <c r="C682" s="252"/>
      <c r="D682" s="822"/>
      <c r="F682" s="309"/>
      <c r="J682" s="302"/>
    </row>
    <row r="683">
      <c r="B683" s="308"/>
      <c r="C683" s="252"/>
      <c r="D683" s="822"/>
      <c r="F683" s="309"/>
      <c r="J683" s="302"/>
    </row>
    <row r="684">
      <c r="B684" s="308"/>
      <c r="C684" s="252"/>
      <c r="D684" s="822"/>
      <c r="F684" s="309"/>
      <c r="J684" s="302"/>
    </row>
    <row r="685">
      <c r="B685" s="308"/>
      <c r="C685" s="252"/>
      <c r="D685" s="822"/>
      <c r="F685" s="309"/>
      <c r="J685" s="302"/>
    </row>
    <row r="686">
      <c r="B686" s="308"/>
      <c r="C686" s="252"/>
      <c r="D686" s="822"/>
      <c r="F686" s="309"/>
      <c r="J686" s="302"/>
    </row>
    <row r="687">
      <c r="B687" s="308"/>
      <c r="C687" s="252"/>
      <c r="D687" s="822"/>
      <c r="F687" s="309"/>
      <c r="J687" s="302"/>
    </row>
    <row r="688">
      <c r="B688" s="308"/>
      <c r="C688" s="252"/>
      <c r="D688" s="822"/>
      <c r="F688" s="309"/>
      <c r="J688" s="302"/>
    </row>
    <row r="689">
      <c r="B689" s="308"/>
      <c r="C689" s="252"/>
      <c r="D689" s="822"/>
      <c r="F689" s="309"/>
      <c r="J689" s="302"/>
    </row>
    <row r="690">
      <c r="B690" s="308"/>
      <c r="C690" s="252"/>
      <c r="D690" s="822"/>
      <c r="F690" s="309"/>
      <c r="J690" s="302"/>
    </row>
    <row r="691">
      <c r="B691" s="308"/>
      <c r="C691" s="252"/>
      <c r="D691" s="822"/>
      <c r="F691" s="309"/>
      <c r="J691" s="302"/>
    </row>
    <row r="692">
      <c r="B692" s="308"/>
      <c r="C692" s="252"/>
      <c r="D692" s="822"/>
      <c r="F692" s="309"/>
      <c r="J692" s="302"/>
    </row>
    <row r="693">
      <c r="B693" s="308"/>
      <c r="C693" s="252"/>
      <c r="D693" s="822"/>
      <c r="F693" s="309"/>
      <c r="J693" s="302"/>
    </row>
    <row r="694">
      <c r="B694" s="308"/>
      <c r="C694" s="252"/>
      <c r="D694" s="822"/>
      <c r="F694" s="309"/>
      <c r="J694" s="302"/>
    </row>
    <row r="695">
      <c r="B695" s="308"/>
      <c r="C695" s="252"/>
      <c r="D695" s="822"/>
      <c r="F695" s="309"/>
      <c r="J695" s="302"/>
    </row>
    <row r="696">
      <c r="B696" s="308"/>
      <c r="C696" s="252"/>
      <c r="D696" s="822"/>
      <c r="F696" s="309"/>
      <c r="J696" s="302"/>
    </row>
    <row r="697">
      <c r="B697" s="308"/>
      <c r="C697" s="252"/>
      <c r="D697" s="822"/>
      <c r="F697" s="309"/>
      <c r="J697" s="302"/>
    </row>
    <row r="698">
      <c r="B698" s="308"/>
      <c r="C698" s="252"/>
      <c r="D698" s="822"/>
      <c r="F698" s="309"/>
      <c r="J698" s="302"/>
    </row>
    <row r="699">
      <c r="B699" s="308"/>
      <c r="C699" s="252"/>
      <c r="D699" s="822"/>
      <c r="F699" s="309"/>
      <c r="J699" s="302"/>
    </row>
    <row r="700">
      <c r="B700" s="308"/>
      <c r="C700" s="252"/>
      <c r="D700" s="822"/>
      <c r="F700" s="309"/>
      <c r="J700" s="302"/>
    </row>
    <row r="701">
      <c r="B701" s="308"/>
      <c r="C701" s="252"/>
      <c r="D701" s="822"/>
      <c r="F701" s="309"/>
      <c r="J701" s="302"/>
    </row>
    <row r="702">
      <c r="B702" s="308"/>
      <c r="C702" s="252"/>
      <c r="D702" s="822"/>
      <c r="F702" s="309"/>
      <c r="J702" s="302"/>
    </row>
    <row r="703">
      <c r="B703" s="308"/>
      <c r="C703" s="252"/>
      <c r="D703" s="822"/>
      <c r="F703" s="309"/>
      <c r="J703" s="302"/>
    </row>
    <row r="704">
      <c r="B704" s="308"/>
      <c r="C704" s="252"/>
      <c r="D704" s="822"/>
      <c r="F704" s="309"/>
      <c r="J704" s="302"/>
    </row>
    <row r="705">
      <c r="B705" s="308"/>
      <c r="C705" s="252"/>
      <c r="D705" s="822"/>
      <c r="F705" s="309"/>
      <c r="J705" s="302"/>
    </row>
    <row r="706">
      <c r="B706" s="308"/>
      <c r="C706" s="252"/>
      <c r="D706" s="822"/>
      <c r="F706" s="309"/>
      <c r="J706" s="302"/>
    </row>
    <row r="707">
      <c r="B707" s="308"/>
      <c r="C707" s="252"/>
      <c r="D707" s="822"/>
      <c r="F707" s="309"/>
      <c r="J707" s="302"/>
    </row>
    <row r="708">
      <c r="B708" s="308"/>
      <c r="C708" s="252"/>
      <c r="D708" s="822"/>
      <c r="F708" s="309"/>
      <c r="J708" s="302"/>
    </row>
    <row r="709">
      <c r="B709" s="308"/>
      <c r="C709" s="252"/>
      <c r="D709" s="822"/>
      <c r="F709" s="309"/>
      <c r="J709" s="302"/>
    </row>
    <row r="710">
      <c r="B710" s="308"/>
      <c r="C710" s="252"/>
      <c r="D710" s="822"/>
      <c r="F710" s="309"/>
      <c r="J710" s="302"/>
    </row>
    <row r="711">
      <c r="B711" s="308"/>
      <c r="C711" s="252"/>
      <c r="D711" s="822"/>
      <c r="F711" s="309"/>
      <c r="J711" s="302"/>
    </row>
    <row r="712">
      <c r="B712" s="308"/>
      <c r="C712" s="252"/>
      <c r="D712" s="822"/>
      <c r="F712" s="309"/>
      <c r="J712" s="302"/>
    </row>
    <row r="713">
      <c r="B713" s="308"/>
      <c r="C713" s="252"/>
      <c r="D713" s="822"/>
      <c r="F713" s="309"/>
      <c r="J713" s="302"/>
    </row>
    <row r="714">
      <c r="B714" s="308"/>
      <c r="C714" s="252"/>
      <c r="D714" s="822"/>
      <c r="F714" s="309"/>
      <c r="J714" s="302"/>
    </row>
    <row r="715">
      <c r="B715" s="308"/>
      <c r="C715" s="252"/>
      <c r="D715" s="822"/>
      <c r="F715" s="309"/>
      <c r="J715" s="302"/>
    </row>
    <row r="716">
      <c r="B716" s="308"/>
      <c r="C716" s="252"/>
      <c r="D716" s="822"/>
      <c r="F716" s="309"/>
      <c r="J716" s="302"/>
    </row>
    <row r="717">
      <c r="B717" s="308"/>
      <c r="C717" s="252"/>
      <c r="D717" s="822"/>
      <c r="F717" s="309"/>
      <c r="J717" s="302"/>
    </row>
    <row r="718">
      <c r="B718" s="308"/>
      <c r="C718" s="252"/>
      <c r="D718" s="822"/>
      <c r="F718" s="309"/>
      <c r="J718" s="302"/>
    </row>
    <row r="719">
      <c r="B719" s="308"/>
      <c r="C719" s="252"/>
      <c r="D719" s="822"/>
      <c r="F719" s="309"/>
      <c r="J719" s="302"/>
    </row>
    <row r="720">
      <c r="B720" s="308"/>
      <c r="C720" s="252"/>
      <c r="D720" s="822"/>
      <c r="F720" s="309"/>
      <c r="J720" s="302"/>
    </row>
    <row r="721">
      <c r="B721" s="308"/>
      <c r="C721" s="252"/>
      <c r="D721" s="822"/>
      <c r="F721" s="309"/>
      <c r="J721" s="302"/>
    </row>
    <row r="722">
      <c r="B722" s="308"/>
      <c r="C722" s="252"/>
      <c r="D722" s="822"/>
      <c r="F722" s="309"/>
      <c r="J722" s="302"/>
    </row>
    <row r="723">
      <c r="B723" s="308"/>
      <c r="C723" s="252"/>
      <c r="D723" s="822"/>
      <c r="F723" s="309"/>
      <c r="J723" s="302"/>
    </row>
    <row r="724">
      <c r="B724" s="308"/>
      <c r="C724" s="252"/>
      <c r="D724" s="822"/>
      <c r="F724" s="309"/>
      <c r="J724" s="302"/>
    </row>
    <row r="725">
      <c r="B725" s="308"/>
      <c r="C725" s="252"/>
      <c r="D725" s="822"/>
      <c r="F725" s="309"/>
      <c r="J725" s="302"/>
    </row>
    <row r="726">
      <c r="B726" s="308"/>
      <c r="C726" s="252"/>
      <c r="D726" s="822"/>
      <c r="F726" s="309"/>
      <c r="J726" s="302"/>
    </row>
    <row r="727">
      <c r="B727" s="308"/>
      <c r="C727" s="252"/>
      <c r="D727" s="822"/>
      <c r="F727" s="309"/>
      <c r="J727" s="302"/>
    </row>
    <row r="728">
      <c r="B728" s="308"/>
      <c r="C728" s="252"/>
      <c r="D728" s="822"/>
      <c r="F728" s="309"/>
      <c r="J728" s="302"/>
    </row>
    <row r="729">
      <c r="B729" s="308"/>
      <c r="C729" s="252"/>
      <c r="D729" s="822"/>
      <c r="F729" s="309"/>
      <c r="J729" s="302"/>
    </row>
    <row r="730">
      <c r="B730" s="308"/>
      <c r="C730" s="252"/>
      <c r="D730" s="822"/>
      <c r="F730" s="309"/>
      <c r="J730" s="302"/>
    </row>
    <row r="731">
      <c r="B731" s="308"/>
      <c r="C731" s="252"/>
      <c r="D731" s="822"/>
      <c r="F731" s="309"/>
      <c r="J731" s="302"/>
    </row>
  </sheetData>
  <mergeCells count="31">
    <mergeCell ref="G1:I1"/>
    <mergeCell ref="A2:A14"/>
    <mergeCell ref="A15:A27"/>
    <mergeCell ref="A28:A39"/>
    <mergeCell ref="A42:A51"/>
    <mergeCell ref="A52:A65"/>
    <mergeCell ref="A66:A77"/>
    <mergeCell ref="A78:A93"/>
    <mergeCell ref="A94:A107"/>
    <mergeCell ref="A108:A125"/>
    <mergeCell ref="A126:A140"/>
    <mergeCell ref="A141:A155"/>
    <mergeCell ref="A156:A165"/>
    <mergeCell ref="A166:A180"/>
    <mergeCell ref="A181:A196"/>
    <mergeCell ref="A197:A211"/>
    <mergeCell ref="A212:A223"/>
    <mergeCell ref="A224:A238"/>
    <mergeCell ref="A239:A252"/>
    <mergeCell ref="A253:A266"/>
    <mergeCell ref="A267:A279"/>
    <mergeCell ref="A384:A395"/>
    <mergeCell ref="A403:A412"/>
    <mergeCell ref="A413:A422"/>
    <mergeCell ref="A280:A293"/>
    <mergeCell ref="A294:A308"/>
    <mergeCell ref="A309:A323"/>
    <mergeCell ref="A324:A336"/>
    <mergeCell ref="A337:A354"/>
    <mergeCell ref="A355:A372"/>
    <mergeCell ref="A373:A38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6"/>
      <c r="I1" s="637"/>
      <c r="J1" s="413" t="s">
        <v>2782</v>
      </c>
    </row>
    <row r="2">
      <c r="A2" s="816">
        <v>1.0</v>
      </c>
      <c r="B2" s="247">
        <v>5729.55</v>
      </c>
      <c r="C2" s="263"/>
      <c r="D2" s="824"/>
      <c r="E2" s="242"/>
      <c r="F2" s="243"/>
      <c r="G2" s="244" t="s">
        <v>58</v>
      </c>
      <c r="H2" s="244"/>
      <c r="I2" s="244"/>
      <c r="J2" s="307"/>
    </row>
    <row r="3">
      <c r="A3" s="265"/>
      <c r="B3" s="247"/>
      <c r="C3" s="248"/>
      <c r="D3" s="331"/>
      <c r="F3" s="250">
        <v>1700.0</v>
      </c>
      <c r="G3" s="2" t="s">
        <v>346</v>
      </c>
      <c r="J3" s="251"/>
    </row>
    <row r="4">
      <c r="A4" s="265"/>
      <c r="B4" s="247"/>
      <c r="C4" s="252"/>
      <c r="D4" s="331"/>
      <c r="F4" s="250">
        <f>268+3987</f>
        <v>4255</v>
      </c>
      <c r="G4" s="254" t="s">
        <v>63</v>
      </c>
      <c r="H4" s="269"/>
      <c r="I4" s="269"/>
      <c r="J4" s="251"/>
    </row>
    <row r="5">
      <c r="A5" s="265"/>
      <c r="B5" s="247">
        <v>830.0</v>
      </c>
      <c r="C5" s="252"/>
      <c r="D5" s="822"/>
      <c r="F5" s="250"/>
      <c r="G5" s="254" t="s">
        <v>288</v>
      </c>
      <c r="H5" s="269"/>
      <c r="I5" s="269"/>
      <c r="J5" s="251"/>
    </row>
    <row r="6">
      <c r="A6" s="265"/>
      <c r="B6" s="247">
        <v>4200.0</v>
      </c>
      <c r="C6" s="248"/>
      <c r="D6" s="331"/>
      <c r="F6" s="250"/>
      <c r="G6" s="254" t="s">
        <v>776</v>
      </c>
      <c r="H6" s="269"/>
      <c r="I6" s="269"/>
      <c r="J6" s="251"/>
    </row>
    <row r="7">
      <c r="A7" s="265"/>
      <c r="B7" s="247">
        <v>15473.0</v>
      </c>
      <c r="C7" s="252"/>
      <c r="D7" s="822"/>
      <c r="F7" s="250"/>
      <c r="G7" s="254" t="s">
        <v>2748</v>
      </c>
      <c r="H7" s="254" t="s">
        <v>2859</v>
      </c>
      <c r="I7" s="254"/>
      <c r="J7" s="267"/>
    </row>
    <row r="8">
      <c r="A8" s="265"/>
      <c r="B8" s="268"/>
      <c r="C8" s="252"/>
      <c r="D8" s="822"/>
      <c r="F8" s="250"/>
      <c r="G8" s="254"/>
      <c r="H8" s="269"/>
      <c r="I8" s="269"/>
      <c r="J8" s="267"/>
    </row>
    <row r="9">
      <c r="A9" s="265"/>
      <c r="B9" s="247"/>
      <c r="C9" s="252"/>
      <c r="D9" s="822"/>
      <c r="F9" s="250"/>
      <c r="G9" s="254"/>
      <c r="H9" s="269"/>
      <c r="I9" s="269"/>
      <c r="J9" s="251"/>
    </row>
    <row r="10">
      <c r="A10" s="265"/>
      <c r="B10" s="268"/>
      <c r="C10" s="252"/>
      <c r="D10" s="822"/>
      <c r="F10" s="250"/>
      <c r="G10" s="254"/>
      <c r="H10" s="269"/>
      <c r="I10" s="269"/>
      <c r="J10" s="251"/>
    </row>
    <row r="11">
      <c r="A11" s="265"/>
      <c r="B11" s="278"/>
      <c r="C11" s="252"/>
      <c r="D11" s="822"/>
      <c r="F11" s="250"/>
      <c r="G11" s="254"/>
      <c r="H11" s="269"/>
      <c r="I11" s="269"/>
      <c r="J11" s="251"/>
    </row>
    <row r="12">
      <c r="A12" s="265"/>
      <c r="B12" s="278"/>
      <c r="C12" s="252"/>
      <c r="D12" s="822"/>
      <c r="F12" s="250"/>
      <c r="G12" s="254"/>
      <c r="H12" s="269"/>
      <c r="I12" s="269"/>
      <c r="J12" s="251"/>
    </row>
    <row r="13">
      <c r="A13" s="270"/>
      <c r="B13" s="271"/>
      <c r="C13" s="272"/>
      <c r="D13" s="823"/>
      <c r="E13" s="18"/>
      <c r="F13" s="259"/>
      <c r="G13" s="260"/>
      <c r="H13" s="275"/>
      <c r="I13" s="275"/>
      <c r="J13" s="261"/>
    </row>
    <row r="14">
      <c r="A14" s="816">
        <v>2.0</v>
      </c>
      <c r="B14" s="247"/>
      <c r="C14" s="263"/>
      <c r="D14" s="821"/>
      <c r="E14" s="242"/>
      <c r="F14" s="243">
        <f>560+119.8</f>
        <v>679.8</v>
      </c>
      <c r="G14" s="276" t="s">
        <v>63</v>
      </c>
      <c r="H14" s="276"/>
      <c r="I14" s="276"/>
      <c r="J14" s="307"/>
    </row>
    <row r="15">
      <c r="A15" s="265"/>
      <c r="B15" s="247"/>
      <c r="C15" s="248"/>
      <c r="D15" s="822"/>
      <c r="F15" s="250">
        <v>560.0</v>
      </c>
      <c r="G15" s="254" t="s">
        <v>1750</v>
      </c>
      <c r="H15" s="269"/>
      <c r="I15" s="269"/>
      <c r="J15" s="251"/>
    </row>
    <row r="16">
      <c r="A16" s="265"/>
      <c r="B16" s="247"/>
      <c r="C16" s="248"/>
      <c r="D16" s="331"/>
      <c r="F16" s="250">
        <f>1390+3987</f>
        <v>5377</v>
      </c>
      <c r="G16" s="254" t="s">
        <v>97</v>
      </c>
      <c r="H16" s="269"/>
      <c r="I16" s="269"/>
      <c r="J16" s="251"/>
    </row>
    <row r="17">
      <c r="A17" s="265"/>
      <c r="B17" s="247"/>
      <c r="C17" s="252"/>
      <c r="D17" s="331"/>
      <c r="F17" s="250">
        <v>9400.0</v>
      </c>
      <c r="G17" s="254" t="s">
        <v>2669</v>
      </c>
      <c r="H17" s="269"/>
      <c r="I17" s="269"/>
      <c r="J17" s="251"/>
    </row>
    <row r="18">
      <c r="A18" s="265"/>
      <c r="B18" s="247"/>
      <c r="C18" s="252"/>
      <c r="D18" s="331"/>
      <c r="F18" s="250">
        <v>1000.0</v>
      </c>
      <c r="G18" s="254" t="s">
        <v>2860</v>
      </c>
      <c r="H18" s="269"/>
      <c r="I18" s="269"/>
      <c r="J18" s="251"/>
    </row>
    <row r="19">
      <c r="A19" s="265"/>
      <c r="B19" s="247"/>
      <c r="C19" s="248"/>
      <c r="D19" s="331"/>
      <c r="F19" s="250"/>
      <c r="G19" s="254"/>
      <c r="H19" s="269"/>
      <c r="I19" s="269"/>
      <c r="J19" s="251"/>
    </row>
    <row r="20">
      <c r="A20" s="265"/>
      <c r="B20" s="247"/>
      <c r="C20" s="252"/>
      <c r="D20" s="822"/>
      <c r="F20" s="250"/>
      <c r="G20" s="254"/>
      <c r="H20" s="269"/>
      <c r="I20" s="269"/>
      <c r="J20" s="251"/>
    </row>
    <row r="21">
      <c r="A21" s="265"/>
      <c r="B21" s="247"/>
      <c r="C21" s="252"/>
      <c r="D21" s="331"/>
      <c r="F21" s="250"/>
      <c r="G21" s="254"/>
      <c r="H21" s="269"/>
      <c r="I21" s="269"/>
      <c r="J21" s="251"/>
    </row>
    <row r="22">
      <c r="A22" s="265"/>
      <c r="B22" s="247"/>
      <c r="C22" s="252"/>
      <c r="D22" s="822"/>
      <c r="F22" s="250"/>
      <c r="G22" s="254"/>
      <c r="H22" s="254"/>
      <c r="I22" s="269"/>
      <c r="J22" s="251"/>
    </row>
    <row r="23">
      <c r="A23" s="265"/>
      <c r="B23" s="278"/>
      <c r="C23" s="252"/>
      <c r="D23" s="822"/>
      <c r="F23" s="250"/>
      <c r="G23" s="254"/>
      <c r="H23" s="254"/>
      <c r="I23" s="269"/>
      <c r="J23" s="251"/>
    </row>
    <row r="24">
      <c r="A24" s="265"/>
      <c r="B24" s="278"/>
      <c r="C24" s="252"/>
      <c r="D24" s="822"/>
      <c r="F24" s="250"/>
      <c r="G24" s="269"/>
      <c r="H24" s="269"/>
      <c r="I24" s="269"/>
      <c r="J24" s="251"/>
    </row>
    <row r="25">
      <c r="A25" s="265"/>
      <c r="B25" s="278"/>
      <c r="C25" s="252"/>
      <c r="D25" s="822"/>
      <c r="F25" s="250"/>
      <c r="G25" s="269"/>
      <c r="H25" s="269"/>
      <c r="I25" s="269"/>
      <c r="J25" s="251"/>
    </row>
    <row r="26">
      <c r="A26" s="270"/>
      <c r="B26" s="271"/>
      <c r="C26" s="272"/>
      <c r="D26" s="823"/>
      <c r="E26" s="18"/>
      <c r="F26" s="274"/>
      <c r="G26" s="275"/>
      <c r="H26" s="275"/>
      <c r="I26" s="275"/>
      <c r="J26" s="261"/>
    </row>
    <row r="27">
      <c r="A27" s="262">
        <v>3.0</v>
      </c>
      <c r="B27" s="239"/>
      <c r="C27" s="263"/>
      <c r="D27" s="824"/>
      <c r="E27" s="242"/>
      <c r="F27" s="250"/>
      <c r="G27" s="276"/>
      <c r="H27" s="276"/>
      <c r="I27" s="276"/>
      <c r="J27" s="307"/>
    </row>
    <row r="28">
      <c r="A28" s="265"/>
      <c r="B28" s="247"/>
      <c r="C28" s="248"/>
      <c r="D28" s="822"/>
      <c r="F28" s="266"/>
      <c r="G28" s="254"/>
      <c r="H28" s="269"/>
      <c r="I28" s="269"/>
      <c r="J28" s="251"/>
    </row>
    <row r="29">
      <c r="A29" s="265"/>
      <c r="B29" s="247"/>
      <c r="C29" s="248"/>
      <c r="D29" s="822"/>
      <c r="F29" s="250"/>
      <c r="G29" s="254"/>
      <c r="H29" s="269"/>
      <c r="I29" s="269"/>
      <c r="J29" s="251"/>
    </row>
    <row r="30">
      <c r="A30" s="265"/>
      <c r="B30" s="247"/>
      <c r="C30" s="252"/>
      <c r="D30" s="822"/>
      <c r="F30" s="250"/>
      <c r="G30" s="254"/>
      <c r="H30" s="269"/>
      <c r="I30" s="269"/>
      <c r="J30" s="251"/>
    </row>
    <row r="31">
      <c r="A31" s="265"/>
      <c r="B31" s="247"/>
      <c r="C31" s="248"/>
      <c r="D31" s="822"/>
      <c r="F31" s="250"/>
      <c r="G31" s="254"/>
      <c r="H31" s="269"/>
      <c r="I31" s="269"/>
      <c r="J31" s="251"/>
    </row>
    <row r="32">
      <c r="A32" s="265"/>
      <c r="B32" s="247"/>
      <c r="C32" s="252"/>
      <c r="D32" s="822"/>
      <c r="F32" s="250"/>
      <c r="G32" s="254"/>
      <c r="H32" s="269"/>
      <c r="I32" s="269"/>
      <c r="J32" s="251"/>
    </row>
    <row r="33">
      <c r="A33" s="265"/>
      <c r="B33" s="247"/>
      <c r="C33" s="252"/>
      <c r="D33" s="822"/>
      <c r="F33" s="250"/>
      <c r="G33" s="254"/>
      <c r="H33" s="269"/>
      <c r="I33" s="269"/>
      <c r="J33" s="251"/>
    </row>
    <row r="34">
      <c r="A34" s="265"/>
      <c r="B34" s="247"/>
      <c r="C34" s="252"/>
      <c r="D34" s="331"/>
      <c r="F34" s="250"/>
      <c r="G34" s="254"/>
      <c r="H34" s="269"/>
      <c r="I34" s="269"/>
      <c r="J34" s="267"/>
    </row>
    <row r="35">
      <c r="A35" s="265"/>
      <c r="B35" s="268"/>
      <c r="C35" s="252"/>
      <c r="D35" s="822"/>
      <c r="F35" s="250"/>
      <c r="G35" s="254"/>
      <c r="H35" s="269"/>
      <c r="I35" s="269"/>
      <c r="J35" s="267"/>
    </row>
    <row r="36">
      <c r="A36" s="265"/>
      <c r="B36" s="247"/>
      <c r="C36" s="252"/>
      <c r="D36" s="822"/>
      <c r="F36" s="250"/>
      <c r="G36" s="254"/>
      <c r="H36" s="269"/>
      <c r="I36" s="269"/>
      <c r="J36" s="251"/>
    </row>
    <row r="37">
      <c r="A37" s="265"/>
      <c r="B37" s="247"/>
      <c r="C37" s="252"/>
      <c r="D37" s="822"/>
      <c r="F37" s="250"/>
      <c r="G37" s="254"/>
      <c r="H37" s="269"/>
      <c r="I37" s="269"/>
      <c r="J37" s="251"/>
    </row>
    <row r="38">
      <c r="A38" s="265"/>
      <c r="B38" s="268"/>
      <c r="C38" s="252"/>
      <c r="D38" s="822"/>
      <c r="F38" s="250"/>
      <c r="G38" s="269"/>
      <c r="H38" s="269"/>
      <c r="I38" s="269"/>
      <c r="J38" s="251"/>
    </row>
    <row r="39">
      <c r="A39" s="270"/>
      <c r="B39" s="271"/>
      <c r="C39" s="272"/>
      <c r="D39" s="823"/>
      <c r="E39" s="18"/>
      <c r="F39" s="274"/>
      <c r="G39" s="275"/>
      <c r="H39" s="275"/>
      <c r="I39" s="275"/>
      <c r="J39" s="261"/>
    </row>
    <row r="40">
      <c r="A40" s="262">
        <v>4.0</v>
      </c>
      <c r="B40" s="239">
        <v>9842.49</v>
      </c>
      <c r="C40" s="240"/>
      <c r="D40" s="824"/>
      <c r="E40" s="242"/>
      <c r="F40" s="243"/>
      <c r="G40" s="276" t="s">
        <v>114</v>
      </c>
      <c r="H40" s="276"/>
      <c r="I40" s="276"/>
      <c r="J40" s="307"/>
    </row>
    <row r="41">
      <c r="A41" s="265"/>
      <c r="B41" s="247">
        <v>4800.0</v>
      </c>
      <c r="C41" s="252"/>
      <c r="D41" s="822"/>
      <c r="F41" s="250"/>
      <c r="G41" s="254" t="s">
        <v>2861</v>
      </c>
      <c r="H41" s="269"/>
      <c r="I41" s="269"/>
      <c r="J41" s="251"/>
    </row>
    <row r="42">
      <c r="A42" s="265"/>
      <c r="B42" s="247">
        <v>50208.17</v>
      </c>
      <c r="C42" s="248"/>
      <c r="D42" s="331"/>
      <c r="F42" s="250"/>
      <c r="G42" s="254" t="s">
        <v>71</v>
      </c>
      <c r="H42" s="269"/>
      <c r="I42" s="269"/>
      <c r="J42" s="251"/>
    </row>
    <row r="43">
      <c r="A43" s="265"/>
      <c r="B43" s="247">
        <v>6465.0</v>
      </c>
      <c r="C43" s="252"/>
      <c r="D43" s="822"/>
      <c r="F43" s="250"/>
      <c r="G43" s="254" t="s">
        <v>2621</v>
      </c>
      <c r="H43" s="269"/>
      <c r="I43" s="269"/>
      <c r="J43" s="251"/>
    </row>
    <row r="44">
      <c r="A44" s="265"/>
      <c r="B44" s="247"/>
      <c r="C44" s="252"/>
      <c r="D44" s="331"/>
      <c r="F44" s="250">
        <v>2000.0</v>
      </c>
      <c r="G44" s="254" t="s">
        <v>101</v>
      </c>
      <c r="H44" s="269"/>
      <c r="I44" s="269"/>
      <c r="J44" s="251"/>
    </row>
    <row r="45">
      <c r="A45" s="265"/>
      <c r="B45" s="247"/>
      <c r="C45" s="252"/>
      <c r="D45" s="331">
        <v>33033.0</v>
      </c>
      <c r="F45" s="250"/>
      <c r="G45" s="254" t="s">
        <v>2862</v>
      </c>
      <c r="H45" s="269"/>
      <c r="I45" s="269"/>
      <c r="J45" s="267"/>
    </row>
    <row r="46">
      <c r="A46" s="265"/>
      <c r="B46" s="247"/>
      <c r="C46" s="248"/>
      <c r="D46" s="331">
        <v>50000.0</v>
      </c>
      <c r="F46" s="250"/>
      <c r="G46" s="254" t="s">
        <v>144</v>
      </c>
      <c r="H46" s="269"/>
      <c r="I46" s="269"/>
      <c r="J46" s="251"/>
    </row>
    <row r="47">
      <c r="A47" s="265"/>
      <c r="B47" s="247">
        <v>6743.6</v>
      </c>
      <c r="C47" s="252"/>
      <c r="D47" s="822"/>
      <c r="F47" s="250"/>
      <c r="G47" s="254" t="s">
        <v>2863</v>
      </c>
      <c r="H47" s="269"/>
      <c r="I47" s="269"/>
      <c r="J47" s="251"/>
    </row>
    <row r="48">
      <c r="A48" s="265"/>
      <c r="B48" s="268"/>
      <c r="C48" s="248"/>
      <c r="D48" s="822"/>
      <c r="F48" s="250">
        <v>1215.0</v>
      </c>
      <c r="G48" s="254" t="s">
        <v>312</v>
      </c>
      <c r="H48" s="269"/>
      <c r="I48" s="269"/>
      <c r="J48" s="251"/>
    </row>
    <row r="49">
      <c r="A49" s="265"/>
      <c r="B49" s="278"/>
      <c r="C49" s="252"/>
      <c r="D49" s="822"/>
      <c r="F49" s="250"/>
      <c r="G49" s="269"/>
      <c r="H49" s="269"/>
      <c r="I49" s="269"/>
      <c r="J49" s="251"/>
    </row>
    <row r="50">
      <c r="A50" s="265"/>
      <c r="B50" s="278"/>
      <c r="C50" s="252"/>
      <c r="D50" s="822"/>
      <c r="F50" s="250"/>
      <c r="G50" s="269"/>
      <c r="H50" s="269"/>
      <c r="I50" s="269"/>
      <c r="J50" s="251"/>
    </row>
    <row r="51">
      <c r="A51" s="270"/>
      <c r="B51" s="271"/>
      <c r="C51" s="272"/>
      <c r="D51" s="823"/>
      <c r="E51" s="18"/>
      <c r="F51" s="259"/>
      <c r="G51" s="260"/>
      <c r="H51" s="260"/>
      <c r="I51" s="275"/>
      <c r="J51" s="261"/>
    </row>
    <row r="52">
      <c r="A52" s="262"/>
      <c r="B52" s="278"/>
      <c r="C52" s="252"/>
      <c r="D52" s="822"/>
      <c r="F52" s="250">
        <v>17400.0</v>
      </c>
      <c r="G52" s="2" t="s">
        <v>87</v>
      </c>
      <c r="H52" s="269"/>
      <c r="I52" s="269"/>
      <c r="J52" s="251"/>
    </row>
    <row r="53">
      <c r="A53" s="280"/>
      <c r="B53" s="277">
        <v>209.45</v>
      </c>
      <c r="C53" s="252"/>
      <c r="D53" s="822"/>
      <c r="F53" s="250"/>
      <c r="G53" s="254" t="s">
        <v>74</v>
      </c>
      <c r="H53" s="269"/>
      <c r="I53" s="269"/>
      <c r="J53" s="251"/>
    </row>
    <row r="54">
      <c r="A54" s="280">
        <v>5.0</v>
      </c>
      <c r="B54" s="247">
        <v>7524.93</v>
      </c>
      <c r="C54" s="248"/>
      <c r="D54" s="822"/>
      <c r="F54" s="250"/>
      <c r="G54" s="254" t="s">
        <v>73</v>
      </c>
      <c r="H54" s="254"/>
      <c r="I54" s="254"/>
      <c r="J54" s="251"/>
    </row>
    <row r="55">
      <c r="A55" s="265"/>
      <c r="B55" s="247"/>
      <c r="C55" s="252"/>
      <c r="D55" s="822"/>
      <c r="F55" s="250">
        <v>13500.0</v>
      </c>
      <c r="G55" s="254" t="s">
        <v>76</v>
      </c>
      <c r="H55" s="269"/>
      <c r="I55" s="269"/>
      <c r="J55" s="251"/>
    </row>
    <row r="56">
      <c r="A56" s="265"/>
      <c r="B56" s="247">
        <v>12540.0</v>
      </c>
      <c r="C56" s="248"/>
      <c r="D56" s="331"/>
      <c r="F56" s="250"/>
      <c r="G56" s="254" t="s">
        <v>79</v>
      </c>
      <c r="H56" s="269"/>
      <c r="I56" s="269"/>
      <c r="J56" s="251"/>
    </row>
    <row r="57">
      <c r="A57" s="265"/>
      <c r="B57" s="247"/>
      <c r="C57" s="252"/>
      <c r="D57" s="822"/>
      <c r="F57" s="250">
        <v>3362.0</v>
      </c>
      <c r="G57" s="254" t="s">
        <v>2864</v>
      </c>
      <c r="H57" s="269"/>
      <c r="I57" s="269"/>
      <c r="J57" s="251"/>
    </row>
    <row r="58">
      <c r="A58" s="265"/>
      <c r="B58" s="247"/>
      <c r="C58" s="252"/>
      <c r="D58" s="331"/>
      <c r="F58" s="250">
        <f>2039+200</f>
        <v>2239</v>
      </c>
      <c r="G58" s="254" t="s">
        <v>97</v>
      </c>
      <c r="H58" s="269"/>
      <c r="I58" s="269"/>
      <c r="J58" s="267"/>
    </row>
    <row r="59">
      <c r="A59" s="265"/>
      <c r="B59" s="247">
        <v>13160.0</v>
      </c>
      <c r="C59" s="252"/>
      <c r="D59" s="822"/>
      <c r="F59" s="250"/>
      <c r="G59" s="254" t="s">
        <v>839</v>
      </c>
      <c r="H59" s="269"/>
      <c r="I59" s="269"/>
      <c r="J59" s="251"/>
    </row>
    <row r="60">
      <c r="A60" s="265"/>
      <c r="B60" s="247">
        <v>12600.0</v>
      </c>
      <c r="C60" s="248"/>
      <c r="D60" s="822"/>
      <c r="F60" s="250"/>
      <c r="G60" s="254" t="s">
        <v>122</v>
      </c>
      <c r="H60" s="269"/>
      <c r="I60" s="269"/>
      <c r="J60" s="251"/>
    </row>
    <row r="61">
      <c r="A61" s="265"/>
      <c r="B61" s="268"/>
      <c r="C61" s="252"/>
      <c r="D61" s="822"/>
      <c r="F61" s="250"/>
      <c r="G61" s="269"/>
      <c r="H61" s="269"/>
      <c r="I61" s="269"/>
      <c r="J61" s="251"/>
    </row>
    <row r="62">
      <c r="A62" s="265"/>
      <c r="B62" s="268"/>
      <c r="C62" s="252"/>
      <c r="D62" s="822"/>
      <c r="F62" s="250"/>
      <c r="G62" s="269"/>
      <c r="H62" s="269"/>
      <c r="I62" s="269"/>
      <c r="J62" s="251"/>
    </row>
    <row r="63">
      <c r="A63" s="270"/>
      <c r="B63" s="271"/>
      <c r="C63" s="272"/>
      <c r="D63" s="823"/>
      <c r="E63" s="18"/>
      <c r="F63" s="274"/>
      <c r="G63" s="275"/>
      <c r="H63" s="275"/>
      <c r="I63" s="275"/>
      <c r="J63" s="261"/>
    </row>
    <row r="64">
      <c r="A64" s="262">
        <v>6.0</v>
      </c>
      <c r="B64" s="239"/>
      <c r="C64" s="263"/>
      <c r="D64" s="824"/>
      <c r="E64" s="242"/>
      <c r="F64" s="243">
        <f>952+240</f>
        <v>1192</v>
      </c>
      <c r="G64" s="276" t="s">
        <v>63</v>
      </c>
      <c r="H64" s="276"/>
      <c r="I64" s="276"/>
      <c r="J64" s="307"/>
    </row>
    <row r="65">
      <c r="A65" s="265"/>
      <c r="B65" s="247"/>
      <c r="C65" s="248">
        <v>38498.09</v>
      </c>
      <c r="D65" s="822"/>
      <c r="F65" s="250"/>
      <c r="G65" s="254" t="s">
        <v>2865</v>
      </c>
      <c r="H65" s="269"/>
      <c r="I65" s="269"/>
      <c r="J65" s="251"/>
    </row>
    <row r="66">
      <c r="A66" s="265"/>
      <c r="B66" s="247">
        <v>7189.0</v>
      </c>
      <c r="C66" s="252"/>
      <c r="D66" s="822"/>
      <c r="F66" s="250"/>
      <c r="G66" s="254" t="s">
        <v>2866</v>
      </c>
      <c r="H66" s="269"/>
      <c r="I66" s="269"/>
      <c r="J66" s="251"/>
    </row>
    <row r="67">
      <c r="A67" s="265"/>
      <c r="B67" s="247"/>
      <c r="C67" s="252"/>
      <c r="D67" s="331"/>
      <c r="F67" s="250">
        <v>1300.0</v>
      </c>
      <c r="G67" s="254" t="s">
        <v>2835</v>
      </c>
      <c r="H67" s="269"/>
      <c r="I67" s="269"/>
      <c r="J67" s="267"/>
    </row>
    <row r="68">
      <c r="A68" s="265"/>
      <c r="B68" s="247"/>
      <c r="C68" s="248"/>
      <c r="D68" s="822"/>
      <c r="F68" s="250">
        <v>8850.0</v>
      </c>
      <c r="G68" s="254" t="s">
        <v>2349</v>
      </c>
      <c r="H68" s="269"/>
      <c r="I68" s="269"/>
      <c r="J68" s="251"/>
    </row>
    <row r="69">
      <c r="A69" s="265"/>
      <c r="B69" s="247"/>
      <c r="C69" s="252"/>
      <c r="D69" s="822"/>
      <c r="F69" s="250"/>
      <c r="G69" s="254"/>
      <c r="H69" s="269"/>
      <c r="I69" s="269"/>
      <c r="J69" s="251"/>
    </row>
    <row r="70">
      <c r="A70" s="265"/>
      <c r="B70" s="247"/>
      <c r="C70" s="252"/>
      <c r="D70" s="822"/>
      <c r="F70" s="250"/>
      <c r="G70" s="254"/>
      <c r="H70" s="269"/>
      <c r="I70" s="269"/>
      <c r="J70" s="251"/>
    </row>
    <row r="71">
      <c r="A71" s="265"/>
      <c r="B71" s="247"/>
      <c r="C71" s="252"/>
      <c r="D71" s="822"/>
      <c r="F71" s="250"/>
      <c r="G71" s="254"/>
      <c r="H71" s="269"/>
      <c r="I71" s="269"/>
      <c r="J71" s="251"/>
    </row>
    <row r="72">
      <c r="A72" s="265"/>
      <c r="B72" s="268"/>
      <c r="C72" s="248"/>
      <c r="D72" s="822"/>
      <c r="F72" s="250"/>
      <c r="G72" s="254"/>
      <c r="H72" s="269"/>
      <c r="I72" s="269"/>
      <c r="J72" s="251"/>
    </row>
    <row r="73">
      <c r="A73" s="265"/>
      <c r="B73" s="268"/>
      <c r="C73" s="248"/>
      <c r="D73" s="331"/>
      <c r="F73" s="250"/>
      <c r="G73" s="254"/>
      <c r="H73" s="269"/>
      <c r="I73" s="269"/>
      <c r="J73" s="251"/>
    </row>
    <row r="74">
      <c r="A74" s="265"/>
      <c r="B74" s="268"/>
      <c r="C74" s="248"/>
      <c r="D74" s="331"/>
      <c r="F74" s="250"/>
      <c r="G74" s="254"/>
      <c r="H74" s="269"/>
      <c r="I74" s="269"/>
      <c r="J74" s="251"/>
    </row>
    <row r="75">
      <c r="A75" s="265"/>
      <c r="B75" s="268"/>
      <c r="C75" s="248"/>
      <c r="D75" s="331"/>
      <c r="F75" s="250"/>
      <c r="G75" s="269"/>
      <c r="H75" s="269"/>
      <c r="I75" s="269"/>
      <c r="J75" s="251"/>
    </row>
    <row r="76">
      <c r="A76" s="265"/>
      <c r="B76" s="278"/>
      <c r="C76" s="252"/>
      <c r="D76" s="822"/>
      <c r="F76" s="250"/>
      <c r="G76" s="269"/>
      <c r="H76" s="269"/>
      <c r="I76" s="269"/>
      <c r="J76" s="251"/>
    </row>
    <row r="77">
      <c r="A77" s="270"/>
      <c r="B77" s="271"/>
      <c r="C77" s="272"/>
      <c r="D77" s="823"/>
      <c r="E77" s="18"/>
      <c r="F77" s="274"/>
      <c r="G77" s="275"/>
      <c r="H77" s="275"/>
      <c r="I77" s="275"/>
      <c r="J77" s="261"/>
    </row>
    <row r="78">
      <c r="A78" s="262">
        <v>7.0</v>
      </c>
      <c r="B78" s="239"/>
      <c r="C78" s="263"/>
      <c r="D78" s="824"/>
      <c r="E78" s="242"/>
      <c r="F78" s="243">
        <v>20880.0</v>
      </c>
      <c r="G78" s="276" t="s">
        <v>87</v>
      </c>
      <c r="H78" s="276"/>
      <c r="I78" s="276"/>
      <c r="J78" s="307"/>
    </row>
    <row r="79">
      <c r="A79" s="265"/>
      <c r="B79" s="247">
        <v>6040.0</v>
      </c>
      <c r="C79" s="248"/>
      <c r="D79" s="822"/>
      <c r="F79" s="250"/>
      <c r="G79" s="254" t="s">
        <v>75</v>
      </c>
      <c r="H79" s="269"/>
      <c r="I79" s="269"/>
      <c r="J79" s="251"/>
    </row>
    <row r="80">
      <c r="A80" s="265"/>
      <c r="B80" s="247">
        <v>4915.44</v>
      </c>
      <c r="C80" s="252"/>
      <c r="D80" s="822"/>
      <c r="F80" s="250"/>
      <c r="G80" s="254" t="s">
        <v>114</v>
      </c>
      <c r="H80" s="269"/>
      <c r="I80" s="828"/>
      <c r="J80" s="267"/>
    </row>
    <row r="81">
      <c r="A81" s="265"/>
      <c r="B81" s="247">
        <v>3010.0</v>
      </c>
      <c r="C81" s="248"/>
      <c r="D81" s="822"/>
      <c r="F81" s="250"/>
      <c r="G81" s="254" t="s">
        <v>2649</v>
      </c>
      <c r="H81" s="269"/>
      <c r="I81" s="269"/>
      <c r="J81" s="251"/>
    </row>
    <row r="82">
      <c r="A82" s="265"/>
      <c r="B82" s="247"/>
      <c r="C82" s="248"/>
      <c r="D82" s="822"/>
      <c r="F82" s="250"/>
      <c r="G82" s="254"/>
      <c r="H82" s="269"/>
      <c r="I82" s="269"/>
      <c r="J82" s="251"/>
    </row>
    <row r="83">
      <c r="A83" s="265"/>
      <c r="B83" s="247"/>
      <c r="C83" s="248"/>
      <c r="D83" s="822"/>
      <c r="F83" s="250"/>
      <c r="G83" s="254"/>
      <c r="H83" s="269"/>
      <c r="I83" s="269"/>
      <c r="J83" s="251"/>
    </row>
    <row r="84">
      <c r="A84" s="265"/>
      <c r="B84" s="247"/>
      <c r="C84" s="252"/>
      <c r="D84" s="822"/>
      <c r="F84" s="250"/>
      <c r="G84" s="254"/>
      <c r="H84" s="269"/>
      <c r="I84" s="269"/>
      <c r="J84" s="251"/>
    </row>
    <row r="85">
      <c r="A85" s="265"/>
      <c r="B85" s="247"/>
      <c r="C85" s="252"/>
      <c r="D85" s="822"/>
      <c r="F85" s="250"/>
      <c r="G85" s="254"/>
      <c r="H85" s="269"/>
      <c r="I85" s="269"/>
      <c r="J85" s="251"/>
    </row>
    <row r="86">
      <c r="A86" s="265"/>
      <c r="B86" s="247"/>
      <c r="C86" s="252"/>
      <c r="D86" s="822"/>
      <c r="F86" s="250"/>
      <c r="G86" s="254"/>
      <c r="H86" s="254"/>
      <c r="I86" s="269"/>
      <c r="J86" s="251"/>
    </row>
    <row r="87">
      <c r="A87" s="265"/>
      <c r="B87" s="278"/>
      <c r="C87" s="252"/>
      <c r="D87" s="822"/>
      <c r="F87" s="250"/>
      <c r="G87" s="269"/>
      <c r="H87" s="269"/>
      <c r="I87" s="269"/>
      <c r="J87" s="251"/>
    </row>
    <row r="88">
      <c r="A88" s="265"/>
      <c r="B88" s="278"/>
      <c r="C88" s="252"/>
      <c r="D88" s="822"/>
      <c r="F88" s="250"/>
      <c r="G88" s="269"/>
      <c r="H88" s="269"/>
      <c r="I88" s="269"/>
      <c r="J88" s="251"/>
    </row>
    <row r="89">
      <c r="A89" s="270"/>
      <c r="B89" s="271"/>
      <c r="C89" s="272"/>
      <c r="D89" s="823"/>
      <c r="E89" s="18"/>
      <c r="F89" s="259"/>
      <c r="G89" s="275"/>
      <c r="H89" s="275"/>
      <c r="I89" s="275"/>
      <c r="J89" s="261"/>
    </row>
    <row r="90">
      <c r="A90" s="262">
        <v>9.0</v>
      </c>
      <c r="B90" s="239"/>
      <c r="C90" s="263"/>
      <c r="D90" s="824"/>
      <c r="E90" s="242"/>
      <c r="F90" s="243">
        <v>4800.0</v>
      </c>
      <c r="G90" s="276" t="s">
        <v>68</v>
      </c>
      <c r="H90" s="276"/>
      <c r="I90" s="276"/>
      <c r="J90" s="307"/>
    </row>
    <row r="91">
      <c r="A91" s="265"/>
      <c r="B91" s="247"/>
      <c r="C91" s="248"/>
      <c r="D91" s="822"/>
      <c r="F91" s="250">
        <v>690.0</v>
      </c>
      <c r="G91" s="254" t="s">
        <v>2867</v>
      </c>
      <c r="H91" s="269"/>
      <c r="I91" s="269"/>
      <c r="J91" s="251"/>
    </row>
    <row r="92">
      <c r="A92" s="265"/>
      <c r="B92" s="247"/>
      <c r="C92" s="248"/>
      <c r="D92" s="822"/>
      <c r="F92" s="250">
        <v>4524.0</v>
      </c>
      <c r="G92" s="254" t="s">
        <v>2864</v>
      </c>
      <c r="H92" s="269"/>
      <c r="I92" s="269"/>
      <c r="J92" s="251"/>
    </row>
    <row r="93">
      <c r="A93" s="265"/>
      <c r="B93" s="247">
        <v>4450.0</v>
      </c>
      <c r="C93" s="248"/>
      <c r="D93" s="822"/>
      <c r="F93" s="250"/>
      <c r="G93" s="254" t="s">
        <v>312</v>
      </c>
      <c r="H93" s="269"/>
      <c r="I93" s="269"/>
      <c r="J93" s="251"/>
    </row>
    <row r="94">
      <c r="A94" s="265"/>
      <c r="B94" s="85">
        <v>4246.0</v>
      </c>
      <c r="C94" s="248"/>
      <c r="D94" s="822"/>
      <c r="F94" s="250"/>
      <c r="G94" s="254" t="s">
        <v>2868</v>
      </c>
      <c r="H94" s="269"/>
      <c r="I94" s="269"/>
      <c r="J94" s="251"/>
    </row>
    <row r="95">
      <c r="A95" s="265"/>
      <c r="B95" s="281"/>
      <c r="C95" s="252"/>
      <c r="D95" s="331"/>
      <c r="F95" s="266">
        <v>2000.0</v>
      </c>
      <c r="G95" s="254" t="s">
        <v>160</v>
      </c>
      <c r="H95" s="269"/>
      <c r="I95" s="269"/>
      <c r="J95" s="251"/>
    </row>
    <row r="96">
      <c r="A96" s="265"/>
      <c r="B96" s="281"/>
      <c r="C96" s="252"/>
      <c r="D96" s="331"/>
      <c r="F96" s="250"/>
      <c r="G96" s="254"/>
      <c r="H96" s="269"/>
      <c r="I96" s="269"/>
      <c r="J96" s="251"/>
    </row>
    <row r="97">
      <c r="A97" s="265"/>
      <c r="B97" s="247"/>
      <c r="C97" s="252"/>
      <c r="D97" s="331"/>
      <c r="F97" s="250"/>
      <c r="G97" s="254"/>
      <c r="H97" s="269"/>
      <c r="I97" s="269"/>
      <c r="J97" s="251"/>
    </row>
    <row r="98">
      <c r="A98" s="265"/>
      <c r="B98" s="247"/>
      <c r="C98" s="252"/>
      <c r="D98" s="822"/>
      <c r="F98" s="250"/>
      <c r="G98" s="254"/>
      <c r="H98" s="269"/>
      <c r="I98" s="269"/>
      <c r="J98" s="251"/>
    </row>
    <row r="99">
      <c r="A99" s="265"/>
      <c r="B99" s="247"/>
      <c r="C99" s="252"/>
      <c r="D99" s="331"/>
      <c r="F99" s="250"/>
      <c r="G99" s="269"/>
      <c r="H99" s="269"/>
      <c r="I99" s="269"/>
      <c r="J99" s="251"/>
    </row>
    <row r="100">
      <c r="A100" s="265"/>
      <c r="B100" s="268"/>
      <c r="C100" s="252"/>
      <c r="D100" s="822"/>
      <c r="F100" s="250"/>
      <c r="G100" s="269"/>
      <c r="H100" s="269"/>
      <c r="I100" s="269"/>
      <c r="J100" s="251"/>
    </row>
    <row r="101">
      <c r="A101" s="265"/>
      <c r="B101" s="247"/>
      <c r="C101" s="252"/>
      <c r="D101" s="822"/>
      <c r="F101" s="250"/>
      <c r="G101" s="269"/>
      <c r="H101" s="269"/>
      <c r="I101" s="269"/>
      <c r="J101" s="251"/>
    </row>
    <row r="102">
      <c r="A102" s="265"/>
      <c r="B102" s="277"/>
      <c r="C102" s="252"/>
      <c r="D102" s="822"/>
      <c r="F102" s="282"/>
      <c r="G102" s="269"/>
      <c r="H102" s="269"/>
      <c r="I102" s="269"/>
      <c r="J102" s="251"/>
    </row>
    <row r="103">
      <c r="A103" s="265"/>
      <c r="B103" s="278"/>
      <c r="C103" s="248"/>
      <c r="D103" s="822"/>
      <c r="F103" s="282"/>
      <c r="G103" s="269"/>
      <c r="H103" s="269"/>
      <c r="I103" s="269"/>
      <c r="J103" s="251"/>
    </row>
    <row r="104">
      <c r="A104" s="265"/>
      <c r="B104" s="278"/>
      <c r="C104" s="252"/>
      <c r="D104" s="822"/>
      <c r="F104" s="250"/>
      <c r="G104" s="269"/>
      <c r="H104" s="269"/>
      <c r="I104" s="269"/>
      <c r="J104" s="251"/>
    </row>
    <row r="105">
      <c r="A105" s="270"/>
      <c r="B105" s="271"/>
      <c r="C105" s="272"/>
      <c r="D105" s="823"/>
      <c r="E105" s="18"/>
      <c r="F105" s="259"/>
      <c r="G105" s="260"/>
      <c r="H105" s="260"/>
      <c r="I105" s="275"/>
      <c r="J105" s="261"/>
    </row>
    <row r="106">
      <c r="A106" s="262">
        <v>10.0</v>
      </c>
      <c r="B106" s="239">
        <v>6540.8</v>
      </c>
      <c r="C106" s="263"/>
      <c r="D106" s="821"/>
      <c r="E106" s="242"/>
      <c r="F106" s="250"/>
      <c r="G106" s="276" t="s">
        <v>82</v>
      </c>
      <c r="H106" s="276"/>
      <c r="I106" s="276"/>
      <c r="J106" s="307"/>
    </row>
    <row r="107">
      <c r="A107" s="265"/>
      <c r="B107" s="247"/>
      <c r="C107" s="248"/>
      <c r="D107" s="822"/>
      <c r="F107" s="250">
        <v>800.0</v>
      </c>
      <c r="G107" s="254" t="s">
        <v>85</v>
      </c>
      <c r="H107" s="254"/>
      <c r="I107" s="269"/>
      <c r="J107" s="251"/>
    </row>
    <row r="108">
      <c r="A108" s="265"/>
      <c r="B108" s="247"/>
      <c r="C108" s="248"/>
      <c r="D108" s="822"/>
      <c r="F108" s="250">
        <f>367+58+1440</f>
        <v>1865</v>
      </c>
      <c r="G108" s="254" t="s">
        <v>97</v>
      </c>
      <c r="H108" s="269"/>
      <c r="I108" s="269"/>
      <c r="J108" s="251"/>
    </row>
    <row r="109">
      <c r="A109" s="265"/>
      <c r="B109" s="247"/>
      <c r="C109" s="248"/>
      <c r="D109" s="822"/>
      <c r="F109" s="250">
        <v>9000.0</v>
      </c>
      <c r="G109" s="254" t="s">
        <v>2760</v>
      </c>
      <c r="H109" s="269"/>
      <c r="I109" s="269"/>
      <c r="J109" s="251"/>
    </row>
    <row r="110">
      <c r="A110" s="265"/>
      <c r="B110" s="247"/>
      <c r="C110" s="252"/>
      <c r="D110" s="822"/>
      <c r="F110" s="250"/>
      <c r="G110" s="254"/>
      <c r="H110" s="254"/>
      <c r="I110" s="269"/>
      <c r="J110" s="251"/>
    </row>
    <row r="111">
      <c r="A111" s="265"/>
      <c r="B111" s="268"/>
      <c r="C111" s="252"/>
      <c r="D111" s="822"/>
      <c r="F111" s="250"/>
      <c r="G111" s="254"/>
      <c r="H111" s="269"/>
      <c r="I111" s="269"/>
      <c r="J111" s="251"/>
    </row>
    <row r="112">
      <c r="A112" s="265"/>
      <c r="B112" s="247"/>
      <c r="C112" s="252"/>
      <c r="D112" s="331"/>
      <c r="F112" s="250"/>
      <c r="G112" s="254"/>
      <c r="H112" s="269"/>
      <c r="I112" s="269"/>
      <c r="J112" s="251"/>
    </row>
    <row r="113">
      <c r="A113" s="265"/>
      <c r="B113" s="247"/>
      <c r="C113" s="252"/>
      <c r="D113" s="822"/>
      <c r="F113" s="250"/>
      <c r="G113" s="254"/>
      <c r="H113" s="269"/>
      <c r="I113" s="269"/>
      <c r="J113" s="251"/>
    </row>
    <row r="114">
      <c r="A114" s="265"/>
      <c r="B114" s="247"/>
      <c r="C114" s="248"/>
      <c r="D114" s="822"/>
      <c r="F114" s="250"/>
      <c r="G114" s="254"/>
      <c r="H114" s="269"/>
      <c r="I114" s="269"/>
      <c r="J114" s="251"/>
    </row>
    <row r="115">
      <c r="A115" s="265"/>
      <c r="B115" s="247"/>
      <c r="C115" s="252"/>
      <c r="D115" s="822"/>
      <c r="F115" s="250"/>
      <c r="G115" s="254"/>
      <c r="H115" s="269"/>
      <c r="I115" s="269"/>
      <c r="J115" s="251"/>
    </row>
    <row r="116">
      <c r="A116" s="265"/>
      <c r="B116" s="277"/>
      <c r="C116" s="248"/>
      <c r="D116" s="822"/>
      <c r="F116" s="282"/>
      <c r="G116" s="254"/>
      <c r="H116" s="269"/>
      <c r="I116" s="269"/>
      <c r="J116" s="251"/>
    </row>
    <row r="117">
      <c r="A117" s="265"/>
      <c r="B117" s="277"/>
      <c r="C117" s="252"/>
      <c r="D117" s="822"/>
      <c r="F117" s="250"/>
      <c r="G117" s="254"/>
      <c r="H117" s="269"/>
      <c r="I117" s="269"/>
      <c r="J117" s="251"/>
    </row>
    <row r="118">
      <c r="A118" s="265"/>
      <c r="B118" s="278"/>
      <c r="C118" s="252"/>
      <c r="D118" s="822"/>
      <c r="F118" s="282"/>
      <c r="G118" s="269"/>
      <c r="H118" s="269"/>
      <c r="I118" s="269"/>
      <c r="J118" s="251"/>
    </row>
    <row r="119">
      <c r="A119" s="270"/>
      <c r="B119" s="271"/>
      <c r="C119" s="272"/>
      <c r="D119" s="823"/>
      <c r="E119" s="18"/>
      <c r="F119" s="274"/>
      <c r="G119" s="275"/>
      <c r="H119" s="275"/>
      <c r="I119" s="275"/>
      <c r="J119" s="261"/>
    </row>
    <row r="120">
      <c r="A120" s="262">
        <v>11.0</v>
      </c>
      <c r="B120" s="239"/>
      <c r="C120" s="263"/>
      <c r="D120" s="821"/>
      <c r="E120" s="242"/>
      <c r="F120" s="243">
        <v>1500.0</v>
      </c>
      <c r="G120" s="276" t="s">
        <v>2869</v>
      </c>
      <c r="H120" s="276"/>
      <c r="I120" s="276"/>
      <c r="J120" s="307"/>
    </row>
    <row r="121">
      <c r="A121" s="265"/>
      <c r="B121" s="247"/>
      <c r="C121" s="252">
        <f>34047.31+19463.48</f>
        <v>53510.79</v>
      </c>
      <c r="D121" s="331"/>
      <c r="F121" s="250"/>
      <c r="G121" s="254" t="s">
        <v>71</v>
      </c>
      <c r="H121" s="269"/>
      <c r="I121" s="269"/>
      <c r="J121" s="251"/>
    </row>
    <row r="122">
      <c r="A122" s="265"/>
      <c r="B122" s="247">
        <v>6743.61</v>
      </c>
      <c r="C122" s="248"/>
      <c r="D122" s="331"/>
      <c r="F122" s="250"/>
      <c r="G122" s="26" t="s">
        <v>82</v>
      </c>
      <c r="H122" s="26"/>
      <c r="I122" s="269"/>
      <c r="J122" s="251"/>
    </row>
    <row r="123">
      <c r="A123" s="265"/>
      <c r="B123" s="247"/>
      <c r="C123" s="248"/>
      <c r="D123" s="331"/>
      <c r="F123" s="250">
        <f>105+2312.5</f>
        <v>2417.5</v>
      </c>
      <c r="G123" s="254" t="s">
        <v>97</v>
      </c>
      <c r="H123" s="269"/>
      <c r="I123" s="269"/>
      <c r="J123" s="251"/>
    </row>
    <row r="124">
      <c r="A124" s="265"/>
      <c r="B124" s="247"/>
      <c r="C124" s="252"/>
      <c r="D124" s="331"/>
      <c r="F124" s="250">
        <v>17400.0</v>
      </c>
      <c r="G124" s="254" t="s">
        <v>87</v>
      </c>
      <c r="H124" s="269"/>
      <c r="I124" s="269"/>
      <c r="J124" s="251"/>
    </row>
    <row r="125">
      <c r="A125" s="265"/>
      <c r="B125" s="247">
        <v>11186.55</v>
      </c>
      <c r="C125" s="252"/>
      <c r="D125" s="822"/>
      <c r="F125" s="250"/>
      <c r="G125" s="254" t="s">
        <v>114</v>
      </c>
      <c r="H125" s="254"/>
      <c r="I125" s="269"/>
      <c r="J125" s="251"/>
    </row>
    <row r="126">
      <c r="A126" s="265"/>
      <c r="B126" s="247">
        <v>45254.0</v>
      </c>
      <c r="C126" s="252"/>
      <c r="D126" s="822"/>
      <c r="F126" s="250"/>
      <c r="G126" s="254" t="s">
        <v>167</v>
      </c>
      <c r="H126" s="269"/>
      <c r="I126" s="269"/>
      <c r="J126" s="251"/>
    </row>
    <row r="127">
      <c r="A127" s="265"/>
      <c r="B127" s="247">
        <v>7986.0</v>
      </c>
      <c r="C127" s="252"/>
      <c r="D127" s="822"/>
      <c r="F127" s="250"/>
      <c r="G127" s="254" t="s">
        <v>167</v>
      </c>
      <c r="H127" s="269"/>
      <c r="I127" s="269"/>
      <c r="J127" s="251"/>
    </row>
    <row r="128">
      <c r="A128" s="265"/>
      <c r="B128" s="247">
        <v>6854.0</v>
      </c>
      <c r="C128" s="252"/>
      <c r="D128" s="331"/>
      <c r="F128" s="250"/>
      <c r="G128" s="254" t="s">
        <v>344</v>
      </c>
      <c r="H128" s="269"/>
      <c r="I128" s="269"/>
      <c r="J128" s="251"/>
    </row>
    <row r="129">
      <c r="A129" s="265"/>
      <c r="B129" s="247">
        <v>23724.83</v>
      </c>
      <c r="C129" s="248"/>
      <c r="D129" s="822"/>
      <c r="F129" s="250"/>
      <c r="G129" s="254" t="s">
        <v>103</v>
      </c>
      <c r="H129" s="269"/>
      <c r="I129" s="269"/>
      <c r="J129" s="251"/>
    </row>
    <row r="130">
      <c r="A130" s="265"/>
      <c r="B130" s="268"/>
      <c r="C130" s="252"/>
      <c r="D130" s="822"/>
      <c r="F130" s="250">
        <v>2000.0</v>
      </c>
      <c r="G130" s="254" t="s">
        <v>101</v>
      </c>
      <c r="H130" s="269"/>
      <c r="I130" s="269"/>
      <c r="J130" s="251"/>
    </row>
    <row r="131">
      <c r="A131" s="265"/>
      <c r="B131" s="268"/>
      <c r="C131" s="252"/>
      <c r="D131" s="822"/>
      <c r="F131" s="250">
        <v>2500.0</v>
      </c>
      <c r="G131" s="254" t="s">
        <v>105</v>
      </c>
      <c r="H131" s="254"/>
      <c r="I131" s="269"/>
      <c r="J131" s="251"/>
    </row>
    <row r="132">
      <c r="A132" s="265"/>
      <c r="B132" s="268"/>
      <c r="C132" s="252"/>
      <c r="D132" s="822"/>
      <c r="F132" s="250"/>
      <c r="G132" s="269"/>
      <c r="H132" s="269"/>
      <c r="I132" s="269"/>
      <c r="J132" s="251"/>
    </row>
    <row r="133">
      <c r="A133" s="265"/>
      <c r="B133" s="268"/>
      <c r="C133" s="252"/>
      <c r="D133" s="822"/>
      <c r="F133" s="250"/>
      <c r="G133" s="269"/>
      <c r="H133" s="269"/>
      <c r="I133" s="269"/>
      <c r="J133" s="251"/>
    </row>
    <row r="134">
      <c r="A134" s="265"/>
      <c r="B134" s="268"/>
      <c r="C134" s="252"/>
      <c r="D134" s="822"/>
      <c r="F134" s="250"/>
      <c r="G134" s="269"/>
      <c r="H134" s="269"/>
      <c r="I134" s="269"/>
      <c r="J134" s="251"/>
    </row>
    <row r="135">
      <c r="A135" s="265"/>
      <c r="B135" s="268"/>
      <c r="C135" s="252"/>
      <c r="D135" s="822"/>
      <c r="F135" s="250"/>
      <c r="G135" s="269"/>
      <c r="H135" s="269"/>
      <c r="I135" s="269"/>
      <c r="J135" s="251"/>
    </row>
    <row r="136">
      <c r="A136" s="265"/>
      <c r="B136" s="268"/>
      <c r="C136" s="252"/>
      <c r="D136" s="822"/>
      <c r="F136" s="250"/>
      <c r="G136" s="269"/>
      <c r="H136" s="269"/>
      <c r="I136" s="269"/>
      <c r="J136" s="251"/>
    </row>
    <row r="137">
      <c r="A137" s="270"/>
      <c r="B137" s="271"/>
      <c r="C137" s="272"/>
      <c r="D137" s="823"/>
      <c r="E137" s="18"/>
      <c r="F137" s="274"/>
      <c r="G137" s="275"/>
      <c r="H137" s="275"/>
      <c r="I137" s="275"/>
      <c r="J137" s="261"/>
    </row>
    <row r="138">
      <c r="A138" s="262">
        <v>12.0</v>
      </c>
      <c r="B138" s="239"/>
      <c r="C138" s="263"/>
      <c r="D138" s="821">
        <v>11520.0</v>
      </c>
      <c r="E138" s="242"/>
      <c r="F138" s="243"/>
      <c r="G138" s="276" t="s">
        <v>75</v>
      </c>
      <c r="H138" s="276"/>
      <c r="I138" s="276"/>
      <c r="J138" s="307"/>
    </row>
    <row r="139">
      <c r="A139" s="265"/>
      <c r="B139" s="247"/>
      <c r="C139" s="252"/>
      <c r="D139" s="331">
        <v>16000.0</v>
      </c>
      <c r="F139" s="250"/>
      <c r="G139" s="254" t="s">
        <v>76</v>
      </c>
      <c r="H139" s="254"/>
      <c r="I139" s="269"/>
      <c r="J139" s="251"/>
    </row>
    <row r="140">
      <c r="A140" s="265"/>
      <c r="B140" s="247"/>
      <c r="C140" s="252"/>
      <c r="D140" s="331">
        <v>16634.35</v>
      </c>
      <c r="F140" s="250"/>
      <c r="G140" s="254" t="s">
        <v>2870</v>
      </c>
      <c r="H140" s="269"/>
      <c r="I140" s="269"/>
      <c r="J140" s="251"/>
    </row>
    <row r="141">
      <c r="A141" s="265"/>
      <c r="B141" s="247">
        <v>7036.33</v>
      </c>
      <c r="C141" s="252"/>
      <c r="D141" s="331"/>
      <c r="F141" s="250"/>
      <c r="G141" s="254" t="s">
        <v>73</v>
      </c>
      <c r="H141" s="269"/>
      <c r="I141" s="269"/>
      <c r="J141" s="251"/>
    </row>
    <row r="142">
      <c r="A142" s="265"/>
      <c r="B142" s="247">
        <v>4360.78</v>
      </c>
      <c r="C142" s="248"/>
      <c r="D142" s="822"/>
      <c r="F142" s="250"/>
      <c r="G142" s="254" t="s">
        <v>74</v>
      </c>
      <c r="H142" s="269"/>
      <c r="I142" s="269"/>
      <c r="J142" s="251"/>
    </row>
    <row r="143">
      <c r="A143" s="265"/>
      <c r="B143" s="247"/>
      <c r="C143" s="252"/>
      <c r="D143" s="331">
        <v>8374.0</v>
      </c>
      <c r="F143" s="250"/>
      <c r="G143" s="254" t="s">
        <v>91</v>
      </c>
      <c r="H143" s="269"/>
      <c r="I143" s="269"/>
      <c r="J143" s="251"/>
    </row>
    <row r="144">
      <c r="A144" s="265"/>
      <c r="B144" s="247"/>
      <c r="C144" s="252"/>
      <c r="D144" s="331">
        <v>12540.0</v>
      </c>
      <c r="F144" s="250"/>
      <c r="G144" s="254" t="s">
        <v>79</v>
      </c>
      <c r="H144" s="269"/>
      <c r="I144" s="269"/>
      <c r="J144" s="251"/>
    </row>
    <row r="145">
      <c r="A145" s="265"/>
      <c r="B145" s="283"/>
      <c r="C145" s="248"/>
      <c r="D145" s="822"/>
      <c r="F145" s="250">
        <v>7920.0</v>
      </c>
      <c r="G145" s="254" t="s">
        <v>128</v>
      </c>
      <c r="H145" s="269"/>
      <c r="I145" s="269"/>
      <c r="J145" s="251"/>
    </row>
    <row r="146">
      <c r="A146" s="265"/>
      <c r="B146" s="247"/>
      <c r="C146" s="248">
        <v>10749.77</v>
      </c>
      <c r="D146" s="822"/>
      <c r="F146" s="250"/>
      <c r="G146" s="254" t="s">
        <v>84</v>
      </c>
      <c r="H146" s="269"/>
      <c r="I146" s="269"/>
      <c r="J146" s="251"/>
    </row>
    <row r="147">
      <c r="A147" s="265"/>
      <c r="B147" s="247"/>
      <c r="C147" s="252"/>
      <c r="D147" s="822"/>
      <c r="F147" s="250">
        <v>340.0</v>
      </c>
      <c r="G147" s="254" t="s">
        <v>63</v>
      </c>
      <c r="H147" s="269"/>
      <c r="I147" s="269"/>
      <c r="J147" s="251"/>
    </row>
    <row r="148">
      <c r="A148" s="265"/>
      <c r="B148" s="247"/>
      <c r="C148" s="252"/>
      <c r="D148" s="331">
        <v>40898.0</v>
      </c>
      <c r="F148" s="250"/>
      <c r="G148" s="254" t="s">
        <v>131</v>
      </c>
      <c r="H148" s="269"/>
      <c r="I148" s="269"/>
      <c r="J148" s="251"/>
    </row>
    <row r="149">
      <c r="A149" s="265"/>
      <c r="B149" s="277">
        <v>2263.0</v>
      </c>
      <c r="C149" s="252"/>
      <c r="D149" s="822"/>
      <c r="F149" s="250"/>
      <c r="G149" s="254" t="s">
        <v>2732</v>
      </c>
      <c r="H149" s="269"/>
      <c r="I149" s="269"/>
      <c r="J149" s="251"/>
    </row>
    <row r="150">
      <c r="A150" s="265"/>
      <c r="B150" s="277"/>
      <c r="C150" s="252"/>
      <c r="D150" s="822"/>
      <c r="F150" s="250"/>
      <c r="G150" s="269"/>
      <c r="H150" s="269"/>
      <c r="I150" s="269"/>
      <c r="J150" s="251"/>
    </row>
    <row r="151">
      <c r="A151" s="265"/>
      <c r="B151" s="278"/>
      <c r="C151" s="252"/>
      <c r="D151" s="822"/>
      <c r="F151" s="250"/>
      <c r="G151" s="269"/>
      <c r="H151" s="269"/>
      <c r="I151" s="269"/>
      <c r="J151" s="251"/>
    </row>
    <row r="152">
      <c r="A152" s="270"/>
      <c r="B152" s="271"/>
      <c r="C152" s="272"/>
      <c r="D152" s="823"/>
      <c r="E152" s="18"/>
      <c r="F152" s="274"/>
      <c r="G152" s="275"/>
      <c r="H152" s="275"/>
      <c r="I152" s="275"/>
      <c r="J152" s="261"/>
    </row>
    <row r="153">
      <c r="A153" s="262">
        <v>13.0</v>
      </c>
      <c r="B153" s="239"/>
      <c r="C153" s="240"/>
      <c r="D153" s="824"/>
      <c r="E153" s="242"/>
      <c r="F153" s="243">
        <v>895.0</v>
      </c>
      <c r="G153" s="276" t="s">
        <v>97</v>
      </c>
      <c r="H153" s="276"/>
      <c r="I153" s="276"/>
      <c r="J153" s="307"/>
    </row>
    <row r="154">
      <c r="A154" s="265"/>
      <c r="B154" s="247">
        <v>7594.0</v>
      </c>
      <c r="C154" s="252"/>
      <c r="D154" s="822"/>
      <c r="F154" s="250"/>
      <c r="G154" s="254" t="s">
        <v>82</v>
      </c>
      <c r="H154" s="269"/>
      <c r="I154" s="269"/>
      <c r="J154" s="251"/>
    </row>
    <row r="155">
      <c r="A155" s="265"/>
      <c r="B155" s="247"/>
      <c r="C155" s="252"/>
      <c r="D155" s="331"/>
      <c r="F155" s="418">
        <v>1150.0</v>
      </c>
      <c r="G155" s="285" t="s">
        <v>572</v>
      </c>
      <c r="H155" s="420"/>
      <c r="I155" s="829"/>
      <c r="J155" s="251"/>
    </row>
    <row r="156">
      <c r="A156" s="265"/>
      <c r="B156" s="247"/>
      <c r="C156" s="252"/>
      <c r="D156" s="822"/>
      <c r="F156" s="250"/>
      <c r="G156" s="254"/>
      <c r="H156" s="269"/>
      <c r="I156" s="269"/>
      <c r="J156" s="251"/>
    </row>
    <row r="157">
      <c r="A157" s="265"/>
      <c r="B157" s="247"/>
      <c r="C157" s="252"/>
      <c r="D157" s="331"/>
      <c r="F157" s="250"/>
      <c r="G157" s="254"/>
      <c r="H157" s="269"/>
      <c r="I157" s="269"/>
      <c r="J157" s="251"/>
    </row>
    <row r="158">
      <c r="A158" s="265"/>
      <c r="B158" s="268"/>
      <c r="C158" s="248"/>
      <c r="D158" s="331"/>
      <c r="F158" s="250"/>
      <c r="G158" s="254"/>
      <c r="H158" s="269"/>
      <c r="I158" s="269"/>
      <c r="J158" s="251"/>
    </row>
    <row r="159">
      <c r="A159" s="265"/>
      <c r="B159" s="247"/>
      <c r="C159" s="252"/>
      <c r="D159" s="331"/>
      <c r="F159" s="250"/>
      <c r="G159" s="254"/>
      <c r="H159" s="269"/>
      <c r="I159" s="269"/>
      <c r="J159" s="251"/>
    </row>
    <row r="160">
      <c r="A160" s="265"/>
      <c r="B160" s="247"/>
      <c r="C160" s="252"/>
      <c r="D160" s="331"/>
      <c r="F160" s="250"/>
      <c r="G160" s="254"/>
      <c r="H160" s="269"/>
      <c r="I160" s="269"/>
      <c r="J160" s="251"/>
    </row>
    <row r="161">
      <c r="A161" s="265"/>
      <c r="B161" s="268"/>
      <c r="C161" s="252"/>
      <c r="D161" s="331"/>
      <c r="F161" s="250"/>
      <c r="G161" s="254"/>
      <c r="H161" s="254"/>
      <c r="I161" s="269"/>
      <c r="J161" s="251"/>
    </row>
    <row r="162">
      <c r="A162" s="265"/>
      <c r="B162" s="247"/>
      <c r="C162" s="252"/>
      <c r="D162" s="822"/>
      <c r="F162" s="250"/>
      <c r="G162" s="254"/>
      <c r="H162" s="269"/>
      <c r="I162" s="269"/>
      <c r="J162" s="251"/>
    </row>
    <row r="163">
      <c r="A163" s="265"/>
      <c r="B163" s="247"/>
      <c r="C163" s="252"/>
      <c r="D163" s="822"/>
      <c r="F163" s="250"/>
      <c r="G163" s="254"/>
      <c r="H163" s="269"/>
      <c r="I163" s="269"/>
      <c r="J163" s="251"/>
    </row>
    <row r="164">
      <c r="A164" s="265"/>
      <c r="B164" s="277"/>
      <c r="C164" s="252"/>
      <c r="D164" s="822"/>
      <c r="F164" s="250"/>
      <c r="G164" s="269"/>
      <c r="H164" s="269"/>
      <c r="I164" s="269"/>
      <c r="J164" s="251"/>
    </row>
    <row r="165">
      <c r="A165" s="265"/>
      <c r="B165" s="277"/>
      <c r="C165" s="252"/>
      <c r="D165" s="822"/>
      <c r="F165" s="282"/>
      <c r="G165" s="269"/>
      <c r="H165" s="269"/>
      <c r="I165" s="269"/>
      <c r="J165" s="251"/>
    </row>
    <row r="166">
      <c r="A166" s="265"/>
      <c r="B166" s="278"/>
      <c r="C166" s="252"/>
      <c r="D166" s="822"/>
      <c r="F166" s="250"/>
      <c r="G166" s="269"/>
      <c r="H166" s="269"/>
      <c r="I166" s="269"/>
      <c r="J166" s="251"/>
    </row>
    <row r="167">
      <c r="A167" s="270"/>
      <c r="B167" s="271"/>
      <c r="C167" s="272"/>
      <c r="D167" s="823"/>
      <c r="E167" s="18"/>
      <c r="F167" s="259"/>
      <c r="G167" s="260"/>
      <c r="H167" s="260"/>
      <c r="I167" s="275"/>
      <c r="J167" s="261"/>
    </row>
    <row r="168">
      <c r="A168" s="262">
        <v>14.0</v>
      </c>
      <c r="B168" s="239"/>
      <c r="C168" s="263"/>
      <c r="D168" s="821"/>
      <c r="E168" s="242"/>
      <c r="F168" s="243">
        <v>4800.0</v>
      </c>
      <c r="G168" s="276" t="s">
        <v>120</v>
      </c>
      <c r="H168" s="276"/>
      <c r="I168" s="276"/>
      <c r="J168" s="307"/>
    </row>
    <row r="169">
      <c r="A169" s="265"/>
      <c r="B169" s="247"/>
      <c r="C169" s="252"/>
      <c r="D169" s="822"/>
      <c r="F169" s="250">
        <v>490.0</v>
      </c>
      <c r="G169" s="254" t="s">
        <v>63</v>
      </c>
      <c r="H169" s="269"/>
      <c r="I169" s="269"/>
      <c r="J169" s="251"/>
    </row>
    <row r="170">
      <c r="A170" s="265"/>
      <c r="B170" s="247">
        <v>15120.0</v>
      </c>
      <c r="C170" s="248"/>
      <c r="D170" s="331"/>
      <c r="F170" s="250"/>
      <c r="G170" s="254" t="s">
        <v>459</v>
      </c>
      <c r="H170" s="254"/>
      <c r="I170" s="269"/>
      <c r="J170" s="251"/>
    </row>
    <row r="171">
      <c r="A171" s="265"/>
      <c r="B171" s="247"/>
      <c r="C171" s="248"/>
      <c r="D171" s="331"/>
      <c r="F171" s="250"/>
      <c r="G171" s="254"/>
      <c r="H171" s="254">
        <v>3500.0</v>
      </c>
      <c r="I171" s="254" t="s">
        <v>2871</v>
      </c>
      <c r="J171" s="251"/>
    </row>
    <row r="172">
      <c r="A172" s="265"/>
      <c r="B172" s="247">
        <v>8000.0</v>
      </c>
      <c r="C172" s="252"/>
      <c r="D172" s="822"/>
      <c r="F172" s="250"/>
      <c r="G172" s="254" t="s">
        <v>2872</v>
      </c>
      <c r="H172" s="269"/>
      <c r="I172" s="269"/>
      <c r="J172" s="251"/>
    </row>
    <row r="173">
      <c r="A173" s="265"/>
      <c r="B173" s="247"/>
      <c r="C173" s="248"/>
      <c r="D173" s="331">
        <v>5290.0</v>
      </c>
      <c r="F173" s="250"/>
      <c r="G173" s="254" t="s">
        <v>75</v>
      </c>
      <c r="H173" s="269"/>
      <c r="I173" s="269"/>
      <c r="J173" s="251"/>
    </row>
    <row r="174">
      <c r="A174" s="265"/>
      <c r="B174" s="247"/>
      <c r="C174" s="248">
        <v>45365.22</v>
      </c>
      <c r="D174" s="331"/>
      <c r="F174" s="250"/>
      <c r="G174" s="254" t="s">
        <v>2703</v>
      </c>
      <c r="H174" s="269"/>
      <c r="I174" s="269"/>
      <c r="J174" s="251"/>
    </row>
    <row r="175">
      <c r="A175" s="265"/>
      <c r="B175" s="247"/>
      <c r="C175" s="252"/>
      <c r="D175" s="331">
        <v>19740.0</v>
      </c>
      <c r="F175" s="250"/>
      <c r="G175" s="254" t="s">
        <v>542</v>
      </c>
      <c r="H175" s="269"/>
      <c r="I175" s="269"/>
      <c r="J175" s="251"/>
    </row>
    <row r="176">
      <c r="A176" s="265"/>
      <c r="B176" s="247"/>
      <c r="C176" s="252"/>
      <c r="D176" s="822"/>
      <c r="F176" s="250">
        <v>11000.0</v>
      </c>
      <c r="G176" s="254" t="s">
        <v>1111</v>
      </c>
      <c r="H176" s="269"/>
      <c r="I176" s="269"/>
      <c r="J176" s="251"/>
    </row>
    <row r="177">
      <c r="A177" s="270"/>
      <c r="B177" s="279"/>
      <c r="C177" s="272"/>
      <c r="D177" s="823"/>
      <c r="E177" s="18"/>
      <c r="F177" s="274"/>
      <c r="G177" s="260"/>
      <c r="H177" s="260"/>
      <c r="I177" s="275"/>
      <c r="J177" s="261"/>
    </row>
    <row r="178">
      <c r="A178" s="262">
        <v>16.0</v>
      </c>
      <c r="B178" s="239">
        <v>4320.0</v>
      </c>
      <c r="C178" s="263"/>
      <c r="D178" s="821"/>
      <c r="E178" s="242"/>
      <c r="F178" s="250"/>
      <c r="G178" s="276" t="s">
        <v>2742</v>
      </c>
      <c r="H178" s="276"/>
      <c r="I178" s="276"/>
      <c r="J178" s="307"/>
    </row>
    <row r="179">
      <c r="A179" s="265"/>
      <c r="B179" s="247">
        <v>2340.0</v>
      </c>
      <c r="C179" s="252"/>
      <c r="D179" s="331"/>
      <c r="F179" s="250"/>
      <c r="G179" s="254" t="s">
        <v>2873</v>
      </c>
      <c r="H179" s="269"/>
      <c r="I179" s="269"/>
      <c r="J179" s="251"/>
    </row>
    <row r="180">
      <c r="A180" s="265"/>
      <c r="B180" s="247"/>
      <c r="C180" s="248"/>
      <c r="D180" s="331"/>
      <c r="F180" s="250">
        <v>220.0</v>
      </c>
      <c r="G180" s="254" t="s">
        <v>97</v>
      </c>
      <c r="H180" s="269"/>
      <c r="I180" s="269"/>
      <c r="J180" s="251"/>
    </row>
    <row r="181">
      <c r="A181" s="265"/>
      <c r="B181" s="247">
        <v>6215.0</v>
      </c>
      <c r="C181" s="248"/>
      <c r="D181" s="822"/>
      <c r="F181" s="250"/>
      <c r="G181" s="254" t="s">
        <v>2874</v>
      </c>
      <c r="H181" s="269"/>
      <c r="I181" s="269"/>
      <c r="J181" s="251"/>
    </row>
    <row r="182">
      <c r="A182" s="265"/>
      <c r="B182" s="247">
        <v>4590.0</v>
      </c>
      <c r="C182" s="248"/>
      <c r="D182" s="331"/>
      <c r="F182" s="250"/>
      <c r="G182" s="254" t="s">
        <v>434</v>
      </c>
      <c r="H182" s="269"/>
      <c r="I182" s="269"/>
      <c r="J182" s="251"/>
    </row>
    <row r="183">
      <c r="A183" s="265"/>
      <c r="B183" s="247"/>
      <c r="C183" s="252"/>
      <c r="D183" s="822"/>
      <c r="F183" s="250">
        <v>9000.0</v>
      </c>
      <c r="G183" s="254" t="s">
        <v>2669</v>
      </c>
      <c r="H183" s="269"/>
      <c r="I183" s="269"/>
      <c r="J183" s="251"/>
    </row>
    <row r="184">
      <c r="A184" s="265"/>
      <c r="B184" s="247"/>
      <c r="C184" s="252"/>
      <c r="D184" s="822"/>
      <c r="F184" s="250">
        <v>5000.0</v>
      </c>
      <c r="G184" s="254" t="s">
        <v>453</v>
      </c>
      <c r="H184" s="269"/>
      <c r="I184" s="269"/>
      <c r="J184" s="251"/>
    </row>
    <row r="185">
      <c r="A185" s="265"/>
      <c r="B185" s="247"/>
      <c r="C185" s="252"/>
      <c r="D185" s="822"/>
      <c r="F185" s="250">
        <f>1661+1061</f>
        <v>2722</v>
      </c>
      <c r="G185" s="254" t="s">
        <v>94</v>
      </c>
      <c r="H185" s="269"/>
      <c r="I185" s="269"/>
      <c r="J185" s="251"/>
    </row>
    <row r="186">
      <c r="A186" s="265"/>
      <c r="B186" s="247"/>
      <c r="C186" s="252"/>
      <c r="D186" s="822"/>
      <c r="F186" s="250"/>
      <c r="G186" s="254"/>
      <c r="H186" s="254"/>
      <c r="I186" s="269"/>
      <c r="J186" s="251"/>
    </row>
    <row r="187">
      <c r="A187" s="265"/>
      <c r="B187" s="247"/>
      <c r="C187" s="252"/>
      <c r="D187" s="822"/>
      <c r="F187" s="250"/>
      <c r="G187" s="254"/>
      <c r="H187" s="269"/>
      <c r="I187" s="269"/>
      <c r="J187" s="251"/>
    </row>
    <row r="188">
      <c r="A188" s="265"/>
      <c r="B188" s="247"/>
      <c r="C188" s="252"/>
      <c r="D188" s="822"/>
      <c r="F188" s="250"/>
      <c r="G188" s="254"/>
      <c r="H188" s="269"/>
      <c r="I188" s="269"/>
      <c r="J188" s="251"/>
    </row>
    <row r="189">
      <c r="A189" s="265"/>
      <c r="B189" s="247"/>
      <c r="C189" s="252"/>
      <c r="D189" s="822"/>
      <c r="F189" s="250"/>
      <c r="G189" s="254"/>
      <c r="H189" s="254"/>
      <c r="I189" s="269"/>
      <c r="J189" s="251"/>
    </row>
    <row r="190">
      <c r="A190" s="265"/>
      <c r="B190" s="268"/>
      <c r="C190" s="252"/>
      <c r="D190" s="822"/>
      <c r="F190" s="250"/>
      <c r="G190" s="269"/>
      <c r="H190" s="269"/>
      <c r="I190" s="269"/>
      <c r="J190" s="251"/>
    </row>
    <row r="191">
      <c r="A191" s="265"/>
      <c r="B191" s="268"/>
      <c r="C191" s="252"/>
      <c r="D191" s="822"/>
      <c r="F191" s="250"/>
      <c r="G191" s="269"/>
      <c r="H191" s="269"/>
      <c r="I191" s="269"/>
      <c r="J191" s="251"/>
    </row>
    <row r="192">
      <c r="A192" s="270"/>
      <c r="B192" s="271"/>
      <c r="C192" s="272"/>
      <c r="D192" s="823"/>
      <c r="E192" s="18"/>
      <c r="F192" s="259"/>
      <c r="G192" s="260"/>
      <c r="H192" s="260"/>
      <c r="I192" s="275"/>
      <c r="J192" s="261"/>
    </row>
    <row r="193">
      <c r="A193" s="262">
        <v>18.0</v>
      </c>
      <c r="B193" s="247" t="s">
        <v>2875</v>
      </c>
      <c r="C193" s="248"/>
      <c r="D193" s="822"/>
      <c r="F193" s="250"/>
      <c r="G193" s="254" t="s">
        <v>2876</v>
      </c>
      <c r="H193" s="276"/>
      <c r="I193" s="269"/>
      <c r="J193" s="286"/>
    </row>
    <row r="194">
      <c r="A194" s="265"/>
      <c r="B194" s="247"/>
      <c r="C194" s="252"/>
      <c r="D194" s="822"/>
      <c r="F194" s="250">
        <v>1865.0</v>
      </c>
      <c r="G194" s="254" t="s">
        <v>63</v>
      </c>
      <c r="H194" s="269"/>
      <c r="I194" s="269"/>
      <c r="J194" s="251"/>
    </row>
    <row r="195">
      <c r="A195" s="265"/>
      <c r="B195" s="247"/>
      <c r="C195" s="252"/>
      <c r="D195" s="331"/>
      <c r="F195" s="250">
        <v>400.0</v>
      </c>
      <c r="G195" s="254" t="s">
        <v>2877</v>
      </c>
      <c r="H195" s="269"/>
      <c r="I195" s="269"/>
      <c r="J195" s="251"/>
    </row>
    <row r="196">
      <c r="A196" s="265"/>
      <c r="B196" s="247">
        <v>10107.0</v>
      </c>
      <c r="C196" s="248"/>
      <c r="D196" s="331"/>
      <c r="F196" s="250"/>
      <c r="G196" s="254" t="s">
        <v>895</v>
      </c>
      <c r="H196" s="269"/>
      <c r="I196" s="269"/>
      <c r="J196" s="251"/>
    </row>
    <row r="197">
      <c r="A197" s="265"/>
      <c r="B197" s="247"/>
      <c r="C197" s="248">
        <v>49549.0</v>
      </c>
      <c r="D197" s="331"/>
      <c r="F197" s="250"/>
      <c r="G197" s="254" t="s">
        <v>2603</v>
      </c>
      <c r="H197" s="269"/>
      <c r="I197" s="269"/>
      <c r="J197" s="251"/>
    </row>
    <row r="198">
      <c r="A198" s="265"/>
      <c r="B198" s="247"/>
      <c r="C198" s="252"/>
      <c r="D198" s="331"/>
      <c r="F198" s="250">
        <v>2000.0</v>
      </c>
      <c r="G198" s="254" t="s">
        <v>160</v>
      </c>
      <c r="H198" s="269"/>
      <c r="I198" s="269"/>
      <c r="J198" s="251"/>
    </row>
    <row r="199">
      <c r="A199" s="265"/>
      <c r="B199" s="247">
        <v>21221.2</v>
      </c>
      <c r="C199" s="252"/>
      <c r="D199" s="822"/>
      <c r="F199" s="250"/>
      <c r="G199" s="254" t="s">
        <v>2703</v>
      </c>
      <c r="H199" s="269"/>
      <c r="I199" s="269"/>
      <c r="J199" s="251"/>
    </row>
    <row r="200">
      <c r="A200" s="265"/>
      <c r="B200" s="247"/>
      <c r="C200" s="252"/>
      <c r="D200" s="331"/>
      <c r="F200" s="250">
        <v>500.0</v>
      </c>
      <c r="G200" s="254" t="s">
        <v>255</v>
      </c>
      <c r="H200" s="269"/>
      <c r="I200" s="269"/>
      <c r="J200" s="251"/>
    </row>
    <row r="201">
      <c r="A201" s="265"/>
      <c r="B201" s="247"/>
      <c r="C201" s="248"/>
      <c r="D201" s="822"/>
      <c r="F201" s="250"/>
      <c r="G201" s="254"/>
      <c r="H201" s="269"/>
      <c r="I201" s="269"/>
      <c r="J201" s="251"/>
    </row>
    <row r="202">
      <c r="A202" s="265"/>
      <c r="B202" s="247"/>
      <c r="C202" s="252"/>
      <c r="D202" s="822"/>
      <c r="F202" s="250"/>
      <c r="G202" s="254"/>
      <c r="H202" s="254"/>
      <c r="I202" s="269"/>
      <c r="J202" s="251"/>
    </row>
    <row r="203">
      <c r="A203" s="265"/>
      <c r="B203" s="247"/>
      <c r="C203" s="252"/>
      <c r="D203" s="331"/>
      <c r="F203" s="250"/>
      <c r="G203" s="254"/>
      <c r="H203" s="269"/>
      <c r="I203" s="269"/>
      <c r="J203" s="251"/>
    </row>
    <row r="204">
      <c r="A204" s="265"/>
      <c r="B204" s="247"/>
      <c r="C204" s="248"/>
      <c r="D204" s="331"/>
      <c r="F204" s="250"/>
      <c r="G204" s="254"/>
      <c r="H204" s="269"/>
      <c r="I204" s="269"/>
      <c r="J204" s="251"/>
    </row>
    <row r="205">
      <c r="A205" s="265"/>
      <c r="B205" s="247"/>
      <c r="C205" s="248"/>
      <c r="D205" s="331"/>
      <c r="F205" s="250"/>
      <c r="G205" s="254"/>
      <c r="H205" s="269"/>
      <c r="I205" s="269"/>
      <c r="J205" s="251"/>
    </row>
    <row r="206">
      <c r="A206" s="265"/>
      <c r="B206" s="247"/>
      <c r="C206" s="252"/>
      <c r="D206" s="331"/>
      <c r="F206" s="250"/>
      <c r="G206" s="254"/>
      <c r="H206" s="269"/>
      <c r="I206" s="269"/>
      <c r="J206" s="251"/>
    </row>
    <row r="207">
      <c r="A207" s="265"/>
      <c r="B207" s="247"/>
      <c r="C207" s="252"/>
      <c r="D207" s="822"/>
      <c r="F207" s="250"/>
      <c r="G207" s="254"/>
      <c r="H207" s="269"/>
      <c r="I207" s="269"/>
      <c r="J207" s="251"/>
    </row>
    <row r="208">
      <c r="A208" s="270"/>
      <c r="B208" s="247"/>
      <c r="C208" s="252"/>
      <c r="D208" s="331"/>
      <c r="F208" s="250"/>
      <c r="G208" s="254"/>
      <c r="H208" s="275"/>
      <c r="I208" s="275"/>
      <c r="J208" s="261"/>
    </row>
    <row r="209">
      <c r="A209" s="262">
        <v>19.0</v>
      </c>
      <c r="B209" s="239">
        <v>13570.0</v>
      </c>
      <c r="C209" s="263"/>
      <c r="D209" s="821"/>
      <c r="E209" s="242"/>
      <c r="F209" s="243"/>
      <c r="G209" s="276" t="s">
        <v>75</v>
      </c>
      <c r="H209" s="276"/>
      <c r="I209" s="276"/>
      <c r="J209" s="307"/>
    </row>
    <row r="210">
      <c r="A210" s="265"/>
      <c r="B210" s="247"/>
      <c r="C210" s="248"/>
      <c r="D210" s="331"/>
      <c r="F210" s="250">
        <v>18000.0</v>
      </c>
      <c r="G210" s="254" t="s">
        <v>87</v>
      </c>
      <c r="H210" s="269"/>
      <c r="I210" s="269"/>
      <c r="J210" s="251"/>
    </row>
    <row r="211">
      <c r="A211" s="265"/>
      <c r="B211" s="247"/>
      <c r="C211" s="252"/>
      <c r="D211" s="822"/>
      <c r="F211" s="250">
        <f>205</f>
        <v>205</v>
      </c>
      <c r="G211" s="254" t="s">
        <v>97</v>
      </c>
      <c r="H211" s="269"/>
      <c r="I211" s="269"/>
      <c r="J211" s="251"/>
    </row>
    <row r="212">
      <c r="A212" s="265"/>
      <c r="B212" s="247">
        <v>466.87</v>
      </c>
      <c r="C212" s="252"/>
      <c r="D212" s="822"/>
      <c r="F212" s="250"/>
      <c r="G212" s="254" t="s">
        <v>73</v>
      </c>
      <c r="H212" s="269"/>
      <c r="I212" s="269"/>
      <c r="J212" s="251"/>
    </row>
    <row r="213">
      <c r="A213" s="265"/>
      <c r="B213" s="247">
        <v>23258.69</v>
      </c>
      <c r="C213" s="248"/>
      <c r="D213" s="331"/>
      <c r="F213" s="250"/>
      <c r="G213" s="254" t="s">
        <v>74</v>
      </c>
      <c r="H213" s="269"/>
      <c r="I213" s="269"/>
      <c r="J213" s="251"/>
    </row>
    <row r="214">
      <c r="A214" s="265"/>
      <c r="B214" s="247">
        <v>19747.2</v>
      </c>
      <c r="C214" s="248"/>
      <c r="D214" s="331"/>
      <c r="F214" s="250"/>
      <c r="G214" s="254" t="s">
        <v>100</v>
      </c>
      <c r="H214" s="269"/>
      <c r="I214" s="269"/>
      <c r="J214" s="251"/>
    </row>
    <row r="215">
      <c r="A215" s="265"/>
      <c r="B215" s="268"/>
      <c r="C215" s="248"/>
      <c r="D215" s="331"/>
      <c r="F215" s="250">
        <v>2000.0</v>
      </c>
      <c r="G215" s="254" t="s">
        <v>2878</v>
      </c>
      <c r="H215" s="269"/>
      <c r="I215" s="269"/>
      <c r="J215" s="251"/>
    </row>
    <row r="216">
      <c r="A216" s="265"/>
      <c r="B216" s="247"/>
      <c r="C216" s="252"/>
      <c r="D216" s="331"/>
      <c r="F216" s="250">
        <f>1164+156</f>
        <v>1320</v>
      </c>
      <c r="G216" s="254" t="s">
        <v>1070</v>
      </c>
      <c r="H216" s="269"/>
      <c r="I216" s="269"/>
      <c r="J216" s="251"/>
    </row>
    <row r="217">
      <c r="A217" s="265"/>
      <c r="B217" s="268"/>
      <c r="C217" s="248"/>
      <c r="D217" s="331"/>
      <c r="F217" s="250">
        <v>20000.0</v>
      </c>
      <c r="G217" s="254" t="s">
        <v>95</v>
      </c>
      <c r="H217" s="254" t="s">
        <v>2879</v>
      </c>
      <c r="I217" s="269"/>
      <c r="J217" s="251"/>
    </row>
    <row r="218">
      <c r="A218" s="265"/>
      <c r="B218" s="247"/>
      <c r="C218" s="248"/>
      <c r="D218" s="822"/>
      <c r="F218" s="250"/>
      <c r="G218" s="254"/>
      <c r="H218" s="269"/>
      <c r="I218" s="269"/>
      <c r="J218" s="251"/>
    </row>
    <row r="219">
      <c r="A219" s="265"/>
      <c r="B219" s="268"/>
      <c r="C219" s="248"/>
      <c r="D219" s="822"/>
      <c r="F219" s="250"/>
      <c r="G219" s="269"/>
      <c r="H219" s="269"/>
      <c r="I219" s="269"/>
      <c r="J219" s="251"/>
    </row>
    <row r="220">
      <c r="A220" s="265"/>
      <c r="B220" s="247"/>
      <c r="C220" s="248"/>
      <c r="D220" s="822"/>
      <c r="F220" s="250"/>
      <c r="G220" s="269"/>
      <c r="H220" s="269"/>
      <c r="I220" s="269"/>
      <c r="J220" s="251"/>
    </row>
    <row r="221">
      <c r="A221" s="265"/>
      <c r="B221" s="278"/>
      <c r="C221" s="252"/>
      <c r="D221" s="822"/>
      <c r="F221" s="250"/>
      <c r="G221" s="269"/>
      <c r="H221" s="269"/>
      <c r="I221" s="269"/>
      <c r="J221" s="251"/>
    </row>
    <row r="222">
      <c r="A222" s="265"/>
      <c r="B222" s="278"/>
      <c r="C222" s="252"/>
      <c r="D222" s="822"/>
      <c r="F222" s="282"/>
      <c r="G222" s="269"/>
      <c r="H222" s="269"/>
      <c r="I222" s="269"/>
      <c r="J222" s="251"/>
    </row>
    <row r="223">
      <c r="A223" s="270"/>
      <c r="B223" s="271"/>
      <c r="C223" s="272"/>
      <c r="D223" s="823"/>
      <c r="E223" s="18"/>
      <c r="F223" s="274"/>
      <c r="G223" s="275"/>
      <c r="H223" s="275"/>
      <c r="I223" s="275"/>
      <c r="J223" s="261"/>
    </row>
    <row r="224">
      <c r="A224" s="262">
        <v>20.0</v>
      </c>
      <c r="B224" s="239"/>
      <c r="C224" s="263"/>
      <c r="D224" s="824"/>
      <c r="E224" s="242"/>
      <c r="F224" s="243">
        <v>399.0</v>
      </c>
      <c r="G224" s="276" t="s">
        <v>708</v>
      </c>
      <c r="H224" s="276"/>
      <c r="I224" s="276"/>
      <c r="J224" s="307"/>
    </row>
    <row r="225">
      <c r="A225" s="265"/>
      <c r="B225" s="247"/>
      <c r="C225" s="248"/>
      <c r="D225" s="331"/>
      <c r="F225" s="250">
        <v>4800.0</v>
      </c>
      <c r="G225" s="254" t="s">
        <v>139</v>
      </c>
      <c r="H225" s="269"/>
      <c r="I225" s="269"/>
      <c r="J225" s="251"/>
    </row>
    <row r="226">
      <c r="A226" s="265"/>
      <c r="B226" s="247"/>
      <c r="C226" s="252"/>
      <c r="D226" s="331">
        <v>33010.0</v>
      </c>
      <c r="F226" s="250"/>
      <c r="G226" s="254" t="s">
        <v>84</v>
      </c>
      <c r="H226" s="269"/>
      <c r="I226" s="269"/>
      <c r="J226" s="251"/>
    </row>
    <row r="227">
      <c r="A227" s="265"/>
      <c r="B227" s="247"/>
      <c r="C227" s="248"/>
      <c r="D227" s="331"/>
      <c r="F227" s="250">
        <v>18000.0</v>
      </c>
      <c r="G227" s="254" t="s">
        <v>87</v>
      </c>
      <c r="H227" s="269"/>
      <c r="I227" s="269"/>
      <c r="J227" s="251"/>
    </row>
    <row r="228">
      <c r="A228" s="265"/>
      <c r="B228" s="247">
        <v>5600.0</v>
      </c>
      <c r="C228" s="252"/>
      <c r="D228" s="822"/>
      <c r="F228" s="250"/>
      <c r="G228" s="254" t="s">
        <v>612</v>
      </c>
      <c r="H228" s="269"/>
      <c r="I228" s="269"/>
      <c r="J228" s="251"/>
    </row>
    <row r="229">
      <c r="A229" s="265"/>
      <c r="B229" s="247">
        <v>5729.55</v>
      </c>
      <c r="C229" s="252"/>
      <c r="D229" s="822"/>
      <c r="F229" s="250"/>
      <c r="G229" s="254" t="s">
        <v>58</v>
      </c>
      <c r="H229" s="269"/>
      <c r="I229" s="269"/>
      <c r="J229" s="251"/>
    </row>
    <row r="230">
      <c r="A230" s="265"/>
      <c r="B230" s="247"/>
      <c r="C230" s="252"/>
      <c r="D230" s="822"/>
      <c r="F230" s="250"/>
      <c r="G230" s="254"/>
      <c r="H230" s="269"/>
      <c r="I230" s="269"/>
      <c r="J230" s="251"/>
    </row>
    <row r="231">
      <c r="A231" s="265"/>
      <c r="B231" s="247"/>
      <c r="C231" s="252"/>
      <c r="D231" s="822"/>
      <c r="F231" s="250"/>
      <c r="G231" s="254"/>
      <c r="H231" s="269"/>
      <c r="I231" s="269"/>
      <c r="J231" s="251"/>
    </row>
    <row r="232">
      <c r="A232" s="265"/>
      <c r="B232" s="247"/>
      <c r="C232" s="252"/>
      <c r="D232" s="331"/>
      <c r="F232" s="250"/>
      <c r="G232" s="254"/>
      <c r="H232" s="269"/>
      <c r="I232" s="269"/>
      <c r="J232" s="251"/>
    </row>
    <row r="233">
      <c r="A233" s="265"/>
      <c r="B233" s="278"/>
      <c r="C233" s="252"/>
      <c r="D233" s="822"/>
      <c r="F233" s="250"/>
      <c r="G233" s="254"/>
      <c r="H233" s="269"/>
      <c r="I233" s="269"/>
      <c r="J233" s="251"/>
    </row>
    <row r="234">
      <c r="A234" s="265"/>
      <c r="B234" s="278"/>
      <c r="C234" s="252"/>
      <c r="D234" s="822"/>
      <c r="F234" s="282"/>
      <c r="G234" s="269"/>
      <c r="H234" s="269"/>
      <c r="I234" s="269"/>
      <c r="J234" s="251"/>
    </row>
    <row r="235">
      <c r="A235" s="270"/>
      <c r="B235" s="271"/>
      <c r="C235" s="272"/>
      <c r="D235" s="823"/>
      <c r="E235" s="18"/>
      <c r="F235" s="274"/>
      <c r="G235" s="275"/>
      <c r="H235" s="275"/>
      <c r="I235" s="275"/>
      <c r="J235" s="261"/>
    </row>
    <row r="236">
      <c r="A236" s="262">
        <v>21.0</v>
      </c>
      <c r="B236" s="239"/>
      <c r="C236" s="240"/>
      <c r="D236" s="821"/>
      <c r="E236" s="242"/>
      <c r="F236" s="243">
        <v>528.0</v>
      </c>
      <c r="G236" s="276" t="s">
        <v>2880</v>
      </c>
      <c r="H236" s="276"/>
      <c r="I236" s="276"/>
      <c r="J236" s="307"/>
    </row>
    <row r="237">
      <c r="A237" s="265"/>
      <c r="B237" s="247">
        <v>8780.0</v>
      </c>
      <c r="C237" s="252"/>
      <c r="D237" s="331"/>
      <c r="F237" s="250"/>
      <c r="G237" s="254" t="s">
        <v>839</v>
      </c>
      <c r="H237" s="254" t="s">
        <v>2881</v>
      </c>
      <c r="I237" s="269"/>
      <c r="J237" s="251"/>
    </row>
    <row r="238">
      <c r="A238" s="265"/>
      <c r="B238" s="247">
        <v>6382.5</v>
      </c>
      <c r="C238" s="252"/>
      <c r="D238" s="331"/>
      <c r="F238" s="250"/>
      <c r="G238" s="254" t="s">
        <v>2882</v>
      </c>
      <c r="H238" s="269"/>
      <c r="I238" s="269"/>
      <c r="J238" s="251"/>
    </row>
    <row r="239">
      <c r="A239" s="265"/>
      <c r="B239" s="247"/>
      <c r="C239" s="248"/>
      <c r="D239" s="822"/>
      <c r="F239" s="250"/>
      <c r="G239" s="254" t="s">
        <v>394</v>
      </c>
      <c r="H239" s="269"/>
      <c r="I239" s="269"/>
      <c r="J239" s="251"/>
    </row>
    <row r="240">
      <c r="A240" s="265"/>
      <c r="B240" s="247">
        <v>7780.0</v>
      </c>
      <c r="C240" s="248"/>
      <c r="D240" s="822"/>
      <c r="F240" s="250"/>
      <c r="G240" s="254" t="s">
        <v>2883</v>
      </c>
      <c r="H240" s="269"/>
      <c r="I240" s="269"/>
      <c r="J240" s="251"/>
    </row>
    <row r="241">
      <c r="A241" s="265"/>
      <c r="B241" s="247">
        <v>37752.0</v>
      </c>
      <c r="C241" s="248"/>
      <c r="D241" s="331"/>
      <c r="F241" s="250"/>
      <c r="G241" s="254" t="s">
        <v>167</v>
      </c>
      <c r="H241" s="269"/>
      <c r="I241" s="269"/>
      <c r="J241" s="251"/>
    </row>
    <row r="242">
      <c r="A242" s="265"/>
      <c r="B242" s="247"/>
      <c r="C242" s="252"/>
      <c r="D242" s="822"/>
      <c r="F242" s="250"/>
      <c r="G242" s="254"/>
      <c r="H242" s="269"/>
      <c r="I242" s="269"/>
      <c r="J242" s="251"/>
    </row>
    <row r="243">
      <c r="A243" s="265"/>
      <c r="B243" s="247"/>
      <c r="C243" s="252"/>
      <c r="D243" s="822"/>
      <c r="F243" s="250"/>
      <c r="G243" s="254"/>
      <c r="H243" s="269"/>
      <c r="I243" s="269"/>
      <c r="J243" s="251"/>
    </row>
    <row r="244">
      <c r="A244" s="265"/>
      <c r="B244" s="247"/>
      <c r="C244" s="252"/>
      <c r="D244" s="822"/>
      <c r="F244" s="250"/>
      <c r="G244" s="254"/>
      <c r="H244" s="269"/>
      <c r="I244" s="269"/>
      <c r="J244" s="251"/>
    </row>
    <row r="245">
      <c r="A245" s="265"/>
      <c r="B245" s="247"/>
      <c r="C245" s="252"/>
      <c r="D245" s="822"/>
      <c r="F245" s="250"/>
      <c r="G245" s="254"/>
      <c r="H245" s="269"/>
      <c r="I245" s="269"/>
      <c r="J245" s="251"/>
    </row>
    <row r="246">
      <c r="A246" s="265"/>
      <c r="B246" s="268"/>
      <c r="C246" s="252"/>
      <c r="D246" s="822"/>
      <c r="F246" s="250"/>
      <c r="G246" s="254"/>
      <c r="H246" s="269"/>
      <c r="I246" s="269"/>
      <c r="J246" s="251"/>
    </row>
    <row r="247">
      <c r="A247" s="265"/>
      <c r="B247" s="277"/>
      <c r="C247" s="252"/>
      <c r="D247" s="822"/>
      <c r="F247" s="282"/>
      <c r="G247" s="269"/>
      <c r="H247" s="269"/>
      <c r="I247" s="269"/>
      <c r="J247" s="251"/>
    </row>
    <row r="248">
      <c r="A248" s="265"/>
      <c r="B248" s="278"/>
      <c r="C248" s="252"/>
      <c r="D248" s="822"/>
      <c r="F248" s="282"/>
      <c r="G248" s="269"/>
      <c r="H248" s="269"/>
      <c r="I248" s="269"/>
      <c r="J248" s="251"/>
    </row>
    <row r="249">
      <c r="A249" s="265"/>
      <c r="B249" s="278"/>
      <c r="C249" s="252"/>
      <c r="D249" s="822"/>
      <c r="F249" s="282"/>
      <c r="G249" s="269"/>
      <c r="H249" s="269"/>
      <c r="I249" s="269"/>
      <c r="J249" s="251"/>
    </row>
    <row r="250">
      <c r="A250" s="270"/>
      <c r="B250" s="271"/>
      <c r="C250" s="272"/>
      <c r="D250" s="823"/>
      <c r="E250" s="18"/>
      <c r="F250" s="274"/>
      <c r="G250" s="275"/>
      <c r="H250" s="275"/>
      <c r="I250" s="275"/>
      <c r="J250" s="261"/>
    </row>
    <row r="251">
      <c r="A251" s="262">
        <v>22.0</v>
      </c>
      <c r="B251" s="239">
        <v>3819.0</v>
      </c>
      <c r="C251" s="263"/>
      <c r="D251" s="824"/>
      <c r="E251" s="242"/>
      <c r="F251" s="243"/>
      <c r="G251" s="276" t="s">
        <v>82</v>
      </c>
      <c r="H251" s="276"/>
      <c r="I251" s="276"/>
      <c r="J251" s="307"/>
    </row>
    <row r="252">
      <c r="A252" s="265"/>
      <c r="B252" s="247">
        <v>10119.28</v>
      </c>
      <c r="C252" s="252"/>
      <c r="D252" s="822"/>
      <c r="F252" s="250"/>
      <c r="G252" s="254" t="s">
        <v>114</v>
      </c>
      <c r="H252" s="269"/>
      <c r="I252" s="269"/>
      <c r="J252" s="251"/>
    </row>
    <row r="253">
      <c r="A253" s="265"/>
      <c r="B253" s="247"/>
      <c r="C253" s="252"/>
      <c r="D253" s="822"/>
      <c r="F253" s="250">
        <v>480.0</v>
      </c>
      <c r="G253" s="254" t="s">
        <v>97</v>
      </c>
      <c r="H253" s="254"/>
      <c r="I253" s="269"/>
      <c r="J253" s="251"/>
    </row>
    <row r="254">
      <c r="A254" s="265"/>
      <c r="B254" s="247"/>
      <c r="C254" s="248"/>
      <c r="D254" s="822"/>
      <c r="F254" s="250">
        <v>2000.0</v>
      </c>
      <c r="G254" s="254" t="s">
        <v>101</v>
      </c>
      <c r="H254" s="269"/>
      <c r="I254" s="269"/>
      <c r="J254" s="251"/>
    </row>
    <row r="255">
      <c r="A255" s="265"/>
      <c r="B255" s="247"/>
      <c r="C255" s="252"/>
      <c r="D255" s="822"/>
      <c r="F255" s="250">
        <v>1950.0</v>
      </c>
      <c r="G255" s="254" t="s">
        <v>344</v>
      </c>
      <c r="H255" s="269"/>
      <c r="I255" s="269"/>
      <c r="J255" s="267"/>
    </row>
    <row r="256">
      <c r="A256" s="265"/>
      <c r="B256" s="247">
        <v>4950.0</v>
      </c>
      <c r="C256" s="248"/>
      <c r="D256" s="822"/>
      <c r="F256" s="250"/>
      <c r="G256" s="254" t="s">
        <v>2621</v>
      </c>
      <c r="H256" s="269"/>
      <c r="I256" s="269"/>
      <c r="J256" s="251"/>
    </row>
    <row r="257">
      <c r="A257" s="265"/>
      <c r="B257" s="247"/>
      <c r="C257" s="248"/>
      <c r="D257" s="822"/>
      <c r="F257" s="250">
        <v>800.0</v>
      </c>
      <c r="G257" s="254" t="s">
        <v>102</v>
      </c>
      <c r="H257" s="269"/>
      <c r="I257" s="269"/>
      <c r="J257" s="251"/>
    </row>
    <row r="258">
      <c r="A258" s="265"/>
      <c r="B258" s="268"/>
      <c r="C258" s="252"/>
      <c r="D258" s="331">
        <v>40898.0</v>
      </c>
      <c r="F258" s="250"/>
      <c r="G258" s="254" t="s">
        <v>167</v>
      </c>
      <c r="H258" s="269"/>
      <c r="I258" s="269"/>
      <c r="J258" s="251"/>
    </row>
    <row r="259">
      <c r="A259" s="265"/>
      <c r="B259" s="247"/>
      <c r="C259" s="252"/>
      <c r="D259" s="822"/>
      <c r="F259" s="250"/>
      <c r="G259" s="254"/>
      <c r="H259" s="269"/>
      <c r="I259" s="269"/>
      <c r="J259" s="251"/>
    </row>
    <row r="260">
      <c r="A260" s="265"/>
      <c r="B260" s="247"/>
      <c r="C260" s="252"/>
      <c r="D260" s="822"/>
      <c r="F260" s="250"/>
      <c r="G260" s="254"/>
      <c r="H260" s="269"/>
      <c r="I260" s="269"/>
      <c r="J260" s="251"/>
    </row>
    <row r="261">
      <c r="A261" s="265"/>
      <c r="B261" s="278"/>
      <c r="C261" s="252"/>
      <c r="D261" s="822"/>
      <c r="F261" s="250"/>
      <c r="G261" s="269"/>
      <c r="H261" s="269"/>
      <c r="I261" s="269"/>
      <c r="J261" s="251"/>
    </row>
    <row r="262">
      <c r="A262" s="265"/>
      <c r="B262" s="278"/>
      <c r="C262" s="252"/>
      <c r="D262" s="822"/>
      <c r="F262" s="250"/>
      <c r="G262" s="269"/>
      <c r="H262" s="269"/>
      <c r="I262" s="269"/>
      <c r="J262" s="251"/>
    </row>
    <row r="263">
      <c r="A263" s="265"/>
      <c r="B263" s="278"/>
      <c r="C263" s="252"/>
      <c r="D263" s="822"/>
      <c r="F263" s="250"/>
      <c r="G263" s="269"/>
      <c r="H263" s="269"/>
      <c r="I263" s="269"/>
      <c r="J263" s="251"/>
    </row>
    <row r="264">
      <c r="A264" s="270"/>
      <c r="B264" s="271"/>
      <c r="C264" s="272"/>
      <c r="D264" s="823"/>
      <c r="E264" s="18"/>
      <c r="F264" s="274"/>
      <c r="G264" s="275"/>
      <c r="H264" s="275"/>
      <c r="I264" s="275"/>
      <c r="J264" s="261"/>
    </row>
    <row r="265">
      <c r="A265" s="262">
        <v>23.0</v>
      </c>
      <c r="B265" s="239"/>
      <c r="C265" s="263"/>
      <c r="D265" s="824"/>
      <c r="E265" s="242"/>
      <c r="F265" s="243"/>
      <c r="G265" s="276" t="s">
        <v>87</v>
      </c>
      <c r="H265" s="276"/>
      <c r="I265" s="276"/>
      <c r="J265" s="307"/>
    </row>
    <row r="266">
      <c r="A266" s="265"/>
      <c r="B266" s="247"/>
      <c r="C266" s="248"/>
      <c r="D266" s="822"/>
      <c r="F266" s="250"/>
      <c r="G266" s="254" t="s">
        <v>114</v>
      </c>
      <c r="H266" s="269"/>
      <c r="I266" s="269"/>
      <c r="J266" s="251"/>
    </row>
    <row r="267">
      <c r="A267" s="265"/>
      <c r="B267" s="247"/>
      <c r="C267" s="252"/>
      <c r="D267" s="822"/>
      <c r="F267" s="250"/>
      <c r="G267" s="254" t="s">
        <v>68</v>
      </c>
      <c r="H267" s="269"/>
      <c r="I267" s="269"/>
      <c r="J267" s="251"/>
    </row>
    <row r="268">
      <c r="A268" s="265"/>
      <c r="B268" s="247"/>
      <c r="C268" s="248"/>
      <c r="D268" s="822"/>
      <c r="F268" s="250"/>
      <c r="G268" s="254" t="s">
        <v>76</v>
      </c>
      <c r="H268" s="269"/>
      <c r="I268" s="269"/>
      <c r="J268" s="251"/>
    </row>
    <row r="269">
      <c r="A269" s="265"/>
      <c r="B269" s="247"/>
      <c r="C269" s="248"/>
      <c r="D269" s="331"/>
      <c r="F269" s="250"/>
      <c r="G269" s="254" t="s">
        <v>122</v>
      </c>
      <c r="H269" s="269"/>
      <c r="I269" s="269"/>
      <c r="J269" s="251"/>
    </row>
    <row r="270">
      <c r="A270" s="265"/>
      <c r="B270" s="247"/>
      <c r="C270" s="248"/>
      <c r="D270" s="331"/>
      <c r="F270" s="250"/>
      <c r="G270" s="254" t="s">
        <v>84</v>
      </c>
      <c r="H270" s="269"/>
      <c r="I270" s="269"/>
      <c r="J270" s="251"/>
    </row>
    <row r="271">
      <c r="A271" s="265"/>
      <c r="B271" s="247"/>
      <c r="C271" s="252"/>
      <c r="D271" s="331"/>
      <c r="F271" s="250"/>
      <c r="G271" s="254"/>
      <c r="H271" s="269"/>
      <c r="I271" s="269"/>
      <c r="J271" s="251"/>
    </row>
    <row r="272">
      <c r="A272" s="265"/>
      <c r="B272" s="247"/>
      <c r="C272" s="252"/>
      <c r="D272" s="822"/>
      <c r="F272" s="250"/>
      <c r="G272" s="254"/>
      <c r="H272" s="269"/>
      <c r="I272" s="269"/>
      <c r="J272" s="251"/>
    </row>
    <row r="273">
      <c r="A273" s="265"/>
      <c r="B273" s="247"/>
      <c r="C273" s="252"/>
      <c r="D273" s="822"/>
      <c r="F273" s="250"/>
      <c r="G273" s="254"/>
      <c r="H273" s="269"/>
      <c r="I273" s="269"/>
      <c r="J273" s="251"/>
    </row>
    <row r="274">
      <c r="A274" s="265"/>
      <c r="B274" s="247"/>
      <c r="C274" s="252"/>
      <c r="D274" s="822"/>
      <c r="F274" s="250"/>
      <c r="G274" s="254"/>
      <c r="H274" s="269"/>
      <c r="I274" s="269"/>
      <c r="J274" s="251"/>
    </row>
    <row r="275">
      <c r="A275" s="265"/>
      <c r="B275" s="268"/>
      <c r="C275" s="252"/>
      <c r="D275" s="822"/>
      <c r="F275" s="250"/>
      <c r="G275" s="254"/>
      <c r="H275" s="269"/>
      <c r="I275" s="269"/>
      <c r="J275" s="267"/>
    </row>
    <row r="276">
      <c r="A276" s="265"/>
      <c r="B276" s="268"/>
      <c r="C276" s="252"/>
      <c r="D276" s="822"/>
      <c r="F276" s="250"/>
      <c r="G276" s="254"/>
      <c r="H276" s="269"/>
      <c r="I276" s="269"/>
      <c r="J276" s="251"/>
    </row>
    <row r="277">
      <c r="A277" s="265"/>
      <c r="B277" s="268"/>
      <c r="C277" s="252"/>
      <c r="D277" s="822"/>
      <c r="F277" s="250"/>
      <c r="G277" s="254"/>
      <c r="H277" s="269"/>
      <c r="I277" s="269"/>
      <c r="J277" s="251"/>
    </row>
    <row r="278">
      <c r="A278" s="270"/>
      <c r="B278" s="271"/>
      <c r="C278" s="272"/>
      <c r="D278" s="823"/>
      <c r="E278" s="18"/>
      <c r="F278" s="259"/>
      <c r="G278" s="260"/>
      <c r="H278" s="260"/>
      <c r="I278" s="275"/>
      <c r="J278" s="261"/>
    </row>
    <row r="279">
      <c r="A279" s="262">
        <v>25.0</v>
      </c>
      <c r="B279" s="239"/>
      <c r="C279" s="263"/>
      <c r="D279" s="821"/>
      <c r="E279" s="242"/>
      <c r="F279" s="243">
        <v>2000.0</v>
      </c>
      <c r="G279" s="276" t="s">
        <v>160</v>
      </c>
      <c r="H279" s="276"/>
      <c r="I279" s="276"/>
      <c r="J279" s="307"/>
    </row>
    <row r="280">
      <c r="A280" s="265"/>
      <c r="B280" s="247"/>
      <c r="C280" s="252">
        <f>17287.72+34201.84</f>
        <v>51489.56</v>
      </c>
      <c r="D280" s="822"/>
      <c r="F280" s="250"/>
      <c r="G280" s="254" t="s">
        <v>71</v>
      </c>
      <c r="H280" s="269"/>
      <c r="I280" s="269"/>
      <c r="J280" s="251"/>
    </row>
    <row r="281">
      <c r="A281" s="265"/>
      <c r="B281" s="247">
        <v>12501.75</v>
      </c>
      <c r="C281" s="248"/>
      <c r="D281" s="331"/>
      <c r="F281" s="250"/>
      <c r="G281" s="254" t="s">
        <v>114</v>
      </c>
      <c r="H281" s="269"/>
      <c r="I281" s="269"/>
      <c r="J281" s="251"/>
    </row>
    <row r="282">
      <c r="A282" s="265"/>
      <c r="B282" s="247">
        <v>8000.0</v>
      </c>
      <c r="C282" s="252"/>
      <c r="D282" s="822"/>
      <c r="F282" s="250"/>
      <c r="G282" s="254" t="s">
        <v>82</v>
      </c>
      <c r="H282" s="269"/>
      <c r="I282" s="269"/>
      <c r="J282" s="251"/>
    </row>
    <row r="283">
      <c r="A283" s="265"/>
      <c r="B283" s="247"/>
      <c r="C283" s="248"/>
      <c r="D283" s="822"/>
      <c r="F283" s="250">
        <v>200.0</v>
      </c>
      <c r="G283" s="254" t="s">
        <v>227</v>
      </c>
      <c r="H283" s="269"/>
      <c r="I283" s="269"/>
      <c r="J283" s="251"/>
    </row>
    <row r="284">
      <c r="A284" s="265"/>
      <c r="B284" s="247"/>
      <c r="C284" s="252"/>
      <c r="D284" s="331">
        <v>5450.8</v>
      </c>
      <c r="F284" s="250"/>
      <c r="G284" s="254" t="s">
        <v>2884</v>
      </c>
      <c r="H284" s="269"/>
      <c r="I284" s="269"/>
      <c r="J284" s="251"/>
    </row>
    <row r="285">
      <c r="A285" s="265"/>
      <c r="B285" s="247">
        <v>3238.0</v>
      </c>
      <c r="C285" s="252"/>
      <c r="D285" s="822"/>
      <c r="F285" s="250"/>
      <c r="G285" s="254" t="s">
        <v>2885</v>
      </c>
      <c r="H285" s="269"/>
      <c r="I285" s="269"/>
      <c r="J285" s="251"/>
    </row>
    <row r="286">
      <c r="A286" s="265"/>
      <c r="B286" s="268"/>
      <c r="C286" s="248"/>
      <c r="D286" s="331">
        <v>12580.0</v>
      </c>
      <c r="F286" s="250"/>
      <c r="G286" s="254" t="s">
        <v>399</v>
      </c>
      <c r="H286" s="269"/>
      <c r="I286" s="269"/>
      <c r="J286" s="251"/>
    </row>
    <row r="287">
      <c r="A287" s="265"/>
      <c r="B287" s="268"/>
      <c r="C287" s="248"/>
      <c r="D287" s="822"/>
      <c r="F287" s="250"/>
      <c r="G287" s="269"/>
      <c r="H287" s="269"/>
      <c r="I287" s="269"/>
      <c r="J287" s="251"/>
    </row>
    <row r="288">
      <c r="A288" s="265"/>
      <c r="B288" s="268"/>
      <c r="C288" s="252"/>
      <c r="D288" s="822"/>
      <c r="F288" s="250"/>
      <c r="G288" s="269"/>
      <c r="H288" s="269"/>
      <c r="I288" s="269"/>
      <c r="J288" s="251"/>
    </row>
    <row r="289">
      <c r="A289" s="265"/>
      <c r="B289" s="268"/>
      <c r="C289" s="252"/>
      <c r="D289" s="822"/>
      <c r="F289" s="250"/>
      <c r="G289" s="269"/>
      <c r="H289" s="269"/>
      <c r="I289" s="269"/>
      <c r="J289" s="251"/>
    </row>
    <row r="290">
      <c r="A290" s="265"/>
      <c r="B290" s="268"/>
      <c r="C290" s="252"/>
      <c r="D290" s="822"/>
      <c r="F290" s="250"/>
      <c r="G290" s="269"/>
      <c r="H290" s="269"/>
      <c r="I290" s="269"/>
      <c r="J290" s="251"/>
    </row>
    <row r="291">
      <c r="A291" s="270"/>
      <c r="B291" s="271"/>
      <c r="C291" s="272"/>
      <c r="D291" s="823"/>
      <c r="E291" s="18"/>
      <c r="F291" s="259"/>
      <c r="G291" s="260"/>
      <c r="H291" s="260"/>
      <c r="I291" s="275"/>
      <c r="J291" s="261"/>
    </row>
    <row r="292">
      <c r="A292" s="262">
        <v>26.0</v>
      </c>
      <c r="B292" s="239"/>
      <c r="C292" s="263"/>
      <c r="D292" s="824"/>
      <c r="E292" s="242"/>
      <c r="F292" s="243">
        <v>3500.0</v>
      </c>
      <c r="G292" s="276" t="s">
        <v>2886</v>
      </c>
      <c r="H292" s="276"/>
      <c r="I292" s="276"/>
      <c r="J292" s="307"/>
    </row>
    <row r="293">
      <c r="A293" s="265"/>
      <c r="B293" s="247"/>
      <c r="C293" s="252"/>
      <c r="D293" s="822"/>
      <c r="F293" s="250">
        <v>18000.0</v>
      </c>
      <c r="G293" s="254" t="s">
        <v>64</v>
      </c>
      <c r="H293" s="269"/>
      <c r="I293" s="269"/>
      <c r="J293" s="251"/>
    </row>
    <row r="294">
      <c r="A294" s="265"/>
      <c r="B294" s="247"/>
      <c r="C294" s="252"/>
      <c r="D294" s="822"/>
      <c r="F294" s="250">
        <v>4800.0</v>
      </c>
      <c r="G294" s="254" t="s">
        <v>2887</v>
      </c>
      <c r="H294" s="269"/>
      <c r="I294" s="269"/>
      <c r="J294" s="251"/>
    </row>
    <row r="295">
      <c r="A295" s="265"/>
      <c r="B295" s="268"/>
      <c r="C295" s="248"/>
      <c r="D295" s="331">
        <v>15120.0</v>
      </c>
      <c r="F295" s="250"/>
      <c r="G295" s="254" t="s">
        <v>459</v>
      </c>
      <c r="H295" s="254"/>
      <c r="I295" s="269"/>
      <c r="J295" s="251"/>
    </row>
    <row r="296">
      <c r="A296" s="265"/>
      <c r="B296" s="247"/>
      <c r="C296" s="252"/>
      <c r="D296" s="331">
        <v>13520.0</v>
      </c>
      <c r="F296" s="250"/>
      <c r="G296" s="254" t="s">
        <v>662</v>
      </c>
      <c r="H296" s="254"/>
      <c r="I296" s="269"/>
      <c r="J296" s="251"/>
    </row>
    <row r="297">
      <c r="A297" s="265"/>
      <c r="B297" s="247"/>
      <c r="C297" s="248"/>
      <c r="D297" s="331">
        <v>16420.0</v>
      </c>
      <c r="F297" s="250"/>
      <c r="G297" s="254" t="s">
        <v>615</v>
      </c>
      <c r="H297" s="254"/>
      <c r="I297" s="269"/>
      <c r="J297" s="251"/>
    </row>
    <row r="298">
      <c r="A298" s="265"/>
      <c r="B298" s="247"/>
      <c r="C298" s="248"/>
      <c r="D298" s="331">
        <v>12296.0</v>
      </c>
      <c r="F298" s="250"/>
      <c r="G298" s="254" t="s">
        <v>2457</v>
      </c>
      <c r="H298" s="254"/>
      <c r="I298" s="269"/>
      <c r="J298" s="251"/>
    </row>
    <row r="299">
      <c r="A299" s="265"/>
      <c r="B299" s="247"/>
      <c r="C299" s="248"/>
      <c r="D299" s="331">
        <v>16400.0</v>
      </c>
      <c r="F299" s="250"/>
      <c r="G299" s="254" t="s">
        <v>612</v>
      </c>
      <c r="H299" s="269"/>
      <c r="I299" s="269"/>
      <c r="J299" s="251"/>
    </row>
    <row r="300">
      <c r="A300" s="265"/>
      <c r="B300" s="268"/>
      <c r="C300" s="252"/>
      <c r="D300" s="331"/>
      <c r="F300" s="250">
        <v>5000.0</v>
      </c>
      <c r="G300" s="254" t="s">
        <v>2806</v>
      </c>
      <c r="H300" s="269"/>
      <c r="I300" s="269"/>
      <c r="J300" s="251"/>
    </row>
    <row r="301">
      <c r="A301" s="265"/>
      <c r="B301" s="247"/>
      <c r="C301" s="252"/>
      <c r="D301" s="331"/>
      <c r="F301" s="250"/>
      <c r="G301" s="254"/>
      <c r="H301" s="269"/>
      <c r="I301" s="269"/>
      <c r="J301" s="251"/>
    </row>
    <row r="302">
      <c r="A302" s="265"/>
      <c r="B302" s="268"/>
      <c r="C302" s="252"/>
      <c r="D302" s="822"/>
      <c r="F302" s="250"/>
      <c r="G302" s="269"/>
      <c r="H302" s="269"/>
      <c r="I302" s="269"/>
      <c r="J302" s="251"/>
    </row>
    <row r="303">
      <c r="A303" s="265"/>
      <c r="B303" s="268"/>
      <c r="C303" s="252"/>
      <c r="D303" s="822"/>
      <c r="F303" s="250"/>
      <c r="G303" s="269"/>
      <c r="H303" s="269"/>
      <c r="I303" s="269"/>
      <c r="J303" s="251"/>
    </row>
    <row r="304">
      <c r="A304" s="265"/>
      <c r="B304" s="268"/>
      <c r="C304" s="252"/>
      <c r="D304" s="822"/>
      <c r="F304" s="250"/>
      <c r="G304" s="269"/>
      <c r="H304" s="269"/>
      <c r="I304" s="269"/>
      <c r="J304" s="251"/>
    </row>
    <row r="305">
      <c r="A305" s="270"/>
      <c r="B305" s="271"/>
      <c r="C305" s="272"/>
      <c r="D305" s="823"/>
      <c r="E305" s="18"/>
      <c r="F305" s="274"/>
      <c r="G305" s="275"/>
      <c r="H305" s="275"/>
      <c r="I305" s="275"/>
      <c r="J305" s="261"/>
    </row>
    <row r="306">
      <c r="A306" s="262">
        <v>27.0</v>
      </c>
      <c r="B306" s="239"/>
      <c r="C306" s="263"/>
      <c r="D306" s="824"/>
      <c r="E306" s="242"/>
      <c r="F306" s="243">
        <v>800.0</v>
      </c>
      <c r="G306" s="276" t="s">
        <v>572</v>
      </c>
      <c r="H306" s="276"/>
      <c r="I306" s="276"/>
      <c r="J306" s="307"/>
    </row>
    <row r="307">
      <c r="A307" s="265"/>
      <c r="B307" s="247">
        <v>6540.81</v>
      </c>
      <c r="C307" s="248"/>
      <c r="D307" s="822"/>
      <c r="F307" s="250"/>
      <c r="G307" s="254" t="s">
        <v>82</v>
      </c>
      <c r="H307" s="269"/>
      <c r="I307" s="269"/>
      <c r="J307" s="251"/>
    </row>
    <row r="308">
      <c r="A308" s="265"/>
      <c r="B308" s="247"/>
      <c r="C308" s="248"/>
      <c r="D308" s="822"/>
      <c r="F308" s="250">
        <v>283.0</v>
      </c>
      <c r="G308" s="254" t="s">
        <v>374</v>
      </c>
      <c r="H308" s="269"/>
      <c r="I308" s="269"/>
      <c r="J308" s="251"/>
    </row>
    <row r="309">
      <c r="A309" s="265"/>
      <c r="B309" s="247">
        <v>10273.0</v>
      </c>
      <c r="C309" s="248"/>
      <c r="D309" s="822"/>
      <c r="F309" s="250"/>
      <c r="G309" s="254" t="s">
        <v>2748</v>
      </c>
      <c r="H309" s="269"/>
      <c r="I309" s="269"/>
      <c r="J309" s="251"/>
    </row>
    <row r="310">
      <c r="A310" s="265"/>
      <c r="B310" s="247">
        <v>5050.0</v>
      </c>
      <c r="C310" s="252"/>
      <c r="D310" s="822"/>
      <c r="F310" s="250"/>
      <c r="G310" s="254" t="s">
        <v>2706</v>
      </c>
      <c r="H310" s="269"/>
      <c r="I310" s="269"/>
      <c r="J310" s="251"/>
    </row>
    <row r="311">
      <c r="A311" s="265"/>
      <c r="B311" s="247"/>
      <c r="C311" s="248">
        <v>15403.3</v>
      </c>
      <c r="D311" s="822"/>
      <c r="F311" s="250"/>
      <c r="G311" s="254" t="s">
        <v>951</v>
      </c>
      <c r="H311" s="269"/>
      <c r="I311" s="269"/>
      <c r="J311" s="251"/>
    </row>
    <row r="312">
      <c r="A312" s="265"/>
      <c r="B312" s="247">
        <v>270.0</v>
      </c>
      <c r="C312" s="248"/>
      <c r="D312" s="822"/>
      <c r="F312" s="250"/>
      <c r="G312" s="254" t="s">
        <v>2888</v>
      </c>
      <c r="H312" s="269"/>
      <c r="I312" s="269"/>
      <c r="J312" s="251"/>
    </row>
    <row r="313">
      <c r="A313" s="265"/>
      <c r="B313" s="247">
        <v>2300.0</v>
      </c>
      <c r="C313" s="252"/>
      <c r="D313" s="822"/>
      <c r="F313" s="250"/>
      <c r="G313" s="254" t="s">
        <v>2889</v>
      </c>
      <c r="H313" s="269"/>
      <c r="I313" s="269"/>
      <c r="J313" s="251"/>
    </row>
    <row r="314">
      <c r="A314" s="265"/>
      <c r="B314" s="247"/>
      <c r="C314" s="252"/>
      <c r="D314" s="822"/>
      <c r="F314" s="250"/>
      <c r="G314" s="254" t="s">
        <v>2890</v>
      </c>
      <c r="H314" s="269"/>
      <c r="I314" s="269"/>
      <c r="J314" s="251"/>
    </row>
    <row r="315">
      <c r="A315" s="265"/>
      <c r="B315" s="268"/>
      <c r="C315" s="252"/>
      <c r="D315" s="822"/>
      <c r="F315" s="250">
        <v>139.0</v>
      </c>
      <c r="G315" s="254" t="s">
        <v>97</v>
      </c>
      <c r="H315" s="269"/>
      <c r="I315" s="269"/>
      <c r="J315" s="251"/>
    </row>
    <row r="316">
      <c r="A316" s="265"/>
      <c r="B316" s="268"/>
      <c r="C316" s="252"/>
      <c r="D316" s="822"/>
      <c r="F316" s="250"/>
      <c r="G316" s="254"/>
      <c r="H316" s="254"/>
      <c r="I316" s="269"/>
      <c r="J316" s="251"/>
    </row>
    <row r="317">
      <c r="A317" s="265"/>
      <c r="B317" s="268"/>
      <c r="C317" s="252"/>
      <c r="D317" s="822"/>
      <c r="F317" s="250"/>
      <c r="G317" s="269"/>
      <c r="H317" s="269"/>
      <c r="I317" s="269"/>
      <c r="J317" s="251"/>
    </row>
    <row r="318">
      <c r="A318" s="265"/>
      <c r="B318" s="268"/>
      <c r="C318" s="252"/>
      <c r="D318" s="822"/>
      <c r="F318" s="250"/>
      <c r="G318" s="269"/>
      <c r="H318" s="269"/>
      <c r="I318" s="269"/>
      <c r="J318" s="251"/>
    </row>
    <row r="319">
      <c r="A319" s="265"/>
      <c r="B319" s="268"/>
      <c r="C319" s="252"/>
      <c r="D319" s="822"/>
      <c r="F319" s="250"/>
      <c r="G319" s="269"/>
      <c r="H319" s="269"/>
      <c r="I319" s="269"/>
      <c r="J319" s="251"/>
    </row>
    <row r="320">
      <c r="A320" s="270"/>
      <c r="B320" s="271"/>
      <c r="C320" s="272"/>
      <c r="D320" s="823"/>
      <c r="E320" s="18"/>
      <c r="F320" s="274"/>
      <c r="G320" s="275"/>
      <c r="H320" s="275"/>
      <c r="I320" s="275"/>
      <c r="J320" s="261"/>
    </row>
    <row r="321">
      <c r="A321" s="262">
        <v>28.0</v>
      </c>
      <c r="B321" s="239"/>
      <c r="C321" s="240"/>
      <c r="D321" s="821"/>
      <c r="E321" s="242"/>
      <c r="F321" s="250">
        <v>392.0</v>
      </c>
      <c r="G321" s="254" t="s">
        <v>227</v>
      </c>
      <c r="H321" s="269"/>
      <c r="I321" s="269"/>
      <c r="J321" s="307"/>
    </row>
    <row r="322">
      <c r="A322" s="265"/>
      <c r="B322" s="247"/>
      <c r="C322" s="252"/>
      <c r="D322" s="822"/>
      <c r="F322" s="250"/>
      <c r="G322" s="254"/>
      <c r="H322" s="269"/>
      <c r="I322" s="269"/>
      <c r="J322" s="251"/>
    </row>
    <row r="323">
      <c r="A323" s="265"/>
      <c r="B323" s="247"/>
      <c r="C323" s="248"/>
      <c r="D323" s="331"/>
      <c r="F323" s="250"/>
      <c r="G323" s="254"/>
      <c r="H323" s="269"/>
      <c r="I323" s="269"/>
      <c r="J323" s="251"/>
    </row>
    <row r="324">
      <c r="A324" s="265"/>
      <c r="B324" s="247"/>
      <c r="C324" s="248"/>
      <c r="D324" s="822"/>
      <c r="F324" s="250"/>
      <c r="G324" s="254"/>
      <c r="H324" s="269"/>
      <c r="I324" s="269"/>
      <c r="J324" s="251"/>
    </row>
    <row r="325">
      <c r="A325" s="265"/>
      <c r="B325" s="247"/>
      <c r="C325" s="252"/>
      <c r="D325" s="822"/>
      <c r="F325" s="250"/>
      <c r="G325" s="254"/>
      <c r="H325" s="269"/>
      <c r="I325" s="269"/>
      <c r="J325" s="251"/>
    </row>
    <row r="326">
      <c r="A326" s="265"/>
      <c r="B326" s="247"/>
      <c r="C326" s="252"/>
      <c r="D326" s="822"/>
      <c r="F326" s="250"/>
      <c r="G326" s="254"/>
      <c r="H326" s="269"/>
      <c r="I326" s="269"/>
      <c r="J326" s="251"/>
    </row>
    <row r="327">
      <c r="A327" s="265"/>
      <c r="B327" s="247"/>
      <c r="C327" s="252"/>
      <c r="D327" s="331"/>
      <c r="F327" s="250"/>
      <c r="G327" s="269"/>
      <c r="H327" s="269"/>
      <c r="I327" s="269"/>
      <c r="J327" s="251"/>
    </row>
    <row r="328">
      <c r="A328" s="265"/>
      <c r="B328" s="247"/>
      <c r="C328" s="252"/>
      <c r="D328" s="822"/>
      <c r="F328" s="250"/>
      <c r="G328" s="269"/>
      <c r="H328" s="269"/>
      <c r="I328" s="269"/>
      <c r="J328" s="251"/>
    </row>
    <row r="329">
      <c r="A329" s="265"/>
      <c r="B329" s="268"/>
      <c r="C329" s="252"/>
      <c r="D329" s="822"/>
      <c r="F329" s="250"/>
      <c r="G329" s="269"/>
      <c r="H329" s="269"/>
      <c r="I329" s="269"/>
      <c r="J329" s="251"/>
    </row>
    <row r="330">
      <c r="A330" s="265"/>
      <c r="B330" s="268"/>
      <c r="C330" s="252"/>
      <c r="D330" s="822"/>
      <c r="F330" s="250"/>
      <c r="G330" s="269"/>
      <c r="H330" s="269"/>
      <c r="I330" s="269"/>
      <c r="J330" s="251"/>
    </row>
    <row r="331">
      <c r="A331" s="265"/>
      <c r="B331" s="268"/>
      <c r="C331" s="252"/>
      <c r="D331" s="822"/>
      <c r="F331" s="250"/>
      <c r="G331" s="269"/>
      <c r="H331" s="269"/>
      <c r="I331" s="269"/>
      <c r="J331" s="251"/>
    </row>
    <row r="332">
      <c r="A332" s="265"/>
      <c r="B332" s="247"/>
      <c r="C332" s="252"/>
      <c r="D332" s="822"/>
      <c r="F332" s="250"/>
      <c r="G332" s="269"/>
      <c r="H332" s="269"/>
      <c r="I332" s="269"/>
      <c r="J332" s="251"/>
    </row>
    <row r="333">
      <c r="A333" s="265"/>
      <c r="B333" s="268"/>
      <c r="C333" s="252"/>
      <c r="D333" s="822"/>
      <c r="F333" s="250"/>
      <c r="G333" s="269"/>
      <c r="H333" s="269"/>
      <c r="I333" s="269"/>
      <c r="J333" s="251"/>
    </row>
    <row r="334">
      <c r="A334" s="265"/>
      <c r="B334" s="268"/>
      <c r="C334" s="252"/>
      <c r="D334" s="822"/>
      <c r="F334" s="250"/>
      <c r="G334" s="269"/>
      <c r="H334" s="269"/>
      <c r="I334" s="269"/>
      <c r="J334" s="251"/>
    </row>
    <row r="335">
      <c r="A335" s="270"/>
      <c r="B335" s="271"/>
      <c r="C335" s="272"/>
      <c r="D335" s="823"/>
      <c r="E335" s="18"/>
      <c r="F335" s="274"/>
      <c r="G335" s="18"/>
      <c r="H335" s="18"/>
      <c r="I335" s="18"/>
      <c r="J335" s="261"/>
    </row>
    <row r="336">
      <c r="A336" s="262">
        <v>29.0</v>
      </c>
      <c r="B336" s="239"/>
      <c r="C336" s="263"/>
      <c r="D336" s="824"/>
      <c r="E336" s="242"/>
      <c r="F336" s="243">
        <v>21000.0</v>
      </c>
      <c r="G336" s="244" t="s">
        <v>87</v>
      </c>
      <c r="H336" s="244"/>
      <c r="I336" s="244"/>
      <c r="J336" s="307"/>
    </row>
    <row r="337">
      <c r="A337" s="265"/>
      <c r="B337" s="247"/>
      <c r="C337" s="248"/>
      <c r="D337" s="822"/>
      <c r="F337" s="250">
        <v>400.0</v>
      </c>
      <c r="G337" s="2" t="s">
        <v>97</v>
      </c>
      <c r="J337" s="251"/>
    </row>
    <row r="338">
      <c r="A338" s="265"/>
      <c r="B338" s="268"/>
      <c r="C338" s="248"/>
      <c r="D338" s="331">
        <v>13130.48</v>
      </c>
      <c r="F338" s="250"/>
      <c r="G338" s="2" t="s">
        <v>73</v>
      </c>
      <c r="J338" s="251"/>
    </row>
    <row r="339">
      <c r="A339" s="265"/>
      <c r="B339" s="247">
        <v>3819.7</v>
      </c>
      <c r="C339" s="252"/>
      <c r="D339" s="822"/>
      <c r="F339" s="250"/>
      <c r="G339" s="2" t="s">
        <v>82</v>
      </c>
      <c r="J339" s="251"/>
    </row>
    <row r="340">
      <c r="A340" s="265"/>
      <c r="B340" s="247"/>
      <c r="C340" s="248">
        <v>60000.0</v>
      </c>
      <c r="D340" s="331"/>
      <c r="F340" s="250"/>
      <c r="G340" s="2" t="s">
        <v>2891</v>
      </c>
      <c r="J340" s="251"/>
    </row>
    <row r="341">
      <c r="A341" s="265"/>
      <c r="B341" s="247"/>
      <c r="C341" s="252"/>
      <c r="D341" s="331"/>
      <c r="F341" s="250"/>
      <c r="J341" s="251"/>
    </row>
    <row r="342">
      <c r="A342" s="265"/>
      <c r="B342" s="247"/>
      <c r="C342" s="252"/>
      <c r="D342" s="331"/>
      <c r="F342" s="250"/>
      <c r="J342" s="251"/>
    </row>
    <row r="343">
      <c r="A343" s="265"/>
      <c r="B343" s="247"/>
      <c r="C343" s="252"/>
      <c r="D343" s="822"/>
      <c r="F343" s="250"/>
      <c r="J343" s="251"/>
    </row>
    <row r="344">
      <c r="A344" s="265"/>
      <c r="B344" s="247"/>
      <c r="C344" s="252"/>
      <c r="D344" s="331"/>
      <c r="F344" s="250"/>
      <c r="J344" s="251"/>
    </row>
    <row r="345">
      <c r="A345" s="265"/>
      <c r="B345" s="247"/>
      <c r="C345" s="252"/>
      <c r="D345" s="822"/>
      <c r="F345" s="250"/>
      <c r="J345" s="251"/>
    </row>
    <row r="346">
      <c r="A346" s="265"/>
      <c r="B346" s="247"/>
      <c r="C346" s="252"/>
      <c r="D346" s="822"/>
      <c r="F346" s="250"/>
      <c r="J346" s="251"/>
    </row>
    <row r="347">
      <c r="A347" s="265"/>
      <c r="B347" s="247"/>
      <c r="C347" s="252"/>
      <c r="D347" s="331"/>
      <c r="F347" s="250"/>
      <c r="J347" s="251"/>
    </row>
    <row r="348">
      <c r="A348" s="270"/>
      <c r="B348" s="271"/>
      <c r="C348" s="272"/>
      <c r="D348" s="823"/>
      <c r="E348" s="18"/>
      <c r="F348" s="259"/>
      <c r="G348" s="293"/>
      <c r="H348" s="293"/>
      <c r="I348" s="18"/>
      <c r="J348" s="261"/>
    </row>
    <row r="349">
      <c r="A349" s="262">
        <v>30.0</v>
      </c>
      <c r="B349" s="306"/>
      <c r="C349" s="263"/>
      <c r="D349" s="824"/>
      <c r="E349" s="242"/>
      <c r="F349" s="243">
        <v>2000.0</v>
      </c>
      <c r="G349" s="244" t="s">
        <v>2892</v>
      </c>
      <c r="H349" s="244"/>
      <c r="I349" s="244"/>
      <c r="J349" s="307"/>
    </row>
    <row r="350">
      <c r="A350" s="265"/>
      <c r="B350" s="247"/>
      <c r="C350" s="248"/>
      <c r="D350" s="822"/>
      <c r="F350" s="250">
        <v>3000.0</v>
      </c>
      <c r="G350" s="2" t="s">
        <v>2893</v>
      </c>
      <c r="J350" s="251"/>
    </row>
    <row r="351">
      <c r="A351" s="265"/>
      <c r="B351" s="247"/>
      <c r="C351" s="252"/>
      <c r="D351" s="822"/>
      <c r="F351" s="250">
        <v>3000.0</v>
      </c>
      <c r="G351" s="2" t="s">
        <v>2894</v>
      </c>
      <c r="J351" s="251"/>
    </row>
    <row r="352">
      <c r="A352" s="265"/>
      <c r="B352" s="247"/>
      <c r="C352" s="248"/>
      <c r="D352" s="331"/>
      <c r="F352" s="250">
        <v>2500.0</v>
      </c>
      <c r="G352" s="2" t="s">
        <v>2728</v>
      </c>
      <c r="J352" s="251"/>
    </row>
    <row r="353">
      <c r="A353" s="265"/>
      <c r="B353" s="247"/>
      <c r="C353" s="252"/>
      <c r="D353" s="822"/>
      <c r="F353" s="250">
        <v>4000.0</v>
      </c>
      <c r="G353" s="2" t="s">
        <v>2895</v>
      </c>
      <c r="J353" s="251"/>
    </row>
    <row r="354">
      <c r="A354" s="265"/>
      <c r="B354" s="247"/>
      <c r="C354" s="252"/>
      <c r="D354" s="822"/>
      <c r="F354" s="250">
        <f>758+684</f>
        <v>1442</v>
      </c>
      <c r="G354" s="2" t="s">
        <v>97</v>
      </c>
      <c r="J354" s="251"/>
    </row>
    <row r="355">
      <c r="A355" s="265"/>
      <c r="B355" s="247"/>
      <c r="C355" s="252"/>
      <c r="D355" s="822"/>
      <c r="F355" s="250">
        <v>1500.0</v>
      </c>
      <c r="G355" s="2" t="s">
        <v>2896</v>
      </c>
      <c r="I355" s="318"/>
      <c r="J355" s="251"/>
    </row>
    <row r="356">
      <c r="A356" s="265"/>
      <c r="B356" s="268"/>
      <c r="C356" s="252"/>
      <c r="D356" s="331"/>
      <c r="F356" s="250">
        <v>8400.0</v>
      </c>
      <c r="G356" s="2" t="s">
        <v>2669</v>
      </c>
      <c r="J356" s="251"/>
    </row>
    <row r="357">
      <c r="A357" s="265"/>
      <c r="B357" s="268"/>
      <c r="C357" s="252"/>
      <c r="D357" s="822"/>
      <c r="F357" s="250"/>
      <c r="J357" s="251"/>
    </row>
    <row r="358">
      <c r="A358" s="265"/>
      <c r="B358" s="268"/>
      <c r="C358" s="252"/>
      <c r="D358" s="822"/>
      <c r="F358" s="250"/>
      <c r="J358" s="251"/>
    </row>
    <row r="359">
      <c r="A359" s="265"/>
      <c r="B359" s="268"/>
      <c r="C359" s="252"/>
      <c r="D359" s="822"/>
      <c r="F359" s="250"/>
      <c r="J359" s="251"/>
    </row>
    <row r="360">
      <c r="A360" s="265"/>
      <c r="B360" s="247"/>
      <c r="C360" s="252"/>
      <c r="D360" s="822"/>
      <c r="F360" s="250"/>
      <c r="J360" s="251"/>
    </row>
    <row r="361">
      <c r="A361" s="265"/>
      <c r="B361" s="268"/>
      <c r="C361" s="252"/>
      <c r="D361" s="822"/>
      <c r="F361" s="250"/>
      <c r="J361" s="251"/>
    </row>
    <row r="362">
      <c r="A362" s="265"/>
      <c r="B362" s="268"/>
      <c r="C362" s="252"/>
      <c r="D362" s="822"/>
      <c r="F362" s="250"/>
      <c r="J362" s="251"/>
    </row>
    <row r="363">
      <c r="A363" s="265"/>
      <c r="B363" s="268"/>
      <c r="C363" s="252"/>
      <c r="D363" s="822"/>
      <c r="F363" s="250"/>
      <c r="J363" s="251"/>
    </row>
    <row r="364">
      <c r="A364" s="265"/>
      <c r="B364" s="268"/>
      <c r="C364" s="252"/>
      <c r="D364" s="822"/>
      <c r="F364" s="250"/>
      <c r="J364" s="251"/>
    </row>
    <row r="365">
      <c r="A365" s="265"/>
      <c r="B365" s="268"/>
      <c r="C365" s="252"/>
      <c r="D365" s="822"/>
      <c r="F365" s="250"/>
      <c r="J365" s="251"/>
    </row>
    <row r="366">
      <c r="A366" s="270"/>
      <c r="B366" s="271"/>
      <c r="C366" s="272"/>
      <c r="D366" s="823"/>
      <c r="E366" s="18"/>
      <c r="F366" s="274"/>
      <c r="G366" s="18"/>
      <c r="H366" s="18"/>
      <c r="I366" s="293"/>
      <c r="J366" s="261"/>
    </row>
    <row r="367">
      <c r="A367" s="262"/>
      <c r="B367" s="306"/>
      <c r="C367" s="240"/>
      <c r="D367" s="824"/>
      <c r="E367" s="242"/>
      <c r="F367" s="243"/>
      <c r="G367" s="244"/>
      <c r="H367" s="244"/>
      <c r="I367" s="244"/>
      <c r="J367" s="307"/>
    </row>
    <row r="368">
      <c r="A368" s="265"/>
      <c r="B368" s="247"/>
      <c r="C368" s="248"/>
      <c r="D368" s="822"/>
      <c r="F368" s="250"/>
      <c r="J368" s="251"/>
    </row>
    <row r="369">
      <c r="A369" s="265"/>
      <c r="B369" s="247"/>
      <c r="C369" s="252"/>
      <c r="D369" s="822"/>
      <c r="F369" s="250"/>
      <c r="J369" s="251"/>
    </row>
    <row r="370">
      <c r="A370" s="265"/>
      <c r="B370" s="247"/>
      <c r="C370" s="248"/>
      <c r="D370" s="331"/>
      <c r="F370" s="250"/>
      <c r="J370" s="251"/>
    </row>
    <row r="371">
      <c r="A371" s="265"/>
      <c r="B371" s="247"/>
      <c r="C371" s="252"/>
      <c r="D371" s="822"/>
      <c r="F371" s="250"/>
      <c r="J371" s="251"/>
    </row>
    <row r="372">
      <c r="A372" s="265"/>
      <c r="B372" s="247"/>
      <c r="C372" s="252"/>
      <c r="D372" s="822"/>
      <c r="F372" s="250"/>
      <c r="J372" s="251"/>
    </row>
    <row r="373">
      <c r="A373" s="265"/>
      <c r="B373" s="247"/>
      <c r="C373" s="252"/>
      <c r="D373" s="822"/>
      <c r="F373" s="250"/>
      <c r="I373" s="318"/>
      <c r="J373" s="251"/>
    </row>
    <row r="374">
      <c r="A374" s="265"/>
      <c r="B374" s="268"/>
      <c r="C374" s="252"/>
      <c r="D374" s="331"/>
      <c r="F374" s="250"/>
      <c r="J374" s="251"/>
    </row>
    <row r="375">
      <c r="A375" s="265"/>
      <c r="B375" s="268"/>
      <c r="C375" s="252"/>
      <c r="D375" s="822"/>
      <c r="F375" s="250"/>
      <c r="J375" s="251"/>
    </row>
    <row r="376">
      <c r="A376" s="265"/>
      <c r="B376" s="268"/>
      <c r="C376" s="252"/>
      <c r="D376" s="822"/>
      <c r="F376" s="250"/>
      <c r="J376" s="251"/>
    </row>
    <row r="377">
      <c r="A377" s="265"/>
      <c r="B377" s="268"/>
      <c r="C377" s="252"/>
      <c r="D377" s="822"/>
      <c r="F377" s="250"/>
      <c r="J377" s="251"/>
    </row>
    <row r="378">
      <c r="A378" s="265"/>
      <c r="B378" s="247"/>
      <c r="C378" s="252"/>
      <c r="D378" s="822"/>
      <c r="F378" s="250"/>
      <c r="J378" s="251"/>
    </row>
    <row r="379">
      <c r="A379" s="265"/>
      <c r="B379" s="268"/>
      <c r="C379" s="252"/>
      <c r="D379" s="822"/>
      <c r="F379" s="250"/>
      <c r="J379" s="251"/>
    </row>
    <row r="380">
      <c r="A380" s="265"/>
      <c r="B380" s="268"/>
      <c r="C380" s="252"/>
      <c r="D380" s="822"/>
      <c r="F380" s="250"/>
      <c r="J380" s="251"/>
    </row>
    <row r="381">
      <c r="A381" s="265"/>
      <c r="B381" s="268"/>
      <c r="C381" s="252"/>
      <c r="D381" s="822"/>
      <c r="F381" s="250"/>
      <c r="J381" s="251"/>
    </row>
    <row r="382">
      <c r="A382" s="265"/>
      <c r="B382" s="268"/>
      <c r="C382" s="252"/>
      <c r="D382" s="822"/>
      <c r="F382" s="250"/>
      <c r="J382" s="251"/>
    </row>
    <row r="383">
      <c r="A383" s="265"/>
      <c r="B383" s="268"/>
      <c r="C383" s="252"/>
      <c r="D383" s="822"/>
      <c r="F383" s="250"/>
      <c r="J383" s="251"/>
    </row>
    <row r="384">
      <c r="A384" s="270"/>
      <c r="B384" s="271"/>
      <c r="C384" s="272"/>
      <c r="D384" s="823"/>
      <c r="E384" s="18"/>
      <c r="F384" s="274"/>
      <c r="G384" s="18"/>
      <c r="H384" s="18"/>
      <c r="I384" s="293" t="s">
        <v>2817</v>
      </c>
      <c r="J384" s="261"/>
    </row>
    <row r="385">
      <c r="A385" s="262" t="s">
        <v>187</v>
      </c>
      <c r="B385" s="239"/>
      <c r="C385" s="240"/>
      <c r="D385" s="821"/>
      <c r="E385" s="242"/>
      <c r="F385" s="243"/>
      <c r="G385" s="2" t="s">
        <v>188</v>
      </c>
      <c r="H385" s="318"/>
      <c r="I385" s="169" t="s">
        <v>2897</v>
      </c>
      <c r="J385" s="307"/>
    </row>
    <row r="386">
      <c r="A386" s="265"/>
      <c r="B386" s="247"/>
      <c r="C386" s="248"/>
      <c r="D386" s="331"/>
      <c r="F386" s="250"/>
      <c r="G386" s="2" t="s">
        <v>2819</v>
      </c>
      <c r="H386" s="318"/>
      <c r="I386" s="169" t="s">
        <v>2897</v>
      </c>
      <c r="J386" s="267"/>
    </row>
    <row r="387">
      <c r="A387" s="265"/>
      <c r="B387" s="247"/>
      <c r="C387" s="248"/>
      <c r="D387" s="331"/>
      <c r="F387" s="250"/>
      <c r="G387" s="2" t="s">
        <v>2284</v>
      </c>
      <c r="H387" s="318"/>
      <c r="I387" s="318"/>
      <c r="J387" s="267"/>
    </row>
    <row r="388">
      <c r="A388" s="265"/>
      <c r="B388" s="268"/>
      <c r="C388" s="252"/>
      <c r="D388" s="331">
        <v>48400.0</v>
      </c>
      <c r="F388" s="250"/>
      <c r="G388" s="2" t="s">
        <v>192</v>
      </c>
      <c r="H388" s="318">
        <v>44663.0</v>
      </c>
      <c r="I388" s="318"/>
      <c r="J388" s="251"/>
    </row>
    <row r="389">
      <c r="A389" s="265"/>
      <c r="B389" s="268"/>
      <c r="C389" s="252"/>
      <c r="D389" s="822"/>
      <c r="F389" s="250">
        <v>30000.0</v>
      </c>
      <c r="G389" s="2" t="s">
        <v>193</v>
      </c>
      <c r="H389" s="318">
        <v>44680.0</v>
      </c>
      <c r="J389" s="251"/>
    </row>
    <row r="390">
      <c r="A390" s="265"/>
      <c r="B390" s="247"/>
      <c r="C390" s="252"/>
      <c r="D390" s="331">
        <v>9382.0</v>
      </c>
      <c r="F390" s="250"/>
      <c r="G390" s="2" t="s">
        <v>194</v>
      </c>
      <c r="H390" s="318">
        <v>44663.0</v>
      </c>
      <c r="I390" s="318"/>
      <c r="J390" s="251"/>
    </row>
    <row r="391">
      <c r="A391" s="265"/>
      <c r="B391" s="247">
        <v>13500.0</v>
      </c>
      <c r="C391" s="252"/>
      <c r="D391" s="331"/>
      <c r="F391" s="250"/>
      <c r="G391" s="2" t="s">
        <v>196</v>
      </c>
      <c r="H391" s="318">
        <v>44693.0</v>
      </c>
      <c r="J391" s="251"/>
    </row>
    <row r="392">
      <c r="A392" s="265"/>
      <c r="B392" s="268"/>
      <c r="C392" s="252"/>
      <c r="D392" s="331">
        <v>4432.81</v>
      </c>
      <c r="F392" s="250"/>
      <c r="G392" s="2" t="s">
        <v>2285</v>
      </c>
      <c r="H392" s="2"/>
      <c r="I392" s="2" t="s">
        <v>2821</v>
      </c>
      <c r="J392" s="251"/>
    </row>
    <row r="393">
      <c r="A393" s="265"/>
      <c r="B393" s="268"/>
      <c r="C393" s="252"/>
      <c r="D393" s="331">
        <v>4064.24</v>
      </c>
      <c r="F393" s="250"/>
      <c r="G393" s="2" t="s">
        <v>199</v>
      </c>
      <c r="H393" s="2"/>
      <c r="I393" s="2" t="s">
        <v>2821</v>
      </c>
      <c r="J393" s="251"/>
    </row>
    <row r="394">
      <c r="A394" s="265"/>
      <c r="B394" s="247"/>
      <c r="C394" s="252"/>
      <c r="D394" s="331">
        <v>8629.42</v>
      </c>
      <c r="F394" s="250"/>
      <c r="G394" s="2" t="s">
        <v>200</v>
      </c>
      <c r="H394" s="2"/>
      <c r="I394" s="2" t="s">
        <v>2821</v>
      </c>
      <c r="J394" s="267"/>
    </row>
    <row r="395">
      <c r="A395" s="270"/>
      <c r="B395" s="271"/>
      <c r="C395" s="272"/>
      <c r="D395" s="837"/>
      <c r="E395" s="18"/>
      <c r="F395" s="274"/>
      <c r="G395" s="293"/>
      <c r="H395" s="830"/>
      <c r="I395" s="18"/>
      <c r="J395" s="261"/>
    </row>
    <row r="396">
      <c r="A396" s="262"/>
      <c r="B396" s="239"/>
      <c r="C396" s="240"/>
      <c r="D396" s="821">
        <f>SUM(D386:F395)</f>
        <v>104908.47</v>
      </c>
      <c r="E396" s="242"/>
      <c r="F396" s="243"/>
      <c r="I396" s="318"/>
      <c r="J396" s="307"/>
    </row>
    <row r="397">
      <c r="A397" s="265"/>
      <c r="B397" s="247"/>
      <c r="C397" s="248"/>
      <c r="D397" s="331"/>
      <c r="F397" s="250"/>
      <c r="I397" s="318"/>
      <c r="J397" s="251"/>
    </row>
    <row r="398">
      <c r="A398" s="265"/>
      <c r="B398" s="247"/>
      <c r="C398" s="248"/>
      <c r="D398" s="331"/>
      <c r="F398" s="250"/>
      <c r="I398" s="318"/>
      <c r="J398" s="267"/>
    </row>
    <row r="399">
      <c r="A399" s="265"/>
      <c r="B399" s="247"/>
      <c r="C399" s="248"/>
      <c r="D399" s="331"/>
      <c r="F399" s="250"/>
      <c r="I399" s="318"/>
      <c r="J399" s="267"/>
    </row>
    <row r="400">
      <c r="A400" s="265"/>
      <c r="B400" s="268"/>
      <c r="C400" s="252"/>
      <c r="D400" s="331"/>
      <c r="F400" s="250"/>
      <c r="I400" s="318"/>
      <c r="J400" s="251"/>
    </row>
    <row r="401">
      <c r="A401" s="265"/>
      <c r="B401" s="268"/>
      <c r="C401" s="252"/>
      <c r="D401" s="822"/>
      <c r="F401" s="250"/>
      <c r="J401" s="251"/>
    </row>
    <row r="402">
      <c r="A402" s="265"/>
      <c r="B402" s="247"/>
      <c r="C402" s="252"/>
      <c r="D402" s="331"/>
      <c r="F402" s="250"/>
      <c r="I402" s="318"/>
      <c r="J402" s="251"/>
    </row>
    <row r="403">
      <c r="A403" s="265"/>
      <c r="B403" s="268"/>
      <c r="C403" s="252"/>
      <c r="D403" s="331"/>
      <c r="F403" s="250"/>
      <c r="I403" s="318"/>
      <c r="J403" s="251"/>
    </row>
    <row r="404">
      <c r="A404" s="265"/>
      <c r="B404" s="268"/>
      <c r="C404" s="252"/>
      <c r="D404" s="331"/>
      <c r="F404" s="250"/>
      <c r="J404" s="251"/>
    </row>
    <row r="405">
      <c r="A405" s="265"/>
      <c r="B405" s="268"/>
      <c r="C405" s="252"/>
      <c r="D405" s="331"/>
      <c r="F405" s="250"/>
      <c r="J405" s="251"/>
    </row>
    <row r="406">
      <c r="A406" s="265"/>
      <c r="B406" s="247"/>
      <c r="C406" s="252"/>
      <c r="D406" s="822"/>
      <c r="F406" s="250"/>
      <c r="J406" s="267"/>
    </row>
    <row r="407">
      <c r="A407" s="270"/>
      <c r="B407" s="271"/>
      <c r="C407" s="272"/>
      <c r="D407" s="823"/>
      <c r="E407" s="18"/>
      <c r="F407" s="274"/>
      <c r="G407" s="18"/>
      <c r="H407" s="18"/>
      <c r="I407" s="18"/>
      <c r="J407" s="261"/>
    </row>
    <row r="408">
      <c r="A408" s="303"/>
      <c r="B408" s="268"/>
      <c r="C408" s="252"/>
      <c r="D408" s="331"/>
      <c r="F408" s="250"/>
      <c r="J408" s="251"/>
    </row>
    <row r="409">
      <c r="A409" s="303"/>
      <c r="B409" s="268"/>
      <c r="C409" s="252"/>
      <c r="D409" s="822"/>
      <c r="F409" s="250"/>
      <c r="J409" s="251"/>
    </row>
    <row r="410">
      <c r="A410" s="303"/>
      <c r="B410" s="268"/>
      <c r="C410" s="252"/>
      <c r="D410" s="822"/>
      <c r="F410" s="250"/>
      <c r="J410" s="251"/>
    </row>
    <row r="411">
      <c r="A411" s="303"/>
      <c r="B411" s="268"/>
      <c r="C411" s="252"/>
      <c r="D411" s="822"/>
      <c r="F411" s="250"/>
      <c r="J411" s="251"/>
    </row>
    <row r="412">
      <c r="A412" s="303"/>
      <c r="B412" s="268"/>
      <c r="C412" s="252"/>
      <c r="D412" s="822"/>
      <c r="F412" s="250"/>
      <c r="J412" s="251"/>
    </row>
    <row r="413">
      <c r="A413" s="303"/>
      <c r="B413" s="268"/>
      <c r="C413" s="252"/>
      <c r="D413" s="822"/>
      <c r="F413" s="250"/>
      <c r="J413" s="251"/>
    </row>
    <row r="414">
      <c r="A414" s="304"/>
      <c r="B414" s="271"/>
      <c r="C414" s="272"/>
      <c r="D414" s="823"/>
      <c r="E414" s="18"/>
      <c r="F414" s="274"/>
      <c r="G414" s="18"/>
      <c r="H414" s="18"/>
      <c r="I414" s="18"/>
      <c r="J414" s="261"/>
    </row>
    <row r="415">
      <c r="A415" s="305"/>
      <c r="B415" s="306"/>
      <c r="C415" s="240"/>
      <c r="D415" s="824"/>
      <c r="E415" s="242"/>
      <c r="F415" s="243"/>
      <c r="G415" s="244"/>
      <c r="H415" s="244"/>
      <c r="I415" s="244"/>
      <c r="J415" s="307"/>
    </row>
    <row r="416">
      <c r="A416" s="265"/>
      <c r="B416" s="268"/>
      <c r="C416" s="252"/>
      <c r="D416" s="822"/>
      <c r="F416" s="250"/>
      <c r="I416" s="252"/>
      <c r="J416" s="251"/>
    </row>
    <row r="417">
      <c r="A417" s="265"/>
      <c r="B417" s="268"/>
      <c r="C417" s="252"/>
      <c r="D417" s="822"/>
      <c r="F417" s="250"/>
      <c r="I417" s="252"/>
      <c r="J417" s="251"/>
    </row>
    <row r="418">
      <c r="A418" s="265"/>
      <c r="B418" s="268"/>
      <c r="C418" s="252"/>
      <c r="D418" s="822"/>
      <c r="F418" s="250"/>
      <c r="I418" s="252"/>
      <c r="J418" s="251"/>
    </row>
    <row r="419">
      <c r="A419" s="265"/>
      <c r="B419" s="268"/>
      <c r="C419" s="252"/>
      <c r="D419" s="822"/>
      <c r="F419" s="250"/>
      <c r="I419" s="252"/>
      <c r="J419" s="251"/>
    </row>
    <row r="420">
      <c r="A420" s="265"/>
      <c r="B420" s="268"/>
      <c r="C420" s="252"/>
      <c r="D420" s="822"/>
      <c r="F420" s="250"/>
      <c r="J420" s="251"/>
    </row>
    <row r="421">
      <c r="A421" s="265"/>
      <c r="B421" s="268"/>
      <c r="C421" s="252"/>
      <c r="D421" s="822"/>
      <c r="F421" s="250"/>
      <c r="J421" s="251"/>
    </row>
    <row r="422">
      <c r="A422" s="265"/>
      <c r="B422" s="268"/>
      <c r="C422" s="252"/>
      <c r="D422" s="822"/>
      <c r="F422" s="250"/>
      <c r="J422" s="251"/>
    </row>
    <row r="423">
      <c r="A423" s="265"/>
      <c r="B423" s="268"/>
      <c r="C423" s="252"/>
      <c r="D423" s="822"/>
      <c r="F423" s="250"/>
      <c r="J423" s="251"/>
    </row>
    <row r="424">
      <c r="A424" s="270"/>
      <c r="B424" s="271"/>
      <c r="C424" s="272"/>
      <c r="D424" s="823"/>
      <c r="E424" s="18"/>
      <c r="F424" s="274"/>
      <c r="G424" s="18"/>
      <c r="H424" s="18"/>
      <c r="I424" s="18"/>
      <c r="J424" s="261"/>
    </row>
    <row r="425">
      <c r="A425" s="305"/>
      <c r="B425" s="306"/>
      <c r="C425" s="240"/>
      <c r="D425" s="824"/>
      <c r="E425" s="242"/>
      <c r="F425" s="243"/>
      <c r="G425" s="244"/>
      <c r="H425" s="244"/>
      <c r="I425" s="244"/>
      <c r="J425" s="307"/>
    </row>
    <row r="426">
      <c r="A426" s="265"/>
      <c r="B426" s="268"/>
      <c r="C426" s="252"/>
      <c r="D426" s="822"/>
      <c r="F426" s="250"/>
      <c r="J426" s="251"/>
    </row>
    <row r="427">
      <c r="A427" s="265"/>
      <c r="B427" s="268"/>
      <c r="C427" s="252"/>
      <c r="D427" s="822"/>
      <c r="F427" s="250"/>
      <c r="J427" s="251"/>
    </row>
    <row r="428">
      <c r="A428" s="265"/>
      <c r="B428" s="268"/>
      <c r="C428" s="252"/>
      <c r="D428" s="822"/>
      <c r="F428" s="250"/>
      <c r="J428" s="251"/>
    </row>
    <row r="429">
      <c r="A429" s="265"/>
      <c r="B429" s="268"/>
      <c r="C429" s="252"/>
      <c r="D429" s="822"/>
      <c r="F429" s="250"/>
      <c r="J429" s="251"/>
    </row>
    <row r="430">
      <c r="A430" s="265"/>
      <c r="B430" s="268"/>
      <c r="C430" s="252"/>
      <c r="D430" s="822"/>
      <c r="F430" s="250"/>
      <c r="J430" s="251"/>
    </row>
    <row r="431">
      <c r="A431" s="265"/>
      <c r="B431" s="268"/>
      <c r="C431" s="252"/>
      <c r="D431" s="822"/>
      <c r="F431" s="250"/>
      <c r="J431" s="251"/>
    </row>
    <row r="432">
      <c r="A432" s="265"/>
      <c r="B432" s="268"/>
      <c r="C432" s="252"/>
      <c r="D432" s="822"/>
      <c r="F432" s="250"/>
      <c r="J432" s="251"/>
    </row>
    <row r="433">
      <c r="A433" s="265"/>
      <c r="B433" s="268"/>
      <c r="C433" s="252"/>
      <c r="D433" s="822"/>
      <c r="F433" s="250"/>
      <c r="J433" s="251"/>
    </row>
    <row r="434">
      <c r="A434" s="270"/>
      <c r="B434" s="271"/>
      <c r="C434" s="272"/>
      <c r="D434" s="823"/>
      <c r="E434" s="18"/>
      <c r="F434" s="274"/>
      <c r="G434" s="18"/>
      <c r="H434" s="18"/>
      <c r="I434" s="18"/>
      <c r="J434" s="261"/>
    </row>
    <row r="435">
      <c r="B435" s="306"/>
      <c r="C435" s="240"/>
      <c r="D435" s="824"/>
      <c r="E435" s="242"/>
      <c r="F435" s="243"/>
      <c r="G435" s="244"/>
      <c r="H435" s="244"/>
      <c r="I435" s="244"/>
      <c r="J435" s="307"/>
    </row>
    <row r="436">
      <c r="B436" s="268"/>
      <c r="C436" s="252"/>
      <c r="D436" s="822"/>
      <c r="F436" s="250"/>
      <c r="J436" s="251"/>
    </row>
    <row r="437">
      <c r="B437" s="268"/>
      <c r="C437" s="252"/>
      <c r="D437" s="822"/>
      <c r="F437" s="250"/>
      <c r="J437" s="251"/>
    </row>
    <row r="438">
      <c r="B438" s="308"/>
      <c r="C438" s="252"/>
      <c r="D438" s="822"/>
      <c r="F438" s="309"/>
      <c r="J438" s="302"/>
    </row>
    <row r="439">
      <c r="B439" s="308"/>
      <c r="C439" s="252"/>
      <c r="D439" s="822"/>
      <c r="F439" s="309"/>
      <c r="J439" s="302"/>
    </row>
    <row r="440">
      <c r="B440" s="308"/>
      <c r="C440" s="252"/>
      <c r="D440" s="822"/>
      <c r="F440" s="309"/>
      <c r="J440" s="302"/>
    </row>
    <row r="441">
      <c r="B441" s="308"/>
      <c r="C441" s="252"/>
      <c r="D441" s="822"/>
      <c r="F441" s="309"/>
      <c r="J441" s="302"/>
    </row>
    <row r="442">
      <c r="B442" s="308"/>
      <c r="C442" s="252"/>
      <c r="D442" s="822"/>
      <c r="F442" s="309"/>
      <c r="J442" s="302"/>
    </row>
    <row r="443">
      <c r="B443" s="308"/>
      <c r="C443" s="252"/>
      <c r="D443" s="822"/>
      <c r="F443" s="309"/>
      <c r="J443" s="302"/>
    </row>
    <row r="444">
      <c r="B444" s="308"/>
      <c r="C444" s="252"/>
      <c r="D444" s="822"/>
      <c r="F444" s="309"/>
      <c r="J444" s="302"/>
    </row>
    <row r="445">
      <c r="B445" s="308"/>
      <c r="C445" s="252"/>
      <c r="D445" s="822"/>
      <c r="F445" s="309"/>
      <c r="J445" s="302"/>
    </row>
    <row r="446">
      <c r="B446" s="308"/>
      <c r="C446" s="252"/>
      <c r="D446" s="822"/>
      <c r="F446" s="309"/>
      <c r="J446" s="302"/>
    </row>
    <row r="447">
      <c r="B447" s="308"/>
      <c r="C447" s="252"/>
      <c r="D447" s="822"/>
      <c r="F447" s="309"/>
      <c r="J447" s="302"/>
    </row>
    <row r="448">
      <c r="B448" s="308"/>
      <c r="C448" s="252"/>
      <c r="D448" s="822"/>
      <c r="F448" s="309"/>
      <c r="J448" s="302"/>
    </row>
    <row r="449">
      <c r="B449" s="308"/>
      <c r="C449" s="252"/>
      <c r="D449" s="822"/>
      <c r="F449" s="309"/>
      <c r="J449" s="302"/>
    </row>
    <row r="450">
      <c r="B450" s="308"/>
      <c r="C450" s="252"/>
      <c r="D450" s="822"/>
      <c r="F450" s="309"/>
      <c r="J450" s="302"/>
    </row>
    <row r="451">
      <c r="B451" s="308"/>
      <c r="C451" s="252"/>
      <c r="D451" s="822"/>
      <c r="F451" s="309"/>
      <c r="J451" s="302"/>
    </row>
    <row r="452">
      <c r="B452" s="308"/>
      <c r="C452" s="252"/>
      <c r="D452" s="822"/>
      <c r="F452" s="309"/>
      <c r="J452" s="302"/>
    </row>
    <row r="453">
      <c r="B453" s="308"/>
      <c r="C453" s="252"/>
      <c r="D453" s="822"/>
      <c r="F453" s="309"/>
      <c r="J453" s="302"/>
    </row>
    <row r="454">
      <c r="B454" s="308"/>
      <c r="C454" s="252"/>
      <c r="D454" s="822"/>
      <c r="F454" s="309"/>
      <c r="J454" s="302"/>
    </row>
    <row r="455">
      <c r="B455" s="308"/>
      <c r="C455" s="252"/>
      <c r="D455" s="822"/>
      <c r="F455" s="309"/>
      <c r="J455" s="302"/>
    </row>
    <row r="456">
      <c r="B456" s="308"/>
      <c r="C456" s="252"/>
      <c r="D456" s="822"/>
      <c r="F456" s="309"/>
      <c r="J456" s="302"/>
    </row>
    <row r="457">
      <c r="B457" s="308"/>
      <c r="C457" s="252"/>
      <c r="D457" s="822"/>
      <c r="F457" s="309"/>
      <c r="J457" s="302"/>
    </row>
    <row r="458">
      <c r="B458" s="308"/>
      <c r="C458" s="252"/>
      <c r="D458" s="822"/>
      <c r="F458" s="309"/>
      <c r="J458" s="302"/>
    </row>
    <row r="459">
      <c r="B459" s="308"/>
      <c r="C459" s="252"/>
      <c r="D459" s="822"/>
      <c r="F459" s="309"/>
      <c r="J459" s="302"/>
    </row>
    <row r="460">
      <c r="B460" s="308"/>
      <c r="C460" s="252"/>
      <c r="D460" s="822"/>
      <c r="F460" s="309"/>
      <c r="J460" s="302"/>
    </row>
    <row r="461">
      <c r="B461" s="308"/>
      <c r="C461" s="252"/>
      <c r="D461" s="822"/>
      <c r="F461" s="309"/>
      <c r="J461" s="302"/>
    </row>
    <row r="462">
      <c r="B462" s="308"/>
      <c r="C462" s="252"/>
      <c r="D462" s="822"/>
      <c r="F462" s="309"/>
      <c r="J462" s="302"/>
    </row>
    <row r="463">
      <c r="B463" s="308"/>
      <c r="C463" s="252"/>
      <c r="D463" s="822"/>
      <c r="F463" s="309"/>
      <c r="J463" s="302"/>
    </row>
    <row r="464">
      <c r="B464" s="308"/>
      <c r="C464" s="252"/>
      <c r="D464" s="822"/>
      <c r="F464" s="309"/>
      <c r="J464" s="302"/>
    </row>
    <row r="465">
      <c r="B465" s="308"/>
      <c r="C465" s="252"/>
      <c r="D465" s="822"/>
      <c r="F465" s="309"/>
      <c r="J465" s="302"/>
    </row>
    <row r="466">
      <c r="B466" s="308"/>
      <c r="C466" s="252"/>
      <c r="D466" s="822"/>
      <c r="F466" s="309"/>
      <c r="J466" s="302"/>
    </row>
    <row r="467">
      <c r="B467" s="308"/>
      <c r="C467" s="252"/>
      <c r="D467" s="822"/>
      <c r="F467" s="309"/>
      <c r="J467" s="302"/>
    </row>
    <row r="468">
      <c r="B468" s="308"/>
      <c r="C468" s="252"/>
      <c r="D468" s="822"/>
      <c r="F468" s="309"/>
      <c r="J468" s="302"/>
    </row>
    <row r="469">
      <c r="B469" s="308"/>
      <c r="C469" s="252"/>
      <c r="D469" s="822"/>
      <c r="F469" s="309"/>
      <c r="J469" s="302"/>
    </row>
    <row r="470">
      <c r="B470" s="308"/>
      <c r="C470" s="252"/>
      <c r="D470" s="822"/>
      <c r="F470" s="309"/>
      <c r="J470" s="302"/>
    </row>
    <row r="471">
      <c r="B471" s="308"/>
      <c r="C471" s="252"/>
      <c r="D471" s="822"/>
      <c r="F471" s="309"/>
      <c r="J471" s="302"/>
    </row>
    <row r="472">
      <c r="B472" s="308"/>
      <c r="C472" s="252"/>
      <c r="D472" s="822"/>
      <c r="F472" s="309"/>
      <c r="J472" s="302"/>
    </row>
    <row r="473">
      <c r="B473" s="308"/>
      <c r="C473" s="252"/>
      <c r="D473" s="822"/>
      <c r="F473" s="309"/>
      <c r="J473" s="302"/>
    </row>
    <row r="474">
      <c r="B474" s="308"/>
      <c r="C474" s="252"/>
      <c r="D474" s="822"/>
      <c r="F474" s="309"/>
      <c r="J474" s="302"/>
    </row>
    <row r="475">
      <c r="B475" s="308"/>
      <c r="C475" s="252"/>
      <c r="D475" s="822"/>
      <c r="F475" s="309"/>
      <c r="J475" s="302"/>
    </row>
    <row r="476">
      <c r="B476" s="308"/>
      <c r="C476" s="252"/>
      <c r="D476" s="822"/>
      <c r="F476" s="309"/>
      <c r="J476" s="302"/>
    </row>
    <row r="477">
      <c r="B477" s="308"/>
      <c r="C477" s="252"/>
      <c r="D477" s="822"/>
      <c r="F477" s="309"/>
      <c r="J477" s="302"/>
    </row>
    <row r="478">
      <c r="B478" s="308"/>
      <c r="C478" s="252"/>
      <c r="D478" s="822"/>
      <c r="F478" s="309"/>
      <c r="J478" s="302"/>
    </row>
    <row r="479">
      <c r="B479" s="308"/>
      <c r="C479" s="252"/>
      <c r="D479" s="822"/>
      <c r="F479" s="309"/>
      <c r="J479" s="302"/>
    </row>
    <row r="480">
      <c r="B480" s="308"/>
      <c r="C480" s="252"/>
      <c r="D480" s="822"/>
      <c r="F480" s="309"/>
      <c r="J480" s="302"/>
    </row>
    <row r="481">
      <c r="B481" s="308"/>
      <c r="C481" s="252"/>
      <c r="D481" s="822"/>
      <c r="F481" s="309"/>
      <c r="J481" s="302"/>
    </row>
    <row r="482">
      <c r="B482" s="308"/>
      <c r="C482" s="252"/>
      <c r="D482" s="822"/>
      <c r="F482" s="309"/>
      <c r="J482" s="302"/>
    </row>
    <row r="483">
      <c r="B483" s="308"/>
      <c r="C483" s="252"/>
      <c r="D483" s="822"/>
      <c r="F483" s="309"/>
      <c r="J483" s="302"/>
    </row>
    <row r="484">
      <c r="B484" s="308"/>
      <c r="C484" s="252"/>
      <c r="D484" s="822"/>
      <c r="F484" s="309"/>
      <c r="J484" s="302"/>
    </row>
    <row r="485">
      <c r="B485" s="308"/>
      <c r="C485" s="252"/>
      <c r="D485" s="822"/>
      <c r="F485" s="309"/>
      <c r="J485" s="302"/>
    </row>
    <row r="486">
      <c r="B486" s="308"/>
      <c r="C486" s="252"/>
      <c r="D486" s="822"/>
      <c r="F486" s="309"/>
      <c r="J486" s="302"/>
    </row>
    <row r="487">
      <c r="B487" s="308"/>
      <c r="C487" s="252"/>
      <c r="D487" s="822"/>
      <c r="F487" s="309"/>
      <c r="J487" s="302"/>
    </row>
    <row r="488">
      <c r="B488" s="308"/>
      <c r="C488" s="252"/>
      <c r="D488" s="822"/>
      <c r="F488" s="309"/>
      <c r="J488" s="302"/>
    </row>
    <row r="489">
      <c r="B489" s="308"/>
      <c r="C489" s="252"/>
      <c r="D489" s="822"/>
      <c r="F489" s="309"/>
      <c r="J489" s="302"/>
    </row>
    <row r="490">
      <c r="B490" s="308"/>
      <c r="C490" s="252"/>
      <c r="D490" s="822"/>
      <c r="F490" s="309"/>
      <c r="J490" s="302"/>
    </row>
    <row r="491">
      <c r="B491" s="308"/>
      <c r="C491" s="252"/>
      <c r="D491" s="822"/>
      <c r="F491" s="309"/>
      <c r="J491" s="302"/>
    </row>
    <row r="492">
      <c r="B492" s="308"/>
      <c r="C492" s="252"/>
      <c r="D492" s="822"/>
      <c r="F492" s="309"/>
      <c r="J492" s="302"/>
    </row>
    <row r="493">
      <c r="B493" s="308"/>
      <c r="C493" s="252"/>
      <c r="D493" s="822"/>
      <c r="F493" s="309"/>
      <c r="J493" s="302"/>
    </row>
    <row r="494">
      <c r="B494" s="308"/>
      <c r="C494" s="252"/>
      <c r="D494" s="822"/>
      <c r="F494" s="309"/>
      <c r="J494" s="302"/>
    </row>
    <row r="495">
      <c r="B495" s="308"/>
      <c r="C495" s="252"/>
      <c r="D495" s="822"/>
      <c r="F495" s="309"/>
      <c r="J495" s="302"/>
    </row>
    <row r="496">
      <c r="B496" s="308"/>
      <c r="C496" s="252"/>
      <c r="D496" s="822"/>
      <c r="F496" s="309"/>
      <c r="J496" s="302"/>
    </row>
    <row r="497">
      <c r="B497" s="308"/>
      <c r="C497" s="252"/>
      <c r="D497" s="822"/>
      <c r="F497" s="309"/>
      <c r="J497" s="302"/>
    </row>
    <row r="498">
      <c r="B498" s="308"/>
      <c r="C498" s="252"/>
      <c r="D498" s="822"/>
      <c r="F498" s="309"/>
      <c r="J498" s="302"/>
    </row>
    <row r="499">
      <c r="B499" s="308"/>
      <c r="C499" s="252"/>
      <c r="D499" s="822"/>
      <c r="F499" s="309"/>
      <c r="J499" s="302"/>
    </row>
    <row r="500">
      <c r="B500" s="308"/>
      <c r="C500" s="252"/>
      <c r="D500" s="822"/>
      <c r="F500" s="309"/>
      <c r="J500" s="302"/>
    </row>
    <row r="501">
      <c r="B501" s="308"/>
      <c r="C501" s="252"/>
      <c r="D501" s="822"/>
      <c r="F501" s="309"/>
      <c r="J501" s="302"/>
    </row>
    <row r="502">
      <c r="B502" s="308"/>
      <c r="C502" s="252"/>
      <c r="D502" s="822"/>
      <c r="F502" s="309"/>
      <c r="J502" s="302"/>
    </row>
    <row r="503">
      <c r="B503" s="308"/>
      <c r="C503" s="252"/>
      <c r="D503" s="822"/>
      <c r="F503" s="309"/>
      <c r="J503" s="302"/>
    </row>
    <row r="504">
      <c r="B504" s="308"/>
      <c r="C504" s="252"/>
      <c r="D504" s="822"/>
      <c r="F504" s="309"/>
      <c r="J504" s="302"/>
    </row>
    <row r="505">
      <c r="B505" s="308"/>
      <c r="C505" s="252"/>
      <c r="D505" s="822"/>
      <c r="F505" s="309"/>
      <c r="J505" s="302"/>
    </row>
    <row r="506">
      <c r="B506" s="308"/>
      <c r="C506" s="252"/>
      <c r="D506" s="822"/>
      <c r="F506" s="309"/>
      <c r="J506" s="302"/>
    </row>
    <row r="507">
      <c r="B507" s="308"/>
      <c r="C507" s="252"/>
      <c r="D507" s="822"/>
      <c r="F507" s="309"/>
      <c r="J507" s="302"/>
    </row>
    <row r="508">
      <c r="B508" s="308"/>
      <c r="C508" s="252"/>
      <c r="D508" s="822"/>
      <c r="F508" s="309"/>
      <c r="J508" s="302"/>
    </row>
    <row r="509">
      <c r="B509" s="308"/>
      <c r="C509" s="252"/>
      <c r="D509" s="822"/>
      <c r="F509" s="309"/>
      <c r="J509" s="302"/>
    </row>
    <row r="510">
      <c r="B510" s="308"/>
      <c r="C510" s="252"/>
      <c r="D510" s="822"/>
      <c r="F510" s="309"/>
      <c r="J510" s="302"/>
    </row>
    <row r="511">
      <c r="B511" s="308"/>
      <c r="C511" s="252"/>
      <c r="D511" s="822"/>
      <c r="F511" s="309"/>
      <c r="J511" s="302"/>
    </row>
    <row r="512">
      <c r="B512" s="308"/>
      <c r="C512" s="252"/>
      <c r="D512" s="822"/>
      <c r="F512" s="309"/>
      <c r="J512" s="302"/>
    </row>
    <row r="513">
      <c r="B513" s="308"/>
      <c r="C513" s="252"/>
      <c r="D513" s="822"/>
      <c r="F513" s="309"/>
      <c r="J513" s="302"/>
    </row>
    <row r="514">
      <c r="B514" s="308"/>
      <c r="C514" s="252"/>
      <c r="D514" s="822"/>
      <c r="F514" s="309"/>
      <c r="J514" s="302"/>
    </row>
    <row r="515">
      <c r="B515" s="308"/>
      <c r="C515" s="252"/>
      <c r="D515" s="822"/>
      <c r="F515" s="309"/>
      <c r="J515" s="302"/>
    </row>
    <row r="516">
      <c r="B516" s="308"/>
      <c r="C516" s="252"/>
      <c r="D516" s="822"/>
      <c r="F516" s="309"/>
      <c r="J516" s="302"/>
    </row>
    <row r="517">
      <c r="B517" s="308"/>
      <c r="C517" s="252"/>
      <c r="D517" s="822"/>
      <c r="F517" s="309"/>
      <c r="J517" s="302"/>
    </row>
    <row r="518">
      <c r="B518" s="308"/>
      <c r="C518" s="252"/>
      <c r="D518" s="822"/>
      <c r="F518" s="309"/>
      <c r="J518" s="302"/>
    </row>
    <row r="519">
      <c r="B519" s="308"/>
      <c r="C519" s="252"/>
      <c r="D519" s="822"/>
      <c r="F519" s="309"/>
      <c r="J519" s="302"/>
    </row>
    <row r="520">
      <c r="B520" s="308"/>
      <c r="C520" s="252"/>
      <c r="D520" s="822"/>
      <c r="F520" s="309"/>
      <c r="J520" s="302"/>
    </row>
    <row r="521">
      <c r="B521" s="308"/>
      <c r="C521" s="252"/>
      <c r="D521" s="822"/>
      <c r="F521" s="309"/>
      <c r="J521" s="302"/>
    </row>
    <row r="522">
      <c r="B522" s="308"/>
      <c r="C522" s="252"/>
      <c r="D522" s="822"/>
      <c r="F522" s="309"/>
      <c r="J522" s="302"/>
    </row>
    <row r="523">
      <c r="B523" s="308"/>
      <c r="C523" s="252"/>
      <c r="D523" s="822"/>
      <c r="F523" s="309"/>
      <c r="J523" s="302"/>
    </row>
    <row r="524">
      <c r="B524" s="308"/>
      <c r="C524" s="252"/>
      <c r="D524" s="822"/>
      <c r="F524" s="309"/>
      <c r="J524" s="302"/>
    </row>
    <row r="525">
      <c r="B525" s="308"/>
      <c r="C525" s="252"/>
      <c r="D525" s="822"/>
      <c r="F525" s="309"/>
      <c r="J525" s="302"/>
    </row>
    <row r="526">
      <c r="B526" s="308"/>
      <c r="C526" s="252"/>
      <c r="D526" s="822"/>
      <c r="F526" s="309"/>
      <c r="J526" s="302"/>
    </row>
    <row r="527">
      <c r="B527" s="308"/>
      <c r="C527" s="252"/>
      <c r="D527" s="822"/>
      <c r="F527" s="309"/>
      <c r="J527" s="302"/>
    </row>
    <row r="528">
      <c r="B528" s="308"/>
      <c r="C528" s="252"/>
      <c r="D528" s="822"/>
      <c r="F528" s="309"/>
      <c r="J528" s="302"/>
    </row>
    <row r="529">
      <c r="B529" s="308"/>
      <c r="C529" s="252"/>
      <c r="D529" s="822"/>
      <c r="F529" s="309"/>
      <c r="J529" s="302"/>
    </row>
    <row r="530">
      <c r="B530" s="308"/>
      <c r="C530" s="252"/>
      <c r="D530" s="822"/>
      <c r="F530" s="309"/>
      <c r="J530" s="302"/>
    </row>
    <row r="531">
      <c r="B531" s="308"/>
      <c r="C531" s="252"/>
      <c r="D531" s="822"/>
      <c r="F531" s="309"/>
      <c r="J531" s="302"/>
    </row>
    <row r="532">
      <c r="B532" s="308"/>
      <c r="C532" s="252"/>
      <c r="D532" s="822"/>
      <c r="F532" s="309"/>
      <c r="J532" s="302"/>
    </row>
    <row r="533">
      <c r="B533" s="308"/>
      <c r="C533" s="252"/>
      <c r="D533" s="822"/>
      <c r="F533" s="309"/>
      <c r="J533" s="302"/>
    </row>
    <row r="534">
      <c r="B534" s="308"/>
      <c r="C534" s="252"/>
      <c r="D534" s="822"/>
      <c r="F534" s="309"/>
      <c r="J534" s="302"/>
    </row>
    <row r="535">
      <c r="B535" s="308"/>
      <c r="C535" s="252"/>
      <c r="D535" s="822"/>
      <c r="F535" s="309"/>
      <c r="J535" s="302"/>
    </row>
    <row r="536">
      <c r="B536" s="308"/>
      <c r="C536" s="252"/>
      <c r="D536" s="822"/>
      <c r="F536" s="309"/>
      <c r="J536" s="302"/>
    </row>
    <row r="537">
      <c r="B537" s="308"/>
      <c r="C537" s="252"/>
      <c r="D537" s="822"/>
      <c r="F537" s="309"/>
      <c r="J537" s="302"/>
    </row>
    <row r="538">
      <c r="B538" s="308"/>
      <c r="C538" s="252"/>
      <c r="D538" s="822"/>
      <c r="F538" s="309"/>
      <c r="J538" s="302"/>
    </row>
    <row r="539">
      <c r="B539" s="308"/>
      <c r="C539" s="252"/>
      <c r="D539" s="822"/>
      <c r="F539" s="309"/>
      <c r="J539" s="302"/>
    </row>
    <row r="540">
      <c r="B540" s="308"/>
      <c r="C540" s="252"/>
      <c r="D540" s="822"/>
      <c r="F540" s="309"/>
      <c r="J540" s="302"/>
    </row>
    <row r="541">
      <c r="B541" s="308"/>
      <c r="C541" s="252"/>
      <c r="D541" s="822"/>
      <c r="F541" s="309"/>
      <c r="J541" s="302"/>
    </row>
    <row r="542">
      <c r="B542" s="308"/>
      <c r="C542" s="252"/>
      <c r="D542" s="822"/>
      <c r="F542" s="309"/>
      <c r="J542" s="302"/>
    </row>
    <row r="543">
      <c r="B543" s="308"/>
      <c r="C543" s="252"/>
      <c r="D543" s="822"/>
      <c r="F543" s="309"/>
      <c r="J543" s="302"/>
    </row>
    <row r="544">
      <c r="B544" s="308"/>
      <c r="C544" s="252"/>
      <c r="D544" s="822"/>
      <c r="F544" s="309"/>
      <c r="J544" s="302"/>
    </row>
    <row r="545">
      <c r="B545" s="308"/>
      <c r="C545" s="252"/>
      <c r="D545" s="822"/>
      <c r="F545" s="309"/>
      <c r="J545" s="302"/>
    </row>
    <row r="546">
      <c r="B546" s="308"/>
      <c r="C546" s="252"/>
      <c r="D546" s="822"/>
      <c r="F546" s="309"/>
      <c r="J546" s="302"/>
    </row>
    <row r="547">
      <c r="B547" s="308"/>
      <c r="C547" s="252"/>
      <c r="D547" s="822"/>
      <c r="F547" s="309"/>
      <c r="J547" s="302"/>
    </row>
    <row r="548">
      <c r="B548" s="308"/>
      <c r="C548" s="252"/>
      <c r="D548" s="822"/>
      <c r="F548" s="309"/>
      <c r="J548" s="302"/>
    </row>
    <row r="549">
      <c r="B549" s="308"/>
      <c r="C549" s="252"/>
      <c r="D549" s="822"/>
      <c r="F549" s="309"/>
      <c r="J549" s="302"/>
    </row>
    <row r="550">
      <c r="B550" s="308"/>
      <c r="C550" s="252"/>
      <c r="D550" s="822"/>
      <c r="F550" s="309"/>
      <c r="J550" s="302"/>
    </row>
    <row r="551">
      <c r="B551" s="308"/>
      <c r="C551" s="252"/>
      <c r="D551" s="822"/>
      <c r="F551" s="309"/>
      <c r="J551" s="302"/>
    </row>
    <row r="552">
      <c r="B552" s="308"/>
      <c r="C552" s="252"/>
      <c r="D552" s="822"/>
      <c r="F552" s="309"/>
      <c r="J552" s="302"/>
    </row>
    <row r="553">
      <c r="B553" s="308"/>
      <c r="C553" s="252"/>
      <c r="D553" s="822"/>
      <c r="F553" s="309"/>
      <c r="J553" s="302"/>
    </row>
    <row r="554">
      <c r="B554" s="308"/>
      <c r="C554" s="252"/>
      <c r="D554" s="822"/>
      <c r="F554" s="309"/>
      <c r="J554" s="302"/>
    </row>
    <row r="555">
      <c r="B555" s="308"/>
      <c r="C555" s="252"/>
      <c r="D555" s="822"/>
      <c r="F555" s="309"/>
      <c r="J555" s="302"/>
    </row>
    <row r="556">
      <c r="B556" s="308"/>
      <c r="C556" s="252"/>
      <c r="D556" s="822"/>
      <c r="F556" s="309"/>
      <c r="J556" s="302"/>
    </row>
    <row r="557">
      <c r="B557" s="308"/>
      <c r="C557" s="252"/>
      <c r="D557" s="822"/>
      <c r="F557" s="309"/>
      <c r="J557" s="302"/>
    </row>
    <row r="558">
      <c r="B558" s="308"/>
      <c r="C558" s="252"/>
      <c r="D558" s="822"/>
      <c r="F558" s="309"/>
      <c r="J558" s="302"/>
    </row>
    <row r="559">
      <c r="B559" s="308"/>
      <c r="C559" s="252"/>
      <c r="D559" s="822"/>
      <c r="F559" s="309"/>
      <c r="J559" s="302"/>
    </row>
    <row r="560">
      <c r="B560" s="308"/>
      <c r="C560" s="252"/>
      <c r="D560" s="822"/>
      <c r="F560" s="309"/>
      <c r="J560" s="302"/>
    </row>
    <row r="561">
      <c r="B561" s="308"/>
      <c r="C561" s="252"/>
      <c r="D561" s="822"/>
      <c r="F561" s="309"/>
      <c r="J561" s="302"/>
    </row>
    <row r="562">
      <c r="B562" s="308"/>
      <c r="C562" s="252"/>
      <c r="D562" s="822"/>
      <c r="F562" s="309"/>
      <c r="J562" s="302"/>
    </row>
    <row r="563">
      <c r="B563" s="308"/>
      <c r="C563" s="252"/>
      <c r="D563" s="822"/>
      <c r="F563" s="309"/>
      <c r="J563" s="302"/>
    </row>
    <row r="564">
      <c r="B564" s="308"/>
      <c r="C564" s="252"/>
      <c r="D564" s="822"/>
      <c r="F564" s="309"/>
      <c r="J564" s="302"/>
    </row>
    <row r="565">
      <c r="B565" s="308"/>
      <c r="C565" s="252"/>
      <c r="D565" s="822"/>
      <c r="F565" s="309"/>
      <c r="J565" s="302"/>
    </row>
    <row r="566">
      <c r="B566" s="308"/>
      <c r="C566" s="252"/>
      <c r="D566" s="822"/>
      <c r="F566" s="309"/>
      <c r="J566" s="302"/>
    </row>
    <row r="567">
      <c r="B567" s="308"/>
      <c r="C567" s="252"/>
      <c r="D567" s="822"/>
      <c r="F567" s="309"/>
      <c r="J567" s="302"/>
    </row>
    <row r="568">
      <c r="B568" s="308"/>
      <c r="C568" s="252"/>
      <c r="D568" s="822"/>
      <c r="F568" s="309"/>
      <c r="J568" s="302"/>
    </row>
    <row r="569">
      <c r="B569" s="308"/>
      <c r="C569" s="252"/>
      <c r="D569" s="822"/>
      <c r="F569" s="309"/>
      <c r="J569" s="302"/>
    </row>
    <row r="570">
      <c r="B570" s="308"/>
      <c r="C570" s="252"/>
      <c r="D570" s="822"/>
      <c r="F570" s="309"/>
      <c r="J570" s="302"/>
    </row>
    <row r="571">
      <c r="B571" s="308"/>
      <c r="C571" s="252"/>
      <c r="D571" s="822"/>
      <c r="F571" s="309"/>
      <c r="J571" s="302"/>
    </row>
    <row r="572">
      <c r="B572" s="308"/>
      <c r="C572" s="252"/>
      <c r="D572" s="822"/>
      <c r="F572" s="309"/>
      <c r="J572" s="302"/>
    </row>
    <row r="573">
      <c r="B573" s="308"/>
      <c r="C573" s="252"/>
      <c r="D573" s="822"/>
      <c r="F573" s="309"/>
      <c r="J573" s="302"/>
    </row>
    <row r="574">
      <c r="B574" s="308"/>
      <c r="C574" s="252"/>
      <c r="D574" s="822"/>
      <c r="F574" s="309"/>
      <c r="J574" s="302"/>
    </row>
    <row r="575">
      <c r="B575" s="308"/>
      <c r="C575" s="252"/>
      <c r="D575" s="822"/>
      <c r="F575" s="309"/>
      <c r="J575" s="302"/>
    </row>
    <row r="576">
      <c r="B576" s="308"/>
      <c r="C576" s="252"/>
      <c r="D576" s="822"/>
      <c r="F576" s="309"/>
      <c r="J576" s="302"/>
    </row>
    <row r="577">
      <c r="B577" s="308"/>
      <c r="C577" s="252"/>
      <c r="D577" s="822"/>
      <c r="F577" s="309"/>
      <c r="J577" s="302"/>
    </row>
    <row r="578">
      <c r="B578" s="308"/>
      <c r="C578" s="252"/>
      <c r="D578" s="822"/>
      <c r="F578" s="309"/>
      <c r="J578" s="302"/>
    </row>
    <row r="579">
      <c r="B579" s="308"/>
      <c r="C579" s="252"/>
      <c r="D579" s="822"/>
      <c r="F579" s="309"/>
      <c r="J579" s="302"/>
    </row>
    <row r="580">
      <c r="B580" s="308"/>
      <c r="C580" s="252"/>
      <c r="D580" s="822"/>
      <c r="F580" s="309"/>
      <c r="J580" s="302"/>
    </row>
    <row r="581">
      <c r="B581" s="308"/>
      <c r="C581" s="252"/>
      <c r="D581" s="822"/>
      <c r="F581" s="309"/>
      <c r="J581" s="302"/>
    </row>
    <row r="582">
      <c r="B582" s="308"/>
      <c r="C582" s="252"/>
      <c r="D582" s="822"/>
      <c r="F582" s="309"/>
      <c r="J582" s="302"/>
    </row>
    <row r="583">
      <c r="B583" s="308"/>
      <c r="C583" s="252"/>
      <c r="D583" s="822"/>
      <c r="F583" s="309"/>
      <c r="J583" s="302"/>
    </row>
    <row r="584">
      <c r="B584" s="308"/>
      <c r="C584" s="252"/>
      <c r="D584" s="822"/>
      <c r="F584" s="309"/>
      <c r="J584" s="302"/>
    </row>
    <row r="585">
      <c r="B585" s="308"/>
      <c r="C585" s="252"/>
      <c r="D585" s="822"/>
      <c r="F585" s="309"/>
      <c r="J585" s="302"/>
    </row>
    <row r="586">
      <c r="B586" s="308"/>
      <c r="C586" s="252"/>
      <c r="D586" s="822"/>
      <c r="F586" s="309"/>
      <c r="J586" s="302"/>
    </row>
    <row r="587">
      <c r="B587" s="308"/>
      <c r="C587" s="252"/>
      <c r="D587" s="822"/>
      <c r="F587" s="309"/>
      <c r="J587" s="302"/>
    </row>
    <row r="588">
      <c r="B588" s="308"/>
      <c r="C588" s="252"/>
      <c r="D588" s="822"/>
      <c r="F588" s="309"/>
      <c r="J588" s="302"/>
    </row>
    <row r="589">
      <c r="B589" s="308"/>
      <c r="C589" s="252"/>
      <c r="D589" s="822"/>
      <c r="F589" s="309"/>
      <c r="J589" s="302"/>
    </row>
    <row r="590">
      <c r="B590" s="308"/>
      <c r="C590" s="252"/>
      <c r="D590" s="822"/>
      <c r="F590" s="309"/>
      <c r="J590" s="302"/>
    </row>
    <row r="591">
      <c r="B591" s="308"/>
      <c r="C591" s="252"/>
      <c r="D591" s="822"/>
      <c r="F591" s="309"/>
      <c r="J591" s="302"/>
    </row>
    <row r="592">
      <c r="B592" s="308"/>
      <c r="C592" s="252"/>
      <c r="D592" s="822"/>
      <c r="F592" s="309"/>
      <c r="J592" s="302"/>
    </row>
    <row r="593">
      <c r="B593" s="308"/>
      <c r="C593" s="252"/>
      <c r="D593" s="822"/>
      <c r="F593" s="309"/>
      <c r="J593" s="302"/>
    </row>
    <row r="594">
      <c r="B594" s="308"/>
      <c r="C594" s="252"/>
      <c r="D594" s="822"/>
      <c r="F594" s="309"/>
      <c r="J594" s="302"/>
    </row>
    <row r="595">
      <c r="B595" s="308"/>
      <c r="C595" s="252"/>
      <c r="D595" s="822"/>
      <c r="F595" s="309"/>
      <c r="J595" s="302"/>
    </row>
    <row r="596">
      <c r="B596" s="308"/>
      <c r="C596" s="252"/>
      <c r="D596" s="822"/>
      <c r="F596" s="309"/>
      <c r="J596" s="302"/>
    </row>
    <row r="597">
      <c r="B597" s="308"/>
      <c r="C597" s="252"/>
      <c r="D597" s="822"/>
      <c r="F597" s="309"/>
      <c r="J597" s="302"/>
    </row>
    <row r="598">
      <c r="B598" s="308"/>
      <c r="C598" s="252"/>
      <c r="D598" s="822"/>
      <c r="F598" s="309"/>
      <c r="J598" s="302"/>
    </row>
    <row r="599">
      <c r="B599" s="308"/>
      <c r="C599" s="252"/>
      <c r="D599" s="822"/>
      <c r="F599" s="309"/>
      <c r="J599" s="302"/>
    </row>
    <row r="600">
      <c r="B600" s="308"/>
      <c r="C600" s="252"/>
      <c r="D600" s="822"/>
      <c r="F600" s="309"/>
      <c r="J600" s="302"/>
    </row>
    <row r="601">
      <c r="B601" s="308"/>
      <c r="C601" s="252"/>
      <c r="D601" s="822"/>
      <c r="F601" s="309"/>
      <c r="J601" s="302"/>
    </row>
    <row r="602">
      <c r="B602" s="308"/>
      <c r="C602" s="252"/>
      <c r="D602" s="822"/>
      <c r="F602" s="309"/>
      <c r="J602" s="302"/>
    </row>
    <row r="603">
      <c r="B603" s="308"/>
      <c r="C603" s="252"/>
      <c r="D603" s="822"/>
      <c r="F603" s="309"/>
      <c r="J603" s="302"/>
    </row>
    <row r="604">
      <c r="B604" s="308"/>
      <c r="C604" s="252"/>
      <c r="D604" s="822"/>
      <c r="F604" s="309"/>
      <c r="J604" s="302"/>
    </row>
    <row r="605">
      <c r="B605" s="308"/>
      <c r="C605" s="252"/>
      <c r="D605" s="822"/>
      <c r="F605" s="309"/>
      <c r="J605" s="302"/>
    </row>
    <row r="606">
      <c r="B606" s="308"/>
      <c r="C606" s="252"/>
      <c r="D606" s="822"/>
      <c r="F606" s="309"/>
      <c r="J606" s="302"/>
    </row>
    <row r="607">
      <c r="B607" s="308"/>
      <c r="C607" s="252"/>
      <c r="D607" s="822"/>
      <c r="F607" s="309"/>
      <c r="J607" s="302"/>
    </row>
    <row r="608">
      <c r="B608" s="308"/>
      <c r="C608" s="252"/>
      <c r="D608" s="822"/>
      <c r="F608" s="309"/>
      <c r="J608" s="302"/>
    </row>
    <row r="609">
      <c r="B609" s="308"/>
      <c r="C609" s="252"/>
      <c r="D609" s="822"/>
      <c r="F609" s="309"/>
      <c r="J609" s="302"/>
    </row>
    <row r="610">
      <c r="B610" s="308"/>
      <c r="C610" s="252"/>
      <c r="D610" s="822"/>
      <c r="F610" s="309"/>
      <c r="J610" s="302"/>
    </row>
    <row r="611">
      <c r="B611" s="308"/>
      <c r="C611" s="252"/>
      <c r="D611" s="822"/>
      <c r="F611" s="309"/>
      <c r="J611" s="302"/>
    </row>
    <row r="612">
      <c r="B612" s="308"/>
      <c r="C612" s="252"/>
      <c r="D612" s="822"/>
      <c r="F612" s="309"/>
      <c r="J612" s="302"/>
    </row>
    <row r="613">
      <c r="B613" s="308"/>
      <c r="C613" s="252"/>
      <c r="D613" s="822"/>
      <c r="F613" s="309"/>
      <c r="J613" s="302"/>
    </row>
    <row r="614">
      <c r="B614" s="308"/>
      <c r="C614" s="252"/>
      <c r="D614" s="822"/>
      <c r="F614" s="309"/>
      <c r="J614" s="302"/>
    </row>
    <row r="615">
      <c r="B615" s="308"/>
      <c r="C615" s="252"/>
      <c r="D615" s="822"/>
      <c r="F615" s="309"/>
      <c r="J615" s="302"/>
    </row>
    <row r="616">
      <c r="B616" s="308"/>
      <c r="C616" s="252"/>
      <c r="D616" s="822"/>
      <c r="F616" s="309"/>
      <c r="J616" s="302"/>
    </row>
    <row r="617">
      <c r="B617" s="308"/>
      <c r="C617" s="252"/>
      <c r="D617" s="822"/>
      <c r="F617" s="309"/>
      <c r="J617" s="302"/>
    </row>
    <row r="618">
      <c r="B618" s="308"/>
      <c r="C618" s="252"/>
      <c r="D618" s="822"/>
      <c r="F618" s="309"/>
      <c r="J618" s="302"/>
    </row>
    <row r="619">
      <c r="B619" s="308"/>
      <c r="C619" s="252"/>
      <c r="D619" s="822"/>
      <c r="F619" s="309"/>
      <c r="J619" s="302"/>
    </row>
    <row r="620">
      <c r="B620" s="308"/>
      <c r="C620" s="252"/>
      <c r="D620" s="822"/>
      <c r="F620" s="309"/>
      <c r="J620" s="302"/>
    </row>
    <row r="621">
      <c r="B621" s="308"/>
      <c r="C621" s="252"/>
      <c r="D621" s="822"/>
      <c r="F621" s="309"/>
      <c r="J621" s="302"/>
    </row>
    <row r="622">
      <c r="B622" s="308"/>
      <c r="C622" s="252"/>
      <c r="D622" s="822"/>
      <c r="F622" s="309"/>
      <c r="J622" s="302"/>
    </row>
    <row r="623">
      <c r="B623" s="308"/>
      <c r="C623" s="252"/>
      <c r="D623" s="822"/>
      <c r="F623" s="309"/>
      <c r="J623" s="302"/>
    </row>
    <row r="624">
      <c r="B624" s="308"/>
      <c r="C624" s="252"/>
      <c r="D624" s="822"/>
      <c r="F624" s="309"/>
      <c r="J624" s="302"/>
    </row>
    <row r="625">
      <c r="B625" s="308"/>
      <c r="C625" s="252"/>
      <c r="D625" s="822"/>
      <c r="F625" s="309"/>
      <c r="J625" s="302"/>
    </row>
    <row r="626">
      <c r="B626" s="308"/>
      <c r="C626" s="252"/>
      <c r="D626" s="822"/>
      <c r="F626" s="309"/>
      <c r="J626" s="302"/>
    </row>
    <row r="627">
      <c r="B627" s="308"/>
      <c r="C627" s="252"/>
      <c r="D627" s="822"/>
      <c r="F627" s="309"/>
      <c r="J627" s="302"/>
    </row>
    <row r="628">
      <c r="B628" s="308"/>
      <c r="C628" s="252"/>
      <c r="D628" s="822"/>
      <c r="F628" s="309"/>
      <c r="J628" s="302"/>
    </row>
    <row r="629">
      <c r="B629" s="308"/>
      <c r="C629" s="252"/>
      <c r="D629" s="822"/>
      <c r="F629" s="309"/>
      <c r="J629" s="302"/>
    </row>
    <row r="630">
      <c r="B630" s="308"/>
      <c r="C630" s="252"/>
      <c r="D630" s="822"/>
      <c r="F630" s="309"/>
      <c r="J630" s="302"/>
    </row>
    <row r="631">
      <c r="B631" s="308"/>
      <c r="C631" s="252"/>
      <c r="D631" s="822"/>
      <c r="F631" s="309"/>
      <c r="J631" s="302"/>
    </row>
    <row r="632">
      <c r="B632" s="308"/>
      <c r="C632" s="252"/>
      <c r="D632" s="822"/>
      <c r="F632" s="309"/>
      <c r="J632" s="302"/>
    </row>
    <row r="633">
      <c r="B633" s="308"/>
      <c r="C633" s="252"/>
      <c r="D633" s="822"/>
      <c r="F633" s="309"/>
      <c r="J633" s="302"/>
    </row>
    <row r="634">
      <c r="B634" s="308"/>
      <c r="C634" s="252"/>
      <c r="D634" s="822"/>
      <c r="F634" s="309"/>
      <c r="J634" s="302"/>
    </row>
    <row r="635">
      <c r="B635" s="308"/>
      <c r="C635" s="252"/>
      <c r="D635" s="822"/>
      <c r="F635" s="309"/>
      <c r="J635" s="302"/>
    </row>
    <row r="636">
      <c r="B636" s="308"/>
      <c r="C636" s="252"/>
      <c r="D636" s="822"/>
      <c r="F636" s="309"/>
      <c r="J636" s="302"/>
    </row>
    <row r="637">
      <c r="B637" s="308"/>
      <c r="C637" s="252"/>
      <c r="D637" s="822"/>
      <c r="F637" s="309"/>
      <c r="J637" s="302"/>
    </row>
    <row r="638">
      <c r="B638" s="308"/>
      <c r="C638" s="252"/>
      <c r="D638" s="822"/>
      <c r="F638" s="309"/>
      <c r="J638" s="302"/>
    </row>
    <row r="639">
      <c r="B639" s="308"/>
      <c r="C639" s="252"/>
      <c r="D639" s="822"/>
      <c r="F639" s="309"/>
      <c r="J639" s="302"/>
    </row>
    <row r="640">
      <c r="B640" s="308"/>
      <c r="C640" s="252"/>
      <c r="D640" s="822"/>
      <c r="F640" s="309"/>
      <c r="J640" s="302"/>
    </row>
    <row r="641">
      <c r="B641" s="308"/>
      <c r="C641" s="252"/>
      <c r="D641" s="822"/>
      <c r="F641" s="309"/>
      <c r="J641" s="302"/>
    </row>
    <row r="642">
      <c r="B642" s="308"/>
      <c r="C642" s="252"/>
      <c r="D642" s="822"/>
      <c r="F642" s="309"/>
      <c r="J642" s="302"/>
    </row>
    <row r="643">
      <c r="B643" s="308"/>
      <c r="C643" s="252"/>
      <c r="D643" s="822"/>
      <c r="F643" s="309"/>
      <c r="J643" s="302"/>
    </row>
    <row r="644">
      <c r="B644" s="308"/>
      <c r="C644" s="252"/>
      <c r="D644" s="822"/>
      <c r="F644" s="309"/>
      <c r="J644" s="302"/>
    </row>
    <row r="645">
      <c r="B645" s="308"/>
      <c r="C645" s="252"/>
      <c r="D645" s="822"/>
      <c r="F645" s="309"/>
      <c r="J645" s="302"/>
    </row>
    <row r="646">
      <c r="B646" s="308"/>
      <c r="C646" s="252"/>
      <c r="D646" s="822"/>
      <c r="F646" s="309"/>
      <c r="J646" s="302"/>
    </row>
    <row r="647">
      <c r="B647" s="308"/>
      <c r="C647" s="252"/>
      <c r="D647" s="822"/>
      <c r="F647" s="309"/>
      <c r="J647" s="302"/>
    </row>
    <row r="648">
      <c r="B648" s="308"/>
      <c r="C648" s="252"/>
      <c r="D648" s="822"/>
      <c r="F648" s="309"/>
      <c r="J648" s="302"/>
    </row>
    <row r="649">
      <c r="B649" s="308"/>
      <c r="C649" s="252"/>
      <c r="D649" s="822"/>
      <c r="F649" s="309"/>
      <c r="J649" s="302"/>
    </row>
    <row r="650">
      <c r="B650" s="308"/>
      <c r="C650" s="252"/>
      <c r="D650" s="822"/>
      <c r="F650" s="309"/>
      <c r="J650" s="302"/>
    </row>
    <row r="651">
      <c r="B651" s="308"/>
      <c r="C651" s="252"/>
      <c r="D651" s="822"/>
      <c r="F651" s="309"/>
      <c r="J651" s="302"/>
    </row>
    <row r="652">
      <c r="B652" s="308"/>
      <c r="C652" s="252"/>
      <c r="D652" s="822"/>
      <c r="F652" s="309"/>
      <c r="J652" s="302"/>
    </row>
    <row r="653">
      <c r="B653" s="308"/>
      <c r="C653" s="252"/>
      <c r="D653" s="822"/>
      <c r="F653" s="309"/>
      <c r="J653" s="302"/>
    </row>
    <row r="654">
      <c r="B654" s="308"/>
      <c r="C654" s="252"/>
      <c r="D654" s="822"/>
      <c r="F654" s="309"/>
      <c r="J654" s="302"/>
    </row>
    <row r="655">
      <c r="B655" s="308"/>
      <c r="C655" s="252"/>
      <c r="D655" s="822"/>
      <c r="F655" s="309"/>
      <c r="J655" s="302"/>
    </row>
    <row r="656">
      <c r="B656" s="308"/>
      <c r="C656" s="252"/>
      <c r="D656" s="822"/>
      <c r="F656" s="309"/>
      <c r="J656" s="302"/>
    </row>
    <row r="657">
      <c r="B657" s="308"/>
      <c r="C657" s="252"/>
      <c r="D657" s="822"/>
      <c r="F657" s="309"/>
      <c r="J657" s="302"/>
    </row>
    <row r="658">
      <c r="B658" s="308"/>
      <c r="C658" s="252"/>
      <c r="D658" s="822"/>
      <c r="F658" s="309"/>
      <c r="J658" s="302"/>
    </row>
    <row r="659">
      <c r="B659" s="308"/>
      <c r="C659" s="252"/>
      <c r="D659" s="822"/>
      <c r="F659" s="309"/>
      <c r="J659" s="302"/>
    </row>
    <row r="660">
      <c r="B660" s="308"/>
      <c r="C660" s="252"/>
      <c r="D660" s="822"/>
      <c r="F660" s="309"/>
      <c r="J660" s="302"/>
    </row>
    <row r="661">
      <c r="B661" s="308"/>
      <c r="C661" s="252"/>
      <c r="D661" s="822"/>
      <c r="F661" s="309"/>
      <c r="J661" s="302"/>
    </row>
    <row r="662">
      <c r="B662" s="308"/>
      <c r="C662" s="252"/>
      <c r="D662" s="822"/>
      <c r="F662" s="309"/>
      <c r="J662" s="302"/>
    </row>
    <row r="663">
      <c r="B663" s="308"/>
      <c r="C663" s="252"/>
      <c r="D663" s="822"/>
      <c r="F663" s="309"/>
      <c r="J663" s="302"/>
    </row>
    <row r="664">
      <c r="B664" s="308"/>
      <c r="C664" s="252"/>
      <c r="D664" s="822"/>
      <c r="F664" s="309"/>
      <c r="J664" s="302"/>
    </row>
    <row r="665">
      <c r="B665" s="308"/>
      <c r="C665" s="252"/>
      <c r="D665" s="822"/>
      <c r="F665" s="309"/>
      <c r="J665" s="302"/>
    </row>
    <row r="666">
      <c r="B666" s="308"/>
      <c r="C666" s="252"/>
      <c r="D666" s="822"/>
      <c r="F666" s="309"/>
      <c r="J666" s="302"/>
    </row>
    <row r="667">
      <c r="B667" s="308"/>
      <c r="C667" s="252"/>
      <c r="D667" s="822"/>
      <c r="F667" s="309"/>
      <c r="J667" s="302"/>
    </row>
    <row r="668">
      <c r="B668" s="308"/>
      <c r="C668" s="252"/>
      <c r="D668" s="822"/>
      <c r="F668" s="309"/>
      <c r="J668" s="302"/>
    </row>
    <row r="669">
      <c r="B669" s="308"/>
      <c r="C669" s="252"/>
      <c r="D669" s="822"/>
      <c r="F669" s="309"/>
      <c r="J669" s="302"/>
    </row>
    <row r="670">
      <c r="B670" s="308"/>
      <c r="C670" s="252"/>
      <c r="D670" s="822"/>
      <c r="F670" s="309"/>
      <c r="J670" s="302"/>
    </row>
    <row r="671">
      <c r="B671" s="308"/>
      <c r="C671" s="252"/>
      <c r="D671" s="822"/>
      <c r="F671" s="309"/>
      <c r="J671" s="302"/>
    </row>
    <row r="672">
      <c r="B672" s="308"/>
      <c r="C672" s="252"/>
      <c r="D672" s="822"/>
      <c r="F672" s="309"/>
      <c r="J672" s="302"/>
    </row>
    <row r="673">
      <c r="B673" s="308"/>
      <c r="C673" s="252"/>
      <c r="D673" s="822"/>
      <c r="F673" s="309"/>
      <c r="J673" s="302"/>
    </row>
    <row r="674">
      <c r="B674" s="308"/>
      <c r="C674" s="252"/>
      <c r="D674" s="822"/>
      <c r="F674" s="309"/>
      <c r="J674" s="302"/>
    </row>
    <row r="675">
      <c r="B675" s="308"/>
      <c r="C675" s="252"/>
      <c r="D675" s="822"/>
      <c r="F675" s="309"/>
      <c r="J675" s="302"/>
    </row>
    <row r="676">
      <c r="B676" s="308"/>
      <c r="C676" s="252"/>
      <c r="D676" s="822"/>
      <c r="F676" s="309"/>
      <c r="J676" s="302"/>
    </row>
    <row r="677">
      <c r="B677" s="308"/>
      <c r="C677" s="252"/>
      <c r="D677" s="822"/>
      <c r="F677" s="309"/>
      <c r="J677" s="302"/>
    </row>
    <row r="678">
      <c r="B678" s="308"/>
      <c r="C678" s="252"/>
      <c r="D678" s="822"/>
      <c r="F678" s="309"/>
      <c r="J678" s="302"/>
    </row>
    <row r="679">
      <c r="B679" s="308"/>
      <c r="C679" s="252"/>
      <c r="D679" s="822"/>
      <c r="F679" s="309"/>
      <c r="J679" s="302"/>
    </row>
    <row r="680">
      <c r="B680" s="308"/>
      <c r="C680" s="252"/>
      <c r="D680" s="822"/>
      <c r="F680" s="309"/>
      <c r="J680" s="302"/>
    </row>
    <row r="681">
      <c r="B681" s="308"/>
      <c r="C681" s="252"/>
      <c r="D681" s="822"/>
      <c r="F681" s="309"/>
      <c r="J681" s="302"/>
    </row>
    <row r="682">
      <c r="B682" s="308"/>
      <c r="C682" s="252"/>
      <c r="D682" s="822"/>
      <c r="F682" s="309"/>
      <c r="J682" s="302"/>
    </row>
    <row r="683">
      <c r="B683" s="308"/>
      <c r="C683" s="252"/>
      <c r="D683" s="822"/>
      <c r="F683" s="309"/>
      <c r="J683" s="302"/>
    </row>
    <row r="684">
      <c r="B684" s="308"/>
      <c r="C684" s="252"/>
      <c r="D684" s="822"/>
      <c r="F684" s="309"/>
      <c r="J684" s="302"/>
    </row>
    <row r="685">
      <c r="B685" s="308"/>
      <c r="C685" s="252"/>
      <c r="D685" s="822"/>
      <c r="F685" s="309"/>
      <c r="J685" s="302"/>
    </row>
    <row r="686">
      <c r="B686" s="308"/>
      <c r="C686" s="252"/>
      <c r="D686" s="822"/>
      <c r="F686" s="309"/>
      <c r="J686" s="302"/>
    </row>
    <row r="687">
      <c r="B687" s="308"/>
      <c r="C687" s="252"/>
      <c r="D687" s="822"/>
      <c r="F687" s="309"/>
      <c r="J687" s="302"/>
    </row>
    <row r="688">
      <c r="B688" s="308"/>
      <c r="C688" s="252"/>
      <c r="D688" s="822"/>
      <c r="F688" s="309"/>
      <c r="J688" s="302"/>
    </row>
    <row r="689">
      <c r="B689" s="308"/>
      <c r="C689" s="252"/>
      <c r="D689" s="822"/>
      <c r="F689" s="309"/>
      <c r="J689" s="302"/>
    </row>
    <row r="690">
      <c r="B690" s="308"/>
      <c r="C690" s="252"/>
      <c r="D690" s="822"/>
      <c r="F690" s="309"/>
      <c r="J690" s="302"/>
    </row>
    <row r="691">
      <c r="B691" s="308"/>
      <c r="C691" s="252"/>
      <c r="D691" s="822"/>
      <c r="F691" s="309"/>
      <c r="J691" s="302"/>
    </row>
    <row r="692">
      <c r="B692" s="308"/>
      <c r="C692" s="252"/>
      <c r="D692" s="822"/>
      <c r="F692" s="309"/>
      <c r="J692" s="302"/>
    </row>
    <row r="693">
      <c r="B693" s="308"/>
      <c r="C693" s="252"/>
      <c r="D693" s="822"/>
      <c r="F693" s="309"/>
      <c r="J693" s="302"/>
    </row>
    <row r="694">
      <c r="B694" s="308"/>
      <c r="C694" s="252"/>
      <c r="D694" s="822"/>
      <c r="F694" s="309"/>
      <c r="J694" s="302"/>
    </row>
    <row r="695">
      <c r="B695" s="308"/>
      <c r="C695" s="252"/>
      <c r="D695" s="822"/>
      <c r="F695" s="309"/>
      <c r="J695" s="302"/>
    </row>
    <row r="696">
      <c r="B696" s="308"/>
      <c r="C696" s="252"/>
      <c r="D696" s="822"/>
      <c r="F696" s="309"/>
      <c r="J696" s="302"/>
    </row>
    <row r="697">
      <c r="B697" s="308"/>
      <c r="C697" s="252"/>
      <c r="D697" s="822"/>
      <c r="F697" s="309"/>
      <c r="J697" s="302"/>
    </row>
    <row r="698">
      <c r="B698" s="308"/>
      <c r="C698" s="252"/>
      <c r="D698" s="822"/>
      <c r="F698" s="309"/>
      <c r="J698" s="302"/>
    </row>
    <row r="699">
      <c r="B699" s="308"/>
      <c r="C699" s="252"/>
      <c r="D699" s="822"/>
      <c r="F699" s="309"/>
      <c r="J699" s="302"/>
    </row>
    <row r="700">
      <c r="B700" s="308"/>
      <c r="C700" s="252"/>
      <c r="D700" s="822"/>
      <c r="F700" s="309"/>
      <c r="J700" s="302"/>
    </row>
    <row r="701">
      <c r="B701" s="308"/>
      <c r="C701" s="252"/>
      <c r="D701" s="822"/>
      <c r="F701" s="309"/>
      <c r="J701" s="302"/>
    </row>
    <row r="702">
      <c r="B702" s="308"/>
      <c r="C702" s="252"/>
      <c r="D702" s="822"/>
      <c r="F702" s="309"/>
      <c r="J702" s="302"/>
    </row>
    <row r="703">
      <c r="B703" s="308"/>
      <c r="C703" s="252"/>
      <c r="D703" s="822"/>
      <c r="F703" s="309"/>
      <c r="J703" s="302"/>
    </row>
    <row r="704">
      <c r="B704" s="308"/>
      <c r="C704" s="252"/>
      <c r="D704" s="822"/>
      <c r="F704" s="309"/>
      <c r="J704" s="302"/>
    </row>
    <row r="705">
      <c r="B705" s="308"/>
      <c r="C705" s="252"/>
      <c r="D705" s="822"/>
      <c r="F705" s="309"/>
      <c r="J705" s="302"/>
    </row>
    <row r="706">
      <c r="B706" s="308"/>
      <c r="C706" s="252"/>
      <c r="D706" s="822"/>
      <c r="F706" s="309"/>
      <c r="J706" s="302"/>
    </row>
    <row r="707">
      <c r="B707" s="308"/>
      <c r="C707" s="252"/>
      <c r="D707" s="822"/>
      <c r="F707" s="309"/>
      <c r="J707" s="302"/>
    </row>
    <row r="708">
      <c r="B708" s="308"/>
      <c r="C708" s="252"/>
      <c r="D708" s="822"/>
      <c r="F708" s="309"/>
      <c r="J708" s="302"/>
    </row>
    <row r="709">
      <c r="B709" s="308"/>
      <c r="C709" s="252"/>
      <c r="D709" s="822"/>
      <c r="F709" s="309"/>
      <c r="J709" s="302"/>
    </row>
    <row r="710">
      <c r="B710" s="308"/>
      <c r="C710" s="252"/>
      <c r="D710" s="822"/>
      <c r="F710" s="309"/>
      <c r="J710" s="302"/>
    </row>
    <row r="711">
      <c r="B711" s="308"/>
      <c r="C711" s="252"/>
      <c r="D711" s="822"/>
      <c r="F711" s="309"/>
      <c r="J711" s="302"/>
    </row>
    <row r="712">
      <c r="B712" s="308"/>
      <c r="C712" s="252"/>
      <c r="D712" s="822"/>
      <c r="F712" s="309"/>
      <c r="J712" s="302"/>
    </row>
    <row r="713">
      <c r="B713" s="308"/>
      <c r="C713" s="252"/>
      <c r="D713" s="822"/>
      <c r="F713" s="309"/>
      <c r="J713" s="302"/>
    </row>
    <row r="714">
      <c r="B714" s="308"/>
      <c r="C714" s="252"/>
      <c r="D714" s="822"/>
      <c r="F714" s="309"/>
      <c r="J714" s="302"/>
    </row>
    <row r="715">
      <c r="B715" s="308"/>
      <c r="C715" s="252"/>
      <c r="D715" s="822"/>
      <c r="F715" s="309"/>
      <c r="J715" s="302"/>
    </row>
    <row r="716">
      <c r="B716" s="308"/>
      <c r="C716" s="252"/>
      <c r="D716" s="822"/>
      <c r="F716" s="309"/>
      <c r="J716" s="302"/>
    </row>
    <row r="717">
      <c r="B717" s="308"/>
      <c r="C717" s="252"/>
      <c r="D717" s="822"/>
      <c r="F717" s="309"/>
      <c r="J717" s="302"/>
    </row>
    <row r="718">
      <c r="B718" s="308"/>
      <c r="C718" s="252"/>
      <c r="D718" s="822"/>
      <c r="F718" s="309"/>
      <c r="J718" s="302"/>
    </row>
    <row r="719">
      <c r="B719" s="308"/>
      <c r="C719" s="252"/>
      <c r="D719" s="822"/>
      <c r="F719" s="309"/>
      <c r="J719" s="302"/>
    </row>
    <row r="720">
      <c r="B720" s="308"/>
      <c r="C720" s="252"/>
      <c r="D720" s="822"/>
      <c r="F720" s="309"/>
      <c r="J720" s="302"/>
    </row>
    <row r="721">
      <c r="B721" s="308"/>
      <c r="C721" s="252"/>
      <c r="D721" s="822"/>
      <c r="F721" s="309"/>
      <c r="J721" s="302"/>
    </row>
    <row r="722">
      <c r="B722" s="308"/>
      <c r="C722" s="252"/>
      <c r="D722" s="822"/>
      <c r="F722" s="309"/>
      <c r="J722" s="302"/>
    </row>
    <row r="723">
      <c r="B723" s="308"/>
      <c r="C723" s="252"/>
      <c r="D723" s="822"/>
      <c r="F723" s="309"/>
      <c r="J723" s="302"/>
    </row>
    <row r="724">
      <c r="B724" s="308"/>
      <c r="C724" s="252"/>
      <c r="D724" s="822"/>
      <c r="F724" s="309"/>
      <c r="J724" s="302"/>
    </row>
    <row r="725">
      <c r="B725" s="308"/>
      <c r="C725" s="252"/>
      <c r="D725" s="822"/>
      <c r="F725" s="309"/>
      <c r="J725" s="302"/>
    </row>
    <row r="726">
      <c r="B726" s="308"/>
      <c r="C726" s="252"/>
      <c r="D726" s="822"/>
      <c r="F726" s="309"/>
      <c r="J726" s="302"/>
    </row>
    <row r="727">
      <c r="B727" s="308"/>
      <c r="C727" s="252"/>
      <c r="D727" s="822"/>
      <c r="F727" s="309"/>
      <c r="J727" s="302"/>
    </row>
    <row r="728">
      <c r="B728" s="308"/>
      <c r="C728" s="252"/>
      <c r="D728" s="822"/>
      <c r="F728" s="309"/>
      <c r="J728" s="302"/>
    </row>
    <row r="729">
      <c r="B729" s="308"/>
      <c r="C729" s="252"/>
      <c r="D729" s="822"/>
      <c r="F729" s="309"/>
      <c r="J729" s="302"/>
    </row>
    <row r="730">
      <c r="B730" s="308"/>
      <c r="C730" s="252"/>
      <c r="D730" s="822"/>
      <c r="F730" s="309"/>
      <c r="J730" s="302"/>
    </row>
    <row r="731">
      <c r="B731" s="308"/>
      <c r="C731" s="252"/>
      <c r="D731" s="822"/>
      <c r="F731" s="309"/>
      <c r="J731" s="302"/>
    </row>
    <row r="732">
      <c r="B732" s="308"/>
      <c r="C732" s="252"/>
      <c r="D732" s="822"/>
      <c r="F732" s="309"/>
      <c r="J732" s="302"/>
    </row>
    <row r="733">
      <c r="B733" s="308"/>
      <c r="C733" s="252"/>
      <c r="D733" s="822"/>
      <c r="F733" s="309"/>
      <c r="J733" s="302"/>
    </row>
    <row r="734">
      <c r="B734" s="308"/>
      <c r="C734" s="252"/>
      <c r="D734" s="822"/>
      <c r="F734" s="309"/>
      <c r="J734" s="302"/>
    </row>
    <row r="735">
      <c r="B735" s="308"/>
      <c r="C735" s="252"/>
      <c r="D735" s="822"/>
      <c r="F735" s="309"/>
      <c r="J735" s="302"/>
    </row>
    <row r="736">
      <c r="B736" s="308"/>
      <c r="C736" s="252"/>
      <c r="D736" s="822"/>
      <c r="F736" s="309"/>
      <c r="J736" s="302"/>
    </row>
    <row r="737">
      <c r="B737" s="308"/>
      <c r="C737" s="252"/>
      <c r="D737" s="822"/>
      <c r="F737" s="309"/>
      <c r="J737" s="302"/>
    </row>
    <row r="738">
      <c r="B738" s="308"/>
      <c r="C738" s="252"/>
      <c r="D738" s="822"/>
      <c r="F738" s="309"/>
      <c r="J738" s="302"/>
    </row>
    <row r="739">
      <c r="B739" s="308"/>
      <c r="C739" s="252"/>
      <c r="D739" s="822"/>
      <c r="F739" s="309"/>
      <c r="J739" s="302"/>
    </row>
    <row r="740">
      <c r="B740" s="308"/>
      <c r="C740" s="252"/>
      <c r="D740" s="822"/>
      <c r="F740" s="309"/>
      <c r="J740" s="302"/>
    </row>
    <row r="741">
      <c r="B741" s="308"/>
      <c r="C741" s="252"/>
      <c r="D741" s="822"/>
      <c r="F741" s="309"/>
      <c r="J741" s="302"/>
    </row>
    <row r="742">
      <c r="B742" s="308"/>
      <c r="C742" s="252"/>
      <c r="D742" s="822"/>
      <c r="F742" s="309"/>
      <c r="J742" s="302"/>
    </row>
    <row r="743">
      <c r="B743" s="308"/>
      <c r="C743" s="252"/>
      <c r="D743" s="822"/>
      <c r="F743" s="309"/>
      <c r="J743" s="302"/>
    </row>
  </sheetData>
  <mergeCells count="32">
    <mergeCell ref="G1:I1"/>
    <mergeCell ref="A2:A13"/>
    <mergeCell ref="A14:A26"/>
    <mergeCell ref="A27:A39"/>
    <mergeCell ref="A40:A51"/>
    <mergeCell ref="A54:A63"/>
    <mergeCell ref="A64:A77"/>
    <mergeCell ref="A78:A89"/>
    <mergeCell ref="A90:A105"/>
    <mergeCell ref="A106:A119"/>
    <mergeCell ref="A120:A137"/>
    <mergeCell ref="A138:A152"/>
    <mergeCell ref="A153:A167"/>
    <mergeCell ref="A168:A177"/>
    <mergeCell ref="A178:A192"/>
    <mergeCell ref="A193:A208"/>
    <mergeCell ref="A209:A223"/>
    <mergeCell ref="A224:A235"/>
    <mergeCell ref="A236:A250"/>
    <mergeCell ref="A251:A264"/>
    <mergeCell ref="A265:A278"/>
    <mergeCell ref="A385:A395"/>
    <mergeCell ref="A396:A407"/>
    <mergeCell ref="A415:A424"/>
    <mergeCell ref="A425:A434"/>
    <mergeCell ref="A279:A291"/>
    <mergeCell ref="A292:A305"/>
    <mergeCell ref="A306:A320"/>
    <mergeCell ref="A321:A335"/>
    <mergeCell ref="A336:A348"/>
    <mergeCell ref="A349:A366"/>
    <mergeCell ref="A367:A3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6"/>
      <c r="I1" s="637"/>
      <c r="J1" s="413" t="s">
        <v>2782</v>
      </c>
    </row>
    <row r="2">
      <c r="A2" s="816">
        <v>1.0</v>
      </c>
      <c r="B2" s="247">
        <v>10165.0</v>
      </c>
      <c r="C2" s="263"/>
      <c r="D2" s="824"/>
      <c r="E2" s="242"/>
      <c r="F2" s="243"/>
      <c r="G2" s="244" t="s">
        <v>2755</v>
      </c>
      <c r="H2" s="244"/>
      <c r="I2" s="244"/>
      <c r="J2" s="307"/>
    </row>
    <row r="3">
      <c r="A3" s="265"/>
      <c r="B3" s="247"/>
      <c r="C3" s="248"/>
      <c r="D3" s="331"/>
      <c r="F3" s="250">
        <v>340.0</v>
      </c>
      <c r="G3" s="2" t="s">
        <v>63</v>
      </c>
      <c r="J3" s="251"/>
    </row>
    <row r="4">
      <c r="A4" s="265"/>
      <c r="B4" s="247"/>
      <c r="C4" s="252"/>
      <c r="D4" s="331"/>
      <c r="F4" s="250">
        <v>5233.11</v>
      </c>
      <c r="G4" s="254" t="s">
        <v>58</v>
      </c>
      <c r="H4" s="269"/>
      <c r="I4" s="269"/>
      <c r="J4" s="251"/>
    </row>
    <row r="5">
      <c r="A5" s="265"/>
      <c r="B5" s="247">
        <v>12180.0</v>
      </c>
      <c r="C5" s="252"/>
      <c r="D5" s="822"/>
      <c r="F5" s="250"/>
      <c r="G5" s="254" t="s">
        <v>662</v>
      </c>
      <c r="H5" s="269"/>
      <c r="I5" s="269"/>
      <c r="J5" s="251"/>
    </row>
    <row r="6">
      <c r="A6" s="265"/>
      <c r="B6" s="247"/>
      <c r="C6" s="248"/>
      <c r="D6" s="331"/>
      <c r="F6" s="250"/>
      <c r="G6" s="254"/>
      <c r="H6" s="269"/>
      <c r="I6" s="269"/>
      <c r="J6" s="251"/>
    </row>
    <row r="7">
      <c r="A7" s="265"/>
      <c r="B7" s="247"/>
      <c r="C7" s="252"/>
      <c r="D7" s="822"/>
      <c r="F7" s="250"/>
      <c r="G7" s="254"/>
      <c r="H7" s="269"/>
      <c r="I7" s="269"/>
      <c r="J7" s="267"/>
    </row>
    <row r="8">
      <c r="A8" s="265"/>
      <c r="B8" s="268"/>
      <c r="C8" s="252"/>
      <c r="D8" s="822"/>
      <c r="F8" s="250"/>
      <c r="G8" s="254"/>
      <c r="H8" s="269"/>
      <c r="I8" s="269"/>
      <c r="J8" s="267"/>
    </row>
    <row r="9">
      <c r="A9" s="265"/>
      <c r="B9" s="247"/>
      <c r="C9" s="252"/>
      <c r="D9" s="822"/>
      <c r="F9" s="250"/>
      <c r="G9" s="254"/>
      <c r="H9" s="269"/>
      <c r="I9" s="269"/>
      <c r="J9" s="251"/>
    </row>
    <row r="10">
      <c r="A10" s="265"/>
      <c r="B10" s="268"/>
      <c r="C10" s="252"/>
      <c r="D10" s="822"/>
      <c r="F10" s="250"/>
      <c r="G10" s="254"/>
      <c r="H10" s="269"/>
      <c r="I10" s="269"/>
      <c r="J10" s="251"/>
    </row>
    <row r="11">
      <c r="A11" s="265"/>
      <c r="B11" s="278"/>
      <c r="C11" s="252"/>
      <c r="D11" s="822"/>
      <c r="F11" s="250"/>
      <c r="G11" s="254"/>
      <c r="H11" s="269"/>
      <c r="I11" s="269"/>
      <c r="J11" s="251"/>
    </row>
    <row r="12">
      <c r="A12" s="265"/>
      <c r="B12" s="278"/>
      <c r="C12" s="252"/>
      <c r="D12" s="822"/>
      <c r="F12" s="250"/>
      <c r="G12" s="254"/>
      <c r="H12" s="269"/>
      <c r="I12" s="269"/>
      <c r="J12" s="251"/>
    </row>
    <row r="13">
      <c r="A13" s="270"/>
      <c r="B13" s="271"/>
      <c r="C13" s="272"/>
      <c r="D13" s="823"/>
      <c r="E13" s="18"/>
      <c r="F13" s="259"/>
      <c r="G13" s="260"/>
      <c r="H13" s="275"/>
      <c r="I13" s="275"/>
      <c r="J13" s="261"/>
    </row>
    <row r="14">
      <c r="A14" s="816">
        <v>2.0</v>
      </c>
      <c r="B14" s="247">
        <v>8400.0</v>
      </c>
      <c r="C14" s="263"/>
      <c r="D14" s="821"/>
      <c r="E14" s="242"/>
      <c r="F14" s="243"/>
      <c r="G14" s="276" t="s">
        <v>2516</v>
      </c>
      <c r="H14" s="276"/>
      <c r="I14" s="276"/>
      <c r="J14" s="307"/>
    </row>
    <row r="15">
      <c r="A15" s="265"/>
      <c r="B15" s="247">
        <v>11600.0</v>
      </c>
      <c r="C15" s="248"/>
      <c r="D15" s="822"/>
      <c r="F15" s="250"/>
      <c r="G15" s="254" t="s">
        <v>459</v>
      </c>
      <c r="H15" s="269"/>
      <c r="I15" s="269"/>
      <c r="J15" s="251"/>
    </row>
    <row r="16">
      <c r="A16" s="265"/>
      <c r="B16" s="247"/>
      <c r="C16" s="248"/>
      <c r="D16" s="331"/>
      <c r="F16" s="250">
        <v>4800.0</v>
      </c>
      <c r="G16" s="254" t="s">
        <v>120</v>
      </c>
      <c r="H16" s="269"/>
      <c r="I16" s="269"/>
      <c r="J16" s="251"/>
    </row>
    <row r="17">
      <c r="A17" s="265"/>
      <c r="B17" s="247"/>
      <c r="C17" s="252"/>
      <c r="D17" s="331"/>
      <c r="F17" s="250">
        <v>1209.0</v>
      </c>
      <c r="G17" s="254" t="s">
        <v>63</v>
      </c>
      <c r="H17" s="269"/>
      <c r="I17" s="269"/>
      <c r="J17" s="251"/>
    </row>
    <row r="18">
      <c r="A18" s="265"/>
      <c r="B18" s="247"/>
      <c r="C18" s="252"/>
      <c r="D18" s="331"/>
      <c r="F18" s="250">
        <v>250.0</v>
      </c>
      <c r="G18" s="254" t="s">
        <v>2898</v>
      </c>
      <c r="H18" s="269"/>
      <c r="I18" s="269"/>
      <c r="J18" s="251"/>
    </row>
    <row r="19">
      <c r="A19" s="265"/>
      <c r="B19" s="247"/>
      <c r="C19" s="248"/>
      <c r="D19" s="331"/>
      <c r="F19" s="250">
        <v>158.0</v>
      </c>
      <c r="G19" s="254" t="s">
        <v>2899</v>
      </c>
      <c r="H19" s="269"/>
      <c r="I19" s="269"/>
      <c r="J19" s="251"/>
    </row>
    <row r="20">
      <c r="A20" s="265"/>
      <c r="B20" s="247"/>
      <c r="C20" s="252"/>
      <c r="D20" s="822"/>
      <c r="F20" s="250"/>
      <c r="G20" s="254"/>
      <c r="H20" s="269"/>
      <c r="I20" s="269"/>
      <c r="J20" s="251"/>
    </row>
    <row r="21">
      <c r="A21" s="265"/>
      <c r="B21" s="247"/>
      <c r="C21" s="252"/>
      <c r="D21" s="331"/>
      <c r="F21" s="250"/>
      <c r="G21" s="254"/>
      <c r="H21" s="269"/>
      <c r="I21" s="269"/>
      <c r="J21" s="251"/>
    </row>
    <row r="22">
      <c r="A22" s="265"/>
      <c r="B22" s="247"/>
      <c r="C22" s="252"/>
      <c r="D22" s="822"/>
      <c r="F22" s="250"/>
      <c r="G22" s="254"/>
      <c r="H22" s="254"/>
      <c r="I22" s="269"/>
      <c r="J22" s="251"/>
    </row>
    <row r="23">
      <c r="A23" s="265"/>
      <c r="B23" s="278"/>
      <c r="C23" s="252"/>
      <c r="D23" s="822"/>
      <c r="F23" s="250"/>
      <c r="G23" s="254"/>
      <c r="H23" s="254"/>
      <c r="I23" s="269"/>
      <c r="J23" s="251"/>
    </row>
    <row r="24">
      <c r="A24" s="265"/>
      <c r="B24" s="278"/>
      <c r="C24" s="252"/>
      <c r="D24" s="822"/>
      <c r="F24" s="250"/>
      <c r="G24" s="269"/>
      <c r="H24" s="269"/>
      <c r="I24" s="269"/>
      <c r="J24" s="251"/>
    </row>
    <row r="25">
      <c r="A25" s="265"/>
      <c r="B25" s="278"/>
      <c r="C25" s="252"/>
      <c r="D25" s="822"/>
      <c r="F25" s="250"/>
      <c r="G25" s="269"/>
      <c r="H25" s="269"/>
      <c r="I25" s="269"/>
      <c r="J25" s="251"/>
    </row>
    <row r="26">
      <c r="A26" s="270"/>
      <c r="B26" s="271"/>
      <c r="C26" s="272"/>
      <c r="D26" s="823"/>
      <c r="E26" s="18"/>
      <c r="F26" s="274"/>
      <c r="G26" s="275"/>
      <c r="H26" s="275"/>
      <c r="I26" s="275"/>
      <c r="J26" s="261"/>
    </row>
    <row r="27">
      <c r="A27" s="262">
        <v>3.0</v>
      </c>
      <c r="B27" s="239"/>
      <c r="C27" s="263"/>
      <c r="D27" s="824"/>
      <c r="E27" s="242"/>
      <c r="F27" s="250">
        <v>1612.0</v>
      </c>
      <c r="G27" s="276" t="s">
        <v>63</v>
      </c>
      <c r="H27" s="276"/>
      <c r="I27" s="276"/>
      <c r="J27" s="307"/>
    </row>
    <row r="28">
      <c r="A28" s="265"/>
      <c r="B28" s="247"/>
      <c r="C28" s="248"/>
      <c r="D28" s="822"/>
      <c r="F28" s="266">
        <v>8300.0</v>
      </c>
      <c r="G28" s="254" t="s">
        <v>2662</v>
      </c>
      <c r="H28" s="269"/>
      <c r="I28" s="269"/>
      <c r="J28" s="251"/>
    </row>
    <row r="29">
      <c r="A29" s="265"/>
      <c r="B29" s="247"/>
      <c r="C29" s="248"/>
      <c r="D29" s="822"/>
      <c r="F29" s="250">
        <v>16800.0</v>
      </c>
      <c r="G29" s="254" t="s">
        <v>87</v>
      </c>
      <c r="H29" s="269"/>
      <c r="I29" s="269"/>
      <c r="J29" s="251"/>
    </row>
    <row r="30">
      <c r="A30" s="265"/>
      <c r="B30" s="247">
        <v>5290.0</v>
      </c>
      <c r="C30" s="252"/>
      <c r="D30" s="822"/>
      <c r="F30" s="250"/>
      <c r="G30" s="254" t="s">
        <v>75</v>
      </c>
      <c r="H30" s="269"/>
      <c r="I30" s="269"/>
      <c r="J30" s="251"/>
    </row>
    <row r="31">
      <c r="A31" s="265"/>
      <c r="B31" s="247"/>
      <c r="C31" s="248">
        <v>13153.0</v>
      </c>
      <c r="D31" s="822"/>
      <c r="F31" s="250"/>
      <c r="G31" s="254" t="s">
        <v>84</v>
      </c>
      <c r="H31" s="269"/>
      <c r="I31" s="269"/>
      <c r="J31" s="251"/>
    </row>
    <row r="32">
      <c r="A32" s="265"/>
      <c r="B32" s="247">
        <v>4360.0</v>
      </c>
      <c r="C32" s="252"/>
      <c r="D32" s="822"/>
      <c r="F32" s="250"/>
      <c r="G32" s="254" t="s">
        <v>114</v>
      </c>
      <c r="H32" s="269"/>
      <c r="I32" s="269"/>
      <c r="J32" s="251"/>
    </row>
    <row r="33">
      <c r="A33" s="265"/>
      <c r="B33" s="247"/>
      <c r="C33" s="252"/>
      <c r="D33" s="822"/>
      <c r="F33" s="250">
        <v>3500.0</v>
      </c>
      <c r="G33" s="254" t="s">
        <v>2900</v>
      </c>
      <c r="H33" s="269"/>
      <c r="I33" s="269"/>
      <c r="J33" s="251"/>
    </row>
    <row r="34">
      <c r="A34" s="265"/>
      <c r="B34" s="247"/>
      <c r="C34" s="252"/>
      <c r="D34" s="331"/>
      <c r="F34" s="250">
        <v>1000.0</v>
      </c>
      <c r="G34" s="254" t="s">
        <v>102</v>
      </c>
      <c r="H34" s="269"/>
      <c r="I34" s="269"/>
      <c r="J34" s="267"/>
    </row>
    <row r="35">
      <c r="A35" s="265"/>
      <c r="B35" s="268"/>
      <c r="C35" s="252"/>
      <c r="D35" s="822"/>
      <c r="F35" s="250">
        <v>790.0</v>
      </c>
      <c r="G35" s="254" t="s">
        <v>345</v>
      </c>
      <c r="H35" s="269"/>
      <c r="I35" s="269"/>
      <c r="J35" s="267"/>
    </row>
    <row r="36">
      <c r="A36" s="265"/>
      <c r="B36" s="247">
        <v>4000.0</v>
      </c>
      <c r="C36" s="252"/>
      <c r="D36" s="822"/>
      <c r="F36" s="250"/>
      <c r="G36" s="254" t="s">
        <v>2901</v>
      </c>
      <c r="H36" s="269"/>
      <c r="I36" s="269"/>
      <c r="J36" s="251"/>
    </row>
    <row r="37">
      <c r="A37" s="265"/>
      <c r="B37" s="247">
        <v>3350.0</v>
      </c>
      <c r="C37" s="252"/>
      <c r="D37" s="822"/>
      <c r="F37" s="250"/>
      <c r="G37" s="254" t="s">
        <v>2902</v>
      </c>
      <c r="H37" s="269"/>
      <c r="I37" s="269"/>
      <c r="J37" s="251"/>
    </row>
    <row r="38">
      <c r="A38" s="265"/>
      <c r="B38" s="268"/>
      <c r="C38" s="252"/>
      <c r="D38" s="822"/>
      <c r="F38" s="250"/>
      <c r="G38" s="269"/>
      <c r="H38" s="269"/>
      <c r="I38" s="269"/>
      <c r="J38" s="251"/>
    </row>
    <row r="39">
      <c r="A39" s="270"/>
      <c r="B39" s="271"/>
      <c r="C39" s="272"/>
      <c r="D39" s="823"/>
      <c r="E39" s="18"/>
      <c r="F39" s="274"/>
      <c r="G39" s="275"/>
      <c r="H39" s="275"/>
      <c r="I39" s="275"/>
      <c r="J39" s="261"/>
    </row>
    <row r="40">
      <c r="A40" s="262">
        <v>4.0</v>
      </c>
      <c r="B40" s="239"/>
      <c r="C40" s="240"/>
      <c r="D40" s="824"/>
      <c r="E40" s="242"/>
      <c r="F40" s="243">
        <v>1000.0</v>
      </c>
      <c r="G40" s="276" t="s">
        <v>344</v>
      </c>
      <c r="H40" s="276"/>
      <c r="I40" s="276"/>
      <c r="J40" s="307"/>
    </row>
    <row r="41">
      <c r="A41" s="265"/>
      <c r="B41" s="247"/>
      <c r="C41" s="252"/>
      <c r="D41" s="822"/>
      <c r="F41" s="250">
        <v>261.0</v>
      </c>
      <c r="G41" s="254" t="s">
        <v>2903</v>
      </c>
      <c r="H41" s="269"/>
      <c r="I41" s="269"/>
      <c r="J41" s="251"/>
    </row>
    <row r="42">
      <c r="A42" s="265"/>
      <c r="B42" s="247">
        <v>5233.11</v>
      </c>
      <c r="C42" s="248"/>
      <c r="D42" s="331"/>
      <c r="F42" s="250"/>
      <c r="G42" s="254" t="s">
        <v>82</v>
      </c>
      <c r="H42" s="269"/>
      <c r="I42" s="269"/>
      <c r="J42" s="251"/>
    </row>
    <row r="43">
      <c r="A43" s="265"/>
      <c r="B43" s="247"/>
      <c r="C43" s="252"/>
      <c r="D43" s="822"/>
      <c r="F43" s="250">
        <v>1200.0</v>
      </c>
      <c r="G43" s="254" t="s">
        <v>85</v>
      </c>
      <c r="H43" s="269"/>
      <c r="I43" s="269"/>
      <c r="J43" s="251"/>
    </row>
    <row r="44">
      <c r="A44" s="265"/>
      <c r="B44" s="247"/>
      <c r="C44" s="252"/>
      <c r="D44" s="331"/>
      <c r="F44" s="250">
        <v>2000.0</v>
      </c>
      <c r="G44" s="254" t="s">
        <v>101</v>
      </c>
      <c r="H44" s="269"/>
      <c r="I44" s="269"/>
      <c r="J44" s="251"/>
    </row>
    <row r="45">
      <c r="A45" s="265"/>
      <c r="B45" s="247"/>
      <c r="C45" s="252"/>
      <c r="D45" s="822"/>
      <c r="F45" s="250"/>
      <c r="G45" s="254"/>
      <c r="H45" s="269"/>
      <c r="I45" s="269"/>
      <c r="J45" s="267"/>
    </row>
    <row r="46">
      <c r="A46" s="265"/>
      <c r="B46" s="247"/>
      <c r="C46" s="248"/>
      <c r="D46" s="822"/>
      <c r="F46" s="250"/>
      <c r="G46" s="254"/>
      <c r="H46" s="269"/>
      <c r="I46" s="269"/>
      <c r="J46" s="251"/>
    </row>
    <row r="47">
      <c r="A47" s="265"/>
      <c r="B47" s="247"/>
      <c r="C47" s="252"/>
      <c r="D47" s="822"/>
      <c r="F47" s="250"/>
      <c r="G47" s="254"/>
      <c r="H47" s="269"/>
      <c r="I47" s="269"/>
      <c r="J47" s="251"/>
    </row>
    <row r="48">
      <c r="A48" s="265"/>
      <c r="B48" s="268"/>
      <c r="C48" s="248"/>
      <c r="D48" s="822"/>
      <c r="F48" s="250"/>
      <c r="G48" s="269"/>
      <c r="H48" s="269"/>
      <c r="I48" s="269"/>
      <c r="J48" s="251"/>
    </row>
    <row r="49">
      <c r="A49" s="265"/>
      <c r="B49" s="278"/>
      <c r="C49" s="252"/>
      <c r="D49" s="822"/>
      <c r="F49" s="250"/>
      <c r="G49" s="269"/>
      <c r="H49" s="269"/>
      <c r="I49" s="269"/>
      <c r="J49" s="251"/>
    </row>
    <row r="50">
      <c r="A50" s="265"/>
      <c r="B50" s="278"/>
      <c r="C50" s="252"/>
      <c r="D50" s="822"/>
      <c r="F50" s="250"/>
      <c r="G50" s="269"/>
      <c r="H50" s="269"/>
      <c r="I50" s="269"/>
      <c r="J50" s="251"/>
    </row>
    <row r="51">
      <c r="A51" s="270"/>
      <c r="B51" s="271"/>
      <c r="C51" s="272"/>
      <c r="D51" s="823"/>
      <c r="E51" s="18"/>
      <c r="F51" s="259"/>
      <c r="G51" s="260"/>
      <c r="H51" s="260"/>
      <c r="I51" s="275"/>
      <c r="J51" s="261"/>
    </row>
    <row r="52">
      <c r="A52" s="262"/>
      <c r="B52" s="278"/>
      <c r="C52" s="252"/>
      <c r="D52" s="822"/>
      <c r="F52" s="250">
        <f>244+573+769+769</f>
        <v>2355</v>
      </c>
      <c r="G52" s="2" t="s">
        <v>345</v>
      </c>
      <c r="H52" s="269"/>
      <c r="I52" s="269"/>
      <c r="J52" s="251"/>
    </row>
    <row r="53">
      <c r="A53" s="280"/>
      <c r="B53" s="278"/>
      <c r="C53" s="252"/>
      <c r="D53" s="822"/>
      <c r="F53" s="250">
        <v>6000.0</v>
      </c>
      <c r="G53" s="254" t="s">
        <v>2760</v>
      </c>
      <c r="H53" s="269"/>
      <c r="I53" s="269"/>
      <c r="J53" s="251"/>
    </row>
    <row r="54">
      <c r="A54" s="280">
        <v>5.0</v>
      </c>
      <c r="B54" s="247"/>
      <c r="C54" s="248"/>
      <c r="D54" s="822"/>
      <c r="F54" s="250"/>
      <c r="G54" s="254"/>
      <c r="H54" s="254"/>
      <c r="I54" s="254"/>
      <c r="J54" s="251"/>
    </row>
    <row r="55">
      <c r="A55" s="265"/>
      <c r="B55" s="247"/>
      <c r="C55" s="252"/>
      <c r="D55" s="822"/>
      <c r="F55" s="250"/>
      <c r="G55" s="254"/>
      <c r="H55" s="269"/>
      <c r="I55" s="269"/>
      <c r="J55" s="251"/>
    </row>
    <row r="56">
      <c r="A56" s="265"/>
      <c r="B56" s="247"/>
      <c r="C56" s="248"/>
      <c r="D56" s="331"/>
      <c r="F56" s="250"/>
      <c r="G56" s="254"/>
      <c r="H56" s="269"/>
      <c r="I56" s="269"/>
      <c r="J56" s="251"/>
    </row>
    <row r="57">
      <c r="A57" s="265"/>
      <c r="B57" s="247"/>
      <c r="C57" s="252"/>
      <c r="D57" s="822"/>
      <c r="F57" s="250"/>
      <c r="G57" s="254"/>
      <c r="H57" s="269"/>
      <c r="I57" s="269"/>
      <c r="J57" s="251"/>
    </row>
    <row r="58">
      <c r="A58" s="265"/>
      <c r="B58" s="247"/>
      <c r="C58" s="252"/>
      <c r="D58" s="331"/>
      <c r="F58" s="250"/>
      <c r="G58" s="254"/>
      <c r="H58" s="269"/>
      <c r="I58" s="269"/>
      <c r="J58" s="267"/>
    </row>
    <row r="59">
      <c r="A59" s="265"/>
      <c r="B59" s="247"/>
      <c r="C59" s="252"/>
      <c r="D59" s="822"/>
      <c r="F59" s="250"/>
      <c r="G59" s="254"/>
      <c r="H59" s="269"/>
      <c r="I59" s="269"/>
      <c r="J59" s="251"/>
    </row>
    <row r="60">
      <c r="A60" s="265"/>
      <c r="B60" s="247"/>
      <c r="C60" s="248"/>
      <c r="D60" s="822"/>
      <c r="F60" s="250"/>
      <c r="G60" s="269"/>
      <c r="H60" s="269"/>
      <c r="I60" s="269"/>
      <c r="J60" s="251"/>
    </row>
    <row r="61">
      <c r="A61" s="265"/>
      <c r="B61" s="268"/>
      <c r="C61" s="252"/>
      <c r="D61" s="822"/>
      <c r="F61" s="250"/>
      <c r="G61" s="269"/>
      <c r="H61" s="269"/>
      <c r="I61" s="269"/>
      <c r="J61" s="251"/>
    </row>
    <row r="62">
      <c r="A62" s="265"/>
      <c r="B62" s="268"/>
      <c r="C62" s="252"/>
      <c r="D62" s="822"/>
      <c r="F62" s="250"/>
      <c r="G62" s="269"/>
      <c r="H62" s="269"/>
      <c r="I62" s="269"/>
      <c r="J62" s="251"/>
    </row>
    <row r="63">
      <c r="A63" s="270"/>
      <c r="B63" s="271"/>
      <c r="C63" s="272"/>
      <c r="D63" s="823"/>
      <c r="E63" s="18"/>
      <c r="F63" s="274"/>
      <c r="G63" s="275"/>
      <c r="H63" s="275"/>
      <c r="I63" s="275"/>
      <c r="J63" s="261"/>
    </row>
    <row r="64">
      <c r="A64" s="262" t="s">
        <v>680</v>
      </c>
      <c r="B64" s="239">
        <v>5040.0</v>
      </c>
      <c r="C64" s="263"/>
      <c r="D64" s="824"/>
      <c r="E64" s="242"/>
      <c r="F64" s="243"/>
      <c r="G64" s="276" t="s">
        <v>1844</v>
      </c>
      <c r="H64" s="276"/>
      <c r="I64" s="276"/>
      <c r="J64" s="307"/>
    </row>
    <row r="65">
      <c r="A65" s="265"/>
      <c r="B65" s="247"/>
      <c r="C65" s="252"/>
      <c r="D65" s="822"/>
      <c r="F65" s="250">
        <v>16800.0</v>
      </c>
      <c r="G65" s="254" t="s">
        <v>64</v>
      </c>
      <c r="H65" s="269"/>
      <c r="I65" s="269"/>
      <c r="J65" s="251"/>
    </row>
    <row r="66">
      <c r="A66" s="265"/>
      <c r="B66" s="247"/>
      <c r="C66" s="252"/>
      <c r="D66" s="822"/>
      <c r="F66" s="250">
        <v>1045.0</v>
      </c>
      <c r="G66" s="254" t="s">
        <v>63</v>
      </c>
      <c r="H66" s="269"/>
      <c r="I66" s="269"/>
      <c r="J66" s="251"/>
    </row>
    <row r="67">
      <c r="A67" s="265"/>
      <c r="B67" s="247">
        <v>244.0</v>
      </c>
      <c r="C67" s="252"/>
      <c r="D67" s="331"/>
      <c r="F67" s="250"/>
      <c r="G67" s="254" t="s">
        <v>1676</v>
      </c>
      <c r="H67" s="269"/>
      <c r="I67" s="269"/>
      <c r="J67" s="267"/>
    </row>
    <row r="68">
      <c r="A68" s="265"/>
      <c r="B68" s="247"/>
      <c r="C68" s="248"/>
      <c r="D68" s="822"/>
      <c r="F68" s="250"/>
      <c r="G68" s="254"/>
      <c r="H68" s="269"/>
      <c r="I68" s="269"/>
      <c r="J68" s="251"/>
    </row>
    <row r="69">
      <c r="A69" s="265"/>
      <c r="B69" s="247"/>
      <c r="C69" s="252"/>
      <c r="D69" s="822"/>
      <c r="F69" s="250"/>
      <c r="G69" s="254"/>
      <c r="H69" s="269"/>
      <c r="I69" s="269"/>
      <c r="J69" s="251"/>
    </row>
    <row r="70">
      <c r="A70" s="265"/>
      <c r="B70" s="247"/>
      <c r="C70" s="252"/>
      <c r="D70" s="822"/>
      <c r="F70" s="250"/>
      <c r="G70" s="254"/>
      <c r="H70" s="269"/>
      <c r="I70" s="269"/>
      <c r="J70" s="251"/>
    </row>
    <row r="71">
      <c r="A71" s="265"/>
      <c r="B71" s="247"/>
      <c r="C71" s="252"/>
      <c r="D71" s="822"/>
      <c r="F71" s="250"/>
      <c r="G71" s="254"/>
      <c r="H71" s="269"/>
      <c r="I71" s="269"/>
      <c r="J71" s="251"/>
    </row>
    <row r="72">
      <c r="A72" s="265"/>
      <c r="B72" s="268"/>
      <c r="C72" s="248"/>
      <c r="D72" s="822"/>
      <c r="F72" s="250"/>
      <c r="G72" s="254"/>
      <c r="H72" s="269"/>
      <c r="I72" s="269"/>
      <c r="J72" s="251"/>
    </row>
    <row r="73">
      <c r="A73" s="265"/>
      <c r="B73" s="268"/>
      <c r="C73" s="248"/>
      <c r="D73" s="331"/>
      <c r="F73" s="250"/>
      <c r="G73" s="254"/>
      <c r="H73" s="269"/>
      <c r="I73" s="269"/>
      <c r="J73" s="251"/>
    </row>
    <row r="74">
      <c r="A74" s="265"/>
      <c r="B74" s="268"/>
      <c r="C74" s="248"/>
      <c r="D74" s="331"/>
      <c r="F74" s="250"/>
      <c r="G74" s="254"/>
      <c r="H74" s="269"/>
      <c r="I74" s="269"/>
      <c r="J74" s="251"/>
    </row>
    <row r="75">
      <c r="A75" s="265"/>
      <c r="B75" s="268"/>
      <c r="C75" s="248"/>
      <c r="D75" s="331"/>
      <c r="F75" s="250"/>
      <c r="G75" s="269"/>
      <c r="H75" s="269"/>
      <c r="I75" s="269"/>
      <c r="J75" s="251"/>
    </row>
    <row r="76">
      <c r="A76" s="265"/>
      <c r="B76" s="278"/>
      <c r="C76" s="252"/>
      <c r="D76" s="822"/>
      <c r="F76" s="250"/>
      <c r="G76" s="269"/>
      <c r="H76" s="269"/>
      <c r="I76" s="269"/>
      <c r="J76" s="251"/>
    </row>
    <row r="77">
      <c r="A77" s="270"/>
      <c r="B77" s="271"/>
      <c r="C77" s="272"/>
      <c r="D77" s="823"/>
      <c r="E77" s="18"/>
      <c r="F77" s="274"/>
      <c r="G77" s="275"/>
      <c r="H77" s="275"/>
      <c r="I77" s="275"/>
      <c r="J77" s="261"/>
    </row>
    <row r="78">
      <c r="A78" s="262" t="s">
        <v>686</v>
      </c>
      <c r="B78" s="239">
        <v>5233.11</v>
      </c>
      <c r="C78" s="263"/>
      <c r="D78" s="824"/>
      <c r="E78" s="242"/>
      <c r="F78" s="243"/>
      <c r="G78" s="276" t="s">
        <v>82</v>
      </c>
      <c r="H78" s="276"/>
      <c r="I78" s="276"/>
      <c r="J78" s="307"/>
    </row>
    <row r="79">
      <c r="A79" s="265"/>
      <c r="B79" s="268"/>
      <c r="C79" s="248"/>
      <c r="D79" s="822"/>
      <c r="F79" s="250">
        <f>317+496.5+498</f>
        <v>1311.5</v>
      </c>
      <c r="G79" s="254" t="s">
        <v>1750</v>
      </c>
      <c r="H79" s="269"/>
      <c r="I79" s="269"/>
      <c r="J79" s="251"/>
    </row>
    <row r="80">
      <c r="A80" s="265"/>
      <c r="B80" s="247">
        <v>5504.29</v>
      </c>
      <c r="C80" s="252"/>
      <c r="D80" s="822"/>
      <c r="F80" s="250"/>
      <c r="G80" s="254" t="s">
        <v>91</v>
      </c>
      <c r="H80" s="269"/>
      <c r="I80" s="828"/>
      <c r="J80" s="267"/>
    </row>
    <row r="81">
      <c r="A81" s="265"/>
      <c r="B81" s="247">
        <v>5825.85</v>
      </c>
      <c r="C81" s="248"/>
      <c r="D81" s="822"/>
      <c r="F81" s="250"/>
      <c r="G81" s="254" t="s">
        <v>73</v>
      </c>
      <c r="H81" s="269"/>
      <c r="I81" s="269"/>
      <c r="J81" s="251"/>
    </row>
    <row r="82">
      <c r="A82" s="265"/>
      <c r="B82" s="247">
        <f>15533.85+4004.18</f>
        <v>19538.03</v>
      </c>
      <c r="C82" s="248"/>
      <c r="D82" s="822"/>
      <c r="F82" s="250"/>
      <c r="G82" s="254" t="s">
        <v>74</v>
      </c>
      <c r="H82" s="269"/>
      <c r="I82" s="269"/>
      <c r="J82" s="251"/>
    </row>
    <row r="83">
      <c r="A83" s="265"/>
      <c r="B83" s="247">
        <v>17570.0</v>
      </c>
      <c r="C83" s="248"/>
      <c r="D83" s="822"/>
      <c r="F83" s="250"/>
      <c r="G83" s="254" t="s">
        <v>75</v>
      </c>
      <c r="H83" s="269"/>
      <c r="I83" s="269"/>
      <c r="J83" s="251"/>
    </row>
    <row r="84">
      <c r="A84" s="265"/>
      <c r="B84" s="247">
        <v>1080.0</v>
      </c>
      <c r="C84" s="252"/>
      <c r="D84" s="822"/>
      <c r="F84" s="250"/>
      <c r="G84" s="254" t="s">
        <v>227</v>
      </c>
      <c r="H84" s="269"/>
      <c r="I84" s="269"/>
      <c r="J84" s="251"/>
    </row>
    <row r="85">
      <c r="A85" s="265"/>
      <c r="B85" s="247">
        <v>11600.0</v>
      </c>
      <c r="C85" s="252"/>
      <c r="D85" s="822"/>
      <c r="F85" s="250"/>
      <c r="G85" s="254" t="s">
        <v>103</v>
      </c>
      <c r="H85" s="269"/>
      <c r="I85" s="269"/>
      <c r="J85" s="251"/>
    </row>
    <row r="86">
      <c r="A86" s="265"/>
      <c r="B86" s="247"/>
      <c r="C86" s="252"/>
      <c r="D86" s="822"/>
      <c r="F86" s="250">
        <v>3540.0</v>
      </c>
      <c r="G86" s="254" t="s">
        <v>2904</v>
      </c>
      <c r="H86" s="254" t="s">
        <v>2905</v>
      </c>
      <c r="I86" s="269"/>
      <c r="J86" s="251"/>
    </row>
    <row r="87">
      <c r="A87" s="265"/>
      <c r="B87" s="278"/>
      <c r="C87" s="252"/>
      <c r="D87" s="822"/>
      <c r="F87" s="250"/>
      <c r="G87" s="269"/>
      <c r="H87" s="269"/>
      <c r="I87" s="269"/>
      <c r="J87" s="251"/>
    </row>
    <row r="88">
      <c r="A88" s="265"/>
      <c r="B88" s="278"/>
      <c r="C88" s="252"/>
      <c r="D88" s="822"/>
      <c r="F88" s="250"/>
      <c r="G88" s="269"/>
      <c r="H88" s="269"/>
      <c r="I88" s="269"/>
      <c r="J88" s="251"/>
    </row>
    <row r="89">
      <c r="A89" s="270"/>
      <c r="B89" s="271"/>
      <c r="C89" s="272"/>
      <c r="D89" s="823"/>
      <c r="E89" s="18"/>
      <c r="F89" s="259"/>
      <c r="G89" s="275"/>
      <c r="H89" s="275"/>
      <c r="I89" s="275"/>
      <c r="J89" s="261"/>
    </row>
    <row r="90">
      <c r="A90" s="262" t="s">
        <v>688</v>
      </c>
      <c r="B90" s="239">
        <v>5281.91</v>
      </c>
      <c r="C90" s="263"/>
      <c r="D90" s="824"/>
      <c r="E90" s="242"/>
      <c r="F90" s="243"/>
      <c r="G90" s="276" t="s">
        <v>114</v>
      </c>
      <c r="H90" s="276"/>
      <c r="I90" s="276"/>
      <c r="J90" s="307"/>
    </row>
    <row r="91">
      <c r="A91" s="265"/>
      <c r="B91" s="247"/>
      <c r="C91" s="248"/>
      <c r="D91" s="822"/>
      <c r="F91" s="250">
        <f>747+455</f>
        <v>1202</v>
      </c>
      <c r="G91" s="254" t="s">
        <v>97</v>
      </c>
      <c r="H91" s="269"/>
      <c r="I91" s="269"/>
      <c r="J91" s="251"/>
    </row>
    <row r="92">
      <c r="A92" s="265"/>
      <c r="B92" s="247">
        <v>1702.1</v>
      </c>
      <c r="C92" s="248"/>
      <c r="D92" s="822"/>
      <c r="F92" s="250"/>
      <c r="G92" s="254" t="s">
        <v>82</v>
      </c>
      <c r="H92" s="269"/>
      <c r="I92" s="269"/>
      <c r="J92" s="251"/>
    </row>
    <row r="93">
      <c r="A93" s="265"/>
      <c r="B93" s="247"/>
      <c r="C93" s="248">
        <v>19224.43</v>
      </c>
      <c r="D93" s="822"/>
      <c r="F93" s="250"/>
      <c r="G93" s="254" t="s">
        <v>84</v>
      </c>
      <c r="H93" s="269"/>
      <c r="I93" s="269"/>
      <c r="J93" s="251"/>
    </row>
    <row r="94">
      <c r="A94" s="265"/>
      <c r="B94" s="85">
        <v>9700.0</v>
      </c>
      <c r="C94" s="248"/>
      <c r="D94" s="822"/>
      <c r="F94" s="250"/>
      <c r="G94" s="254" t="s">
        <v>79</v>
      </c>
      <c r="H94" s="269"/>
      <c r="I94" s="269"/>
      <c r="J94" s="251"/>
    </row>
    <row r="95">
      <c r="A95" s="265"/>
      <c r="B95" s="281" t="s">
        <v>2906</v>
      </c>
      <c r="C95" s="252"/>
      <c r="D95" s="331"/>
      <c r="F95" s="266"/>
      <c r="G95" s="254" t="s">
        <v>1676</v>
      </c>
      <c r="H95" s="269"/>
      <c r="I95" s="269"/>
      <c r="J95" s="251"/>
    </row>
    <row r="96">
      <c r="A96" s="265"/>
      <c r="B96" s="281"/>
      <c r="C96" s="252"/>
      <c r="D96" s="331"/>
      <c r="F96" s="250"/>
      <c r="G96" s="254"/>
      <c r="H96" s="269"/>
      <c r="I96" s="269"/>
      <c r="J96" s="251"/>
    </row>
    <row r="97">
      <c r="A97" s="265"/>
      <c r="B97" s="247"/>
      <c r="C97" s="252"/>
      <c r="D97" s="331"/>
      <c r="F97" s="250"/>
      <c r="G97" s="254"/>
      <c r="H97" s="269"/>
      <c r="I97" s="269"/>
      <c r="J97" s="251"/>
    </row>
    <row r="98">
      <c r="A98" s="265"/>
      <c r="B98" s="247"/>
      <c r="C98" s="252"/>
      <c r="D98" s="822"/>
      <c r="F98" s="250"/>
      <c r="G98" s="254"/>
      <c r="H98" s="269"/>
      <c r="I98" s="269"/>
      <c r="J98" s="251"/>
    </row>
    <row r="99">
      <c r="A99" s="265"/>
      <c r="B99" s="247"/>
      <c r="C99" s="252"/>
      <c r="D99" s="331"/>
      <c r="F99" s="250"/>
      <c r="G99" s="269"/>
      <c r="H99" s="269"/>
      <c r="I99" s="269"/>
      <c r="J99" s="251"/>
    </row>
    <row r="100">
      <c r="A100" s="265"/>
      <c r="B100" s="268"/>
      <c r="C100" s="252"/>
      <c r="D100" s="822"/>
      <c r="F100" s="250"/>
      <c r="G100" s="269"/>
      <c r="H100" s="269"/>
      <c r="I100" s="269"/>
      <c r="J100" s="251"/>
    </row>
    <row r="101">
      <c r="A101" s="265"/>
      <c r="B101" s="247"/>
      <c r="C101" s="252"/>
      <c r="D101" s="822"/>
      <c r="F101" s="250"/>
      <c r="G101" s="269"/>
      <c r="H101" s="269"/>
      <c r="I101" s="269"/>
      <c r="J101" s="251"/>
    </row>
    <row r="102">
      <c r="A102" s="265"/>
      <c r="B102" s="277"/>
      <c r="C102" s="252"/>
      <c r="D102" s="822"/>
      <c r="F102" s="282"/>
      <c r="G102" s="269"/>
      <c r="H102" s="269"/>
      <c r="I102" s="269"/>
      <c r="J102" s="251"/>
    </row>
    <row r="103">
      <c r="A103" s="265"/>
      <c r="B103" s="278"/>
      <c r="C103" s="248"/>
      <c r="D103" s="822"/>
      <c r="F103" s="282"/>
      <c r="G103" s="269"/>
      <c r="H103" s="269"/>
      <c r="I103" s="269"/>
      <c r="J103" s="251"/>
    </row>
    <row r="104">
      <c r="A104" s="265"/>
      <c r="B104" s="278"/>
      <c r="C104" s="252"/>
      <c r="D104" s="822"/>
      <c r="F104" s="250"/>
      <c r="G104" s="269"/>
      <c r="H104" s="269"/>
      <c r="I104" s="269"/>
      <c r="J104" s="251"/>
    </row>
    <row r="105">
      <c r="A105" s="270"/>
      <c r="B105" s="271"/>
      <c r="C105" s="272"/>
      <c r="D105" s="823"/>
      <c r="E105" s="18"/>
      <c r="F105" s="259"/>
      <c r="G105" s="260"/>
      <c r="H105" s="260"/>
      <c r="I105" s="275"/>
      <c r="J105" s="261"/>
    </row>
    <row r="106">
      <c r="A106" s="262">
        <v>10.0</v>
      </c>
      <c r="B106" s="239"/>
      <c r="C106" s="263"/>
      <c r="D106" s="821"/>
      <c r="E106" s="242"/>
      <c r="F106" s="250">
        <v>3500.0</v>
      </c>
      <c r="G106" s="276" t="s">
        <v>651</v>
      </c>
      <c r="H106" s="276"/>
      <c r="I106" s="276"/>
      <c r="J106" s="307"/>
    </row>
    <row r="107">
      <c r="A107" s="265"/>
      <c r="B107" s="247"/>
      <c r="C107" s="248"/>
      <c r="D107" s="822"/>
      <c r="F107" s="250">
        <v>1500.0</v>
      </c>
      <c r="G107" s="254" t="s">
        <v>1676</v>
      </c>
      <c r="H107" s="254"/>
      <c r="I107" s="269"/>
      <c r="J107" s="251"/>
    </row>
    <row r="108">
      <c r="A108" s="265"/>
      <c r="B108" s="247"/>
      <c r="C108" s="248"/>
      <c r="D108" s="822"/>
      <c r="F108" s="250">
        <v>320.0</v>
      </c>
      <c r="G108" s="254" t="s">
        <v>105</v>
      </c>
      <c r="H108" s="269"/>
      <c r="I108" s="269"/>
      <c r="J108" s="251"/>
    </row>
    <row r="109">
      <c r="A109" s="265"/>
      <c r="B109" s="247"/>
      <c r="C109" s="248"/>
      <c r="D109" s="822"/>
      <c r="F109" s="250">
        <v>100.0</v>
      </c>
      <c r="G109" s="254" t="s">
        <v>2907</v>
      </c>
      <c r="H109" s="269"/>
      <c r="I109" s="269"/>
      <c r="J109" s="251"/>
    </row>
    <row r="110">
      <c r="A110" s="265"/>
      <c r="B110" s="247"/>
      <c r="C110" s="252"/>
      <c r="D110" s="822"/>
      <c r="F110" s="250"/>
      <c r="G110" s="254"/>
      <c r="H110" s="254"/>
      <c r="I110" s="269"/>
      <c r="J110" s="251"/>
    </row>
    <row r="111">
      <c r="A111" s="265"/>
      <c r="B111" s="268"/>
      <c r="C111" s="252"/>
      <c r="D111" s="822"/>
      <c r="F111" s="250"/>
      <c r="G111" s="254"/>
      <c r="H111" s="269"/>
      <c r="I111" s="269"/>
      <c r="J111" s="251"/>
    </row>
    <row r="112">
      <c r="A112" s="265"/>
      <c r="B112" s="247"/>
      <c r="C112" s="252"/>
      <c r="D112" s="331"/>
      <c r="F112" s="250"/>
      <c r="G112" s="254"/>
      <c r="H112" s="269"/>
      <c r="I112" s="269"/>
      <c r="J112" s="251"/>
    </row>
    <row r="113">
      <c r="A113" s="265"/>
      <c r="B113" s="247"/>
      <c r="C113" s="252"/>
      <c r="D113" s="822"/>
      <c r="F113" s="250"/>
      <c r="G113" s="254"/>
      <c r="H113" s="269"/>
      <c r="I113" s="269"/>
      <c r="J113" s="251"/>
    </row>
    <row r="114">
      <c r="A114" s="265"/>
      <c r="B114" s="247"/>
      <c r="C114" s="248"/>
      <c r="D114" s="822"/>
      <c r="F114" s="250"/>
      <c r="G114" s="254"/>
      <c r="H114" s="269"/>
      <c r="I114" s="269"/>
      <c r="J114" s="251"/>
    </row>
    <row r="115">
      <c r="A115" s="265"/>
      <c r="B115" s="247"/>
      <c r="C115" s="252"/>
      <c r="D115" s="822"/>
      <c r="F115" s="250"/>
      <c r="G115" s="254"/>
      <c r="H115" s="269"/>
      <c r="I115" s="269"/>
      <c r="J115" s="251"/>
    </row>
    <row r="116">
      <c r="A116" s="265"/>
      <c r="B116" s="277"/>
      <c r="C116" s="248"/>
      <c r="D116" s="822"/>
      <c r="F116" s="282"/>
      <c r="G116" s="254"/>
      <c r="H116" s="269"/>
      <c r="I116" s="269"/>
      <c r="J116" s="251"/>
    </row>
    <row r="117">
      <c r="A117" s="265"/>
      <c r="B117" s="277"/>
      <c r="C117" s="252"/>
      <c r="D117" s="822"/>
      <c r="F117" s="250"/>
      <c r="G117" s="254"/>
      <c r="H117" s="269"/>
      <c r="I117" s="269"/>
      <c r="J117" s="251"/>
    </row>
    <row r="118">
      <c r="A118" s="265"/>
      <c r="B118" s="278"/>
      <c r="C118" s="252"/>
      <c r="D118" s="822"/>
      <c r="F118" s="282"/>
      <c r="G118" s="269"/>
      <c r="H118" s="269"/>
      <c r="I118" s="269"/>
      <c r="J118" s="251"/>
    </row>
    <row r="119">
      <c r="A119" s="270"/>
      <c r="B119" s="271"/>
      <c r="C119" s="272"/>
      <c r="D119" s="823"/>
      <c r="E119" s="18"/>
      <c r="F119" s="274"/>
      <c r="G119" s="275"/>
      <c r="H119" s="275"/>
      <c r="I119" s="275"/>
      <c r="J119" s="261"/>
    </row>
    <row r="120">
      <c r="A120" s="262">
        <v>11.0</v>
      </c>
      <c r="B120" s="239">
        <v>6500.0</v>
      </c>
      <c r="C120" s="263"/>
      <c r="D120" s="821"/>
      <c r="E120" s="242"/>
      <c r="F120" s="243"/>
      <c r="G120" s="276" t="s">
        <v>2908</v>
      </c>
      <c r="H120" s="276"/>
      <c r="I120" s="276"/>
      <c r="J120" s="307"/>
    </row>
    <row r="121">
      <c r="A121" s="265"/>
      <c r="B121" s="247">
        <v>9199.6</v>
      </c>
      <c r="C121" s="252"/>
      <c r="D121" s="331"/>
      <c r="F121" s="250"/>
      <c r="G121" s="254" t="s">
        <v>114</v>
      </c>
      <c r="H121" s="269"/>
      <c r="I121" s="269"/>
      <c r="J121" s="251"/>
    </row>
    <row r="122">
      <c r="A122" s="265"/>
      <c r="B122" s="247">
        <v>40656.0</v>
      </c>
      <c r="C122" s="248"/>
      <c r="D122" s="331"/>
      <c r="F122" s="250"/>
      <c r="G122" s="26" t="s">
        <v>167</v>
      </c>
      <c r="H122" s="26"/>
      <c r="I122" s="269"/>
      <c r="J122" s="251"/>
    </row>
    <row r="123">
      <c r="A123" s="265"/>
      <c r="B123" s="247">
        <v>8983.0</v>
      </c>
      <c r="C123" s="248"/>
      <c r="D123" s="331"/>
      <c r="F123" s="250"/>
      <c r="G123" s="254" t="s">
        <v>103</v>
      </c>
      <c r="H123" s="269"/>
      <c r="I123" s="269"/>
      <c r="J123" s="251"/>
    </row>
    <row r="124">
      <c r="A124" s="265"/>
      <c r="B124" s="247"/>
      <c r="C124" s="252"/>
      <c r="D124" s="331"/>
      <c r="F124" s="250"/>
      <c r="G124" s="254"/>
      <c r="H124" s="269"/>
      <c r="I124" s="269"/>
      <c r="J124" s="251"/>
    </row>
    <row r="125">
      <c r="A125" s="265"/>
      <c r="B125" s="247"/>
      <c r="C125" s="252"/>
      <c r="D125" s="822"/>
      <c r="F125" s="250"/>
      <c r="G125" s="254"/>
      <c r="H125" s="254"/>
      <c r="I125" s="269"/>
      <c r="J125" s="251"/>
    </row>
    <row r="126">
      <c r="A126" s="265"/>
      <c r="B126" s="247"/>
      <c r="C126" s="252"/>
      <c r="D126" s="822"/>
      <c r="F126" s="250"/>
      <c r="G126" s="254"/>
      <c r="H126" s="269"/>
      <c r="I126" s="269"/>
      <c r="J126" s="251"/>
    </row>
    <row r="127">
      <c r="A127" s="265"/>
      <c r="B127" s="247"/>
      <c r="C127" s="252"/>
      <c r="D127" s="822"/>
      <c r="F127" s="250"/>
      <c r="G127" s="254"/>
      <c r="H127" s="269"/>
      <c r="I127" s="269"/>
      <c r="J127" s="251"/>
    </row>
    <row r="128">
      <c r="A128" s="265"/>
      <c r="B128" s="247"/>
      <c r="C128" s="252"/>
      <c r="D128" s="331"/>
      <c r="F128" s="250"/>
      <c r="G128" s="254"/>
      <c r="H128" s="269"/>
      <c r="I128" s="269"/>
      <c r="J128" s="251"/>
    </row>
    <row r="129">
      <c r="A129" s="265"/>
      <c r="B129" s="268"/>
      <c r="C129" s="248"/>
      <c r="D129" s="822"/>
      <c r="F129" s="250"/>
      <c r="G129" s="254"/>
      <c r="H129" s="269"/>
      <c r="I129" s="269"/>
      <c r="J129" s="251"/>
    </row>
    <row r="130">
      <c r="A130" s="265"/>
      <c r="B130" s="268"/>
      <c r="C130" s="252"/>
      <c r="D130" s="822"/>
      <c r="F130" s="250"/>
      <c r="G130" s="269"/>
      <c r="H130" s="269"/>
      <c r="I130" s="269"/>
      <c r="J130" s="251"/>
    </row>
    <row r="131">
      <c r="A131" s="265"/>
      <c r="B131" s="268"/>
      <c r="C131" s="252"/>
      <c r="D131" s="822"/>
      <c r="F131" s="250"/>
      <c r="G131" s="269"/>
      <c r="H131" s="269"/>
      <c r="I131" s="269"/>
      <c r="J131" s="251"/>
    </row>
    <row r="132">
      <c r="A132" s="265"/>
      <c r="B132" s="268"/>
      <c r="C132" s="252"/>
      <c r="D132" s="822"/>
      <c r="F132" s="250"/>
      <c r="G132" s="269"/>
      <c r="H132" s="269"/>
      <c r="I132" s="269"/>
      <c r="J132" s="251"/>
    </row>
    <row r="133">
      <c r="A133" s="265"/>
      <c r="B133" s="268"/>
      <c r="C133" s="252"/>
      <c r="D133" s="822"/>
      <c r="F133" s="250"/>
      <c r="G133" s="269"/>
      <c r="H133" s="269"/>
      <c r="I133" s="269"/>
      <c r="J133" s="251"/>
    </row>
    <row r="134">
      <c r="A134" s="265"/>
      <c r="B134" s="268"/>
      <c r="C134" s="252"/>
      <c r="D134" s="822"/>
      <c r="F134" s="250"/>
      <c r="G134" s="269"/>
      <c r="H134" s="269"/>
      <c r="I134" s="269"/>
      <c r="J134" s="251"/>
    </row>
    <row r="135">
      <c r="A135" s="265"/>
      <c r="B135" s="268"/>
      <c r="C135" s="252"/>
      <c r="D135" s="822"/>
      <c r="F135" s="250"/>
      <c r="G135" s="269"/>
      <c r="H135" s="269"/>
      <c r="I135" s="269"/>
      <c r="J135" s="251"/>
    </row>
    <row r="136">
      <c r="A136" s="265"/>
      <c r="B136" s="268"/>
      <c r="C136" s="252"/>
      <c r="D136" s="822"/>
      <c r="F136" s="250"/>
      <c r="G136" s="269"/>
      <c r="H136" s="269"/>
      <c r="I136" s="269"/>
      <c r="J136" s="251"/>
    </row>
    <row r="137">
      <c r="A137" s="270"/>
      <c r="B137" s="271"/>
      <c r="C137" s="272"/>
      <c r="D137" s="823"/>
      <c r="E137" s="18"/>
      <c r="F137" s="274"/>
      <c r="G137" s="275"/>
      <c r="H137" s="275"/>
      <c r="I137" s="275"/>
      <c r="J137" s="261"/>
    </row>
    <row r="138">
      <c r="A138" s="262">
        <v>12.0</v>
      </c>
      <c r="B138" s="239">
        <v>718.0</v>
      </c>
      <c r="C138" s="263"/>
      <c r="D138" s="824"/>
      <c r="E138" s="242"/>
      <c r="F138" s="243"/>
      <c r="G138" s="276" t="s">
        <v>2545</v>
      </c>
      <c r="H138" s="276"/>
      <c r="I138" s="276"/>
      <c r="J138" s="307"/>
    </row>
    <row r="139">
      <c r="A139" s="265"/>
      <c r="B139" s="247"/>
      <c r="C139" s="252"/>
      <c r="D139" s="822"/>
      <c r="F139" s="250"/>
      <c r="G139" s="254"/>
      <c r="H139" s="269"/>
      <c r="I139" s="269"/>
      <c r="J139" s="251"/>
    </row>
    <row r="140">
      <c r="A140" s="265"/>
      <c r="B140" s="247"/>
      <c r="C140" s="252"/>
      <c r="D140" s="822"/>
      <c r="F140" s="250"/>
      <c r="G140" s="254"/>
      <c r="H140" s="269"/>
      <c r="I140" s="269"/>
      <c r="J140" s="251"/>
    </row>
    <row r="141">
      <c r="A141" s="265"/>
      <c r="B141" s="247"/>
      <c r="C141" s="252"/>
      <c r="D141" s="331"/>
      <c r="F141" s="250"/>
      <c r="G141" s="254"/>
      <c r="H141" s="269"/>
      <c r="I141" s="269"/>
      <c r="J141" s="251"/>
    </row>
    <row r="142">
      <c r="A142" s="265"/>
      <c r="B142" s="268"/>
      <c r="C142" s="248"/>
      <c r="D142" s="822"/>
      <c r="F142" s="250"/>
      <c r="G142" s="254"/>
      <c r="H142" s="269"/>
      <c r="I142" s="269"/>
      <c r="J142" s="251"/>
    </row>
    <row r="143">
      <c r="A143" s="265"/>
      <c r="B143" s="247"/>
      <c r="C143" s="252"/>
      <c r="D143" s="822"/>
      <c r="F143" s="250"/>
      <c r="G143" s="254"/>
      <c r="H143" s="269"/>
      <c r="I143" s="269"/>
      <c r="J143" s="251"/>
    </row>
    <row r="144">
      <c r="A144" s="265"/>
      <c r="B144" s="247"/>
      <c r="C144" s="252"/>
      <c r="D144" s="822"/>
      <c r="F144" s="250"/>
      <c r="G144" s="254"/>
      <c r="H144" s="269"/>
      <c r="I144" s="269"/>
      <c r="J144" s="251"/>
    </row>
    <row r="145">
      <c r="A145" s="265"/>
      <c r="B145" s="283"/>
      <c r="C145" s="248"/>
      <c r="D145" s="822"/>
      <c r="F145" s="250"/>
      <c r="G145" s="269"/>
      <c r="H145" s="269"/>
      <c r="I145" s="269"/>
      <c r="J145" s="251"/>
    </row>
    <row r="146">
      <c r="A146" s="265"/>
      <c r="B146" s="247"/>
      <c r="C146" s="252"/>
      <c r="D146" s="822"/>
      <c r="F146" s="250"/>
      <c r="G146" s="269"/>
      <c r="H146" s="269"/>
      <c r="I146" s="269"/>
      <c r="J146" s="251"/>
    </row>
    <row r="147">
      <c r="A147" s="265"/>
      <c r="B147" s="247"/>
      <c r="C147" s="252"/>
      <c r="D147" s="822"/>
      <c r="F147" s="250"/>
      <c r="G147" s="269"/>
      <c r="H147" s="269"/>
      <c r="I147" s="269"/>
      <c r="J147" s="251"/>
    </row>
    <row r="148">
      <c r="A148" s="265"/>
      <c r="B148" s="247"/>
      <c r="C148" s="252"/>
      <c r="D148" s="822"/>
      <c r="F148" s="250"/>
      <c r="G148" s="269"/>
      <c r="H148" s="269"/>
      <c r="I148" s="269"/>
      <c r="J148" s="251"/>
    </row>
    <row r="149">
      <c r="A149" s="265"/>
      <c r="B149" s="277"/>
      <c r="C149" s="252"/>
      <c r="D149" s="822"/>
      <c r="F149" s="250"/>
      <c r="G149" s="269"/>
      <c r="H149" s="269"/>
      <c r="I149" s="269"/>
      <c r="J149" s="251"/>
    </row>
    <row r="150">
      <c r="A150" s="265"/>
      <c r="B150" s="277"/>
      <c r="C150" s="252"/>
      <c r="D150" s="822"/>
      <c r="F150" s="250"/>
      <c r="G150" s="269"/>
      <c r="H150" s="269"/>
      <c r="I150" s="269"/>
      <c r="J150" s="251"/>
    </row>
    <row r="151">
      <c r="A151" s="265"/>
      <c r="B151" s="278"/>
      <c r="C151" s="252"/>
      <c r="D151" s="822"/>
      <c r="F151" s="250"/>
      <c r="G151" s="269"/>
      <c r="H151" s="269"/>
      <c r="I151" s="269"/>
      <c r="J151" s="251"/>
    </row>
    <row r="152">
      <c r="A152" s="270"/>
      <c r="B152" s="271"/>
      <c r="C152" s="272"/>
      <c r="D152" s="823"/>
      <c r="E152" s="18"/>
      <c r="F152" s="274"/>
      <c r="G152" s="275"/>
      <c r="H152" s="275"/>
      <c r="I152" s="275"/>
      <c r="J152" s="261"/>
    </row>
    <row r="153">
      <c r="A153" s="262" t="s">
        <v>700</v>
      </c>
      <c r="B153" s="239"/>
      <c r="C153" s="240"/>
      <c r="D153" s="824"/>
      <c r="E153" s="242"/>
      <c r="F153" s="243">
        <f>258+2633+134</f>
        <v>3025</v>
      </c>
      <c r="G153" s="276" t="s">
        <v>97</v>
      </c>
      <c r="H153" s="276"/>
      <c r="I153" s="276"/>
      <c r="J153" s="307"/>
    </row>
    <row r="154">
      <c r="A154" s="265"/>
      <c r="B154" s="247"/>
      <c r="C154" s="252"/>
      <c r="D154" s="822"/>
      <c r="F154" s="250"/>
      <c r="G154" s="254" t="s">
        <v>114</v>
      </c>
      <c r="H154" s="269"/>
      <c r="I154" s="269"/>
      <c r="J154" s="251"/>
    </row>
    <row r="155">
      <c r="A155" s="265"/>
      <c r="B155" s="247">
        <f>21440.81+17429.39</f>
        <v>38870.2</v>
      </c>
      <c r="C155" s="252"/>
      <c r="D155" s="331"/>
      <c r="F155" s="418"/>
      <c r="G155" s="285" t="s">
        <v>71</v>
      </c>
      <c r="H155" s="420"/>
      <c r="I155" s="829"/>
      <c r="J155" s="251"/>
    </row>
    <row r="156">
      <c r="A156" s="265"/>
      <c r="B156" s="247">
        <v>5233.11</v>
      </c>
      <c r="C156" s="252"/>
      <c r="D156" s="822"/>
      <c r="F156" s="250"/>
      <c r="G156" s="254" t="s">
        <v>82</v>
      </c>
      <c r="H156" s="269"/>
      <c r="I156" s="269"/>
      <c r="J156" s="251"/>
    </row>
    <row r="157">
      <c r="A157" s="265"/>
      <c r="B157" s="247"/>
      <c r="C157" s="252"/>
      <c r="D157" s="331"/>
      <c r="F157" s="250">
        <v>17400.0</v>
      </c>
      <c r="G157" s="254" t="s">
        <v>87</v>
      </c>
      <c r="H157" s="269"/>
      <c r="I157" s="269"/>
      <c r="J157" s="251"/>
    </row>
    <row r="158">
      <c r="A158" s="265"/>
      <c r="B158" s="268"/>
      <c r="C158" s="248"/>
      <c r="D158" s="331"/>
      <c r="F158" s="250">
        <v>1360.0</v>
      </c>
      <c r="G158" s="254" t="s">
        <v>2909</v>
      </c>
      <c r="H158" s="269"/>
      <c r="I158" s="269"/>
      <c r="J158" s="251"/>
    </row>
    <row r="159">
      <c r="A159" s="265"/>
      <c r="B159" s="247"/>
      <c r="C159" s="252"/>
      <c r="D159" s="331"/>
      <c r="F159" s="250">
        <v>800.0</v>
      </c>
      <c r="G159" s="254" t="s">
        <v>161</v>
      </c>
      <c r="H159" s="269"/>
      <c r="I159" s="269"/>
      <c r="J159" s="251"/>
    </row>
    <row r="160">
      <c r="A160" s="265"/>
      <c r="B160" s="247"/>
      <c r="C160" s="252"/>
      <c r="D160" s="331">
        <v>7400.0</v>
      </c>
      <c r="F160" s="250"/>
      <c r="G160" s="254" t="s">
        <v>2910</v>
      </c>
      <c r="H160" s="269"/>
      <c r="I160" s="269"/>
      <c r="J160" s="251"/>
    </row>
    <row r="161">
      <c r="A161" s="265"/>
      <c r="B161" s="268"/>
      <c r="C161" s="252"/>
      <c r="D161" s="331"/>
      <c r="F161" s="250">
        <v>1200.0</v>
      </c>
      <c r="G161" s="254" t="s">
        <v>2911</v>
      </c>
      <c r="H161" s="254"/>
      <c r="I161" s="269"/>
      <c r="J161" s="251"/>
    </row>
    <row r="162">
      <c r="A162" s="265"/>
      <c r="B162" s="247"/>
      <c r="C162" s="252"/>
      <c r="D162" s="822"/>
      <c r="F162" s="250">
        <v>800.0</v>
      </c>
      <c r="G162" s="254" t="s">
        <v>2912</v>
      </c>
      <c r="H162" s="269"/>
      <c r="I162" s="269"/>
      <c r="J162" s="251"/>
    </row>
    <row r="163">
      <c r="A163" s="265"/>
      <c r="B163" s="247">
        <v>1800.0</v>
      </c>
      <c r="C163" s="252"/>
      <c r="D163" s="822"/>
      <c r="F163" s="250"/>
      <c r="G163" s="254" t="s">
        <v>66</v>
      </c>
      <c r="H163" s="269"/>
      <c r="I163" s="269"/>
      <c r="J163" s="251"/>
    </row>
    <row r="164">
      <c r="A164" s="265"/>
      <c r="B164" s="277"/>
      <c r="C164" s="252"/>
      <c r="D164" s="822"/>
      <c r="F164" s="250"/>
      <c r="G164" s="269"/>
      <c r="H164" s="269"/>
      <c r="I164" s="269"/>
      <c r="J164" s="251"/>
    </row>
    <row r="165">
      <c r="A165" s="265"/>
      <c r="B165" s="277"/>
      <c r="C165" s="252"/>
      <c r="D165" s="822"/>
      <c r="F165" s="282"/>
      <c r="G165" s="269"/>
      <c r="H165" s="269"/>
      <c r="I165" s="269"/>
      <c r="J165" s="251"/>
    </row>
    <row r="166">
      <c r="A166" s="265"/>
      <c r="B166" s="278"/>
      <c r="C166" s="252"/>
      <c r="D166" s="822"/>
      <c r="F166" s="250"/>
      <c r="G166" s="269"/>
      <c r="H166" s="269"/>
      <c r="I166" s="269"/>
      <c r="J166" s="251"/>
    </row>
    <row r="167">
      <c r="A167" s="270"/>
      <c r="B167" s="271"/>
      <c r="C167" s="272"/>
      <c r="D167" s="823"/>
      <c r="E167" s="18"/>
      <c r="F167" s="259"/>
      <c r="G167" s="260"/>
      <c r="H167" s="260"/>
      <c r="I167" s="275"/>
      <c r="J167" s="261"/>
    </row>
    <row r="168">
      <c r="A168" s="262" t="s">
        <v>702</v>
      </c>
      <c r="B168" s="239"/>
      <c r="C168" s="263"/>
      <c r="D168" s="821"/>
      <c r="E168" s="242"/>
      <c r="F168" s="243">
        <v>13200.0</v>
      </c>
      <c r="G168" s="276" t="s">
        <v>76</v>
      </c>
      <c r="H168" s="276"/>
      <c r="I168" s="276"/>
      <c r="J168" s="307"/>
    </row>
    <row r="169">
      <c r="A169" s="265"/>
      <c r="B169" s="247">
        <v>3885.0</v>
      </c>
      <c r="C169" s="252"/>
      <c r="D169" s="822"/>
      <c r="F169" s="250"/>
      <c r="G169" s="254" t="s">
        <v>74</v>
      </c>
      <c r="H169" s="269"/>
      <c r="I169" s="269"/>
      <c r="J169" s="251"/>
    </row>
    <row r="170">
      <c r="A170" s="265"/>
      <c r="B170" s="247">
        <v>7314.0</v>
      </c>
      <c r="C170" s="248"/>
      <c r="D170" s="331"/>
      <c r="F170" s="250"/>
      <c r="G170" s="254" t="s">
        <v>73</v>
      </c>
      <c r="H170" s="254"/>
      <c r="I170" s="269"/>
      <c r="J170" s="251"/>
    </row>
    <row r="171">
      <c r="A171" s="265"/>
      <c r="B171" s="247">
        <v>19680.0</v>
      </c>
      <c r="C171" s="248"/>
      <c r="D171" s="331"/>
      <c r="F171" s="250"/>
      <c r="G171" s="254" t="s">
        <v>75</v>
      </c>
      <c r="H171" s="254" t="s">
        <v>2913</v>
      </c>
      <c r="I171" s="269"/>
      <c r="J171" s="251"/>
    </row>
    <row r="172">
      <c r="A172" s="265"/>
      <c r="B172" s="247">
        <v>24146.0</v>
      </c>
      <c r="C172" s="252"/>
      <c r="D172" s="822"/>
      <c r="F172" s="250"/>
      <c r="G172" s="254" t="s">
        <v>91</v>
      </c>
      <c r="H172" s="269"/>
      <c r="I172" s="269"/>
      <c r="J172" s="251"/>
    </row>
    <row r="173">
      <c r="A173" s="265"/>
      <c r="B173" s="247"/>
      <c r="C173" s="248"/>
      <c r="D173" s="822"/>
      <c r="F173" s="250">
        <v>1000.0</v>
      </c>
      <c r="G173" s="254" t="s">
        <v>1298</v>
      </c>
      <c r="H173" s="269"/>
      <c r="I173" s="269"/>
      <c r="J173" s="251"/>
    </row>
    <row r="174">
      <c r="A174" s="265"/>
      <c r="B174" s="247">
        <v>2237.0</v>
      </c>
      <c r="C174" s="252"/>
      <c r="D174" s="331"/>
      <c r="F174" s="250"/>
      <c r="G174" s="254" t="s">
        <v>293</v>
      </c>
      <c r="H174" s="269"/>
      <c r="I174" s="269"/>
      <c r="J174" s="251"/>
    </row>
    <row r="175">
      <c r="A175" s="265"/>
      <c r="B175" s="247">
        <v>1843.0</v>
      </c>
      <c r="C175" s="252"/>
      <c r="D175" s="822"/>
      <c r="F175" s="250"/>
      <c r="G175" s="254" t="s">
        <v>171</v>
      </c>
      <c r="H175" s="269"/>
      <c r="I175" s="269"/>
      <c r="J175" s="251"/>
    </row>
    <row r="176">
      <c r="A176" s="265"/>
      <c r="B176" s="247"/>
      <c r="C176" s="252"/>
      <c r="D176" s="822"/>
      <c r="F176" s="250"/>
      <c r="G176" s="269"/>
      <c r="H176" s="269"/>
      <c r="I176" s="269"/>
      <c r="J176" s="251"/>
    </row>
    <row r="177">
      <c r="A177" s="270"/>
      <c r="B177" s="279"/>
      <c r="C177" s="272"/>
      <c r="D177" s="823"/>
      <c r="E177" s="18"/>
      <c r="F177" s="274"/>
      <c r="G177" s="260"/>
      <c r="H177" s="260"/>
      <c r="I177" s="275"/>
      <c r="J177" s="261"/>
    </row>
    <row r="178">
      <c r="A178" s="262" t="s">
        <v>703</v>
      </c>
      <c r="B178" s="239"/>
      <c r="C178" s="263"/>
      <c r="D178" s="821"/>
      <c r="E178" s="242"/>
      <c r="F178" s="250">
        <f>1343+300</f>
        <v>1643</v>
      </c>
      <c r="G178" s="276" t="s">
        <v>97</v>
      </c>
      <c r="H178" s="276"/>
      <c r="I178" s="276"/>
      <c r="J178" s="307"/>
    </row>
    <row r="179">
      <c r="A179" s="265"/>
      <c r="B179" s="247">
        <v>1702.17</v>
      </c>
      <c r="C179" s="252"/>
      <c r="D179" s="331"/>
      <c r="F179" s="250"/>
      <c r="G179" s="254" t="s">
        <v>82</v>
      </c>
      <c r="H179" s="269"/>
      <c r="I179" s="269"/>
      <c r="J179" s="251"/>
    </row>
    <row r="180">
      <c r="A180" s="265"/>
      <c r="B180" s="247">
        <v>10572.38</v>
      </c>
      <c r="C180" s="248"/>
      <c r="D180" s="331"/>
      <c r="F180" s="250"/>
      <c r="G180" s="254" t="s">
        <v>114</v>
      </c>
      <c r="H180" s="269"/>
      <c r="I180" s="269"/>
      <c r="J180" s="251"/>
    </row>
    <row r="181">
      <c r="A181" s="265"/>
      <c r="B181" s="247"/>
      <c r="C181" s="248">
        <v>20606.75</v>
      </c>
      <c r="D181" s="822"/>
      <c r="F181" s="250"/>
      <c r="G181" s="254" t="s">
        <v>84</v>
      </c>
      <c r="H181" s="269"/>
      <c r="I181" s="269"/>
      <c r="J181" s="251"/>
    </row>
    <row r="182">
      <c r="A182" s="265"/>
      <c r="B182" s="247"/>
      <c r="C182" s="248"/>
      <c r="D182" s="331"/>
      <c r="F182" s="250">
        <v>1200.0</v>
      </c>
      <c r="G182" s="254" t="s">
        <v>2914</v>
      </c>
      <c r="H182" s="269"/>
      <c r="I182" s="269"/>
      <c r="J182" s="251"/>
    </row>
    <row r="183">
      <c r="A183" s="265"/>
      <c r="B183" s="247"/>
      <c r="C183" s="252"/>
      <c r="D183" s="822"/>
      <c r="F183" s="250">
        <v>1800.0</v>
      </c>
      <c r="G183" s="254" t="s">
        <v>2915</v>
      </c>
      <c r="H183" s="269"/>
      <c r="I183" s="269"/>
      <c r="J183" s="251"/>
    </row>
    <row r="184">
      <c r="A184" s="265"/>
      <c r="B184" s="247">
        <v>11600.0</v>
      </c>
      <c r="C184" s="252"/>
      <c r="D184" s="822"/>
      <c r="F184" s="250"/>
      <c r="G184" s="254" t="s">
        <v>122</v>
      </c>
      <c r="H184" s="269"/>
      <c r="I184" s="269"/>
      <c r="J184" s="251"/>
    </row>
    <row r="185">
      <c r="A185" s="265"/>
      <c r="B185" s="247"/>
      <c r="C185" s="252"/>
      <c r="D185" s="822"/>
      <c r="F185" s="250">
        <v>340.0</v>
      </c>
      <c r="G185" s="254" t="s">
        <v>105</v>
      </c>
      <c r="H185" s="269"/>
      <c r="I185" s="269"/>
      <c r="J185" s="251"/>
    </row>
    <row r="186">
      <c r="A186" s="265"/>
      <c r="B186" s="247"/>
      <c r="C186" s="252"/>
      <c r="D186" s="822"/>
      <c r="F186" s="250">
        <v>608.0</v>
      </c>
      <c r="G186" s="254" t="s">
        <v>97</v>
      </c>
      <c r="H186" s="254"/>
      <c r="I186" s="269"/>
      <c r="J186" s="251"/>
    </row>
    <row r="187">
      <c r="A187" s="265"/>
      <c r="B187" s="247"/>
      <c r="C187" s="252"/>
      <c r="D187" s="822"/>
      <c r="F187" s="250">
        <v>7800.0</v>
      </c>
      <c r="G187" s="254" t="s">
        <v>128</v>
      </c>
      <c r="H187" s="269"/>
      <c r="I187" s="269"/>
      <c r="J187" s="251"/>
    </row>
    <row r="188">
      <c r="A188" s="265"/>
      <c r="B188" s="247"/>
      <c r="C188" s="252"/>
      <c r="D188" s="822"/>
      <c r="F188" s="250">
        <v>800.0</v>
      </c>
      <c r="G188" s="254" t="s">
        <v>161</v>
      </c>
      <c r="H188" s="269"/>
      <c r="I188" s="269"/>
      <c r="J188" s="251"/>
    </row>
    <row r="189">
      <c r="A189" s="265"/>
      <c r="B189" s="247">
        <v>5000.0</v>
      </c>
      <c r="C189" s="252"/>
      <c r="D189" s="822"/>
      <c r="F189" s="250"/>
      <c r="G189" s="254" t="s">
        <v>453</v>
      </c>
      <c r="H189" s="254"/>
      <c r="I189" s="269"/>
      <c r="J189" s="251"/>
    </row>
    <row r="190">
      <c r="A190" s="265"/>
      <c r="B190" s="268"/>
      <c r="C190" s="252"/>
      <c r="D190" s="822"/>
      <c r="F190" s="250"/>
      <c r="G190" s="269"/>
      <c r="H190" s="269"/>
      <c r="I190" s="269"/>
      <c r="J190" s="251"/>
    </row>
    <row r="191">
      <c r="A191" s="265"/>
      <c r="B191" s="268"/>
      <c r="C191" s="252"/>
      <c r="D191" s="822"/>
      <c r="F191" s="250"/>
      <c r="G191" s="269"/>
      <c r="H191" s="269"/>
      <c r="I191" s="269"/>
      <c r="J191" s="251"/>
    </row>
    <row r="192">
      <c r="A192" s="270"/>
      <c r="B192" s="271"/>
      <c r="C192" s="272"/>
      <c r="D192" s="823"/>
      <c r="E192" s="18"/>
      <c r="F192" s="259"/>
      <c r="G192" s="260"/>
      <c r="H192" s="260"/>
      <c r="I192" s="275"/>
      <c r="J192" s="261"/>
    </row>
    <row r="193">
      <c r="A193" s="262">
        <v>17.0</v>
      </c>
      <c r="B193" s="239"/>
      <c r="C193" s="263"/>
      <c r="D193" s="821"/>
      <c r="E193" s="242"/>
      <c r="F193" s="243">
        <v>600.0</v>
      </c>
      <c r="G193" s="276" t="s">
        <v>651</v>
      </c>
      <c r="H193" s="276"/>
      <c r="I193" s="269"/>
      <c r="J193" s="286"/>
    </row>
    <row r="194">
      <c r="A194" s="265"/>
      <c r="B194" s="247"/>
      <c r="C194" s="248"/>
      <c r="D194" s="331"/>
      <c r="F194" s="250">
        <v>7000.0</v>
      </c>
      <c r="G194" s="254" t="s">
        <v>2916</v>
      </c>
      <c r="H194" s="269"/>
      <c r="I194" s="269"/>
      <c r="J194" s="251"/>
    </row>
    <row r="195">
      <c r="A195" s="265"/>
      <c r="B195" s="247"/>
      <c r="C195" s="252"/>
      <c r="D195" s="822"/>
      <c r="F195" s="250">
        <v>17400.0</v>
      </c>
      <c r="G195" s="254" t="s">
        <v>87</v>
      </c>
      <c r="H195" s="269"/>
      <c r="I195" s="269"/>
      <c r="J195" s="251"/>
    </row>
    <row r="196">
      <c r="A196" s="265"/>
      <c r="B196" s="247"/>
      <c r="C196" s="252"/>
      <c r="D196" s="822"/>
      <c r="F196" s="250">
        <v>2000.0</v>
      </c>
      <c r="G196" s="254" t="s">
        <v>453</v>
      </c>
      <c r="H196" s="269"/>
      <c r="I196" s="269"/>
      <c r="J196" s="251"/>
    </row>
    <row r="197">
      <c r="A197" s="265"/>
      <c r="B197" s="247">
        <v>22651.0</v>
      </c>
      <c r="C197" s="248"/>
      <c r="D197" s="331"/>
      <c r="F197" s="250"/>
      <c r="G197" s="254" t="s">
        <v>2917</v>
      </c>
      <c r="H197" s="269"/>
      <c r="I197" s="269"/>
      <c r="J197" s="251"/>
    </row>
    <row r="198">
      <c r="A198" s="265"/>
      <c r="B198" s="247"/>
      <c r="C198" s="248"/>
      <c r="D198" s="331"/>
      <c r="F198" s="250"/>
      <c r="G198" s="254"/>
      <c r="H198" s="269"/>
      <c r="I198" s="269"/>
      <c r="J198" s="251"/>
    </row>
    <row r="199">
      <c r="A199" s="265"/>
      <c r="B199" s="268"/>
      <c r="C199" s="248"/>
      <c r="D199" s="331"/>
      <c r="F199" s="250"/>
      <c r="G199" s="254"/>
      <c r="H199" s="269"/>
      <c r="I199" s="269"/>
      <c r="J199" s="251"/>
    </row>
    <row r="200">
      <c r="A200" s="265"/>
      <c r="B200" s="247"/>
      <c r="C200" s="252"/>
      <c r="D200" s="331"/>
      <c r="F200" s="250"/>
      <c r="G200" s="269"/>
      <c r="H200" s="269"/>
      <c r="I200" s="269"/>
      <c r="J200" s="251"/>
    </row>
    <row r="201">
      <c r="A201" s="265"/>
      <c r="B201" s="247"/>
      <c r="C201" s="252"/>
      <c r="D201" s="822"/>
      <c r="F201" s="250"/>
      <c r="G201" s="269"/>
      <c r="H201" s="269"/>
      <c r="I201" s="269"/>
      <c r="J201" s="251"/>
    </row>
    <row r="202">
      <c r="A202" s="265"/>
      <c r="B202" s="278"/>
      <c r="C202" s="252"/>
      <c r="D202" s="822"/>
      <c r="F202" s="250"/>
      <c r="G202" s="254"/>
      <c r="H202" s="254"/>
      <c r="I202" s="269"/>
      <c r="J202" s="251"/>
    </row>
    <row r="203">
      <c r="A203" s="265"/>
      <c r="B203" s="278"/>
      <c r="C203" s="252"/>
      <c r="D203" s="822"/>
      <c r="F203" s="250"/>
      <c r="G203" s="269"/>
      <c r="H203" s="269"/>
      <c r="I203" s="269"/>
      <c r="J203" s="251"/>
    </row>
    <row r="204">
      <c r="A204" s="265"/>
      <c r="B204" s="277"/>
      <c r="C204" s="252"/>
      <c r="D204" s="822"/>
      <c r="F204" s="250"/>
      <c r="G204" s="269"/>
      <c r="H204" s="269"/>
      <c r="I204" s="269"/>
      <c r="J204" s="251"/>
    </row>
    <row r="205">
      <c r="A205" s="265"/>
      <c r="B205" s="278"/>
      <c r="C205" s="252"/>
      <c r="D205" s="822"/>
      <c r="F205" s="250"/>
      <c r="G205" s="269"/>
      <c r="H205" s="269"/>
      <c r="I205" s="269"/>
      <c r="J205" s="251"/>
    </row>
    <row r="206">
      <c r="A206" s="265"/>
      <c r="B206" s="278"/>
      <c r="C206" s="252"/>
      <c r="D206" s="822"/>
      <c r="F206" s="282"/>
      <c r="G206" s="269"/>
      <c r="H206" s="269"/>
      <c r="I206" s="269"/>
      <c r="J206" s="251"/>
    </row>
    <row r="207">
      <c r="A207" s="265"/>
      <c r="B207" s="278"/>
      <c r="C207" s="252"/>
      <c r="D207" s="822"/>
      <c r="F207" s="282"/>
      <c r="G207" s="269"/>
      <c r="H207" s="269"/>
      <c r="I207" s="269"/>
      <c r="J207" s="251"/>
    </row>
    <row r="208">
      <c r="A208" s="270"/>
      <c r="B208" s="271"/>
      <c r="C208" s="272"/>
      <c r="D208" s="823"/>
      <c r="E208" s="18"/>
      <c r="F208" s="274"/>
      <c r="G208" s="275"/>
      <c r="H208" s="275"/>
      <c r="I208" s="275"/>
      <c r="J208" s="261"/>
    </row>
    <row r="209">
      <c r="A209" s="262">
        <v>18.0</v>
      </c>
      <c r="B209" s="239">
        <v>5719.43</v>
      </c>
      <c r="C209" s="263"/>
      <c r="D209" s="824"/>
      <c r="E209" s="242"/>
      <c r="F209" s="243"/>
      <c r="G209" s="276" t="s">
        <v>82</v>
      </c>
      <c r="H209" s="276"/>
      <c r="I209" s="276"/>
      <c r="J209" s="307"/>
    </row>
    <row r="210">
      <c r="A210" s="265"/>
      <c r="B210" s="247"/>
      <c r="C210" s="252"/>
      <c r="D210" s="822"/>
      <c r="F210" s="250">
        <v>1607.0</v>
      </c>
      <c r="G210" s="254" t="s">
        <v>97</v>
      </c>
      <c r="H210" s="269"/>
      <c r="I210" s="269"/>
      <c r="J210" s="251"/>
    </row>
    <row r="211">
      <c r="A211" s="265"/>
      <c r="B211" s="247">
        <v>5390.0</v>
      </c>
      <c r="C211" s="252"/>
      <c r="D211" s="331"/>
      <c r="F211" s="250"/>
      <c r="G211" s="254" t="s">
        <v>75</v>
      </c>
      <c r="H211" s="269"/>
      <c r="I211" s="269"/>
      <c r="J211" s="251"/>
    </row>
    <row r="212">
      <c r="A212" s="265"/>
      <c r="B212" s="247">
        <v>11784.0</v>
      </c>
      <c r="C212" s="248"/>
      <c r="D212" s="331"/>
      <c r="F212" s="250"/>
      <c r="G212" s="254" t="s">
        <v>787</v>
      </c>
      <c r="H212" s="269"/>
      <c r="I212" s="269"/>
      <c r="J212" s="251"/>
    </row>
    <row r="213">
      <c r="A213" s="265"/>
      <c r="B213" s="247"/>
      <c r="C213" s="248"/>
      <c r="D213" s="331"/>
      <c r="F213" s="250">
        <v>8000.0</v>
      </c>
      <c r="G213" s="254" t="s">
        <v>2918</v>
      </c>
      <c r="H213" s="269"/>
      <c r="I213" s="269"/>
      <c r="J213" s="251"/>
    </row>
    <row r="214">
      <c r="A214" s="265"/>
      <c r="B214" s="247"/>
      <c r="C214" s="252"/>
      <c r="D214" s="331"/>
      <c r="F214" s="250">
        <v>500.0</v>
      </c>
      <c r="G214" s="254" t="s">
        <v>2919</v>
      </c>
      <c r="H214" s="269"/>
      <c r="I214" s="269"/>
      <c r="J214" s="251"/>
    </row>
    <row r="215">
      <c r="A215" s="265"/>
      <c r="B215" s="247"/>
      <c r="C215" s="252"/>
      <c r="D215" s="822"/>
      <c r="F215" s="250">
        <v>16800.0</v>
      </c>
      <c r="G215" s="254" t="s">
        <v>1743</v>
      </c>
      <c r="H215" s="269"/>
      <c r="I215" s="269"/>
      <c r="J215" s="251"/>
    </row>
    <row r="216">
      <c r="A216" s="265"/>
      <c r="B216" s="247">
        <v>4300.0</v>
      </c>
      <c r="C216" s="252"/>
      <c r="D216" s="331"/>
      <c r="F216" s="250"/>
      <c r="G216" s="254" t="s">
        <v>2649</v>
      </c>
      <c r="H216" s="269"/>
      <c r="I216" s="269"/>
      <c r="J216" s="251"/>
    </row>
    <row r="217">
      <c r="A217" s="265"/>
      <c r="B217" s="268"/>
      <c r="C217" s="248"/>
      <c r="D217" s="331"/>
      <c r="F217" s="250">
        <v>1320.0</v>
      </c>
      <c r="G217" s="254" t="s">
        <v>63</v>
      </c>
      <c r="H217" s="269"/>
      <c r="I217" s="269"/>
      <c r="J217" s="251"/>
    </row>
    <row r="218">
      <c r="A218" s="265"/>
      <c r="B218" s="247"/>
      <c r="C218" s="248"/>
      <c r="D218" s="822"/>
      <c r="F218" s="250"/>
      <c r="G218" s="254"/>
      <c r="H218" s="269"/>
      <c r="I218" s="269"/>
      <c r="J218" s="251"/>
    </row>
    <row r="219">
      <c r="A219" s="265"/>
      <c r="B219" s="268"/>
      <c r="C219" s="248"/>
      <c r="D219" s="822"/>
      <c r="F219" s="250"/>
      <c r="G219" s="269"/>
      <c r="H219" s="269"/>
      <c r="I219" s="269"/>
      <c r="J219" s="251"/>
    </row>
    <row r="220">
      <c r="A220" s="265"/>
      <c r="B220" s="247"/>
      <c r="C220" s="248"/>
      <c r="D220" s="822"/>
      <c r="F220" s="250"/>
      <c r="G220" s="269"/>
      <c r="H220" s="269"/>
      <c r="I220" s="269"/>
      <c r="J220" s="251"/>
    </row>
    <row r="221">
      <c r="A221" s="265"/>
      <c r="B221" s="278"/>
      <c r="C221" s="252"/>
      <c r="D221" s="822"/>
      <c r="F221" s="250"/>
      <c r="G221" s="269"/>
      <c r="H221" s="269"/>
      <c r="I221" s="269"/>
      <c r="J221" s="251"/>
    </row>
    <row r="222">
      <c r="A222" s="265"/>
      <c r="B222" s="278"/>
      <c r="C222" s="252"/>
      <c r="D222" s="822"/>
      <c r="F222" s="282"/>
      <c r="G222" s="269"/>
      <c r="H222" s="269"/>
      <c r="I222" s="269"/>
      <c r="J222" s="251"/>
    </row>
    <row r="223">
      <c r="A223" s="270"/>
      <c r="B223" s="271"/>
      <c r="C223" s="272"/>
      <c r="D223" s="823"/>
      <c r="E223" s="18"/>
      <c r="F223" s="274"/>
      <c r="G223" s="275"/>
      <c r="H223" s="275"/>
      <c r="I223" s="275"/>
      <c r="J223" s="261"/>
    </row>
    <row r="224">
      <c r="A224" s="262">
        <v>19.0</v>
      </c>
      <c r="B224" s="239"/>
      <c r="C224" s="263"/>
      <c r="D224" s="824"/>
      <c r="E224" s="242"/>
      <c r="F224" s="243">
        <v>1070.0</v>
      </c>
      <c r="G224" s="276" t="s">
        <v>2638</v>
      </c>
      <c r="H224" s="276"/>
      <c r="I224" s="276"/>
      <c r="J224" s="307"/>
    </row>
    <row r="225">
      <c r="A225" s="265"/>
      <c r="B225" s="247"/>
      <c r="C225" s="248"/>
      <c r="D225" s="331"/>
      <c r="F225" s="250"/>
      <c r="G225" s="254"/>
      <c r="H225" s="269"/>
      <c r="I225" s="269"/>
      <c r="J225" s="251"/>
    </row>
    <row r="226">
      <c r="A226" s="265"/>
      <c r="B226" s="247"/>
      <c r="C226" s="252"/>
      <c r="D226" s="822"/>
      <c r="F226" s="250"/>
      <c r="G226" s="254"/>
      <c r="H226" s="269"/>
      <c r="I226" s="269"/>
      <c r="J226" s="251"/>
    </row>
    <row r="227">
      <c r="A227" s="265"/>
      <c r="B227" s="247"/>
      <c r="C227" s="248"/>
      <c r="D227" s="331"/>
      <c r="F227" s="250"/>
      <c r="G227" s="254"/>
      <c r="H227" s="269"/>
      <c r="I227" s="269"/>
      <c r="J227" s="251"/>
    </row>
    <row r="228">
      <c r="A228" s="265"/>
      <c r="B228" s="247"/>
      <c r="C228" s="252"/>
      <c r="D228" s="822"/>
      <c r="F228" s="250"/>
      <c r="G228" s="254"/>
      <c r="H228" s="269"/>
      <c r="I228" s="269"/>
      <c r="J228" s="251"/>
    </row>
    <row r="229">
      <c r="A229" s="265"/>
      <c r="B229" s="247"/>
      <c r="C229" s="252"/>
      <c r="D229" s="822"/>
      <c r="F229" s="250"/>
      <c r="G229" s="254"/>
      <c r="H229" s="269"/>
      <c r="I229" s="269"/>
      <c r="J229" s="251"/>
    </row>
    <row r="230">
      <c r="A230" s="265"/>
      <c r="B230" s="247"/>
      <c r="C230" s="252"/>
      <c r="D230" s="822"/>
      <c r="F230" s="250"/>
      <c r="G230" s="254"/>
      <c r="H230" s="269"/>
      <c r="I230" s="269"/>
      <c r="J230" s="251"/>
    </row>
    <row r="231">
      <c r="A231" s="265"/>
      <c r="B231" s="247"/>
      <c r="C231" s="252"/>
      <c r="D231" s="822"/>
      <c r="F231" s="250"/>
      <c r="G231" s="254"/>
      <c r="H231" s="269"/>
      <c r="I231" s="269"/>
      <c r="J231" s="251"/>
    </row>
    <row r="232">
      <c r="A232" s="265"/>
      <c r="B232" s="247"/>
      <c r="C232" s="252"/>
      <c r="D232" s="331"/>
      <c r="F232" s="250"/>
      <c r="G232" s="254"/>
      <c r="H232" s="269"/>
      <c r="I232" s="269"/>
      <c r="J232" s="251"/>
    </row>
    <row r="233">
      <c r="A233" s="265"/>
      <c r="B233" s="278"/>
      <c r="C233" s="252"/>
      <c r="D233" s="822"/>
      <c r="F233" s="250"/>
      <c r="G233" s="254"/>
      <c r="H233" s="269"/>
      <c r="I233" s="269"/>
      <c r="J233" s="251"/>
    </row>
    <row r="234">
      <c r="A234" s="265"/>
      <c r="B234" s="278"/>
      <c r="C234" s="252"/>
      <c r="D234" s="822"/>
      <c r="F234" s="282"/>
      <c r="G234" s="269"/>
      <c r="H234" s="269"/>
      <c r="I234" s="269"/>
      <c r="J234" s="251"/>
    </row>
    <row r="235">
      <c r="A235" s="270"/>
      <c r="B235" s="271"/>
      <c r="C235" s="272"/>
      <c r="D235" s="823"/>
      <c r="E235" s="18"/>
      <c r="F235" s="274"/>
      <c r="G235" s="275"/>
      <c r="H235" s="275"/>
      <c r="I235" s="275"/>
      <c r="J235" s="261"/>
    </row>
    <row r="236">
      <c r="A236" s="262" t="s">
        <v>713</v>
      </c>
      <c r="B236" s="239"/>
      <c r="C236" s="240"/>
      <c r="D236" s="821"/>
      <c r="E236" s="242"/>
      <c r="F236" s="243">
        <v>3500.0</v>
      </c>
      <c r="G236" s="276" t="s">
        <v>651</v>
      </c>
      <c r="H236" s="276"/>
      <c r="I236" s="276"/>
      <c r="J236" s="307"/>
    </row>
    <row r="237">
      <c r="A237" s="265"/>
      <c r="B237" s="247"/>
      <c r="C237" s="252"/>
      <c r="D237" s="331"/>
      <c r="F237" s="250">
        <v>2000.0</v>
      </c>
      <c r="G237" s="254" t="s">
        <v>160</v>
      </c>
      <c r="H237" s="269"/>
      <c r="I237" s="269"/>
      <c r="J237" s="251"/>
    </row>
    <row r="238">
      <c r="A238" s="265"/>
      <c r="B238" s="247">
        <v>4610.11</v>
      </c>
      <c r="C238" s="252"/>
      <c r="D238" s="331"/>
      <c r="F238" s="250"/>
      <c r="G238" s="254" t="s">
        <v>2920</v>
      </c>
      <c r="H238" s="269"/>
      <c r="I238" s="269"/>
      <c r="J238" s="251"/>
    </row>
    <row r="239">
      <c r="A239" s="265"/>
      <c r="B239" s="247"/>
      <c r="C239" s="248"/>
      <c r="D239" s="822"/>
      <c r="F239" s="250">
        <f>130+1130.6</f>
        <v>1260.6</v>
      </c>
      <c r="G239" s="254" t="s">
        <v>97</v>
      </c>
      <c r="H239" s="269"/>
      <c r="I239" s="269"/>
      <c r="J239" s="251"/>
    </row>
    <row r="240">
      <c r="A240" s="265"/>
      <c r="B240" s="247"/>
      <c r="C240" s="248"/>
      <c r="D240" s="822"/>
      <c r="F240" s="250">
        <v>17400.0</v>
      </c>
      <c r="G240" s="254" t="s">
        <v>87</v>
      </c>
      <c r="H240" s="269"/>
      <c r="I240" s="269"/>
      <c r="J240" s="251"/>
    </row>
    <row r="241">
      <c r="A241" s="265"/>
      <c r="B241" s="247">
        <v>10179.45</v>
      </c>
      <c r="C241" s="248"/>
      <c r="D241" s="331"/>
      <c r="F241" s="250"/>
      <c r="G241" s="254" t="s">
        <v>114</v>
      </c>
      <c r="H241" s="269"/>
      <c r="I241" s="269"/>
      <c r="J241" s="251"/>
    </row>
    <row r="242">
      <c r="A242" s="265"/>
      <c r="B242" s="247"/>
      <c r="C242" s="252">
        <f>14265.51+26716.2</f>
        <v>40981.71</v>
      </c>
      <c r="D242" s="822"/>
      <c r="F242" s="250"/>
      <c r="G242" s="254" t="s">
        <v>71</v>
      </c>
      <c r="H242" s="269"/>
      <c r="I242" s="269"/>
      <c r="J242" s="251"/>
    </row>
    <row r="243">
      <c r="A243" s="265"/>
      <c r="B243" s="247"/>
      <c r="C243" s="252"/>
      <c r="D243" s="822"/>
      <c r="F243" s="250"/>
      <c r="G243" s="254"/>
      <c r="H243" s="269"/>
      <c r="I243" s="269"/>
      <c r="J243" s="251"/>
    </row>
    <row r="244">
      <c r="A244" s="265"/>
      <c r="B244" s="247"/>
      <c r="C244" s="252"/>
      <c r="D244" s="822"/>
      <c r="F244" s="250"/>
      <c r="G244" s="254"/>
      <c r="H244" s="269"/>
      <c r="I244" s="269"/>
      <c r="J244" s="251"/>
    </row>
    <row r="245">
      <c r="A245" s="265"/>
      <c r="B245" s="247"/>
      <c r="C245" s="252"/>
      <c r="D245" s="822"/>
      <c r="F245" s="250"/>
      <c r="G245" s="254"/>
      <c r="H245" s="269"/>
      <c r="I245" s="269"/>
      <c r="J245" s="251"/>
    </row>
    <row r="246">
      <c r="A246" s="265"/>
      <c r="B246" s="268"/>
      <c r="C246" s="252"/>
      <c r="D246" s="822"/>
      <c r="F246" s="250"/>
      <c r="G246" s="254"/>
      <c r="H246" s="269"/>
      <c r="I246" s="269"/>
      <c r="J246" s="251"/>
    </row>
    <row r="247">
      <c r="A247" s="265"/>
      <c r="B247" s="277"/>
      <c r="C247" s="252"/>
      <c r="D247" s="822"/>
      <c r="F247" s="282"/>
      <c r="G247" s="269"/>
      <c r="H247" s="269"/>
      <c r="I247" s="269"/>
      <c r="J247" s="251"/>
    </row>
    <row r="248">
      <c r="A248" s="265"/>
      <c r="B248" s="278"/>
      <c r="C248" s="252"/>
      <c r="D248" s="822"/>
      <c r="F248" s="282"/>
      <c r="G248" s="269"/>
      <c r="H248" s="269"/>
      <c r="I248" s="269"/>
      <c r="J248" s="251"/>
    </row>
    <row r="249">
      <c r="A249" s="265"/>
      <c r="B249" s="278"/>
      <c r="C249" s="252"/>
      <c r="D249" s="822"/>
      <c r="F249" s="282"/>
      <c r="G249" s="269"/>
      <c r="H249" s="269"/>
      <c r="I249" s="269"/>
      <c r="J249" s="251"/>
    </row>
    <row r="250">
      <c r="A250" s="270"/>
      <c r="B250" s="271"/>
      <c r="C250" s="272"/>
      <c r="D250" s="823"/>
      <c r="E250" s="18"/>
      <c r="F250" s="274"/>
      <c r="G250" s="275"/>
      <c r="H250" s="275"/>
      <c r="I250" s="275"/>
      <c r="J250" s="261"/>
    </row>
    <row r="251">
      <c r="A251" s="262" t="s">
        <v>715</v>
      </c>
      <c r="B251" s="239">
        <v>14049.18</v>
      </c>
      <c r="C251" s="263"/>
      <c r="D251" s="824"/>
      <c r="E251" s="242"/>
      <c r="F251" s="243"/>
      <c r="G251" s="276" t="s">
        <v>74</v>
      </c>
      <c r="H251" s="276"/>
      <c r="I251" s="276"/>
      <c r="J251" s="307"/>
    </row>
    <row r="252">
      <c r="A252" s="265"/>
      <c r="B252" s="247">
        <v>8372.97</v>
      </c>
      <c r="C252" s="252"/>
      <c r="D252" s="822"/>
      <c r="F252" s="250"/>
      <c r="G252" s="254" t="s">
        <v>73</v>
      </c>
      <c r="H252" s="269"/>
      <c r="I252" s="269"/>
      <c r="J252" s="251"/>
    </row>
    <row r="253">
      <c r="A253" s="265"/>
      <c r="B253" s="247">
        <v>17200.0</v>
      </c>
      <c r="C253" s="252"/>
      <c r="D253" s="822"/>
      <c r="F253" s="250"/>
      <c r="G253" s="254" t="s">
        <v>75</v>
      </c>
      <c r="H253" s="254" t="s">
        <v>2913</v>
      </c>
      <c r="I253" s="269"/>
      <c r="J253" s="251"/>
    </row>
    <row r="254">
      <c r="A254" s="265"/>
      <c r="B254" s="247"/>
      <c r="C254" s="248"/>
      <c r="D254" s="822"/>
      <c r="F254" s="250">
        <v>407.0</v>
      </c>
      <c r="G254" s="254" t="s">
        <v>97</v>
      </c>
      <c r="H254" s="269"/>
      <c r="I254" s="269"/>
      <c r="J254" s="251"/>
    </row>
    <row r="255">
      <c r="A255" s="265"/>
      <c r="B255" s="247"/>
      <c r="C255" s="252"/>
      <c r="D255" s="822"/>
      <c r="F255" s="250">
        <v>600.0</v>
      </c>
      <c r="G255" s="254" t="s">
        <v>2921</v>
      </c>
      <c r="H255" s="269"/>
      <c r="I255" s="269"/>
      <c r="J255" s="267"/>
    </row>
    <row r="256">
      <c r="A256" s="265"/>
      <c r="B256" s="247"/>
      <c r="C256" s="248">
        <v>13705.51</v>
      </c>
      <c r="D256" s="822"/>
      <c r="F256" s="250"/>
      <c r="G256" s="254" t="s">
        <v>84</v>
      </c>
      <c r="H256" s="269"/>
      <c r="I256" s="269"/>
      <c r="J256" s="251"/>
    </row>
    <row r="257">
      <c r="A257" s="265"/>
      <c r="B257" s="247"/>
      <c r="C257" s="248"/>
      <c r="D257" s="822"/>
      <c r="F257" s="250">
        <v>1200.0</v>
      </c>
      <c r="G257" s="254" t="s">
        <v>2922</v>
      </c>
      <c r="H257" s="269"/>
      <c r="I257" s="269"/>
      <c r="J257" s="251"/>
    </row>
    <row r="258">
      <c r="A258" s="265"/>
      <c r="B258" s="268"/>
      <c r="C258" s="252"/>
      <c r="D258" s="822"/>
      <c r="F258" s="250">
        <v>2600.0</v>
      </c>
      <c r="G258" s="254" t="s">
        <v>2923</v>
      </c>
      <c r="H258" s="269"/>
      <c r="I258" s="269"/>
      <c r="J258" s="251"/>
    </row>
    <row r="259">
      <c r="A259" s="265"/>
      <c r="B259" s="247"/>
      <c r="C259" s="252"/>
      <c r="D259" s="822"/>
      <c r="F259" s="250"/>
      <c r="G259" s="254"/>
      <c r="H259" s="269"/>
      <c r="I259" s="269"/>
      <c r="J259" s="251"/>
    </row>
    <row r="260">
      <c r="A260" s="265"/>
      <c r="B260" s="247"/>
      <c r="C260" s="252"/>
      <c r="D260" s="822"/>
      <c r="F260" s="250"/>
      <c r="G260" s="254"/>
      <c r="H260" s="269"/>
      <c r="I260" s="269"/>
      <c r="J260" s="251"/>
    </row>
    <row r="261">
      <c r="A261" s="265"/>
      <c r="B261" s="278"/>
      <c r="C261" s="252"/>
      <c r="D261" s="822"/>
      <c r="F261" s="250"/>
      <c r="G261" s="269"/>
      <c r="H261" s="269"/>
      <c r="I261" s="269"/>
      <c r="J261" s="251"/>
    </row>
    <row r="262">
      <c r="A262" s="265"/>
      <c r="B262" s="278"/>
      <c r="C262" s="252"/>
      <c r="D262" s="822"/>
      <c r="F262" s="250"/>
      <c r="G262" s="269"/>
      <c r="H262" s="269"/>
      <c r="I262" s="269"/>
      <c r="J262" s="251"/>
    </row>
    <row r="263">
      <c r="A263" s="265"/>
      <c r="B263" s="278"/>
      <c r="C263" s="252"/>
      <c r="D263" s="822"/>
      <c r="F263" s="250"/>
      <c r="G263" s="269"/>
      <c r="H263" s="269"/>
      <c r="I263" s="269"/>
      <c r="J263" s="251"/>
    </row>
    <row r="264">
      <c r="A264" s="270"/>
      <c r="B264" s="271"/>
      <c r="C264" s="272"/>
      <c r="D264" s="823"/>
      <c r="E264" s="18"/>
      <c r="F264" s="274"/>
      <c r="G264" s="275"/>
      <c r="H264" s="275"/>
      <c r="I264" s="275"/>
      <c r="J264" s="261"/>
    </row>
    <row r="265">
      <c r="A265" s="262" t="s">
        <v>718</v>
      </c>
      <c r="B265" s="239">
        <v>11300.0</v>
      </c>
      <c r="C265" s="263"/>
      <c r="D265" s="824"/>
      <c r="E265" s="242"/>
      <c r="F265" s="243"/>
      <c r="G265" s="276" t="s">
        <v>320</v>
      </c>
      <c r="H265" s="276"/>
      <c r="I265" s="276"/>
      <c r="J265" s="307"/>
    </row>
    <row r="266">
      <c r="A266" s="265"/>
      <c r="B266" s="247">
        <v>3819.69</v>
      </c>
      <c r="C266" s="248"/>
      <c r="D266" s="822"/>
      <c r="F266" s="250"/>
      <c r="G266" s="254" t="s">
        <v>82</v>
      </c>
      <c r="H266" s="269"/>
      <c r="I266" s="269"/>
      <c r="J266" s="251"/>
    </row>
    <row r="267">
      <c r="A267" s="265"/>
      <c r="B267" s="247"/>
      <c r="C267" s="252"/>
      <c r="D267" s="822"/>
      <c r="F267" s="250">
        <v>195.0</v>
      </c>
      <c r="G267" s="254" t="s">
        <v>227</v>
      </c>
      <c r="H267" s="269"/>
      <c r="I267" s="269"/>
      <c r="J267" s="251"/>
    </row>
    <row r="268">
      <c r="A268" s="265"/>
      <c r="B268" s="247"/>
      <c r="C268" s="248"/>
      <c r="D268" s="822"/>
      <c r="F268" s="250">
        <v>17400.0</v>
      </c>
      <c r="G268" s="254" t="s">
        <v>87</v>
      </c>
      <c r="H268" s="269"/>
      <c r="I268" s="269"/>
      <c r="J268" s="251"/>
    </row>
    <row r="269">
      <c r="A269" s="265"/>
      <c r="B269" s="247">
        <v>8940.58</v>
      </c>
      <c r="C269" s="248"/>
      <c r="D269" s="331"/>
      <c r="F269" s="250"/>
      <c r="G269" s="254" t="s">
        <v>114</v>
      </c>
      <c r="H269" s="269"/>
      <c r="I269" s="269"/>
      <c r="J269" s="251"/>
    </row>
    <row r="270">
      <c r="A270" s="265"/>
      <c r="B270" s="247">
        <v>9190.0</v>
      </c>
      <c r="C270" s="248"/>
      <c r="D270" s="331"/>
      <c r="F270" s="250"/>
      <c r="G270" s="254" t="s">
        <v>150</v>
      </c>
      <c r="H270" s="269"/>
      <c r="I270" s="269"/>
      <c r="J270" s="251"/>
    </row>
    <row r="271">
      <c r="A271" s="265"/>
      <c r="B271" s="247">
        <v>6780.0</v>
      </c>
      <c r="C271" s="252"/>
      <c r="D271" s="331"/>
      <c r="F271" s="250"/>
      <c r="G271" s="254" t="s">
        <v>1844</v>
      </c>
      <c r="H271" s="269"/>
      <c r="I271" s="269"/>
      <c r="J271" s="251"/>
    </row>
    <row r="272">
      <c r="A272" s="265"/>
      <c r="B272" s="247"/>
      <c r="C272" s="252"/>
      <c r="D272" s="822"/>
      <c r="F272" s="250">
        <v>10000.0</v>
      </c>
      <c r="G272" s="254"/>
      <c r="H272" s="269"/>
      <c r="I272" s="269"/>
      <c r="J272" s="251"/>
    </row>
    <row r="273">
      <c r="A273" s="265"/>
      <c r="B273" s="247"/>
      <c r="C273" s="252"/>
      <c r="D273" s="822"/>
      <c r="F273" s="250"/>
      <c r="G273" s="254"/>
      <c r="H273" s="269"/>
      <c r="I273" s="269"/>
      <c r="J273" s="251"/>
    </row>
    <row r="274">
      <c r="A274" s="265"/>
      <c r="B274" s="247"/>
      <c r="C274" s="252"/>
      <c r="D274" s="822"/>
      <c r="F274" s="250"/>
      <c r="G274" s="254"/>
      <c r="H274" s="269"/>
      <c r="I274" s="269"/>
      <c r="J274" s="251"/>
    </row>
    <row r="275">
      <c r="A275" s="265"/>
      <c r="B275" s="268"/>
      <c r="C275" s="252"/>
      <c r="D275" s="822"/>
      <c r="F275" s="250"/>
      <c r="G275" s="254"/>
      <c r="H275" s="269"/>
      <c r="I275" s="269"/>
      <c r="J275" s="267"/>
    </row>
    <row r="276">
      <c r="A276" s="265"/>
      <c r="B276" s="268"/>
      <c r="C276" s="252"/>
      <c r="D276" s="822"/>
      <c r="F276" s="250"/>
      <c r="G276" s="254"/>
      <c r="H276" s="269"/>
      <c r="I276" s="269"/>
      <c r="J276" s="251"/>
    </row>
    <row r="277">
      <c r="A277" s="265"/>
      <c r="B277" s="268"/>
      <c r="C277" s="252"/>
      <c r="D277" s="822"/>
      <c r="F277" s="250"/>
      <c r="G277" s="254"/>
      <c r="H277" s="269"/>
      <c r="I277" s="269"/>
      <c r="J277" s="251"/>
    </row>
    <row r="278">
      <c r="A278" s="270"/>
      <c r="B278" s="271"/>
      <c r="C278" s="272"/>
      <c r="D278" s="823"/>
      <c r="E278" s="18"/>
      <c r="F278" s="259"/>
      <c r="G278" s="260"/>
      <c r="H278" s="260"/>
      <c r="I278" s="275"/>
      <c r="J278" s="261"/>
    </row>
    <row r="279">
      <c r="A279" s="262">
        <v>24.0</v>
      </c>
      <c r="B279" s="239">
        <v>2260.0</v>
      </c>
      <c r="C279" s="263"/>
      <c r="D279" s="821"/>
      <c r="E279" s="242"/>
      <c r="F279" s="243"/>
      <c r="G279" s="276" t="s">
        <v>2924</v>
      </c>
      <c r="H279" s="276"/>
      <c r="I279" s="276"/>
      <c r="J279" s="307"/>
    </row>
    <row r="280">
      <c r="A280" s="265"/>
      <c r="B280" s="247"/>
      <c r="C280" s="252"/>
      <c r="D280" s="822"/>
      <c r="F280" s="250"/>
      <c r="G280" s="254"/>
      <c r="H280" s="269"/>
      <c r="I280" s="269"/>
      <c r="J280" s="251"/>
    </row>
    <row r="281">
      <c r="A281" s="265"/>
      <c r="B281" s="247"/>
      <c r="C281" s="248"/>
      <c r="D281" s="331"/>
      <c r="F281" s="250"/>
      <c r="G281" s="254"/>
      <c r="H281" s="269"/>
      <c r="I281" s="269"/>
      <c r="J281" s="251"/>
    </row>
    <row r="282">
      <c r="A282" s="265"/>
      <c r="B282" s="247"/>
      <c r="C282" s="252"/>
      <c r="D282" s="822"/>
      <c r="F282" s="250"/>
      <c r="G282" s="254"/>
      <c r="H282" s="269"/>
      <c r="I282" s="269"/>
      <c r="J282" s="251"/>
    </row>
    <row r="283">
      <c r="A283" s="265"/>
      <c r="B283" s="247"/>
      <c r="C283" s="248"/>
      <c r="D283" s="822"/>
      <c r="F283" s="250"/>
      <c r="G283" s="254"/>
      <c r="H283" s="269"/>
      <c r="I283" s="269"/>
      <c r="J283" s="251"/>
    </row>
    <row r="284">
      <c r="A284" s="265"/>
      <c r="B284" s="247"/>
      <c r="C284" s="252"/>
      <c r="D284" s="822"/>
      <c r="F284" s="250"/>
      <c r="G284" s="254"/>
      <c r="H284" s="269"/>
      <c r="I284" s="269"/>
      <c r="J284" s="251"/>
    </row>
    <row r="285">
      <c r="A285" s="265"/>
      <c r="B285" s="247"/>
      <c r="C285" s="252"/>
      <c r="D285" s="822"/>
      <c r="F285" s="250"/>
      <c r="G285" s="254"/>
      <c r="H285" s="269"/>
      <c r="I285" s="269"/>
      <c r="J285" s="251"/>
    </row>
    <row r="286">
      <c r="A286" s="265"/>
      <c r="B286" s="268"/>
      <c r="C286" s="248"/>
      <c r="D286" s="822"/>
      <c r="F286" s="250"/>
      <c r="G286" s="269"/>
      <c r="H286" s="269"/>
      <c r="I286" s="269"/>
      <c r="J286" s="251"/>
    </row>
    <row r="287">
      <c r="A287" s="265"/>
      <c r="B287" s="268"/>
      <c r="C287" s="248"/>
      <c r="D287" s="822"/>
      <c r="F287" s="250"/>
      <c r="G287" s="269"/>
      <c r="H287" s="269"/>
      <c r="I287" s="269"/>
      <c r="J287" s="251"/>
    </row>
    <row r="288">
      <c r="A288" s="265"/>
      <c r="B288" s="268"/>
      <c r="C288" s="252"/>
      <c r="D288" s="822"/>
      <c r="F288" s="250"/>
      <c r="G288" s="269"/>
      <c r="H288" s="269"/>
      <c r="I288" s="269"/>
      <c r="J288" s="251"/>
    </row>
    <row r="289">
      <c r="A289" s="265"/>
      <c r="B289" s="268"/>
      <c r="C289" s="252"/>
      <c r="D289" s="822"/>
      <c r="F289" s="250"/>
      <c r="G289" s="269"/>
      <c r="H289" s="269"/>
      <c r="I289" s="269"/>
      <c r="J289" s="251"/>
    </row>
    <row r="290">
      <c r="A290" s="265"/>
      <c r="B290" s="268"/>
      <c r="C290" s="252"/>
      <c r="D290" s="822"/>
      <c r="F290" s="250"/>
      <c r="G290" s="269"/>
      <c r="H290" s="269"/>
      <c r="I290" s="269"/>
      <c r="J290" s="251"/>
    </row>
    <row r="291">
      <c r="A291" s="270"/>
      <c r="B291" s="271"/>
      <c r="C291" s="272"/>
      <c r="D291" s="823"/>
      <c r="E291" s="18"/>
      <c r="F291" s="259"/>
      <c r="G291" s="260"/>
      <c r="H291" s="260"/>
      <c r="I291" s="275"/>
      <c r="J291" s="261"/>
    </row>
    <row r="292">
      <c r="A292" s="262">
        <v>25.0</v>
      </c>
      <c r="B292" s="239"/>
      <c r="C292" s="263"/>
      <c r="D292" s="824"/>
      <c r="E292" s="242"/>
      <c r="F292" s="243">
        <v>4800.0</v>
      </c>
      <c r="G292" s="276" t="s">
        <v>68</v>
      </c>
      <c r="H292" s="276"/>
      <c r="I292" s="276"/>
      <c r="J292" s="307"/>
    </row>
    <row r="293">
      <c r="A293" s="265"/>
      <c r="B293" s="247"/>
      <c r="C293" s="252"/>
      <c r="D293" s="822"/>
      <c r="F293" s="250">
        <v>1791.0</v>
      </c>
      <c r="G293" s="254" t="s">
        <v>97</v>
      </c>
      <c r="H293" s="269"/>
      <c r="I293" s="269"/>
      <c r="J293" s="251"/>
    </row>
    <row r="294">
      <c r="A294" s="265"/>
      <c r="B294" s="247">
        <v>3819.7</v>
      </c>
      <c r="C294" s="252"/>
      <c r="D294" s="822"/>
      <c r="F294" s="250"/>
      <c r="G294" s="254" t="s">
        <v>82</v>
      </c>
      <c r="H294" s="269"/>
      <c r="I294" s="269"/>
      <c r="J294" s="251"/>
    </row>
    <row r="295">
      <c r="A295" s="265"/>
      <c r="B295" s="268"/>
      <c r="C295" s="248"/>
      <c r="D295" s="822"/>
      <c r="F295" s="250">
        <v>3100.0</v>
      </c>
      <c r="G295" s="254" t="s">
        <v>391</v>
      </c>
      <c r="H295" s="269"/>
      <c r="I295" s="269"/>
      <c r="J295" s="251"/>
    </row>
    <row r="296">
      <c r="A296" s="265"/>
      <c r="B296" s="247">
        <v>5570.0</v>
      </c>
      <c r="C296" s="252"/>
      <c r="D296" s="822"/>
      <c r="F296" s="250"/>
      <c r="G296" s="254" t="s">
        <v>75</v>
      </c>
      <c r="H296" s="269"/>
      <c r="I296" s="269"/>
      <c r="J296" s="251"/>
    </row>
    <row r="297">
      <c r="A297" s="265"/>
      <c r="B297" s="268"/>
      <c r="C297" s="248"/>
      <c r="D297" s="331"/>
      <c r="F297" s="250">
        <v>600.0</v>
      </c>
      <c r="G297" s="254" t="s">
        <v>2925</v>
      </c>
      <c r="H297" s="269"/>
      <c r="I297" s="269"/>
      <c r="J297" s="251"/>
    </row>
    <row r="298">
      <c r="A298" s="265"/>
      <c r="B298" s="247"/>
      <c r="C298" s="248">
        <v>8002.0</v>
      </c>
      <c r="D298" s="331"/>
      <c r="F298" s="250"/>
      <c r="G298" s="254" t="s">
        <v>71</v>
      </c>
      <c r="H298" s="269"/>
      <c r="I298" s="269"/>
      <c r="J298" s="251"/>
    </row>
    <row r="299">
      <c r="A299" s="265"/>
      <c r="B299" s="247">
        <v>13146.82</v>
      </c>
      <c r="C299" s="248"/>
      <c r="D299" s="822"/>
      <c r="F299" s="250"/>
      <c r="G299" s="254" t="s">
        <v>103</v>
      </c>
      <c r="H299" s="269"/>
      <c r="I299" s="269"/>
      <c r="J299" s="251"/>
    </row>
    <row r="300">
      <c r="A300" s="265"/>
      <c r="B300" s="268"/>
      <c r="C300" s="252"/>
      <c r="D300" s="331"/>
      <c r="F300" s="250"/>
      <c r="G300" s="254"/>
      <c r="H300" s="269"/>
      <c r="I300" s="269"/>
      <c r="J300" s="251"/>
    </row>
    <row r="301">
      <c r="A301" s="265"/>
      <c r="B301" s="247"/>
      <c r="C301" s="252"/>
      <c r="D301" s="331"/>
      <c r="F301" s="250"/>
      <c r="G301" s="254"/>
      <c r="H301" s="269"/>
      <c r="I301" s="269"/>
      <c r="J301" s="251"/>
    </row>
    <row r="302">
      <c r="A302" s="265"/>
      <c r="B302" s="268"/>
      <c r="C302" s="252"/>
      <c r="D302" s="822"/>
      <c r="F302" s="250"/>
      <c r="G302" s="269"/>
      <c r="H302" s="269"/>
      <c r="I302" s="269"/>
      <c r="J302" s="251"/>
    </row>
    <row r="303">
      <c r="A303" s="265"/>
      <c r="B303" s="268"/>
      <c r="C303" s="252"/>
      <c r="D303" s="822"/>
      <c r="F303" s="250"/>
      <c r="G303" s="269"/>
      <c r="H303" s="269"/>
      <c r="I303" s="269"/>
      <c r="J303" s="251"/>
    </row>
    <row r="304">
      <c r="A304" s="265"/>
      <c r="B304" s="268"/>
      <c r="C304" s="252"/>
      <c r="D304" s="822"/>
      <c r="F304" s="250"/>
      <c r="G304" s="269"/>
      <c r="H304" s="269"/>
      <c r="I304" s="269"/>
      <c r="J304" s="251"/>
    </row>
    <row r="305">
      <c r="A305" s="270"/>
      <c r="B305" s="271"/>
      <c r="C305" s="272"/>
      <c r="D305" s="823"/>
      <c r="E305" s="18"/>
      <c r="F305" s="274"/>
      <c r="G305" s="275"/>
      <c r="H305" s="275"/>
      <c r="I305" s="275"/>
      <c r="J305" s="261"/>
    </row>
    <row r="306">
      <c r="A306" s="262">
        <v>26.0</v>
      </c>
      <c r="B306" s="239"/>
      <c r="C306" s="263"/>
      <c r="D306" s="824"/>
      <c r="E306" s="242"/>
      <c r="F306" s="243">
        <v>8600.0</v>
      </c>
      <c r="G306" s="276" t="s">
        <v>2669</v>
      </c>
      <c r="H306" s="276"/>
      <c r="I306" s="276"/>
      <c r="J306" s="307"/>
    </row>
    <row r="307">
      <c r="A307" s="265"/>
      <c r="B307" s="247"/>
      <c r="C307" s="248">
        <v>62749.0</v>
      </c>
      <c r="D307" s="822"/>
      <c r="F307" s="250"/>
      <c r="G307" s="254" t="s">
        <v>2926</v>
      </c>
      <c r="H307" s="269"/>
      <c r="I307" s="269"/>
      <c r="J307" s="251"/>
    </row>
    <row r="308">
      <c r="A308" s="265"/>
      <c r="B308" s="247"/>
      <c r="C308" s="248"/>
      <c r="D308" s="822"/>
      <c r="F308" s="250"/>
      <c r="G308" s="254"/>
      <c r="H308" s="269"/>
      <c r="I308" s="269"/>
      <c r="J308" s="251"/>
    </row>
    <row r="309">
      <c r="A309" s="265"/>
      <c r="B309" s="247"/>
      <c r="C309" s="248"/>
      <c r="D309" s="822"/>
      <c r="F309" s="250"/>
      <c r="G309" s="254"/>
      <c r="H309" s="269"/>
      <c r="I309" s="269"/>
      <c r="J309" s="251"/>
    </row>
    <row r="310">
      <c r="A310" s="265"/>
      <c r="B310" s="247"/>
      <c r="C310" s="252"/>
      <c r="D310" s="822"/>
      <c r="F310" s="250"/>
      <c r="G310" s="254"/>
      <c r="H310" s="269"/>
      <c r="I310" s="269"/>
      <c r="J310" s="251"/>
    </row>
    <row r="311">
      <c r="A311" s="265"/>
      <c r="B311" s="247"/>
      <c r="C311" s="252"/>
      <c r="D311" s="822"/>
      <c r="F311" s="250"/>
      <c r="G311" s="254"/>
      <c r="H311" s="269"/>
      <c r="I311" s="269"/>
      <c r="J311" s="251"/>
    </row>
    <row r="312">
      <c r="A312" s="265"/>
      <c r="B312" s="247"/>
      <c r="C312" s="248"/>
      <c r="D312" s="822"/>
      <c r="F312" s="250"/>
      <c r="G312" s="254"/>
      <c r="H312" s="269"/>
      <c r="I312" s="269"/>
      <c r="J312" s="251"/>
    </row>
    <row r="313">
      <c r="A313" s="265"/>
      <c r="B313" s="247"/>
      <c r="C313" s="252"/>
      <c r="D313" s="822"/>
      <c r="F313" s="250"/>
      <c r="G313" s="254"/>
      <c r="H313" s="269"/>
      <c r="I313" s="269"/>
      <c r="J313" s="251"/>
    </row>
    <row r="314">
      <c r="A314" s="265"/>
      <c r="B314" s="247"/>
      <c r="C314" s="252"/>
      <c r="D314" s="822"/>
      <c r="F314" s="250"/>
      <c r="G314" s="254"/>
      <c r="H314" s="269"/>
      <c r="I314" s="269"/>
      <c r="J314" s="251"/>
    </row>
    <row r="315">
      <c r="A315" s="265"/>
      <c r="B315" s="268"/>
      <c r="C315" s="252"/>
      <c r="D315" s="822"/>
      <c r="F315" s="250"/>
      <c r="G315" s="269"/>
      <c r="H315" s="269"/>
      <c r="I315" s="269"/>
      <c r="J315" s="251"/>
    </row>
    <row r="316">
      <c r="A316" s="265"/>
      <c r="B316" s="268"/>
      <c r="C316" s="252"/>
      <c r="D316" s="822"/>
      <c r="F316" s="250"/>
      <c r="G316" s="254"/>
      <c r="H316" s="254"/>
      <c r="I316" s="269"/>
      <c r="J316" s="251"/>
    </row>
    <row r="317">
      <c r="A317" s="265"/>
      <c r="B317" s="268"/>
      <c r="C317" s="252"/>
      <c r="D317" s="822"/>
      <c r="F317" s="250"/>
      <c r="G317" s="269"/>
      <c r="H317" s="269"/>
      <c r="I317" s="269"/>
      <c r="J317" s="251"/>
    </row>
    <row r="318">
      <c r="A318" s="265"/>
      <c r="B318" s="268"/>
      <c r="C318" s="252"/>
      <c r="D318" s="822"/>
      <c r="F318" s="250"/>
      <c r="G318" s="269"/>
      <c r="H318" s="269"/>
      <c r="I318" s="269"/>
      <c r="J318" s="251"/>
    </row>
    <row r="319">
      <c r="A319" s="265"/>
      <c r="B319" s="268"/>
      <c r="C319" s="252"/>
      <c r="D319" s="822"/>
      <c r="F319" s="250"/>
      <c r="G319" s="269"/>
      <c r="H319" s="269"/>
      <c r="I319" s="269"/>
      <c r="J319" s="251"/>
    </row>
    <row r="320">
      <c r="A320" s="270"/>
      <c r="B320" s="271"/>
      <c r="C320" s="272"/>
      <c r="D320" s="823"/>
      <c r="E320" s="18"/>
      <c r="F320" s="274"/>
      <c r="G320" s="275"/>
      <c r="H320" s="275"/>
      <c r="I320" s="275"/>
      <c r="J320" s="261"/>
    </row>
    <row r="321">
      <c r="A321" s="262" t="s">
        <v>727</v>
      </c>
      <c r="B321" s="239"/>
      <c r="C321" s="240">
        <f>13324.16+22679.16</f>
        <v>36003.32</v>
      </c>
      <c r="D321" s="821"/>
      <c r="E321" s="242"/>
      <c r="F321" s="250"/>
      <c r="G321" s="254" t="s">
        <v>71</v>
      </c>
      <c r="H321" s="269"/>
      <c r="I321" s="269"/>
      <c r="J321" s="307"/>
    </row>
    <row r="322">
      <c r="A322" s="265"/>
      <c r="B322" s="247"/>
      <c r="C322" s="252"/>
      <c r="D322" s="822"/>
      <c r="F322" s="250">
        <v>17400.0</v>
      </c>
      <c r="G322" s="254" t="s">
        <v>87</v>
      </c>
      <c r="H322" s="269"/>
      <c r="I322" s="269"/>
      <c r="J322" s="251"/>
    </row>
    <row r="323">
      <c r="A323" s="265"/>
      <c r="B323" s="247">
        <v>3819.69</v>
      </c>
      <c r="C323" s="248"/>
      <c r="D323" s="331"/>
      <c r="F323" s="250"/>
      <c r="G323" s="254" t="s">
        <v>82</v>
      </c>
      <c r="H323" s="269"/>
      <c r="I323" s="269"/>
      <c r="J323" s="251"/>
    </row>
    <row r="324">
      <c r="A324" s="265"/>
      <c r="B324" s="247"/>
      <c r="C324" s="248"/>
      <c r="D324" s="822"/>
      <c r="F324" s="250">
        <v>1193.5</v>
      </c>
      <c r="G324" s="254" t="s">
        <v>97</v>
      </c>
      <c r="H324" s="269"/>
      <c r="I324" s="269"/>
      <c r="J324" s="251"/>
    </row>
    <row r="325">
      <c r="A325" s="265"/>
      <c r="B325" s="247">
        <v>4027.0</v>
      </c>
      <c r="C325" s="252"/>
      <c r="D325" s="822"/>
      <c r="F325" s="250"/>
      <c r="G325" s="254" t="s">
        <v>2706</v>
      </c>
      <c r="H325" s="269"/>
      <c r="I325" s="269"/>
      <c r="J325" s="251"/>
    </row>
    <row r="326">
      <c r="A326" s="265"/>
      <c r="B326" s="247"/>
      <c r="C326" s="252"/>
      <c r="D326" s="822"/>
      <c r="F326" s="250">
        <v>2000.0</v>
      </c>
      <c r="G326" s="254" t="s">
        <v>101</v>
      </c>
      <c r="H326" s="269"/>
      <c r="I326" s="269"/>
      <c r="J326" s="251"/>
    </row>
    <row r="327">
      <c r="A327" s="265"/>
      <c r="B327" s="247"/>
      <c r="C327" s="252"/>
      <c r="D327" s="331"/>
      <c r="F327" s="250"/>
      <c r="G327" s="269"/>
      <c r="H327" s="269"/>
      <c r="I327" s="269"/>
      <c r="J327" s="251"/>
    </row>
    <row r="328">
      <c r="A328" s="265"/>
      <c r="B328" s="247"/>
      <c r="C328" s="252"/>
      <c r="D328" s="822"/>
      <c r="F328" s="250"/>
      <c r="G328" s="269"/>
      <c r="H328" s="269"/>
      <c r="I328" s="269"/>
      <c r="J328" s="251"/>
    </row>
    <row r="329">
      <c r="A329" s="265"/>
      <c r="B329" s="268"/>
      <c r="C329" s="252"/>
      <c r="D329" s="822"/>
      <c r="F329" s="250"/>
      <c r="G329" s="269"/>
      <c r="H329" s="269"/>
      <c r="I329" s="269"/>
      <c r="J329" s="251"/>
    </row>
    <row r="330">
      <c r="A330" s="265"/>
      <c r="B330" s="268"/>
      <c r="C330" s="252"/>
      <c r="D330" s="822"/>
      <c r="F330" s="250"/>
      <c r="G330" s="269"/>
      <c r="H330" s="269"/>
      <c r="I330" s="269"/>
      <c r="J330" s="251"/>
    </row>
    <row r="331">
      <c r="A331" s="265"/>
      <c r="B331" s="268"/>
      <c r="C331" s="252"/>
      <c r="D331" s="822"/>
      <c r="F331" s="250"/>
      <c r="G331" s="269"/>
      <c r="H331" s="269"/>
      <c r="I331" s="269"/>
      <c r="J331" s="251"/>
    </row>
    <row r="332">
      <c r="A332" s="265"/>
      <c r="B332" s="247"/>
      <c r="C332" s="252"/>
      <c r="D332" s="822"/>
      <c r="F332" s="250"/>
      <c r="G332" s="269"/>
      <c r="H332" s="269"/>
      <c r="I332" s="269"/>
      <c r="J332" s="251"/>
    </row>
    <row r="333">
      <c r="A333" s="265"/>
      <c r="B333" s="268"/>
      <c r="C333" s="252"/>
      <c r="D333" s="822"/>
      <c r="F333" s="250"/>
      <c r="G333" s="269"/>
      <c r="H333" s="269"/>
      <c r="I333" s="269"/>
      <c r="J333" s="251"/>
    </row>
    <row r="334">
      <c r="A334" s="265"/>
      <c r="B334" s="268"/>
      <c r="C334" s="252"/>
      <c r="D334" s="822"/>
      <c r="F334" s="250"/>
      <c r="G334" s="269"/>
      <c r="H334" s="269"/>
      <c r="I334" s="269"/>
      <c r="J334" s="251"/>
    </row>
    <row r="335">
      <c r="A335" s="270"/>
      <c r="B335" s="271"/>
      <c r="C335" s="272"/>
      <c r="D335" s="823"/>
      <c r="E335" s="18"/>
      <c r="F335" s="274"/>
      <c r="G335" s="18"/>
      <c r="H335" s="18"/>
      <c r="I335" s="18"/>
      <c r="J335" s="261"/>
    </row>
    <row r="336">
      <c r="A336" s="262"/>
      <c r="B336" s="239">
        <v>14990.0</v>
      </c>
      <c r="C336" s="263"/>
      <c r="D336" s="824"/>
      <c r="E336" s="242"/>
      <c r="F336" s="243"/>
      <c r="G336" s="244" t="s">
        <v>75</v>
      </c>
      <c r="H336" s="244"/>
      <c r="I336" s="244"/>
      <c r="J336" s="307"/>
    </row>
    <row r="337">
      <c r="A337" s="265"/>
      <c r="B337" s="247"/>
      <c r="C337" s="248"/>
      <c r="D337" s="822"/>
      <c r="F337" s="250">
        <v>1164.0</v>
      </c>
      <c r="G337" s="2" t="s">
        <v>1737</v>
      </c>
      <c r="J337" s="251"/>
    </row>
    <row r="338">
      <c r="A338" s="265"/>
      <c r="B338" s="268"/>
      <c r="C338" s="248"/>
      <c r="D338" s="822"/>
      <c r="F338" s="250">
        <v>1549.0</v>
      </c>
      <c r="G338" s="2" t="s">
        <v>97</v>
      </c>
      <c r="J338" s="251"/>
    </row>
    <row r="339">
      <c r="A339" s="265"/>
      <c r="B339" s="247">
        <v>10283.08</v>
      </c>
      <c r="C339" s="252"/>
      <c r="D339" s="822"/>
      <c r="F339" s="250"/>
      <c r="G339" s="2" t="s">
        <v>73</v>
      </c>
      <c r="J339" s="251"/>
    </row>
    <row r="340">
      <c r="A340" s="265"/>
      <c r="B340" s="247">
        <v>14918.16</v>
      </c>
      <c r="C340" s="248"/>
      <c r="D340" s="331"/>
      <c r="F340" s="250"/>
      <c r="G340" s="2" t="s">
        <v>74</v>
      </c>
      <c r="J340" s="251"/>
    </row>
    <row r="341">
      <c r="A341" s="265"/>
      <c r="B341" s="247"/>
      <c r="C341" s="252"/>
      <c r="D341" s="331">
        <v>9082.4</v>
      </c>
      <c r="F341" s="250"/>
      <c r="G341" s="2" t="s">
        <v>114</v>
      </c>
      <c r="J341" s="251"/>
    </row>
    <row r="342">
      <c r="A342" s="265"/>
      <c r="B342" s="247"/>
      <c r="C342" s="252"/>
      <c r="D342" s="331">
        <v>9019.1</v>
      </c>
      <c r="F342" s="250"/>
      <c r="G342" s="2" t="s">
        <v>91</v>
      </c>
      <c r="J342" s="251"/>
    </row>
    <row r="343">
      <c r="A343" s="265"/>
      <c r="B343" s="247">
        <v>21695.3</v>
      </c>
      <c r="C343" s="252"/>
      <c r="D343" s="822"/>
      <c r="F343" s="250"/>
      <c r="G343" s="2" t="s">
        <v>100</v>
      </c>
      <c r="H343" s="2" t="s">
        <v>2927</v>
      </c>
      <c r="J343" s="251"/>
    </row>
    <row r="344">
      <c r="A344" s="265"/>
      <c r="B344" s="247"/>
      <c r="C344" s="252"/>
      <c r="D344" s="331">
        <v>12800.0</v>
      </c>
      <c r="F344" s="250"/>
      <c r="G344" s="2" t="s">
        <v>122</v>
      </c>
      <c r="J344" s="251"/>
    </row>
    <row r="345">
      <c r="A345" s="265"/>
      <c r="B345" s="247"/>
      <c r="C345" s="252"/>
      <c r="D345" s="822"/>
      <c r="F345" s="250">
        <v>10600.0</v>
      </c>
      <c r="G345" s="2" t="s">
        <v>76</v>
      </c>
      <c r="J345" s="251"/>
    </row>
    <row r="346">
      <c r="A346" s="265"/>
      <c r="B346" s="247"/>
      <c r="C346" s="252"/>
      <c r="D346" s="822"/>
      <c r="F346" s="250"/>
      <c r="J346" s="251"/>
    </row>
    <row r="347">
      <c r="A347" s="265"/>
      <c r="B347" s="247"/>
      <c r="C347" s="252"/>
      <c r="D347" s="331"/>
      <c r="F347" s="250"/>
      <c r="J347" s="251"/>
    </row>
    <row r="348">
      <c r="A348" s="270"/>
      <c r="B348" s="271"/>
      <c r="C348" s="272"/>
      <c r="D348" s="823"/>
      <c r="E348" s="18"/>
      <c r="F348" s="259"/>
      <c r="G348" s="293"/>
      <c r="H348" s="293"/>
      <c r="I348" s="18"/>
      <c r="J348" s="261"/>
    </row>
    <row r="349">
      <c r="A349" s="262"/>
      <c r="B349" s="306"/>
      <c r="C349" s="263">
        <v>24681.47</v>
      </c>
      <c r="D349" s="824"/>
      <c r="E349" s="242"/>
      <c r="F349" s="243"/>
      <c r="G349" s="244" t="s">
        <v>84</v>
      </c>
      <c r="H349" s="244"/>
      <c r="I349" s="244"/>
      <c r="J349" s="307"/>
    </row>
    <row r="350">
      <c r="A350" s="265"/>
      <c r="B350" s="247">
        <v>5729.55</v>
      </c>
      <c r="C350" s="248"/>
      <c r="D350" s="822"/>
      <c r="F350" s="250"/>
      <c r="G350" s="2" t="s">
        <v>82</v>
      </c>
      <c r="J350" s="251"/>
    </row>
    <row r="351">
      <c r="A351" s="265"/>
      <c r="B351" s="247"/>
      <c r="C351" s="252"/>
      <c r="D351" s="822"/>
      <c r="F351" s="250">
        <v>6960.0</v>
      </c>
      <c r="G351" s="2" t="s">
        <v>275</v>
      </c>
      <c r="J351" s="251"/>
    </row>
    <row r="352">
      <c r="A352" s="265"/>
      <c r="B352" s="247"/>
      <c r="C352" s="248"/>
      <c r="D352" s="331"/>
      <c r="F352" s="250">
        <f>2095.44+328</f>
        <v>2423.44</v>
      </c>
      <c r="G352" s="2" t="s">
        <v>97</v>
      </c>
      <c r="J352" s="251"/>
    </row>
    <row r="353">
      <c r="A353" s="265"/>
      <c r="B353" s="247">
        <v>12540.0</v>
      </c>
      <c r="C353" s="252"/>
      <c r="D353" s="822"/>
      <c r="F353" s="250"/>
      <c r="G353" s="2" t="s">
        <v>79</v>
      </c>
      <c r="J353" s="251"/>
    </row>
    <row r="354">
      <c r="A354" s="265"/>
      <c r="B354" s="247">
        <v>2852.0</v>
      </c>
      <c r="C354" s="252"/>
      <c r="D354" s="822"/>
      <c r="F354" s="250"/>
      <c r="G354" s="2" t="s">
        <v>2647</v>
      </c>
      <c r="J354" s="251"/>
    </row>
    <row r="355">
      <c r="A355" s="265"/>
      <c r="B355" s="247"/>
      <c r="C355" s="252"/>
      <c r="D355" s="822"/>
      <c r="F355" s="250"/>
      <c r="I355" s="318"/>
      <c r="J355" s="251"/>
    </row>
    <row r="356">
      <c r="A356" s="265"/>
      <c r="B356" s="268"/>
      <c r="C356" s="252"/>
      <c r="D356" s="331"/>
      <c r="F356" s="250"/>
      <c r="J356" s="251"/>
    </row>
    <row r="357">
      <c r="A357" s="265"/>
      <c r="B357" s="268"/>
      <c r="C357" s="252"/>
      <c r="D357" s="822"/>
      <c r="F357" s="250"/>
      <c r="J357" s="251"/>
    </row>
    <row r="358">
      <c r="A358" s="265"/>
      <c r="B358" s="268"/>
      <c r="C358" s="252"/>
      <c r="D358" s="822"/>
      <c r="F358" s="250"/>
      <c r="J358" s="251"/>
    </row>
    <row r="359">
      <c r="A359" s="265"/>
      <c r="B359" s="268"/>
      <c r="C359" s="252"/>
      <c r="D359" s="822"/>
      <c r="F359" s="250"/>
      <c r="J359" s="251"/>
    </row>
    <row r="360">
      <c r="A360" s="265"/>
      <c r="B360" s="247"/>
      <c r="C360" s="252"/>
      <c r="D360" s="822"/>
      <c r="F360" s="250"/>
      <c r="J360" s="251"/>
    </row>
    <row r="361">
      <c r="A361" s="265"/>
      <c r="B361" s="268"/>
      <c r="C361" s="252"/>
      <c r="D361" s="822"/>
      <c r="F361" s="250"/>
      <c r="J361" s="251"/>
    </row>
    <row r="362">
      <c r="A362" s="265"/>
      <c r="B362" s="268"/>
      <c r="C362" s="252"/>
      <c r="D362" s="822"/>
      <c r="F362" s="250"/>
      <c r="J362" s="251"/>
    </row>
    <row r="363">
      <c r="A363" s="265"/>
      <c r="B363" s="268"/>
      <c r="C363" s="252"/>
      <c r="D363" s="822"/>
      <c r="F363" s="250"/>
      <c r="J363" s="251"/>
    </row>
    <row r="364">
      <c r="A364" s="265"/>
      <c r="B364" s="268"/>
      <c r="C364" s="252"/>
      <c r="D364" s="822"/>
      <c r="F364" s="250"/>
      <c r="J364" s="251"/>
    </row>
    <row r="365">
      <c r="A365" s="265"/>
      <c r="B365" s="268"/>
      <c r="C365" s="252"/>
      <c r="D365" s="822"/>
      <c r="F365" s="250"/>
      <c r="J365" s="251"/>
    </row>
    <row r="366">
      <c r="A366" s="270"/>
      <c r="B366" s="271"/>
      <c r="C366" s="272"/>
      <c r="D366" s="823"/>
      <c r="E366" s="18"/>
      <c r="F366" s="274"/>
      <c r="G366" s="18"/>
      <c r="H366" s="18"/>
      <c r="I366" s="293"/>
      <c r="J366" s="261"/>
    </row>
    <row r="367">
      <c r="A367" s="262"/>
      <c r="B367" s="306"/>
      <c r="C367" s="240"/>
      <c r="D367" s="824"/>
      <c r="E367" s="242"/>
      <c r="F367" s="243">
        <v>4506.0</v>
      </c>
      <c r="G367" s="244" t="s">
        <v>77</v>
      </c>
      <c r="H367" s="244"/>
      <c r="I367" s="244"/>
      <c r="J367" s="307"/>
    </row>
    <row r="368">
      <c r="A368" s="265"/>
      <c r="B368" s="247">
        <v>9210.0</v>
      </c>
      <c r="C368" s="248"/>
      <c r="D368" s="822"/>
      <c r="F368" s="250"/>
      <c r="G368" s="2" t="s">
        <v>75</v>
      </c>
      <c r="J368" s="251"/>
    </row>
    <row r="369">
      <c r="A369" s="265"/>
      <c r="B369" s="247"/>
      <c r="C369" s="252"/>
      <c r="D369" s="822"/>
      <c r="F369" s="250">
        <v>1690.0</v>
      </c>
      <c r="G369" s="2" t="s">
        <v>97</v>
      </c>
      <c r="J369" s="251"/>
    </row>
    <row r="370">
      <c r="A370" s="265"/>
      <c r="B370" s="247"/>
      <c r="C370" s="248"/>
      <c r="D370" s="331"/>
      <c r="F370" s="250">
        <v>17400.0</v>
      </c>
      <c r="G370" s="2" t="s">
        <v>87</v>
      </c>
      <c r="J370" s="251"/>
    </row>
    <row r="371">
      <c r="A371" s="265"/>
      <c r="B371" s="247">
        <v>10072.65</v>
      </c>
      <c r="C371" s="252"/>
      <c r="D371" s="822"/>
      <c r="F371" s="250"/>
      <c r="G371" s="2" t="s">
        <v>114</v>
      </c>
      <c r="J371" s="251"/>
    </row>
    <row r="372">
      <c r="A372" s="265"/>
      <c r="B372" s="247">
        <v>2182.0</v>
      </c>
      <c r="C372" s="252"/>
      <c r="D372" s="822"/>
      <c r="F372" s="250"/>
      <c r="G372" s="2" t="s">
        <v>2928</v>
      </c>
      <c r="J372" s="251"/>
    </row>
    <row r="373">
      <c r="A373" s="265"/>
      <c r="B373" s="247">
        <v>3280.0</v>
      </c>
      <c r="C373" s="252"/>
      <c r="D373" s="822"/>
      <c r="F373" s="250"/>
      <c r="G373" s="2" t="s">
        <v>2929</v>
      </c>
      <c r="I373" s="318"/>
      <c r="J373" s="251"/>
    </row>
    <row r="374">
      <c r="A374" s="265"/>
      <c r="B374" s="268"/>
      <c r="C374" s="252"/>
      <c r="D374" s="331"/>
      <c r="F374" s="250"/>
      <c r="J374" s="251"/>
    </row>
    <row r="375">
      <c r="A375" s="265"/>
      <c r="B375" s="268"/>
      <c r="C375" s="252"/>
      <c r="D375" s="822"/>
      <c r="F375" s="250"/>
      <c r="J375" s="251"/>
    </row>
    <row r="376">
      <c r="A376" s="265"/>
      <c r="B376" s="268"/>
      <c r="C376" s="252"/>
      <c r="D376" s="822"/>
      <c r="F376" s="250"/>
      <c r="J376" s="251"/>
    </row>
    <row r="377">
      <c r="A377" s="265"/>
      <c r="B377" s="268"/>
      <c r="C377" s="252"/>
      <c r="D377" s="822"/>
      <c r="F377" s="250"/>
      <c r="J377" s="251"/>
    </row>
    <row r="378">
      <c r="A378" s="265"/>
      <c r="B378" s="247"/>
      <c r="C378" s="252"/>
      <c r="D378" s="822"/>
      <c r="F378" s="250"/>
      <c r="J378" s="251"/>
    </row>
    <row r="379">
      <c r="A379" s="265"/>
      <c r="B379" s="268"/>
      <c r="C379" s="252"/>
      <c r="D379" s="822"/>
      <c r="F379" s="250"/>
      <c r="J379" s="251"/>
    </row>
    <row r="380">
      <c r="A380" s="265"/>
      <c r="B380" s="268"/>
      <c r="C380" s="252"/>
      <c r="D380" s="822"/>
      <c r="F380" s="250"/>
      <c r="J380" s="251"/>
    </row>
    <row r="381">
      <c r="A381" s="265"/>
      <c r="B381" s="268"/>
      <c r="C381" s="252"/>
      <c r="D381" s="822"/>
      <c r="F381" s="250"/>
      <c r="J381" s="251"/>
    </row>
    <row r="382">
      <c r="A382" s="265"/>
      <c r="B382" s="268"/>
      <c r="C382" s="252"/>
      <c r="D382" s="822"/>
      <c r="F382" s="250"/>
      <c r="J382" s="251"/>
    </row>
    <row r="383">
      <c r="A383" s="265"/>
      <c r="B383" s="268"/>
      <c r="C383" s="252"/>
      <c r="D383" s="822"/>
      <c r="F383" s="250"/>
      <c r="J383" s="251"/>
    </row>
    <row r="384">
      <c r="A384" s="270"/>
      <c r="B384" s="271"/>
      <c r="C384" s="272"/>
      <c r="D384" s="823"/>
      <c r="E384" s="18"/>
      <c r="F384" s="274"/>
      <c r="G384" s="18"/>
      <c r="H384" s="18"/>
      <c r="I384" s="293" t="s">
        <v>2817</v>
      </c>
      <c r="J384" s="261"/>
    </row>
    <row r="385">
      <c r="A385" s="262" t="s">
        <v>187</v>
      </c>
      <c r="B385" s="239"/>
      <c r="C385" s="240"/>
      <c r="D385" s="821"/>
      <c r="E385" s="242"/>
      <c r="F385" s="243"/>
      <c r="G385" s="2" t="s">
        <v>188</v>
      </c>
      <c r="H385" s="318"/>
      <c r="I385" s="169" t="s">
        <v>2897</v>
      </c>
      <c r="J385" s="307"/>
    </row>
    <row r="386">
      <c r="A386" s="265"/>
      <c r="B386" s="247"/>
      <c r="C386" s="248"/>
      <c r="D386" s="331">
        <v>8215.37</v>
      </c>
      <c r="F386" s="250"/>
      <c r="G386" s="2" t="s">
        <v>2819</v>
      </c>
      <c r="H386" s="318">
        <v>44637.0</v>
      </c>
      <c r="I386" s="169" t="s">
        <v>2897</v>
      </c>
      <c r="J386" s="267"/>
    </row>
    <row r="387">
      <c r="A387" s="265"/>
      <c r="B387" s="247">
        <v>1525.0</v>
      </c>
      <c r="C387" s="248"/>
      <c r="D387" s="331"/>
      <c r="F387" s="250"/>
      <c r="G387" s="2" t="s">
        <v>2284</v>
      </c>
      <c r="H387" s="318">
        <v>44637.0</v>
      </c>
      <c r="I387" s="318"/>
      <c r="J387" s="267"/>
    </row>
    <row r="388">
      <c r="A388" s="265"/>
      <c r="B388" s="268"/>
      <c r="C388" s="252"/>
      <c r="D388" s="331">
        <v>48400.0</v>
      </c>
      <c r="F388" s="250"/>
      <c r="G388" s="2" t="s">
        <v>192</v>
      </c>
      <c r="H388" s="318">
        <v>44641.0</v>
      </c>
      <c r="I388" s="318"/>
      <c r="J388" s="251"/>
    </row>
    <row r="389">
      <c r="A389" s="265"/>
      <c r="B389" s="268"/>
      <c r="C389" s="252"/>
      <c r="D389" s="822"/>
      <c r="F389" s="250">
        <v>30000.0</v>
      </c>
      <c r="G389" s="2" t="s">
        <v>193</v>
      </c>
      <c r="H389" s="318">
        <v>44650.0</v>
      </c>
      <c r="J389" s="251"/>
    </row>
    <row r="390">
      <c r="A390" s="265"/>
      <c r="B390" s="247"/>
      <c r="C390" s="252"/>
      <c r="D390" s="331"/>
      <c r="F390" s="250"/>
      <c r="G390" s="2" t="s">
        <v>194</v>
      </c>
      <c r="H390" s="318">
        <v>44650.0</v>
      </c>
      <c r="I390" s="318"/>
      <c r="J390" s="251"/>
    </row>
    <row r="391">
      <c r="A391" s="265"/>
      <c r="B391" s="268"/>
      <c r="C391" s="252"/>
      <c r="D391" s="331">
        <v>27000.0</v>
      </c>
      <c r="F391" s="250"/>
      <c r="G391" s="2" t="s">
        <v>196</v>
      </c>
      <c r="H391" s="318">
        <v>44637.0</v>
      </c>
      <c r="I391" s="2" t="s">
        <v>2930</v>
      </c>
      <c r="J391" s="251"/>
    </row>
    <row r="392">
      <c r="A392" s="265"/>
      <c r="B392" s="268"/>
      <c r="C392" s="252"/>
      <c r="D392" s="331">
        <v>4432.81</v>
      </c>
      <c r="F392" s="250"/>
      <c r="G392" s="2" t="s">
        <v>2285</v>
      </c>
      <c r="H392" s="2"/>
      <c r="I392" s="2" t="s">
        <v>2821</v>
      </c>
      <c r="J392" s="251"/>
    </row>
    <row r="393">
      <c r="A393" s="265"/>
      <c r="B393" s="268"/>
      <c r="C393" s="252"/>
      <c r="D393" s="331">
        <v>4064.24</v>
      </c>
      <c r="F393" s="250"/>
      <c r="G393" s="2" t="s">
        <v>199</v>
      </c>
      <c r="H393" s="2"/>
      <c r="I393" s="2" t="s">
        <v>2821</v>
      </c>
      <c r="J393" s="251"/>
    </row>
    <row r="394">
      <c r="A394" s="265"/>
      <c r="B394" s="247"/>
      <c r="C394" s="252"/>
      <c r="D394" s="331">
        <v>8629.42</v>
      </c>
      <c r="F394" s="250"/>
      <c r="G394" s="2" t="s">
        <v>200</v>
      </c>
      <c r="H394" s="2"/>
      <c r="I394" s="2" t="s">
        <v>2821</v>
      </c>
      <c r="J394" s="267"/>
    </row>
    <row r="395">
      <c r="A395" s="270"/>
      <c r="B395" s="271"/>
      <c r="C395" s="272"/>
      <c r="D395" s="837"/>
      <c r="E395" s="18"/>
      <c r="F395" s="274"/>
      <c r="G395" s="293"/>
      <c r="H395" s="830"/>
      <c r="I395" s="18"/>
      <c r="J395" s="261"/>
    </row>
    <row r="396">
      <c r="A396" s="262"/>
      <c r="B396" s="239"/>
      <c r="C396" s="240"/>
      <c r="D396" s="821">
        <f>SUM(D386:F395)</f>
        <v>130741.84</v>
      </c>
      <c r="E396" s="242"/>
      <c r="F396" s="243"/>
      <c r="I396" s="318"/>
      <c r="J396" s="307"/>
    </row>
    <row r="397">
      <c r="A397" s="265"/>
      <c r="B397" s="247"/>
      <c r="C397" s="248"/>
      <c r="D397" s="331"/>
      <c r="F397" s="250"/>
      <c r="I397" s="318"/>
      <c r="J397" s="251"/>
    </row>
    <row r="398">
      <c r="A398" s="265"/>
      <c r="B398" s="247"/>
      <c r="C398" s="248"/>
      <c r="D398" s="331"/>
      <c r="F398" s="250"/>
      <c r="I398" s="318"/>
      <c r="J398" s="267"/>
    </row>
    <row r="399">
      <c r="A399" s="265"/>
      <c r="B399" s="247"/>
      <c r="C399" s="248"/>
      <c r="D399" s="331"/>
      <c r="F399" s="250"/>
      <c r="I399" s="318"/>
      <c r="J399" s="267"/>
    </row>
    <row r="400">
      <c r="A400" s="265"/>
      <c r="B400" s="268"/>
      <c r="C400" s="252"/>
      <c r="D400" s="331"/>
      <c r="F400" s="250"/>
      <c r="I400" s="318"/>
      <c r="J400" s="251"/>
    </row>
    <row r="401">
      <c r="A401" s="265"/>
      <c r="B401" s="268"/>
      <c r="C401" s="252"/>
      <c r="D401" s="822"/>
      <c r="F401" s="250"/>
      <c r="J401" s="251"/>
    </row>
    <row r="402">
      <c r="A402" s="265"/>
      <c r="B402" s="247"/>
      <c r="C402" s="252"/>
      <c r="D402" s="331"/>
      <c r="F402" s="250"/>
      <c r="I402" s="318"/>
      <c r="J402" s="251"/>
    </row>
    <row r="403">
      <c r="A403" s="265"/>
      <c r="B403" s="268"/>
      <c r="C403" s="252"/>
      <c r="D403" s="331"/>
      <c r="F403" s="250"/>
      <c r="I403" s="318"/>
      <c r="J403" s="251"/>
    </row>
    <row r="404">
      <c r="A404" s="265"/>
      <c r="B404" s="268"/>
      <c r="C404" s="252"/>
      <c r="D404" s="331"/>
      <c r="F404" s="250"/>
      <c r="J404" s="251"/>
    </row>
    <row r="405">
      <c r="A405" s="265"/>
      <c r="B405" s="268"/>
      <c r="C405" s="252"/>
      <c r="D405" s="331"/>
      <c r="F405" s="250"/>
      <c r="J405" s="251"/>
    </row>
    <row r="406">
      <c r="A406" s="265"/>
      <c r="B406" s="247"/>
      <c r="C406" s="252"/>
      <c r="D406" s="822"/>
      <c r="F406" s="250"/>
      <c r="J406" s="267"/>
    </row>
    <row r="407">
      <c r="A407" s="270"/>
      <c r="B407" s="271"/>
      <c r="C407" s="272"/>
      <c r="D407" s="823"/>
      <c r="E407" s="18"/>
      <c r="F407" s="274"/>
      <c r="G407" s="18"/>
      <c r="H407" s="18"/>
      <c r="I407" s="18"/>
      <c r="J407" s="261"/>
    </row>
    <row r="408">
      <c r="A408" s="303"/>
      <c r="B408" s="268"/>
      <c r="C408" s="252"/>
      <c r="D408" s="331"/>
      <c r="F408" s="250"/>
      <c r="J408" s="251"/>
    </row>
    <row r="409">
      <c r="A409" s="303"/>
      <c r="B409" s="268"/>
      <c r="C409" s="252"/>
      <c r="D409" s="822"/>
      <c r="F409" s="250"/>
      <c r="J409" s="251"/>
    </row>
    <row r="410">
      <c r="A410" s="303"/>
      <c r="B410" s="268"/>
      <c r="C410" s="252"/>
      <c r="D410" s="822"/>
      <c r="F410" s="250"/>
      <c r="J410" s="251"/>
    </row>
    <row r="411">
      <c r="A411" s="303"/>
      <c r="B411" s="268"/>
      <c r="C411" s="252"/>
      <c r="D411" s="822"/>
      <c r="F411" s="250"/>
      <c r="J411" s="251"/>
    </row>
    <row r="412">
      <c r="A412" s="303"/>
      <c r="B412" s="268"/>
      <c r="C412" s="252"/>
      <c r="D412" s="822"/>
      <c r="F412" s="250"/>
      <c r="J412" s="251"/>
    </row>
    <row r="413">
      <c r="A413" s="303"/>
      <c r="B413" s="268"/>
      <c r="C413" s="252"/>
      <c r="D413" s="822"/>
      <c r="F413" s="250"/>
      <c r="J413" s="251"/>
    </row>
    <row r="414">
      <c r="A414" s="304"/>
      <c r="B414" s="271"/>
      <c r="C414" s="272"/>
      <c r="D414" s="823"/>
      <c r="E414" s="18"/>
      <c r="F414" s="274"/>
      <c r="G414" s="18"/>
      <c r="H414" s="18"/>
      <c r="I414" s="18"/>
      <c r="J414" s="261"/>
    </row>
    <row r="415">
      <c r="A415" s="305"/>
      <c r="B415" s="306"/>
      <c r="C415" s="240"/>
      <c r="D415" s="824"/>
      <c r="E415" s="242"/>
      <c r="F415" s="243"/>
      <c r="G415" s="244"/>
      <c r="H415" s="244"/>
      <c r="I415" s="244"/>
      <c r="J415" s="307"/>
    </row>
    <row r="416">
      <c r="A416" s="265"/>
      <c r="B416" s="268"/>
      <c r="C416" s="252"/>
      <c r="D416" s="822"/>
      <c r="F416" s="250"/>
      <c r="I416" s="252"/>
      <c r="J416" s="251"/>
    </row>
    <row r="417">
      <c r="A417" s="265"/>
      <c r="B417" s="268"/>
      <c r="C417" s="252"/>
      <c r="D417" s="822"/>
      <c r="F417" s="250"/>
      <c r="I417" s="252"/>
      <c r="J417" s="251"/>
    </row>
    <row r="418">
      <c r="A418" s="265"/>
      <c r="B418" s="268"/>
      <c r="C418" s="252"/>
      <c r="D418" s="822"/>
      <c r="F418" s="250"/>
      <c r="I418" s="252"/>
      <c r="J418" s="251"/>
    </row>
    <row r="419">
      <c r="A419" s="265"/>
      <c r="B419" s="268"/>
      <c r="C419" s="252"/>
      <c r="D419" s="822"/>
      <c r="F419" s="250"/>
      <c r="I419" s="252"/>
      <c r="J419" s="251"/>
    </row>
    <row r="420">
      <c r="A420" s="265"/>
      <c r="B420" s="268"/>
      <c r="C420" s="252"/>
      <c r="D420" s="822"/>
      <c r="F420" s="250"/>
      <c r="J420" s="251"/>
    </row>
    <row r="421">
      <c r="A421" s="265"/>
      <c r="B421" s="268"/>
      <c r="C421" s="252"/>
      <c r="D421" s="822"/>
      <c r="F421" s="250"/>
      <c r="J421" s="251"/>
    </row>
    <row r="422">
      <c r="A422" s="265"/>
      <c r="B422" s="268"/>
      <c r="C422" s="252"/>
      <c r="D422" s="822"/>
      <c r="F422" s="250"/>
      <c r="J422" s="251"/>
    </row>
    <row r="423">
      <c r="A423" s="265"/>
      <c r="B423" s="268"/>
      <c r="C423" s="252"/>
      <c r="D423" s="822"/>
      <c r="F423" s="250"/>
      <c r="J423" s="251"/>
    </row>
    <row r="424">
      <c r="A424" s="270"/>
      <c r="B424" s="271"/>
      <c r="C424" s="272"/>
      <c r="D424" s="823"/>
      <c r="E424" s="18"/>
      <c r="F424" s="274"/>
      <c r="G424" s="18"/>
      <c r="H424" s="18"/>
      <c r="I424" s="18"/>
      <c r="J424" s="261"/>
    </row>
    <row r="425">
      <c r="A425" s="305"/>
      <c r="B425" s="306"/>
      <c r="C425" s="240"/>
      <c r="D425" s="824"/>
      <c r="E425" s="242"/>
      <c r="F425" s="243"/>
      <c r="G425" s="244"/>
      <c r="H425" s="244"/>
      <c r="I425" s="244"/>
      <c r="J425" s="307"/>
    </row>
    <row r="426">
      <c r="A426" s="265"/>
      <c r="B426" s="268"/>
      <c r="C426" s="252"/>
      <c r="D426" s="822"/>
      <c r="F426" s="250"/>
      <c r="J426" s="251"/>
    </row>
    <row r="427">
      <c r="A427" s="265"/>
      <c r="B427" s="268"/>
      <c r="C427" s="252"/>
      <c r="D427" s="822"/>
      <c r="F427" s="250"/>
      <c r="J427" s="251"/>
    </row>
    <row r="428">
      <c r="A428" s="265"/>
      <c r="B428" s="268"/>
      <c r="C428" s="252"/>
      <c r="D428" s="822"/>
      <c r="F428" s="250"/>
      <c r="J428" s="251"/>
    </row>
    <row r="429">
      <c r="A429" s="265"/>
      <c r="B429" s="268"/>
      <c r="C429" s="252"/>
      <c r="D429" s="822"/>
      <c r="F429" s="250"/>
      <c r="J429" s="251"/>
    </row>
    <row r="430">
      <c r="A430" s="265"/>
      <c r="B430" s="268"/>
      <c r="C430" s="252"/>
      <c r="D430" s="822"/>
      <c r="F430" s="250"/>
      <c r="J430" s="251"/>
    </row>
    <row r="431">
      <c r="A431" s="265"/>
      <c r="B431" s="268"/>
      <c r="C431" s="252"/>
      <c r="D431" s="822"/>
      <c r="F431" s="250"/>
      <c r="J431" s="251"/>
    </row>
    <row r="432">
      <c r="A432" s="265"/>
      <c r="B432" s="268"/>
      <c r="C432" s="252"/>
      <c r="D432" s="822"/>
      <c r="F432" s="250"/>
      <c r="J432" s="251"/>
    </row>
    <row r="433">
      <c r="A433" s="265"/>
      <c r="B433" s="268"/>
      <c r="C433" s="252"/>
      <c r="D433" s="822"/>
      <c r="F433" s="250"/>
      <c r="J433" s="251"/>
    </row>
    <row r="434">
      <c r="A434" s="270"/>
      <c r="B434" s="271"/>
      <c r="C434" s="272"/>
      <c r="D434" s="823"/>
      <c r="E434" s="18"/>
      <c r="F434" s="274"/>
      <c r="G434" s="18"/>
      <c r="H434" s="18"/>
      <c r="I434" s="18"/>
      <c r="J434" s="261"/>
    </row>
    <row r="435">
      <c r="B435" s="306"/>
      <c r="C435" s="240"/>
      <c r="D435" s="824"/>
      <c r="E435" s="242"/>
      <c r="F435" s="243"/>
      <c r="G435" s="244"/>
      <c r="H435" s="244"/>
      <c r="I435" s="244"/>
      <c r="J435" s="307"/>
    </row>
    <row r="436">
      <c r="B436" s="268"/>
      <c r="C436" s="252"/>
      <c r="D436" s="822"/>
      <c r="F436" s="250"/>
      <c r="J436" s="251"/>
    </row>
    <row r="437">
      <c r="B437" s="268"/>
      <c r="C437" s="252"/>
      <c r="D437" s="822"/>
      <c r="F437" s="250"/>
      <c r="J437" s="251"/>
    </row>
    <row r="438">
      <c r="B438" s="308"/>
      <c r="C438" s="252"/>
      <c r="D438" s="822"/>
      <c r="F438" s="309"/>
      <c r="J438" s="302"/>
    </row>
    <row r="439">
      <c r="B439" s="308"/>
      <c r="C439" s="252"/>
      <c r="D439" s="822"/>
      <c r="F439" s="309"/>
      <c r="J439" s="302"/>
    </row>
    <row r="440">
      <c r="B440" s="308"/>
      <c r="C440" s="252"/>
      <c r="D440" s="822"/>
      <c r="F440" s="309"/>
      <c r="J440" s="302"/>
    </row>
    <row r="441">
      <c r="B441" s="308"/>
      <c r="C441" s="252"/>
      <c r="D441" s="822"/>
      <c r="F441" s="309"/>
      <c r="J441" s="302"/>
    </row>
    <row r="442">
      <c r="B442" s="308"/>
      <c r="C442" s="252"/>
      <c r="D442" s="822"/>
      <c r="F442" s="309"/>
      <c r="J442" s="302"/>
    </row>
    <row r="443">
      <c r="B443" s="308"/>
      <c r="C443" s="252"/>
      <c r="D443" s="822"/>
      <c r="F443" s="309"/>
      <c r="J443" s="302"/>
    </row>
    <row r="444">
      <c r="B444" s="308"/>
      <c r="C444" s="252"/>
      <c r="D444" s="822"/>
      <c r="F444" s="309"/>
      <c r="J444" s="302"/>
    </row>
    <row r="445">
      <c r="B445" s="308"/>
      <c r="C445" s="252"/>
      <c r="D445" s="822"/>
      <c r="F445" s="309"/>
      <c r="J445" s="302"/>
    </row>
    <row r="446">
      <c r="B446" s="308"/>
      <c r="C446" s="252"/>
      <c r="D446" s="822"/>
      <c r="F446" s="309"/>
      <c r="J446" s="302"/>
    </row>
    <row r="447">
      <c r="B447" s="308"/>
      <c r="C447" s="252"/>
      <c r="D447" s="822"/>
      <c r="F447" s="309"/>
      <c r="J447" s="302"/>
    </row>
    <row r="448">
      <c r="B448" s="308"/>
      <c r="C448" s="252"/>
      <c r="D448" s="822"/>
      <c r="F448" s="309"/>
      <c r="J448" s="302"/>
    </row>
    <row r="449">
      <c r="B449" s="308"/>
      <c r="C449" s="252"/>
      <c r="D449" s="822"/>
      <c r="F449" s="309"/>
      <c r="J449" s="302"/>
    </row>
    <row r="450">
      <c r="B450" s="308"/>
      <c r="C450" s="252"/>
      <c r="D450" s="822"/>
      <c r="F450" s="309"/>
      <c r="J450" s="302"/>
    </row>
    <row r="451">
      <c r="B451" s="308"/>
      <c r="C451" s="252"/>
      <c r="D451" s="822"/>
      <c r="F451" s="309"/>
      <c r="J451" s="302"/>
    </row>
    <row r="452">
      <c r="B452" s="308"/>
      <c r="C452" s="252"/>
      <c r="D452" s="822"/>
      <c r="F452" s="309"/>
      <c r="J452" s="302"/>
    </row>
    <row r="453">
      <c r="B453" s="308"/>
      <c r="C453" s="252"/>
      <c r="D453" s="822"/>
      <c r="F453" s="309"/>
      <c r="J453" s="302"/>
    </row>
    <row r="454">
      <c r="B454" s="308"/>
      <c r="C454" s="252"/>
      <c r="D454" s="822"/>
      <c r="F454" s="309"/>
      <c r="J454" s="302"/>
    </row>
    <row r="455">
      <c r="B455" s="308"/>
      <c r="C455" s="252"/>
      <c r="D455" s="822"/>
      <c r="F455" s="309"/>
      <c r="J455" s="302"/>
    </row>
    <row r="456">
      <c r="B456" s="308"/>
      <c r="C456" s="252"/>
      <c r="D456" s="822"/>
      <c r="F456" s="309"/>
      <c r="J456" s="302"/>
    </row>
    <row r="457">
      <c r="B457" s="308"/>
      <c r="C457" s="252"/>
      <c r="D457" s="822"/>
      <c r="F457" s="309"/>
      <c r="J457" s="302"/>
    </row>
    <row r="458">
      <c r="B458" s="308"/>
      <c r="C458" s="252"/>
      <c r="D458" s="822"/>
      <c r="F458" s="309"/>
      <c r="J458" s="302"/>
    </row>
    <row r="459">
      <c r="B459" s="308"/>
      <c r="C459" s="252"/>
      <c r="D459" s="822"/>
      <c r="F459" s="309"/>
      <c r="J459" s="302"/>
    </row>
    <row r="460">
      <c r="B460" s="308"/>
      <c r="C460" s="252"/>
      <c r="D460" s="822"/>
      <c r="F460" s="309"/>
      <c r="J460" s="302"/>
    </row>
    <row r="461">
      <c r="B461" s="308"/>
      <c r="C461" s="252"/>
      <c r="D461" s="822"/>
      <c r="F461" s="309"/>
      <c r="J461" s="302"/>
    </row>
    <row r="462">
      <c r="B462" s="308"/>
      <c r="C462" s="252"/>
      <c r="D462" s="822"/>
      <c r="F462" s="309"/>
      <c r="J462" s="302"/>
    </row>
    <row r="463">
      <c r="B463" s="308"/>
      <c r="C463" s="252"/>
      <c r="D463" s="822"/>
      <c r="F463" s="309"/>
      <c r="J463" s="302"/>
    </row>
    <row r="464">
      <c r="B464" s="308"/>
      <c r="C464" s="252"/>
      <c r="D464" s="822"/>
      <c r="F464" s="309"/>
      <c r="J464" s="302"/>
    </row>
    <row r="465">
      <c r="B465" s="308"/>
      <c r="C465" s="252"/>
      <c r="D465" s="822"/>
      <c r="F465" s="309"/>
      <c r="J465" s="302"/>
    </row>
    <row r="466">
      <c r="B466" s="308"/>
      <c r="C466" s="252"/>
      <c r="D466" s="822"/>
      <c r="F466" s="309"/>
      <c r="J466" s="302"/>
    </row>
    <row r="467">
      <c r="B467" s="308"/>
      <c r="C467" s="252"/>
      <c r="D467" s="822"/>
      <c r="F467" s="309"/>
      <c r="J467" s="302"/>
    </row>
    <row r="468">
      <c r="B468" s="308"/>
      <c r="C468" s="252"/>
      <c r="D468" s="822"/>
      <c r="F468" s="309"/>
      <c r="J468" s="302"/>
    </row>
    <row r="469">
      <c r="B469" s="308"/>
      <c r="C469" s="252"/>
      <c r="D469" s="822"/>
      <c r="F469" s="309"/>
      <c r="J469" s="302"/>
    </row>
    <row r="470">
      <c r="B470" s="308"/>
      <c r="C470" s="252"/>
      <c r="D470" s="822"/>
      <c r="F470" s="309"/>
      <c r="J470" s="302"/>
    </row>
    <row r="471">
      <c r="B471" s="308"/>
      <c r="C471" s="252"/>
      <c r="D471" s="822"/>
      <c r="F471" s="309"/>
      <c r="J471" s="302"/>
    </row>
    <row r="472">
      <c r="B472" s="308"/>
      <c r="C472" s="252"/>
      <c r="D472" s="822"/>
      <c r="F472" s="309"/>
      <c r="J472" s="302"/>
    </row>
    <row r="473">
      <c r="B473" s="308"/>
      <c r="C473" s="252"/>
      <c r="D473" s="822"/>
      <c r="F473" s="309"/>
      <c r="J473" s="302"/>
    </row>
    <row r="474">
      <c r="B474" s="308"/>
      <c r="C474" s="252"/>
      <c r="D474" s="822"/>
      <c r="F474" s="309"/>
      <c r="J474" s="302"/>
    </row>
    <row r="475">
      <c r="B475" s="308"/>
      <c r="C475" s="252"/>
      <c r="D475" s="822"/>
      <c r="F475" s="309"/>
      <c r="J475" s="302"/>
    </row>
    <row r="476">
      <c r="B476" s="308"/>
      <c r="C476" s="252"/>
      <c r="D476" s="822"/>
      <c r="F476" s="309"/>
      <c r="J476" s="302"/>
    </row>
    <row r="477">
      <c r="B477" s="308"/>
      <c r="C477" s="252"/>
      <c r="D477" s="822"/>
      <c r="F477" s="309"/>
      <c r="J477" s="302"/>
    </row>
    <row r="478">
      <c r="B478" s="308"/>
      <c r="C478" s="252"/>
      <c r="D478" s="822"/>
      <c r="F478" s="309"/>
      <c r="J478" s="302"/>
    </row>
    <row r="479">
      <c r="B479" s="308"/>
      <c r="C479" s="252"/>
      <c r="D479" s="822"/>
      <c r="F479" s="309"/>
      <c r="J479" s="302"/>
    </row>
    <row r="480">
      <c r="B480" s="308"/>
      <c r="C480" s="252"/>
      <c r="D480" s="822"/>
      <c r="F480" s="309"/>
      <c r="J480" s="302"/>
    </row>
    <row r="481">
      <c r="B481" s="308"/>
      <c r="C481" s="252"/>
      <c r="D481" s="822"/>
      <c r="F481" s="309"/>
      <c r="J481" s="302"/>
    </row>
    <row r="482">
      <c r="B482" s="308"/>
      <c r="C482" s="252"/>
      <c r="D482" s="822"/>
      <c r="F482" s="309"/>
      <c r="J482" s="302"/>
    </row>
    <row r="483">
      <c r="B483" s="308"/>
      <c r="C483" s="252"/>
      <c r="D483" s="822"/>
      <c r="F483" s="309"/>
      <c r="J483" s="302"/>
    </row>
    <row r="484">
      <c r="B484" s="308"/>
      <c r="C484" s="252"/>
      <c r="D484" s="822"/>
      <c r="F484" s="309"/>
      <c r="J484" s="302"/>
    </row>
    <row r="485">
      <c r="B485" s="308"/>
      <c r="C485" s="252"/>
      <c r="D485" s="822"/>
      <c r="F485" s="309"/>
      <c r="J485" s="302"/>
    </row>
    <row r="486">
      <c r="B486" s="308"/>
      <c r="C486" s="252"/>
      <c r="D486" s="822"/>
      <c r="F486" s="309"/>
      <c r="J486" s="302"/>
    </row>
    <row r="487">
      <c r="B487" s="308"/>
      <c r="C487" s="252"/>
      <c r="D487" s="822"/>
      <c r="F487" s="309"/>
      <c r="J487" s="302"/>
    </row>
    <row r="488">
      <c r="B488" s="308"/>
      <c r="C488" s="252"/>
      <c r="D488" s="822"/>
      <c r="F488" s="309"/>
      <c r="J488" s="302"/>
    </row>
    <row r="489">
      <c r="B489" s="308"/>
      <c r="C489" s="252"/>
      <c r="D489" s="822"/>
      <c r="F489" s="309"/>
      <c r="J489" s="302"/>
    </row>
    <row r="490">
      <c r="B490" s="308"/>
      <c r="C490" s="252"/>
      <c r="D490" s="822"/>
      <c r="F490" s="309"/>
      <c r="J490" s="302"/>
    </row>
    <row r="491">
      <c r="B491" s="308"/>
      <c r="C491" s="252"/>
      <c r="D491" s="822"/>
      <c r="F491" s="309"/>
      <c r="J491" s="302"/>
    </row>
    <row r="492">
      <c r="B492" s="308"/>
      <c r="C492" s="252"/>
      <c r="D492" s="822"/>
      <c r="F492" s="309"/>
      <c r="J492" s="302"/>
    </row>
    <row r="493">
      <c r="B493" s="308"/>
      <c r="C493" s="252"/>
      <c r="D493" s="822"/>
      <c r="F493" s="309"/>
      <c r="J493" s="302"/>
    </row>
    <row r="494">
      <c r="B494" s="308"/>
      <c r="C494" s="252"/>
      <c r="D494" s="822"/>
      <c r="F494" s="309"/>
      <c r="J494" s="302"/>
    </row>
    <row r="495">
      <c r="B495" s="308"/>
      <c r="C495" s="252"/>
      <c r="D495" s="822"/>
      <c r="F495" s="309"/>
      <c r="J495" s="302"/>
    </row>
    <row r="496">
      <c r="B496" s="308"/>
      <c r="C496" s="252"/>
      <c r="D496" s="822"/>
      <c r="F496" s="309"/>
      <c r="J496" s="302"/>
    </row>
    <row r="497">
      <c r="B497" s="308"/>
      <c r="C497" s="252"/>
      <c r="D497" s="822"/>
      <c r="F497" s="309"/>
      <c r="J497" s="302"/>
    </row>
    <row r="498">
      <c r="B498" s="308"/>
      <c r="C498" s="252"/>
      <c r="D498" s="822"/>
      <c r="F498" s="309"/>
      <c r="J498" s="302"/>
    </row>
    <row r="499">
      <c r="B499" s="308"/>
      <c r="C499" s="252"/>
      <c r="D499" s="822"/>
      <c r="F499" s="309"/>
      <c r="J499" s="302"/>
    </row>
    <row r="500">
      <c r="B500" s="308"/>
      <c r="C500" s="252"/>
      <c r="D500" s="822"/>
      <c r="F500" s="309"/>
      <c r="J500" s="302"/>
    </row>
    <row r="501">
      <c r="B501" s="308"/>
      <c r="C501" s="252"/>
      <c r="D501" s="822"/>
      <c r="F501" s="309"/>
      <c r="J501" s="302"/>
    </row>
    <row r="502">
      <c r="B502" s="308"/>
      <c r="C502" s="252"/>
      <c r="D502" s="822"/>
      <c r="F502" s="309"/>
      <c r="J502" s="302"/>
    </row>
    <row r="503">
      <c r="B503" s="308"/>
      <c r="C503" s="252"/>
      <c r="D503" s="822"/>
      <c r="F503" s="309"/>
      <c r="J503" s="302"/>
    </row>
    <row r="504">
      <c r="B504" s="308"/>
      <c r="C504" s="252"/>
      <c r="D504" s="822"/>
      <c r="F504" s="309"/>
      <c r="J504" s="302"/>
    </row>
    <row r="505">
      <c r="B505" s="308"/>
      <c r="C505" s="252"/>
      <c r="D505" s="822"/>
      <c r="F505" s="309"/>
      <c r="J505" s="302"/>
    </row>
    <row r="506">
      <c r="B506" s="308"/>
      <c r="C506" s="252"/>
      <c r="D506" s="822"/>
      <c r="F506" s="309"/>
      <c r="J506" s="302"/>
    </row>
    <row r="507">
      <c r="B507" s="308"/>
      <c r="C507" s="252"/>
      <c r="D507" s="822"/>
      <c r="F507" s="309"/>
      <c r="J507" s="302"/>
    </row>
    <row r="508">
      <c r="B508" s="308"/>
      <c r="C508" s="252"/>
      <c r="D508" s="822"/>
      <c r="F508" s="309"/>
      <c r="J508" s="302"/>
    </row>
    <row r="509">
      <c r="B509" s="308"/>
      <c r="C509" s="252"/>
      <c r="D509" s="822"/>
      <c r="F509" s="309"/>
      <c r="J509" s="302"/>
    </row>
    <row r="510">
      <c r="B510" s="308"/>
      <c r="C510" s="252"/>
      <c r="D510" s="822"/>
      <c r="F510" s="309"/>
      <c r="J510" s="302"/>
    </row>
    <row r="511">
      <c r="B511" s="308"/>
      <c r="C511" s="252"/>
      <c r="D511" s="822"/>
      <c r="F511" s="309"/>
      <c r="J511" s="302"/>
    </row>
    <row r="512">
      <c r="B512" s="308"/>
      <c r="C512" s="252"/>
      <c r="D512" s="822"/>
      <c r="F512" s="309"/>
      <c r="J512" s="302"/>
    </row>
    <row r="513">
      <c r="B513" s="308"/>
      <c r="C513" s="252"/>
      <c r="D513" s="822"/>
      <c r="F513" s="309"/>
      <c r="J513" s="302"/>
    </row>
    <row r="514">
      <c r="B514" s="308"/>
      <c r="C514" s="252"/>
      <c r="D514" s="822"/>
      <c r="F514" s="309"/>
      <c r="J514" s="302"/>
    </row>
    <row r="515">
      <c r="B515" s="308"/>
      <c r="C515" s="252"/>
      <c r="D515" s="822"/>
      <c r="F515" s="309"/>
      <c r="J515" s="302"/>
    </row>
    <row r="516">
      <c r="B516" s="308"/>
      <c r="C516" s="252"/>
      <c r="D516" s="822"/>
      <c r="F516" s="309"/>
      <c r="J516" s="302"/>
    </row>
    <row r="517">
      <c r="B517" s="308"/>
      <c r="C517" s="252"/>
      <c r="D517" s="822"/>
      <c r="F517" s="309"/>
      <c r="J517" s="302"/>
    </row>
    <row r="518">
      <c r="B518" s="308"/>
      <c r="C518" s="252"/>
      <c r="D518" s="822"/>
      <c r="F518" s="309"/>
      <c r="J518" s="302"/>
    </row>
    <row r="519">
      <c r="B519" s="308"/>
      <c r="C519" s="252"/>
      <c r="D519" s="822"/>
      <c r="F519" s="309"/>
      <c r="J519" s="302"/>
    </row>
    <row r="520">
      <c r="B520" s="308"/>
      <c r="C520" s="252"/>
      <c r="D520" s="822"/>
      <c r="F520" s="309"/>
      <c r="J520" s="302"/>
    </row>
    <row r="521">
      <c r="B521" s="308"/>
      <c r="C521" s="252"/>
      <c r="D521" s="822"/>
      <c r="F521" s="309"/>
      <c r="J521" s="302"/>
    </row>
    <row r="522">
      <c r="B522" s="308"/>
      <c r="C522" s="252"/>
      <c r="D522" s="822"/>
      <c r="F522" s="309"/>
      <c r="J522" s="302"/>
    </row>
    <row r="523">
      <c r="B523" s="308"/>
      <c r="C523" s="252"/>
      <c r="D523" s="822"/>
      <c r="F523" s="309"/>
      <c r="J523" s="302"/>
    </row>
    <row r="524">
      <c r="B524" s="308"/>
      <c r="C524" s="252"/>
      <c r="D524" s="822"/>
      <c r="F524" s="309"/>
      <c r="J524" s="302"/>
    </row>
    <row r="525">
      <c r="B525" s="308"/>
      <c r="C525" s="252"/>
      <c r="D525" s="822"/>
      <c r="F525" s="309"/>
      <c r="J525" s="302"/>
    </row>
    <row r="526">
      <c r="B526" s="308"/>
      <c r="C526" s="252"/>
      <c r="D526" s="822"/>
      <c r="F526" s="309"/>
      <c r="J526" s="302"/>
    </row>
    <row r="527">
      <c r="B527" s="308"/>
      <c r="C527" s="252"/>
      <c r="D527" s="822"/>
      <c r="F527" s="309"/>
      <c r="J527" s="302"/>
    </row>
    <row r="528">
      <c r="B528" s="308"/>
      <c r="C528" s="252"/>
      <c r="D528" s="822"/>
      <c r="F528" s="309"/>
      <c r="J528" s="302"/>
    </row>
    <row r="529">
      <c r="B529" s="308"/>
      <c r="C529" s="252"/>
      <c r="D529" s="822"/>
      <c r="F529" s="309"/>
      <c r="J529" s="302"/>
    </row>
    <row r="530">
      <c r="B530" s="308"/>
      <c r="C530" s="252"/>
      <c r="D530" s="822"/>
      <c r="F530" s="309"/>
      <c r="J530" s="302"/>
    </row>
    <row r="531">
      <c r="B531" s="308"/>
      <c r="C531" s="252"/>
      <c r="D531" s="822"/>
      <c r="F531" s="309"/>
      <c r="J531" s="302"/>
    </row>
    <row r="532">
      <c r="B532" s="308"/>
      <c r="C532" s="252"/>
      <c r="D532" s="822"/>
      <c r="F532" s="309"/>
      <c r="J532" s="302"/>
    </row>
    <row r="533">
      <c r="B533" s="308"/>
      <c r="C533" s="252"/>
      <c r="D533" s="822"/>
      <c r="F533" s="309"/>
      <c r="J533" s="302"/>
    </row>
    <row r="534">
      <c r="B534" s="308"/>
      <c r="C534" s="252"/>
      <c r="D534" s="822"/>
      <c r="F534" s="309"/>
      <c r="J534" s="302"/>
    </row>
    <row r="535">
      <c r="B535" s="308"/>
      <c r="C535" s="252"/>
      <c r="D535" s="822"/>
      <c r="F535" s="309"/>
      <c r="J535" s="302"/>
    </row>
    <row r="536">
      <c r="B536" s="308"/>
      <c r="C536" s="252"/>
      <c r="D536" s="822"/>
      <c r="F536" s="309"/>
      <c r="J536" s="302"/>
    </row>
    <row r="537">
      <c r="B537" s="308"/>
      <c r="C537" s="252"/>
      <c r="D537" s="822"/>
      <c r="F537" s="309"/>
      <c r="J537" s="302"/>
    </row>
    <row r="538">
      <c r="B538" s="308"/>
      <c r="C538" s="252"/>
      <c r="D538" s="822"/>
      <c r="F538" s="309"/>
      <c r="J538" s="302"/>
    </row>
    <row r="539">
      <c r="B539" s="308"/>
      <c r="C539" s="252"/>
      <c r="D539" s="822"/>
      <c r="F539" s="309"/>
      <c r="J539" s="302"/>
    </row>
    <row r="540">
      <c r="B540" s="308"/>
      <c r="C540" s="252"/>
      <c r="D540" s="822"/>
      <c r="F540" s="309"/>
      <c r="J540" s="302"/>
    </row>
    <row r="541">
      <c r="B541" s="308"/>
      <c r="C541" s="252"/>
      <c r="D541" s="822"/>
      <c r="F541" s="309"/>
      <c r="J541" s="302"/>
    </row>
    <row r="542">
      <c r="B542" s="308"/>
      <c r="C542" s="252"/>
      <c r="D542" s="822"/>
      <c r="F542" s="309"/>
      <c r="J542" s="302"/>
    </row>
    <row r="543">
      <c r="B543" s="308"/>
      <c r="C543" s="252"/>
      <c r="D543" s="822"/>
      <c r="F543" s="309"/>
      <c r="J543" s="302"/>
    </row>
    <row r="544">
      <c r="B544" s="308"/>
      <c r="C544" s="252"/>
      <c r="D544" s="822"/>
      <c r="F544" s="309"/>
      <c r="J544" s="302"/>
    </row>
    <row r="545">
      <c r="B545" s="308"/>
      <c r="C545" s="252"/>
      <c r="D545" s="822"/>
      <c r="F545" s="309"/>
      <c r="J545" s="302"/>
    </row>
    <row r="546">
      <c r="B546" s="308"/>
      <c r="C546" s="252"/>
      <c r="D546" s="822"/>
      <c r="F546" s="309"/>
      <c r="J546" s="302"/>
    </row>
    <row r="547">
      <c r="B547" s="308"/>
      <c r="C547" s="252"/>
      <c r="D547" s="822"/>
      <c r="F547" s="309"/>
      <c r="J547" s="302"/>
    </row>
    <row r="548">
      <c r="B548" s="308"/>
      <c r="C548" s="252"/>
      <c r="D548" s="822"/>
      <c r="F548" s="309"/>
      <c r="J548" s="302"/>
    </row>
    <row r="549">
      <c r="B549" s="308"/>
      <c r="C549" s="252"/>
      <c r="D549" s="822"/>
      <c r="F549" s="309"/>
      <c r="J549" s="302"/>
    </row>
    <row r="550">
      <c r="B550" s="308"/>
      <c r="C550" s="252"/>
      <c r="D550" s="822"/>
      <c r="F550" s="309"/>
      <c r="J550" s="302"/>
    </row>
    <row r="551">
      <c r="B551" s="308"/>
      <c r="C551" s="252"/>
      <c r="D551" s="822"/>
      <c r="F551" s="309"/>
      <c r="J551" s="302"/>
    </row>
    <row r="552">
      <c r="B552" s="308"/>
      <c r="C552" s="252"/>
      <c r="D552" s="822"/>
      <c r="F552" s="309"/>
      <c r="J552" s="302"/>
    </row>
    <row r="553">
      <c r="B553" s="308"/>
      <c r="C553" s="252"/>
      <c r="D553" s="822"/>
      <c r="F553" s="309"/>
      <c r="J553" s="302"/>
    </row>
    <row r="554">
      <c r="B554" s="308"/>
      <c r="C554" s="252"/>
      <c r="D554" s="822"/>
      <c r="F554" s="309"/>
      <c r="J554" s="302"/>
    </row>
    <row r="555">
      <c r="B555" s="308"/>
      <c r="C555" s="252"/>
      <c r="D555" s="822"/>
      <c r="F555" s="309"/>
      <c r="J555" s="302"/>
    </row>
    <row r="556">
      <c r="B556" s="308"/>
      <c r="C556" s="252"/>
      <c r="D556" s="822"/>
      <c r="F556" s="309"/>
      <c r="J556" s="302"/>
    </row>
    <row r="557">
      <c r="B557" s="308"/>
      <c r="C557" s="252"/>
      <c r="D557" s="822"/>
      <c r="F557" s="309"/>
      <c r="J557" s="302"/>
    </row>
    <row r="558">
      <c r="B558" s="308"/>
      <c r="C558" s="252"/>
      <c r="D558" s="822"/>
      <c r="F558" s="309"/>
      <c r="J558" s="302"/>
    </row>
    <row r="559">
      <c r="B559" s="308"/>
      <c r="C559" s="252"/>
      <c r="D559" s="822"/>
      <c r="F559" s="309"/>
      <c r="J559" s="302"/>
    </row>
    <row r="560">
      <c r="B560" s="308"/>
      <c r="C560" s="252"/>
      <c r="D560" s="822"/>
      <c r="F560" s="309"/>
      <c r="J560" s="302"/>
    </row>
    <row r="561">
      <c r="B561" s="308"/>
      <c r="C561" s="252"/>
      <c r="D561" s="822"/>
      <c r="F561" s="309"/>
      <c r="J561" s="302"/>
    </row>
    <row r="562">
      <c r="B562" s="308"/>
      <c r="C562" s="252"/>
      <c r="D562" s="822"/>
      <c r="F562" s="309"/>
      <c r="J562" s="302"/>
    </row>
    <row r="563">
      <c r="B563" s="308"/>
      <c r="C563" s="252"/>
      <c r="D563" s="822"/>
      <c r="F563" s="309"/>
      <c r="J563" s="302"/>
    </row>
    <row r="564">
      <c r="B564" s="308"/>
      <c r="C564" s="252"/>
      <c r="D564" s="822"/>
      <c r="F564" s="309"/>
      <c r="J564" s="302"/>
    </row>
    <row r="565">
      <c r="B565" s="308"/>
      <c r="C565" s="252"/>
      <c r="D565" s="822"/>
      <c r="F565" s="309"/>
      <c r="J565" s="302"/>
    </row>
    <row r="566">
      <c r="B566" s="308"/>
      <c r="C566" s="252"/>
      <c r="D566" s="822"/>
      <c r="F566" s="309"/>
      <c r="J566" s="302"/>
    </row>
    <row r="567">
      <c r="B567" s="308"/>
      <c r="C567" s="252"/>
      <c r="D567" s="822"/>
      <c r="F567" s="309"/>
      <c r="J567" s="302"/>
    </row>
    <row r="568">
      <c r="B568" s="308"/>
      <c r="C568" s="252"/>
      <c r="D568" s="822"/>
      <c r="F568" s="309"/>
      <c r="J568" s="302"/>
    </row>
    <row r="569">
      <c r="B569" s="308"/>
      <c r="C569" s="252"/>
      <c r="D569" s="822"/>
      <c r="F569" s="309"/>
      <c r="J569" s="302"/>
    </row>
    <row r="570">
      <c r="B570" s="308"/>
      <c r="C570" s="252"/>
      <c r="D570" s="822"/>
      <c r="F570" s="309"/>
      <c r="J570" s="302"/>
    </row>
    <row r="571">
      <c r="B571" s="308"/>
      <c r="C571" s="252"/>
      <c r="D571" s="822"/>
      <c r="F571" s="309"/>
      <c r="J571" s="302"/>
    </row>
    <row r="572">
      <c r="B572" s="308"/>
      <c r="C572" s="252"/>
      <c r="D572" s="822"/>
      <c r="F572" s="309"/>
      <c r="J572" s="302"/>
    </row>
    <row r="573">
      <c r="B573" s="308"/>
      <c r="C573" s="252"/>
      <c r="D573" s="822"/>
      <c r="F573" s="309"/>
      <c r="J573" s="302"/>
    </row>
    <row r="574">
      <c r="B574" s="308"/>
      <c r="C574" s="252"/>
      <c r="D574" s="822"/>
      <c r="F574" s="309"/>
      <c r="J574" s="302"/>
    </row>
    <row r="575">
      <c r="B575" s="308"/>
      <c r="C575" s="252"/>
      <c r="D575" s="822"/>
      <c r="F575" s="309"/>
      <c r="J575" s="302"/>
    </row>
    <row r="576">
      <c r="B576" s="308"/>
      <c r="C576" s="252"/>
      <c r="D576" s="822"/>
      <c r="F576" s="309"/>
      <c r="J576" s="302"/>
    </row>
    <row r="577">
      <c r="B577" s="308"/>
      <c r="C577" s="252"/>
      <c r="D577" s="822"/>
      <c r="F577" s="309"/>
      <c r="J577" s="302"/>
    </row>
    <row r="578">
      <c r="B578" s="308"/>
      <c r="C578" s="252"/>
      <c r="D578" s="822"/>
      <c r="F578" s="309"/>
      <c r="J578" s="302"/>
    </row>
    <row r="579">
      <c r="B579" s="308"/>
      <c r="C579" s="252"/>
      <c r="D579" s="822"/>
      <c r="F579" s="309"/>
      <c r="J579" s="302"/>
    </row>
    <row r="580">
      <c r="B580" s="308"/>
      <c r="C580" s="252"/>
      <c r="D580" s="822"/>
      <c r="F580" s="309"/>
      <c r="J580" s="302"/>
    </row>
    <row r="581">
      <c r="B581" s="308"/>
      <c r="C581" s="252"/>
      <c r="D581" s="822"/>
      <c r="F581" s="309"/>
      <c r="J581" s="302"/>
    </row>
    <row r="582">
      <c r="B582" s="308"/>
      <c r="C582" s="252"/>
      <c r="D582" s="822"/>
      <c r="F582" s="309"/>
      <c r="J582" s="302"/>
    </row>
    <row r="583">
      <c r="B583" s="308"/>
      <c r="C583" s="252"/>
      <c r="D583" s="822"/>
      <c r="F583" s="309"/>
      <c r="J583" s="302"/>
    </row>
    <row r="584">
      <c r="B584" s="308"/>
      <c r="C584" s="252"/>
      <c r="D584" s="822"/>
      <c r="F584" s="309"/>
      <c r="J584" s="302"/>
    </row>
    <row r="585">
      <c r="B585" s="308"/>
      <c r="C585" s="252"/>
      <c r="D585" s="822"/>
      <c r="F585" s="309"/>
      <c r="J585" s="302"/>
    </row>
    <row r="586">
      <c r="B586" s="308"/>
      <c r="C586" s="252"/>
      <c r="D586" s="822"/>
      <c r="F586" s="309"/>
      <c r="J586" s="302"/>
    </row>
    <row r="587">
      <c r="B587" s="308"/>
      <c r="C587" s="252"/>
      <c r="D587" s="822"/>
      <c r="F587" s="309"/>
      <c r="J587" s="302"/>
    </row>
    <row r="588">
      <c r="B588" s="308"/>
      <c r="C588" s="252"/>
      <c r="D588" s="822"/>
      <c r="F588" s="309"/>
      <c r="J588" s="302"/>
    </row>
    <row r="589">
      <c r="B589" s="308"/>
      <c r="C589" s="252"/>
      <c r="D589" s="822"/>
      <c r="F589" s="309"/>
      <c r="J589" s="302"/>
    </row>
    <row r="590">
      <c r="B590" s="308"/>
      <c r="C590" s="252"/>
      <c r="D590" s="822"/>
      <c r="F590" s="309"/>
      <c r="J590" s="302"/>
    </row>
    <row r="591">
      <c r="B591" s="308"/>
      <c r="C591" s="252"/>
      <c r="D591" s="822"/>
      <c r="F591" s="309"/>
      <c r="J591" s="302"/>
    </row>
    <row r="592">
      <c r="B592" s="308"/>
      <c r="C592" s="252"/>
      <c r="D592" s="822"/>
      <c r="F592" s="309"/>
      <c r="J592" s="302"/>
    </row>
    <row r="593">
      <c r="B593" s="308"/>
      <c r="C593" s="252"/>
      <c r="D593" s="822"/>
      <c r="F593" s="309"/>
      <c r="J593" s="302"/>
    </row>
    <row r="594">
      <c r="B594" s="308"/>
      <c r="C594" s="252"/>
      <c r="D594" s="822"/>
      <c r="F594" s="309"/>
      <c r="J594" s="302"/>
    </row>
    <row r="595">
      <c r="B595" s="308"/>
      <c r="C595" s="252"/>
      <c r="D595" s="822"/>
      <c r="F595" s="309"/>
      <c r="J595" s="302"/>
    </row>
    <row r="596">
      <c r="B596" s="308"/>
      <c r="C596" s="252"/>
      <c r="D596" s="822"/>
      <c r="F596" s="309"/>
      <c r="J596" s="302"/>
    </row>
    <row r="597">
      <c r="B597" s="308"/>
      <c r="C597" s="252"/>
      <c r="D597" s="822"/>
      <c r="F597" s="309"/>
      <c r="J597" s="302"/>
    </row>
    <row r="598">
      <c r="B598" s="308"/>
      <c r="C598" s="252"/>
      <c r="D598" s="822"/>
      <c r="F598" s="309"/>
      <c r="J598" s="302"/>
    </row>
    <row r="599">
      <c r="B599" s="308"/>
      <c r="C599" s="252"/>
      <c r="D599" s="822"/>
      <c r="F599" s="309"/>
      <c r="J599" s="302"/>
    </row>
    <row r="600">
      <c r="B600" s="308"/>
      <c r="C600" s="252"/>
      <c r="D600" s="822"/>
      <c r="F600" s="309"/>
      <c r="J600" s="302"/>
    </row>
    <row r="601">
      <c r="B601" s="308"/>
      <c r="C601" s="252"/>
      <c r="D601" s="822"/>
      <c r="F601" s="309"/>
      <c r="J601" s="302"/>
    </row>
    <row r="602">
      <c r="B602" s="308"/>
      <c r="C602" s="252"/>
      <c r="D602" s="822"/>
      <c r="F602" s="309"/>
      <c r="J602" s="302"/>
    </row>
    <row r="603">
      <c r="B603" s="308"/>
      <c r="C603" s="252"/>
      <c r="D603" s="822"/>
      <c r="F603" s="309"/>
      <c r="J603" s="302"/>
    </row>
    <row r="604">
      <c r="B604" s="308"/>
      <c r="C604" s="252"/>
      <c r="D604" s="822"/>
      <c r="F604" s="309"/>
      <c r="J604" s="302"/>
    </row>
    <row r="605">
      <c r="B605" s="308"/>
      <c r="C605" s="252"/>
      <c r="D605" s="822"/>
      <c r="F605" s="309"/>
      <c r="J605" s="302"/>
    </row>
    <row r="606">
      <c r="B606" s="308"/>
      <c r="C606" s="252"/>
      <c r="D606" s="822"/>
      <c r="F606" s="309"/>
      <c r="J606" s="302"/>
    </row>
    <row r="607">
      <c r="B607" s="308"/>
      <c r="C607" s="252"/>
      <c r="D607" s="822"/>
      <c r="F607" s="309"/>
      <c r="J607" s="302"/>
    </row>
    <row r="608">
      <c r="B608" s="308"/>
      <c r="C608" s="252"/>
      <c r="D608" s="822"/>
      <c r="F608" s="309"/>
      <c r="J608" s="302"/>
    </row>
    <row r="609">
      <c r="B609" s="308"/>
      <c r="C609" s="252"/>
      <c r="D609" s="822"/>
      <c r="F609" s="309"/>
      <c r="J609" s="302"/>
    </row>
    <row r="610">
      <c r="B610" s="308"/>
      <c r="C610" s="252"/>
      <c r="D610" s="822"/>
      <c r="F610" s="309"/>
      <c r="J610" s="302"/>
    </row>
    <row r="611">
      <c r="B611" s="308"/>
      <c r="C611" s="252"/>
      <c r="D611" s="822"/>
      <c r="F611" s="309"/>
      <c r="J611" s="302"/>
    </row>
    <row r="612">
      <c r="B612" s="308"/>
      <c r="C612" s="252"/>
      <c r="D612" s="822"/>
      <c r="F612" s="309"/>
      <c r="J612" s="302"/>
    </row>
    <row r="613">
      <c r="B613" s="308"/>
      <c r="C613" s="252"/>
      <c r="D613" s="822"/>
      <c r="F613" s="309"/>
      <c r="J613" s="302"/>
    </row>
    <row r="614">
      <c r="B614" s="308"/>
      <c r="C614" s="252"/>
      <c r="D614" s="822"/>
      <c r="F614" s="309"/>
      <c r="J614" s="302"/>
    </row>
    <row r="615">
      <c r="B615" s="308"/>
      <c r="C615" s="252"/>
      <c r="D615" s="822"/>
      <c r="F615" s="309"/>
      <c r="J615" s="302"/>
    </row>
    <row r="616">
      <c r="B616" s="308"/>
      <c r="C616" s="252"/>
      <c r="D616" s="822"/>
      <c r="F616" s="309"/>
      <c r="J616" s="302"/>
    </row>
    <row r="617">
      <c r="B617" s="308"/>
      <c r="C617" s="252"/>
      <c r="D617" s="822"/>
      <c r="F617" s="309"/>
      <c r="J617" s="302"/>
    </row>
    <row r="618">
      <c r="B618" s="308"/>
      <c r="C618" s="252"/>
      <c r="D618" s="822"/>
      <c r="F618" s="309"/>
      <c r="J618" s="302"/>
    </row>
    <row r="619">
      <c r="B619" s="308"/>
      <c r="C619" s="252"/>
      <c r="D619" s="822"/>
      <c r="F619" s="309"/>
      <c r="J619" s="302"/>
    </row>
    <row r="620">
      <c r="B620" s="308"/>
      <c r="C620" s="252"/>
      <c r="D620" s="822"/>
      <c r="F620" s="309"/>
      <c r="J620" s="302"/>
    </row>
    <row r="621">
      <c r="B621" s="308"/>
      <c r="C621" s="252"/>
      <c r="D621" s="822"/>
      <c r="F621" s="309"/>
      <c r="J621" s="302"/>
    </row>
    <row r="622">
      <c r="B622" s="308"/>
      <c r="C622" s="252"/>
      <c r="D622" s="822"/>
      <c r="F622" s="309"/>
      <c r="J622" s="302"/>
    </row>
    <row r="623">
      <c r="B623" s="308"/>
      <c r="C623" s="252"/>
      <c r="D623" s="822"/>
      <c r="F623" s="309"/>
      <c r="J623" s="302"/>
    </row>
    <row r="624">
      <c r="B624" s="308"/>
      <c r="C624" s="252"/>
      <c r="D624" s="822"/>
      <c r="F624" s="309"/>
      <c r="J624" s="302"/>
    </row>
    <row r="625">
      <c r="B625" s="308"/>
      <c r="C625" s="252"/>
      <c r="D625" s="822"/>
      <c r="F625" s="309"/>
      <c r="J625" s="302"/>
    </row>
    <row r="626">
      <c r="B626" s="308"/>
      <c r="C626" s="252"/>
      <c r="D626" s="822"/>
      <c r="F626" s="309"/>
      <c r="J626" s="302"/>
    </row>
    <row r="627">
      <c r="B627" s="308"/>
      <c r="C627" s="252"/>
      <c r="D627" s="822"/>
      <c r="F627" s="309"/>
      <c r="J627" s="302"/>
    </row>
    <row r="628">
      <c r="B628" s="308"/>
      <c r="C628" s="252"/>
      <c r="D628" s="822"/>
      <c r="F628" s="309"/>
      <c r="J628" s="302"/>
    </row>
    <row r="629">
      <c r="B629" s="308"/>
      <c r="C629" s="252"/>
      <c r="D629" s="822"/>
      <c r="F629" s="309"/>
      <c r="J629" s="302"/>
    </row>
    <row r="630">
      <c r="B630" s="308"/>
      <c r="C630" s="252"/>
      <c r="D630" s="822"/>
      <c r="F630" s="309"/>
      <c r="J630" s="302"/>
    </row>
    <row r="631">
      <c r="B631" s="308"/>
      <c r="C631" s="252"/>
      <c r="D631" s="822"/>
      <c r="F631" s="309"/>
      <c r="J631" s="302"/>
    </row>
    <row r="632">
      <c r="B632" s="308"/>
      <c r="C632" s="252"/>
      <c r="D632" s="822"/>
      <c r="F632" s="309"/>
      <c r="J632" s="302"/>
    </row>
    <row r="633">
      <c r="B633" s="308"/>
      <c r="C633" s="252"/>
      <c r="D633" s="822"/>
      <c r="F633" s="309"/>
      <c r="J633" s="302"/>
    </row>
    <row r="634">
      <c r="B634" s="308"/>
      <c r="C634" s="252"/>
      <c r="D634" s="822"/>
      <c r="F634" s="309"/>
      <c r="J634" s="302"/>
    </row>
    <row r="635">
      <c r="B635" s="308"/>
      <c r="C635" s="252"/>
      <c r="D635" s="822"/>
      <c r="F635" s="309"/>
      <c r="J635" s="302"/>
    </row>
    <row r="636">
      <c r="B636" s="308"/>
      <c r="C636" s="252"/>
      <c r="D636" s="822"/>
      <c r="F636" s="309"/>
      <c r="J636" s="302"/>
    </row>
    <row r="637">
      <c r="B637" s="308"/>
      <c r="C637" s="252"/>
      <c r="D637" s="822"/>
      <c r="F637" s="309"/>
      <c r="J637" s="302"/>
    </row>
    <row r="638">
      <c r="B638" s="308"/>
      <c r="C638" s="252"/>
      <c r="D638" s="822"/>
      <c r="F638" s="309"/>
      <c r="J638" s="302"/>
    </row>
    <row r="639">
      <c r="B639" s="308"/>
      <c r="C639" s="252"/>
      <c r="D639" s="822"/>
      <c r="F639" s="309"/>
      <c r="J639" s="302"/>
    </row>
    <row r="640">
      <c r="B640" s="308"/>
      <c r="C640" s="252"/>
      <c r="D640" s="822"/>
      <c r="F640" s="309"/>
      <c r="J640" s="302"/>
    </row>
    <row r="641">
      <c r="B641" s="308"/>
      <c r="C641" s="252"/>
      <c r="D641" s="822"/>
      <c r="F641" s="309"/>
      <c r="J641" s="302"/>
    </row>
    <row r="642">
      <c r="B642" s="308"/>
      <c r="C642" s="252"/>
      <c r="D642" s="822"/>
      <c r="F642" s="309"/>
      <c r="J642" s="302"/>
    </row>
    <row r="643">
      <c r="B643" s="308"/>
      <c r="C643" s="252"/>
      <c r="D643" s="822"/>
      <c r="F643" s="309"/>
      <c r="J643" s="302"/>
    </row>
    <row r="644">
      <c r="B644" s="308"/>
      <c r="C644" s="252"/>
      <c r="D644" s="822"/>
      <c r="F644" s="309"/>
      <c r="J644" s="302"/>
    </row>
    <row r="645">
      <c r="B645" s="308"/>
      <c r="C645" s="252"/>
      <c r="D645" s="822"/>
      <c r="F645" s="309"/>
      <c r="J645" s="302"/>
    </row>
    <row r="646">
      <c r="B646" s="308"/>
      <c r="C646" s="252"/>
      <c r="D646" s="822"/>
      <c r="F646" s="309"/>
      <c r="J646" s="302"/>
    </row>
    <row r="647">
      <c r="B647" s="308"/>
      <c r="C647" s="252"/>
      <c r="D647" s="822"/>
      <c r="F647" s="309"/>
      <c r="J647" s="302"/>
    </row>
    <row r="648">
      <c r="B648" s="308"/>
      <c r="C648" s="252"/>
      <c r="D648" s="822"/>
      <c r="F648" s="309"/>
      <c r="J648" s="302"/>
    </row>
    <row r="649">
      <c r="B649" s="308"/>
      <c r="C649" s="252"/>
      <c r="D649" s="822"/>
      <c r="F649" s="309"/>
      <c r="J649" s="302"/>
    </row>
    <row r="650">
      <c r="B650" s="308"/>
      <c r="C650" s="252"/>
      <c r="D650" s="822"/>
      <c r="F650" s="309"/>
      <c r="J650" s="302"/>
    </row>
    <row r="651">
      <c r="B651" s="308"/>
      <c r="C651" s="252"/>
      <c r="D651" s="822"/>
      <c r="F651" s="309"/>
      <c r="J651" s="302"/>
    </row>
    <row r="652">
      <c r="B652" s="308"/>
      <c r="C652" s="252"/>
      <c r="D652" s="822"/>
      <c r="F652" s="309"/>
      <c r="J652" s="302"/>
    </row>
    <row r="653">
      <c r="B653" s="308"/>
      <c r="C653" s="252"/>
      <c r="D653" s="822"/>
      <c r="F653" s="309"/>
      <c r="J653" s="302"/>
    </row>
    <row r="654">
      <c r="B654" s="308"/>
      <c r="C654" s="252"/>
      <c r="D654" s="822"/>
      <c r="F654" s="309"/>
      <c r="J654" s="302"/>
    </row>
    <row r="655">
      <c r="B655" s="308"/>
      <c r="C655" s="252"/>
      <c r="D655" s="822"/>
      <c r="F655" s="309"/>
      <c r="J655" s="302"/>
    </row>
    <row r="656">
      <c r="B656" s="308"/>
      <c r="C656" s="252"/>
      <c r="D656" s="822"/>
      <c r="F656" s="309"/>
      <c r="J656" s="302"/>
    </row>
    <row r="657">
      <c r="B657" s="308"/>
      <c r="C657" s="252"/>
      <c r="D657" s="822"/>
      <c r="F657" s="309"/>
      <c r="J657" s="302"/>
    </row>
    <row r="658">
      <c r="B658" s="308"/>
      <c r="C658" s="252"/>
      <c r="D658" s="822"/>
      <c r="F658" s="309"/>
      <c r="J658" s="302"/>
    </row>
    <row r="659">
      <c r="B659" s="308"/>
      <c r="C659" s="252"/>
      <c r="D659" s="822"/>
      <c r="F659" s="309"/>
      <c r="J659" s="302"/>
    </row>
    <row r="660">
      <c r="B660" s="308"/>
      <c r="C660" s="252"/>
      <c r="D660" s="822"/>
      <c r="F660" s="309"/>
      <c r="J660" s="302"/>
    </row>
    <row r="661">
      <c r="B661" s="308"/>
      <c r="C661" s="252"/>
      <c r="D661" s="822"/>
      <c r="F661" s="309"/>
      <c r="J661" s="302"/>
    </row>
    <row r="662">
      <c r="B662" s="308"/>
      <c r="C662" s="252"/>
      <c r="D662" s="822"/>
      <c r="F662" s="309"/>
      <c r="J662" s="302"/>
    </row>
    <row r="663">
      <c r="B663" s="308"/>
      <c r="C663" s="252"/>
      <c r="D663" s="822"/>
      <c r="F663" s="309"/>
      <c r="J663" s="302"/>
    </row>
    <row r="664">
      <c r="B664" s="308"/>
      <c r="C664" s="252"/>
      <c r="D664" s="822"/>
      <c r="F664" s="309"/>
      <c r="J664" s="302"/>
    </row>
    <row r="665">
      <c r="B665" s="308"/>
      <c r="C665" s="252"/>
      <c r="D665" s="822"/>
      <c r="F665" s="309"/>
      <c r="J665" s="302"/>
    </row>
    <row r="666">
      <c r="B666" s="308"/>
      <c r="C666" s="252"/>
      <c r="D666" s="822"/>
      <c r="F666" s="309"/>
      <c r="J666" s="302"/>
    </row>
    <row r="667">
      <c r="B667" s="308"/>
      <c r="C667" s="252"/>
      <c r="D667" s="822"/>
      <c r="F667" s="309"/>
      <c r="J667" s="302"/>
    </row>
    <row r="668">
      <c r="B668" s="308"/>
      <c r="C668" s="252"/>
      <c r="D668" s="822"/>
      <c r="F668" s="309"/>
      <c r="J668" s="302"/>
    </row>
    <row r="669">
      <c r="B669" s="308"/>
      <c r="C669" s="252"/>
      <c r="D669" s="822"/>
      <c r="F669" s="309"/>
      <c r="J669" s="302"/>
    </row>
    <row r="670">
      <c r="B670" s="308"/>
      <c r="C670" s="252"/>
      <c r="D670" s="822"/>
      <c r="F670" s="309"/>
      <c r="J670" s="302"/>
    </row>
    <row r="671">
      <c r="B671" s="308"/>
      <c r="C671" s="252"/>
      <c r="D671" s="822"/>
      <c r="F671" s="309"/>
      <c r="J671" s="302"/>
    </row>
    <row r="672">
      <c r="B672" s="308"/>
      <c r="C672" s="252"/>
      <c r="D672" s="822"/>
      <c r="F672" s="309"/>
      <c r="J672" s="302"/>
    </row>
    <row r="673">
      <c r="B673" s="308"/>
      <c r="C673" s="252"/>
      <c r="D673" s="822"/>
      <c r="F673" s="309"/>
      <c r="J673" s="302"/>
    </row>
    <row r="674">
      <c r="B674" s="308"/>
      <c r="C674" s="252"/>
      <c r="D674" s="822"/>
      <c r="F674" s="309"/>
      <c r="J674" s="302"/>
    </row>
    <row r="675">
      <c r="B675" s="308"/>
      <c r="C675" s="252"/>
      <c r="D675" s="822"/>
      <c r="F675" s="309"/>
      <c r="J675" s="302"/>
    </row>
    <row r="676">
      <c r="B676" s="308"/>
      <c r="C676" s="252"/>
      <c r="D676" s="822"/>
      <c r="F676" s="309"/>
      <c r="J676" s="302"/>
    </row>
    <row r="677">
      <c r="B677" s="308"/>
      <c r="C677" s="252"/>
      <c r="D677" s="822"/>
      <c r="F677" s="309"/>
      <c r="J677" s="302"/>
    </row>
    <row r="678">
      <c r="B678" s="308"/>
      <c r="C678" s="252"/>
      <c r="D678" s="822"/>
      <c r="F678" s="309"/>
      <c r="J678" s="302"/>
    </row>
    <row r="679">
      <c r="B679" s="308"/>
      <c r="C679" s="252"/>
      <c r="D679" s="822"/>
      <c r="F679" s="309"/>
      <c r="J679" s="302"/>
    </row>
    <row r="680">
      <c r="B680" s="308"/>
      <c r="C680" s="252"/>
      <c r="D680" s="822"/>
      <c r="F680" s="309"/>
      <c r="J680" s="302"/>
    </row>
    <row r="681">
      <c r="B681" s="308"/>
      <c r="C681" s="252"/>
      <c r="D681" s="822"/>
      <c r="F681" s="309"/>
      <c r="J681" s="302"/>
    </row>
    <row r="682">
      <c r="B682" s="308"/>
      <c r="C682" s="252"/>
      <c r="D682" s="822"/>
      <c r="F682" s="309"/>
      <c r="J682" s="302"/>
    </row>
    <row r="683">
      <c r="B683" s="308"/>
      <c r="C683" s="252"/>
      <c r="D683" s="822"/>
      <c r="F683" s="309"/>
      <c r="J683" s="302"/>
    </row>
    <row r="684">
      <c r="B684" s="308"/>
      <c r="C684" s="252"/>
      <c r="D684" s="822"/>
      <c r="F684" s="309"/>
      <c r="J684" s="302"/>
    </row>
    <row r="685">
      <c r="B685" s="308"/>
      <c r="C685" s="252"/>
      <c r="D685" s="822"/>
      <c r="F685" s="309"/>
      <c r="J685" s="302"/>
    </row>
    <row r="686">
      <c r="B686" s="308"/>
      <c r="C686" s="252"/>
      <c r="D686" s="822"/>
      <c r="F686" s="309"/>
      <c r="J686" s="302"/>
    </row>
    <row r="687">
      <c r="B687" s="308"/>
      <c r="C687" s="252"/>
      <c r="D687" s="822"/>
      <c r="F687" s="309"/>
      <c r="J687" s="302"/>
    </row>
    <row r="688">
      <c r="B688" s="308"/>
      <c r="C688" s="252"/>
      <c r="D688" s="822"/>
      <c r="F688" s="309"/>
      <c r="J688" s="302"/>
    </row>
    <row r="689">
      <c r="B689" s="308"/>
      <c r="C689" s="252"/>
      <c r="D689" s="822"/>
      <c r="F689" s="309"/>
      <c r="J689" s="302"/>
    </row>
    <row r="690">
      <c r="B690" s="308"/>
      <c r="C690" s="252"/>
      <c r="D690" s="822"/>
      <c r="F690" s="309"/>
      <c r="J690" s="302"/>
    </row>
    <row r="691">
      <c r="B691" s="308"/>
      <c r="C691" s="252"/>
      <c r="D691" s="822"/>
      <c r="F691" s="309"/>
      <c r="J691" s="302"/>
    </row>
    <row r="692">
      <c r="B692" s="308"/>
      <c r="C692" s="252"/>
      <c r="D692" s="822"/>
      <c r="F692" s="309"/>
      <c r="J692" s="302"/>
    </row>
    <row r="693">
      <c r="B693" s="308"/>
      <c r="C693" s="252"/>
      <c r="D693" s="822"/>
      <c r="F693" s="309"/>
      <c r="J693" s="302"/>
    </row>
    <row r="694">
      <c r="B694" s="308"/>
      <c r="C694" s="252"/>
      <c r="D694" s="822"/>
      <c r="F694" s="309"/>
      <c r="J694" s="302"/>
    </row>
    <row r="695">
      <c r="B695" s="308"/>
      <c r="C695" s="252"/>
      <c r="D695" s="822"/>
      <c r="F695" s="309"/>
      <c r="J695" s="302"/>
    </row>
    <row r="696">
      <c r="B696" s="308"/>
      <c r="C696" s="252"/>
      <c r="D696" s="822"/>
      <c r="F696" s="309"/>
      <c r="J696" s="302"/>
    </row>
    <row r="697">
      <c r="B697" s="308"/>
      <c r="C697" s="252"/>
      <c r="D697" s="822"/>
      <c r="F697" s="309"/>
      <c r="J697" s="302"/>
    </row>
    <row r="698">
      <c r="B698" s="308"/>
      <c r="C698" s="252"/>
      <c r="D698" s="822"/>
      <c r="F698" s="309"/>
      <c r="J698" s="302"/>
    </row>
    <row r="699">
      <c r="B699" s="308"/>
      <c r="C699" s="252"/>
      <c r="D699" s="822"/>
      <c r="F699" s="309"/>
      <c r="J699" s="302"/>
    </row>
    <row r="700">
      <c r="B700" s="308"/>
      <c r="C700" s="252"/>
      <c r="D700" s="822"/>
      <c r="F700" s="309"/>
      <c r="J700" s="302"/>
    </row>
    <row r="701">
      <c r="B701" s="308"/>
      <c r="C701" s="252"/>
      <c r="D701" s="822"/>
      <c r="F701" s="309"/>
      <c r="J701" s="302"/>
    </row>
    <row r="702">
      <c r="B702" s="308"/>
      <c r="C702" s="252"/>
      <c r="D702" s="822"/>
      <c r="F702" s="309"/>
      <c r="J702" s="302"/>
    </row>
    <row r="703">
      <c r="B703" s="308"/>
      <c r="C703" s="252"/>
      <c r="D703" s="822"/>
      <c r="F703" s="309"/>
      <c r="J703" s="302"/>
    </row>
    <row r="704">
      <c r="B704" s="308"/>
      <c r="C704" s="252"/>
      <c r="D704" s="822"/>
      <c r="F704" s="309"/>
      <c r="J704" s="302"/>
    </row>
    <row r="705">
      <c r="B705" s="308"/>
      <c r="C705" s="252"/>
      <c r="D705" s="822"/>
      <c r="F705" s="309"/>
      <c r="J705" s="302"/>
    </row>
    <row r="706">
      <c r="B706" s="308"/>
      <c r="C706" s="252"/>
      <c r="D706" s="822"/>
      <c r="F706" s="309"/>
      <c r="J706" s="302"/>
    </row>
    <row r="707">
      <c r="B707" s="308"/>
      <c r="C707" s="252"/>
      <c r="D707" s="822"/>
      <c r="F707" s="309"/>
      <c r="J707" s="302"/>
    </row>
    <row r="708">
      <c r="B708" s="308"/>
      <c r="C708" s="252"/>
      <c r="D708" s="822"/>
      <c r="F708" s="309"/>
      <c r="J708" s="302"/>
    </row>
    <row r="709">
      <c r="B709" s="308"/>
      <c r="C709" s="252"/>
      <c r="D709" s="822"/>
      <c r="F709" s="309"/>
      <c r="J709" s="302"/>
    </row>
    <row r="710">
      <c r="B710" s="308"/>
      <c r="C710" s="252"/>
      <c r="D710" s="822"/>
      <c r="F710" s="309"/>
      <c r="J710" s="302"/>
    </row>
    <row r="711">
      <c r="B711" s="308"/>
      <c r="C711" s="252"/>
      <c r="D711" s="822"/>
      <c r="F711" s="309"/>
      <c r="J711" s="302"/>
    </row>
    <row r="712">
      <c r="B712" s="308"/>
      <c r="C712" s="252"/>
      <c r="D712" s="822"/>
      <c r="F712" s="309"/>
      <c r="J712" s="302"/>
    </row>
    <row r="713">
      <c r="B713" s="308"/>
      <c r="C713" s="252"/>
      <c r="D713" s="822"/>
      <c r="F713" s="309"/>
      <c r="J713" s="302"/>
    </row>
    <row r="714">
      <c r="B714" s="308"/>
      <c r="C714" s="252"/>
      <c r="D714" s="822"/>
      <c r="F714" s="309"/>
      <c r="J714" s="302"/>
    </row>
    <row r="715">
      <c r="B715" s="308"/>
      <c r="C715" s="252"/>
      <c r="D715" s="822"/>
      <c r="F715" s="309"/>
      <c r="J715" s="302"/>
    </row>
    <row r="716">
      <c r="B716" s="308"/>
      <c r="C716" s="252"/>
      <c r="D716" s="822"/>
      <c r="F716" s="309"/>
      <c r="J716" s="302"/>
    </row>
    <row r="717">
      <c r="B717" s="308"/>
      <c r="C717" s="252"/>
      <c r="D717" s="822"/>
      <c r="F717" s="309"/>
      <c r="J717" s="302"/>
    </row>
    <row r="718">
      <c r="B718" s="308"/>
      <c r="C718" s="252"/>
      <c r="D718" s="822"/>
      <c r="F718" s="309"/>
      <c r="J718" s="302"/>
    </row>
    <row r="719">
      <c r="B719" s="308"/>
      <c r="C719" s="252"/>
      <c r="D719" s="822"/>
      <c r="F719" s="309"/>
      <c r="J719" s="302"/>
    </row>
    <row r="720">
      <c r="B720" s="308"/>
      <c r="C720" s="252"/>
      <c r="D720" s="822"/>
      <c r="F720" s="309"/>
      <c r="J720" s="302"/>
    </row>
    <row r="721">
      <c r="B721" s="308"/>
      <c r="C721" s="252"/>
      <c r="D721" s="822"/>
      <c r="F721" s="309"/>
      <c r="J721" s="302"/>
    </row>
    <row r="722">
      <c r="B722" s="308"/>
      <c r="C722" s="252"/>
      <c r="D722" s="822"/>
      <c r="F722" s="309"/>
      <c r="J722" s="302"/>
    </row>
    <row r="723">
      <c r="B723" s="308"/>
      <c r="C723" s="252"/>
      <c r="D723" s="822"/>
      <c r="F723" s="309"/>
      <c r="J723" s="302"/>
    </row>
    <row r="724">
      <c r="B724" s="308"/>
      <c r="C724" s="252"/>
      <c r="D724" s="822"/>
      <c r="F724" s="309"/>
      <c r="J724" s="302"/>
    </row>
    <row r="725">
      <c r="B725" s="308"/>
      <c r="C725" s="252"/>
      <c r="D725" s="822"/>
      <c r="F725" s="309"/>
      <c r="J725" s="302"/>
    </row>
    <row r="726">
      <c r="B726" s="308"/>
      <c r="C726" s="252"/>
      <c r="D726" s="822"/>
      <c r="F726" s="309"/>
      <c r="J726" s="302"/>
    </row>
    <row r="727">
      <c r="B727" s="308"/>
      <c r="C727" s="252"/>
      <c r="D727" s="822"/>
      <c r="F727" s="309"/>
      <c r="J727" s="302"/>
    </row>
    <row r="728">
      <c r="B728" s="308"/>
      <c r="C728" s="252"/>
      <c r="D728" s="822"/>
      <c r="F728" s="309"/>
      <c r="J728" s="302"/>
    </row>
    <row r="729">
      <c r="B729" s="308"/>
      <c r="C729" s="252"/>
      <c r="D729" s="822"/>
      <c r="F729" s="309"/>
      <c r="J729" s="302"/>
    </row>
    <row r="730">
      <c r="B730" s="308"/>
      <c r="C730" s="252"/>
      <c r="D730" s="822"/>
      <c r="F730" s="309"/>
      <c r="J730" s="302"/>
    </row>
    <row r="731">
      <c r="B731" s="308"/>
      <c r="C731" s="252"/>
      <c r="D731" s="822"/>
      <c r="F731" s="309"/>
      <c r="J731" s="302"/>
    </row>
    <row r="732">
      <c r="B732" s="308"/>
      <c r="C732" s="252"/>
      <c r="D732" s="822"/>
      <c r="F732" s="309"/>
      <c r="J732" s="302"/>
    </row>
    <row r="733">
      <c r="B733" s="308"/>
      <c r="C733" s="252"/>
      <c r="D733" s="822"/>
      <c r="F733" s="309"/>
      <c r="J733" s="302"/>
    </row>
    <row r="734">
      <c r="B734" s="308"/>
      <c r="C734" s="252"/>
      <c r="D734" s="822"/>
      <c r="F734" s="309"/>
      <c r="J734" s="302"/>
    </row>
    <row r="735">
      <c r="B735" s="308"/>
      <c r="C735" s="252"/>
      <c r="D735" s="822"/>
      <c r="F735" s="309"/>
      <c r="J735" s="302"/>
    </row>
    <row r="736">
      <c r="B736" s="308"/>
      <c r="C736" s="252"/>
      <c r="D736" s="822"/>
      <c r="F736" s="309"/>
      <c r="J736" s="302"/>
    </row>
    <row r="737">
      <c r="B737" s="308"/>
      <c r="C737" s="252"/>
      <c r="D737" s="822"/>
      <c r="F737" s="309"/>
      <c r="J737" s="302"/>
    </row>
    <row r="738">
      <c r="B738" s="308"/>
      <c r="C738" s="252"/>
      <c r="D738" s="822"/>
      <c r="F738" s="309"/>
      <c r="J738" s="302"/>
    </row>
    <row r="739">
      <c r="B739" s="308"/>
      <c r="C739" s="252"/>
      <c r="D739" s="822"/>
      <c r="F739" s="309"/>
      <c r="J739" s="302"/>
    </row>
    <row r="740">
      <c r="B740" s="308"/>
      <c r="C740" s="252"/>
      <c r="D740" s="822"/>
      <c r="F740" s="309"/>
      <c r="J740" s="302"/>
    </row>
    <row r="741">
      <c r="B741" s="308"/>
      <c r="C741" s="252"/>
      <c r="D741" s="822"/>
      <c r="F741" s="309"/>
      <c r="J741" s="302"/>
    </row>
    <row r="742">
      <c r="B742" s="308"/>
      <c r="C742" s="252"/>
      <c r="D742" s="822"/>
      <c r="F742" s="309"/>
      <c r="J742" s="302"/>
    </row>
    <row r="743">
      <c r="B743" s="308"/>
      <c r="C743" s="252"/>
      <c r="D743" s="822"/>
      <c r="F743" s="309"/>
      <c r="J743" s="302"/>
    </row>
  </sheetData>
  <mergeCells count="32">
    <mergeCell ref="G1:I1"/>
    <mergeCell ref="A2:A13"/>
    <mergeCell ref="A14:A26"/>
    <mergeCell ref="A27:A39"/>
    <mergeCell ref="A40:A51"/>
    <mergeCell ref="A54:A63"/>
    <mergeCell ref="A64:A77"/>
    <mergeCell ref="A78:A89"/>
    <mergeCell ref="A90:A105"/>
    <mergeCell ref="A106:A119"/>
    <mergeCell ref="A120:A137"/>
    <mergeCell ref="A138:A152"/>
    <mergeCell ref="A153:A167"/>
    <mergeCell ref="A168:A177"/>
    <mergeCell ref="A178:A192"/>
    <mergeCell ref="A193:A208"/>
    <mergeCell ref="A209:A223"/>
    <mergeCell ref="A224:A235"/>
    <mergeCell ref="A236:A250"/>
    <mergeCell ref="A251:A264"/>
    <mergeCell ref="A265:A278"/>
    <mergeCell ref="A385:A395"/>
    <mergeCell ref="A396:A407"/>
    <mergeCell ref="A415:A424"/>
    <mergeCell ref="A425:A434"/>
    <mergeCell ref="A279:A291"/>
    <mergeCell ref="A292:A305"/>
    <mergeCell ref="A306:A320"/>
    <mergeCell ref="A321:A335"/>
    <mergeCell ref="A336:A348"/>
    <mergeCell ref="A349:A366"/>
    <mergeCell ref="A367:A3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6"/>
      <c r="I1" s="637"/>
      <c r="J1" s="413" t="s">
        <v>2782</v>
      </c>
    </row>
    <row r="2">
      <c r="A2" s="816">
        <v>1.0</v>
      </c>
      <c r="B2" s="247">
        <v>13595.08</v>
      </c>
      <c r="C2" s="263"/>
      <c r="D2" s="824"/>
      <c r="E2" s="242"/>
      <c r="F2" s="243"/>
      <c r="G2" s="244" t="s">
        <v>91</v>
      </c>
      <c r="H2" s="244"/>
      <c r="I2" s="244"/>
      <c r="J2" s="307"/>
    </row>
    <row r="3">
      <c r="A3" s="265"/>
      <c r="B3" s="247">
        <v>6763.39</v>
      </c>
      <c r="C3" s="248"/>
      <c r="D3" s="331"/>
      <c r="F3" s="250"/>
      <c r="G3" s="2" t="s">
        <v>73</v>
      </c>
      <c r="J3" s="251"/>
    </row>
    <row r="4">
      <c r="A4" s="265"/>
      <c r="B4" s="247">
        <v>14404.67</v>
      </c>
      <c r="C4" s="252"/>
      <c r="D4" s="331"/>
      <c r="F4" s="250"/>
      <c r="G4" s="254" t="s">
        <v>74</v>
      </c>
      <c r="H4" s="269"/>
      <c r="I4" s="269"/>
      <c r="J4" s="251"/>
    </row>
    <row r="5">
      <c r="A5" s="265"/>
      <c r="B5" s="247"/>
      <c r="C5" s="252"/>
      <c r="D5" s="822"/>
      <c r="F5" s="250">
        <f>443+1069+2540</f>
        <v>4052</v>
      </c>
      <c r="G5" s="254" t="s">
        <v>97</v>
      </c>
      <c r="H5" s="269"/>
      <c r="I5" s="269"/>
      <c r="J5" s="251"/>
    </row>
    <row r="6">
      <c r="A6" s="265"/>
      <c r="B6" s="247"/>
      <c r="C6" s="248"/>
      <c r="D6" s="331"/>
      <c r="F6" s="250">
        <v>15600.0</v>
      </c>
      <c r="G6" s="254" t="s">
        <v>87</v>
      </c>
      <c r="H6" s="269"/>
      <c r="I6" s="269"/>
      <c r="J6" s="251"/>
    </row>
    <row r="7">
      <c r="A7" s="265"/>
      <c r="B7" s="247"/>
      <c r="C7" s="252"/>
      <c r="D7" s="822"/>
      <c r="F7" s="250">
        <v>1000.0</v>
      </c>
      <c r="G7" s="254" t="s">
        <v>2931</v>
      </c>
      <c r="H7" s="269"/>
      <c r="I7" s="269"/>
      <c r="J7" s="267"/>
    </row>
    <row r="8">
      <c r="A8" s="265"/>
      <c r="B8" s="268"/>
      <c r="C8" s="252"/>
      <c r="D8" s="822"/>
      <c r="F8" s="250">
        <v>500.0</v>
      </c>
      <c r="G8" s="254" t="s">
        <v>94</v>
      </c>
      <c r="H8" s="269"/>
      <c r="I8" s="269"/>
      <c r="J8" s="267"/>
    </row>
    <row r="9">
      <c r="A9" s="265"/>
      <c r="B9" s="247">
        <v>1760.0</v>
      </c>
      <c r="C9" s="252"/>
      <c r="D9" s="822"/>
      <c r="F9" s="250"/>
      <c r="G9" s="254" t="s">
        <v>2932</v>
      </c>
      <c r="H9" s="269"/>
      <c r="I9" s="269"/>
      <c r="J9" s="251"/>
    </row>
    <row r="10">
      <c r="A10" s="265"/>
      <c r="B10" s="268"/>
      <c r="C10" s="252"/>
      <c r="D10" s="822"/>
      <c r="F10" s="250">
        <v>6400.0</v>
      </c>
      <c r="G10" s="254" t="s">
        <v>128</v>
      </c>
      <c r="H10" s="269"/>
      <c r="I10" s="269"/>
      <c r="J10" s="251"/>
    </row>
    <row r="11">
      <c r="A11" s="265"/>
      <c r="B11" s="278"/>
      <c r="C11" s="252"/>
      <c r="D11" s="822"/>
      <c r="F11" s="250">
        <v>6000.0</v>
      </c>
      <c r="G11" s="254" t="s">
        <v>2662</v>
      </c>
      <c r="H11" s="269"/>
      <c r="I11" s="269"/>
      <c r="J11" s="251"/>
    </row>
    <row r="12">
      <c r="A12" s="265"/>
      <c r="B12" s="278"/>
      <c r="C12" s="252"/>
      <c r="D12" s="822"/>
      <c r="F12" s="250">
        <v>1000.0</v>
      </c>
      <c r="G12" s="254" t="s">
        <v>2933</v>
      </c>
      <c r="H12" s="269"/>
      <c r="I12" s="269"/>
      <c r="J12" s="251"/>
    </row>
    <row r="13">
      <c r="A13" s="270"/>
      <c r="B13" s="271"/>
      <c r="C13" s="272"/>
      <c r="D13" s="823"/>
      <c r="E13" s="18"/>
      <c r="F13" s="259">
        <v>700.0</v>
      </c>
      <c r="G13" s="260" t="s">
        <v>161</v>
      </c>
      <c r="H13" s="275"/>
      <c r="I13" s="275"/>
      <c r="J13" s="261"/>
    </row>
    <row r="14">
      <c r="A14" s="816">
        <v>2.0</v>
      </c>
      <c r="B14" s="247">
        <v>7853.0</v>
      </c>
      <c r="C14" s="263"/>
      <c r="D14" s="821"/>
      <c r="E14" s="242"/>
      <c r="F14" s="243"/>
      <c r="G14" s="276" t="s">
        <v>103</v>
      </c>
      <c r="H14" s="276"/>
      <c r="I14" s="276"/>
      <c r="J14" s="307"/>
    </row>
    <row r="15">
      <c r="A15" s="265"/>
      <c r="B15" s="247">
        <v>3488.75</v>
      </c>
      <c r="C15" s="248"/>
      <c r="D15" s="822"/>
      <c r="F15" s="250"/>
      <c r="G15" s="254" t="s">
        <v>82</v>
      </c>
      <c r="H15" s="269"/>
      <c r="I15" s="269"/>
      <c r="J15" s="251"/>
    </row>
    <row r="16">
      <c r="A16" s="265"/>
      <c r="B16" s="247"/>
      <c r="C16" s="248"/>
      <c r="D16" s="331"/>
      <c r="F16" s="250">
        <v>510.0</v>
      </c>
      <c r="G16" s="254" t="s">
        <v>312</v>
      </c>
      <c r="H16" s="269"/>
      <c r="I16" s="269"/>
      <c r="J16" s="251"/>
    </row>
    <row r="17">
      <c r="A17" s="265"/>
      <c r="B17" s="247"/>
      <c r="C17" s="252"/>
      <c r="D17" s="331"/>
      <c r="F17" s="250">
        <f>500+1000+1877</f>
        <v>3377</v>
      </c>
      <c r="G17" s="254" t="s">
        <v>97</v>
      </c>
      <c r="H17" s="269"/>
      <c r="I17" s="269"/>
      <c r="J17" s="251"/>
    </row>
    <row r="18">
      <c r="A18" s="265"/>
      <c r="B18" s="247"/>
      <c r="C18" s="252"/>
      <c r="D18" s="331"/>
      <c r="F18" s="250">
        <v>1000.0</v>
      </c>
      <c r="G18" s="254" t="s">
        <v>2933</v>
      </c>
      <c r="H18" s="269"/>
      <c r="I18" s="269"/>
      <c r="J18" s="251"/>
    </row>
    <row r="19">
      <c r="A19" s="265"/>
      <c r="B19" s="247"/>
      <c r="C19" s="248"/>
      <c r="D19" s="331"/>
      <c r="F19" s="250">
        <v>999.0</v>
      </c>
      <c r="G19" s="254" t="s">
        <v>63</v>
      </c>
      <c r="H19" s="269"/>
      <c r="I19" s="269"/>
      <c r="J19" s="251"/>
    </row>
    <row r="20">
      <c r="A20" s="265"/>
      <c r="B20" s="247">
        <v>5030.0</v>
      </c>
      <c r="C20" s="252"/>
      <c r="D20" s="822"/>
      <c r="F20" s="250"/>
      <c r="G20" s="254" t="s">
        <v>2934</v>
      </c>
      <c r="H20" s="269"/>
      <c r="I20" s="269"/>
      <c r="J20" s="251"/>
    </row>
    <row r="21">
      <c r="A21" s="265"/>
      <c r="B21" s="247">
        <v>2290.0</v>
      </c>
      <c r="C21" s="252"/>
      <c r="D21" s="331"/>
      <c r="F21" s="250"/>
      <c r="G21" s="254" t="s">
        <v>352</v>
      </c>
      <c r="H21" s="269"/>
      <c r="I21" s="269"/>
      <c r="J21" s="251"/>
    </row>
    <row r="22">
      <c r="A22" s="265"/>
      <c r="B22" s="247">
        <v>1647.0</v>
      </c>
      <c r="C22" s="252"/>
      <c r="D22" s="822"/>
      <c r="F22" s="250"/>
      <c r="G22" s="254" t="s">
        <v>2935</v>
      </c>
      <c r="H22" s="254"/>
      <c r="I22" s="269"/>
      <c r="J22" s="251"/>
    </row>
    <row r="23">
      <c r="A23" s="265"/>
      <c r="B23" s="278"/>
      <c r="C23" s="252"/>
      <c r="D23" s="822"/>
      <c r="F23" s="250"/>
      <c r="G23" s="254"/>
      <c r="H23" s="254"/>
      <c r="I23" s="269"/>
      <c r="J23" s="251"/>
    </row>
    <row r="24">
      <c r="A24" s="265"/>
      <c r="B24" s="278"/>
      <c r="C24" s="252"/>
      <c r="D24" s="822"/>
      <c r="F24" s="250"/>
      <c r="G24" s="269"/>
      <c r="H24" s="269"/>
      <c r="I24" s="269"/>
      <c r="J24" s="251"/>
    </row>
    <row r="25">
      <c r="A25" s="265"/>
      <c r="B25" s="278"/>
      <c r="C25" s="252"/>
      <c r="D25" s="822"/>
      <c r="F25" s="250"/>
      <c r="G25" s="269"/>
      <c r="H25" s="269"/>
      <c r="I25" s="269"/>
      <c r="J25" s="251"/>
    </row>
    <row r="26">
      <c r="A26" s="270"/>
      <c r="B26" s="271"/>
      <c r="C26" s="272"/>
      <c r="D26" s="823"/>
      <c r="E26" s="18"/>
      <c r="F26" s="274"/>
      <c r="G26" s="275"/>
      <c r="H26" s="275"/>
      <c r="I26" s="275"/>
      <c r="J26" s="261"/>
    </row>
    <row r="27">
      <c r="A27" s="262">
        <v>3.0</v>
      </c>
      <c r="B27" s="239"/>
      <c r="C27" s="263"/>
      <c r="D27" s="824"/>
      <c r="E27" s="242"/>
      <c r="F27" s="250">
        <v>1139.0</v>
      </c>
      <c r="G27" s="276" t="s">
        <v>97</v>
      </c>
      <c r="H27" s="276"/>
      <c r="I27" s="276"/>
      <c r="J27" s="307"/>
    </row>
    <row r="28">
      <c r="A28" s="265"/>
      <c r="B28" s="247">
        <v>3980.0</v>
      </c>
      <c r="C28" s="248"/>
      <c r="D28" s="822"/>
      <c r="F28" s="266"/>
      <c r="G28" s="254" t="s">
        <v>75</v>
      </c>
      <c r="H28" s="269"/>
      <c r="I28" s="269"/>
      <c r="J28" s="251"/>
    </row>
    <row r="29">
      <c r="A29" s="265"/>
      <c r="B29" s="247"/>
      <c r="C29" s="248"/>
      <c r="D29" s="822"/>
      <c r="F29" s="250">
        <v>6220.0</v>
      </c>
      <c r="G29" s="254" t="s">
        <v>76</v>
      </c>
      <c r="H29" s="269"/>
      <c r="I29" s="269"/>
      <c r="J29" s="251"/>
    </row>
    <row r="30">
      <c r="A30" s="265"/>
      <c r="B30" s="247"/>
      <c r="C30" s="252"/>
      <c r="D30" s="822"/>
      <c r="F30" s="250">
        <v>1000.0</v>
      </c>
      <c r="G30" s="254" t="s">
        <v>2933</v>
      </c>
      <c r="H30" s="269"/>
      <c r="I30" s="269"/>
      <c r="J30" s="251"/>
    </row>
    <row r="31">
      <c r="A31" s="265"/>
      <c r="B31" s="247"/>
      <c r="C31" s="248"/>
      <c r="D31" s="822"/>
      <c r="F31" s="250">
        <v>2000.0</v>
      </c>
      <c r="G31" s="254" t="s">
        <v>2936</v>
      </c>
      <c r="H31" s="269"/>
      <c r="I31" s="269"/>
      <c r="J31" s="251"/>
    </row>
    <row r="32">
      <c r="A32" s="265"/>
      <c r="B32" s="247">
        <v>10240.0</v>
      </c>
      <c r="C32" s="252"/>
      <c r="D32" s="822"/>
      <c r="F32" s="250"/>
      <c r="G32" s="254" t="s">
        <v>65</v>
      </c>
      <c r="H32" s="269"/>
      <c r="I32" s="269"/>
      <c r="J32" s="251"/>
    </row>
    <row r="33">
      <c r="A33" s="265"/>
      <c r="B33" s="247"/>
      <c r="C33" s="252"/>
      <c r="D33" s="822"/>
      <c r="F33" s="250"/>
      <c r="G33" s="269"/>
      <c r="H33" s="269"/>
      <c r="I33" s="269"/>
      <c r="J33" s="251"/>
    </row>
    <row r="34">
      <c r="A34" s="265"/>
      <c r="B34" s="247"/>
      <c r="C34" s="252"/>
      <c r="D34" s="331"/>
      <c r="F34" s="250"/>
      <c r="G34" s="269"/>
      <c r="H34" s="269"/>
      <c r="I34" s="269"/>
      <c r="J34" s="267"/>
    </row>
    <row r="35">
      <c r="A35" s="265"/>
      <c r="B35" s="268"/>
      <c r="C35" s="252"/>
      <c r="D35" s="822"/>
      <c r="F35" s="250"/>
      <c r="G35" s="269"/>
      <c r="H35" s="269"/>
      <c r="I35" s="269"/>
      <c r="J35" s="267"/>
    </row>
    <row r="36">
      <c r="A36" s="265"/>
      <c r="B36" s="247"/>
      <c r="C36" s="252"/>
      <c r="D36" s="822"/>
      <c r="F36" s="250"/>
      <c r="G36" s="269"/>
      <c r="H36" s="269"/>
      <c r="I36" s="269"/>
      <c r="J36" s="251"/>
    </row>
    <row r="37">
      <c r="A37" s="265"/>
      <c r="B37" s="268"/>
      <c r="C37" s="252"/>
      <c r="D37" s="822"/>
      <c r="F37" s="250"/>
      <c r="G37" s="269"/>
      <c r="H37" s="269"/>
      <c r="I37" s="269"/>
      <c r="J37" s="251"/>
    </row>
    <row r="38">
      <c r="A38" s="265"/>
      <c r="B38" s="268"/>
      <c r="C38" s="252"/>
      <c r="D38" s="822"/>
      <c r="F38" s="250"/>
      <c r="G38" s="269"/>
      <c r="H38" s="269"/>
      <c r="I38" s="269"/>
      <c r="J38" s="251"/>
    </row>
    <row r="39">
      <c r="A39" s="270"/>
      <c r="B39" s="271"/>
      <c r="C39" s="272"/>
      <c r="D39" s="823"/>
      <c r="E39" s="18"/>
      <c r="F39" s="274"/>
      <c r="G39" s="275"/>
      <c r="H39" s="275"/>
      <c r="I39" s="275"/>
      <c r="J39" s="261"/>
    </row>
    <row r="40">
      <c r="A40" s="262">
        <v>4.0</v>
      </c>
      <c r="B40" s="239">
        <v>4122.53</v>
      </c>
      <c r="C40" s="240"/>
      <c r="D40" s="824"/>
      <c r="E40" s="242"/>
      <c r="F40" s="243"/>
      <c r="G40" s="276" t="s">
        <v>82</v>
      </c>
      <c r="H40" s="276"/>
      <c r="I40" s="276"/>
      <c r="J40" s="307"/>
    </row>
    <row r="41">
      <c r="A41" s="265"/>
      <c r="B41" s="247"/>
      <c r="C41" s="252"/>
      <c r="D41" s="822"/>
      <c r="F41" s="250">
        <f>1450+230</f>
        <v>1680</v>
      </c>
      <c r="G41" s="254" t="s">
        <v>97</v>
      </c>
      <c r="H41" s="269"/>
      <c r="I41" s="269"/>
      <c r="J41" s="251"/>
    </row>
    <row r="42">
      <c r="A42" s="265"/>
      <c r="B42" s="268"/>
      <c r="C42" s="248"/>
      <c r="D42" s="331"/>
      <c r="F42" s="250">
        <v>15600.0</v>
      </c>
      <c r="G42" s="254" t="s">
        <v>87</v>
      </c>
      <c r="H42" s="269"/>
      <c r="I42" s="269"/>
      <c r="J42" s="251"/>
    </row>
    <row r="43">
      <c r="A43" s="265"/>
      <c r="B43" s="247"/>
      <c r="C43" s="252"/>
      <c r="D43" s="822"/>
      <c r="F43" s="250"/>
      <c r="G43" s="254" t="s">
        <v>2610</v>
      </c>
      <c r="H43" s="269"/>
      <c r="I43" s="269"/>
      <c r="J43" s="251"/>
    </row>
    <row r="44">
      <c r="A44" s="265"/>
      <c r="B44" s="247"/>
      <c r="C44" s="252"/>
      <c r="D44" s="331"/>
      <c r="F44" s="250">
        <v>1000.0</v>
      </c>
      <c r="G44" s="254" t="s">
        <v>2933</v>
      </c>
      <c r="H44" s="269"/>
      <c r="I44" s="269"/>
      <c r="J44" s="251"/>
    </row>
    <row r="45">
      <c r="A45" s="265"/>
      <c r="B45" s="247">
        <v>7600.0</v>
      </c>
      <c r="C45" s="252"/>
      <c r="D45" s="822"/>
      <c r="F45" s="250"/>
      <c r="G45" s="254" t="s">
        <v>351</v>
      </c>
      <c r="H45" s="269"/>
      <c r="I45" s="269"/>
      <c r="J45" s="267"/>
    </row>
    <row r="46">
      <c r="A46" s="265"/>
      <c r="B46" s="247">
        <v>11600.0</v>
      </c>
      <c r="C46" s="248"/>
      <c r="D46" s="822"/>
      <c r="F46" s="250"/>
      <c r="G46" s="254" t="s">
        <v>122</v>
      </c>
      <c r="H46" s="269"/>
      <c r="I46" s="269"/>
      <c r="J46" s="251"/>
    </row>
    <row r="47">
      <c r="A47" s="265"/>
      <c r="B47" s="247"/>
      <c r="C47" s="252"/>
      <c r="D47" s="822"/>
      <c r="F47" s="250">
        <v>1324.0</v>
      </c>
      <c r="G47" s="254" t="s">
        <v>97</v>
      </c>
      <c r="H47" s="269"/>
      <c r="I47" s="269"/>
      <c r="J47" s="251"/>
    </row>
    <row r="48">
      <c r="A48" s="265"/>
      <c r="B48" s="268"/>
      <c r="C48" s="248"/>
      <c r="D48" s="822"/>
      <c r="F48" s="250"/>
      <c r="G48" s="269"/>
      <c r="H48" s="269"/>
      <c r="I48" s="269"/>
      <c r="J48" s="251"/>
    </row>
    <row r="49">
      <c r="A49" s="265"/>
      <c r="B49" s="278"/>
      <c r="C49" s="252"/>
      <c r="D49" s="822"/>
      <c r="F49" s="250"/>
      <c r="G49" s="269"/>
      <c r="H49" s="269"/>
      <c r="I49" s="269"/>
      <c r="J49" s="251"/>
    </row>
    <row r="50">
      <c r="A50" s="265"/>
      <c r="B50" s="278"/>
      <c r="C50" s="252"/>
      <c r="D50" s="822"/>
      <c r="F50" s="250"/>
      <c r="G50" s="269"/>
      <c r="H50" s="269"/>
      <c r="I50" s="269"/>
      <c r="J50" s="251"/>
    </row>
    <row r="51">
      <c r="A51" s="270"/>
      <c r="B51" s="271"/>
      <c r="C51" s="272"/>
      <c r="D51" s="823"/>
      <c r="E51" s="18"/>
      <c r="F51" s="259"/>
      <c r="G51" s="260"/>
      <c r="H51" s="260"/>
      <c r="I51" s="275"/>
      <c r="J51" s="261"/>
    </row>
    <row r="52">
      <c r="A52" s="262"/>
      <c r="B52" s="278"/>
      <c r="C52" s="252"/>
      <c r="D52" s="822"/>
      <c r="F52" s="250">
        <v>2954.0</v>
      </c>
      <c r="G52" s="2" t="s">
        <v>63</v>
      </c>
      <c r="H52" s="269"/>
      <c r="I52" s="269"/>
      <c r="J52" s="251"/>
    </row>
    <row r="53">
      <c r="A53" s="280"/>
      <c r="B53" s="278"/>
      <c r="C53" s="252"/>
      <c r="D53" s="822"/>
      <c r="F53" s="250">
        <v>428.0</v>
      </c>
      <c r="G53" s="254" t="s">
        <v>1676</v>
      </c>
      <c r="H53" s="269"/>
      <c r="I53" s="269"/>
      <c r="J53" s="251"/>
    </row>
    <row r="54">
      <c r="A54" s="280">
        <v>5.0</v>
      </c>
      <c r="B54" s="247"/>
      <c r="C54" s="248"/>
      <c r="D54" s="822"/>
      <c r="F54" s="250">
        <v>1000.0</v>
      </c>
      <c r="G54" s="254" t="s">
        <v>63</v>
      </c>
      <c r="H54" s="254" t="s">
        <v>344</v>
      </c>
      <c r="I54" s="254"/>
      <c r="J54" s="251"/>
    </row>
    <row r="55">
      <c r="A55" s="265"/>
      <c r="B55" s="247"/>
      <c r="C55" s="252"/>
      <c r="D55" s="822"/>
      <c r="F55" s="250">
        <v>3000.0</v>
      </c>
      <c r="G55" s="254" t="s">
        <v>101</v>
      </c>
      <c r="H55" s="269"/>
      <c r="I55" s="269"/>
      <c r="J55" s="251"/>
    </row>
    <row r="56">
      <c r="A56" s="265"/>
      <c r="B56" s="247"/>
      <c r="C56" s="248"/>
      <c r="D56" s="331"/>
      <c r="F56" s="250">
        <v>6750.0</v>
      </c>
      <c r="G56" s="254" t="s">
        <v>770</v>
      </c>
      <c r="H56" s="269"/>
      <c r="I56" s="269"/>
      <c r="J56" s="251"/>
    </row>
    <row r="57">
      <c r="A57" s="265"/>
      <c r="B57" s="247"/>
      <c r="C57" s="252"/>
      <c r="D57" s="822"/>
      <c r="F57" s="250"/>
      <c r="G57" s="254"/>
      <c r="H57" s="269"/>
      <c r="I57" s="269"/>
      <c r="J57" s="251"/>
    </row>
    <row r="58">
      <c r="A58" s="265"/>
      <c r="B58" s="247"/>
      <c r="C58" s="252"/>
      <c r="D58" s="331"/>
      <c r="F58" s="250"/>
      <c r="G58" s="254"/>
      <c r="H58" s="269"/>
      <c r="I58" s="269"/>
      <c r="J58" s="267"/>
    </row>
    <row r="59">
      <c r="A59" s="265"/>
      <c r="B59" s="247"/>
      <c r="C59" s="252"/>
      <c r="D59" s="822"/>
      <c r="F59" s="250"/>
      <c r="G59" s="254"/>
      <c r="H59" s="269"/>
      <c r="I59" s="269"/>
      <c r="J59" s="251"/>
    </row>
    <row r="60">
      <c r="A60" s="265"/>
      <c r="B60" s="247"/>
      <c r="C60" s="248"/>
      <c r="D60" s="822"/>
      <c r="F60" s="250"/>
      <c r="G60" s="269"/>
      <c r="H60" s="269"/>
      <c r="I60" s="269"/>
      <c r="J60" s="251"/>
    </row>
    <row r="61">
      <c r="A61" s="265"/>
      <c r="B61" s="268"/>
      <c r="C61" s="252"/>
      <c r="D61" s="822"/>
      <c r="F61" s="250"/>
      <c r="G61" s="269"/>
      <c r="H61" s="269"/>
      <c r="I61" s="269"/>
      <c r="J61" s="251"/>
    </row>
    <row r="62">
      <c r="A62" s="265"/>
      <c r="B62" s="268"/>
      <c r="C62" s="252"/>
      <c r="D62" s="822"/>
      <c r="F62" s="250"/>
      <c r="G62" s="269"/>
      <c r="H62" s="269"/>
      <c r="I62" s="269"/>
      <c r="J62" s="251"/>
    </row>
    <row r="63">
      <c r="A63" s="270"/>
      <c r="B63" s="271"/>
      <c r="C63" s="272"/>
      <c r="D63" s="823"/>
      <c r="E63" s="18"/>
      <c r="F63" s="274"/>
      <c r="G63" s="275"/>
      <c r="H63" s="275"/>
      <c r="I63" s="275"/>
      <c r="J63" s="261"/>
    </row>
    <row r="64">
      <c r="A64" s="262" t="s">
        <v>680</v>
      </c>
      <c r="B64" s="239"/>
      <c r="C64" s="263">
        <v>45288.24</v>
      </c>
      <c r="D64" s="824"/>
      <c r="E64" s="242"/>
      <c r="F64" s="243"/>
      <c r="G64" s="276" t="s">
        <v>71</v>
      </c>
      <c r="H64" s="276"/>
      <c r="I64" s="276"/>
      <c r="J64" s="307"/>
    </row>
    <row r="65">
      <c r="A65" s="265"/>
      <c r="B65" s="247">
        <v>4122.53</v>
      </c>
      <c r="C65" s="252"/>
      <c r="D65" s="822"/>
      <c r="F65" s="250"/>
      <c r="G65" s="254" t="s">
        <v>82</v>
      </c>
      <c r="H65" s="269"/>
      <c r="I65" s="269"/>
      <c r="J65" s="251"/>
    </row>
    <row r="66">
      <c r="A66" s="265"/>
      <c r="B66" s="247"/>
      <c r="C66" s="252"/>
      <c r="D66" s="822"/>
      <c r="F66" s="250">
        <v>2594.0</v>
      </c>
      <c r="G66" s="254" t="s">
        <v>97</v>
      </c>
      <c r="H66" s="269"/>
      <c r="I66" s="269"/>
      <c r="J66" s="251"/>
    </row>
    <row r="67">
      <c r="A67" s="265"/>
      <c r="B67" s="247">
        <v>9511.97</v>
      </c>
      <c r="C67" s="252"/>
      <c r="D67" s="331"/>
      <c r="F67" s="250"/>
      <c r="G67" s="254" t="s">
        <v>114</v>
      </c>
      <c r="H67" s="269"/>
      <c r="I67" s="269"/>
      <c r="J67" s="267"/>
    </row>
    <row r="68">
      <c r="A68" s="265"/>
      <c r="B68" s="247">
        <v>3702.0</v>
      </c>
      <c r="C68" s="248"/>
      <c r="D68" s="822"/>
      <c r="F68" s="250"/>
      <c r="G68" s="254" t="s">
        <v>2937</v>
      </c>
      <c r="H68" s="269"/>
      <c r="I68" s="269"/>
      <c r="J68" s="251"/>
    </row>
    <row r="69">
      <c r="A69" s="265"/>
      <c r="B69" s="247"/>
      <c r="C69" s="252"/>
      <c r="D69" s="822"/>
      <c r="F69" s="250">
        <v>1800.0</v>
      </c>
      <c r="G69" s="254" t="s">
        <v>105</v>
      </c>
      <c r="H69" s="269"/>
      <c r="I69" s="269"/>
      <c r="J69" s="251"/>
    </row>
    <row r="70">
      <c r="A70" s="265"/>
      <c r="B70" s="247"/>
      <c r="C70" s="252"/>
      <c r="D70" s="822"/>
      <c r="F70" s="250">
        <v>864.0</v>
      </c>
      <c r="G70" s="254" t="s">
        <v>572</v>
      </c>
      <c r="H70" s="269"/>
      <c r="I70" s="269"/>
      <c r="J70" s="251"/>
    </row>
    <row r="71">
      <c r="A71" s="265"/>
      <c r="B71" s="247">
        <v>6560.0</v>
      </c>
      <c r="C71" s="252"/>
      <c r="D71" s="822"/>
      <c r="F71" s="250"/>
      <c r="G71" s="254" t="s">
        <v>2730</v>
      </c>
      <c r="H71" s="269"/>
      <c r="I71" s="269"/>
      <c r="J71" s="251"/>
    </row>
    <row r="72">
      <c r="A72" s="265"/>
      <c r="B72" s="268"/>
      <c r="C72" s="248"/>
      <c r="D72" s="822"/>
      <c r="F72" s="250">
        <v>1000.0</v>
      </c>
      <c r="G72" s="254" t="s">
        <v>2933</v>
      </c>
      <c r="H72" s="269"/>
      <c r="I72" s="269"/>
      <c r="J72" s="251"/>
    </row>
    <row r="73">
      <c r="A73" s="265"/>
      <c r="B73" s="268"/>
      <c r="C73" s="248"/>
      <c r="D73" s="331"/>
      <c r="F73" s="250">
        <v>680.0</v>
      </c>
      <c r="G73" s="254" t="s">
        <v>344</v>
      </c>
      <c r="H73" s="269"/>
      <c r="I73" s="269"/>
      <c r="J73" s="251"/>
    </row>
    <row r="74">
      <c r="A74" s="265"/>
      <c r="B74" s="268"/>
      <c r="C74" s="248">
        <v>35167.94</v>
      </c>
      <c r="D74" s="331"/>
      <c r="F74" s="250"/>
      <c r="G74" s="254" t="s">
        <v>84</v>
      </c>
      <c r="H74" s="269"/>
      <c r="I74" s="269"/>
      <c r="J74" s="251"/>
    </row>
    <row r="75">
      <c r="A75" s="265"/>
      <c r="B75" s="268"/>
      <c r="C75" s="248"/>
      <c r="D75" s="331"/>
      <c r="F75" s="250"/>
      <c r="G75" s="269"/>
      <c r="H75" s="269"/>
      <c r="I75" s="269"/>
      <c r="J75" s="251"/>
    </row>
    <row r="76">
      <c r="A76" s="265"/>
      <c r="B76" s="278"/>
      <c r="C76" s="252"/>
      <c r="D76" s="822"/>
      <c r="F76" s="250"/>
      <c r="G76" s="269"/>
      <c r="H76" s="269"/>
      <c r="I76" s="269"/>
      <c r="J76" s="251"/>
    </row>
    <row r="77">
      <c r="A77" s="270"/>
      <c r="B77" s="271"/>
      <c r="C77" s="272"/>
      <c r="D77" s="823"/>
      <c r="E77" s="18"/>
      <c r="F77" s="274"/>
      <c r="G77" s="275"/>
      <c r="H77" s="275"/>
      <c r="I77" s="275"/>
      <c r="J77" s="261"/>
    </row>
    <row r="78">
      <c r="A78" s="262" t="s">
        <v>686</v>
      </c>
      <c r="B78" s="239"/>
      <c r="C78" s="263"/>
      <c r="D78" s="824"/>
      <c r="E78" s="242"/>
      <c r="F78" s="243">
        <v>10400.0</v>
      </c>
      <c r="G78" s="276" t="s">
        <v>87</v>
      </c>
      <c r="H78" s="276"/>
      <c r="I78" s="276"/>
      <c r="J78" s="307"/>
    </row>
    <row r="79">
      <c r="A79" s="265"/>
      <c r="B79" s="268"/>
      <c r="C79" s="248"/>
      <c r="D79" s="822"/>
      <c r="F79" s="250">
        <v>3831.0</v>
      </c>
      <c r="G79" s="254" t="s">
        <v>97</v>
      </c>
      <c r="H79" s="269"/>
      <c r="I79" s="269"/>
      <c r="J79" s="251"/>
    </row>
    <row r="80">
      <c r="A80" s="265"/>
      <c r="B80" s="247">
        <v>5119.28</v>
      </c>
      <c r="C80" s="252"/>
      <c r="D80" s="822"/>
      <c r="F80" s="250"/>
      <c r="G80" s="254" t="s">
        <v>73</v>
      </c>
      <c r="H80" s="269"/>
      <c r="I80" s="828"/>
      <c r="J80" s="267"/>
    </row>
    <row r="81">
      <c r="A81" s="265"/>
      <c r="B81" s="247">
        <v>3452.51</v>
      </c>
      <c r="C81" s="248"/>
      <c r="D81" s="822"/>
      <c r="F81" s="250"/>
      <c r="G81" s="254" t="s">
        <v>91</v>
      </c>
      <c r="H81" s="269"/>
      <c r="I81" s="269"/>
      <c r="J81" s="251"/>
    </row>
    <row r="82">
      <c r="A82" s="265"/>
      <c r="B82" s="247"/>
      <c r="C82" s="248"/>
      <c r="D82" s="822"/>
      <c r="F82" s="250">
        <v>500.0</v>
      </c>
      <c r="G82" s="254" t="s">
        <v>63</v>
      </c>
      <c r="H82" s="269"/>
      <c r="I82" s="269"/>
      <c r="J82" s="251"/>
    </row>
    <row r="83">
      <c r="A83" s="265"/>
      <c r="B83" s="247"/>
      <c r="C83" s="248"/>
      <c r="D83" s="822"/>
      <c r="F83" s="250">
        <v>1000.0</v>
      </c>
      <c r="G83" s="254" t="s">
        <v>2933</v>
      </c>
      <c r="H83" s="269"/>
      <c r="I83" s="269"/>
      <c r="J83" s="251"/>
    </row>
    <row r="84">
      <c r="A84" s="265"/>
      <c r="B84" s="268"/>
      <c r="C84" s="252"/>
      <c r="D84" s="822"/>
      <c r="F84" s="250"/>
      <c r="G84" s="254"/>
      <c r="H84" s="269"/>
      <c r="I84" s="269"/>
      <c r="J84" s="251"/>
    </row>
    <row r="85">
      <c r="A85" s="265"/>
      <c r="B85" s="247"/>
      <c r="C85" s="252"/>
      <c r="D85" s="822"/>
      <c r="F85" s="250"/>
      <c r="G85" s="254"/>
      <c r="H85" s="269"/>
      <c r="I85" s="269"/>
      <c r="J85" s="251"/>
    </row>
    <row r="86">
      <c r="A86" s="265"/>
      <c r="B86" s="247"/>
      <c r="C86" s="252"/>
      <c r="D86" s="822"/>
      <c r="F86" s="250"/>
      <c r="G86" s="254"/>
      <c r="H86" s="269"/>
      <c r="I86" s="269"/>
      <c r="J86" s="251"/>
    </row>
    <row r="87">
      <c r="A87" s="265"/>
      <c r="B87" s="278"/>
      <c r="C87" s="252"/>
      <c r="D87" s="822"/>
      <c r="F87" s="250"/>
      <c r="G87" s="269"/>
      <c r="H87" s="269"/>
      <c r="I87" s="269"/>
      <c r="J87" s="251"/>
    </row>
    <row r="88">
      <c r="A88" s="265"/>
      <c r="B88" s="278"/>
      <c r="C88" s="252"/>
      <c r="D88" s="822"/>
      <c r="F88" s="250"/>
      <c r="G88" s="269"/>
      <c r="H88" s="269"/>
      <c r="I88" s="269"/>
      <c r="J88" s="251"/>
    </row>
    <row r="89">
      <c r="A89" s="270"/>
      <c r="B89" s="271"/>
      <c r="C89" s="272"/>
      <c r="D89" s="823"/>
      <c r="E89" s="18"/>
      <c r="F89" s="259"/>
      <c r="G89" s="275"/>
      <c r="H89" s="275"/>
      <c r="I89" s="275"/>
      <c r="J89" s="261"/>
    </row>
    <row r="90">
      <c r="A90" s="262" t="s">
        <v>688</v>
      </c>
      <c r="B90" s="239"/>
      <c r="C90" s="263"/>
      <c r="D90" s="824"/>
      <c r="E90" s="242"/>
      <c r="F90" s="243">
        <v>1811.0</v>
      </c>
      <c r="G90" s="276" t="s">
        <v>97</v>
      </c>
      <c r="H90" s="276"/>
      <c r="I90" s="276"/>
      <c r="J90" s="307"/>
    </row>
    <row r="91">
      <c r="A91" s="265"/>
      <c r="B91" s="247"/>
      <c r="C91" s="248"/>
      <c r="D91" s="822"/>
      <c r="F91" s="250">
        <v>4980.0</v>
      </c>
      <c r="G91" s="254" t="s">
        <v>76</v>
      </c>
      <c r="H91" s="269"/>
      <c r="I91" s="269"/>
      <c r="J91" s="251"/>
    </row>
    <row r="92">
      <c r="A92" s="265"/>
      <c r="B92" s="247">
        <v>3488.75</v>
      </c>
      <c r="C92" s="248"/>
      <c r="D92" s="822"/>
      <c r="F92" s="250"/>
      <c r="G92" s="254" t="s">
        <v>82</v>
      </c>
      <c r="H92" s="269"/>
      <c r="I92" s="269"/>
      <c r="J92" s="251"/>
    </row>
    <row r="93">
      <c r="A93" s="265"/>
      <c r="B93" s="247"/>
      <c r="C93" s="248"/>
      <c r="D93" s="822"/>
      <c r="F93" s="250"/>
      <c r="G93" s="254"/>
      <c r="H93" s="269"/>
      <c r="I93" s="269"/>
      <c r="J93" s="251"/>
    </row>
    <row r="94">
      <c r="A94" s="265"/>
      <c r="B94" s="78"/>
      <c r="C94" s="248">
        <v>70000.0</v>
      </c>
      <c r="D94" s="822"/>
      <c r="F94" s="250"/>
      <c r="G94" s="254" t="s">
        <v>2703</v>
      </c>
      <c r="H94" s="269"/>
      <c r="I94" s="269"/>
      <c r="J94" s="251"/>
    </row>
    <row r="95">
      <c r="A95" s="265"/>
      <c r="B95" s="281"/>
      <c r="C95" s="252"/>
      <c r="D95" s="331"/>
      <c r="F95" s="266">
        <v>1000.0</v>
      </c>
      <c r="G95" s="254" t="s">
        <v>2776</v>
      </c>
      <c r="H95" s="269"/>
      <c r="I95" s="269"/>
      <c r="J95" s="251"/>
    </row>
    <row r="96">
      <c r="A96" s="265"/>
      <c r="B96" s="281"/>
      <c r="C96" s="252"/>
      <c r="D96" s="331"/>
      <c r="F96" s="250">
        <v>1200.0</v>
      </c>
      <c r="G96" s="254" t="s">
        <v>2938</v>
      </c>
      <c r="H96" s="269"/>
      <c r="I96" s="269"/>
      <c r="J96" s="251"/>
    </row>
    <row r="97">
      <c r="A97" s="265"/>
      <c r="B97" s="247"/>
      <c r="C97" s="252"/>
      <c r="D97" s="331"/>
      <c r="F97" s="250">
        <v>500.0</v>
      </c>
      <c r="G97" s="254" t="s">
        <v>467</v>
      </c>
      <c r="H97" s="269"/>
      <c r="I97" s="269"/>
      <c r="J97" s="251"/>
    </row>
    <row r="98">
      <c r="A98" s="265"/>
      <c r="B98" s="247"/>
      <c r="C98" s="252"/>
      <c r="D98" s="822"/>
      <c r="F98" s="250">
        <v>700.0</v>
      </c>
      <c r="G98" s="254" t="s">
        <v>2939</v>
      </c>
      <c r="H98" s="269"/>
      <c r="I98" s="269"/>
      <c r="J98" s="251"/>
    </row>
    <row r="99">
      <c r="A99" s="265"/>
      <c r="B99" s="247"/>
      <c r="C99" s="252"/>
      <c r="D99" s="331"/>
      <c r="F99" s="250"/>
      <c r="G99" s="269"/>
      <c r="H99" s="269"/>
      <c r="I99" s="269"/>
      <c r="J99" s="251"/>
    </row>
    <row r="100">
      <c r="A100" s="265"/>
      <c r="B100" s="268"/>
      <c r="C100" s="252"/>
      <c r="D100" s="822"/>
      <c r="F100" s="250"/>
      <c r="G100" s="269"/>
      <c r="H100" s="269"/>
      <c r="I100" s="269"/>
      <c r="J100" s="251"/>
    </row>
    <row r="101">
      <c r="A101" s="265"/>
      <c r="B101" s="247"/>
      <c r="C101" s="252"/>
      <c r="D101" s="822"/>
      <c r="F101" s="250"/>
      <c r="G101" s="269"/>
      <c r="H101" s="269"/>
      <c r="I101" s="269"/>
      <c r="J101" s="251"/>
    </row>
    <row r="102">
      <c r="A102" s="265"/>
      <c r="B102" s="277"/>
      <c r="C102" s="252"/>
      <c r="D102" s="822"/>
      <c r="F102" s="282"/>
      <c r="G102" s="269"/>
      <c r="H102" s="269"/>
      <c r="I102" s="269"/>
      <c r="J102" s="251"/>
    </row>
    <row r="103">
      <c r="A103" s="265"/>
      <c r="B103" s="278"/>
      <c r="C103" s="248"/>
      <c r="D103" s="822"/>
      <c r="F103" s="282"/>
      <c r="G103" s="269"/>
      <c r="H103" s="269"/>
      <c r="I103" s="269"/>
      <c r="J103" s="251"/>
    </row>
    <row r="104">
      <c r="A104" s="265"/>
      <c r="B104" s="278"/>
      <c r="C104" s="252"/>
      <c r="D104" s="822"/>
      <c r="F104" s="250"/>
      <c r="G104" s="269"/>
      <c r="H104" s="269"/>
      <c r="I104" s="269"/>
      <c r="J104" s="251"/>
    </row>
    <row r="105">
      <c r="A105" s="270"/>
      <c r="B105" s="271"/>
      <c r="C105" s="272"/>
      <c r="D105" s="823"/>
      <c r="E105" s="18"/>
      <c r="F105" s="259"/>
      <c r="G105" s="260"/>
      <c r="H105" s="260"/>
      <c r="I105" s="275"/>
      <c r="J105" s="261"/>
    </row>
    <row r="106">
      <c r="A106" s="262">
        <v>10.0</v>
      </c>
      <c r="B106" s="239"/>
      <c r="C106" s="263"/>
      <c r="D106" s="821"/>
      <c r="E106" s="242"/>
      <c r="F106" s="250">
        <v>10000.0</v>
      </c>
      <c r="G106" s="276" t="s">
        <v>2940</v>
      </c>
      <c r="H106" s="276"/>
      <c r="I106" s="276"/>
      <c r="J106" s="307"/>
    </row>
    <row r="107">
      <c r="A107" s="265"/>
      <c r="B107" s="247"/>
      <c r="C107" s="248"/>
      <c r="D107" s="822"/>
      <c r="F107" s="250">
        <v>10000.0</v>
      </c>
      <c r="G107" s="254" t="s">
        <v>2941</v>
      </c>
      <c r="H107" s="254" t="s">
        <v>2942</v>
      </c>
      <c r="I107" s="269"/>
      <c r="J107" s="251"/>
    </row>
    <row r="108">
      <c r="A108" s="265"/>
      <c r="B108" s="247"/>
      <c r="C108" s="248"/>
      <c r="D108" s="822"/>
      <c r="F108" s="250">
        <v>1947.0</v>
      </c>
      <c r="G108" s="254" t="s">
        <v>63</v>
      </c>
      <c r="H108" s="269"/>
      <c r="I108" s="269"/>
      <c r="J108" s="251"/>
    </row>
    <row r="109">
      <c r="A109" s="265"/>
      <c r="B109" s="247"/>
      <c r="C109" s="248"/>
      <c r="D109" s="822"/>
      <c r="F109" s="250">
        <v>15600.0</v>
      </c>
      <c r="G109" s="254" t="s">
        <v>2602</v>
      </c>
      <c r="H109" s="269"/>
      <c r="I109" s="269"/>
      <c r="J109" s="251"/>
    </row>
    <row r="110">
      <c r="A110" s="265"/>
      <c r="B110" s="247"/>
      <c r="C110" s="252"/>
      <c r="D110" s="822"/>
      <c r="F110" s="250">
        <v>192.0</v>
      </c>
      <c r="G110" s="254" t="s">
        <v>63</v>
      </c>
      <c r="H110" s="254"/>
      <c r="I110" s="269"/>
      <c r="J110" s="251"/>
    </row>
    <row r="111">
      <c r="A111" s="265"/>
      <c r="B111" s="268"/>
      <c r="C111" s="252"/>
      <c r="D111" s="822"/>
      <c r="F111" s="250">
        <v>1000.0</v>
      </c>
      <c r="G111" s="254" t="s">
        <v>2933</v>
      </c>
      <c r="H111" s="269"/>
      <c r="I111" s="269"/>
      <c r="J111" s="251"/>
    </row>
    <row r="112">
      <c r="A112" s="265"/>
      <c r="B112" s="247">
        <v>4027.0</v>
      </c>
      <c r="C112" s="252"/>
      <c r="D112" s="331"/>
      <c r="F112" s="250"/>
      <c r="G112" s="254" t="s">
        <v>2706</v>
      </c>
      <c r="H112" s="269"/>
      <c r="I112" s="269"/>
      <c r="J112" s="251"/>
    </row>
    <row r="113">
      <c r="A113" s="265"/>
      <c r="B113" s="247">
        <v>4857.52</v>
      </c>
      <c r="C113" s="252"/>
      <c r="D113" s="822"/>
      <c r="F113" s="250"/>
      <c r="G113" s="254" t="s">
        <v>2885</v>
      </c>
      <c r="H113" s="269"/>
      <c r="I113" s="269"/>
      <c r="J113" s="251"/>
    </row>
    <row r="114">
      <c r="A114" s="265"/>
      <c r="B114" s="247"/>
      <c r="C114" s="248"/>
      <c r="D114" s="822"/>
      <c r="F114" s="250">
        <v>1330.0</v>
      </c>
      <c r="G114" s="254" t="s">
        <v>2801</v>
      </c>
      <c r="H114" s="269"/>
      <c r="I114" s="269"/>
      <c r="J114" s="251"/>
    </row>
    <row r="115">
      <c r="A115" s="265"/>
      <c r="B115" s="247"/>
      <c r="C115" s="252"/>
      <c r="D115" s="822"/>
      <c r="F115" s="250"/>
      <c r="G115" s="254"/>
      <c r="H115" s="269"/>
      <c r="I115" s="269"/>
      <c r="J115" s="251"/>
    </row>
    <row r="116">
      <c r="A116" s="265"/>
      <c r="B116" s="277"/>
      <c r="C116" s="248"/>
      <c r="D116" s="822"/>
      <c r="F116" s="282"/>
      <c r="G116" s="254"/>
      <c r="H116" s="269"/>
      <c r="I116" s="269"/>
      <c r="J116" s="251"/>
    </row>
    <row r="117">
      <c r="A117" s="265"/>
      <c r="B117" s="277"/>
      <c r="C117" s="252"/>
      <c r="D117" s="822"/>
      <c r="F117" s="250"/>
      <c r="G117" s="254"/>
      <c r="H117" s="269"/>
      <c r="I117" s="269"/>
      <c r="J117" s="251"/>
    </row>
    <row r="118">
      <c r="A118" s="265"/>
      <c r="B118" s="278"/>
      <c r="C118" s="252"/>
      <c r="D118" s="822"/>
      <c r="F118" s="282"/>
      <c r="G118" s="269"/>
      <c r="H118" s="269"/>
      <c r="I118" s="269"/>
      <c r="J118" s="251"/>
    </row>
    <row r="119">
      <c r="A119" s="270"/>
      <c r="B119" s="271"/>
      <c r="C119" s="272"/>
      <c r="D119" s="823"/>
      <c r="E119" s="18"/>
      <c r="F119" s="274"/>
      <c r="G119" s="275"/>
      <c r="H119" s="275"/>
      <c r="I119" s="275"/>
      <c r="J119" s="261"/>
    </row>
    <row r="120">
      <c r="A120" s="262">
        <v>11.0</v>
      </c>
      <c r="B120" s="239"/>
      <c r="C120" s="263"/>
      <c r="D120" s="821"/>
      <c r="E120" s="242"/>
      <c r="F120" s="243">
        <v>2575.55</v>
      </c>
      <c r="G120" s="276" t="s">
        <v>97</v>
      </c>
      <c r="H120" s="276"/>
      <c r="I120" s="276"/>
      <c r="J120" s="307"/>
    </row>
    <row r="121">
      <c r="A121" s="265"/>
      <c r="B121" s="247">
        <v>9721.14</v>
      </c>
      <c r="C121" s="252"/>
      <c r="D121" s="331"/>
      <c r="F121" s="250"/>
      <c r="G121" s="254" t="s">
        <v>100</v>
      </c>
      <c r="H121" s="269"/>
      <c r="I121" s="269"/>
      <c r="J121" s="251"/>
    </row>
    <row r="122">
      <c r="A122" s="265"/>
      <c r="B122" s="247"/>
      <c r="C122" s="248"/>
      <c r="D122" s="331"/>
      <c r="F122" s="250"/>
      <c r="G122" s="26"/>
      <c r="H122" s="26"/>
      <c r="I122" s="269"/>
      <c r="J122" s="251"/>
    </row>
    <row r="123">
      <c r="A123" s="265"/>
      <c r="B123" s="247">
        <v>3947.7</v>
      </c>
      <c r="C123" s="248"/>
      <c r="D123" s="331"/>
      <c r="F123" s="250"/>
      <c r="G123" s="254" t="s">
        <v>114</v>
      </c>
      <c r="H123" s="269"/>
      <c r="I123" s="269"/>
      <c r="J123" s="251"/>
    </row>
    <row r="124">
      <c r="A124" s="265"/>
      <c r="B124" s="247"/>
      <c r="C124" s="252"/>
      <c r="D124" s="331"/>
      <c r="F124" s="250">
        <v>1000.0</v>
      </c>
      <c r="G124" s="254" t="s">
        <v>2943</v>
      </c>
      <c r="H124" s="269"/>
      <c r="I124" s="269"/>
      <c r="J124" s="251"/>
    </row>
    <row r="125">
      <c r="A125" s="265"/>
      <c r="B125" s="247"/>
      <c r="C125" s="252"/>
      <c r="D125" s="822"/>
      <c r="F125" s="250">
        <v>7174.0</v>
      </c>
      <c r="G125" s="254" t="s">
        <v>2605</v>
      </c>
      <c r="H125" s="254"/>
      <c r="I125" s="269"/>
      <c r="J125" s="251"/>
    </row>
    <row r="126">
      <c r="A126" s="265"/>
      <c r="B126" s="247"/>
      <c r="C126" s="252"/>
      <c r="D126" s="822"/>
      <c r="F126" s="250">
        <v>350.0</v>
      </c>
      <c r="G126" s="254" t="s">
        <v>161</v>
      </c>
      <c r="H126" s="269"/>
      <c r="I126" s="269"/>
      <c r="J126" s="251"/>
    </row>
    <row r="127">
      <c r="A127" s="265"/>
      <c r="B127" s="247"/>
      <c r="C127" s="252"/>
      <c r="D127" s="822"/>
      <c r="F127" s="250"/>
      <c r="G127" s="254"/>
      <c r="H127" s="269"/>
      <c r="I127" s="269"/>
      <c r="J127" s="251"/>
    </row>
    <row r="128">
      <c r="A128" s="265"/>
      <c r="B128" s="247"/>
      <c r="C128" s="252"/>
      <c r="D128" s="331"/>
      <c r="F128" s="250"/>
      <c r="G128" s="254"/>
      <c r="H128" s="269"/>
      <c r="I128" s="269"/>
      <c r="J128" s="251"/>
    </row>
    <row r="129">
      <c r="A129" s="265"/>
      <c r="B129" s="268"/>
      <c r="C129" s="248"/>
      <c r="D129" s="822"/>
      <c r="F129" s="250"/>
      <c r="G129" s="254"/>
      <c r="H129" s="269"/>
      <c r="I129" s="269"/>
      <c r="J129" s="251"/>
    </row>
    <row r="130">
      <c r="A130" s="265"/>
      <c r="B130" s="268"/>
      <c r="C130" s="252"/>
      <c r="D130" s="822"/>
      <c r="F130" s="250"/>
      <c r="G130" s="269"/>
      <c r="H130" s="269"/>
      <c r="I130" s="269"/>
      <c r="J130" s="251"/>
    </row>
    <row r="131">
      <c r="A131" s="265"/>
      <c r="B131" s="268"/>
      <c r="C131" s="252"/>
      <c r="D131" s="822"/>
      <c r="F131" s="250"/>
      <c r="G131" s="269"/>
      <c r="H131" s="269"/>
      <c r="I131" s="269"/>
      <c r="J131" s="251"/>
    </row>
    <row r="132">
      <c r="A132" s="265"/>
      <c r="B132" s="268"/>
      <c r="C132" s="252"/>
      <c r="D132" s="822"/>
      <c r="F132" s="250"/>
      <c r="G132" s="269"/>
      <c r="H132" s="269"/>
      <c r="I132" s="269"/>
      <c r="J132" s="251"/>
    </row>
    <row r="133">
      <c r="A133" s="265"/>
      <c r="B133" s="268"/>
      <c r="C133" s="252"/>
      <c r="D133" s="822"/>
      <c r="F133" s="250"/>
      <c r="G133" s="269"/>
      <c r="H133" s="269"/>
      <c r="I133" s="269"/>
      <c r="J133" s="251"/>
    </row>
    <row r="134">
      <c r="A134" s="265"/>
      <c r="B134" s="268"/>
      <c r="C134" s="252"/>
      <c r="D134" s="822"/>
      <c r="F134" s="250"/>
      <c r="G134" s="269"/>
      <c r="H134" s="269"/>
      <c r="I134" s="269"/>
      <c r="J134" s="251"/>
    </row>
    <row r="135">
      <c r="A135" s="265"/>
      <c r="B135" s="268"/>
      <c r="C135" s="252"/>
      <c r="D135" s="822"/>
      <c r="F135" s="250"/>
      <c r="G135" s="269"/>
      <c r="H135" s="269"/>
      <c r="I135" s="269"/>
      <c r="J135" s="251"/>
    </row>
    <row r="136">
      <c r="A136" s="265"/>
      <c r="B136" s="268"/>
      <c r="C136" s="252"/>
      <c r="D136" s="822"/>
      <c r="F136" s="250"/>
      <c r="G136" s="269"/>
      <c r="H136" s="269"/>
      <c r="I136" s="269"/>
      <c r="J136" s="251"/>
    </row>
    <row r="137">
      <c r="A137" s="270"/>
      <c r="B137" s="271"/>
      <c r="C137" s="272"/>
      <c r="D137" s="823"/>
      <c r="E137" s="18"/>
      <c r="F137" s="274"/>
      <c r="G137" s="275"/>
      <c r="H137" s="275"/>
      <c r="I137" s="275"/>
      <c r="J137" s="261"/>
    </row>
    <row r="138">
      <c r="A138" s="262">
        <v>12.0</v>
      </c>
      <c r="B138" s="239"/>
      <c r="C138" s="263"/>
      <c r="D138" s="824"/>
      <c r="E138" s="242"/>
      <c r="F138" s="243">
        <v>8500.0</v>
      </c>
      <c r="G138" s="276" t="s">
        <v>2944</v>
      </c>
      <c r="H138" s="276"/>
      <c r="I138" s="276"/>
      <c r="J138" s="307"/>
    </row>
    <row r="139">
      <c r="A139" s="265"/>
      <c r="B139" s="247">
        <v>7738.0</v>
      </c>
      <c r="C139" s="252"/>
      <c r="D139" s="822"/>
      <c r="F139" s="250"/>
      <c r="G139" s="254" t="s">
        <v>82</v>
      </c>
      <c r="H139" s="269"/>
      <c r="I139" s="269"/>
      <c r="J139" s="251"/>
    </row>
    <row r="140">
      <c r="A140" s="265"/>
      <c r="B140" s="247"/>
      <c r="C140" s="252"/>
      <c r="D140" s="822"/>
      <c r="F140" s="250">
        <v>4500.0</v>
      </c>
      <c r="G140" s="254" t="s">
        <v>2669</v>
      </c>
      <c r="H140" s="269"/>
      <c r="I140" s="269"/>
      <c r="J140" s="251"/>
    </row>
    <row r="141">
      <c r="A141" s="265"/>
      <c r="B141" s="247"/>
      <c r="C141" s="252"/>
      <c r="D141" s="331"/>
      <c r="F141" s="250"/>
      <c r="G141" s="254"/>
      <c r="H141" s="269"/>
      <c r="I141" s="269"/>
      <c r="J141" s="251"/>
    </row>
    <row r="142">
      <c r="A142" s="265"/>
      <c r="B142" s="268"/>
      <c r="C142" s="248"/>
      <c r="D142" s="822"/>
      <c r="F142" s="250"/>
      <c r="G142" s="254"/>
      <c r="H142" s="269"/>
      <c r="I142" s="269"/>
      <c r="J142" s="251"/>
    </row>
    <row r="143">
      <c r="A143" s="265"/>
      <c r="B143" s="247"/>
      <c r="C143" s="252"/>
      <c r="D143" s="822"/>
      <c r="F143" s="250"/>
      <c r="G143" s="254"/>
      <c r="H143" s="269"/>
      <c r="I143" s="269"/>
      <c r="J143" s="251"/>
    </row>
    <row r="144">
      <c r="A144" s="265"/>
      <c r="B144" s="247"/>
      <c r="C144" s="252"/>
      <c r="D144" s="822"/>
      <c r="F144" s="250"/>
      <c r="G144" s="254"/>
      <c r="H144" s="269"/>
      <c r="I144" s="269"/>
      <c r="J144" s="251"/>
    </row>
    <row r="145">
      <c r="A145" s="265"/>
      <c r="B145" s="283"/>
      <c r="C145" s="248"/>
      <c r="D145" s="822"/>
      <c r="F145" s="250"/>
      <c r="G145" s="269"/>
      <c r="H145" s="269"/>
      <c r="I145" s="269"/>
      <c r="J145" s="251"/>
    </row>
    <row r="146">
      <c r="A146" s="265"/>
      <c r="B146" s="247"/>
      <c r="C146" s="252"/>
      <c r="D146" s="822"/>
      <c r="F146" s="250"/>
      <c r="G146" s="269"/>
      <c r="H146" s="269"/>
      <c r="I146" s="269"/>
      <c r="J146" s="251"/>
    </row>
    <row r="147">
      <c r="A147" s="265"/>
      <c r="B147" s="247"/>
      <c r="C147" s="252"/>
      <c r="D147" s="822"/>
      <c r="F147" s="250"/>
      <c r="G147" s="269"/>
      <c r="H147" s="269"/>
      <c r="I147" s="269"/>
      <c r="J147" s="251"/>
    </row>
    <row r="148">
      <c r="A148" s="265"/>
      <c r="B148" s="247"/>
      <c r="C148" s="252"/>
      <c r="D148" s="822"/>
      <c r="F148" s="250"/>
      <c r="G148" s="269"/>
      <c r="H148" s="269"/>
      <c r="I148" s="269"/>
      <c r="J148" s="251"/>
    </row>
    <row r="149">
      <c r="A149" s="265"/>
      <c r="B149" s="277"/>
      <c r="C149" s="252"/>
      <c r="D149" s="822"/>
      <c r="F149" s="250"/>
      <c r="G149" s="269"/>
      <c r="H149" s="269"/>
      <c r="I149" s="269"/>
      <c r="J149" s="251"/>
    </row>
    <row r="150">
      <c r="A150" s="265"/>
      <c r="B150" s="277"/>
      <c r="C150" s="252"/>
      <c r="D150" s="822"/>
      <c r="F150" s="250"/>
      <c r="G150" s="269"/>
      <c r="H150" s="269"/>
      <c r="I150" s="269"/>
      <c r="J150" s="251"/>
    </row>
    <row r="151">
      <c r="A151" s="265"/>
      <c r="B151" s="278"/>
      <c r="C151" s="252"/>
      <c r="D151" s="822"/>
      <c r="F151" s="250"/>
      <c r="G151" s="269"/>
      <c r="H151" s="269"/>
      <c r="I151" s="269"/>
      <c r="J151" s="251"/>
    </row>
    <row r="152">
      <c r="A152" s="270"/>
      <c r="B152" s="271"/>
      <c r="C152" s="272"/>
      <c r="D152" s="823"/>
      <c r="E152" s="18"/>
      <c r="F152" s="274"/>
      <c r="G152" s="275"/>
      <c r="H152" s="275"/>
      <c r="I152" s="275"/>
      <c r="J152" s="261"/>
    </row>
    <row r="153">
      <c r="A153" s="262" t="s">
        <v>700</v>
      </c>
      <c r="B153" s="239">
        <v>4747.53</v>
      </c>
      <c r="C153" s="240"/>
      <c r="D153" s="824"/>
      <c r="E153" s="242"/>
      <c r="F153" s="243"/>
      <c r="G153" s="276" t="s">
        <v>82</v>
      </c>
      <c r="H153" s="276"/>
      <c r="I153" s="276"/>
      <c r="J153" s="307"/>
    </row>
    <row r="154">
      <c r="A154" s="265"/>
      <c r="B154" s="247"/>
      <c r="C154" s="252"/>
      <c r="D154" s="822"/>
      <c r="F154" s="250">
        <f>290+2762+840</f>
        <v>3892</v>
      </c>
      <c r="G154" s="254" t="s">
        <v>97</v>
      </c>
      <c r="H154" s="269"/>
      <c r="I154" s="269"/>
      <c r="J154" s="251"/>
    </row>
    <row r="155">
      <c r="A155" s="265"/>
      <c r="B155" s="247"/>
      <c r="C155" s="252"/>
      <c r="D155" s="331"/>
      <c r="F155" s="418">
        <v>100.0</v>
      </c>
      <c r="G155" s="285" t="s">
        <v>696</v>
      </c>
      <c r="H155" s="420"/>
      <c r="I155" s="829"/>
      <c r="J155" s="251"/>
    </row>
    <row r="156">
      <c r="A156" s="265"/>
      <c r="B156" s="247"/>
      <c r="C156" s="252"/>
      <c r="D156" s="822"/>
      <c r="F156" s="250">
        <v>1000.0</v>
      </c>
      <c r="G156" s="254" t="s">
        <v>2776</v>
      </c>
      <c r="H156" s="269"/>
      <c r="I156" s="269"/>
      <c r="J156" s="251"/>
    </row>
    <row r="157">
      <c r="A157" s="265"/>
      <c r="B157" s="247">
        <v>8409.37</v>
      </c>
      <c r="C157" s="252"/>
      <c r="D157" s="331"/>
      <c r="F157" s="250"/>
      <c r="G157" s="254" t="s">
        <v>114</v>
      </c>
      <c r="H157" s="269"/>
      <c r="I157" s="269"/>
      <c r="J157" s="251"/>
    </row>
    <row r="158">
      <c r="A158" s="265"/>
      <c r="B158" s="268"/>
      <c r="C158" s="248"/>
      <c r="D158" s="331"/>
      <c r="F158" s="250">
        <v>200.0</v>
      </c>
      <c r="G158" s="254" t="s">
        <v>1676</v>
      </c>
      <c r="H158" s="269"/>
      <c r="I158" s="269"/>
      <c r="J158" s="251"/>
    </row>
    <row r="159">
      <c r="A159" s="265"/>
      <c r="B159" s="247">
        <v>2580.0</v>
      </c>
      <c r="C159" s="252"/>
      <c r="D159" s="331"/>
      <c r="F159" s="250"/>
      <c r="G159" s="254" t="s">
        <v>75</v>
      </c>
      <c r="H159" s="269"/>
      <c r="I159" s="269"/>
      <c r="J159" s="251"/>
    </row>
    <row r="160">
      <c r="A160" s="265"/>
      <c r="B160" s="247"/>
      <c r="C160" s="252"/>
      <c r="D160" s="331"/>
      <c r="F160" s="250"/>
      <c r="G160" s="269"/>
      <c r="H160" s="269"/>
      <c r="I160" s="269"/>
      <c r="J160" s="251"/>
    </row>
    <row r="161">
      <c r="A161" s="265"/>
      <c r="B161" s="268"/>
      <c r="C161" s="252"/>
      <c r="D161" s="331"/>
      <c r="F161" s="250"/>
      <c r="G161" s="254"/>
      <c r="H161" s="254"/>
      <c r="I161" s="269"/>
      <c r="J161" s="251"/>
    </row>
    <row r="162">
      <c r="A162" s="265"/>
      <c r="B162" s="247"/>
      <c r="C162" s="252"/>
      <c r="D162" s="822"/>
      <c r="F162" s="250"/>
      <c r="G162" s="269"/>
      <c r="H162" s="269"/>
      <c r="I162" s="269"/>
      <c r="J162" s="251"/>
    </row>
    <row r="163">
      <c r="A163" s="265"/>
      <c r="B163" s="268"/>
      <c r="C163" s="252"/>
      <c r="D163" s="822"/>
      <c r="F163" s="250"/>
      <c r="G163" s="269"/>
      <c r="H163" s="269"/>
      <c r="I163" s="269"/>
      <c r="J163" s="251"/>
    </row>
    <row r="164">
      <c r="A164" s="265"/>
      <c r="B164" s="277"/>
      <c r="C164" s="252"/>
      <c r="D164" s="822"/>
      <c r="F164" s="250"/>
      <c r="G164" s="269"/>
      <c r="H164" s="269"/>
      <c r="I164" s="269"/>
      <c r="J164" s="251"/>
    </row>
    <row r="165">
      <c r="A165" s="265"/>
      <c r="B165" s="277"/>
      <c r="C165" s="252"/>
      <c r="D165" s="822"/>
      <c r="F165" s="282"/>
      <c r="G165" s="269"/>
      <c r="H165" s="269"/>
      <c r="I165" s="269"/>
      <c r="J165" s="251"/>
    </row>
    <row r="166">
      <c r="A166" s="265"/>
      <c r="B166" s="278"/>
      <c r="C166" s="252"/>
      <c r="D166" s="822"/>
      <c r="F166" s="250"/>
      <c r="G166" s="269"/>
      <c r="H166" s="269"/>
      <c r="I166" s="269"/>
      <c r="J166" s="251"/>
    </row>
    <row r="167">
      <c r="A167" s="270"/>
      <c r="B167" s="271"/>
      <c r="C167" s="272"/>
      <c r="D167" s="823"/>
      <c r="E167" s="18"/>
      <c r="F167" s="259"/>
      <c r="G167" s="260"/>
      <c r="H167" s="260"/>
      <c r="I167" s="275"/>
      <c r="J167" s="261"/>
    </row>
    <row r="168">
      <c r="A168" s="262" t="s">
        <v>702</v>
      </c>
      <c r="B168" s="239">
        <v>31055.1</v>
      </c>
      <c r="C168" s="263"/>
      <c r="D168" s="821"/>
      <c r="E168" s="242"/>
      <c r="F168" s="243"/>
      <c r="G168" s="276" t="s">
        <v>71</v>
      </c>
      <c r="H168" s="276"/>
      <c r="I168" s="276"/>
      <c r="J168" s="307"/>
    </row>
    <row r="169">
      <c r="A169" s="265"/>
      <c r="B169" s="247"/>
      <c r="C169" s="252"/>
      <c r="D169" s="822"/>
      <c r="F169" s="250">
        <v>16200.0</v>
      </c>
      <c r="G169" s="254" t="s">
        <v>87</v>
      </c>
      <c r="H169" s="269"/>
      <c r="I169" s="269"/>
      <c r="J169" s="251"/>
    </row>
    <row r="170">
      <c r="A170" s="265"/>
      <c r="B170" s="247">
        <v>12720.0</v>
      </c>
      <c r="C170" s="248"/>
      <c r="D170" s="331"/>
      <c r="F170" s="250"/>
      <c r="G170" s="254" t="s">
        <v>75</v>
      </c>
      <c r="H170" s="254"/>
      <c r="I170" s="269"/>
      <c r="J170" s="251"/>
    </row>
    <row r="171">
      <c r="A171" s="265"/>
      <c r="B171" s="247"/>
      <c r="C171" s="248"/>
      <c r="D171" s="331"/>
      <c r="F171" s="250">
        <v>480.0</v>
      </c>
      <c r="G171" s="254" t="s">
        <v>2945</v>
      </c>
      <c r="H171" s="269"/>
      <c r="I171" s="269"/>
      <c r="J171" s="251"/>
    </row>
    <row r="172">
      <c r="A172" s="265"/>
      <c r="B172" s="247">
        <v>3207.71</v>
      </c>
      <c r="C172" s="252"/>
      <c r="D172" s="822"/>
      <c r="F172" s="250"/>
      <c r="G172" s="254" t="s">
        <v>91</v>
      </c>
      <c r="H172" s="269"/>
      <c r="I172" s="269"/>
      <c r="J172" s="251"/>
    </row>
    <row r="173">
      <c r="A173" s="265"/>
      <c r="B173" s="247"/>
      <c r="C173" s="248"/>
      <c r="D173" s="822"/>
      <c r="F173" s="250">
        <v>2279.0</v>
      </c>
      <c r="G173" s="254" t="s">
        <v>97</v>
      </c>
      <c r="H173" s="269"/>
      <c r="I173" s="269"/>
      <c r="J173" s="251"/>
    </row>
    <row r="174">
      <c r="A174" s="265"/>
      <c r="B174" s="268"/>
      <c r="C174" s="252"/>
      <c r="D174" s="331"/>
      <c r="F174" s="250">
        <v>1020.0</v>
      </c>
      <c r="G174" s="254" t="s">
        <v>2703</v>
      </c>
      <c r="H174" s="269"/>
      <c r="I174" s="269"/>
      <c r="J174" s="251"/>
    </row>
    <row r="175">
      <c r="A175" s="265"/>
      <c r="B175" s="268"/>
      <c r="C175" s="252"/>
      <c r="D175" s="822"/>
      <c r="F175" s="250">
        <v>2000.0</v>
      </c>
      <c r="G175" s="254" t="s">
        <v>2933</v>
      </c>
      <c r="H175" s="269"/>
      <c r="I175" s="269"/>
      <c r="J175" s="251"/>
    </row>
    <row r="176">
      <c r="A176" s="265"/>
      <c r="B176" s="247"/>
      <c r="C176" s="252"/>
      <c r="D176" s="822"/>
      <c r="F176" s="250"/>
      <c r="G176" s="269"/>
      <c r="H176" s="269"/>
      <c r="I176" s="269"/>
      <c r="J176" s="251"/>
    </row>
    <row r="177">
      <c r="A177" s="270"/>
      <c r="B177" s="279"/>
      <c r="C177" s="272"/>
      <c r="D177" s="823"/>
      <c r="E177" s="18"/>
      <c r="F177" s="274"/>
      <c r="G177" s="260"/>
      <c r="H177" s="260"/>
      <c r="I177" s="275"/>
      <c r="J177" s="261"/>
    </row>
    <row r="178">
      <c r="A178" s="262" t="s">
        <v>703</v>
      </c>
      <c r="B178" s="239"/>
      <c r="C178" s="263">
        <v>27514.14</v>
      </c>
      <c r="D178" s="821"/>
      <c r="E178" s="242"/>
      <c r="F178" s="250"/>
      <c r="G178" s="276" t="s">
        <v>84</v>
      </c>
      <c r="H178" s="276"/>
      <c r="I178" s="276"/>
      <c r="J178" s="307"/>
    </row>
    <row r="179">
      <c r="A179" s="265"/>
      <c r="B179" s="247">
        <v>5190.91</v>
      </c>
      <c r="C179" s="252"/>
      <c r="D179" s="331"/>
      <c r="F179" s="250"/>
      <c r="G179" s="254" t="s">
        <v>82</v>
      </c>
      <c r="H179" s="269"/>
      <c r="I179" s="269"/>
      <c r="J179" s="251"/>
    </row>
    <row r="180">
      <c r="A180" s="265"/>
      <c r="B180" s="247"/>
      <c r="C180" s="248"/>
      <c r="D180" s="331"/>
      <c r="F180" s="250">
        <v>1279.0</v>
      </c>
      <c r="G180" s="254" t="s">
        <v>97</v>
      </c>
      <c r="H180" s="269"/>
      <c r="I180" s="269"/>
      <c r="J180" s="251"/>
    </row>
    <row r="181">
      <c r="A181" s="265"/>
      <c r="B181" s="247">
        <v>9822.44</v>
      </c>
      <c r="C181" s="252"/>
      <c r="D181" s="822"/>
      <c r="F181" s="250"/>
      <c r="G181" s="254" t="s">
        <v>2786</v>
      </c>
      <c r="H181" s="269"/>
      <c r="I181" s="269"/>
      <c r="J181" s="251"/>
    </row>
    <row r="182">
      <c r="A182" s="265"/>
      <c r="B182" s="247">
        <v>3767.5</v>
      </c>
      <c r="C182" s="248"/>
      <c r="D182" s="331"/>
      <c r="F182" s="250"/>
      <c r="G182" s="254" t="s">
        <v>2946</v>
      </c>
      <c r="H182" s="269"/>
      <c r="I182" s="269"/>
      <c r="J182" s="251"/>
    </row>
    <row r="183">
      <c r="A183" s="265"/>
      <c r="B183" s="247">
        <v>3800.0</v>
      </c>
      <c r="C183" s="252"/>
      <c r="D183" s="822"/>
      <c r="F183" s="250"/>
      <c r="G183" s="254" t="s">
        <v>394</v>
      </c>
      <c r="H183" s="269"/>
      <c r="I183" s="269"/>
      <c r="J183" s="251"/>
    </row>
    <row r="184">
      <c r="A184" s="265"/>
      <c r="B184" s="247">
        <v>8773.34</v>
      </c>
      <c r="C184" s="252"/>
      <c r="D184" s="822"/>
      <c r="F184" s="250"/>
      <c r="G184" s="254" t="s">
        <v>2457</v>
      </c>
      <c r="H184" s="269"/>
      <c r="I184" s="269"/>
      <c r="J184" s="251"/>
    </row>
    <row r="185">
      <c r="A185" s="265"/>
      <c r="B185" s="247">
        <v>3952.84</v>
      </c>
      <c r="C185" s="252"/>
      <c r="D185" s="822"/>
      <c r="F185" s="250"/>
      <c r="G185" s="254" t="s">
        <v>2456</v>
      </c>
      <c r="H185" s="269"/>
      <c r="I185" s="269"/>
      <c r="J185" s="251"/>
    </row>
    <row r="186">
      <c r="A186" s="265"/>
      <c r="B186" s="247">
        <v>38720.0</v>
      </c>
      <c r="C186" s="252"/>
      <c r="D186" s="822"/>
      <c r="F186" s="250"/>
      <c r="G186" s="254" t="s">
        <v>131</v>
      </c>
      <c r="H186" s="254" t="s">
        <v>2947</v>
      </c>
      <c r="I186" s="269"/>
      <c r="J186" s="251"/>
    </row>
    <row r="187">
      <c r="A187" s="265"/>
      <c r="B187" s="247">
        <v>3360.0</v>
      </c>
      <c r="C187" s="252"/>
      <c r="D187" s="822"/>
      <c r="F187" s="250"/>
      <c r="G187" s="254" t="s">
        <v>2948</v>
      </c>
      <c r="H187" s="269"/>
      <c r="I187" s="269"/>
      <c r="J187" s="251"/>
    </row>
    <row r="188">
      <c r="A188" s="265"/>
      <c r="B188" s="247">
        <v>450.0</v>
      </c>
      <c r="C188" s="252"/>
      <c r="D188" s="822"/>
      <c r="F188" s="250"/>
      <c r="G188" s="254" t="s">
        <v>2949</v>
      </c>
      <c r="H188" s="269"/>
      <c r="I188" s="269"/>
      <c r="J188" s="251"/>
    </row>
    <row r="189">
      <c r="A189" s="265"/>
      <c r="B189" s="268"/>
      <c r="C189" s="252"/>
      <c r="D189" s="822"/>
      <c r="F189" s="250">
        <v>2000.0</v>
      </c>
      <c r="G189" s="254" t="s">
        <v>2933</v>
      </c>
      <c r="H189" s="254" t="s">
        <v>2950</v>
      </c>
      <c r="I189" s="269"/>
      <c r="J189" s="251"/>
    </row>
    <row r="190">
      <c r="A190" s="265"/>
      <c r="B190" s="268"/>
      <c r="C190" s="252"/>
      <c r="D190" s="822"/>
      <c r="F190" s="250"/>
      <c r="G190" s="269"/>
      <c r="H190" s="269"/>
      <c r="I190" s="269"/>
      <c r="J190" s="251"/>
    </row>
    <row r="191">
      <c r="A191" s="265"/>
      <c r="B191" s="268"/>
      <c r="C191" s="252"/>
      <c r="D191" s="822"/>
      <c r="F191" s="250"/>
      <c r="G191" s="269"/>
      <c r="H191" s="269"/>
      <c r="I191" s="269"/>
      <c r="J191" s="251"/>
    </row>
    <row r="192">
      <c r="A192" s="270"/>
      <c r="B192" s="271"/>
      <c r="C192" s="272"/>
      <c r="D192" s="823"/>
      <c r="E192" s="18"/>
      <c r="F192" s="259"/>
      <c r="G192" s="260"/>
      <c r="H192" s="260"/>
      <c r="I192" s="275"/>
      <c r="J192" s="261"/>
    </row>
    <row r="193">
      <c r="A193" s="262">
        <v>17.0</v>
      </c>
      <c r="B193" s="239"/>
      <c r="C193" s="263"/>
      <c r="D193" s="821"/>
      <c r="E193" s="242"/>
      <c r="F193" s="243">
        <v>3080.0</v>
      </c>
      <c r="G193" s="276" t="s">
        <v>612</v>
      </c>
      <c r="H193" s="276"/>
      <c r="I193" s="269"/>
      <c r="J193" s="286"/>
    </row>
    <row r="194">
      <c r="A194" s="265"/>
      <c r="B194" s="247"/>
      <c r="C194" s="248"/>
      <c r="D194" s="331"/>
      <c r="F194" s="250"/>
      <c r="G194" s="254"/>
      <c r="H194" s="269"/>
      <c r="I194" s="269"/>
      <c r="J194" s="251"/>
    </row>
    <row r="195">
      <c r="A195" s="265"/>
      <c r="B195" s="247"/>
      <c r="C195" s="252"/>
      <c r="D195" s="822"/>
      <c r="F195" s="250">
        <v>4590.0</v>
      </c>
      <c r="G195" s="254" t="s">
        <v>65</v>
      </c>
      <c r="H195" s="269"/>
      <c r="I195" s="269"/>
      <c r="J195" s="251"/>
    </row>
    <row r="196">
      <c r="A196" s="265"/>
      <c r="B196" s="247"/>
      <c r="C196" s="252"/>
      <c r="D196" s="822"/>
      <c r="F196" s="250">
        <v>1000.0</v>
      </c>
      <c r="G196" s="254" t="s">
        <v>97</v>
      </c>
      <c r="H196" s="269"/>
      <c r="I196" s="269"/>
      <c r="J196" s="251"/>
    </row>
    <row r="197">
      <c r="A197" s="265"/>
      <c r="B197" s="247">
        <v>6100.0</v>
      </c>
      <c r="C197" s="248"/>
      <c r="D197" s="331"/>
      <c r="F197" s="250"/>
      <c r="G197" s="254" t="s">
        <v>75</v>
      </c>
      <c r="H197" s="269"/>
      <c r="I197" s="269"/>
      <c r="J197" s="251"/>
    </row>
    <row r="198">
      <c r="A198" s="265"/>
      <c r="B198" s="247"/>
      <c r="C198" s="248"/>
      <c r="D198" s="331"/>
      <c r="F198" s="250">
        <v>400.0</v>
      </c>
      <c r="G198" s="254" t="s">
        <v>1729</v>
      </c>
      <c r="H198" s="269"/>
      <c r="I198" s="269"/>
      <c r="J198" s="251"/>
    </row>
    <row r="199">
      <c r="A199" s="265"/>
      <c r="B199" s="268"/>
      <c r="C199" s="248"/>
      <c r="D199" s="331"/>
      <c r="F199" s="250">
        <v>1300.0</v>
      </c>
      <c r="G199" s="254" t="s">
        <v>2708</v>
      </c>
      <c r="H199" s="269"/>
      <c r="I199" s="269"/>
      <c r="J199" s="251"/>
    </row>
    <row r="200">
      <c r="A200" s="265"/>
      <c r="B200" s="247"/>
      <c r="C200" s="252"/>
      <c r="D200" s="331"/>
      <c r="F200" s="250"/>
      <c r="G200" s="269"/>
      <c r="H200" s="269"/>
      <c r="I200" s="269"/>
      <c r="J200" s="251"/>
    </row>
    <row r="201">
      <c r="A201" s="265"/>
      <c r="B201" s="247"/>
      <c r="C201" s="252"/>
      <c r="D201" s="822"/>
      <c r="F201" s="250"/>
      <c r="G201" s="269"/>
      <c r="H201" s="269"/>
      <c r="I201" s="269"/>
      <c r="J201" s="251"/>
    </row>
    <row r="202">
      <c r="A202" s="265"/>
      <c r="B202" s="278"/>
      <c r="C202" s="252"/>
      <c r="D202" s="822"/>
      <c r="F202" s="250"/>
      <c r="G202" s="254"/>
      <c r="H202" s="254"/>
      <c r="I202" s="269"/>
      <c r="J202" s="251"/>
    </row>
    <row r="203">
      <c r="A203" s="265"/>
      <c r="B203" s="278"/>
      <c r="C203" s="252"/>
      <c r="D203" s="822"/>
      <c r="F203" s="250"/>
      <c r="G203" s="269"/>
      <c r="H203" s="269"/>
      <c r="I203" s="269"/>
      <c r="J203" s="251"/>
    </row>
    <row r="204">
      <c r="A204" s="265"/>
      <c r="B204" s="277"/>
      <c r="C204" s="252"/>
      <c r="D204" s="822"/>
      <c r="F204" s="250"/>
      <c r="G204" s="269"/>
      <c r="H204" s="269"/>
      <c r="I204" s="269"/>
      <c r="J204" s="251"/>
    </row>
    <row r="205">
      <c r="A205" s="265"/>
      <c r="B205" s="278"/>
      <c r="C205" s="252"/>
      <c r="D205" s="822"/>
      <c r="F205" s="250"/>
      <c r="G205" s="269"/>
      <c r="H205" s="269"/>
      <c r="I205" s="269"/>
      <c r="J205" s="251"/>
    </row>
    <row r="206">
      <c r="A206" s="265"/>
      <c r="B206" s="278"/>
      <c r="C206" s="252"/>
      <c r="D206" s="822"/>
      <c r="F206" s="282"/>
      <c r="G206" s="269"/>
      <c r="H206" s="269"/>
      <c r="I206" s="269"/>
      <c r="J206" s="251"/>
    </row>
    <row r="207">
      <c r="A207" s="265"/>
      <c r="B207" s="278"/>
      <c r="C207" s="252"/>
      <c r="D207" s="822"/>
      <c r="F207" s="282"/>
      <c r="G207" s="269"/>
      <c r="H207" s="269"/>
      <c r="I207" s="269"/>
      <c r="J207" s="251"/>
    </row>
    <row r="208">
      <c r="A208" s="270"/>
      <c r="B208" s="271"/>
      <c r="C208" s="272"/>
      <c r="D208" s="823"/>
      <c r="E208" s="18"/>
      <c r="F208" s="274"/>
      <c r="G208" s="275"/>
      <c r="H208" s="275"/>
      <c r="I208" s="275"/>
      <c r="J208" s="261"/>
    </row>
    <row r="209">
      <c r="A209" s="262">
        <v>18.0</v>
      </c>
      <c r="B209" s="239">
        <v>11600.0</v>
      </c>
      <c r="C209" s="263"/>
      <c r="D209" s="824"/>
      <c r="E209" s="242"/>
      <c r="F209" s="243"/>
      <c r="G209" s="276" t="s">
        <v>459</v>
      </c>
      <c r="H209" s="276"/>
      <c r="I209" s="276"/>
      <c r="J209" s="307"/>
    </row>
    <row r="210">
      <c r="A210" s="265"/>
      <c r="B210" s="247"/>
      <c r="C210" s="252"/>
      <c r="D210" s="822"/>
      <c r="F210" s="250">
        <v>5900.0</v>
      </c>
      <c r="G210" s="254" t="s">
        <v>2673</v>
      </c>
      <c r="H210" s="269"/>
      <c r="I210" s="269"/>
      <c r="J210" s="251"/>
    </row>
    <row r="211">
      <c r="A211" s="265"/>
      <c r="B211" s="247"/>
      <c r="C211" s="252"/>
      <c r="D211" s="331"/>
      <c r="F211" s="250"/>
      <c r="G211" s="254" t="s">
        <v>2951</v>
      </c>
      <c r="H211" s="269"/>
      <c r="I211" s="269"/>
      <c r="J211" s="251"/>
    </row>
    <row r="212">
      <c r="A212" s="265"/>
      <c r="B212" s="247"/>
      <c r="C212" s="248"/>
      <c r="D212" s="331"/>
      <c r="F212" s="250">
        <f>1380+1458</f>
        <v>2838</v>
      </c>
      <c r="G212" s="254" t="s">
        <v>97</v>
      </c>
      <c r="H212" s="269"/>
      <c r="I212" s="269"/>
      <c r="J212" s="251"/>
    </row>
    <row r="213">
      <c r="A213" s="265"/>
      <c r="B213" s="247">
        <v>3488.75</v>
      </c>
      <c r="C213" s="248"/>
      <c r="D213" s="331"/>
      <c r="F213" s="250"/>
      <c r="G213" s="254" t="s">
        <v>82</v>
      </c>
      <c r="H213" s="269"/>
      <c r="I213" s="269"/>
      <c r="J213" s="251"/>
    </row>
    <row r="214">
      <c r="A214" s="265"/>
      <c r="B214" s="247"/>
      <c r="C214" s="252"/>
      <c r="D214" s="331"/>
      <c r="F214" s="250">
        <v>15000.0</v>
      </c>
      <c r="G214" s="254" t="s">
        <v>87</v>
      </c>
      <c r="H214" s="269"/>
      <c r="I214" s="269"/>
      <c r="J214" s="251"/>
    </row>
    <row r="215">
      <c r="A215" s="265"/>
      <c r="B215" s="247"/>
      <c r="C215" s="252"/>
      <c r="D215" s="822"/>
      <c r="F215" s="250"/>
      <c r="G215" s="254">
        <v>36000.0</v>
      </c>
      <c r="H215" s="269"/>
      <c r="I215" s="269"/>
      <c r="J215" s="251"/>
    </row>
    <row r="216">
      <c r="A216" s="265"/>
      <c r="B216" s="247"/>
      <c r="C216" s="252"/>
      <c r="D216" s="331"/>
      <c r="F216" s="250">
        <v>3000.0</v>
      </c>
      <c r="G216" s="254" t="s">
        <v>2952</v>
      </c>
      <c r="H216" s="269"/>
      <c r="I216" s="269"/>
      <c r="J216" s="251"/>
    </row>
    <row r="217">
      <c r="A217" s="265"/>
      <c r="B217" s="268"/>
      <c r="C217" s="248"/>
      <c r="D217" s="331"/>
      <c r="F217" s="250">
        <v>3000.0</v>
      </c>
      <c r="G217" s="254" t="s">
        <v>2776</v>
      </c>
      <c r="H217" s="269"/>
      <c r="I217" s="269"/>
      <c r="J217" s="251"/>
    </row>
    <row r="218">
      <c r="A218" s="265"/>
      <c r="B218" s="247">
        <v>3800.0</v>
      </c>
      <c r="C218" s="248"/>
      <c r="D218" s="822"/>
      <c r="F218" s="250"/>
      <c r="G218" s="254" t="s">
        <v>79</v>
      </c>
      <c r="H218" s="269"/>
      <c r="I218" s="269"/>
      <c r="J218" s="251"/>
    </row>
    <row r="219">
      <c r="A219" s="265"/>
      <c r="B219" s="268"/>
      <c r="C219" s="248"/>
      <c r="D219" s="822"/>
      <c r="F219" s="250"/>
      <c r="G219" s="269"/>
      <c r="H219" s="269"/>
      <c r="I219" s="269"/>
      <c r="J219" s="251"/>
    </row>
    <row r="220">
      <c r="A220" s="265"/>
      <c r="B220" s="247"/>
      <c r="C220" s="248"/>
      <c r="D220" s="822"/>
      <c r="F220" s="250"/>
      <c r="G220" s="269"/>
      <c r="H220" s="269"/>
      <c r="I220" s="269"/>
      <c r="J220" s="251"/>
    </row>
    <row r="221">
      <c r="A221" s="265"/>
      <c r="B221" s="278"/>
      <c r="C221" s="252"/>
      <c r="D221" s="822"/>
      <c r="F221" s="250"/>
      <c r="G221" s="269"/>
      <c r="H221" s="269"/>
      <c r="I221" s="269"/>
      <c r="J221" s="251"/>
    </row>
    <row r="222">
      <c r="A222" s="265"/>
      <c r="B222" s="278"/>
      <c r="C222" s="252"/>
      <c r="D222" s="822"/>
      <c r="F222" s="282"/>
      <c r="G222" s="269"/>
      <c r="H222" s="269"/>
      <c r="I222" s="269"/>
      <c r="J222" s="251"/>
    </row>
    <row r="223">
      <c r="A223" s="270"/>
      <c r="B223" s="271"/>
      <c r="C223" s="272"/>
      <c r="D223" s="823"/>
      <c r="E223" s="18"/>
      <c r="F223" s="274"/>
      <c r="G223" s="275"/>
      <c r="H223" s="275"/>
      <c r="I223" s="275"/>
      <c r="J223" s="261"/>
    </row>
    <row r="224">
      <c r="A224" s="262">
        <v>19.0</v>
      </c>
      <c r="B224" s="239"/>
      <c r="C224" s="263"/>
      <c r="D224" s="824"/>
      <c r="E224" s="242"/>
      <c r="F224" s="243">
        <f>992+480</f>
        <v>1472</v>
      </c>
      <c r="G224" s="276" t="s">
        <v>97</v>
      </c>
      <c r="H224" s="276"/>
      <c r="I224" s="276"/>
      <c r="J224" s="307"/>
    </row>
    <row r="225">
      <c r="A225" s="265"/>
      <c r="B225" s="247"/>
      <c r="C225" s="248"/>
      <c r="D225" s="331"/>
      <c r="F225" s="250">
        <v>1350.0</v>
      </c>
      <c r="G225" s="254" t="s">
        <v>1732</v>
      </c>
      <c r="H225" s="269"/>
      <c r="I225" s="269"/>
      <c r="J225" s="251"/>
    </row>
    <row r="226">
      <c r="A226" s="265"/>
      <c r="B226" s="247"/>
      <c r="C226" s="252"/>
      <c r="D226" s="822"/>
      <c r="F226" s="250">
        <v>3900.0</v>
      </c>
      <c r="G226" s="254" t="s">
        <v>770</v>
      </c>
      <c r="H226" s="269"/>
      <c r="I226" s="269"/>
      <c r="J226" s="251"/>
    </row>
    <row r="227">
      <c r="A227" s="265"/>
      <c r="B227" s="247"/>
      <c r="C227" s="248"/>
      <c r="D227" s="331"/>
      <c r="F227" s="250"/>
      <c r="G227" s="254"/>
      <c r="H227" s="269"/>
      <c r="I227" s="269"/>
      <c r="J227" s="251"/>
    </row>
    <row r="228">
      <c r="A228" s="265"/>
      <c r="B228" s="247"/>
      <c r="C228" s="252"/>
      <c r="D228" s="822"/>
      <c r="F228" s="250"/>
      <c r="G228" s="254"/>
      <c r="H228" s="269"/>
      <c r="I228" s="269"/>
      <c r="J228" s="251"/>
    </row>
    <row r="229">
      <c r="A229" s="265"/>
      <c r="B229" s="247"/>
      <c r="C229" s="252"/>
      <c r="D229" s="822"/>
      <c r="F229" s="250"/>
      <c r="G229" s="254"/>
      <c r="H229" s="269"/>
      <c r="I229" s="269"/>
      <c r="J229" s="251"/>
    </row>
    <row r="230">
      <c r="A230" s="265"/>
      <c r="B230" s="247"/>
      <c r="C230" s="252"/>
      <c r="D230" s="822"/>
      <c r="F230" s="250"/>
      <c r="G230" s="254"/>
      <c r="H230" s="269"/>
      <c r="I230" s="269"/>
      <c r="J230" s="251"/>
    </row>
    <row r="231">
      <c r="A231" s="265"/>
      <c r="B231" s="247"/>
      <c r="C231" s="252"/>
      <c r="D231" s="822"/>
      <c r="F231" s="250"/>
      <c r="G231" s="254"/>
      <c r="H231" s="269"/>
      <c r="I231" s="269"/>
      <c r="J231" s="251"/>
    </row>
    <row r="232">
      <c r="A232" s="265"/>
      <c r="B232" s="247"/>
      <c r="C232" s="252"/>
      <c r="D232" s="331"/>
      <c r="F232" s="250"/>
      <c r="G232" s="254"/>
      <c r="H232" s="269"/>
      <c r="I232" s="269"/>
      <c r="J232" s="251"/>
    </row>
    <row r="233">
      <c r="A233" s="265"/>
      <c r="B233" s="278"/>
      <c r="C233" s="252"/>
      <c r="D233" s="822"/>
      <c r="F233" s="250"/>
      <c r="G233" s="254"/>
      <c r="H233" s="269"/>
      <c r="I233" s="269"/>
      <c r="J233" s="251"/>
    </row>
    <row r="234">
      <c r="A234" s="265"/>
      <c r="B234" s="278"/>
      <c r="C234" s="252"/>
      <c r="D234" s="822"/>
      <c r="F234" s="282"/>
      <c r="G234" s="269"/>
      <c r="H234" s="269"/>
      <c r="I234" s="269"/>
      <c r="J234" s="251"/>
    </row>
    <row r="235">
      <c r="A235" s="270"/>
      <c r="B235" s="271"/>
      <c r="C235" s="272"/>
      <c r="D235" s="823"/>
      <c r="E235" s="18"/>
      <c r="F235" s="274"/>
      <c r="G235" s="275"/>
      <c r="H235" s="275"/>
      <c r="I235" s="275"/>
      <c r="J235" s="261"/>
    </row>
    <row r="236">
      <c r="A236" s="262" t="s">
        <v>713</v>
      </c>
      <c r="B236" s="239">
        <v>6247.17</v>
      </c>
      <c r="C236" s="240"/>
      <c r="D236" s="821"/>
      <c r="E236" s="242"/>
      <c r="F236" s="243"/>
      <c r="G236" s="276" t="s">
        <v>82</v>
      </c>
      <c r="H236" s="276" t="s">
        <v>2953</v>
      </c>
      <c r="I236" s="276"/>
      <c r="J236" s="307"/>
    </row>
    <row r="237">
      <c r="A237" s="265"/>
      <c r="B237" s="247"/>
      <c r="C237" s="252"/>
      <c r="D237" s="331"/>
      <c r="F237" s="250">
        <v>4748.0</v>
      </c>
      <c r="G237" s="254" t="s">
        <v>97</v>
      </c>
      <c r="H237" s="269"/>
      <c r="I237" s="269"/>
      <c r="J237" s="251"/>
    </row>
    <row r="238">
      <c r="A238" s="265"/>
      <c r="B238" s="247">
        <v>9158.21</v>
      </c>
      <c r="C238" s="252"/>
      <c r="D238" s="331"/>
      <c r="F238" s="250"/>
      <c r="G238" s="254" t="s">
        <v>73</v>
      </c>
      <c r="H238" s="269"/>
      <c r="I238" s="269"/>
      <c r="J238" s="251"/>
    </row>
    <row r="239">
      <c r="A239" s="265"/>
      <c r="B239" s="247">
        <v>1443.53</v>
      </c>
      <c r="C239" s="248"/>
      <c r="D239" s="822"/>
      <c r="F239" s="250"/>
      <c r="G239" s="254" t="s">
        <v>74</v>
      </c>
      <c r="H239" s="269"/>
      <c r="I239" s="269"/>
      <c r="J239" s="251"/>
    </row>
    <row r="240">
      <c r="A240" s="265"/>
      <c r="B240" s="247"/>
      <c r="C240" s="248">
        <v>27153.35</v>
      </c>
      <c r="D240" s="822"/>
      <c r="F240" s="250"/>
      <c r="G240" s="254" t="s">
        <v>71</v>
      </c>
      <c r="H240" s="269"/>
      <c r="I240" s="269"/>
      <c r="J240" s="251"/>
    </row>
    <row r="241">
      <c r="A241" s="265"/>
      <c r="B241" s="247">
        <v>4027.0</v>
      </c>
      <c r="C241" s="248"/>
      <c r="D241" s="331"/>
      <c r="F241" s="250"/>
      <c r="G241" s="254" t="s">
        <v>2706</v>
      </c>
      <c r="H241" s="269"/>
      <c r="I241" s="269"/>
      <c r="J241" s="251"/>
    </row>
    <row r="242">
      <c r="A242" s="265"/>
      <c r="B242" s="247"/>
      <c r="C242" s="252"/>
      <c r="D242" s="822"/>
      <c r="F242" s="250">
        <v>600.0</v>
      </c>
      <c r="G242" s="254" t="s">
        <v>2954</v>
      </c>
      <c r="H242" s="269"/>
      <c r="I242" s="269"/>
      <c r="J242" s="251"/>
    </row>
    <row r="243">
      <c r="A243" s="265"/>
      <c r="B243" s="247">
        <v>4780.0</v>
      </c>
      <c r="C243" s="252"/>
      <c r="D243" s="822"/>
      <c r="F243" s="250"/>
      <c r="G243" s="254" t="s">
        <v>2955</v>
      </c>
      <c r="H243" s="269"/>
      <c r="I243" s="269"/>
      <c r="J243" s="251"/>
    </row>
    <row r="244">
      <c r="A244" s="265"/>
      <c r="B244" s="247"/>
      <c r="C244" s="252"/>
      <c r="D244" s="822"/>
      <c r="F244" s="250">
        <v>959.0</v>
      </c>
      <c r="G244" s="254" t="s">
        <v>2956</v>
      </c>
      <c r="H244" s="269"/>
      <c r="I244" s="269"/>
      <c r="J244" s="251"/>
    </row>
    <row r="245">
      <c r="A245" s="265"/>
      <c r="B245" s="247">
        <v>8305.0</v>
      </c>
      <c r="C245" s="252"/>
      <c r="D245" s="822"/>
      <c r="F245" s="250"/>
      <c r="G245" s="254" t="s">
        <v>99</v>
      </c>
      <c r="H245" s="269"/>
      <c r="I245" s="269"/>
      <c r="J245" s="251"/>
    </row>
    <row r="246">
      <c r="A246" s="265"/>
      <c r="B246" s="268"/>
      <c r="C246" s="252"/>
      <c r="D246" s="822"/>
      <c r="F246" s="250">
        <v>2500.0</v>
      </c>
      <c r="G246" s="254" t="s">
        <v>987</v>
      </c>
      <c r="H246" s="269"/>
      <c r="I246" s="269"/>
      <c r="J246" s="251"/>
    </row>
    <row r="247">
      <c r="A247" s="265"/>
      <c r="B247" s="277"/>
      <c r="C247" s="252"/>
      <c r="D247" s="822"/>
      <c r="F247" s="282"/>
      <c r="G247" s="269"/>
      <c r="H247" s="269"/>
      <c r="I247" s="269"/>
      <c r="J247" s="251"/>
    </row>
    <row r="248">
      <c r="A248" s="265"/>
      <c r="B248" s="278"/>
      <c r="C248" s="252"/>
      <c r="D248" s="822"/>
      <c r="F248" s="282"/>
      <c r="G248" s="269"/>
      <c r="H248" s="269"/>
      <c r="I248" s="269"/>
      <c r="J248" s="251"/>
    </row>
    <row r="249">
      <c r="A249" s="265"/>
      <c r="B249" s="278"/>
      <c r="C249" s="252"/>
      <c r="D249" s="822"/>
      <c r="F249" s="282"/>
      <c r="G249" s="269"/>
      <c r="H249" s="269"/>
      <c r="I249" s="269"/>
      <c r="J249" s="251"/>
    </row>
    <row r="250">
      <c r="A250" s="270"/>
      <c r="B250" s="271"/>
      <c r="C250" s="272"/>
      <c r="D250" s="823"/>
      <c r="E250" s="18"/>
      <c r="F250" s="274"/>
      <c r="G250" s="275"/>
      <c r="H250" s="275"/>
      <c r="I250" s="275"/>
      <c r="J250" s="261"/>
    </row>
    <row r="251">
      <c r="A251" s="262" t="s">
        <v>715</v>
      </c>
      <c r="B251" s="239"/>
      <c r="C251" s="263"/>
      <c r="D251" s="824"/>
      <c r="E251" s="242"/>
      <c r="F251" s="243">
        <f>1480+308</f>
        <v>1788</v>
      </c>
      <c r="G251" s="276" t="s">
        <v>97</v>
      </c>
      <c r="H251" s="276"/>
      <c r="I251" s="276"/>
      <c r="J251" s="307"/>
    </row>
    <row r="252">
      <c r="A252" s="265"/>
      <c r="B252" s="247">
        <v>4296.37</v>
      </c>
      <c r="C252" s="252"/>
      <c r="D252" s="822"/>
      <c r="F252" s="250"/>
      <c r="G252" s="254" t="s">
        <v>91</v>
      </c>
      <c r="H252" s="269"/>
      <c r="I252" s="269"/>
      <c r="J252" s="251"/>
    </row>
    <row r="253">
      <c r="A253" s="265"/>
      <c r="B253" s="247">
        <v>9027.81</v>
      </c>
      <c r="C253" s="252"/>
      <c r="D253" s="822"/>
      <c r="F253" s="250"/>
      <c r="G253" s="254" t="s">
        <v>114</v>
      </c>
      <c r="H253" s="269"/>
      <c r="I253" s="269"/>
      <c r="J253" s="251"/>
    </row>
    <row r="254">
      <c r="A254" s="265"/>
      <c r="B254" s="247"/>
      <c r="C254" s="248"/>
      <c r="D254" s="822"/>
      <c r="F254" s="250">
        <v>16800.0</v>
      </c>
      <c r="G254" s="254" t="s">
        <v>87</v>
      </c>
      <c r="H254" s="269"/>
      <c r="I254" s="269"/>
      <c r="J254" s="251"/>
    </row>
    <row r="255">
      <c r="A255" s="265"/>
      <c r="B255" s="247">
        <v>15690.0</v>
      </c>
      <c r="C255" s="252"/>
      <c r="D255" s="822"/>
      <c r="F255" s="250"/>
      <c r="G255" s="254" t="s">
        <v>75</v>
      </c>
      <c r="H255" s="269"/>
      <c r="I255" s="269"/>
      <c r="J255" s="267"/>
    </row>
    <row r="256">
      <c r="A256" s="265"/>
      <c r="B256" s="247"/>
      <c r="C256" s="248"/>
      <c r="D256" s="822"/>
      <c r="F256" s="250">
        <v>2000.0</v>
      </c>
      <c r="G256" s="254" t="s">
        <v>2957</v>
      </c>
      <c r="H256" s="269"/>
      <c r="I256" s="269"/>
      <c r="J256" s="251"/>
    </row>
    <row r="257">
      <c r="A257" s="265"/>
      <c r="B257" s="247"/>
      <c r="C257" s="248"/>
      <c r="D257" s="822"/>
      <c r="F257" s="250">
        <v>7510.0</v>
      </c>
      <c r="G257" s="254" t="s">
        <v>76</v>
      </c>
      <c r="H257" s="269"/>
      <c r="I257" s="269"/>
      <c r="J257" s="251"/>
    </row>
    <row r="258">
      <c r="A258" s="265"/>
      <c r="B258" s="268"/>
      <c r="C258" s="252"/>
      <c r="D258" s="822"/>
      <c r="F258" s="250">
        <v>875.0</v>
      </c>
      <c r="G258" s="254" t="s">
        <v>344</v>
      </c>
      <c r="H258" s="269"/>
      <c r="I258" s="269"/>
      <c r="J258" s="251"/>
    </row>
    <row r="259">
      <c r="A259" s="265"/>
      <c r="B259" s="247"/>
      <c r="C259" s="252"/>
      <c r="D259" s="822"/>
      <c r="F259" s="250"/>
      <c r="G259" s="254"/>
      <c r="H259" s="269"/>
      <c r="I259" s="269"/>
      <c r="J259" s="251"/>
    </row>
    <row r="260">
      <c r="A260" s="265"/>
      <c r="B260" s="247"/>
      <c r="C260" s="252"/>
      <c r="D260" s="822"/>
      <c r="F260" s="250"/>
      <c r="G260" s="254"/>
      <c r="H260" s="269"/>
      <c r="I260" s="269"/>
      <c r="J260" s="251"/>
    </row>
    <row r="261">
      <c r="A261" s="265"/>
      <c r="B261" s="278"/>
      <c r="C261" s="252"/>
      <c r="D261" s="822"/>
      <c r="F261" s="250"/>
      <c r="G261" s="269"/>
      <c r="H261" s="269"/>
      <c r="I261" s="269"/>
      <c r="J261" s="251"/>
    </row>
    <row r="262">
      <c r="A262" s="265"/>
      <c r="B262" s="278"/>
      <c r="C262" s="252"/>
      <c r="D262" s="822"/>
      <c r="F262" s="250"/>
      <c r="G262" s="269"/>
      <c r="H262" s="269"/>
      <c r="I262" s="269"/>
      <c r="J262" s="251"/>
    </row>
    <row r="263">
      <c r="A263" s="265"/>
      <c r="B263" s="278"/>
      <c r="C263" s="252"/>
      <c r="D263" s="822"/>
      <c r="F263" s="250"/>
      <c r="G263" s="269"/>
      <c r="H263" s="269"/>
      <c r="I263" s="269"/>
      <c r="J263" s="251"/>
    </row>
    <row r="264">
      <c r="A264" s="270"/>
      <c r="B264" s="271"/>
      <c r="C264" s="272"/>
      <c r="D264" s="823"/>
      <c r="E264" s="18"/>
      <c r="F264" s="274"/>
      <c r="G264" s="275"/>
      <c r="H264" s="275"/>
      <c r="I264" s="275"/>
      <c r="J264" s="261"/>
    </row>
    <row r="265">
      <c r="A265" s="262" t="s">
        <v>718</v>
      </c>
      <c r="B265" s="239"/>
      <c r="C265" s="263"/>
      <c r="D265" s="824"/>
      <c r="E265" s="242"/>
      <c r="F265" s="243">
        <v>1136.0</v>
      </c>
      <c r="G265" s="276" t="s">
        <v>63</v>
      </c>
      <c r="H265" s="276"/>
      <c r="I265" s="276"/>
      <c r="J265" s="307"/>
    </row>
    <row r="266">
      <c r="A266" s="265"/>
      <c r="B266" s="247"/>
      <c r="C266" s="248">
        <v>13063.33</v>
      </c>
      <c r="D266" s="822"/>
      <c r="F266" s="250"/>
      <c r="G266" s="254" t="s">
        <v>84</v>
      </c>
      <c r="H266" s="269"/>
      <c r="I266" s="269"/>
      <c r="J266" s="251"/>
    </row>
    <row r="267">
      <c r="A267" s="265"/>
      <c r="B267" s="247">
        <v>5233.11</v>
      </c>
      <c r="C267" s="252"/>
      <c r="D267" s="822"/>
      <c r="F267" s="250"/>
      <c r="G267" s="254" t="s">
        <v>82</v>
      </c>
      <c r="H267" s="269"/>
      <c r="I267" s="269"/>
      <c r="J267" s="251"/>
    </row>
    <row r="268">
      <c r="A268" s="265"/>
      <c r="B268" s="247">
        <v>7600.0</v>
      </c>
      <c r="C268" s="248"/>
      <c r="D268" s="822"/>
      <c r="F268" s="250"/>
      <c r="G268" s="254" t="s">
        <v>79</v>
      </c>
      <c r="H268" s="269"/>
      <c r="I268" s="269"/>
      <c r="J268" s="251"/>
    </row>
    <row r="269">
      <c r="A269" s="265"/>
      <c r="B269" s="247"/>
      <c r="C269" s="248"/>
      <c r="D269" s="331">
        <v>50000.0</v>
      </c>
      <c r="F269" s="250"/>
      <c r="G269" s="254" t="s">
        <v>144</v>
      </c>
      <c r="H269" s="269"/>
      <c r="I269" s="269"/>
      <c r="J269" s="251"/>
    </row>
    <row r="270">
      <c r="A270" s="265"/>
      <c r="B270" s="247"/>
      <c r="C270" s="248"/>
      <c r="D270" s="331"/>
      <c r="F270" s="250">
        <v>919.0</v>
      </c>
      <c r="G270" s="254" t="s">
        <v>2958</v>
      </c>
      <c r="H270" s="269"/>
      <c r="I270" s="269"/>
      <c r="J270" s="251"/>
    </row>
    <row r="271">
      <c r="A271" s="265"/>
      <c r="B271" s="247">
        <v>3367.0</v>
      </c>
      <c r="C271" s="252"/>
      <c r="D271" s="331"/>
      <c r="F271" s="250"/>
      <c r="G271" s="254" t="s">
        <v>2649</v>
      </c>
      <c r="H271" s="269"/>
      <c r="I271" s="269"/>
      <c r="J271" s="251"/>
    </row>
    <row r="272">
      <c r="A272" s="265"/>
      <c r="B272" s="247"/>
      <c r="C272" s="252"/>
      <c r="D272" s="822"/>
      <c r="F272" s="250"/>
      <c r="G272" s="254"/>
      <c r="H272" s="269"/>
      <c r="I272" s="269"/>
      <c r="J272" s="251"/>
    </row>
    <row r="273">
      <c r="A273" s="265"/>
      <c r="B273" s="247"/>
      <c r="C273" s="252"/>
      <c r="D273" s="822"/>
      <c r="F273" s="250"/>
      <c r="G273" s="254"/>
      <c r="H273" s="269"/>
      <c r="I273" s="269"/>
      <c r="J273" s="251"/>
    </row>
    <row r="274">
      <c r="A274" s="265"/>
      <c r="B274" s="247"/>
      <c r="C274" s="252"/>
      <c r="D274" s="822"/>
      <c r="F274" s="250"/>
      <c r="G274" s="254"/>
      <c r="H274" s="269"/>
      <c r="I274" s="269"/>
      <c r="J274" s="251"/>
    </row>
    <row r="275">
      <c r="A275" s="265"/>
      <c r="B275" s="268"/>
      <c r="C275" s="252"/>
      <c r="D275" s="822"/>
      <c r="F275" s="250"/>
      <c r="G275" s="254"/>
      <c r="H275" s="269"/>
      <c r="I275" s="269"/>
      <c r="J275" s="267"/>
    </row>
    <row r="276">
      <c r="A276" s="265"/>
      <c r="B276" s="268"/>
      <c r="C276" s="252"/>
      <c r="D276" s="822"/>
      <c r="F276" s="250"/>
      <c r="G276" s="254"/>
      <c r="H276" s="269"/>
      <c r="I276" s="269"/>
      <c r="J276" s="251"/>
    </row>
    <row r="277">
      <c r="A277" s="265"/>
      <c r="B277" s="268"/>
      <c r="C277" s="252"/>
      <c r="D277" s="822"/>
      <c r="F277" s="250"/>
      <c r="G277" s="254"/>
      <c r="H277" s="269"/>
      <c r="I277" s="269"/>
      <c r="J277" s="251"/>
    </row>
    <row r="278">
      <c r="A278" s="270"/>
      <c r="B278" s="271"/>
      <c r="C278" s="272"/>
      <c r="D278" s="823"/>
      <c r="E278" s="18"/>
      <c r="F278" s="259"/>
      <c r="G278" s="260"/>
      <c r="H278" s="260"/>
      <c r="I278" s="275"/>
      <c r="J278" s="261"/>
    </row>
    <row r="279">
      <c r="A279" s="262">
        <v>24.0</v>
      </c>
      <c r="B279" s="239"/>
      <c r="C279" s="263"/>
      <c r="D279" s="821"/>
      <c r="E279" s="242"/>
      <c r="F279" s="243">
        <v>1475.0</v>
      </c>
      <c r="G279" s="276" t="s">
        <v>97</v>
      </c>
      <c r="H279" s="276"/>
      <c r="I279" s="276"/>
      <c r="J279" s="307"/>
    </row>
    <row r="280">
      <c r="A280" s="265"/>
      <c r="B280" s="247">
        <v>4900.0</v>
      </c>
      <c r="C280" s="252"/>
      <c r="D280" s="822"/>
      <c r="F280" s="250"/>
      <c r="G280" s="254" t="s">
        <v>114</v>
      </c>
      <c r="H280" s="269"/>
      <c r="I280" s="269"/>
      <c r="J280" s="251"/>
    </row>
    <row r="281">
      <c r="A281" s="265"/>
      <c r="B281" s="247">
        <v>3488.75</v>
      </c>
      <c r="C281" s="248"/>
      <c r="D281" s="331"/>
      <c r="F281" s="250"/>
      <c r="G281" s="254" t="s">
        <v>82</v>
      </c>
      <c r="H281" s="269"/>
      <c r="I281" s="269"/>
      <c r="J281" s="251"/>
    </row>
    <row r="282">
      <c r="A282" s="265"/>
      <c r="B282" s="247"/>
      <c r="C282" s="252"/>
      <c r="D282" s="822"/>
      <c r="F282" s="250">
        <v>8000.0</v>
      </c>
      <c r="G282" s="254" t="s">
        <v>2916</v>
      </c>
      <c r="H282" s="269"/>
      <c r="I282" s="269"/>
      <c r="J282" s="251"/>
    </row>
    <row r="283">
      <c r="A283" s="265"/>
      <c r="B283" s="247">
        <v>36300.0</v>
      </c>
      <c r="C283" s="248"/>
      <c r="D283" s="822"/>
      <c r="F283" s="250"/>
      <c r="G283" s="254" t="s">
        <v>167</v>
      </c>
      <c r="H283" s="269"/>
      <c r="I283" s="269"/>
      <c r="J283" s="251"/>
    </row>
    <row r="284">
      <c r="A284" s="265"/>
      <c r="B284" s="247"/>
      <c r="C284" s="252"/>
      <c r="D284" s="822"/>
      <c r="F284" s="250"/>
      <c r="G284" s="254"/>
      <c r="H284" s="269"/>
      <c r="I284" s="269"/>
      <c r="J284" s="251"/>
    </row>
    <row r="285">
      <c r="A285" s="265"/>
      <c r="B285" s="247"/>
      <c r="C285" s="252"/>
      <c r="D285" s="822"/>
      <c r="F285" s="250"/>
      <c r="G285" s="254"/>
      <c r="H285" s="269"/>
      <c r="I285" s="269"/>
      <c r="J285" s="251"/>
    </row>
    <row r="286">
      <c r="A286" s="265"/>
      <c r="B286" s="268"/>
      <c r="C286" s="248"/>
      <c r="D286" s="822"/>
      <c r="F286" s="250"/>
      <c r="G286" s="269"/>
      <c r="H286" s="269"/>
      <c r="I286" s="269"/>
      <c r="J286" s="251"/>
    </row>
    <row r="287">
      <c r="A287" s="265"/>
      <c r="B287" s="268"/>
      <c r="C287" s="248"/>
      <c r="D287" s="822"/>
      <c r="F287" s="250"/>
      <c r="G287" s="269"/>
      <c r="H287" s="269"/>
      <c r="I287" s="269"/>
      <c r="J287" s="251"/>
    </row>
    <row r="288">
      <c r="A288" s="265"/>
      <c r="B288" s="268"/>
      <c r="C288" s="252"/>
      <c r="D288" s="822"/>
      <c r="F288" s="250"/>
      <c r="G288" s="269"/>
      <c r="H288" s="269"/>
      <c r="I288" s="269"/>
      <c r="J288" s="251"/>
    </row>
    <row r="289">
      <c r="A289" s="265"/>
      <c r="B289" s="268"/>
      <c r="C289" s="252"/>
      <c r="D289" s="822"/>
      <c r="F289" s="250"/>
      <c r="G289" s="269"/>
      <c r="H289" s="269"/>
      <c r="I289" s="269"/>
      <c r="J289" s="251"/>
    </row>
    <row r="290">
      <c r="A290" s="265"/>
      <c r="B290" s="268"/>
      <c r="C290" s="252"/>
      <c r="D290" s="822"/>
      <c r="F290" s="250"/>
      <c r="G290" s="269"/>
      <c r="H290" s="269"/>
      <c r="I290" s="269"/>
      <c r="J290" s="251"/>
    </row>
    <row r="291">
      <c r="A291" s="270"/>
      <c r="B291" s="271"/>
      <c r="C291" s="272"/>
      <c r="D291" s="823"/>
      <c r="E291" s="18"/>
      <c r="F291" s="259"/>
      <c r="G291" s="260"/>
      <c r="H291" s="260"/>
      <c r="I291" s="275"/>
      <c r="J291" s="261"/>
    </row>
    <row r="292">
      <c r="A292" s="262">
        <v>25.0</v>
      </c>
      <c r="B292" s="239"/>
      <c r="C292" s="263"/>
      <c r="D292" s="824"/>
      <c r="E292" s="242"/>
      <c r="F292" s="243">
        <v>782.8</v>
      </c>
      <c r="G292" s="276" t="s">
        <v>97</v>
      </c>
      <c r="H292" s="276"/>
      <c r="I292" s="276"/>
      <c r="J292" s="307"/>
    </row>
    <row r="293">
      <c r="A293" s="265"/>
      <c r="B293" s="247"/>
      <c r="C293" s="252"/>
      <c r="D293" s="822"/>
      <c r="F293" s="250">
        <v>16800.0</v>
      </c>
      <c r="G293" s="254" t="s">
        <v>87</v>
      </c>
      <c r="H293" s="269"/>
      <c r="I293" s="269"/>
      <c r="J293" s="251"/>
    </row>
    <row r="294">
      <c r="A294" s="265"/>
      <c r="B294" s="247">
        <v>2219.86</v>
      </c>
      <c r="C294" s="252"/>
      <c r="D294" s="822"/>
      <c r="F294" s="250"/>
      <c r="G294" s="254" t="s">
        <v>82</v>
      </c>
      <c r="H294" s="269"/>
      <c r="I294" s="269"/>
      <c r="J294" s="251"/>
    </row>
    <row r="295">
      <c r="A295" s="265"/>
      <c r="B295" s="268"/>
      <c r="C295" s="248"/>
      <c r="D295" s="822"/>
      <c r="F295" s="250">
        <v>260.0</v>
      </c>
      <c r="G295" s="254" t="s">
        <v>228</v>
      </c>
      <c r="H295" s="269"/>
      <c r="I295" s="269"/>
      <c r="J295" s="251"/>
    </row>
    <row r="296">
      <c r="A296" s="265"/>
      <c r="B296" s="247"/>
      <c r="C296" s="252"/>
      <c r="D296" s="822"/>
      <c r="F296" s="250">
        <v>990.0</v>
      </c>
      <c r="G296" s="254" t="s">
        <v>2959</v>
      </c>
      <c r="H296" s="269"/>
      <c r="I296" s="269"/>
      <c r="J296" s="251"/>
    </row>
    <row r="297">
      <c r="A297" s="265"/>
      <c r="B297" s="268"/>
      <c r="C297" s="248"/>
      <c r="D297" s="331"/>
      <c r="F297" s="250">
        <v>488.0</v>
      </c>
      <c r="G297" s="254" t="s">
        <v>329</v>
      </c>
      <c r="H297" s="269"/>
      <c r="I297" s="269"/>
      <c r="J297" s="251"/>
    </row>
    <row r="298">
      <c r="A298" s="265"/>
      <c r="B298" s="247"/>
      <c r="C298" s="252"/>
      <c r="D298" s="331"/>
      <c r="F298" s="250"/>
      <c r="G298" s="254"/>
      <c r="H298" s="269"/>
      <c r="I298" s="269"/>
      <c r="J298" s="251"/>
    </row>
    <row r="299">
      <c r="A299" s="265"/>
      <c r="B299" s="247"/>
      <c r="C299" s="248"/>
      <c r="D299" s="822"/>
      <c r="F299" s="250"/>
      <c r="G299" s="254"/>
      <c r="H299" s="269"/>
      <c r="I299" s="269"/>
      <c r="J299" s="251"/>
    </row>
    <row r="300">
      <c r="A300" s="265"/>
      <c r="B300" s="268"/>
      <c r="C300" s="252"/>
      <c r="D300" s="331"/>
      <c r="F300" s="250"/>
      <c r="G300" s="254"/>
      <c r="H300" s="269"/>
      <c r="I300" s="269"/>
      <c r="J300" s="251"/>
    </row>
    <row r="301">
      <c r="A301" s="265"/>
      <c r="B301" s="247"/>
      <c r="C301" s="252"/>
      <c r="D301" s="331"/>
      <c r="F301" s="250"/>
      <c r="G301" s="254"/>
      <c r="H301" s="269"/>
      <c r="I301" s="269"/>
      <c r="J301" s="251"/>
    </row>
    <row r="302">
      <c r="A302" s="265"/>
      <c r="B302" s="268"/>
      <c r="C302" s="252"/>
      <c r="D302" s="822"/>
      <c r="F302" s="250"/>
      <c r="G302" s="269"/>
      <c r="H302" s="269"/>
      <c r="I302" s="269"/>
      <c r="J302" s="251"/>
    </row>
    <row r="303">
      <c r="A303" s="265"/>
      <c r="B303" s="268"/>
      <c r="C303" s="252"/>
      <c r="D303" s="822"/>
      <c r="F303" s="250"/>
      <c r="G303" s="269"/>
      <c r="H303" s="269"/>
      <c r="I303" s="269"/>
      <c r="J303" s="251"/>
    </row>
    <row r="304">
      <c r="A304" s="265"/>
      <c r="B304" s="268"/>
      <c r="C304" s="252"/>
      <c r="D304" s="822"/>
      <c r="F304" s="250"/>
      <c r="G304" s="269"/>
      <c r="H304" s="269"/>
      <c r="I304" s="269"/>
      <c r="J304" s="251"/>
    </row>
    <row r="305">
      <c r="A305" s="270"/>
      <c r="B305" s="271"/>
      <c r="C305" s="272"/>
      <c r="D305" s="823"/>
      <c r="E305" s="18"/>
      <c r="F305" s="274"/>
      <c r="G305" s="275"/>
      <c r="H305" s="275"/>
      <c r="I305" s="275"/>
      <c r="J305" s="261"/>
    </row>
    <row r="306">
      <c r="A306" s="262">
        <v>26.0</v>
      </c>
      <c r="B306" s="239">
        <v>9835.2</v>
      </c>
      <c r="C306" s="263"/>
      <c r="D306" s="824"/>
      <c r="E306" s="242"/>
      <c r="F306" s="243"/>
      <c r="G306" s="276" t="s">
        <v>114</v>
      </c>
      <c r="H306" s="276"/>
      <c r="I306" s="276"/>
      <c r="J306" s="307"/>
    </row>
    <row r="307">
      <c r="A307" s="265"/>
      <c r="B307" s="247"/>
      <c r="C307" s="248"/>
      <c r="D307" s="822"/>
      <c r="F307" s="250">
        <v>838.0</v>
      </c>
      <c r="G307" s="254" t="s">
        <v>97</v>
      </c>
      <c r="H307" s="269"/>
      <c r="I307" s="269"/>
      <c r="J307" s="251"/>
    </row>
    <row r="308">
      <c r="A308" s="265"/>
      <c r="B308" s="247"/>
      <c r="C308" s="248">
        <v>28126.63</v>
      </c>
      <c r="D308" s="822"/>
      <c r="F308" s="250"/>
      <c r="G308" s="254" t="s">
        <v>71</v>
      </c>
      <c r="H308" s="269"/>
      <c r="I308" s="269"/>
      <c r="J308" s="251"/>
    </row>
    <row r="309">
      <c r="A309" s="265"/>
      <c r="B309" s="247">
        <v>23773.57</v>
      </c>
      <c r="C309" s="248"/>
      <c r="D309" s="822"/>
      <c r="F309" s="250"/>
      <c r="G309" s="254" t="s">
        <v>74</v>
      </c>
      <c r="H309" s="269"/>
      <c r="I309" s="269"/>
      <c r="J309" s="251"/>
    </row>
    <row r="310">
      <c r="A310" s="265"/>
      <c r="B310" s="247">
        <f>4552.92</f>
        <v>4552.92</v>
      </c>
      <c r="C310" s="252"/>
      <c r="D310" s="822"/>
      <c r="F310" s="250"/>
      <c r="G310" s="254" t="s">
        <v>73</v>
      </c>
      <c r="H310" s="269"/>
      <c r="I310" s="269"/>
      <c r="J310" s="251"/>
    </row>
    <row r="311">
      <c r="A311" s="265"/>
      <c r="B311" s="247"/>
      <c r="C311" s="252"/>
      <c r="D311" s="822"/>
      <c r="F311" s="250">
        <v>400.0</v>
      </c>
      <c r="G311" s="254" t="s">
        <v>85</v>
      </c>
      <c r="H311" s="269"/>
      <c r="I311" s="269"/>
      <c r="J311" s="251"/>
    </row>
    <row r="312">
      <c r="A312" s="265"/>
      <c r="B312" s="247"/>
      <c r="C312" s="248"/>
      <c r="D312" s="822"/>
      <c r="F312" s="250">
        <v>1200.0</v>
      </c>
      <c r="G312" s="254" t="s">
        <v>344</v>
      </c>
      <c r="H312" s="269"/>
      <c r="I312" s="269"/>
      <c r="J312" s="251"/>
    </row>
    <row r="313">
      <c r="A313" s="265"/>
      <c r="B313" s="247"/>
      <c r="C313" s="252"/>
      <c r="D313" s="822"/>
      <c r="F313" s="250"/>
      <c r="G313" s="254" t="s">
        <v>2669</v>
      </c>
      <c r="H313" s="269"/>
      <c r="I313" s="269"/>
      <c r="J313" s="251"/>
    </row>
    <row r="314">
      <c r="A314" s="265"/>
      <c r="B314" s="247"/>
      <c r="C314" s="252"/>
      <c r="D314" s="822"/>
      <c r="F314" s="250">
        <v>244.64</v>
      </c>
      <c r="G314" s="254" t="s">
        <v>329</v>
      </c>
      <c r="H314" s="269"/>
      <c r="I314" s="269"/>
      <c r="J314" s="251"/>
    </row>
    <row r="315">
      <c r="A315" s="265"/>
      <c r="B315" s="268"/>
      <c r="C315" s="252"/>
      <c r="D315" s="822"/>
      <c r="F315" s="250"/>
      <c r="G315" s="269"/>
      <c r="H315" s="269"/>
      <c r="I315" s="269"/>
      <c r="J315" s="251"/>
    </row>
    <row r="316">
      <c r="A316" s="265"/>
      <c r="B316" s="268"/>
      <c r="C316" s="252"/>
      <c r="D316" s="822"/>
      <c r="F316" s="250"/>
      <c r="G316" s="254"/>
      <c r="H316" s="254"/>
      <c r="I316" s="269"/>
      <c r="J316" s="251"/>
    </row>
    <row r="317">
      <c r="A317" s="265"/>
      <c r="B317" s="268"/>
      <c r="C317" s="252"/>
      <c r="D317" s="822"/>
      <c r="F317" s="250"/>
      <c r="G317" s="269"/>
      <c r="H317" s="269"/>
      <c r="I317" s="269"/>
      <c r="J317" s="251"/>
    </row>
    <row r="318">
      <c r="A318" s="265"/>
      <c r="B318" s="268"/>
      <c r="C318" s="252"/>
      <c r="D318" s="822"/>
      <c r="F318" s="250"/>
      <c r="G318" s="269"/>
      <c r="H318" s="269"/>
      <c r="I318" s="269"/>
      <c r="J318" s="251"/>
    </row>
    <row r="319">
      <c r="A319" s="265"/>
      <c r="B319" s="268"/>
      <c r="C319" s="252"/>
      <c r="D319" s="822"/>
      <c r="F319" s="250"/>
      <c r="G319" s="269"/>
      <c r="H319" s="269"/>
      <c r="I319" s="269"/>
      <c r="J319" s="251"/>
    </row>
    <row r="320">
      <c r="A320" s="270"/>
      <c r="B320" s="271"/>
      <c r="C320" s="272"/>
      <c r="D320" s="823"/>
      <c r="E320" s="18"/>
      <c r="F320" s="274"/>
      <c r="G320" s="275"/>
      <c r="H320" s="275"/>
      <c r="I320" s="275"/>
      <c r="J320" s="261"/>
    </row>
    <row r="321">
      <c r="A321" s="262" t="s">
        <v>727</v>
      </c>
      <c r="B321" s="239"/>
      <c r="C321" s="240"/>
      <c r="D321" s="821"/>
      <c r="E321" s="242"/>
      <c r="F321" s="250"/>
      <c r="G321" s="254"/>
      <c r="H321" s="269"/>
      <c r="I321" s="269"/>
      <c r="J321" s="307"/>
    </row>
    <row r="322">
      <c r="A322" s="265"/>
      <c r="B322" s="247"/>
      <c r="C322" s="252"/>
      <c r="D322" s="822"/>
      <c r="F322" s="250"/>
      <c r="G322" s="254"/>
      <c r="H322" s="269"/>
      <c r="I322" s="269"/>
      <c r="J322" s="251"/>
    </row>
    <row r="323">
      <c r="A323" s="265"/>
      <c r="B323" s="247"/>
      <c r="C323" s="248"/>
      <c r="D323" s="331"/>
      <c r="F323" s="250"/>
      <c r="G323" s="254"/>
      <c r="H323" s="269"/>
      <c r="I323" s="269"/>
      <c r="J323" s="251"/>
    </row>
    <row r="324">
      <c r="A324" s="265"/>
      <c r="B324" s="247"/>
      <c r="C324" s="248"/>
      <c r="D324" s="822"/>
      <c r="F324" s="250"/>
      <c r="G324" s="254"/>
      <c r="H324" s="269"/>
      <c r="I324" s="269"/>
      <c r="J324" s="251"/>
    </row>
    <row r="325">
      <c r="A325" s="265"/>
      <c r="B325" s="247"/>
      <c r="C325" s="252"/>
      <c r="D325" s="822"/>
      <c r="F325" s="250"/>
      <c r="G325" s="269"/>
      <c r="H325" s="269"/>
      <c r="I325" s="269"/>
      <c r="J325" s="251"/>
    </row>
    <row r="326">
      <c r="A326" s="265"/>
      <c r="B326" s="247"/>
      <c r="C326" s="252"/>
      <c r="D326" s="822"/>
      <c r="F326" s="250"/>
      <c r="G326" s="269"/>
      <c r="H326" s="269"/>
      <c r="I326" s="269"/>
      <c r="J326" s="251"/>
    </row>
    <row r="327">
      <c r="A327" s="265"/>
      <c r="B327" s="247"/>
      <c r="C327" s="252"/>
      <c r="D327" s="331"/>
      <c r="F327" s="250"/>
      <c r="G327" s="269"/>
      <c r="H327" s="269"/>
      <c r="I327" s="269"/>
      <c r="J327" s="251"/>
    </row>
    <row r="328">
      <c r="A328" s="265"/>
      <c r="B328" s="247"/>
      <c r="C328" s="252"/>
      <c r="D328" s="822"/>
      <c r="F328" s="250"/>
      <c r="G328" s="269"/>
      <c r="H328" s="269"/>
      <c r="I328" s="269"/>
      <c r="J328" s="251"/>
    </row>
    <row r="329">
      <c r="A329" s="265"/>
      <c r="B329" s="268"/>
      <c r="C329" s="252"/>
      <c r="D329" s="822"/>
      <c r="F329" s="250"/>
      <c r="G329" s="269"/>
      <c r="H329" s="269"/>
      <c r="I329" s="269"/>
      <c r="J329" s="251"/>
    </row>
    <row r="330">
      <c r="A330" s="265"/>
      <c r="B330" s="268"/>
      <c r="C330" s="252"/>
      <c r="D330" s="822"/>
      <c r="F330" s="250"/>
      <c r="G330" s="269"/>
      <c r="H330" s="269"/>
      <c r="I330" s="269"/>
      <c r="J330" s="251"/>
    </row>
    <row r="331">
      <c r="A331" s="265"/>
      <c r="B331" s="268"/>
      <c r="C331" s="252"/>
      <c r="D331" s="822"/>
      <c r="F331" s="250"/>
      <c r="G331" s="269"/>
      <c r="H331" s="269"/>
      <c r="I331" s="269"/>
      <c r="J331" s="251"/>
    </row>
    <row r="332">
      <c r="A332" s="265"/>
      <c r="B332" s="247"/>
      <c r="C332" s="252"/>
      <c r="D332" s="822"/>
      <c r="F332" s="250"/>
      <c r="G332" s="269"/>
      <c r="H332" s="269"/>
      <c r="I332" s="269"/>
      <c r="J332" s="251"/>
    </row>
    <row r="333">
      <c r="A333" s="265"/>
      <c r="B333" s="268"/>
      <c r="C333" s="252"/>
      <c r="D333" s="822"/>
      <c r="F333" s="250"/>
      <c r="G333" s="269"/>
      <c r="H333" s="269"/>
      <c r="I333" s="269"/>
      <c r="J333" s="251"/>
    </row>
    <row r="334">
      <c r="A334" s="265"/>
      <c r="B334" s="268"/>
      <c r="C334" s="252"/>
      <c r="D334" s="822"/>
      <c r="F334" s="250"/>
      <c r="G334" s="269"/>
      <c r="H334" s="269"/>
      <c r="I334" s="269"/>
      <c r="J334" s="251"/>
    </row>
    <row r="335">
      <c r="A335" s="270"/>
      <c r="B335" s="271"/>
      <c r="C335" s="272"/>
      <c r="D335" s="823"/>
      <c r="E335" s="18"/>
      <c r="F335" s="274"/>
      <c r="G335" s="18"/>
      <c r="H335" s="18"/>
      <c r="I335" s="18"/>
      <c r="J335" s="261"/>
    </row>
    <row r="336">
      <c r="A336" s="262"/>
      <c r="B336" s="239"/>
      <c r="C336" s="263"/>
      <c r="D336" s="824"/>
      <c r="E336" s="242"/>
      <c r="F336" s="243"/>
      <c r="G336" s="244"/>
      <c r="H336" s="244"/>
      <c r="I336" s="244"/>
      <c r="J336" s="307"/>
    </row>
    <row r="337">
      <c r="A337" s="265"/>
      <c r="B337" s="247"/>
      <c r="C337" s="248"/>
      <c r="D337" s="822"/>
      <c r="F337" s="250"/>
      <c r="J337" s="251"/>
    </row>
    <row r="338">
      <c r="A338" s="265"/>
      <c r="B338" s="268"/>
      <c r="C338" s="248"/>
      <c r="D338" s="822"/>
      <c r="F338" s="250"/>
      <c r="J338" s="251"/>
    </row>
    <row r="339">
      <c r="A339" s="265"/>
      <c r="B339" s="268"/>
      <c r="C339" s="252"/>
      <c r="D339" s="822"/>
      <c r="F339" s="250"/>
      <c r="J339" s="251"/>
    </row>
    <row r="340">
      <c r="A340" s="265"/>
      <c r="B340" s="247"/>
      <c r="C340" s="248"/>
      <c r="D340" s="331"/>
      <c r="F340" s="250"/>
      <c r="J340" s="251"/>
    </row>
    <row r="341">
      <c r="A341" s="265"/>
      <c r="B341" s="247"/>
      <c r="C341" s="252"/>
      <c r="D341" s="822"/>
      <c r="F341" s="250"/>
      <c r="J341" s="251"/>
    </row>
    <row r="342">
      <c r="A342" s="265"/>
      <c r="B342" s="247"/>
      <c r="C342" s="252"/>
      <c r="D342" s="822"/>
      <c r="F342" s="250"/>
      <c r="J342" s="251"/>
    </row>
    <row r="343">
      <c r="A343" s="265"/>
      <c r="B343" s="247"/>
      <c r="C343" s="252"/>
      <c r="D343" s="822"/>
      <c r="F343" s="250"/>
      <c r="J343" s="251"/>
    </row>
    <row r="344">
      <c r="A344" s="265"/>
      <c r="B344" s="247"/>
      <c r="C344" s="252"/>
      <c r="D344" s="822"/>
      <c r="F344" s="250"/>
      <c r="J344" s="251"/>
    </row>
    <row r="345">
      <c r="A345" s="265"/>
      <c r="B345" s="247"/>
      <c r="C345" s="252"/>
      <c r="D345" s="822"/>
      <c r="F345" s="250"/>
      <c r="J345" s="251"/>
    </row>
    <row r="346">
      <c r="A346" s="265"/>
      <c r="B346" s="247"/>
      <c r="C346" s="252"/>
      <c r="D346" s="822"/>
      <c r="F346" s="250"/>
      <c r="J346" s="251"/>
    </row>
    <row r="347">
      <c r="A347" s="265"/>
      <c r="B347" s="247"/>
      <c r="C347" s="252"/>
      <c r="D347" s="331"/>
      <c r="F347" s="250"/>
      <c r="J347" s="251"/>
    </row>
    <row r="348">
      <c r="A348" s="270"/>
      <c r="B348" s="271"/>
      <c r="C348" s="272"/>
      <c r="D348" s="823"/>
      <c r="E348" s="18"/>
      <c r="F348" s="259"/>
      <c r="G348" s="293"/>
      <c r="H348" s="293"/>
      <c r="I348" s="18"/>
      <c r="J348" s="261"/>
    </row>
    <row r="349">
      <c r="A349" s="262"/>
      <c r="B349" s="306"/>
      <c r="C349" s="240"/>
      <c r="D349" s="824"/>
      <c r="E349" s="242"/>
      <c r="F349" s="243"/>
      <c r="G349" s="244"/>
      <c r="H349" s="244"/>
      <c r="I349" s="244"/>
      <c r="J349" s="307"/>
    </row>
    <row r="350">
      <c r="A350" s="265"/>
      <c r="B350" s="247"/>
      <c r="C350" s="248"/>
      <c r="D350" s="822"/>
      <c r="F350" s="250"/>
      <c r="J350" s="251"/>
    </row>
    <row r="351">
      <c r="A351" s="265"/>
      <c r="B351" s="247"/>
      <c r="C351" s="252"/>
      <c r="D351" s="822"/>
      <c r="F351" s="250"/>
      <c r="J351" s="251"/>
    </row>
    <row r="352">
      <c r="A352" s="265"/>
      <c r="B352" s="247"/>
      <c r="C352" s="248"/>
      <c r="D352" s="331"/>
      <c r="F352" s="250"/>
      <c r="J352" s="251"/>
    </row>
    <row r="353">
      <c r="A353" s="265"/>
      <c r="B353" s="247"/>
      <c r="C353" s="252"/>
      <c r="D353" s="822"/>
      <c r="F353" s="250"/>
      <c r="J353" s="251"/>
    </row>
    <row r="354">
      <c r="A354" s="265"/>
      <c r="B354" s="247"/>
      <c r="C354" s="252"/>
      <c r="D354" s="822"/>
      <c r="F354" s="250"/>
      <c r="J354" s="251"/>
    </row>
    <row r="355">
      <c r="A355" s="265"/>
      <c r="B355" s="247"/>
      <c r="C355" s="252"/>
      <c r="D355" s="822"/>
      <c r="F355" s="250"/>
      <c r="I355" s="318"/>
      <c r="J355" s="251"/>
    </row>
    <row r="356">
      <c r="A356" s="265"/>
      <c r="B356" s="268"/>
      <c r="C356" s="252"/>
      <c r="D356" s="331"/>
      <c r="F356" s="250"/>
      <c r="J356" s="251"/>
    </row>
    <row r="357">
      <c r="A357" s="265"/>
      <c r="B357" s="268"/>
      <c r="C357" s="252"/>
      <c r="D357" s="822"/>
      <c r="F357" s="250"/>
      <c r="J357" s="251"/>
    </row>
    <row r="358">
      <c r="A358" s="265"/>
      <c r="B358" s="268"/>
      <c r="C358" s="252"/>
      <c r="D358" s="822"/>
      <c r="F358" s="250"/>
      <c r="J358" s="251"/>
    </row>
    <row r="359">
      <c r="A359" s="265"/>
      <c r="B359" s="268"/>
      <c r="C359" s="252"/>
      <c r="D359" s="822"/>
      <c r="F359" s="250"/>
      <c r="J359" s="251"/>
    </row>
    <row r="360">
      <c r="A360" s="265"/>
      <c r="B360" s="247"/>
      <c r="C360" s="252"/>
      <c r="D360" s="822"/>
      <c r="F360" s="250"/>
      <c r="J360" s="251"/>
    </row>
    <row r="361">
      <c r="A361" s="265"/>
      <c r="B361" s="268"/>
      <c r="C361" s="252"/>
      <c r="D361" s="822"/>
      <c r="F361" s="250"/>
      <c r="J361" s="251"/>
    </row>
    <row r="362">
      <c r="A362" s="265"/>
      <c r="B362" s="268"/>
      <c r="C362" s="252"/>
      <c r="D362" s="822"/>
      <c r="F362" s="250"/>
      <c r="J362" s="251"/>
    </row>
    <row r="363">
      <c r="A363" s="265"/>
      <c r="B363" s="268"/>
      <c r="C363" s="252"/>
      <c r="D363" s="822"/>
      <c r="F363" s="250"/>
      <c r="J363" s="251"/>
    </row>
    <row r="364">
      <c r="A364" s="265"/>
      <c r="B364" s="268"/>
      <c r="C364" s="252"/>
      <c r="D364" s="822"/>
      <c r="F364" s="250"/>
      <c r="J364" s="251"/>
    </row>
    <row r="365">
      <c r="A365" s="265"/>
      <c r="B365" s="268"/>
      <c r="C365" s="252"/>
      <c r="D365" s="822"/>
      <c r="F365" s="250"/>
      <c r="J365" s="251"/>
    </row>
    <row r="366">
      <c r="A366" s="270"/>
      <c r="B366" s="271"/>
      <c r="C366" s="272"/>
      <c r="D366" s="823"/>
      <c r="E366" s="18"/>
      <c r="F366" s="274"/>
      <c r="G366" s="18"/>
      <c r="H366" s="18"/>
      <c r="I366" s="293"/>
      <c r="J366" s="261"/>
    </row>
    <row r="367">
      <c r="A367" s="262"/>
      <c r="B367" s="306"/>
      <c r="C367" s="240"/>
      <c r="D367" s="824"/>
      <c r="E367" s="242"/>
      <c r="F367" s="243"/>
      <c r="G367" s="244"/>
      <c r="H367" s="244"/>
      <c r="I367" s="244"/>
      <c r="J367" s="307"/>
    </row>
    <row r="368">
      <c r="A368" s="265"/>
      <c r="B368" s="247"/>
      <c r="C368" s="248"/>
      <c r="D368" s="822"/>
      <c r="F368" s="250"/>
      <c r="J368" s="251"/>
    </row>
    <row r="369">
      <c r="A369" s="265"/>
      <c r="B369" s="247"/>
      <c r="C369" s="252"/>
      <c r="D369" s="822"/>
      <c r="F369" s="250"/>
      <c r="J369" s="251"/>
    </row>
    <row r="370">
      <c r="A370" s="265"/>
      <c r="B370" s="247"/>
      <c r="C370" s="248"/>
      <c r="D370" s="331"/>
      <c r="F370" s="250"/>
      <c r="J370" s="251"/>
    </row>
    <row r="371">
      <c r="A371" s="265"/>
      <c r="B371" s="247"/>
      <c r="C371" s="252"/>
      <c r="D371" s="822"/>
      <c r="F371" s="250"/>
      <c r="J371" s="251"/>
    </row>
    <row r="372">
      <c r="A372" s="265"/>
      <c r="B372" s="247"/>
      <c r="C372" s="252"/>
      <c r="D372" s="822"/>
      <c r="F372" s="250"/>
      <c r="J372" s="251"/>
    </row>
    <row r="373">
      <c r="A373" s="265"/>
      <c r="B373" s="247"/>
      <c r="C373" s="252"/>
      <c r="D373" s="822"/>
      <c r="F373" s="250"/>
      <c r="I373" s="318"/>
      <c r="J373" s="251"/>
    </row>
    <row r="374">
      <c r="A374" s="265"/>
      <c r="B374" s="268"/>
      <c r="C374" s="252"/>
      <c r="D374" s="331"/>
      <c r="F374" s="250"/>
      <c r="J374" s="251"/>
    </row>
    <row r="375">
      <c r="A375" s="265"/>
      <c r="B375" s="268"/>
      <c r="C375" s="252"/>
      <c r="D375" s="822"/>
      <c r="F375" s="250"/>
      <c r="J375" s="251"/>
    </row>
    <row r="376">
      <c r="A376" s="265"/>
      <c r="B376" s="268"/>
      <c r="C376" s="252"/>
      <c r="D376" s="822"/>
      <c r="F376" s="250"/>
      <c r="J376" s="251"/>
    </row>
    <row r="377">
      <c r="A377" s="265"/>
      <c r="B377" s="268"/>
      <c r="C377" s="252"/>
      <c r="D377" s="822"/>
      <c r="F377" s="250"/>
      <c r="J377" s="251"/>
    </row>
    <row r="378">
      <c r="A378" s="265"/>
      <c r="B378" s="247"/>
      <c r="C378" s="252"/>
      <c r="D378" s="822"/>
      <c r="F378" s="250"/>
      <c r="J378" s="251"/>
    </row>
    <row r="379">
      <c r="A379" s="265"/>
      <c r="B379" s="268"/>
      <c r="C379" s="252"/>
      <c r="D379" s="822"/>
      <c r="F379" s="250"/>
      <c r="J379" s="251"/>
    </row>
    <row r="380">
      <c r="A380" s="265"/>
      <c r="B380" s="268"/>
      <c r="C380" s="252"/>
      <c r="D380" s="822"/>
      <c r="F380" s="250"/>
      <c r="J380" s="251"/>
    </row>
    <row r="381">
      <c r="A381" s="265"/>
      <c r="B381" s="268"/>
      <c r="C381" s="252"/>
      <c r="D381" s="822"/>
      <c r="F381" s="250"/>
      <c r="J381" s="251"/>
    </row>
    <row r="382">
      <c r="A382" s="265"/>
      <c r="B382" s="268"/>
      <c r="C382" s="252"/>
      <c r="D382" s="822"/>
      <c r="F382" s="250"/>
      <c r="J382" s="251"/>
    </row>
    <row r="383">
      <c r="A383" s="265"/>
      <c r="B383" s="268"/>
      <c r="C383" s="252"/>
      <c r="D383" s="822"/>
      <c r="F383" s="250"/>
      <c r="J383" s="251"/>
    </row>
    <row r="384">
      <c r="A384" s="270"/>
      <c r="B384" s="271"/>
      <c r="C384" s="272"/>
      <c r="D384" s="823"/>
      <c r="E384" s="18"/>
      <c r="F384" s="274"/>
      <c r="G384" s="18"/>
      <c r="H384" s="18"/>
      <c r="I384" s="293" t="s">
        <v>2817</v>
      </c>
      <c r="J384" s="261"/>
    </row>
    <row r="385">
      <c r="A385" s="262" t="s">
        <v>187</v>
      </c>
      <c r="B385" s="239"/>
      <c r="C385" s="240"/>
      <c r="D385" s="821"/>
      <c r="E385" s="242"/>
      <c r="F385" s="243"/>
      <c r="G385" s="2" t="s">
        <v>188</v>
      </c>
      <c r="H385" s="318"/>
      <c r="I385" s="169" t="s">
        <v>2897</v>
      </c>
      <c r="J385" s="307"/>
    </row>
    <row r="386">
      <c r="A386" s="265"/>
      <c r="B386" s="247"/>
      <c r="C386" s="248"/>
      <c r="D386" s="331">
        <v>8505.29</v>
      </c>
      <c r="F386" s="250"/>
      <c r="G386" s="2" t="s">
        <v>2819</v>
      </c>
      <c r="H386" s="318">
        <v>44608.0</v>
      </c>
      <c r="I386" s="169" t="s">
        <v>2897</v>
      </c>
      <c r="J386" s="267"/>
    </row>
    <row r="387">
      <c r="A387" s="265"/>
      <c r="B387" s="247">
        <v>4387.93</v>
      </c>
      <c r="C387" s="248"/>
      <c r="D387" s="331"/>
      <c r="F387" s="250"/>
      <c r="G387" s="2" t="s">
        <v>2284</v>
      </c>
      <c r="H387" s="318">
        <v>44637.0</v>
      </c>
      <c r="I387" s="2" t="s">
        <v>2960</v>
      </c>
      <c r="J387" s="267"/>
    </row>
    <row r="388">
      <c r="A388" s="265"/>
      <c r="B388" s="268"/>
      <c r="C388" s="252"/>
      <c r="D388" s="331">
        <v>48400.0</v>
      </c>
      <c r="F388" s="250"/>
      <c r="G388" s="2" t="s">
        <v>192</v>
      </c>
      <c r="H388" s="318">
        <v>44608.0</v>
      </c>
      <c r="I388" s="318"/>
      <c r="J388" s="251"/>
    </row>
    <row r="389">
      <c r="A389" s="265"/>
      <c r="B389" s="268"/>
      <c r="C389" s="252"/>
      <c r="D389" s="822"/>
      <c r="F389" s="250">
        <v>30000.0</v>
      </c>
      <c r="G389" s="2" t="s">
        <v>193</v>
      </c>
      <c r="H389" s="318">
        <v>44617.0</v>
      </c>
      <c r="J389" s="251"/>
    </row>
    <row r="390">
      <c r="A390" s="265"/>
      <c r="B390" s="247"/>
      <c r="C390" s="252"/>
      <c r="D390" s="331">
        <v>9384.0</v>
      </c>
      <c r="F390" s="250"/>
      <c r="G390" s="2" t="s">
        <v>194</v>
      </c>
      <c r="H390" s="318">
        <v>44622.0</v>
      </c>
      <c r="I390" s="318"/>
      <c r="J390" s="251"/>
    </row>
    <row r="391">
      <c r="A391" s="265"/>
      <c r="B391" s="268"/>
      <c r="C391" s="252"/>
      <c r="D391" s="331"/>
      <c r="F391" s="250"/>
      <c r="G391" s="2" t="s">
        <v>196</v>
      </c>
      <c r="H391" s="2"/>
      <c r="I391" s="318"/>
      <c r="J391" s="251"/>
    </row>
    <row r="392">
      <c r="A392" s="265"/>
      <c r="B392" s="268"/>
      <c r="C392" s="252"/>
      <c r="D392" s="331">
        <v>4432.81</v>
      </c>
      <c r="F392" s="250"/>
      <c r="G392" s="2" t="s">
        <v>2285</v>
      </c>
      <c r="H392" s="2"/>
      <c r="I392" s="2" t="s">
        <v>2821</v>
      </c>
      <c r="J392" s="251"/>
    </row>
    <row r="393">
      <c r="A393" s="265"/>
      <c r="B393" s="268"/>
      <c r="C393" s="252"/>
      <c r="D393" s="331">
        <v>4064.24</v>
      </c>
      <c r="F393" s="250"/>
      <c r="G393" s="2" t="s">
        <v>199</v>
      </c>
      <c r="H393" s="2"/>
      <c r="I393" s="2" t="s">
        <v>2821</v>
      </c>
      <c r="J393" s="251"/>
    </row>
    <row r="394">
      <c r="A394" s="265"/>
      <c r="B394" s="247"/>
      <c r="C394" s="252"/>
      <c r="D394" s="331">
        <v>8629.42</v>
      </c>
      <c r="F394" s="250"/>
      <c r="G394" s="2" t="s">
        <v>200</v>
      </c>
      <c r="H394" s="2"/>
      <c r="I394" s="2" t="s">
        <v>2821</v>
      </c>
      <c r="J394" s="267"/>
    </row>
    <row r="395">
      <c r="A395" s="270"/>
      <c r="B395" s="271"/>
      <c r="C395" s="272"/>
      <c r="D395" s="837">
        <v>53861.44</v>
      </c>
      <c r="E395" s="18"/>
      <c r="F395" s="274"/>
      <c r="G395" s="293" t="s">
        <v>2961</v>
      </c>
      <c r="H395" s="830">
        <v>44608.0</v>
      </c>
      <c r="I395" s="18"/>
      <c r="J395" s="261"/>
    </row>
    <row r="396">
      <c r="A396" s="262"/>
      <c r="B396" s="239"/>
      <c r="C396" s="240"/>
      <c r="D396" s="821">
        <f>SUM(D386:F395)</f>
        <v>167277.2</v>
      </c>
      <c r="E396" s="242"/>
      <c r="F396" s="243"/>
      <c r="I396" s="318"/>
      <c r="J396" s="307"/>
    </row>
    <row r="397">
      <c r="A397" s="265"/>
      <c r="B397" s="247"/>
      <c r="C397" s="248"/>
      <c r="D397" s="331"/>
      <c r="F397" s="250"/>
      <c r="I397" s="318"/>
      <c r="J397" s="251"/>
    </row>
    <row r="398">
      <c r="A398" s="265"/>
      <c r="B398" s="247"/>
      <c r="C398" s="248"/>
      <c r="D398" s="331"/>
      <c r="F398" s="250"/>
      <c r="I398" s="318"/>
      <c r="J398" s="267"/>
    </row>
    <row r="399">
      <c r="A399" s="265"/>
      <c r="B399" s="247"/>
      <c r="C399" s="248"/>
      <c r="D399" s="331"/>
      <c r="F399" s="250"/>
      <c r="I399" s="318"/>
      <c r="J399" s="267"/>
    </row>
    <row r="400">
      <c r="A400" s="265"/>
      <c r="B400" s="268"/>
      <c r="C400" s="252"/>
      <c r="D400" s="331"/>
      <c r="F400" s="250"/>
      <c r="I400" s="318"/>
      <c r="J400" s="251"/>
    </row>
    <row r="401">
      <c r="A401" s="265"/>
      <c r="B401" s="268"/>
      <c r="C401" s="252"/>
      <c r="D401" s="822"/>
      <c r="F401" s="250"/>
      <c r="J401" s="251"/>
    </row>
    <row r="402">
      <c r="A402" s="265"/>
      <c r="B402" s="247"/>
      <c r="C402" s="252"/>
      <c r="D402" s="331"/>
      <c r="F402" s="250"/>
      <c r="I402" s="318"/>
      <c r="J402" s="251"/>
    </row>
    <row r="403">
      <c r="A403" s="265"/>
      <c r="B403" s="268"/>
      <c r="C403" s="252"/>
      <c r="D403" s="331"/>
      <c r="F403" s="250"/>
      <c r="I403" s="318"/>
      <c r="J403" s="251"/>
    </row>
    <row r="404">
      <c r="A404" s="265"/>
      <c r="B404" s="268"/>
      <c r="C404" s="252"/>
      <c r="D404" s="331"/>
      <c r="F404" s="250"/>
      <c r="J404" s="251"/>
    </row>
    <row r="405">
      <c r="A405" s="265"/>
      <c r="B405" s="268"/>
      <c r="C405" s="252"/>
      <c r="D405" s="331"/>
      <c r="F405" s="250"/>
      <c r="J405" s="251"/>
    </row>
    <row r="406">
      <c r="A406" s="265"/>
      <c r="B406" s="247"/>
      <c r="C406" s="252"/>
      <c r="D406" s="822"/>
      <c r="F406" s="250"/>
      <c r="J406" s="267"/>
    </row>
    <row r="407">
      <c r="A407" s="270"/>
      <c r="B407" s="271"/>
      <c r="C407" s="272"/>
      <c r="D407" s="823"/>
      <c r="E407" s="18"/>
      <c r="F407" s="274"/>
      <c r="G407" s="18"/>
      <c r="H407" s="18"/>
      <c r="I407" s="18"/>
      <c r="J407" s="261"/>
    </row>
    <row r="408">
      <c r="A408" s="303"/>
      <c r="B408" s="268"/>
      <c r="C408" s="252"/>
      <c r="D408" s="331"/>
      <c r="F408" s="250"/>
      <c r="J408" s="251"/>
    </row>
    <row r="409">
      <c r="A409" s="303"/>
      <c r="B409" s="268"/>
      <c r="C409" s="252"/>
      <c r="D409" s="822"/>
      <c r="F409" s="250"/>
      <c r="J409" s="251"/>
    </row>
    <row r="410">
      <c r="A410" s="303"/>
      <c r="B410" s="268"/>
      <c r="C410" s="252"/>
      <c r="D410" s="822"/>
      <c r="F410" s="250"/>
      <c r="J410" s="251"/>
    </row>
    <row r="411">
      <c r="A411" s="303"/>
      <c r="B411" s="268"/>
      <c r="C411" s="252"/>
      <c r="D411" s="822"/>
      <c r="F411" s="250"/>
      <c r="J411" s="251"/>
    </row>
    <row r="412">
      <c r="A412" s="303"/>
      <c r="B412" s="268"/>
      <c r="C412" s="252"/>
      <c r="D412" s="822"/>
      <c r="F412" s="250"/>
      <c r="J412" s="251"/>
    </row>
    <row r="413">
      <c r="A413" s="303"/>
      <c r="B413" s="268"/>
      <c r="C413" s="252"/>
      <c r="D413" s="822"/>
      <c r="F413" s="250"/>
      <c r="J413" s="251"/>
    </row>
    <row r="414">
      <c r="A414" s="304"/>
      <c r="B414" s="271"/>
      <c r="C414" s="272"/>
      <c r="D414" s="823"/>
      <c r="E414" s="18"/>
      <c r="F414" s="274"/>
      <c r="G414" s="18"/>
      <c r="H414" s="18"/>
      <c r="I414" s="18"/>
      <c r="J414" s="261"/>
    </row>
    <row r="415">
      <c r="A415" s="305"/>
      <c r="B415" s="306"/>
      <c r="C415" s="240"/>
      <c r="D415" s="824"/>
      <c r="E415" s="242"/>
      <c r="F415" s="243"/>
      <c r="G415" s="244"/>
      <c r="H415" s="244"/>
      <c r="I415" s="244"/>
      <c r="J415" s="307"/>
    </row>
    <row r="416">
      <c r="A416" s="265"/>
      <c r="B416" s="268"/>
      <c r="C416" s="252"/>
      <c r="D416" s="822"/>
      <c r="F416" s="250"/>
      <c r="I416" s="252"/>
      <c r="J416" s="251"/>
    </row>
    <row r="417">
      <c r="A417" s="265"/>
      <c r="B417" s="268"/>
      <c r="C417" s="252"/>
      <c r="D417" s="822"/>
      <c r="F417" s="250"/>
      <c r="I417" s="252"/>
      <c r="J417" s="251"/>
    </row>
    <row r="418">
      <c r="A418" s="265"/>
      <c r="B418" s="268"/>
      <c r="C418" s="252"/>
      <c r="D418" s="822"/>
      <c r="F418" s="250"/>
      <c r="I418" s="252"/>
      <c r="J418" s="251"/>
    </row>
    <row r="419">
      <c r="A419" s="265"/>
      <c r="B419" s="268"/>
      <c r="C419" s="252"/>
      <c r="D419" s="822"/>
      <c r="F419" s="250"/>
      <c r="I419" s="252"/>
      <c r="J419" s="251"/>
    </row>
    <row r="420">
      <c r="A420" s="265"/>
      <c r="B420" s="268"/>
      <c r="C420" s="252"/>
      <c r="D420" s="822"/>
      <c r="F420" s="250"/>
      <c r="J420" s="251"/>
    </row>
    <row r="421">
      <c r="A421" s="265"/>
      <c r="B421" s="268"/>
      <c r="C421" s="252"/>
      <c r="D421" s="822"/>
      <c r="F421" s="250"/>
      <c r="J421" s="251"/>
    </row>
    <row r="422">
      <c r="A422" s="265"/>
      <c r="B422" s="268"/>
      <c r="C422" s="252"/>
      <c r="D422" s="822"/>
      <c r="F422" s="250"/>
      <c r="J422" s="251"/>
    </row>
    <row r="423">
      <c r="A423" s="265"/>
      <c r="B423" s="268"/>
      <c r="C423" s="252"/>
      <c r="D423" s="822"/>
      <c r="F423" s="250"/>
      <c r="J423" s="251"/>
    </row>
    <row r="424">
      <c r="A424" s="270"/>
      <c r="B424" s="271"/>
      <c r="C424" s="272"/>
      <c r="D424" s="823"/>
      <c r="E424" s="18"/>
      <c r="F424" s="274"/>
      <c r="G424" s="18"/>
      <c r="H424" s="18"/>
      <c r="I424" s="18"/>
      <c r="J424" s="261"/>
    </row>
    <row r="425">
      <c r="A425" s="305"/>
      <c r="B425" s="306"/>
      <c r="C425" s="240"/>
      <c r="D425" s="824"/>
      <c r="E425" s="242"/>
      <c r="F425" s="243"/>
      <c r="G425" s="244"/>
      <c r="H425" s="244"/>
      <c r="I425" s="244"/>
      <c r="J425" s="307"/>
    </row>
    <row r="426">
      <c r="A426" s="265"/>
      <c r="B426" s="268"/>
      <c r="C426" s="252"/>
      <c r="D426" s="822"/>
      <c r="F426" s="250"/>
      <c r="J426" s="251"/>
    </row>
    <row r="427">
      <c r="A427" s="265"/>
      <c r="B427" s="268"/>
      <c r="C427" s="252"/>
      <c r="D427" s="822"/>
      <c r="F427" s="250"/>
      <c r="J427" s="251"/>
    </row>
    <row r="428">
      <c r="A428" s="265"/>
      <c r="B428" s="268"/>
      <c r="C428" s="252"/>
      <c r="D428" s="822"/>
      <c r="F428" s="250"/>
      <c r="J428" s="251"/>
    </row>
    <row r="429">
      <c r="A429" s="265"/>
      <c r="B429" s="268"/>
      <c r="C429" s="252"/>
      <c r="D429" s="822"/>
      <c r="F429" s="250"/>
      <c r="J429" s="251"/>
    </row>
    <row r="430">
      <c r="A430" s="265"/>
      <c r="B430" s="268"/>
      <c r="C430" s="252"/>
      <c r="D430" s="822"/>
      <c r="F430" s="250"/>
      <c r="J430" s="251"/>
    </row>
    <row r="431">
      <c r="A431" s="265"/>
      <c r="B431" s="268"/>
      <c r="C431" s="252"/>
      <c r="D431" s="822"/>
      <c r="F431" s="250"/>
      <c r="J431" s="251"/>
    </row>
    <row r="432">
      <c r="A432" s="265"/>
      <c r="B432" s="268"/>
      <c r="C432" s="252"/>
      <c r="D432" s="822"/>
      <c r="F432" s="250"/>
      <c r="J432" s="251"/>
    </row>
    <row r="433">
      <c r="A433" s="265"/>
      <c r="B433" s="268"/>
      <c r="C433" s="252"/>
      <c r="D433" s="822"/>
      <c r="F433" s="250"/>
      <c r="J433" s="251"/>
    </row>
    <row r="434">
      <c r="A434" s="270"/>
      <c r="B434" s="271"/>
      <c r="C434" s="272"/>
      <c r="D434" s="823"/>
      <c r="E434" s="18"/>
      <c r="F434" s="274"/>
      <c r="G434" s="18"/>
      <c r="H434" s="18"/>
      <c r="I434" s="18"/>
      <c r="J434" s="261"/>
    </row>
    <row r="435">
      <c r="B435" s="306"/>
      <c r="C435" s="240"/>
      <c r="D435" s="824"/>
      <c r="E435" s="242"/>
      <c r="F435" s="243"/>
      <c r="G435" s="244"/>
      <c r="H435" s="244"/>
      <c r="I435" s="244"/>
      <c r="J435" s="307"/>
    </row>
    <row r="436">
      <c r="B436" s="268"/>
      <c r="C436" s="252"/>
      <c r="D436" s="822"/>
      <c r="F436" s="250"/>
      <c r="J436" s="251"/>
    </row>
    <row r="437">
      <c r="B437" s="268"/>
      <c r="C437" s="252"/>
      <c r="D437" s="822"/>
      <c r="F437" s="250"/>
      <c r="J437" s="251"/>
    </row>
    <row r="438">
      <c r="B438" s="308"/>
      <c r="C438" s="252"/>
      <c r="D438" s="822"/>
      <c r="F438" s="309"/>
      <c r="J438" s="302"/>
    </row>
    <row r="439">
      <c r="B439" s="308"/>
      <c r="C439" s="252"/>
      <c r="D439" s="822"/>
      <c r="F439" s="309"/>
      <c r="J439" s="302"/>
    </row>
    <row r="440">
      <c r="B440" s="308"/>
      <c r="C440" s="252"/>
      <c r="D440" s="822"/>
      <c r="F440" s="309"/>
      <c r="J440" s="302"/>
    </row>
    <row r="441">
      <c r="B441" s="308"/>
      <c r="C441" s="252"/>
      <c r="D441" s="822"/>
      <c r="F441" s="309"/>
      <c r="J441" s="302"/>
    </row>
    <row r="442">
      <c r="B442" s="308"/>
      <c r="C442" s="252"/>
      <c r="D442" s="822"/>
      <c r="F442" s="309"/>
      <c r="J442" s="302"/>
    </row>
    <row r="443">
      <c r="B443" s="308"/>
      <c r="C443" s="252"/>
      <c r="D443" s="822"/>
      <c r="F443" s="309"/>
      <c r="J443" s="302"/>
    </row>
    <row r="444">
      <c r="B444" s="308"/>
      <c r="C444" s="252"/>
      <c r="D444" s="822"/>
      <c r="F444" s="309"/>
      <c r="J444" s="302"/>
    </row>
    <row r="445">
      <c r="B445" s="308"/>
      <c r="C445" s="252"/>
      <c r="D445" s="822"/>
      <c r="F445" s="309"/>
      <c r="J445" s="302"/>
    </row>
    <row r="446">
      <c r="B446" s="308"/>
      <c r="C446" s="252"/>
      <c r="D446" s="822"/>
      <c r="F446" s="309"/>
      <c r="J446" s="302"/>
    </row>
    <row r="447">
      <c r="B447" s="308"/>
      <c r="C447" s="252"/>
      <c r="D447" s="822"/>
      <c r="F447" s="309"/>
      <c r="J447" s="302"/>
    </row>
    <row r="448">
      <c r="B448" s="308"/>
      <c r="C448" s="252"/>
      <c r="D448" s="822"/>
      <c r="F448" s="309"/>
      <c r="J448" s="302"/>
    </row>
    <row r="449">
      <c r="B449" s="308"/>
      <c r="C449" s="252"/>
      <c r="D449" s="822"/>
      <c r="F449" s="309"/>
      <c r="J449" s="302"/>
    </row>
    <row r="450">
      <c r="B450" s="308"/>
      <c r="C450" s="252"/>
      <c r="D450" s="822"/>
      <c r="F450" s="309"/>
      <c r="J450" s="302"/>
    </row>
    <row r="451">
      <c r="B451" s="308"/>
      <c r="C451" s="252"/>
      <c r="D451" s="822"/>
      <c r="F451" s="309"/>
      <c r="J451" s="302"/>
    </row>
    <row r="452">
      <c r="B452" s="308"/>
      <c r="C452" s="252"/>
      <c r="D452" s="822"/>
      <c r="F452" s="309"/>
      <c r="J452" s="302"/>
    </row>
    <row r="453">
      <c r="B453" s="308"/>
      <c r="C453" s="252"/>
      <c r="D453" s="822"/>
      <c r="F453" s="309"/>
      <c r="J453" s="302"/>
    </row>
    <row r="454">
      <c r="B454" s="308"/>
      <c r="C454" s="252"/>
      <c r="D454" s="822"/>
      <c r="F454" s="309"/>
      <c r="J454" s="302"/>
    </row>
    <row r="455">
      <c r="B455" s="308"/>
      <c r="C455" s="252"/>
      <c r="D455" s="822"/>
      <c r="F455" s="309"/>
      <c r="J455" s="302"/>
    </row>
    <row r="456">
      <c r="B456" s="308"/>
      <c r="C456" s="252"/>
      <c r="D456" s="822"/>
      <c r="F456" s="309"/>
      <c r="J456" s="302"/>
    </row>
    <row r="457">
      <c r="B457" s="308"/>
      <c r="C457" s="252"/>
      <c r="D457" s="822"/>
      <c r="F457" s="309"/>
      <c r="J457" s="302"/>
    </row>
    <row r="458">
      <c r="B458" s="308"/>
      <c r="C458" s="252"/>
      <c r="D458" s="822"/>
      <c r="F458" s="309"/>
      <c r="J458" s="302"/>
    </row>
    <row r="459">
      <c r="B459" s="308"/>
      <c r="C459" s="252"/>
      <c r="D459" s="822"/>
      <c r="F459" s="309"/>
      <c r="J459" s="302"/>
    </row>
    <row r="460">
      <c r="B460" s="308"/>
      <c r="C460" s="252"/>
      <c r="D460" s="822"/>
      <c r="F460" s="309"/>
      <c r="J460" s="302"/>
    </row>
    <row r="461">
      <c r="B461" s="308"/>
      <c r="C461" s="252"/>
      <c r="D461" s="822"/>
      <c r="F461" s="309"/>
      <c r="J461" s="302"/>
    </row>
    <row r="462">
      <c r="B462" s="308"/>
      <c r="C462" s="252"/>
      <c r="D462" s="822"/>
      <c r="F462" s="309"/>
      <c r="J462" s="302"/>
    </row>
    <row r="463">
      <c r="B463" s="308"/>
      <c r="C463" s="252"/>
      <c r="D463" s="822"/>
      <c r="F463" s="309"/>
      <c r="J463" s="302"/>
    </row>
    <row r="464">
      <c r="B464" s="308"/>
      <c r="C464" s="252"/>
      <c r="D464" s="822"/>
      <c r="F464" s="309"/>
      <c r="J464" s="302"/>
    </row>
    <row r="465">
      <c r="B465" s="308"/>
      <c r="C465" s="252"/>
      <c r="D465" s="822"/>
      <c r="F465" s="309"/>
      <c r="J465" s="302"/>
    </row>
    <row r="466">
      <c r="B466" s="308"/>
      <c r="C466" s="252"/>
      <c r="D466" s="822"/>
      <c r="F466" s="309"/>
      <c r="J466" s="302"/>
    </row>
    <row r="467">
      <c r="B467" s="308"/>
      <c r="C467" s="252"/>
      <c r="D467" s="822"/>
      <c r="F467" s="309"/>
      <c r="J467" s="302"/>
    </row>
    <row r="468">
      <c r="B468" s="308"/>
      <c r="C468" s="252"/>
      <c r="D468" s="822"/>
      <c r="F468" s="309"/>
      <c r="J468" s="302"/>
    </row>
    <row r="469">
      <c r="B469" s="308"/>
      <c r="C469" s="252"/>
      <c r="D469" s="822"/>
      <c r="F469" s="309"/>
      <c r="J469" s="302"/>
    </row>
    <row r="470">
      <c r="B470" s="308"/>
      <c r="C470" s="252"/>
      <c r="D470" s="822"/>
      <c r="F470" s="309"/>
      <c r="J470" s="302"/>
    </row>
    <row r="471">
      <c r="B471" s="308"/>
      <c r="C471" s="252"/>
      <c r="D471" s="822"/>
      <c r="F471" s="309"/>
      <c r="J471" s="302"/>
    </row>
    <row r="472">
      <c r="B472" s="308"/>
      <c r="C472" s="252"/>
      <c r="D472" s="822"/>
      <c r="F472" s="309"/>
      <c r="J472" s="302"/>
    </row>
    <row r="473">
      <c r="B473" s="308"/>
      <c r="C473" s="252"/>
      <c r="D473" s="822"/>
      <c r="F473" s="309"/>
      <c r="J473" s="302"/>
    </row>
    <row r="474">
      <c r="B474" s="308"/>
      <c r="C474" s="252"/>
      <c r="D474" s="822"/>
      <c r="F474" s="309"/>
      <c r="J474" s="302"/>
    </row>
    <row r="475">
      <c r="B475" s="308"/>
      <c r="C475" s="252"/>
      <c r="D475" s="822"/>
      <c r="F475" s="309"/>
      <c r="J475" s="302"/>
    </row>
    <row r="476">
      <c r="B476" s="308"/>
      <c r="C476" s="252"/>
      <c r="D476" s="822"/>
      <c r="F476" s="309"/>
      <c r="J476" s="302"/>
    </row>
    <row r="477">
      <c r="B477" s="308"/>
      <c r="C477" s="252"/>
      <c r="D477" s="822"/>
      <c r="F477" s="309"/>
      <c r="J477" s="302"/>
    </row>
    <row r="478">
      <c r="B478" s="308"/>
      <c r="C478" s="252"/>
      <c r="D478" s="822"/>
      <c r="F478" s="309"/>
      <c r="J478" s="302"/>
    </row>
    <row r="479">
      <c r="B479" s="308"/>
      <c r="C479" s="252"/>
      <c r="D479" s="822"/>
      <c r="F479" s="309"/>
      <c r="J479" s="302"/>
    </row>
    <row r="480">
      <c r="B480" s="308"/>
      <c r="C480" s="252"/>
      <c r="D480" s="822"/>
      <c r="F480" s="309"/>
      <c r="J480" s="302"/>
    </row>
    <row r="481">
      <c r="B481" s="308"/>
      <c r="C481" s="252"/>
      <c r="D481" s="822"/>
      <c r="F481" s="309"/>
      <c r="J481" s="302"/>
    </row>
    <row r="482">
      <c r="B482" s="308"/>
      <c r="C482" s="252"/>
      <c r="D482" s="822"/>
      <c r="F482" s="309"/>
      <c r="J482" s="302"/>
    </row>
    <row r="483">
      <c r="B483" s="308"/>
      <c r="C483" s="252"/>
      <c r="D483" s="822"/>
      <c r="F483" s="309"/>
      <c r="J483" s="302"/>
    </row>
    <row r="484">
      <c r="B484" s="308"/>
      <c r="C484" s="252"/>
      <c r="D484" s="822"/>
      <c r="F484" s="309"/>
      <c r="J484" s="302"/>
    </row>
    <row r="485">
      <c r="B485" s="308"/>
      <c r="C485" s="252"/>
      <c r="D485" s="822"/>
      <c r="F485" s="309"/>
      <c r="J485" s="302"/>
    </row>
    <row r="486">
      <c r="B486" s="308"/>
      <c r="C486" s="252"/>
      <c r="D486" s="822"/>
      <c r="F486" s="309"/>
      <c r="J486" s="302"/>
    </row>
    <row r="487">
      <c r="B487" s="308"/>
      <c r="C487" s="252"/>
      <c r="D487" s="822"/>
      <c r="F487" s="309"/>
      <c r="J487" s="302"/>
    </row>
    <row r="488">
      <c r="B488" s="308"/>
      <c r="C488" s="252"/>
      <c r="D488" s="822"/>
      <c r="F488" s="309"/>
      <c r="J488" s="302"/>
    </row>
    <row r="489">
      <c r="B489" s="308"/>
      <c r="C489" s="252"/>
      <c r="D489" s="822"/>
      <c r="F489" s="309"/>
      <c r="J489" s="302"/>
    </row>
    <row r="490">
      <c r="B490" s="308"/>
      <c r="C490" s="252"/>
      <c r="D490" s="822"/>
      <c r="F490" s="309"/>
      <c r="J490" s="302"/>
    </row>
    <row r="491">
      <c r="B491" s="308"/>
      <c r="C491" s="252"/>
      <c r="D491" s="822"/>
      <c r="F491" s="309"/>
      <c r="J491" s="302"/>
    </row>
    <row r="492">
      <c r="B492" s="308"/>
      <c r="C492" s="252"/>
      <c r="D492" s="822"/>
      <c r="F492" s="309"/>
      <c r="J492" s="302"/>
    </row>
    <row r="493">
      <c r="B493" s="308"/>
      <c r="C493" s="252"/>
      <c r="D493" s="822"/>
      <c r="F493" s="309"/>
      <c r="J493" s="302"/>
    </row>
    <row r="494">
      <c r="B494" s="308"/>
      <c r="C494" s="252"/>
      <c r="D494" s="822"/>
      <c r="F494" s="309"/>
      <c r="J494" s="302"/>
    </row>
    <row r="495">
      <c r="B495" s="308"/>
      <c r="C495" s="252"/>
      <c r="D495" s="822"/>
      <c r="F495" s="309"/>
      <c r="J495" s="302"/>
    </row>
    <row r="496">
      <c r="B496" s="308"/>
      <c r="C496" s="252"/>
      <c r="D496" s="822"/>
      <c r="F496" s="309"/>
      <c r="J496" s="302"/>
    </row>
    <row r="497">
      <c r="B497" s="308"/>
      <c r="C497" s="252"/>
      <c r="D497" s="822"/>
      <c r="F497" s="309"/>
      <c r="J497" s="302"/>
    </row>
    <row r="498">
      <c r="B498" s="308"/>
      <c r="C498" s="252"/>
      <c r="D498" s="822"/>
      <c r="F498" s="309"/>
      <c r="J498" s="302"/>
    </row>
    <row r="499">
      <c r="B499" s="308"/>
      <c r="C499" s="252"/>
      <c r="D499" s="822"/>
      <c r="F499" s="309"/>
      <c r="J499" s="302"/>
    </row>
    <row r="500">
      <c r="B500" s="308"/>
      <c r="C500" s="252"/>
      <c r="D500" s="822"/>
      <c r="F500" s="309"/>
      <c r="J500" s="302"/>
    </row>
    <row r="501">
      <c r="B501" s="308"/>
      <c r="C501" s="252"/>
      <c r="D501" s="822"/>
      <c r="F501" s="309"/>
      <c r="J501" s="302"/>
    </row>
    <row r="502">
      <c r="B502" s="308"/>
      <c r="C502" s="252"/>
      <c r="D502" s="822"/>
      <c r="F502" s="309"/>
      <c r="J502" s="302"/>
    </row>
    <row r="503">
      <c r="B503" s="308"/>
      <c r="C503" s="252"/>
      <c r="D503" s="822"/>
      <c r="F503" s="309"/>
      <c r="J503" s="302"/>
    </row>
    <row r="504">
      <c r="B504" s="308"/>
      <c r="C504" s="252"/>
      <c r="D504" s="822"/>
      <c r="F504" s="309"/>
      <c r="J504" s="302"/>
    </row>
    <row r="505">
      <c r="B505" s="308"/>
      <c r="C505" s="252"/>
      <c r="D505" s="822"/>
      <c r="F505" s="309"/>
      <c r="J505" s="302"/>
    </row>
    <row r="506">
      <c r="B506" s="308"/>
      <c r="C506" s="252"/>
      <c r="D506" s="822"/>
      <c r="F506" s="309"/>
      <c r="J506" s="302"/>
    </row>
    <row r="507">
      <c r="B507" s="308"/>
      <c r="C507" s="252"/>
      <c r="D507" s="822"/>
      <c r="F507" s="309"/>
      <c r="J507" s="302"/>
    </row>
    <row r="508">
      <c r="B508" s="308"/>
      <c r="C508" s="252"/>
      <c r="D508" s="822"/>
      <c r="F508" s="309"/>
      <c r="J508" s="302"/>
    </row>
    <row r="509">
      <c r="B509" s="308"/>
      <c r="C509" s="252"/>
      <c r="D509" s="822"/>
      <c r="F509" s="309"/>
      <c r="J509" s="302"/>
    </row>
    <row r="510">
      <c r="B510" s="308"/>
      <c r="C510" s="252"/>
      <c r="D510" s="822"/>
      <c r="F510" s="309"/>
      <c r="J510" s="302"/>
    </row>
    <row r="511">
      <c r="B511" s="308"/>
      <c r="C511" s="252"/>
      <c r="D511" s="822"/>
      <c r="F511" s="309"/>
      <c r="J511" s="302"/>
    </row>
    <row r="512">
      <c r="B512" s="308"/>
      <c r="C512" s="252"/>
      <c r="D512" s="822"/>
      <c r="F512" s="309"/>
      <c r="J512" s="302"/>
    </row>
    <row r="513">
      <c r="B513" s="308"/>
      <c r="C513" s="252"/>
      <c r="D513" s="822"/>
      <c r="F513" s="309"/>
      <c r="J513" s="302"/>
    </row>
    <row r="514">
      <c r="B514" s="308"/>
      <c r="C514" s="252"/>
      <c r="D514" s="822"/>
      <c r="F514" s="309"/>
      <c r="J514" s="302"/>
    </row>
    <row r="515">
      <c r="B515" s="308"/>
      <c r="C515" s="252"/>
      <c r="D515" s="822"/>
      <c r="F515" s="309"/>
      <c r="J515" s="302"/>
    </row>
    <row r="516">
      <c r="B516" s="308"/>
      <c r="C516" s="252"/>
      <c r="D516" s="822"/>
      <c r="F516" s="309"/>
      <c r="J516" s="302"/>
    </row>
    <row r="517">
      <c r="B517" s="308"/>
      <c r="C517" s="252"/>
      <c r="D517" s="822"/>
      <c r="F517" s="309"/>
      <c r="J517" s="302"/>
    </row>
    <row r="518">
      <c r="B518" s="308"/>
      <c r="C518" s="252"/>
      <c r="D518" s="822"/>
      <c r="F518" s="309"/>
      <c r="J518" s="302"/>
    </row>
    <row r="519">
      <c r="B519" s="308"/>
      <c r="C519" s="252"/>
      <c r="D519" s="822"/>
      <c r="F519" s="309"/>
      <c r="J519" s="302"/>
    </row>
    <row r="520">
      <c r="B520" s="308"/>
      <c r="C520" s="252"/>
      <c r="D520" s="822"/>
      <c r="F520" s="309"/>
      <c r="J520" s="302"/>
    </row>
    <row r="521">
      <c r="B521" s="308"/>
      <c r="C521" s="252"/>
      <c r="D521" s="822"/>
      <c r="F521" s="309"/>
      <c r="J521" s="302"/>
    </row>
    <row r="522">
      <c r="B522" s="308"/>
      <c r="C522" s="252"/>
      <c r="D522" s="822"/>
      <c r="F522" s="309"/>
      <c r="J522" s="302"/>
    </row>
    <row r="523">
      <c r="B523" s="308"/>
      <c r="C523" s="252"/>
      <c r="D523" s="822"/>
      <c r="F523" s="309"/>
      <c r="J523" s="302"/>
    </row>
    <row r="524">
      <c r="B524" s="308"/>
      <c r="C524" s="252"/>
      <c r="D524" s="822"/>
      <c r="F524" s="309"/>
      <c r="J524" s="302"/>
    </row>
    <row r="525">
      <c r="B525" s="308"/>
      <c r="C525" s="252"/>
      <c r="D525" s="822"/>
      <c r="F525" s="309"/>
      <c r="J525" s="302"/>
    </row>
    <row r="526">
      <c r="B526" s="308"/>
      <c r="C526" s="252"/>
      <c r="D526" s="822"/>
      <c r="F526" s="309"/>
      <c r="J526" s="302"/>
    </row>
    <row r="527">
      <c r="B527" s="308"/>
      <c r="C527" s="252"/>
      <c r="D527" s="822"/>
      <c r="F527" s="309"/>
      <c r="J527" s="302"/>
    </row>
    <row r="528">
      <c r="B528" s="308"/>
      <c r="C528" s="252"/>
      <c r="D528" s="822"/>
      <c r="F528" s="309"/>
      <c r="J528" s="302"/>
    </row>
    <row r="529">
      <c r="B529" s="308"/>
      <c r="C529" s="252"/>
      <c r="D529" s="822"/>
      <c r="F529" s="309"/>
      <c r="J529" s="302"/>
    </row>
    <row r="530">
      <c r="B530" s="308"/>
      <c r="C530" s="252"/>
      <c r="D530" s="822"/>
      <c r="F530" s="309"/>
      <c r="J530" s="302"/>
    </row>
    <row r="531">
      <c r="B531" s="308"/>
      <c r="C531" s="252"/>
      <c r="D531" s="822"/>
      <c r="F531" s="309"/>
      <c r="J531" s="302"/>
    </row>
    <row r="532">
      <c r="B532" s="308"/>
      <c r="C532" s="252"/>
      <c r="D532" s="822"/>
      <c r="F532" s="309"/>
      <c r="J532" s="302"/>
    </row>
    <row r="533">
      <c r="B533" s="308"/>
      <c r="C533" s="252"/>
      <c r="D533" s="822"/>
      <c r="F533" s="309"/>
      <c r="J533" s="302"/>
    </row>
    <row r="534">
      <c r="B534" s="308"/>
      <c r="C534" s="252"/>
      <c r="D534" s="822"/>
      <c r="F534" s="309"/>
      <c r="J534" s="302"/>
    </row>
    <row r="535">
      <c r="B535" s="308"/>
      <c r="C535" s="252"/>
      <c r="D535" s="822"/>
      <c r="F535" s="309"/>
      <c r="J535" s="302"/>
    </row>
    <row r="536">
      <c r="B536" s="308"/>
      <c r="C536" s="252"/>
      <c r="D536" s="822"/>
      <c r="F536" s="309"/>
      <c r="J536" s="302"/>
    </row>
    <row r="537">
      <c r="B537" s="308"/>
      <c r="C537" s="252"/>
      <c r="D537" s="822"/>
      <c r="F537" s="309"/>
      <c r="J537" s="302"/>
    </row>
    <row r="538">
      <c r="B538" s="308"/>
      <c r="C538" s="252"/>
      <c r="D538" s="822"/>
      <c r="F538" s="309"/>
      <c r="J538" s="302"/>
    </row>
    <row r="539">
      <c r="B539" s="308"/>
      <c r="C539" s="252"/>
      <c r="D539" s="822"/>
      <c r="F539" s="309"/>
      <c r="J539" s="302"/>
    </row>
    <row r="540">
      <c r="B540" s="308"/>
      <c r="C540" s="252"/>
      <c r="D540" s="822"/>
      <c r="F540" s="309"/>
      <c r="J540" s="302"/>
    </row>
    <row r="541">
      <c r="B541" s="308"/>
      <c r="C541" s="252"/>
      <c r="D541" s="822"/>
      <c r="F541" s="309"/>
      <c r="J541" s="302"/>
    </row>
    <row r="542">
      <c r="B542" s="308"/>
      <c r="C542" s="252"/>
      <c r="D542" s="822"/>
      <c r="F542" s="309"/>
      <c r="J542" s="302"/>
    </row>
    <row r="543">
      <c r="B543" s="308"/>
      <c r="C543" s="252"/>
      <c r="D543" s="822"/>
      <c r="F543" s="309"/>
      <c r="J543" s="302"/>
    </row>
    <row r="544">
      <c r="B544" s="308"/>
      <c r="C544" s="252"/>
      <c r="D544" s="822"/>
      <c r="F544" s="309"/>
      <c r="J544" s="302"/>
    </row>
    <row r="545">
      <c r="B545" s="308"/>
      <c r="C545" s="252"/>
      <c r="D545" s="822"/>
      <c r="F545" s="309"/>
      <c r="J545" s="302"/>
    </row>
    <row r="546">
      <c r="B546" s="308"/>
      <c r="C546" s="252"/>
      <c r="D546" s="822"/>
      <c r="F546" s="309"/>
      <c r="J546" s="302"/>
    </row>
    <row r="547">
      <c r="B547" s="308"/>
      <c r="C547" s="252"/>
      <c r="D547" s="822"/>
      <c r="F547" s="309"/>
      <c r="J547" s="302"/>
    </row>
    <row r="548">
      <c r="B548" s="308"/>
      <c r="C548" s="252"/>
      <c r="D548" s="822"/>
      <c r="F548" s="309"/>
      <c r="J548" s="302"/>
    </row>
    <row r="549">
      <c r="B549" s="308"/>
      <c r="C549" s="252"/>
      <c r="D549" s="822"/>
      <c r="F549" s="309"/>
      <c r="J549" s="302"/>
    </row>
    <row r="550">
      <c r="B550" s="308"/>
      <c r="C550" s="252"/>
      <c r="D550" s="822"/>
      <c r="F550" s="309"/>
      <c r="J550" s="302"/>
    </row>
    <row r="551">
      <c r="B551" s="308"/>
      <c r="C551" s="252"/>
      <c r="D551" s="822"/>
      <c r="F551" s="309"/>
      <c r="J551" s="302"/>
    </row>
    <row r="552">
      <c r="B552" s="308"/>
      <c r="C552" s="252"/>
      <c r="D552" s="822"/>
      <c r="F552" s="309"/>
      <c r="J552" s="302"/>
    </row>
    <row r="553">
      <c r="B553" s="308"/>
      <c r="C553" s="252"/>
      <c r="D553" s="822"/>
      <c r="F553" s="309"/>
      <c r="J553" s="302"/>
    </row>
    <row r="554">
      <c r="B554" s="308"/>
      <c r="C554" s="252"/>
      <c r="D554" s="822"/>
      <c r="F554" s="309"/>
      <c r="J554" s="302"/>
    </row>
    <row r="555">
      <c r="B555" s="308"/>
      <c r="C555" s="252"/>
      <c r="D555" s="822"/>
      <c r="F555" s="309"/>
      <c r="J555" s="302"/>
    </row>
    <row r="556">
      <c r="B556" s="308"/>
      <c r="C556" s="252"/>
      <c r="D556" s="822"/>
      <c r="F556" s="309"/>
      <c r="J556" s="302"/>
    </row>
    <row r="557">
      <c r="B557" s="308"/>
      <c r="C557" s="252"/>
      <c r="D557" s="822"/>
      <c r="F557" s="309"/>
      <c r="J557" s="302"/>
    </row>
    <row r="558">
      <c r="B558" s="308"/>
      <c r="C558" s="252"/>
      <c r="D558" s="822"/>
      <c r="F558" s="309"/>
      <c r="J558" s="302"/>
    </row>
    <row r="559">
      <c r="B559" s="308"/>
      <c r="C559" s="252"/>
      <c r="D559" s="822"/>
      <c r="F559" s="309"/>
      <c r="J559" s="302"/>
    </row>
    <row r="560">
      <c r="B560" s="308"/>
      <c r="C560" s="252"/>
      <c r="D560" s="822"/>
      <c r="F560" s="309"/>
      <c r="J560" s="302"/>
    </row>
    <row r="561">
      <c r="B561" s="308"/>
      <c r="C561" s="252"/>
      <c r="D561" s="822"/>
      <c r="F561" s="309"/>
      <c r="J561" s="302"/>
    </row>
    <row r="562">
      <c r="B562" s="308"/>
      <c r="C562" s="252"/>
      <c r="D562" s="822"/>
      <c r="F562" s="309"/>
      <c r="J562" s="302"/>
    </row>
    <row r="563">
      <c r="B563" s="308"/>
      <c r="C563" s="252"/>
      <c r="D563" s="822"/>
      <c r="F563" s="309"/>
      <c r="J563" s="302"/>
    </row>
    <row r="564">
      <c r="B564" s="308"/>
      <c r="C564" s="252"/>
      <c r="D564" s="822"/>
      <c r="F564" s="309"/>
      <c r="J564" s="302"/>
    </row>
    <row r="565">
      <c r="B565" s="308"/>
      <c r="C565" s="252"/>
      <c r="D565" s="822"/>
      <c r="F565" s="309"/>
      <c r="J565" s="302"/>
    </row>
    <row r="566">
      <c r="B566" s="308"/>
      <c r="C566" s="252"/>
      <c r="D566" s="822"/>
      <c r="F566" s="309"/>
      <c r="J566" s="302"/>
    </row>
    <row r="567">
      <c r="B567" s="308"/>
      <c r="C567" s="252"/>
      <c r="D567" s="822"/>
      <c r="F567" s="309"/>
      <c r="J567" s="302"/>
    </row>
    <row r="568">
      <c r="B568" s="308"/>
      <c r="C568" s="252"/>
      <c r="D568" s="822"/>
      <c r="F568" s="309"/>
      <c r="J568" s="302"/>
    </row>
    <row r="569">
      <c r="B569" s="308"/>
      <c r="C569" s="252"/>
      <c r="D569" s="822"/>
      <c r="F569" s="309"/>
      <c r="J569" s="302"/>
    </row>
    <row r="570">
      <c r="B570" s="308"/>
      <c r="C570" s="252"/>
      <c r="D570" s="822"/>
      <c r="F570" s="309"/>
      <c r="J570" s="302"/>
    </row>
    <row r="571">
      <c r="B571" s="308"/>
      <c r="C571" s="252"/>
      <c r="D571" s="822"/>
      <c r="F571" s="309"/>
      <c r="J571" s="302"/>
    </row>
    <row r="572">
      <c r="B572" s="308"/>
      <c r="C572" s="252"/>
      <c r="D572" s="822"/>
      <c r="F572" s="309"/>
      <c r="J572" s="302"/>
    </row>
    <row r="573">
      <c r="B573" s="308"/>
      <c r="C573" s="252"/>
      <c r="D573" s="822"/>
      <c r="F573" s="309"/>
      <c r="J573" s="302"/>
    </row>
    <row r="574">
      <c r="B574" s="308"/>
      <c r="C574" s="252"/>
      <c r="D574" s="822"/>
      <c r="F574" s="309"/>
      <c r="J574" s="302"/>
    </row>
    <row r="575">
      <c r="B575" s="308"/>
      <c r="C575" s="252"/>
      <c r="D575" s="822"/>
      <c r="F575" s="309"/>
      <c r="J575" s="302"/>
    </row>
    <row r="576">
      <c r="B576" s="308"/>
      <c r="C576" s="252"/>
      <c r="D576" s="822"/>
      <c r="F576" s="309"/>
      <c r="J576" s="302"/>
    </row>
    <row r="577">
      <c r="B577" s="308"/>
      <c r="C577" s="252"/>
      <c r="D577" s="822"/>
      <c r="F577" s="309"/>
      <c r="J577" s="302"/>
    </row>
    <row r="578">
      <c r="B578" s="308"/>
      <c r="C578" s="252"/>
      <c r="D578" s="822"/>
      <c r="F578" s="309"/>
      <c r="J578" s="302"/>
    </row>
    <row r="579">
      <c r="B579" s="308"/>
      <c r="C579" s="252"/>
      <c r="D579" s="822"/>
      <c r="F579" s="309"/>
      <c r="J579" s="302"/>
    </row>
    <row r="580">
      <c r="B580" s="308"/>
      <c r="C580" s="252"/>
      <c r="D580" s="822"/>
      <c r="F580" s="309"/>
      <c r="J580" s="302"/>
    </row>
    <row r="581">
      <c r="B581" s="308"/>
      <c r="C581" s="252"/>
      <c r="D581" s="822"/>
      <c r="F581" s="309"/>
      <c r="J581" s="302"/>
    </row>
    <row r="582">
      <c r="B582" s="308"/>
      <c r="C582" s="252"/>
      <c r="D582" s="822"/>
      <c r="F582" s="309"/>
      <c r="J582" s="302"/>
    </row>
    <row r="583">
      <c r="B583" s="308"/>
      <c r="C583" s="252"/>
      <c r="D583" s="822"/>
      <c r="F583" s="309"/>
      <c r="J583" s="302"/>
    </row>
    <row r="584">
      <c r="B584" s="308"/>
      <c r="C584" s="252"/>
      <c r="D584" s="822"/>
      <c r="F584" s="309"/>
      <c r="J584" s="302"/>
    </row>
    <row r="585">
      <c r="B585" s="308"/>
      <c r="C585" s="252"/>
      <c r="D585" s="822"/>
      <c r="F585" s="309"/>
      <c r="J585" s="302"/>
    </row>
    <row r="586">
      <c r="B586" s="308"/>
      <c r="C586" s="252"/>
      <c r="D586" s="822"/>
      <c r="F586" s="309"/>
      <c r="J586" s="302"/>
    </row>
    <row r="587">
      <c r="B587" s="308"/>
      <c r="C587" s="252"/>
      <c r="D587" s="822"/>
      <c r="F587" s="309"/>
      <c r="J587" s="302"/>
    </row>
    <row r="588">
      <c r="B588" s="308"/>
      <c r="C588" s="252"/>
      <c r="D588" s="822"/>
      <c r="F588" s="309"/>
      <c r="J588" s="302"/>
    </row>
    <row r="589">
      <c r="B589" s="308"/>
      <c r="C589" s="252"/>
      <c r="D589" s="822"/>
      <c r="F589" s="309"/>
      <c r="J589" s="302"/>
    </row>
    <row r="590">
      <c r="B590" s="308"/>
      <c r="C590" s="252"/>
      <c r="D590" s="822"/>
      <c r="F590" s="309"/>
      <c r="J590" s="302"/>
    </row>
    <row r="591">
      <c r="B591" s="308"/>
      <c r="C591" s="252"/>
      <c r="D591" s="822"/>
      <c r="F591" s="309"/>
      <c r="J591" s="302"/>
    </row>
    <row r="592">
      <c r="B592" s="308"/>
      <c r="C592" s="252"/>
      <c r="D592" s="822"/>
      <c r="F592" s="309"/>
      <c r="J592" s="302"/>
    </row>
    <row r="593">
      <c r="B593" s="308"/>
      <c r="C593" s="252"/>
      <c r="D593" s="822"/>
      <c r="F593" s="309"/>
      <c r="J593" s="302"/>
    </row>
    <row r="594">
      <c r="B594" s="308"/>
      <c r="C594" s="252"/>
      <c r="D594" s="822"/>
      <c r="F594" s="309"/>
      <c r="J594" s="302"/>
    </row>
    <row r="595">
      <c r="B595" s="308"/>
      <c r="C595" s="252"/>
      <c r="D595" s="822"/>
      <c r="F595" s="309"/>
      <c r="J595" s="302"/>
    </row>
    <row r="596">
      <c r="B596" s="308"/>
      <c r="C596" s="252"/>
      <c r="D596" s="822"/>
      <c r="F596" s="309"/>
      <c r="J596" s="302"/>
    </row>
    <row r="597">
      <c r="B597" s="308"/>
      <c r="C597" s="252"/>
      <c r="D597" s="822"/>
      <c r="F597" s="309"/>
      <c r="J597" s="302"/>
    </row>
    <row r="598">
      <c r="B598" s="308"/>
      <c r="C598" s="252"/>
      <c r="D598" s="822"/>
      <c r="F598" s="309"/>
      <c r="J598" s="302"/>
    </row>
    <row r="599">
      <c r="B599" s="308"/>
      <c r="C599" s="252"/>
      <c r="D599" s="822"/>
      <c r="F599" s="309"/>
      <c r="J599" s="302"/>
    </row>
    <row r="600">
      <c r="B600" s="308"/>
      <c r="C600" s="252"/>
      <c r="D600" s="822"/>
      <c r="F600" s="309"/>
      <c r="J600" s="302"/>
    </row>
    <row r="601">
      <c r="B601" s="308"/>
      <c r="C601" s="252"/>
      <c r="D601" s="822"/>
      <c r="F601" s="309"/>
      <c r="J601" s="302"/>
    </row>
    <row r="602">
      <c r="B602" s="308"/>
      <c r="C602" s="252"/>
      <c r="D602" s="822"/>
      <c r="F602" s="309"/>
      <c r="J602" s="302"/>
    </row>
    <row r="603">
      <c r="B603" s="308"/>
      <c r="C603" s="252"/>
      <c r="D603" s="822"/>
      <c r="F603" s="309"/>
      <c r="J603" s="302"/>
    </row>
    <row r="604">
      <c r="B604" s="308"/>
      <c r="C604" s="252"/>
      <c r="D604" s="822"/>
      <c r="F604" s="309"/>
      <c r="J604" s="302"/>
    </row>
    <row r="605">
      <c r="B605" s="308"/>
      <c r="C605" s="252"/>
      <c r="D605" s="822"/>
      <c r="F605" s="309"/>
      <c r="J605" s="302"/>
    </row>
    <row r="606">
      <c r="B606" s="308"/>
      <c r="C606" s="252"/>
      <c r="D606" s="822"/>
      <c r="F606" s="309"/>
      <c r="J606" s="302"/>
    </row>
    <row r="607">
      <c r="B607" s="308"/>
      <c r="C607" s="252"/>
      <c r="D607" s="822"/>
      <c r="F607" s="309"/>
      <c r="J607" s="302"/>
    </row>
    <row r="608">
      <c r="B608" s="308"/>
      <c r="C608" s="252"/>
      <c r="D608" s="822"/>
      <c r="F608" s="309"/>
      <c r="J608" s="302"/>
    </row>
    <row r="609">
      <c r="B609" s="308"/>
      <c r="C609" s="252"/>
      <c r="D609" s="822"/>
      <c r="F609" s="309"/>
      <c r="J609" s="302"/>
    </row>
    <row r="610">
      <c r="B610" s="308"/>
      <c r="C610" s="252"/>
      <c r="D610" s="822"/>
      <c r="F610" s="309"/>
      <c r="J610" s="302"/>
    </row>
    <row r="611">
      <c r="B611" s="308"/>
      <c r="C611" s="252"/>
      <c r="D611" s="822"/>
      <c r="F611" s="309"/>
      <c r="J611" s="302"/>
    </row>
    <row r="612">
      <c r="B612" s="308"/>
      <c r="C612" s="252"/>
      <c r="D612" s="822"/>
      <c r="F612" s="309"/>
      <c r="J612" s="302"/>
    </row>
    <row r="613">
      <c r="B613" s="308"/>
      <c r="C613" s="252"/>
      <c r="D613" s="822"/>
      <c r="F613" s="309"/>
      <c r="J613" s="302"/>
    </row>
    <row r="614">
      <c r="B614" s="308"/>
      <c r="C614" s="252"/>
      <c r="D614" s="822"/>
      <c r="F614" s="309"/>
      <c r="J614" s="302"/>
    </row>
    <row r="615">
      <c r="B615" s="308"/>
      <c r="C615" s="252"/>
      <c r="D615" s="822"/>
      <c r="F615" s="309"/>
      <c r="J615" s="302"/>
    </row>
    <row r="616">
      <c r="B616" s="308"/>
      <c r="C616" s="252"/>
      <c r="D616" s="822"/>
      <c r="F616" s="309"/>
      <c r="J616" s="302"/>
    </row>
    <row r="617">
      <c r="B617" s="308"/>
      <c r="C617" s="252"/>
      <c r="D617" s="822"/>
      <c r="F617" s="309"/>
      <c r="J617" s="302"/>
    </row>
    <row r="618">
      <c r="B618" s="308"/>
      <c r="C618" s="252"/>
      <c r="D618" s="822"/>
      <c r="F618" s="309"/>
      <c r="J618" s="302"/>
    </row>
    <row r="619">
      <c r="B619" s="308"/>
      <c r="C619" s="252"/>
      <c r="D619" s="822"/>
      <c r="F619" s="309"/>
      <c r="J619" s="302"/>
    </row>
    <row r="620">
      <c r="B620" s="308"/>
      <c r="C620" s="252"/>
      <c r="D620" s="822"/>
      <c r="F620" s="309"/>
      <c r="J620" s="302"/>
    </row>
    <row r="621">
      <c r="B621" s="308"/>
      <c r="C621" s="252"/>
      <c r="D621" s="822"/>
      <c r="F621" s="309"/>
      <c r="J621" s="302"/>
    </row>
    <row r="622">
      <c r="B622" s="308"/>
      <c r="C622" s="252"/>
      <c r="D622" s="822"/>
      <c r="F622" s="309"/>
      <c r="J622" s="302"/>
    </row>
    <row r="623">
      <c r="B623" s="308"/>
      <c r="C623" s="252"/>
      <c r="D623" s="822"/>
      <c r="F623" s="309"/>
      <c r="J623" s="302"/>
    </row>
    <row r="624">
      <c r="B624" s="308"/>
      <c r="C624" s="252"/>
      <c r="D624" s="822"/>
      <c r="F624" s="309"/>
      <c r="J624" s="302"/>
    </row>
    <row r="625">
      <c r="B625" s="308"/>
      <c r="C625" s="252"/>
      <c r="D625" s="822"/>
      <c r="F625" s="309"/>
      <c r="J625" s="302"/>
    </row>
    <row r="626">
      <c r="B626" s="308"/>
      <c r="C626" s="252"/>
      <c r="D626" s="822"/>
      <c r="F626" s="309"/>
      <c r="J626" s="302"/>
    </row>
    <row r="627">
      <c r="B627" s="308"/>
      <c r="C627" s="252"/>
      <c r="D627" s="822"/>
      <c r="F627" s="309"/>
      <c r="J627" s="302"/>
    </row>
    <row r="628">
      <c r="B628" s="308"/>
      <c r="C628" s="252"/>
      <c r="D628" s="822"/>
      <c r="F628" s="309"/>
      <c r="J628" s="302"/>
    </row>
    <row r="629">
      <c r="B629" s="308"/>
      <c r="C629" s="252"/>
      <c r="D629" s="822"/>
      <c r="F629" s="309"/>
      <c r="J629" s="302"/>
    </row>
    <row r="630">
      <c r="B630" s="308"/>
      <c r="C630" s="252"/>
      <c r="D630" s="822"/>
      <c r="F630" s="309"/>
      <c r="J630" s="302"/>
    </row>
    <row r="631">
      <c r="B631" s="308"/>
      <c r="C631" s="252"/>
      <c r="D631" s="822"/>
      <c r="F631" s="309"/>
      <c r="J631" s="302"/>
    </row>
    <row r="632">
      <c r="B632" s="308"/>
      <c r="C632" s="252"/>
      <c r="D632" s="822"/>
      <c r="F632" s="309"/>
      <c r="J632" s="302"/>
    </row>
    <row r="633">
      <c r="B633" s="308"/>
      <c r="C633" s="252"/>
      <c r="D633" s="822"/>
      <c r="F633" s="309"/>
      <c r="J633" s="302"/>
    </row>
    <row r="634">
      <c r="B634" s="308"/>
      <c r="C634" s="252"/>
      <c r="D634" s="822"/>
      <c r="F634" s="309"/>
      <c r="J634" s="302"/>
    </row>
    <row r="635">
      <c r="B635" s="308"/>
      <c r="C635" s="252"/>
      <c r="D635" s="822"/>
      <c r="F635" s="309"/>
      <c r="J635" s="302"/>
    </row>
    <row r="636">
      <c r="B636" s="308"/>
      <c r="C636" s="252"/>
      <c r="D636" s="822"/>
      <c r="F636" s="309"/>
      <c r="J636" s="302"/>
    </row>
    <row r="637">
      <c r="B637" s="308"/>
      <c r="C637" s="252"/>
      <c r="D637" s="822"/>
      <c r="F637" s="309"/>
      <c r="J637" s="302"/>
    </row>
    <row r="638">
      <c r="B638" s="308"/>
      <c r="C638" s="252"/>
      <c r="D638" s="822"/>
      <c r="F638" s="309"/>
      <c r="J638" s="302"/>
    </row>
    <row r="639">
      <c r="B639" s="308"/>
      <c r="C639" s="252"/>
      <c r="D639" s="822"/>
      <c r="F639" s="309"/>
      <c r="J639" s="302"/>
    </row>
    <row r="640">
      <c r="B640" s="308"/>
      <c r="C640" s="252"/>
      <c r="D640" s="822"/>
      <c r="F640" s="309"/>
      <c r="J640" s="302"/>
    </row>
    <row r="641">
      <c r="B641" s="308"/>
      <c r="C641" s="252"/>
      <c r="D641" s="822"/>
      <c r="F641" s="309"/>
      <c r="J641" s="302"/>
    </row>
    <row r="642">
      <c r="B642" s="308"/>
      <c r="C642" s="252"/>
      <c r="D642" s="822"/>
      <c r="F642" s="309"/>
      <c r="J642" s="302"/>
    </row>
    <row r="643">
      <c r="B643" s="308"/>
      <c r="C643" s="252"/>
      <c r="D643" s="822"/>
      <c r="F643" s="309"/>
      <c r="J643" s="302"/>
    </row>
    <row r="644">
      <c r="B644" s="308"/>
      <c r="C644" s="252"/>
      <c r="D644" s="822"/>
      <c r="F644" s="309"/>
      <c r="J644" s="302"/>
    </row>
    <row r="645">
      <c r="B645" s="308"/>
      <c r="C645" s="252"/>
      <c r="D645" s="822"/>
      <c r="F645" s="309"/>
      <c r="J645" s="302"/>
    </row>
    <row r="646">
      <c r="B646" s="308"/>
      <c r="C646" s="252"/>
      <c r="D646" s="822"/>
      <c r="F646" s="309"/>
      <c r="J646" s="302"/>
    </row>
    <row r="647">
      <c r="B647" s="308"/>
      <c r="C647" s="252"/>
      <c r="D647" s="822"/>
      <c r="F647" s="309"/>
      <c r="J647" s="302"/>
    </row>
    <row r="648">
      <c r="B648" s="308"/>
      <c r="C648" s="252"/>
      <c r="D648" s="822"/>
      <c r="F648" s="309"/>
      <c r="J648" s="302"/>
    </row>
    <row r="649">
      <c r="B649" s="308"/>
      <c r="C649" s="252"/>
      <c r="D649" s="822"/>
      <c r="F649" s="309"/>
      <c r="J649" s="302"/>
    </row>
    <row r="650">
      <c r="B650" s="308"/>
      <c r="C650" s="252"/>
      <c r="D650" s="822"/>
      <c r="F650" s="309"/>
      <c r="J650" s="302"/>
    </row>
    <row r="651">
      <c r="B651" s="308"/>
      <c r="C651" s="252"/>
      <c r="D651" s="822"/>
      <c r="F651" s="309"/>
      <c r="J651" s="302"/>
    </row>
    <row r="652">
      <c r="B652" s="308"/>
      <c r="C652" s="252"/>
      <c r="D652" s="822"/>
      <c r="F652" s="309"/>
      <c r="J652" s="302"/>
    </row>
    <row r="653">
      <c r="B653" s="308"/>
      <c r="C653" s="252"/>
      <c r="D653" s="822"/>
      <c r="F653" s="309"/>
      <c r="J653" s="302"/>
    </row>
    <row r="654">
      <c r="B654" s="308"/>
      <c r="C654" s="252"/>
      <c r="D654" s="822"/>
      <c r="F654" s="309"/>
      <c r="J654" s="302"/>
    </row>
    <row r="655">
      <c r="B655" s="308"/>
      <c r="C655" s="252"/>
      <c r="D655" s="822"/>
      <c r="F655" s="309"/>
      <c r="J655" s="302"/>
    </row>
    <row r="656">
      <c r="B656" s="308"/>
      <c r="C656" s="252"/>
      <c r="D656" s="822"/>
      <c r="F656" s="309"/>
      <c r="J656" s="302"/>
    </row>
    <row r="657">
      <c r="B657" s="308"/>
      <c r="C657" s="252"/>
      <c r="D657" s="822"/>
      <c r="F657" s="309"/>
      <c r="J657" s="302"/>
    </row>
    <row r="658">
      <c r="B658" s="308"/>
      <c r="C658" s="252"/>
      <c r="D658" s="822"/>
      <c r="F658" s="309"/>
      <c r="J658" s="302"/>
    </row>
    <row r="659">
      <c r="B659" s="308"/>
      <c r="C659" s="252"/>
      <c r="D659" s="822"/>
      <c r="F659" s="309"/>
      <c r="J659" s="302"/>
    </row>
    <row r="660">
      <c r="B660" s="308"/>
      <c r="C660" s="252"/>
      <c r="D660" s="822"/>
      <c r="F660" s="309"/>
      <c r="J660" s="302"/>
    </row>
    <row r="661">
      <c r="B661" s="308"/>
      <c r="C661" s="252"/>
      <c r="D661" s="822"/>
      <c r="F661" s="309"/>
      <c r="J661" s="302"/>
    </row>
    <row r="662">
      <c r="B662" s="308"/>
      <c r="C662" s="252"/>
      <c r="D662" s="822"/>
      <c r="F662" s="309"/>
      <c r="J662" s="302"/>
    </row>
    <row r="663">
      <c r="B663" s="308"/>
      <c r="C663" s="252"/>
      <c r="D663" s="822"/>
      <c r="F663" s="309"/>
      <c r="J663" s="302"/>
    </row>
    <row r="664">
      <c r="B664" s="308"/>
      <c r="C664" s="252"/>
      <c r="D664" s="822"/>
      <c r="F664" s="309"/>
      <c r="J664" s="302"/>
    </row>
    <row r="665">
      <c r="B665" s="308"/>
      <c r="C665" s="252"/>
      <c r="D665" s="822"/>
      <c r="F665" s="309"/>
      <c r="J665" s="302"/>
    </row>
    <row r="666">
      <c r="B666" s="308"/>
      <c r="C666" s="252"/>
      <c r="D666" s="822"/>
      <c r="F666" s="309"/>
      <c r="J666" s="302"/>
    </row>
    <row r="667">
      <c r="B667" s="308"/>
      <c r="C667" s="252"/>
      <c r="D667" s="822"/>
      <c r="F667" s="309"/>
      <c r="J667" s="302"/>
    </row>
    <row r="668">
      <c r="B668" s="308"/>
      <c r="C668" s="252"/>
      <c r="D668" s="822"/>
      <c r="F668" s="309"/>
      <c r="J668" s="302"/>
    </row>
    <row r="669">
      <c r="B669" s="308"/>
      <c r="C669" s="252"/>
      <c r="D669" s="822"/>
      <c r="F669" s="309"/>
      <c r="J669" s="302"/>
    </row>
    <row r="670">
      <c r="B670" s="308"/>
      <c r="C670" s="252"/>
      <c r="D670" s="822"/>
      <c r="F670" s="309"/>
      <c r="J670" s="302"/>
    </row>
    <row r="671">
      <c r="B671" s="308"/>
      <c r="C671" s="252"/>
      <c r="D671" s="822"/>
      <c r="F671" s="309"/>
      <c r="J671" s="302"/>
    </row>
    <row r="672">
      <c r="B672" s="308"/>
      <c r="C672" s="252"/>
      <c r="D672" s="822"/>
      <c r="F672" s="309"/>
      <c r="J672" s="302"/>
    </row>
    <row r="673">
      <c r="B673" s="308"/>
      <c r="C673" s="252"/>
      <c r="D673" s="822"/>
      <c r="F673" s="309"/>
      <c r="J673" s="302"/>
    </row>
    <row r="674">
      <c r="B674" s="308"/>
      <c r="C674" s="252"/>
      <c r="D674" s="822"/>
      <c r="F674" s="309"/>
      <c r="J674" s="302"/>
    </row>
    <row r="675">
      <c r="B675" s="308"/>
      <c r="C675" s="252"/>
      <c r="D675" s="822"/>
      <c r="F675" s="309"/>
      <c r="J675" s="302"/>
    </row>
    <row r="676">
      <c r="B676" s="308"/>
      <c r="C676" s="252"/>
      <c r="D676" s="822"/>
      <c r="F676" s="309"/>
      <c r="J676" s="302"/>
    </row>
    <row r="677">
      <c r="B677" s="308"/>
      <c r="C677" s="252"/>
      <c r="D677" s="822"/>
      <c r="F677" s="309"/>
      <c r="J677" s="302"/>
    </row>
    <row r="678">
      <c r="B678" s="308"/>
      <c r="C678" s="252"/>
      <c r="D678" s="822"/>
      <c r="F678" s="309"/>
      <c r="J678" s="302"/>
    </row>
    <row r="679">
      <c r="B679" s="308"/>
      <c r="C679" s="252"/>
      <c r="D679" s="822"/>
      <c r="F679" s="309"/>
      <c r="J679" s="302"/>
    </row>
    <row r="680">
      <c r="B680" s="308"/>
      <c r="C680" s="252"/>
      <c r="D680" s="822"/>
      <c r="F680" s="309"/>
      <c r="J680" s="302"/>
    </row>
    <row r="681">
      <c r="B681" s="308"/>
      <c r="C681" s="252"/>
      <c r="D681" s="822"/>
      <c r="F681" s="309"/>
      <c r="J681" s="302"/>
    </row>
    <row r="682">
      <c r="B682" s="308"/>
      <c r="C682" s="252"/>
      <c r="D682" s="822"/>
      <c r="F682" s="309"/>
      <c r="J682" s="302"/>
    </row>
    <row r="683">
      <c r="B683" s="308"/>
      <c r="C683" s="252"/>
      <c r="D683" s="822"/>
      <c r="F683" s="309"/>
      <c r="J683" s="302"/>
    </row>
    <row r="684">
      <c r="B684" s="308"/>
      <c r="C684" s="252"/>
      <c r="D684" s="822"/>
      <c r="F684" s="309"/>
      <c r="J684" s="302"/>
    </row>
    <row r="685">
      <c r="B685" s="308"/>
      <c r="C685" s="252"/>
      <c r="D685" s="822"/>
      <c r="F685" s="309"/>
      <c r="J685" s="302"/>
    </row>
    <row r="686">
      <c r="B686" s="308"/>
      <c r="C686" s="252"/>
      <c r="D686" s="822"/>
      <c r="F686" s="309"/>
      <c r="J686" s="302"/>
    </row>
    <row r="687">
      <c r="B687" s="308"/>
      <c r="C687" s="252"/>
      <c r="D687" s="822"/>
      <c r="F687" s="309"/>
      <c r="J687" s="302"/>
    </row>
    <row r="688">
      <c r="B688" s="308"/>
      <c r="C688" s="252"/>
      <c r="D688" s="822"/>
      <c r="F688" s="309"/>
      <c r="J688" s="302"/>
    </row>
    <row r="689">
      <c r="B689" s="308"/>
      <c r="C689" s="252"/>
      <c r="D689" s="822"/>
      <c r="F689" s="309"/>
      <c r="J689" s="302"/>
    </row>
    <row r="690">
      <c r="B690" s="308"/>
      <c r="C690" s="252"/>
      <c r="D690" s="822"/>
      <c r="F690" s="309"/>
      <c r="J690" s="302"/>
    </row>
    <row r="691">
      <c r="B691" s="308"/>
      <c r="C691" s="252"/>
      <c r="D691" s="822"/>
      <c r="F691" s="309"/>
      <c r="J691" s="302"/>
    </row>
    <row r="692">
      <c r="B692" s="308"/>
      <c r="C692" s="252"/>
      <c r="D692" s="822"/>
      <c r="F692" s="309"/>
      <c r="J692" s="302"/>
    </row>
    <row r="693">
      <c r="B693" s="308"/>
      <c r="C693" s="252"/>
      <c r="D693" s="822"/>
      <c r="F693" s="309"/>
      <c r="J693" s="302"/>
    </row>
    <row r="694">
      <c r="B694" s="308"/>
      <c r="C694" s="252"/>
      <c r="D694" s="822"/>
      <c r="F694" s="309"/>
      <c r="J694" s="302"/>
    </row>
    <row r="695">
      <c r="B695" s="308"/>
      <c r="C695" s="252"/>
      <c r="D695" s="822"/>
      <c r="F695" s="309"/>
      <c r="J695" s="302"/>
    </row>
    <row r="696">
      <c r="B696" s="308"/>
      <c r="C696" s="252"/>
      <c r="D696" s="822"/>
      <c r="F696" s="309"/>
      <c r="J696" s="302"/>
    </row>
    <row r="697">
      <c r="B697" s="308"/>
      <c r="C697" s="252"/>
      <c r="D697" s="822"/>
      <c r="F697" s="309"/>
      <c r="J697" s="302"/>
    </row>
    <row r="698">
      <c r="B698" s="308"/>
      <c r="C698" s="252"/>
      <c r="D698" s="822"/>
      <c r="F698" s="309"/>
      <c r="J698" s="302"/>
    </row>
    <row r="699">
      <c r="B699" s="308"/>
      <c r="C699" s="252"/>
      <c r="D699" s="822"/>
      <c r="F699" s="309"/>
      <c r="J699" s="302"/>
    </row>
    <row r="700">
      <c r="B700" s="308"/>
      <c r="C700" s="252"/>
      <c r="D700" s="822"/>
      <c r="F700" s="309"/>
      <c r="J700" s="302"/>
    </row>
    <row r="701">
      <c r="B701" s="308"/>
      <c r="C701" s="252"/>
      <c r="D701" s="822"/>
      <c r="F701" s="309"/>
      <c r="J701" s="302"/>
    </row>
    <row r="702">
      <c r="B702" s="308"/>
      <c r="C702" s="252"/>
      <c r="D702" s="822"/>
      <c r="F702" s="309"/>
      <c r="J702" s="302"/>
    </row>
    <row r="703">
      <c r="B703" s="308"/>
      <c r="C703" s="252"/>
      <c r="D703" s="822"/>
      <c r="F703" s="309"/>
      <c r="J703" s="302"/>
    </row>
    <row r="704">
      <c r="B704" s="308"/>
      <c r="C704" s="252"/>
      <c r="D704" s="822"/>
      <c r="F704" s="309"/>
      <c r="J704" s="302"/>
    </row>
    <row r="705">
      <c r="B705" s="308"/>
      <c r="C705" s="252"/>
      <c r="D705" s="822"/>
      <c r="F705" s="309"/>
      <c r="J705" s="302"/>
    </row>
    <row r="706">
      <c r="B706" s="308"/>
      <c r="C706" s="252"/>
      <c r="D706" s="822"/>
      <c r="F706" s="309"/>
      <c r="J706" s="302"/>
    </row>
    <row r="707">
      <c r="B707" s="308"/>
      <c r="C707" s="252"/>
      <c r="D707" s="822"/>
      <c r="F707" s="309"/>
      <c r="J707" s="302"/>
    </row>
    <row r="708">
      <c r="B708" s="308"/>
      <c r="C708" s="252"/>
      <c r="D708" s="822"/>
      <c r="F708" s="309"/>
      <c r="J708" s="302"/>
    </row>
    <row r="709">
      <c r="B709" s="308"/>
      <c r="C709" s="252"/>
      <c r="D709" s="822"/>
      <c r="F709" s="309"/>
      <c r="J709" s="302"/>
    </row>
    <row r="710">
      <c r="B710" s="308"/>
      <c r="C710" s="252"/>
      <c r="D710" s="822"/>
      <c r="F710" s="309"/>
      <c r="J710" s="302"/>
    </row>
    <row r="711">
      <c r="B711" s="308"/>
      <c r="C711" s="252"/>
      <c r="D711" s="822"/>
      <c r="F711" s="309"/>
      <c r="J711" s="302"/>
    </row>
    <row r="712">
      <c r="B712" s="308"/>
      <c r="C712" s="252"/>
      <c r="D712" s="822"/>
      <c r="F712" s="309"/>
      <c r="J712" s="302"/>
    </row>
    <row r="713">
      <c r="B713" s="308"/>
      <c r="C713" s="252"/>
      <c r="D713" s="822"/>
      <c r="F713" s="309"/>
      <c r="J713" s="302"/>
    </row>
    <row r="714">
      <c r="B714" s="308"/>
      <c r="C714" s="252"/>
      <c r="D714" s="822"/>
      <c r="F714" s="309"/>
      <c r="J714" s="302"/>
    </row>
    <row r="715">
      <c r="B715" s="308"/>
      <c r="C715" s="252"/>
      <c r="D715" s="822"/>
      <c r="F715" s="309"/>
      <c r="J715" s="302"/>
    </row>
    <row r="716">
      <c r="B716" s="308"/>
      <c r="C716" s="252"/>
      <c r="D716" s="822"/>
      <c r="F716" s="309"/>
      <c r="J716" s="302"/>
    </row>
    <row r="717">
      <c r="B717" s="308"/>
      <c r="C717" s="252"/>
      <c r="D717" s="822"/>
      <c r="F717" s="309"/>
      <c r="J717" s="302"/>
    </row>
    <row r="718">
      <c r="B718" s="308"/>
      <c r="C718" s="252"/>
      <c r="D718" s="822"/>
      <c r="F718" s="309"/>
      <c r="J718" s="302"/>
    </row>
    <row r="719">
      <c r="B719" s="308"/>
      <c r="C719" s="252"/>
      <c r="D719" s="822"/>
      <c r="F719" s="309"/>
      <c r="J719" s="302"/>
    </row>
    <row r="720">
      <c r="B720" s="308"/>
      <c r="C720" s="252"/>
      <c r="D720" s="822"/>
      <c r="F720" s="309"/>
      <c r="J720" s="302"/>
    </row>
    <row r="721">
      <c r="B721" s="308"/>
      <c r="C721" s="252"/>
      <c r="D721" s="822"/>
      <c r="F721" s="309"/>
      <c r="J721" s="302"/>
    </row>
    <row r="722">
      <c r="B722" s="308"/>
      <c r="C722" s="252"/>
      <c r="D722" s="822"/>
      <c r="F722" s="309"/>
      <c r="J722" s="302"/>
    </row>
    <row r="723">
      <c r="B723" s="308"/>
      <c r="C723" s="252"/>
      <c r="D723" s="822"/>
      <c r="F723" s="309"/>
      <c r="J723" s="302"/>
    </row>
    <row r="724">
      <c r="B724" s="308"/>
      <c r="C724" s="252"/>
      <c r="D724" s="822"/>
      <c r="F724" s="309"/>
      <c r="J724" s="302"/>
    </row>
    <row r="725">
      <c r="B725" s="308"/>
      <c r="C725" s="252"/>
      <c r="D725" s="822"/>
      <c r="F725" s="309"/>
      <c r="J725" s="302"/>
    </row>
    <row r="726">
      <c r="B726" s="308"/>
      <c r="C726" s="252"/>
      <c r="D726" s="822"/>
      <c r="F726" s="309"/>
      <c r="J726" s="302"/>
    </row>
    <row r="727">
      <c r="B727" s="308"/>
      <c r="C727" s="252"/>
      <c r="D727" s="822"/>
      <c r="F727" s="309"/>
      <c r="J727" s="302"/>
    </row>
    <row r="728">
      <c r="B728" s="308"/>
      <c r="C728" s="252"/>
      <c r="D728" s="822"/>
      <c r="F728" s="309"/>
      <c r="J728" s="302"/>
    </row>
    <row r="729">
      <c r="B729" s="308"/>
      <c r="C729" s="252"/>
      <c r="D729" s="822"/>
      <c r="F729" s="309"/>
      <c r="J729" s="302"/>
    </row>
    <row r="730">
      <c r="B730" s="308"/>
      <c r="C730" s="252"/>
      <c r="D730" s="822"/>
      <c r="F730" s="309"/>
      <c r="J730" s="302"/>
    </row>
    <row r="731">
      <c r="B731" s="308"/>
      <c r="C731" s="252"/>
      <c r="D731" s="822"/>
      <c r="F731" s="309"/>
      <c r="J731" s="302"/>
    </row>
    <row r="732">
      <c r="B732" s="308"/>
      <c r="C732" s="252"/>
      <c r="D732" s="822"/>
      <c r="F732" s="309"/>
      <c r="J732" s="302"/>
    </row>
    <row r="733">
      <c r="B733" s="308"/>
      <c r="C733" s="252"/>
      <c r="D733" s="822"/>
      <c r="F733" s="309"/>
      <c r="J733" s="302"/>
    </row>
    <row r="734">
      <c r="B734" s="308"/>
      <c r="C734" s="252"/>
      <c r="D734" s="822"/>
      <c r="F734" s="309"/>
      <c r="J734" s="302"/>
    </row>
    <row r="735">
      <c r="B735" s="308"/>
      <c r="C735" s="252"/>
      <c r="D735" s="822"/>
      <c r="F735" s="309"/>
      <c r="J735" s="302"/>
    </row>
    <row r="736">
      <c r="B736" s="308"/>
      <c r="C736" s="252"/>
      <c r="D736" s="822"/>
      <c r="F736" s="309"/>
      <c r="J736" s="302"/>
    </row>
    <row r="737">
      <c r="B737" s="308"/>
      <c r="C737" s="252"/>
      <c r="D737" s="822"/>
      <c r="F737" s="309"/>
      <c r="J737" s="302"/>
    </row>
    <row r="738">
      <c r="B738" s="308"/>
      <c r="C738" s="252"/>
      <c r="D738" s="822"/>
      <c r="F738" s="309"/>
      <c r="J738" s="302"/>
    </row>
    <row r="739">
      <c r="B739" s="308"/>
      <c r="C739" s="252"/>
      <c r="D739" s="822"/>
      <c r="F739" s="309"/>
      <c r="J739" s="302"/>
    </row>
    <row r="740">
      <c r="B740" s="308"/>
      <c r="C740" s="252"/>
      <c r="D740" s="822"/>
      <c r="F740" s="309"/>
      <c r="J740" s="302"/>
    </row>
    <row r="741">
      <c r="B741" s="308"/>
      <c r="C741" s="252"/>
      <c r="D741" s="822"/>
      <c r="F741" s="309"/>
      <c r="J741" s="302"/>
    </row>
    <row r="742">
      <c r="B742" s="308"/>
      <c r="C742" s="252"/>
      <c r="D742" s="822"/>
      <c r="F742" s="309"/>
      <c r="J742" s="302"/>
    </row>
    <row r="743">
      <c r="B743" s="308"/>
      <c r="C743" s="252"/>
      <c r="D743" s="822"/>
      <c r="F743" s="309"/>
      <c r="J743" s="302"/>
    </row>
  </sheetData>
  <mergeCells count="32">
    <mergeCell ref="G1:I1"/>
    <mergeCell ref="A2:A13"/>
    <mergeCell ref="A14:A26"/>
    <mergeCell ref="A27:A39"/>
    <mergeCell ref="A40:A51"/>
    <mergeCell ref="A54:A63"/>
    <mergeCell ref="A64:A77"/>
    <mergeCell ref="A78:A89"/>
    <mergeCell ref="A90:A105"/>
    <mergeCell ref="A106:A119"/>
    <mergeCell ref="A120:A137"/>
    <mergeCell ref="A138:A152"/>
    <mergeCell ref="A153:A167"/>
    <mergeCell ref="A168:A177"/>
    <mergeCell ref="A178:A192"/>
    <mergeCell ref="A193:A208"/>
    <mergeCell ref="A209:A223"/>
    <mergeCell ref="A224:A235"/>
    <mergeCell ref="A236:A250"/>
    <mergeCell ref="A251:A264"/>
    <mergeCell ref="A265:A278"/>
    <mergeCell ref="A385:A395"/>
    <mergeCell ref="A396:A407"/>
    <mergeCell ref="A415:A424"/>
    <mergeCell ref="A425:A434"/>
    <mergeCell ref="A279:A291"/>
    <mergeCell ref="A292:A305"/>
    <mergeCell ref="A306:A320"/>
    <mergeCell ref="A321:A335"/>
    <mergeCell ref="A336:A348"/>
    <mergeCell ref="A349:A366"/>
    <mergeCell ref="A367:A3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6"/>
      <c r="I1" s="637"/>
      <c r="J1" s="413" t="s">
        <v>2782</v>
      </c>
    </row>
    <row r="2">
      <c r="A2" s="816" t="s">
        <v>365</v>
      </c>
      <c r="B2" s="247">
        <v>3230.72</v>
      </c>
      <c r="C2" s="263"/>
      <c r="D2" s="824"/>
      <c r="E2" s="242"/>
      <c r="F2" s="243"/>
      <c r="G2" s="244" t="s">
        <v>58</v>
      </c>
      <c r="H2" s="244"/>
      <c r="I2" s="244"/>
      <c r="J2" s="307"/>
    </row>
    <row r="3">
      <c r="A3" s="265"/>
      <c r="B3" s="247">
        <v>938.0</v>
      </c>
      <c r="C3" s="248"/>
      <c r="D3" s="331"/>
      <c r="F3" s="250"/>
      <c r="G3" s="2" t="s">
        <v>2962</v>
      </c>
      <c r="J3" s="251"/>
    </row>
    <row r="4">
      <c r="A4" s="265"/>
      <c r="B4" s="247"/>
      <c r="C4" s="252"/>
      <c r="D4" s="331"/>
      <c r="F4" s="250">
        <v>150.0</v>
      </c>
      <c r="G4" s="254" t="s">
        <v>2963</v>
      </c>
      <c r="H4" s="269"/>
      <c r="I4" s="269"/>
      <c r="J4" s="251"/>
    </row>
    <row r="5">
      <c r="A5" s="265"/>
      <c r="B5" s="247"/>
      <c r="C5" s="252"/>
      <c r="D5" s="822"/>
      <c r="F5" s="250">
        <f>184+1070+2035</f>
        <v>3289</v>
      </c>
      <c r="G5" s="254" t="s">
        <v>63</v>
      </c>
      <c r="H5" s="269"/>
      <c r="I5" s="269"/>
      <c r="J5" s="251"/>
    </row>
    <row r="6">
      <c r="A6" s="265"/>
      <c r="B6" s="247">
        <v>5995.0</v>
      </c>
      <c r="C6" s="248"/>
      <c r="D6" s="331"/>
      <c r="F6" s="250"/>
      <c r="G6" s="254" t="s">
        <v>2964</v>
      </c>
      <c r="H6" s="269"/>
      <c r="I6" s="269"/>
      <c r="J6" s="251"/>
    </row>
    <row r="7">
      <c r="A7" s="265"/>
      <c r="B7" s="247"/>
      <c r="C7" s="252"/>
      <c r="D7" s="822"/>
      <c r="F7" s="250"/>
      <c r="G7" s="269"/>
      <c r="H7" s="269"/>
      <c r="I7" s="269"/>
      <c r="J7" s="267" t="s">
        <v>2965</v>
      </c>
    </row>
    <row r="8">
      <c r="A8" s="265"/>
      <c r="B8" s="268"/>
      <c r="C8" s="252"/>
      <c r="D8" s="822"/>
      <c r="F8" s="250"/>
      <c r="G8" s="269"/>
      <c r="H8" s="269"/>
      <c r="I8" s="269"/>
      <c r="J8" s="267" t="s">
        <v>2966</v>
      </c>
    </row>
    <row r="9">
      <c r="A9" s="265"/>
      <c r="B9" s="268"/>
      <c r="C9" s="252"/>
      <c r="D9" s="822"/>
      <c r="F9" s="250"/>
      <c r="G9" s="269"/>
      <c r="H9" s="269"/>
      <c r="I9" s="269"/>
      <c r="J9" s="251"/>
    </row>
    <row r="10">
      <c r="A10" s="265"/>
      <c r="B10" s="268"/>
      <c r="C10" s="252"/>
      <c r="D10" s="822"/>
      <c r="F10" s="250"/>
      <c r="G10" s="269"/>
      <c r="H10" s="269"/>
      <c r="I10" s="269"/>
      <c r="J10" s="251"/>
    </row>
    <row r="11">
      <c r="A11" s="270"/>
      <c r="B11" s="271"/>
      <c r="C11" s="272"/>
      <c r="D11" s="823"/>
      <c r="E11" s="18"/>
      <c r="F11" s="259"/>
      <c r="G11" s="275"/>
      <c r="H11" s="275"/>
      <c r="I11" s="275"/>
      <c r="J11" s="261"/>
    </row>
    <row r="12">
      <c r="A12" s="816" t="s">
        <v>366</v>
      </c>
      <c r="B12" s="247"/>
      <c r="C12" s="263"/>
      <c r="D12" s="821"/>
      <c r="E12" s="242"/>
      <c r="F12" s="243">
        <v>13800.0</v>
      </c>
      <c r="G12" s="276" t="s">
        <v>64</v>
      </c>
      <c r="H12" s="276"/>
      <c r="I12" s="276"/>
      <c r="J12" s="307"/>
    </row>
    <row r="13">
      <c r="A13" s="265"/>
      <c r="B13" s="247"/>
      <c r="C13" s="248">
        <v>31163.04</v>
      </c>
      <c r="D13" s="822"/>
      <c r="F13" s="250"/>
      <c r="G13" s="254" t="s">
        <v>2637</v>
      </c>
      <c r="H13" s="269"/>
      <c r="I13" s="269"/>
      <c r="J13" s="251"/>
    </row>
    <row r="14">
      <c r="A14" s="265"/>
      <c r="B14" s="247"/>
      <c r="C14" s="248"/>
      <c r="D14" s="331"/>
      <c r="F14" s="250">
        <f>1004+210</f>
        <v>1214</v>
      </c>
      <c r="G14" s="254" t="s">
        <v>97</v>
      </c>
      <c r="H14" s="269"/>
      <c r="I14" s="269"/>
      <c r="J14" s="251"/>
    </row>
    <row r="15">
      <c r="A15" s="265"/>
      <c r="B15" s="247">
        <v>1760.0</v>
      </c>
      <c r="C15" s="252"/>
      <c r="D15" s="331"/>
      <c r="F15" s="250"/>
      <c r="G15" s="254" t="s">
        <v>949</v>
      </c>
      <c r="H15" s="269"/>
      <c r="I15" s="269"/>
      <c r="J15" s="251"/>
    </row>
    <row r="16">
      <c r="A16" s="265"/>
      <c r="B16" s="247">
        <v>2709.0</v>
      </c>
      <c r="C16" s="252"/>
      <c r="D16" s="331"/>
      <c r="F16" s="250"/>
      <c r="G16" s="254" t="s">
        <v>2967</v>
      </c>
      <c r="H16" s="269"/>
      <c r="I16" s="269"/>
      <c r="J16" s="251"/>
    </row>
    <row r="17">
      <c r="A17" s="265"/>
      <c r="B17" s="247">
        <v>7300.0</v>
      </c>
      <c r="C17" s="248"/>
      <c r="D17" s="331"/>
      <c r="F17" s="250"/>
      <c r="G17" s="254" t="s">
        <v>79</v>
      </c>
      <c r="H17" s="269"/>
      <c r="I17" s="269"/>
      <c r="J17" s="251"/>
    </row>
    <row r="18">
      <c r="A18" s="265"/>
      <c r="B18" s="247"/>
      <c r="C18" s="252"/>
      <c r="D18" s="822"/>
      <c r="F18" s="250">
        <v>4500.0</v>
      </c>
      <c r="G18" s="254" t="s">
        <v>2968</v>
      </c>
      <c r="H18" s="269"/>
      <c r="I18" s="269"/>
      <c r="J18" s="251"/>
    </row>
    <row r="19">
      <c r="A19" s="265"/>
      <c r="B19" s="247"/>
      <c r="C19" s="252"/>
      <c r="D19" s="331"/>
      <c r="F19" s="250">
        <v>2000.0</v>
      </c>
      <c r="G19" s="254" t="s">
        <v>2969</v>
      </c>
      <c r="H19" s="269"/>
      <c r="I19" s="269"/>
      <c r="J19" s="251"/>
    </row>
    <row r="20">
      <c r="A20" s="265"/>
      <c r="B20" s="247"/>
      <c r="C20" s="252"/>
      <c r="D20" s="822"/>
      <c r="F20" s="250"/>
      <c r="G20" s="254"/>
      <c r="H20" s="254"/>
      <c r="I20" s="269"/>
      <c r="J20" s="251"/>
    </row>
    <row r="21">
      <c r="A21" s="265"/>
      <c r="B21" s="278"/>
      <c r="C21" s="252"/>
      <c r="D21" s="822"/>
      <c r="F21" s="250"/>
      <c r="G21" s="254"/>
      <c r="H21" s="254"/>
      <c r="I21" s="269"/>
      <c r="J21" s="251"/>
    </row>
    <row r="22">
      <c r="A22" s="265"/>
      <c r="B22" s="278"/>
      <c r="C22" s="252"/>
      <c r="D22" s="822"/>
      <c r="F22" s="250"/>
      <c r="G22" s="269"/>
      <c r="H22" s="269"/>
      <c r="I22" s="269"/>
      <c r="J22" s="251"/>
    </row>
    <row r="23">
      <c r="A23" s="265"/>
      <c r="B23" s="278"/>
      <c r="C23" s="252"/>
      <c r="D23" s="822"/>
      <c r="F23" s="250"/>
      <c r="G23" s="269"/>
      <c r="H23" s="269"/>
      <c r="I23" s="269"/>
      <c r="J23" s="251"/>
    </row>
    <row r="24">
      <c r="A24" s="270"/>
      <c r="B24" s="271"/>
      <c r="C24" s="272"/>
      <c r="D24" s="823"/>
      <c r="E24" s="18"/>
      <c r="F24" s="274"/>
      <c r="G24" s="275"/>
      <c r="H24" s="275"/>
      <c r="I24" s="275"/>
      <c r="J24" s="261"/>
    </row>
    <row r="25">
      <c r="A25" s="262" t="s">
        <v>376</v>
      </c>
      <c r="B25" s="239"/>
      <c r="C25" s="263"/>
      <c r="D25" s="824"/>
      <c r="E25" s="242"/>
      <c r="F25" s="250">
        <v>1034.0</v>
      </c>
      <c r="G25" s="276" t="s">
        <v>97</v>
      </c>
      <c r="H25" s="276"/>
      <c r="I25" s="276"/>
      <c r="J25" s="307"/>
    </row>
    <row r="26">
      <c r="A26" s="265"/>
      <c r="B26" s="247">
        <v>3230.7</v>
      </c>
      <c r="C26" s="248"/>
      <c r="D26" s="822"/>
      <c r="F26" s="266"/>
      <c r="G26" s="254" t="s">
        <v>82</v>
      </c>
      <c r="H26" s="269"/>
      <c r="I26" s="269"/>
      <c r="J26" s="251"/>
    </row>
    <row r="27">
      <c r="A27" s="265"/>
      <c r="B27" s="247">
        <v>7450.8</v>
      </c>
      <c r="C27" s="248"/>
      <c r="D27" s="822"/>
      <c r="F27" s="250"/>
      <c r="G27" s="254" t="s">
        <v>114</v>
      </c>
      <c r="H27" s="269"/>
      <c r="I27" s="269"/>
      <c r="J27" s="251"/>
    </row>
    <row r="28">
      <c r="A28" s="265"/>
      <c r="B28" s="247"/>
      <c r="C28" s="252"/>
      <c r="D28" s="822"/>
      <c r="F28" s="250">
        <v>220.0</v>
      </c>
      <c r="G28" s="254" t="s">
        <v>329</v>
      </c>
      <c r="H28" s="269"/>
      <c r="I28" s="269"/>
      <c r="J28" s="251"/>
    </row>
    <row r="29">
      <c r="A29" s="265"/>
      <c r="B29" s="247">
        <v>9770.0</v>
      </c>
      <c r="C29" s="248"/>
      <c r="D29" s="822"/>
      <c r="F29" s="250"/>
      <c r="G29" s="254" t="s">
        <v>75</v>
      </c>
      <c r="H29" s="269"/>
      <c r="I29" s="269"/>
      <c r="J29" s="251"/>
    </row>
    <row r="30">
      <c r="A30" s="265"/>
      <c r="B30" s="247"/>
      <c r="C30" s="252"/>
      <c r="D30" s="822"/>
      <c r="F30" s="250">
        <v>1000.0</v>
      </c>
      <c r="G30" s="254" t="s">
        <v>2776</v>
      </c>
      <c r="H30" s="269"/>
      <c r="I30" s="269"/>
      <c r="J30" s="251"/>
    </row>
    <row r="31">
      <c r="A31" s="265"/>
      <c r="B31" s="247"/>
      <c r="C31" s="252"/>
      <c r="D31" s="822"/>
      <c r="F31" s="250"/>
      <c r="G31" s="269"/>
      <c r="H31" s="269"/>
      <c r="I31" s="269"/>
      <c r="J31" s="251"/>
    </row>
    <row r="32">
      <c r="A32" s="265"/>
      <c r="B32" s="247"/>
      <c r="C32" s="252"/>
      <c r="D32" s="331"/>
      <c r="F32" s="250"/>
      <c r="G32" s="269"/>
      <c r="H32" s="269"/>
      <c r="I32" s="269"/>
      <c r="J32" s="267"/>
    </row>
    <row r="33">
      <c r="A33" s="265"/>
      <c r="B33" s="268"/>
      <c r="C33" s="252"/>
      <c r="D33" s="822"/>
      <c r="F33" s="250"/>
      <c r="G33" s="269"/>
      <c r="H33" s="269"/>
      <c r="I33" s="269"/>
      <c r="J33" s="267"/>
    </row>
    <row r="34">
      <c r="A34" s="265"/>
      <c r="B34" s="247"/>
      <c r="C34" s="252"/>
      <c r="D34" s="822"/>
      <c r="F34" s="250"/>
      <c r="G34" s="269"/>
      <c r="H34" s="269"/>
      <c r="I34" s="269"/>
      <c r="J34" s="251"/>
    </row>
    <row r="35">
      <c r="A35" s="265"/>
      <c r="B35" s="268"/>
      <c r="C35" s="252"/>
      <c r="D35" s="822"/>
      <c r="F35" s="250"/>
      <c r="G35" s="269"/>
      <c r="H35" s="269"/>
      <c r="I35" s="269"/>
      <c r="J35" s="251"/>
    </row>
    <row r="36">
      <c r="A36" s="265"/>
      <c r="B36" s="268"/>
      <c r="C36" s="252"/>
      <c r="D36" s="822"/>
      <c r="F36" s="250"/>
      <c r="G36" s="269"/>
      <c r="H36" s="269"/>
      <c r="I36" s="269"/>
      <c r="J36" s="251"/>
    </row>
    <row r="37">
      <c r="A37" s="270"/>
      <c r="B37" s="271"/>
      <c r="C37" s="272"/>
      <c r="D37" s="823"/>
      <c r="E37" s="18"/>
      <c r="F37" s="274"/>
      <c r="G37" s="275"/>
      <c r="H37" s="275"/>
      <c r="I37" s="275"/>
      <c r="J37" s="261"/>
    </row>
    <row r="38">
      <c r="A38" s="262" t="s">
        <v>378</v>
      </c>
      <c r="B38" s="239"/>
      <c r="C38" s="240"/>
      <c r="D38" s="824"/>
      <c r="E38" s="242"/>
      <c r="F38" s="243">
        <v>943.0</v>
      </c>
      <c r="G38" s="276" t="s">
        <v>97</v>
      </c>
      <c r="H38" s="276"/>
      <c r="I38" s="276"/>
      <c r="J38" s="307"/>
    </row>
    <row r="39">
      <c r="A39" s="265"/>
      <c r="B39" s="247">
        <v>1202.23</v>
      </c>
      <c r="C39" s="252"/>
      <c r="D39" s="822"/>
      <c r="F39" s="250"/>
      <c r="G39" s="254" t="s">
        <v>82</v>
      </c>
      <c r="H39" s="269"/>
      <c r="I39" s="269"/>
      <c r="J39" s="251"/>
    </row>
    <row r="40">
      <c r="A40" s="265"/>
      <c r="B40" s="268"/>
      <c r="C40" s="248"/>
      <c r="D40" s="331"/>
      <c r="F40" s="250"/>
      <c r="G40" s="254"/>
      <c r="H40" s="269"/>
      <c r="I40" s="269"/>
      <c r="J40" s="251"/>
    </row>
    <row r="41">
      <c r="A41" s="265"/>
      <c r="B41" s="247"/>
      <c r="C41" s="252"/>
      <c r="D41" s="822"/>
      <c r="F41" s="250">
        <v>1000.0</v>
      </c>
      <c r="G41" s="254" t="s">
        <v>2776</v>
      </c>
      <c r="H41" s="269"/>
      <c r="I41" s="269"/>
      <c r="J41" s="251"/>
    </row>
    <row r="42">
      <c r="A42" s="265"/>
      <c r="B42" s="247"/>
      <c r="C42" s="252"/>
      <c r="D42" s="331"/>
      <c r="F42" s="250">
        <v>1100.0</v>
      </c>
      <c r="G42" s="254" t="s">
        <v>2970</v>
      </c>
      <c r="H42" s="269"/>
      <c r="I42" s="269"/>
      <c r="J42" s="251"/>
    </row>
    <row r="43">
      <c r="A43" s="265"/>
      <c r="B43" s="247"/>
      <c r="C43" s="252"/>
      <c r="D43" s="822"/>
      <c r="F43" s="250"/>
      <c r="G43" s="269"/>
      <c r="H43" s="269"/>
      <c r="I43" s="269"/>
      <c r="J43" s="267"/>
    </row>
    <row r="44">
      <c r="A44" s="265"/>
      <c r="B44" s="268"/>
      <c r="C44" s="248"/>
      <c r="D44" s="822"/>
      <c r="F44" s="250"/>
      <c r="G44" s="269"/>
      <c r="H44" s="269"/>
      <c r="I44" s="269"/>
      <c r="J44" s="251"/>
    </row>
    <row r="45">
      <c r="A45" s="265"/>
      <c r="B45" s="247"/>
      <c r="C45" s="252"/>
      <c r="D45" s="822"/>
      <c r="F45" s="250"/>
      <c r="G45" s="269"/>
      <c r="H45" s="269"/>
      <c r="I45" s="269"/>
      <c r="J45" s="251"/>
    </row>
    <row r="46">
      <c r="A46" s="265"/>
      <c r="B46" s="268"/>
      <c r="C46" s="248"/>
      <c r="D46" s="822"/>
      <c r="F46" s="250"/>
      <c r="G46" s="269"/>
      <c r="H46" s="269"/>
      <c r="I46" s="269"/>
      <c r="J46" s="251"/>
    </row>
    <row r="47">
      <c r="A47" s="265"/>
      <c r="B47" s="278"/>
      <c r="C47" s="252"/>
      <c r="D47" s="822"/>
      <c r="F47" s="250"/>
      <c r="G47" s="269"/>
      <c r="H47" s="269"/>
      <c r="I47" s="269"/>
      <c r="J47" s="251"/>
    </row>
    <row r="48">
      <c r="A48" s="265"/>
      <c r="B48" s="278"/>
      <c r="C48" s="252"/>
      <c r="D48" s="822"/>
      <c r="F48" s="250"/>
      <c r="G48" s="269"/>
      <c r="H48" s="269"/>
      <c r="I48" s="269"/>
      <c r="J48" s="251"/>
    </row>
    <row r="49">
      <c r="A49" s="270"/>
      <c r="B49" s="271"/>
      <c r="C49" s="272"/>
      <c r="D49" s="823"/>
      <c r="E49" s="18"/>
      <c r="F49" s="259"/>
      <c r="G49" s="260"/>
      <c r="H49" s="260"/>
      <c r="I49" s="275"/>
      <c r="J49" s="261"/>
    </row>
    <row r="50">
      <c r="A50" s="437"/>
      <c r="B50" s="278"/>
      <c r="C50" s="252"/>
      <c r="D50" s="822"/>
      <c r="F50" s="250"/>
      <c r="H50" s="269"/>
      <c r="I50" s="269"/>
      <c r="J50" s="251"/>
    </row>
    <row r="51">
      <c r="A51" s="437"/>
      <c r="B51" s="278"/>
      <c r="C51" s="252"/>
      <c r="D51" s="822"/>
      <c r="F51" s="250"/>
      <c r="G51" s="269"/>
      <c r="H51" s="269"/>
      <c r="I51" s="269"/>
      <c r="J51" s="251"/>
    </row>
    <row r="52">
      <c r="A52" s="262" t="s">
        <v>380</v>
      </c>
      <c r="B52" s="239"/>
      <c r="C52" s="263"/>
      <c r="D52" s="824"/>
      <c r="E52" s="242"/>
      <c r="F52" s="243">
        <v>6400.0</v>
      </c>
      <c r="G52" s="254" t="s">
        <v>128</v>
      </c>
      <c r="H52" s="276"/>
      <c r="I52" s="276"/>
      <c r="J52" s="307"/>
    </row>
    <row r="53">
      <c r="A53" s="265"/>
      <c r="B53" s="247"/>
      <c r="C53" s="252"/>
      <c r="D53" s="822"/>
      <c r="F53" s="250">
        <v>4800.0</v>
      </c>
      <c r="G53" s="254" t="s">
        <v>76</v>
      </c>
      <c r="H53" s="269"/>
      <c r="I53" s="269"/>
      <c r="J53" s="251"/>
    </row>
    <row r="54">
      <c r="A54" s="265"/>
      <c r="B54" s="247"/>
      <c r="C54" s="248"/>
      <c r="D54" s="331"/>
      <c r="F54" s="250">
        <v>13800.0</v>
      </c>
      <c r="G54" s="254" t="s">
        <v>87</v>
      </c>
      <c r="H54" s="269"/>
      <c r="I54" s="269"/>
      <c r="J54" s="251"/>
    </row>
    <row r="55">
      <c r="A55" s="265"/>
      <c r="B55" s="247">
        <v>2435.0</v>
      </c>
      <c r="C55" s="252"/>
      <c r="D55" s="822"/>
      <c r="F55" s="250"/>
      <c r="G55" s="254" t="s">
        <v>2647</v>
      </c>
      <c r="H55" s="269"/>
      <c r="I55" s="269"/>
      <c r="J55" s="251"/>
    </row>
    <row r="56">
      <c r="A56" s="265"/>
      <c r="B56" s="247"/>
      <c r="C56" s="252"/>
      <c r="D56" s="331"/>
      <c r="F56" s="250">
        <v>1000.0</v>
      </c>
      <c r="G56" s="254" t="s">
        <v>2776</v>
      </c>
      <c r="H56" s="269"/>
      <c r="I56" s="269"/>
      <c r="J56" s="267"/>
    </row>
    <row r="57">
      <c r="A57" s="265"/>
      <c r="B57" s="247"/>
      <c r="C57" s="252"/>
      <c r="D57" s="822"/>
      <c r="F57" s="250">
        <v>400.0</v>
      </c>
      <c r="G57" s="254" t="s">
        <v>85</v>
      </c>
      <c r="H57" s="269"/>
      <c r="I57" s="269"/>
      <c r="J57" s="251"/>
    </row>
    <row r="58">
      <c r="A58" s="265"/>
      <c r="B58" s="247"/>
      <c r="C58" s="248"/>
      <c r="D58" s="822"/>
      <c r="F58" s="250"/>
      <c r="G58" s="269"/>
      <c r="H58" s="269"/>
      <c r="I58" s="269"/>
      <c r="J58" s="251"/>
    </row>
    <row r="59">
      <c r="A59" s="265"/>
      <c r="B59" s="268"/>
      <c r="C59" s="252"/>
      <c r="D59" s="822"/>
      <c r="F59" s="250"/>
      <c r="G59" s="269"/>
      <c r="H59" s="269"/>
      <c r="I59" s="269"/>
      <c r="J59" s="251"/>
    </row>
    <row r="60">
      <c r="A60" s="265"/>
      <c r="B60" s="268"/>
      <c r="C60" s="252"/>
      <c r="D60" s="822"/>
      <c r="F60" s="250"/>
      <c r="G60" s="269"/>
      <c r="H60" s="269"/>
      <c r="I60" s="269"/>
      <c r="J60" s="251"/>
    </row>
    <row r="61">
      <c r="A61" s="270"/>
      <c r="B61" s="271"/>
      <c r="C61" s="272"/>
      <c r="D61" s="823"/>
      <c r="E61" s="18"/>
      <c r="F61" s="274"/>
      <c r="G61" s="275"/>
      <c r="H61" s="275"/>
      <c r="I61" s="275"/>
      <c r="J61" s="261"/>
    </row>
    <row r="62">
      <c r="A62" s="262" t="s">
        <v>381</v>
      </c>
      <c r="B62" s="239"/>
      <c r="C62" s="263"/>
      <c r="D62" s="824"/>
      <c r="E62" s="242"/>
      <c r="F62" s="243">
        <v>1920.0</v>
      </c>
      <c r="G62" s="276" t="s">
        <v>97</v>
      </c>
      <c r="H62" s="276"/>
      <c r="I62" s="276"/>
      <c r="J62" s="307"/>
    </row>
    <row r="63">
      <c r="A63" s="265"/>
      <c r="B63" s="247"/>
      <c r="C63" s="252"/>
      <c r="D63" s="822"/>
      <c r="F63" s="250">
        <v>1200.0</v>
      </c>
      <c r="G63" s="254" t="s">
        <v>344</v>
      </c>
      <c r="H63" s="269"/>
      <c r="I63" s="269"/>
      <c r="J63" s="251"/>
    </row>
    <row r="64">
      <c r="A64" s="265"/>
      <c r="B64" s="247"/>
      <c r="C64" s="252"/>
      <c r="D64" s="822"/>
      <c r="F64" s="250">
        <v>169.0</v>
      </c>
      <c r="G64" s="254" t="s">
        <v>303</v>
      </c>
      <c r="H64" s="269"/>
      <c r="I64" s="269"/>
      <c r="J64" s="251"/>
    </row>
    <row r="65">
      <c r="A65" s="265"/>
      <c r="B65" s="247"/>
      <c r="C65" s="252"/>
      <c r="D65" s="331"/>
      <c r="F65" s="250">
        <v>2500.0</v>
      </c>
      <c r="G65" s="254" t="s">
        <v>2933</v>
      </c>
      <c r="H65" s="269"/>
      <c r="I65" s="269"/>
      <c r="J65" s="267"/>
    </row>
    <row r="66">
      <c r="A66" s="265"/>
      <c r="B66" s="247"/>
      <c r="C66" s="248"/>
      <c r="D66" s="822"/>
      <c r="F66" s="250"/>
      <c r="G66" s="269"/>
      <c r="H66" s="269"/>
      <c r="I66" s="269"/>
      <c r="J66" s="251"/>
    </row>
    <row r="67">
      <c r="A67" s="265"/>
      <c r="B67" s="247"/>
      <c r="C67" s="252"/>
      <c r="D67" s="822"/>
      <c r="F67" s="250"/>
      <c r="G67" s="269"/>
      <c r="H67" s="269"/>
      <c r="I67" s="269"/>
      <c r="J67" s="251"/>
    </row>
    <row r="68">
      <c r="A68" s="265"/>
      <c r="B68" s="247"/>
      <c r="C68" s="252"/>
      <c r="D68" s="822"/>
      <c r="F68" s="250"/>
      <c r="G68" s="269"/>
      <c r="H68" s="269"/>
      <c r="I68" s="269"/>
      <c r="J68" s="251"/>
    </row>
    <row r="69">
      <c r="A69" s="265"/>
      <c r="B69" s="247"/>
      <c r="C69" s="252"/>
      <c r="D69" s="822"/>
      <c r="F69" s="250"/>
      <c r="G69" s="269"/>
      <c r="H69" s="269"/>
      <c r="I69" s="269"/>
      <c r="J69" s="251"/>
    </row>
    <row r="70">
      <c r="A70" s="265"/>
      <c r="B70" s="268"/>
      <c r="C70" s="248"/>
      <c r="D70" s="822"/>
      <c r="F70" s="250"/>
      <c r="G70" s="269"/>
      <c r="H70" s="269"/>
      <c r="I70" s="269"/>
      <c r="J70" s="251"/>
    </row>
    <row r="71">
      <c r="A71" s="265"/>
      <c r="B71" s="268"/>
      <c r="C71" s="248"/>
      <c r="D71" s="331"/>
      <c r="F71" s="250"/>
      <c r="G71" s="269"/>
      <c r="H71" s="269"/>
      <c r="I71" s="269"/>
      <c r="J71" s="251"/>
    </row>
    <row r="72">
      <c r="A72" s="265"/>
      <c r="B72" s="268"/>
      <c r="C72" s="248"/>
      <c r="D72" s="331"/>
      <c r="F72" s="250"/>
      <c r="G72" s="269"/>
      <c r="H72" s="269"/>
      <c r="I72" s="269"/>
      <c r="J72" s="251"/>
    </row>
    <row r="73">
      <c r="A73" s="265"/>
      <c r="B73" s="268"/>
      <c r="C73" s="248"/>
      <c r="D73" s="331"/>
      <c r="F73" s="250"/>
      <c r="G73" s="269"/>
      <c r="H73" s="269"/>
      <c r="I73" s="269"/>
      <c r="J73" s="251"/>
    </row>
    <row r="74">
      <c r="A74" s="265"/>
      <c r="B74" s="278"/>
      <c r="C74" s="252"/>
      <c r="D74" s="822"/>
      <c r="F74" s="250"/>
      <c r="G74" s="269"/>
      <c r="H74" s="269"/>
      <c r="I74" s="269"/>
      <c r="J74" s="251"/>
    </row>
    <row r="75">
      <c r="A75" s="270"/>
      <c r="B75" s="271"/>
      <c r="C75" s="272"/>
      <c r="D75" s="823"/>
      <c r="E75" s="18"/>
      <c r="F75" s="274"/>
      <c r="G75" s="275"/>
      <c r="H75" s="275"/>
      <c r="I75" s="275"/>
      <c r="J75" s="261"/>
    </row>
    <row r="76">
      <c r="A76" s="262" t="s">
        <v>382</v>
      </c>
      <c r="B76" s="239"/>
      <c r="C76" s="263"/>
      <c r="D76" s="824"/>
      <c r="E76" s="242"/>
      <c r="F76" s="243">
        <v>9500.0</v>
      </c>
      <c r="G76" s="276" t="s">
        <v>2971</v>
      </c>
      <c r="H76" s="276"/>
      <c r="I76" s="276"/>
      <c r="J76" s="307"/>
    </row>
    <row r="77">
      <c r="A77" s="265"/>
      <c r="B77" s="268"/>
      <c r="C77" s="248"/>
      <c r="D77" s="822"/>
      <c r="F77" s="250">
        <f>333+2090</f>
        <v>2423</v>
      </c>
      <c r="G77" s="254" t="s">
        <v>97</v>
      </c>
      <c r="H77" s="269"/>
      <c r="I77" s="269"/>
      <c r="J77" s="251"/>
    </row>
    <row r="78">
      <c r="A78" s="265"/>
      <c r="B78" s="247">
        <v>3922.0</v>
      </c>
      <c r="C78" s="252"/>
      <c r="D78" s="822"/>
      <c r="F78" s="250"/>
      <c r="G78" s="254" t="s">
        <v>82</v>
      </c>
      <c r="H78" s="269"/>
      <c r="I78" s="828"/>
      <c r="J78" s="267"/>
    </row>
    <row r="79">
      <c r="A79" s="265"/>
      <c r="B79" s="247"/>
      <c r="C79" s="248"/>
      <c r="D79" s="822"/>
      <c r="F79" s="250"/>
      <c r="G79" s="254" t="s">
        <v>71</v>
      </c>
      <c r="H79" s="269"/>
      <c r="I79" s="269"/>
      <c r="J79" s="251"/>
    </row>
    <row r="80">
      <c r="A80" s="265"/>
      <c r="B80" s="247">
        <v>8211.45</v>
      </c>
      <c r="C80" s="248"/>
      <c r="D80" s="822"/>
      <c r="F80" s="250"/>
      <c r="G80" s="254" t="s">
        <v>114</v>
      </c>
      <c r="H80" s="269"/>
      <c r="I80" s="269"/>
      <c r="J80" s="251"/>
    </row>
    <row r="81">
      <c r="A81" s="265"/>
      <c r="B81" s="247"/>
      <c r="C81" s="248"/>
      <c r="D81" s="822"/>
      <c r="F81" s="250">
        <v>1000.0</v>
      </c>
      <c r="G81" s="254" t="s">
        <v>2776</v>
      </c>
      <c r="H81" s="269"/>
      <c r="I81" s="269"/>
      <c r="J81" s="251"/>
    </row>
    <row r="82">
      <c r="A82" s="265"/>
      <c r="B82" s="268"/>
      <c r="C82" s="252"/>
      <c r="D82" s="822"/>
      <c r="F82" s="250">
        <v>12400.0</v>
      </c>
      <c r="G82" s="254" t="s">
        <v>2900</v>
      </c>
      <c r="H82" s="269"/>
      <c r="I82" s="269"/>
      <c r="J82" s="251"/>
    </row>
    <row r="83">
      <c r="A83" s="265"/>
      <c r="B83" s="247"/>
      <c r="C83" s="252"/>
      <c r="D83" s="822"/>
      <c r="F83" s="250">
        <v>17400.0</v>
      </c>
      <c r="G83" s="254" t="s">
        <v>438</v>
      </c>
      <c r="H83" s="269"/>
      <c r="I83" s="269"/>
      <c r="J83" s="251"/>
    </row>
    <row r="84">
      <c r="A84" s="265"/>
      <c r="B84" s="247">
        <v>13500.0</v>
      </c>
      <c r="C84" s="252"/>
      <c r="D84" s="822"/>
      <c r="F84" s="250"/>
      <c r="G84" s="254" t="s">
        <v>2972</v>
      </c>
      <c r="H84" s="269"/>
      <c r="I84" s="269"/>
      <c r="J84" s="251"/>
    </row>
    <row r="85">
      <c r="A85" s="265"/>
      <c r="B85" s="278"/>
      <c r="C85" s="252"/>
      <c r="D85" s="822"/>
      <c r="F85" s="250"/>
      <c r="G85" s="269"/>
      <c r="H85" s="269"/>
      <c r="I85" s="269"/>
      <c r="J85" s="251"/>
    </row>
    <row r="86">
      <c r="A86" s="265"/>
      <c r="B86" s="278"/>
      <c r="C86" s="252"/>
      <c r="D86" s="822"/>
      <c r="F86" s="250"/>
      <c r="G86" s="269"/>
      <c r="H86" s="269"/>
      <c r="I86" s="269"/>
      <c r="J86" s="251"/>
    </row>
    <row r="87">
      <c r="A87" s="270"/>
      <c r="B87" s="271"/>
      <c r="C87" s="272"/>
      <c r="D87" s="823"/>
      <c r="E87" s="18"/>
      <c r="F87" s="274"/>
      <c r="G87" s="275"/>
      <c r="H87" s="275"/>
      <c r="I87" s="275"/>
      <c r="J87" s="261"/>
    </row>
    <row r="88">
      <c r="A88" s="262" t="s">
        <v>386</v>
      </c>
      <c r="B88" s="239"/>
      <c r="C88" s="263"/>
      <c r="D88" s="824"/>
      <c r="E88" s="242"/>
      <c r="F88" s="243">
        <v>13800.0</v>
      </c>
      <c r="G88" s="276" t="s">
        <v>87</v>
      </c>
      <c r="H88" s="276"/>
      <c r="I88" s="276"/>
      <c r="J88" s="307"/>
    </row>
    <row r="89">
      <c r="A89" s="265"/>
      <c r="B89" s="247"/>
      <c r="C89" s="248"/>
      <c r="D89" s="822"/>
      <c r="F89" s="250">
        <f>516+930</f>
        <v>1446</v>
      </c>
      <c r="G89" s="254" t="s">
        <v>97</v>
      </c>
      <c r="H89" s="269"/>
      <c r="I89" s="269"/>
      <c r="J89" s="251"/>
    </row>
    <row r="90">
      <c r="A90" s="265"/>
      <c r="B90" s="247"/>
      <c r="C90" s="248"/>
      <c r="D90" s="822"/>
      <c r="F90" s="250">
        <v>90999.0</v>
      </c>
      <c r="G90" s="254" t="s">
        <v>2973</v>
      </c>
      <c r="H90" s="269"/>
      <c r="I90" s="269"/>
      <c r="J90" s="251"/>
    </row>
    <row r="91">
      <c r="A91" s="265"/>
      <c r="B91" s="247">
        <v>14450.0</v>
      </c>
      <c r="C91" s="248"/>
      <c r="D91" s="822"/>
      <c r="F91" s="250"/>
      <c r="G91" s="254" t="s">
        <v>75</v>
      </c>
      <c r="H91" s="269"/>
      <c r="I91" s="269"/>
      <c r="J91" s="251"/>
    </row>
    <row r="92">
      <c r="A92" s="265"/>
      <c r="B92" s="78"/>
      <c r="C92" s="248"/>
      <c r="D92" s="822"/>
      <c r="F92" s="250">
        <v>1230.0</v>
      </c>
      <c r="G92" s="254" t="s">
        <v>260</v>
      </c>
      <c r="H92" s="269"/>
      <c r="I92" s="269"/>
      <c r="J92" s="251"/>
    </row>
    <row r="93">
      <c r="A93" s="265"/>
      <c r="B93" s="281">
        <v>2409.0</v>
      </c>
      <c r="C93" s="252"/>
      <c r="D93" s="331"/>
      <c r="F93" s="266"/>
      <c r="G93" s="254" t="s">
        <v>293</v>
      </c>
      <c r="H93" s="269"/>
      <c r="I93" s="269"/>
      <c r="J93" s="251"/>
    </row>
    <row r="94">
      <c r="A94" s="265"/>
      <c r="B94" s="281"/>
      <c r="C94" s="252"/>
      <c r="D94" s="331"/>
      <c r="F94" s="250">
        <v>1000.0</v>
      </c>
      <c r="G94" s="254" t="s">
        <v>2776</v>
      </c>
      <c r="H94" s="269"/>
      <c r="I94" s="269"/>
      <c r="J94" s="251"/>
    </row>
    <row r="95">
      <c r="A95" s="265"/>
      <c r="B95" s="247"/>
      <c r="C95" s="252"/>
      <c r="D95" s="331"/>
      <c r="F95" s="250">
        <v>451.0</v>
      </c>
      <c r="G95" s="254" t="s">
        <v>303</v>
      </c>
      <c r="H95" s="269"/>
      <c r="I95" s="269"/>
      <c r="J95" s="251"/>
    </row>
    <row r="96">
      <c r="A96" s="265"/>
      <c r="B96" s="247"/>
      <c r="C96" s="252"/>
      <c r="D96" s="822"/>
      <c r="F96" s="250"/>
      <c r="G96" s="269"/>
      <c r="H96" s="269"/>
      <c r="I96" s="269"/>
      <c r="J96" s="251"/>
    </row>
    <row r="97">
      <c r="A97" s="265"/>
      <c r="B97" s="247"/>
      <c r="C97" s="252"/>
      <c r="D97" s="331"/>
      <c r="F97" s="250"/>
      <c r="G97" s="269"/>
      <c r="H97" s="269"/>
      <c r="I97" s="269"/>
      <c r="J97" s="251"/>
    </row>
    <row r="98">
      <c r="A98" s="265"/>
      <c r="B98" s="268"/>
      <c r="C98" s="252"/>
      <c r="D98" s="822"/>
      <c r="F98" s="250"/>
      <c r="G98" s="269"/>
      <c r="H98" s="269"/>
      <c r="I98" s="269"/>
      <c r="J98" s="251"/>
    </row>
    <row r="99">
      <c r="A99" s="265"/>
      <c r="B99" s="247"/>
      <c r="C99" s="252"/>
      <c r="D99" s="822"/>
      <c r="F99" s="250"/>
      <c r="G99" s="269"/>
      <c r="H99" s="269"/>
      <c r="I99" s="269"/>
      <c r="J99" s="251"/>
    </row>
    <row r="100">
      <c r="A100" s="265"/>
      <c r="B100" s="277"/>
      <c r="C100" s="252"/>
      <c r="D100" s="822"/>
      <c r="F100" s="282"/>
      <c r="G100" s="269"/>
      <c r="H100" s="269"/>
      <c r="I100" s="269"/>
      <c r="J100" s="251"/>
    </row>
    <row r="101">
      <c r="A101" s="265"/>
      <c r="B101" s="278"/>
      <c r="C101" s="248"/>
      <c r="D101" s="822"/>
      <c r="F101" s="282"/>
      <c r="G101" s="269"/>
      <c r="H101" s="269"/>
      <c r="I101" s="269"/>
      <c r="J101" s="251"/>
    </row>
    <row r="102">
      <c r="A102" s="265"/>
      <c r="B102" s="278"/>
      <c r="C102" s="252"/>
      <c r="D102" s="822"/>
      <c r="F102" s="250"/>
      <c r="G102" s="269"/>
      <c r="H102" s="269"/>
      <c r="I102" s="269"/>
      <c r="J102" s="251"/>
    </row>
    <row r="103">
      <c r="A103" s="270"/>
      <c r="B103" s="271"/>
      <c r="C103" s="272"/>
      <c r="D103" s="823"/>
      <c r="E103" s="18"/>
      <c r="F103" s="259"/>
      <c r="G103" s="260"/>
      <c r="H103" s="260"/>
      <c r="I103" s="275"/>
      <c r="J103" s="261"/>
    </row>
    <row r="104">
      <c r="A104" s="262" t="s">
        <v>390</v>
      </c>
      <c r="B104" s="239"/>
      <c r="C104" s="263"/>
      <c r="D104" s="821"/>
      <c r="E104" s="242"/>
      <c r="F104" s="250">
        <v>632.0</v>
      </c>
      <c r="G104" s="276" t="s">
        <v>2974</v>
      </c>
      <c r="H104" s="276"/>
      <c r="I104" s="276"/>
      <c r="J104" s="307"/>
    </row>
    <row r="105">
      <c r="A105" s="265"/>
      <c r="B105" s="247"/>
      <c r="C105" s="248"/>
      <c r="D105" s="822"/>
      <c r="F105" s="250">
        <v>700.0</v>
      </c>
      <c r="G105" s="254" t="s">
        <v>1063</v>
      </c>
      <c r="H105" s="269"/>
      <c r="I105" s="269"/>
      <c r="J105" s="251"/>
    </row>
    <row r="106">
      <c r="A106" s="265"/>
      <c r="B106" s="247"/>
      <c r="C106" s="248"/>
      <c r="D106" s="822"/>
      <c r="F106" s="250">
        <v>3766.0</v>
      </c>
      <c r="G106" s="254" t="s">
        <v>2975</v>
      </c>
      <c r="H106" s="269"/>
      <c r="I106" s="269"/>
      <c r="J106" s="251"/>
    </row>
    <row r="107">
      <c r="A107" s="265"/>
      <c r="B107" s="247"/>
      <c r="C107" s="248"/>
      <c r="D107" s="822"/>
      <c r="F107" s="250">
        <v>2140.0</v>
      </c>
      <c r="G107" s="254" t="s">
        <v>2976</v>
      </c>
      <c r="H107" s="269"/>
      <c r="I107" s="269"/>
      <c r="J107" s="251"/>
    </row>
    <row r="108">
      <c r="A108" s="265"/>
      <c r="B108" s="247"/>
      <c r="C108" s="252"/>
      <c r="D108" s="822"/>
      <c r="F108" s="250">
        <v>18500.0</v>
      </c>
      <c r="G108" s="254" t="s">
        <v>2977</v>
      </c>
      <c r="H108" s="254" t="s">
        <v>2978</v>
      </c>
      <c r="I108" s="269"/>
      <c r="J108" s="251"/>
    </row>
    <row r="109">
      <c r="A109" s="265"/>
      <c r="B109" s="268"/>
      <c r="C109" s="252"/>
      <c r="D109" s="822"/>
      <c r="F109" s="250">
        <v>5000.0</v>
      </c>
      <c r="G109" s="254" t="s">
        <v>2979</v>
      </c>
      <c r="H109" s="269"/>
      <c r="I109" s="269"/>
      <c r="J109" s="251"/>
    </row>
    <row r="110">
      <c r="A110" s="265"/>
      <c r="B110" s="268"/>
      <c r="C110" s="252"/>
      <c r="D110" s="331"/>
      <c r="F110" s="250">
        <v>1000.0</v>
      </c>
      <c r="G110" s="254" t="s">
        <v>2776</v>
      </c>
      <c r="H110" s="269"/>
      <c r="I110" s="269"/>
      <c r="J110" s="251"/>
    </row>
    <row r="111">
      <c r="A111" s="265"/>
      <c r="B111" s="247">
        <v>48007.0</v>
      </c>
      <c r="C111" s="252"/>
      <c r="D111" s="822"/>
      <c r="F111" s="250"/>
      <c r="G111" s="254" t="s">
        <v>82</v>
      </c>
      <c r="H111" s="269"/>
      <c r="I111" s="269"/>
      <c r="J111" s="251"/>
    </row>
    <row r="112">
      <c r="A112" s="265"/>
      <c r="B112" s="247"/>
      <c r="C112" s="248">
        <v>11603.91</v>
      </c>
      <c r="D112" s="822"/>
      <c r="F112" s="250"/>
      <c r="G112" s="254" t="s">
        <v>84</v>
      </c>
      <c r="H112" s="269"/>
      <c r="I112" s="269"/>
      <c r="J112" s="251"/>
    </row>
    <row r="113">
      <c r="A113" s="265"/>
      <c r="B113" s="247">
        <v>6736.16</v>
      </c>
      <c r="C113" s="252"/>
      <c r="D113" s="822"/>
      <c r="F113" s="250"/>
      <c r="G113" s="254" t="s">
        <v>73</v>
      </c>
      <c r="H113" s="269"/>
      <c r="I113" s="269"/>
      <c r="J113" s="251"/>
    </row>
    <row r="114">
      <c r="A114" s="265"/>
      <c r="B114" s="277">
        <v>3654.5</v>
      </c>
      <c r="C114" s="248"/>
      <c r="D114" s="822"/>
      <c r="F114" s="282"/>
      <c r="G114" s="254" t="s">
        <v>74</v>
      </c>
      <c r="H114" s="269"/>
      <c r="I114" s="269"/>
      <c r="J114" s="251"/>
    </row>
    <row r="115">
      <c r="A115" s="265"/>
      <c r="B115" s="277">
        <v>2533.0</v>
      </c>
      <c r="C115" s="252"/>
      <c r="D115" s="822"/>
      <c r="F115" s="250"/>
      <c r="G115" s="254" t="s">
        <v>914</v>
      </c>
      <c r="H115" s="269"/>
      <c r="I115" s="269"/>
      <c r="J115" s="251"/>
    </row>
    <row r="116">
      <c r="A116" s="265"/>
      <c r="B116" s="278"/>
      <c r="C116" s="252"/>
      <c r="D116" s="822"/>
      <c r="F116" s="282"/>
      <c r="G116" s="269"/>
      <c r="H116" s="269"/>
      <c r="I116" s="269"/>
      <c r="J116" s="251"/>
    </row>
    <row r="117">
      <c r="A117" s="270"/>
      <c r="B117" s="271"/>
      <c r="C117" s="272"/>
      <c r="D117" s="823"/>
      <c r="E117" s="18"/>
      <c r="F117" s="274"/>
      <c r="G117" s="275"/>
      <c r="H117" s="275"/>
      <c r="I117" s="275"/>
      <c r="J117" s="261"/>
    </row>
    <row r="118">
      <c r="A118" s="262" t="s">
        <v>395</v>
      </c>
      <c r="B118" s="239"/>
      <c r="C118" s="263"/>
      <c r="D118" s="821">
        <v>36300.0</v>
      </c>
      <c r="E118" s="242"/>
      <c r="F118" s="243"/>
      <c r="G118" s="276" t="s">
        <v>167</v>
      </c>
      <c r="H118" s="276"/>
      <c r="I118" s="276"/>
      <c r="J118" s="307"/>
    </row>
    <row r="119">
      <c r="A119" s="265"/>
      <c r="B119" s="247"/>
      <c r="C119" s="252"/>
      <c r="D119" s="331"/>
      <c r="F119" s="250">
        <v>728.0</v>
      </c>
      <c r="G119" s="254" t="s">
        <v>2980</v>
      </c>
      <c r="H119" s="269"/>
      <c r="I119" s="269"/>
      <c r="J119" s="251"/>
    </row>
    <row r="120">
      <c r="A120" s="265"/>
      <c r="B120" s="247"/>
      <c r="C120" s="248"/>
      <c r="D120" s="331"/>
      <c r="F120" s="250">
        <v>1000.0</v>
      </c>
      <c r="G120" s="26" t="s">
        <v>2776</v>
      </c>
      <c r="H120" s="26"/>
      <c r="I120" s="269"/>
      <c r="J120" s="251"/>
    </row>
    <row r="121">
      <c r="A121" s="265"/>
      <c r="B121" s="247"/>
      <c r="C121" s="248"/>
      <c r="D121" s="331"/>
      <c r="F121" s="250">
        <f>637+960</f>
        <v>1597</v>
      </c>
      <c r="G121" s="254" t="s">
        <v>97</v>
      </c>
      <c r="H121" s="269"/>
      <c r="I121" s="269"/>
      <c r="J121" s="251"/>
    </row>
    <row r="122">
      <c r="A122" s="265"/>
      <c r="B122" s="247">
        <v>2157.0</v>
      </c>
      <c r="C122" s="252"/>
      <c r="D122" s="331"/>
      <c r="F122" s="250"/>
      <c r="G122" s="254" t="s">
        <v>2981</v>
      </c>
      <c r="H122" s="269"/>
      <c r="I122" s="269"/>
      <c r="J122" s="251"/>
    </row>
    <row r="123">
      <c r="A123" s="265"/>
      <c r="B123" s="247">
        <v>2842.22</v>
      </c>
      <c r="C123" s="252"/>
      <c r="D123" s="822"/>
      <c r="F123" s="250"/>
      <c r="G123" s="254" t="s">
        <v>2982</v>
      </c>
      <c r="H123" s="254" t="s">
        <v>2913</v>
      </c>
      <c r="I123" s="269"/>
      <c r="J123" s="251"/>
    </row>
    <row r="124">
      <c r="A124" s="265"/>
      <c r="B124" s="247"/>
      <c r="C124" s="252"/>
      <c r="D124" s="822"/>
      <c r="F124" s="250"/>
      <c r="G124" s="254"/>
      <c r="H124" s="269"/>
      <c r="I124" s="269"/>
      <c r="J124" s="251"/>
    </row>
    <row r="125">
      <c r="A125" s="265"/>
      <c r="B125" s="247"/>
      <c r="C125" s="252"/>
      <c r="D125" s="822"/>
      <c r="F125" s="250"/>
      <c r="G125" s="254"/>
      <c r="H125" s="269"/>
      <c r="I125" s="269"/>
      <c r="J125" s="251"/>
    </row>
    <row r="126">
      <c r="A126" s="265"/>
      <c r="B126" s="247"/>
      <c r="C126" s="252"/>
      <c r="D126" s="331"/>
      <c r="F126" s="250"/>
      <c r="G126" s="254"/>
      <c r="H126" s="269"/>
      <c r="I126" s="269"/>
      <c r="J126" s="251"/>
    </row>
    <row r="127">
      <c r="A127" s="265"/>
      <c r="B127" s="268"/>
      <c r="C127" s="248"/>
      <c r="D127" s="822"/>
      <c r="F127" s="250"/>
      <c r="G127" s="254"/>
      <c r="H127" s="269"/>
      <c r="I127" s="269"/>
      <c r="J127" s="251"/>
    </row>
    <row r="128">
      <c r="A128" s="265"/>
      <c r="B128" s="268"/>
      <c r="C128" s="252"/>
      <c r="D128" s="822"/>
      <c r="F128" s="250"/>
      <c r="G128" s="269"/>
      <c r="H128" s="269"/>
      <c r="I128" s="269"/>
      <c r="J128" s="251"/>
    </row>
    <row r="129">
      <c r="A129" s="265"/>
      <c r="B129" s="268"/>
      <c r="C129" s="252"/>
      <c r="D129" s="822"/>
      <c r="F129" s="250"/>
      <c r="G129" s="269"/>
      <c r="H129" s="269"/>
      <c r="I129" s="269"/>
      <c r="J129" s="251"/>
    </row>
    <row r="130">
      <c r="A130" s="265"/>
      <c r="B130" s="268"/>
      <c r="C130" s="252"/>
      <c r="D130" s="822"/>
      <c r="F130" s="250"/>
      <c r="G130" s="269"/>
      <c r="H130" s="269"/>
      <c r="I130" s="269"/>
      <c r="J130" s="251"/>
    </row>
    <row r="131">
      <c r="A131" s="265"/>
      <c r="B131" s="268"/>
      <c r="C131" s="252"/>
      <c r="D131" s="822"/>
      <c r="F131" s="250"/>
      <c r="G131" s="269"/>
      <c r="H131" s="269"/>
      <c r="I131" s="269"/>
      <c r="J131" s="251"/>
    </row>
    <row r="132">
      <c r="A132" s="265"/>
      <c r="B132" s="268"/>
      <c r="C132" s="252"/>
      <c r="D132" s="822"/>
      <c r="F132" s="250"/>
      <c r="G132" s="269"/>
      <c r="H132" s="269"/>
      <c r="I132" s="269"/>
      <c r="J132" s="251"/>
    </row>
    <row r="133">
      <c r="A133" s="265"/>
      <c r="B133" s="268"/>
      <c r="C133" s="252"/>
      <c r="D133" s="822"/>
      <c r="F133" s="250"/>
      <c r="G133" s="269"/>
      <c r="H133" s="269"/>
      <c r="I133" s="269"/>
      <c r="J133" s="251"/>
    </row>
    <row r="134">
      <c r="A134" s="265"/>
      <c r="B134" s="268"/>
      <c r="C134" s="252"/>
      <c r="D134" s="822"/>
      <c r="F134" s="250"/>
      <c r="G134" s="269"/>
      <c r="H134" s="269"/>
      <c r="I134" s="269"/>
      <c r="J134" s="251"/>
    </row>
    <row r="135">
      <c r="A135" s="270"/>
      <c r="B135" s="271"/>
      <c r="C135" s="272"/>
      <c r="D135" s="823"/>
      <c r="E135" s="18"/>
      <c r="F135" s="274"/>
      <c r="G135" s="275"/>
      <c r="H135" s="275"/>
      <c r="I135" s="275"/>
      <c r="J135" s="261"/>
    </row>
    <row r="136">
      <c r="A136" s="262" t="s">
        <v>398</v>
      </c>
      <c r="B136" s="239"/>
      <c r="C136" s="263"/>
      <c r="D136" s="824"/>
      <c r="E136" s="242"/>
      <c r="F136" s="243">
        <v>1000.0</v>
      </c>
      <c r="G136" s="276" t="s">
        <v>2776</v>
      </c>
      <c r="H136" s="276"/>
      <c r="I136" s="276"/>
      <c r="J136" s="307"/>
    </row>
    <row r="137">
      <c r="A137" s="265"/>
      <c r="B137" s="247">
        <v>1576.26</v>
      </c>
      <c r="C137" s="252"/>
      <c r="D137" s="822"/>
      <c r="F137" s="250"/>
      <c r="G137" s="254" t="s">
        <v>82</v>
      </c>
      <c r="H137" s="269"/>
      <c r="I137" s="269"/>
      <c r="J137" s="251"/>
    </row>
    <row r="138">
      <c r="A138" s="265"/>
      <c r="B138" s="247"/>
      <c r="C138" s="252"/>
      <c r="D138" s="822"/>
      <c r="F138" s="250">
        <v>290.0</v>
      </c>
      <c r="G138" s="254" t="s">
        <v>696</v>
      </c>
      <c r="H138" s="269"/>
      <c r="I138" s="269"/>
      <c r="J138" s="251"/>
    </row>
    <row r="139">
      <c r="A139" s="265"/>
      <c r="B139" s="247"/>
      <c r="C139" s="252"/>
      <c r="D139" s="331"/>
      <c r="F139" s="250">
        <v>1666.0</v>
      </c>
      <c r="G139" s="254" t="s">
        <v>97</v>
      </c>
      <c r="H139" s="269"/>
      <c r="I139" s="269"/>
      <c r="J139" s="251"/>
    </row>
    <row r="140">
      <c r="A140" s="265"/>
      <c r="B140" s="268"/>
      <c r="C140" s="248"/>
      <c r="D140" s="822"/>
      <c r="F140" s="250">
        <v>2967.52</v>
      </c>
      <c r="G140" s="254" t="s">
        <v>114</v>
      </c>
      <c r="H140" s="269"/>
      <c r="I140" s="269"/>
      <c r="J140" s="251"/>
    </row>
    <row r="141">
      <c r="A141" s="265"/>
      <c r="B141" s="247"/>
      <c r="C141" s="252"/>
      <c r="D141" s="822"/>
      <c r="F141" s="250">
        <v>13800.0</v>
      </c>
      <c r="G141" s="254" t="s">
        <v>87</v>
      </c>
      <c r="H141" s="269"/>
      <c r="I141" s="269"/>
      <c r="J141" s="251"/>
    </row>
    <row r="142">
      <c r="A142" s="265"/>
      <c r="B142" s="247">
        <v>7300.0</v>
      </c>
      <c r="C142" s="252"/>
      <c r="D142" s="822"/>
      <c r="F142" s="250"/>
      <c r="G142" s="254" t="s">
        <v>351</v>
      </c>
      <c r="H142" s="269"/>
      <c r="I142" s="269"/>
      <c r="J142" s="251"/>
    </row>
    <row r="143">
      <c r="A143" s="265"/>
      <c r="B143" s="283"/>
      <c r="C143" s="248"/>
      <c r="D143" s="822"/>
      <c r="F143" s="250"/>
      <c r="G143" s="269"/>
      <c r="H143" s="269"/>
      <c r="I143" s="269"/>
      <c r="J143" s="251"/>
    </row>
    <row r="144">
      <c r="A144" s="265"/>
      <c r="B144" s="247"/>
      <c r="C144" s="252"/>
      <c r="D144" s="822"/>
      <c r="F144" s="250"/>
      <c r="G144" s="269"/>
      <c r="H144" s="269"/>
      <c r="I144" s="269"/>
      <c r="J144" s="251"/>
    </row>
    <row r="145">
      <c r="A145" s="265"/>
      <c r="B145" s="247"/>
      <c r="C145" s="252"/>
      <c r="D145" s="822"/>
      <c r="F145" s="250"/>
      <c r="G145" s="269"/>
      <c r="H145" s="269"/>
      <c r="I145" s="269"/>
      <c r="J145" s="251"/>
    </row>
    <row r="146">
      <c r="A146" s="265"/>
      <c r="B146" s="247"/>
      <c r="C146" s="252"/>
      <c r="D146" s="822"/>
      <c r="F146" s="250"/>
      <c r="G146" s="269"/>
      <c r="H146" s="269"/>
      <c r="I146" s="269"/>
      <c r="J146" s="251"/>
    </row>
    <row r="147">
      <c r="A147" s="265"/>
      <c r="B147" s="277"/>
      <c r="C147" s="252"/>
      <c r="D147" s="822"/>
      <c r="F147" s="250"/>
      <c r="G147" s="269"/>
      <c r="H147" s="269"/>
      <c r="I147" s="269"/>
      <c r="J147" s="251"/>
    </row>
    <row r="148">
      <c r="A148" s="265"/>
      <c r="B148" s="277"/>
      <c r="C148" s="252"/>
      <c r="D148" s="822"/>
      <c r="F148" s="250"/>
      <c r="G148" s="269"/>
      <c r="H148" s="269"/>
      <c r="I148" s="269"/>
      <c r="J148" s="251"/>
    </row>
    <row r="149">
      <c r="A149" s="265"/>
      <c r="B149" s="278"/>
      <c r="C149" s="252"/>
      <c r="D149" s="822"/>
      <c r="F149" s="250"/>
      <c r="G149" s="269"/>
      <c r="H149" s="269"/>
      <c r="I149" s="269"/>
      <c r="J149" s="251"/>
    </row>
    <row r="150">
      <c r="A150" s="270"/>
      <c r="B150" s="271"/>
      <c r="C150" s="272"/>
      <c r="D150" s="823"/>
      <c r="E150" s="18"/>
      <c r="F150" s="274"/>
      <c r="G150" s="275"/>
      <c r="H150" s="275"/>
      <c r="I150" s="275"/>
      <c r="J150" s="261"/>
    </row>
    <row r="151">
      <c r="A151" s="262" t="s">
        <v>400</v>
      </c>
      <c r="B151" s="239"/>
      <c r="C151" s="240"/>
      <c r="D151" s="824"/>
      <c r="E151" s="242"/>
      <c r="F151" s="243">
        <f>2184+90</f>
        <v>2274</v>
      </c>
      <c r="G151" s="276" t="s">
        <v>97</v>
      </c>
      <c r="H151" s="276"/>
      <c r="I151" s="276"/>
      <c r="J151" s="307"/>
    </row>
    <row r="152">
      <c r="A152" s="265"/>
      <c r="B152" s="247"/>
      <c r="C152" s="252"/>
      <c r="D152" s="822"/>
      <c r="F152" s="250"/>
      <c r="G152" s="269"/>
      <c r="H152" s="269"/>
      <c r="I152" s="269"/>
      <c r="J152" s="251"/>
    </row>
    <row r="153">
      <c r="A153" s="265"/>
      <c r="B153" s="247"/>
      <c r="C153" s="252"/>
      <c r="D153" s="331"/>
      <c r="F153" s="418"/>
      <c r="G153" s="285"/>
      <c r="H153" s="420"/>
      <c r="I153" s="829"/>
      <c r="J153" s="251"/>
    </row>
    <row r="154">
      <c r="A154" s="265"/>
      <c r="B154" s="247"/>
      <c r="C154" s="252"/>
      <c r="D154" s="822"/>
      <c r="F154" s="250"/>
      <c r="G154" s="269"/>
      <c r="H154" s="269"/>
      <c r="I154" s="269"/>
      <c r="J154" s="251"/>
    </row>
    <row r="155">
      <c r="A155" s="265"/>
      <c r="B155" s="247"/>
      <c r="C155" s="252"/>
      <c r="D155" s="331"/>
      <c r="F155" s="250"/>
      <c r="G155" s="269"/>
      <c r="H155" s="269"/>
      <c r="I155" s="269"/>
      <c r="J155" s="251"/>
    </row>
    <row r="156">
      <c r="A156" s="265"/>
      <c r="B156" s="268"/>
      <c r="C156" s="248"/>
      <c r="D156" s="331"/>
      <c r="F156" s="250"/>
      <c r="G156" s="269"/>
      <c r="H156" s="269"/>
      <c r="I156" s="269"/>
      <c r="J156" s="251"/>
    </row>
    <row r="157">
      <c r="A157" s="265"/>
      <c r="B157" s="268"/>
      <c r="C157" s="252"/>
      <c r="D157" s="331"/>
      <c r="F157" s="250"/>
      <c r="G157" s="269"/>
      <c r="H157" s="269"/>
      <c r="I157" s="269"/>
      <c r="J157" s="251"/>
    </row>
    <row r="158">
      <c r="A158" s="265"/>
      <c r="B158" s="247"/>
      <c r="C158" s="252"/>
      <c r="D158" s="331"/>
      <c r="F158" s="250"/>
      <c r="G158" s="269"/>
      <c r="H158" s="269"/>
      <c r="I158" s="269"/>
      <c r="J158" s="251"/>
    </row>
    <row r="159">
      <c r="A159" s="265"/>
      <c r="B159" s="268"/>
      <c r="C159" s="252"/>
      <c r="D159" s="331"/>
      <c r="F159" s="250"/>
      <c r="G159" s="254"/>
      <c r="H159" s="254"/>
      <c r="I159" s="269"/>
      <c r="J159" s="251"/>
    </row>
    <row r="160">
      <c r="A160" s="265"/>
      <c r="B160" s="247"/>
      <c r="C160" s="252"/>
      <c r="D160" s="822"/>
      <c r="F160" s="250"/>
      <c r="G160" s="269"/>
      <c r="H160" s="269"/>
      <c r="I160" s="269"/>
      <c r="J160" s="251"/>
    </row>
    <row r="161">
      <c r="A161" s="265"/>
      <c r="B161" s="268"/>
      <c r="C161" s="252"/>
      <c r="D161" s="822"/>
      <c r="F161" s="250"/>
      <c r="G161" s="269"/>
      <c r="H161" s="269"/>
      <c r="I161" s="269"/>
      <c r="J161" s="251"/>
    </row>
    <row r="162">
      <c r="A162" s="265"/>
      <c r="B162" s="277"/>
      <c r="C162" s="252"/>
      <c r="D162" s="822"/>
      <c r="F162" s="250"/>
      <c r="G162" s="269"/>
      <c r="H162" s="269"/>
      <c r="I162" s="269"/>
      <c r="J162" s="251"/>
    </row>
    <row r="163">
      <c r="A163" s="265"/>
      <c r="B163" s="277"/>
      <c r="C163" s="252"/>
      <c r="D163" s="822"/>
      <c r="F163" s="282"/>
      <c r="G163" s="269"/>
      <c r="H163" s="269"/>
      <c r="I163" s="269"/>
      <c r="J163" s="251"/>
    </row>
    <row r="164">
      <c r="A164" s="265"/>
      <c r="B164" s="278"/>
      <c r="C164" s="252"/>
      <c r="D164" s="822"/>
      <c r="F164" s="250"/>
      <c r="G164" s="269"/>
      <c r="H164" s="269"/>
      <c r="I164" s="269"/>
      <c r="J164" s="251"/>
    </row>
    <row r="165">
      <c r="A165" s="270"/>
      <c r="B165" s="271"/>
      <c r="C165" s="272"/>
      <c r="D165" s="823"/>
      <c r="E165" s="18"/>
      <c r="F165" s="259"/>
      <c r="G165" s="260"/>
      <c r="H165" s="260"/>
      <c r="I165" s="275"/>
      <c r="J165" s="261"/>
    </row>
    <row r="166">
      <c r="A166" s="262" t="s">
        <v>401</v>
      </c>
      <c r="B166" s="239"/>
      <c r="C166" s="263"/>
      <c r="D166" s="821"/>
      <c r="E166" s="242"/>
      <c r="F166" s="243">
        <f>98+4128.43</f>
        <v>4226.43</v>
      </c>
      <c r="G166" s="276" t="s">
        <v>97</v>
      </c>
      <c r="H166" s="276"/>
      <c r="I166" s="276"/>
      <c r="J166" s="307"/>
    </row>
    <row r="167">
      <c r="A167" s="265"/>
      <c r="B167" s="247">
        <v>7676.84</v>
      </c>
      <c r="C167" s="252"/>
      <c r="D167" s="822"/>
      <c r="F167" s="250"/>
      <c r="G167" s="254" t="s">
        <v>114</v>
      </c>
      <c r="H167" s="269"/>
      <c r="I167" s="269"/>
      <c r="J167" s="251"/>
    </row>
    <row r="168">
      <c r="A168" s="265"/>
      <c r="B168" s="247">
        <v>3230.72</v>
      </c>
      <c r="C168" s="248"/>
      <c r="D168" s="331"/>
      <c r="F168" s="250"/>
      <c r="G168" s="254" t="s">
        <v>82</v>
      </c>
      <c r="H168" s="254"/>
      <c r="I168" s="269"/>
      <c r="J168" s="251"/>
    </row>
    <row r="169">
      <c r="A169" s="265"/>
      <c r="B169" s="247"/>
      <c r="C169" s="248">
        <v>30186.13</v>
      </c>
      <c r="D169" s="331"/>
      <c r="F169" s="250"/>
      <c r="G169" s="254" t="s">
        <v>71</v>
      </c>
      <c r="H169" s="269"/>
      <c r="I169" s="269"/>
      <c r="J169" s="251"/>
    </row>
    <row r="170">
      <c r="A170" s="265"/>
      <c r="B170" s="268"/>
      <c r="C170" s="252"/>
      <c r="D170" s="822"/>
      <c r="F170" s="250">
        <v>1000.0</v>
      </c>
      <c r="G170" s="254" t="s">
        <v>2776</v>
      </c>
      <c r="H170" s="269"/>
      <c r="I170" s="269"/>
      <c r="J170" s="251"/>
    </row>
    <row r="171">
      <c r="A171" s="265"/>
      <c r="B171" s="247"/>
      <c r="C171" s="248"/>
      <c r="D171" s="822"/>
      <c r="F171" s="250">
        <v>350.0</v>
      </c>
      <c r="G171" s="254" t="s">
        <v>85</v>
      </c>
      <c r="H171" s="269"/>
      <c r="I171" s="269"/>
      <c r="J171" s="251"/>
    </row>
    <row r="172">
      <c r="A172" s="265"/>
      <c r="B172" s="268"/>
      <c r="C172" s="252"/>
      <c r="D172" s="331"/>
      <c r="F172" s="250"/>
      <c r="G172" s="269"/>
      <c r="H172" s="269"/>
      <c r="I172" s="269"/>
      <c r="J172" s="251"/>
    </row>
    <row r="173">
      <c r="A173" s="265"/>
      <c r="B173" s="268"/>
      <c r="C173" s="252"/>
      <c r="D173" s="822"/>
      <c r="F173" s="250"/>
      <c r="G173" s="269"/>
      <c r="H173" s="269"/>
      <c r="I173" s="269"/>
      <c r="J173" s="251"/>
    </row>
    <row r="174">
      <c r="A174" s="265"/>
      <c r="B174" s="247"/>
      <c r="C174" s="252"/>
      <c r="D174" s="822"/>
      <c r="F174" s="250"/>
      <c r="G174" s="269"/>
      <c r="H174" s="269"/>
      <c r="I174" s="269"/>
      <c r="J174" s="251"/>
    </row>
    <row r="175">
      <c r="A175" s="270"/>
      <c r="B175" s="279"/>
      <c r="C175" s="272"/>
      <c r="D175" s="823"/>
      <c r="E175" s="18"/>
      <c r="F175" s="274"/>
      <c r="G175" s="260"/>
      <c r="H175" s="260"/>
      <c r="I175" s="275"/>
      <c r="J175" s="261"/>
    </row>
    <row r="176">
      <c r="A176" s="262" t="s">
        <v>408</v>
      </c>
      <c r="B176" s="239">
        <v>11600.0</v>
      </c>
      <c r="C176" s="240"/>
      <c r="D176" s="821"/>
      <c r="E176" s="242"/>
      <c r="F176" s="250"/>
      <c r="G176" s="276" t="s">
        <v>122</v>
      </c>
      <c r="H176" s="276"/>
      <c r="I176" s="276"/>
      <c r="J176" s="307"/>
    </row>
    <row r="177">
      <c r="A177" s="265"/>
      <c r="B177" s="247">
        <v>7700.0</v>
      </c>
      <c r="C177" s="252"/>
      <c r="D177" s="331"/>
      <c r="F177" s="250"/>
      <c r="G177" s="254" t="s">
        <v>2623</v>
      </c>
      <c r="H177" s="269"/>
      <c r="I177" s="269"/>
      <c r="J177" s="251"/>
    </row>
    <row r="178">
      <c r="A178" s="265"/>
      <c r="B178" s="247"/>
      <c r="C178" s="248"/>
      <c r="D178" s="331"/>
      <c r="F178" s="250">
        <v>1000.0</v>
      </c>
      <c r="G178" s="254" t="s">
        <v>2776</v>
      </c>
      <c r="H178" s="269"/>
      <c r="I178" s="269"/>
      <c r="J178" s="251"/>
    </row>
    <row r="179">
      <c r="A179" s="265"/>
      <c r="B179" s="247">
        <v>9610.0</v>
      </c>
      <c r="C179" s="252"/>
      <c r="D179" s="822"/>
      <c r="F179" s="250"/>
      <c r="G179" s="254" t="s">
        <v>75</v>
      </c>
      <c r="H179" s="269"/>
      <c r="I179" s="269"/>
      <c r="J179" s="251"/>
    </row>
    <row r="180">
      <c r="A180" s="265"/>
      <c r="B180" s="247"/>
      <c r="C180" s="248"/>
      <c r="D180" s="331"/>
      <c r="F180" s="250"/>
      <c r="G180" s="254" t="s">
        <v>76</v>
      </c>
      <c r="H180" s="269"/>
      <c r="I180" s="269"/>
      <c r="J180" s="251"/>
    </row>
    <row r="181">
      <c r="A181" s="265"/>
      <c r="B181" s="247">
        <f>3010.21+3564.54</f>
        <v>6574.75</v>
      </c>
      <c r="C181" s="252"/>
      <c r="D181" s="822"/>
      <c r="F181" s="250"/>
      <c r="G181" s="254" t="s">
        <v>74</v>
      </c>
      <c r="H181" s="269"/>
      <c r="I181" s="269"/>
      <c r="J181" s="251"/>
    </row>
    <row r="182">
      <c r="A182" s="265"/>
      <c r="B182" s="247">
        <v>2352.93</v>
      </c>
      <c r="C182" s="252"/>
      <c r="D182" s="822"/>
      <c r="F182" s="250"/>
      <c r="G182" s="254" t="s">
        <v>73</v>
      </c>
      <c r="H182" s="269"/>
      <c r="I182" s="269"/>
      <c r="J182" s="251"/>
    </row>
    <row r="183">
      <c r="A183" s="265"/>
      <c r="B183" s="247"/>
      <c r="C183" s="252"/>
      <c r="D183" s="822"/>
      <c r="F183" s="250">
        <f>446+1499</f>
        <v>1945</v>
      </c>
      <c r="G183" s="254" t="s">
        <v>97</v>
      </c>
      <c r="H183" s="269"/>
      <c r="I183" s="269"/>
      <c r="J183" s="251"/>
    </row>
    <row r="184">
      <c r="A184" s="265"/>
      <c r="B184" s="268"/>
      <c r="C184" s="252"/>
      <c r="D184" s="822"/>
      <c r="F184" s="250">
        <v>15000.0</v>
      </c>
      <c r="G184" s="254" t="s">
        <v>87</v>
      </c>
      <c r="H184" s="269"/>
      <c r="I184" s="269"/>
      <c r="J184" s="251"/>
    </row>
    <row r="185">
      <c r="A185" s="265"/>
      <c r="B185" s="268"/>
      <c r="C185" s="252"/>
      <c r="D185" s="822"/>
      <c r="F185" s="250"/>
      <c r="G185" s="269"/>
      <c r="H185" s="269"/>
      <c r="I185" s="269"/>
      <c r="J185" s="251"/>
    </row>
    <row r="186">
      <c r="A186" s="265"/>
      <c r="B186" s="268"/>
      <c r="C186" s="252"/>
      <c r="D186" s="822"/>
      <c r="F186" s="250"/>
      <c r="G186" s="269"/>
      <c r="H186" s="269"/>
      <c r="I186" s="269"/>
      <c r="J186" s="251"/>
    </row>
    <row r="187">
      <c r="A187" s="265"/>
      <c r="B187" s="268"/>
      <c r="C187" s="252"/>
      <c r="D187" s="822"/>
      <c r="F187" s="250"/>
      <c r="G187" s="269"/>
      <c r="H187" s="269"/>
      <c r="I187" s="269"/>
      <c r="J187" s="251"/>
    </row>
    <row r="188">
      <c r="A188" s="265"/>
      <c r="B188" s="268"/>
      <c r="C188" s="252"/>
      <c r="D188" s="822"/>
      <c r="F188" s="250"/>
      <c r="G188" s="269"/>
      <c r="H188" s="269"/>
      <c r="I188" s="269"/>
      <c r="J188" s="251"/>
    </row>
    <row r="189">
      <c r="A189" s="265"/>
      <c r="B189" s="268"/>
      <c r="C189" s="252"/>
      <c r="D189" s="822"/>
      <c r="F189" s="250"/>
      <c r="G189" s="269"/>
      <c r="H189" s="269"/>
      <c r="I189" s="269"/>
      <c r="J189" s="251"/>
    </row>
    <row r="190">
      <c r="A190" s="270"/>
      <c r="B190" s="271"/>
      <c r="C190" s="272"/>
      <c r="D190" s="823"/>
      <c r="E190" s="18"/>
      <c r="F190" s="259"/>
      <c r="G190" s="260"/>
      <c r="H190" s="260"/>
      <c r="I190" s="275"/>
      <c r="J190" s="261"/>
    </row>
    <row r="191">
      <c r="A191" s="262" t="s">
        <v>413</v>
      </c>
      <c r="B191" s="239"/>
      <c r="C191" s="263">
        <v>34795.24</v>
      </c>
      <c r="D191" s="821"/>
      <c r="E191" s="242"/>
      <c r="F191" s="243"/>
      <c r="G191" s="276" t="s">
        <v>84</v>
      </c>
      <c r="H191" s="276"/>
      <c r="I191" s="269"/>
      <c r="J191" s="286"/>
    </row>
    <row r="192">
      <c r="A192" s="265"/>
      <c r="B192" s="247"/>
      <c r="C192" s="248"/>
      <c r="D192" s="331"/>
      <c r="F192" s="250">
        <f>960+1493</f>
        <v>2453</v>
      </c>
      <c r="G192" s="254" t="s">
        <v>97</v>
      </c>
      <c r="H192" s="269"/>
      <c r="I192" s="269"/>
      <c r="J192" s="251"/>
    </row>
    <row r="193">
      <c r="A193" s="265"/>
      <c r="B193" s="247"/>
      <c r="C193" s="252"/>
      <c r="D193" s="822"/>
      <c r="F193" s="250">
        <v>5970.0</v>
      </c>
      <c r="G193" s="254" t="s">
        <v>76</v>
      </c>
      <c r="H193" s="269"/>
      <c r="I193" s="269"/>
      <c r="J193" s="251"/>
    </row>
    <row r="194">
      <c r="A194" s="265"/>
      <c r="B194" s="247"/>
      <c r="C194" s="252"/>
      <c r="D194" s="822"/>
      <c r="F194" s="250">
        <v>158.0</v>
      </c>
      <c r="G194" s="254" t="s">
        <v>228</v>
      </c>
      <c r="H194" s="269"/>
      <c r="I194" s="269"/>
      <c r="J194" s="251"/>
    </row>
    <row r="195">
      <c r="A195" s="265"/>
      <c r="B195" s="247">
        <v>4052.68</v>
      </c>
      <c r="C195" s="248"/>
      <c r="D195" s="331"/>
      <c r="F195" s="250"/>
      <c r="G195" s="254" t="s">
        <v>82</v>
      </c>
      <c r="H195" s="269"/>
      <c r="I195" s="269"/>
      <c r="J195" s="251"/>
    </row>
    <row r="196">
      <c r="A196" s="265"/>
      <c r="B196" s="247">
        <v>2985.0</v>
      </c>
      <c r="C196" s="248"/>
      <c r="D196" s="331"/>
      <c r="F196" s="250"/>
      <c r="G196" s="254" t="s">
        <v>416</v>
      </c>
      <c r="H196" s="269"/>
      <c r="I196" s="269"/>
      <c r="J196" s="251"/>
    </row>
    <row r="197">
      <c r="A197" s="265"/>
      <c r="B197" s="268"/>
      <c r="C197" s="248"/>
      <c r="D197" s="331"/>
      <c r="F197" s="250"/>
      <c r="G197" s="269"/>
      <c r="H197" s="269"/>
      <c r="I197" s="269"/>
      <c r="J197" s="251"/>
    </row>
    <row r="198">
      <c r="A198" s="265"/>
      <c r="B198" s="247"/>
      <c r="C198" s="252"/>
      <c r="D198" s="331"/>
      <c r="F198" s="250"/>
      <c r="G198" s="269"/>
      <c r="H198" s="269"/>
      <c r="I198" s="269"/>
      <c r="J198" s="251"/>
    </row>
    <row r="199">
      <c r="A199" s="265"/>
      <c r="B199" s="247"/>
      <c r="C199" s="252"/>
      <c r="D199" s="822"/>
      <c r="F199" s="250"/>
      <c r="G199" s="269"/>
      <c r="H199" s="269"/>
      <c r="I199" s="269"/>
      <c r="J199" s="251"/>
    </row>
    <row r="200">
      <c r="A200" s="265"/>
      <c r="B200" s="278"/>
      <c r="C200" s="252"/>
      <c r="D200" s="822"/>
      <c r="F200" s="250"/>
      <c r="G200" s="254"/>
      <c r="H200" s="254"/>
      <c r="I200" s="269"/>
      <c r="J200" s="251"/>
    </row>
    <row r="201">
      <c r="A201" s="265"/>
      <c r="B201" s="278"/>
      <c r="C201" s="252"/>
      <c r="D201" s="822"/>
      <c r="F201" s="250"/>
      <c r="G201" s="269"/>
      <c r="H201" s="269"/>
      <c r="I201" s="269"/>
      <c r="J201" s="251"/>
    </row>
    <row r="202">
      <c r="A202" s="265"/>
      <c r="B202" s="277"/>
      <c r="C202" s="252"/>
      <c r="D202" s="822"/>
      <c r="F202" s="250"/>
      <c r="G202" s="269"/>
      <c r="H202" s="269"/>
      <c r="I202" s="269"/>
      <c r="J202" s="251"/>
    </row>
    <row r="203">
      <c r="A203" s="265"/>
      <c r="B203" s="278"/>
      <c r="C203" s="252"/>
      <c r="D203" s="822"/>
      <c r="F203" s="250"/>
      <c r="G203" s="269"/>
      <c r="H203" s="269"/>
      <c r="I203" s="269"/>
      <c r="J203" s="251"/>
    </row>
    <row r="204">
      <c r="A204" s="265"/>
      <c r="B204" s="278"/>
      <c r="C204" s="252"/>
      <c r="D204" s="822"/>
      <c r="F204" s="282"/>
      <c r="G204" s="269"/>
      <c r="H204" s="269"/>
      <c r="I204" s="269"/>
      <c r="J204" s="251"/>
    </row>
    <row r="205">
      <c r="A205" s="265"/>
      <c r="B205" s="278"/>
      <c r="C205" s="252"/>
      <c r="D205" s="822"/>
      <c r="F205" s="282"/>
      <c r="G205" s="269"/>
      <c r="H205" s="269"/>
      <c r="I205" s="269"/>
      <c r="J205" s="251"/>
    </row>
    <row r="206">
      <c r="A206" s="270"/>
      <c r="B206" s="271"/>
      <c r="C206" s="272"/>
      <c r="D206" s="823"/>
      <c r="E206" s="18"/>
      <c r="F206" s="274"/>
      <c r="G206" s="275"/>
      <c r="H206" s="275"/>
      <c r="I206" s="275"/>
      <c r="J206" s="261"/>
    </row>
    <row r="207">
      <c r="A207" s="262" t="s">
        <v>417</v>
      </c>
      <c r="B207" s="239"/>
      <c r="C207" s="263"/>
      <c r="D207" s="824"/>
      <c r="E207" s="242"/>
      <c r="F207" s="243">
        <v>1203.5</v>
      </c>
      <c r="G207" s="276" t="s">
        <v>97</v>
      </c>
      <c r="H207" s="276"/>
      <c r="I207" s="276"/>
      <c r="J207" s="307"/>
    </row>
    <row r="208">
      <c r="A208" s="265"/>
      <c r="B208" s="247">
        <v>1709.0</v>
      </c>
      <c r="C208" s="252"/>
      <c r="D208" s="822"/>
      <c r="F208" s="250"/>
      <c r="G208" s="254" t="s">
        <v>548</v>
      </c>
      <c r="H208" s="269"/>
      <c r="I208" s="269"/>
      <c r="J208" s="251"/>
    </row>
    <row r="209">
      <c r="A209" s="265"/>
      <c r="B209" s="247"/>
      <c r="C209" s="252"/>
      <c r="D209" s="331"/>
      <c r="F209" s="250">
        <v>1000.0</v>
      </c>
      <c r="G209" s="254" t="s">
        <v>2776</v>
      </c>
      <c r="H209" s="269"/>
      <c r="I209" s="269"/>
      <c r="J209" s="251"/>
    </row>
    <row r="210">
      <c r="A210" s="265"/>
      <c r="B210" s="247"/>
      <c r="C210" s="248"/>
      <c r="D210" s="331"/>
      <c r="F210" s="250">
        <v>2000.0</v>
      </c>
      <c r="G210" s="254" t="s">
        <v>101</v>
      </c>
      <c r="H210" s="269"/>
      <c r="I210" s="269"/>
      <c r="J210" s="251"/>
    </row>
    <row r="211">
      <c r="A211" s="265"/>
      <c r="B211" s="247"/>
      <c r="C211" s="248"/>
      <c r="D211" s="331"/>
      <c r="F211" s="250">
        <v>1300.0</v>
      </c>
      <c r="G211" s="254" t="s">
        <v>97</v>
      </c>
      <c r="H211" s="269"/>
      <c r="I211" s="269"/>
      <c r="J211" s="251"/>
    </row>
    <row r="212">
      <c r="A212" s="265"/>
      <c r="B212" s="247"/>
      <c r="C212" s="252"/>
      <c r="D212" s="331"/>
      <c r="F212" s="250">
        <v>14850.0</v>
      </c>
      <c r="G212" s="254" t="s">
        <v>87</v>
      </c>
      <c r="H212" s="269"/>
      <c r="I212" s="269"/>
      <c r="J212" s="251"/>
    </row>
    <row r="213">
      <c r="A213" s="265"/>
      <c r="B213" s="247"/>
      <c r="C213" s="252"/>
      <c r="D213" s="822"/>
      <c r="F213" s="250"/>
      <c r="G213" s="269"/>
      <c r="H213" s="269"/>
      <c r="I213" s="269"/>
      <c r="J213" s="251"/>
    </row>
    <row r="214">
      <c r="A214" s="265"/>
      <c r="B214" s="247"/>
      <c r="C214" s="252"/>
      <c r="D214" s="331"/>
      <c r="F214" s="250"/>
      <c r="G214" s="269"/>
      <c r="H214" s="269"/>
      <c r="I214" s="269"/>
      <c r="J214" s="251"/>
    </row>
    <row r="215">
      <c r="A215" s="265"/>
      <c r="B215" s="268"/>
      <c r="C215" s="248"/>
      <c r="D215" s="331"/>
      <c r="F215" s="250"/>
      <c r="G215" s="269"/>
      <c r="H215" s="269"/>
      <c r="I215" s="269"/>
      <c r="J215" s="251"/>
    </row>
    <row r="216">
      <c r="A216" s="265"/>
      <c r="B216" s="268"/>
      <c r="C216" s="248"/>
      <c r="D216" s="822"/>
      <c r="F216" s="250"/>
      <c r="G216" s="269"/>
      <c r="H216" s="269"/>
      <c r="I216" s="269"/>
      <c r="J216" s="251"/>
    </row>
    <row r="217">
      <c r="A217" s="265"/>
      <c r="B217" s="268"/>
      <c r="C217" s="248"/>
      <c r="D217" s="822"/>
      <c r="F217" s="250"/>
      <c r="G217" s="269"/>
      <c r="H217" s="269"/>
      <c r="I217" s="269"/>
      <c r="J217" s="251"/>
    </row>
    <row r="218">
      <c r="A218" s="265"/>
      <c r="B218" s="247"/>
      <c r="C218" s="248"/>
      <c r="D218" s="822"/>
      <c r="F218" s="250"/>
      <c r="G218" s="269"/>
      <c r="H218" s="269"/>
      <c r="I218" s="269"/>
      <c r="J218" s="251"/>
    </row>
    <row r="219">
      <c r="A219" s="265"/>
      <c r="B219" s="278"/>
      <c r="C219" s="252"/>
      <c r="D219" s="822"/>
      <c r="F219" s="250"/>
      <c r="G219" s="269"/>
      <c r="H219" s="269"/>
      <c r="I219" s="269"/>
      <c r="J219" s="251"/>
    </row>
    <row r="220">
      <c r="A220" s="265"/>
      <c r="B220" s="278"/>
      <c r="C220" s="252"/>
      <c r="D220" s="822"/>
      <c r="F220" s="282"/>
      <c r="G220" s="269"/>
      <c r="H220" s="269"/>
      <c r="I220" s="269"/>
      <c r="J220" s="251"/>
    </row>
    <row r="221">
      <c r="A221" s="270"/>
      <c r="B221" s="271"/>
      <c r="C221" s="272"/>
      <c r="D221" s="823"/>
      <c r="E221" s="18"/>
      <c r="F221" s="274"/>
      <c r="G221" s="275"/>
      <c r="H221" s="275"/>
      <c r="I221" s="275"/>
      <c r="J221" s="261"/>
    </row>
    <row r="222">
      <c r="A222" s="262" t="s">
        <v>418</v>
      </c>
      <c r="B222" s="239"/>
      <c r="C222" s="263"/>
      <c r="D222" s="824"/>
      <c r="E222" s="242"/>
      <c r="F222" s="243">
        <f>805+1196</f>
        <v>2001</v>
      </c>
      <c r="G222" s="276" t="s">
        <v>1737</v>
      </c>
      <c r="H222" s="276"/>
      <c r="I222" s="276"/>
      <c r="J222" s="307"/>
    </row>
    <row r="223">
      <c r="A223" s="265"/>
      <c r="B223" s="247">
        <v>3230.72</v>
      </c>
      <c r="C223" s="248"/>
      <c r="D223" s="331"/>
      <c r="F223" s="250"/>
      <c r="G223" s="254" t="s">
        <v>82</v>
      </c>
      <c r="H223" s="269"/>
      <c r="I223" s="269"/>
      <c r="J223" s="251"/>
    </row>
    <row r="224">
      <c r="A224" s="265"/>
      <c r="B224" s="247">
        <v>6966.18</v>
      </c>
      <c r="C224" s="252"/>
      <c r="D224" s="822"/>
      <c r="F224" s="250"/>
      <c r="G224" s="254" t="s">
        <v>2983</v>
      </c>
      <c r="H224" s="269"/>
      <c r="I224" s="269"/>
      <c r="J224" s="251"/>
    </row>
    <row r="225">
      <c r="A225" s="265"/>
      <c r="B225" s="247">
        <v>8038.18</v>
      </c>
      <c r="C225" s="248"/>
      <c r="D225" s="331"/>
      <c r="F225" s="250"/>
      <c r="G225" s="254" t="s">
        <v>114</v>
      </c>
      <c r="H225" s="269"/>
      <c r="I225" s="269"/>
      <c r="J225" s="251"/>
    </row>
    <row r="226">
      <c r="A226" s="265"/>
      <c r="B226" s="247"/>
      <c r="C226" s="252"/>
      <c r="D226" s="822"/>
      <c r="F226" s="250">
        <v>1500.0</v>
      </c>
      <c r="G226" s="254" t="s">
        <v>2545</v>
      </c>
      <c r="H226" s="269"/>
      <c r="I226" s="269"/>
      <c r="J226" s="251"/>
    </row>
    <row r="227">
      <c r="A227" s="265"/>
      <c r="B227" s="247"/>
      <c r="C227" s="252"/>
      <c r="D227" s="822"/>
      <c r="F227" s="250">
        <v>1000.0</v>
      </c>
      <c r="G227" s="254" t="s">
        <v>2776</v>
      </c>
      <c r="H227" s="269"/>
      <c r="I227" s="269"/>
      <c r="J227" s="251"/>
    </row>
    <row r="228">
      <c r="A228" s="265"/>
      <c r="B228" s="247">
        <v>702.0</v>
      </c>
      <c r="C228" s="252"/>
      <c r="D228" s="822"/>
      <c r="F228" s="250"/>
      <c r="G228" s="254" t="s">
        <v>2708</v>
      </c>
      <c r="H228" s="269"/>
      <c r="I228" s="269"/>
      <c r="J228" s="251"/>
    </row>
    <row r="229">
      <c r="A229" s="265"/>
      <c r="B229" s="247"/>
      <c r="C229" s="252"/>
      <c r="D229" s="822"/>
      <c r="F229" s="250">
        <v>10000.0</v>
      </c>
      <c r="G229" s="254" t="s">
        <v>2806</v>
      </c>
      <c r="H229" s="269"/>
      <c r="I229" s="269"/>
      <c r="J229" s="251"/>
    </row>
    <row r="230">
      <c r="A230" s="265"/>
      <c r="B230" s="247"/>
      <c r="C230" s="252"/>
      <c r="D230" s="331"/>
      <c r="F230" s="250">
        <v>4090.0</v>
      </c>
      <c r="G230" s="254" t="s">
        <v>2984</v>
      </c>
      <c r="H230" s="269"/>
      <c r="I230" s="269"/>
      <c r="J230" s="251"/>
    </row>
    <row r="231">
      <c r="A231" s="265"/>
      <c r="B231" s="278"/>
      <c r="C231" s="252"/>
      <c r="D231" s="822"/>
      <c r="F231" s="250"/>
      <c r="G231" s="254"/>
      <c r="H231" s="269"/>
      <c r="I231" s="269"/>
      <c r="J231" s="251"/>
    </row>
    <row r="232">
      <c r="A232" s="265"/>
      <c r="B232" s="278"/>
      <c r="C232" s="252"/>
      <c r="D232" s="822"/>
      <c r="F232" s="282"/>
      <c r="G232" s="269"/>
      <c r="H232" s="269"/>
      <c r="I232" s="269"/>
      <c r="J232" s="251"/>
    </row>
    <row r="233">
      <c r="A233" s="270"/>
      <c r="B233" s="271"/>
      <c r="C233" s="272"/>
      <c r="D233" s="823"/>
      <c r="E233" s="18"/>
      <c r="F233" s="274"/>
      <c r="G233" s="275"/>
      <c r="H233" s="275"/>
      <c r="I233" s="275"/>
      <c r="J233" s="261"/>
    </row>
    <row r="234">
      <c r="A234" s="262" t="s">
        <v>427</v>
      </c>
      <c r="B234" s="239"/>
      <c r="C234" s="240"/>
      <c r="D234" s="821"/>
      <c r="E234" s="242"/>
      <c r="F234" s="243"/>
      <c r="G234" s="276"/>
      <c r="H234" s="276"/>
      <c r="I234" s="276"/>
      <c r="J234" s="307"/>
    </row>
    <row r="235">
      <c r="A235" s="265"/>
      <c r="B235" s="247"/>
      <c r="C235" s="252"/>
      <c r="D235" s="331"/>
      <c r="F235" s="250"/>
      <c r="G235" s="269"/>
      <c r="H235" s="269"/>
      <c r="I235" s="269"/>
      <c r="J235" s="251"/>
    </row>
    <row r="236">
      <c r="A236" s="265"/>
      <c r="B236" s="268"/>
      <c r="C236" s="252"/>
      <c r="D236" s="331"/>
      <c r="F236" s="250"/>
      <c r="G236" s="269"/>
      <c r="H236" s="269"/>
      <c r="I236" s="269"/>
      <c r="J236" s="251"/>
    </row>
    <row r="237">
      <c r="A237" s="265"/>
      <c r="B237" s="247"/>
      <c r="C237" s="248"/>
      <c r="D237" s="822"/>
      <c r="F237" s="250"/>
      <c r="G237" s="269"/>
      <c r="H237" s="269"/>
      <c r="I237" s="269"/>
      <c r="J237" s="251"/>
    </row>
    <row r="238">
      <c r="A238" s="265"/>
      <c r="B238" s="247"/>
      <c r="C238" s="248"/>
      <c r="D238" s="822"/>
      <c r="F238" s="250"/>
      <c r="G238" s="269"/>
      <c r="H238" s="269"/>
      <c r="I238" s="269"/>
      <c r="J238" s="251"/>
    </row>
    <row r="239">
      <c r="A239" s="265"/>
      <c r="B239" s="268"/>
      <c r="C239" s="248"/>
      <c r="D239" s="331"/>
      <c r="F239" s="250"/>
      <c r="G239" s="269"/>
      <c r="H239" s="269"/>
      <c r="I239" s="269"/>
      <c r="J239" s="251"/>
    </row>
    <row r="240">
      <c r="A240" s="265"/>
      <c r="B240" s="247"/>
      <c r="C240" s="252"/>
      <c r="D240" s="822"/>
      <c r="F240" s="250"/>
      <c r="G240" s="269"/>
      <c r="H240" s="269"/>
      <c r="I240" s="269"/>
      <c r="J240" s="251"/>
    </row>
    <row r="241">
      <c r="A241" s="265"/>
      <c r="B241" s="247"/>
      <c r="C241" s="252"/>
      <c r="D241" s="822"/>
      <c r="F241" s="250"/>
      <c r="G241" s="269"/>
      <c r="H241" s="269"/>
      <c r="I241" s="269"/>
      <c r="J241" s="251"/>
    </row>
    <row r="242">
      <c r="A242" s="265"/>
      <c r="B242" s="268"/>
      <c r="C242" s="252"/>
      <c r="D242" s="822"/>
      <c r="F242" s="250"/>
      <c r="G242" s="269"/>
      <c r="H242" s="269"/>
      <c r="I242" s="269"/>
      <c r="J242" s="251"/>
    </row>
    <row r="243">
      <c r="A243" s="265"/>
      <c r="B243" s="247"/>
      <c r="C243" s="252"/>
      <c r="D243" s="822"/>
      <c r="F243" s="250"/>
      <c r="G243" s="269"/>
      <c r="H243" s="269"/>
      <c r="I243" s="269"/>
      <c r="J243" s="251"/>
    </row>
    <row r="244">
      <c r="A244" s="265"/>
      <c r="B244" s="268"/>
      <c r="C244" s="252"/>
      <c r="D244" s="822"/>
      <c r="F244" s="250"/>
      <c r="G244" s="269"/>
      <c r="H244" s="269"/>
      <c r="I244" s="269"/>
      <c r="J244" s="251"/>
    </row>
    <row r="245">
      <c r="A245" s="265"/>
      <c r="B245" s="277"/>
      <c r="C245" s="252"/>
      <c r="D245" s="822"/>
      <c r="F245" s="282"/>
      <c r="G245" s="269"/>
      <c r="H245" s="269"/>
      <c r="I245" s="269"/>
      <c r="J245" s="251"/>
    </row>
    <row r="246">
      <c r="A246" s="265"/>
      <c r="B246" s="278"/>
      <c r="C246" s="252"/>
      <c r="D246" s="822"/>
      <c r="F246" s="282"/>
      <c r="G246" s="269"/>
      <c r="H246" s="269"/>
      <c r="I246" s="269"/>
      <c r="J246" s="251"/>
    </row>
    <row r="247">
      <c r="A247" s="265"/>
      <c r="B247" s="278"/>
      <c r="C247" s="252"/>
      <c r="D247" s="822"/>
      <c r="F247" s="282"/>
      <c r="G247" s="269"/>
      <c r="H247" s="269"/>
      <c r="I247" s="269"/>
      <c r="J247" s="251"/>
    </row>
    <row r="248">
      <c r="A248" s="270"/>
      <c r="B248" s="271"/>
      <c r="C248" s="272"/>
      <c r="D248" s="823"/>
      <c r="E248" s="18"/>
      <c r="F248" s="274"/>
      <c r="G248" s="275"/>
      <c r="H248" s="275"/>
      <c r="I248" s="275"/>
      <c r="J248" s="261"/>
    </row>
    <row r="249">
      <c r="A249" s="262" t="s">
        <v>428</v>
      </c>
      <c r="B249" s="239"/>
      <c r="C249" s="263"/>
      <c r="D249" s="824"/>
      <c r="E249" s="242"/>
      <c r="F249" s="243">
        <v>2000.0</v>
      </c>
      <c r="G249" s="276" t="s">
        <v>160</v>
      </c>
      <c r="H249" s="276"/>
      <c r="I249" s="276"/>
      <c r="J249" s="307"/>
    </row>
    <row r="250">
      <c r="A250" s="265"/>
      <c r="B250" s="247"/>
      <c r="C250" s="252"/>
      <c r="D250" s="822"/>
      <c r="F250" s="250">
        <v>2500.0</v>
      </c>
      <c r="G250" s="254" t="s">
        <v>2985</v>
      </c>
      <c r="H250" s="269"/>
      <c r="I250" s="269"/>
      <c r="J250" s="251"/>
    </row>
    <row r="251">
      <c r="A251" s="265"/>
      <c r="B251" s="247"/>
      <c r="C251" s="252"/>
      <c r="D251" s="822"/>
      <c r="F251" s="250">
        <v>980.0</v>
      </c>
      <c r="G251" s="254" t="s">
        <v>467</v>
      </c>
      <c r="H251" s="269"/>
      <c r="I251" s="269"/>
      <c r="J251" s="251"/>
    </row>
    <row r="252">
      <c r="A252" s="265"/>
      <c r="B252" s="247"/>
      <c r="C252" s="248"/>
      <c r="D252" s="822"/>
      <c r="F252" s="250">
        <v>1000.0</v>
      </c>
      <c r="G252" s="254" t="s">
        <v>2933</v>
      </c>
      <c r="H252" s="269"/>
      <c r="I252" s="269"/>
      <c r="J252" s="251"/>
    </row>
    <row r="253">
      <c r="A253" s="265"/>
      <c r="B253" s="268"/>
      <c r="C253" s="252"/>
      <c r="D253" s="822"/>
      <c r="F253" s="250">
        <v>3133.75</v>
      </c>
      <c r="G253" s="254" t="s">
        <v>97</v>
      </c>
      <c r="H253" s="269"/>
      <c r="I253" s="269"/>
      <c r="J253" s="267"/>
    </row>
    <row r="254">
      <c r="A254" s="265"/>
      <c r="B254" s="247"/>
      <c r="C254" s="248">
        <v>32209.2</v>
      </c>
      <c r="D254" s="822"/>
      <c r="F254" s="250"/>
      <c r="G254" s="254" t="s">
        <v>71</v>
      </c>
      <c r="H254" s="269"/>
      <c r="I254" s="269"/>
      <c r="J254" s="251"/>
    </row>
    <row r="255">
      <c r="A255" s="265"/>
      <c r="B255" s="247">
        <v>3230.72</v>
      </c>
      <c r="C255" s="248"/>
      <c r="D255" s="822"/>
      <c r="F255" s="250"/>
      <c r="G255" s="254" t="s">
        <v>82</v>
      </c>
      <c r="H255" s="269"/>
      <c r="I255" s="269"/>
      <c r="J255" s="251"/>
    </row>
    <row r="256">
      <c r="A256" s="265"/>
      <c r="B256" s="268"/>
      <c r="C256" s="252"/>
      <c r="D256" s="822"/>
      <c r="F256" s="250">
        <v>900.0</v>
      </c>
      <c r="G256" s="254" t="s">
        <v>2986</v>
      </c>
      <c r="H256" s="269"/>
      <c r="I256" s="269"/>
      <c r="J256" s="251"/>
    </row>
    <row r="257">
      <c r="A257" s="265"/>
      <c r="B257" s="247"/>
      <c r="C257" s="252"/>
      <c r="D257" s="822"/>
      <c r="F257" s="250">
        <v>350.0</v>
      </c>
      <c r="G257" s="254" t="s">
        <v>85</v>
      </c>
      <c r="H257" s="269"/>
      <c r="I257" s="269"/>
      <c r="J257" s="251"/>
    </row>
    <row r="258">
      <c r="A258" s="265"/>
      <c r="B258" s="247">
        <v>7420.0</v>
      </c>
      <c r="C258" s="252"/>
      <c r="D258" s="822"/>
      <c r="F258" s="250"/>
      <c r="G258" s="254" t="s">
        <v>99</v>
      </c>
      <c r="H258" s="269"/>
      <c r="I258" s="269"/>
      <c r="J258" s="251"/>
    </row>
    <row r="259">
      <c r="A259" s="265"/>
      <c r="B259" s="278"/>
      <c r="C259" s="252"/>
      <c r="D259" s="822"/>
      <c r="F259" s="250"/>
      <c r="G259" s="269"/>
      <c r="H259" s="269"/>
      <c r="I259" s="269"/>
      <c r="J259" s="251"/>
    </row>
    <row r="260">
      <c r="A260" s="265"/>
      <c r="B260" s="278"/>
      <c r="C260" s="252"/>
      <c r="D260" s="822"/>
      <c r="F260" s="250"/>
      <c r="G260" s="269"/>
      <c r="H260" s="269"/>
      <c r="I260" s="269"/>
      <c r="J260" s="251"/>
    </row>
    <row r="261">
      <c r="A261" s="265"/>
      <c r="B261" s="278"/>
      <c r="C261" s="252"/>
      <c r="D261" s="822"/>
      <c r="F261" s="250"/>
      <c r="G261" s="269"/>
      <c r="H261" s="269"/>
      <c r="I261" s="269"/>
      <c r="J261" s="251"/>
    </row>
    <row r="262">
      <c r="A262" s="270"/>
      <c r="B262" s="271"/>
      <c r="C262" s="272"/>
      <c r="D262" s="823"/>
      <c r="E262" s="18"/>
      <c r="F262" s="274"/>
      <c r="G262" s="275"/>
      <c r="H262" s="275"/>
      <c r="I262" s="275"/>
      <c r="J262" s="261"/>
    </row>
    <row r="263">
      <c r="A263" s="262" t="s">
        <v>430</v>
      </c>
      <c r="B263" s="239"/>
      <c r="C263" s="263"/>
      <c r="D263" s="824"/>
      <c r="E263" s="242"/>
      <c r="F263" s="243">
        <f>3000+300</f>
        <v>3300</v>
      </c>
      <c r="G263" s="276" t="s">
        <v>97</v>
      </c>
      <c r="H263" s="276"/>
      <c r="I263" s="276"/>
      <c r="J263" s="307"/>
    </row>
    <row r="264">
      <c r="A264" s="265"/>
      <c r="B264" s="247"/>
      <c r="C264" s="248"/>
      <c r="D264" s="822"/>
      <c r="F264" s="250">
        <v>15000.0</v>
      </c>
      <c r="G264" s="254" t="s">
        <v>87</v>
      </c>
      <c r="H264" s="269"/>
      <c r="I264" s="269"/>
      <c r="J264" s="251"/>
    </row>
    <row r="265">
      <c r="A265" s="265"/>
      <c r="B265" s="247">
        <v>10275.48</v>
      </c>
      <c r="C265" s="252"/>
      <c r="D265" s="822"/>
      <c r="F265" s="250"/>
      <c r="G265" s="254" t="s">
        <v>114</v>
      </c>
      <c r="H265" s="269"/>
      <c r="I265" s="269"/>
      <c r="J265" s="251"/>
    </row>
    <row r="266">
      <c r="A266" s="265"/>
      <c r="B266" s="247">
        <v>5331.55</v>
      </c>
      <c r="C266" s="248"/>
      <c r="D266" s="822"/>
      <c r="F266" s="250"/>
      <c r="G266" s="254" t="s">
        <v>73</v>
      </c>
      <c r="H266" s="269"/>
      <c r="I266" s="269"/>
      <c r="J266" s="251"/>
    </row>
    <row r="267">
      <c r="A267" s="265"/>
      <c r="B267" s="247">
        <v>9394.15</v>
      </c>
      <c r="C267" s="248"/>
      <c r="D267" s="822"/>
      <c r="F267" s="250"/>
      <c r="G267" s="254" t="s">
        <v>74</v>
      </c>
      <c r="H267" s="269"/>
      <c r="I267" s="269"/>
      <c r="J267" s="251"/>
    </row>
    <row r="268">
      <c r="A268" s="265"/>
      <c r="B268" s="247">
        <v>10980.0</v>
      </c>
      <c r="C268" s="248"/>
      <c r="D268" s="331"/>
      <c r="F268" s="250"/>
      <c r="G268" s="254" t="s">
        <v>75</v>
      </c>
      <c r="H268" s="269"/>
      <c r="I268" s="269"/>
      <c r="J268" s="251"/>
    </row>
    <row r="269">
      <c r="A269" s="265"/>
      <c r="B269" s="268"/>
      <c r="C269" s="252"/>
      <c r="D269" s="331"/>
      <c r="F269" s="250">
        <v>1000.0</v>
      </c>
      <c r="G269" s="254" t="s">
        <v>2776</v>
      </c>
      <c r="H269" s="269"/>
      <c r="I269" s="269"/>
      <c r="J269" s="251"/>
    </row>
    <row r="270">
      <c r="A270" s="265"/>
      <c r="B270" s="247"/>
      <c r="C270" s="252"/>
      <c r="D270" s="822"/>
      <c r="F270" s="250">
        <v>7700.0</v>
      </c>
      <c r="G270" s="254" t="s">
        <v>76</v>
      </c>
      <c r="H270" s="269"/>
      <c r="I270" s="269"/>
      <c r="J270" s="251"/>
    </row>
    <row r="271">
      <c r="A271" s="265"/>
      <c r="B271" s="247"/>
      <c r="C271" s="252"/>
      <c r="D271" s="822"/>
      <c r="F271" s="250">
        <f>1768+1633</f>
        <v>3401</v>
      </c>
      <c r="G271" s="254" t="s">
        <v>2987</v>
      </c>
      <c r="H271" s="269"/>
      <c r="I271" s="269"/>
      <c r="J271" s="251"/>
    </row>
    <row r="272">
      <c r="A272" s="265"/>
      <c r="B272" s="247">
        <v>8088.0</v>
      </c>
      <c r="C272" s="252"/>
      <c r="D272" s="822"/>
      <c r="F272" s="250"/>
      <c r="G272" s="254" t="s">
        <v>2988</v>
      </c>
      <c r="H272" s="269"/>
      <c r="I272" s="269"/>
      <c r="J272" s="251"/>
    </row>
    <row r="273">
      <c r="A273" s="265"/>
      <c r="B273" s="268"/>
      <c r="C273" s="252"/>
      <c r="D273" s="822"/>
      <c r="F273" s="250">
        <v>680.0</v>
      </c>
      <c r="G273" s="254" t="s">
        <v>97</v>
      </c>
      <c r="H273" s="269"/>
      <c r="I273" s="269"/>
      <c r="J273" s="267"/>
    </row>
    <row r="274">
      <c r="A274" s="265"/>
      <c r="B274" s="268"/>
      <c r="C274" s="252"/>
      <c r="D274" s="822"/>
      <c r="F274" s="250">
        <v>1012.0</v>
      </c>
      <c r="G274" s="254" t="s">
        <v>94</v>
      </c>
      <c r="H274" s="269"/>
      <c r="I274" s="269"/>
      <c r="J274" s="251"/>
    </row>
    <row r="275">
      <c r="A275" s="265"/>
      <c r="B275" s="268"/>
      <c r="C275" s="252"/>
      <c r="D275" s="822"/>
      <c r="F275" s="250">
        <v>10000.0</v>
      </c>
      <c r="G275" s="254" t="s">
        <v>95</v>
      </c>
      <c r="H275" s="269"/>
      <c r="I275" s="269"/>
      <c r="J275" s="251"/>
    </row>
    <row r="276">
      <c r="A276" s="270"/>
      <c r="B276" s="271"/>
      <c r="C276" s="272"/>
      <c r="D276" s="823"/>
      <c r="E276" s="18"/>
      <c r="F276" s="259"/>
      <c r="G276" s="260"/>
      <c r="H276" s="260"/>
      <c r="I276" s="275"/>
      <c r="J276" s="261"/>
    </row>
    <row r="277">
      <c r="A277" s="262" t="s">
        <v>439</v>
      </c>
      <c r="B277" s="239"/>
      <c r="C277" s="263"/>
      <c r="D277" s="821"/>
      <c r="E277" s="242"/>
      <c r="F277" s="243">
        <v>1088.0</v>
      </c>
      <c r="G277" s="276" t="s">
        <v>97</v>
      </c>
      <c r="H277" s="276"/>
      <c r="I277" s="276"/>
      <c r="J277" s="307"/>
    </row>
    <row r="278">
      <c r="A278" s="265"/>
      <c r="B278" s="247"/>
      <c r="C278" s="252"/>
      <c r="D278" s="822"/>
      <c r="F278" s="250">
        <v>1000.0</v>
      </c>
      <c r="G278" s="254" t="s">
        <v>2776</v>
      </c>
      <c r="H278" s="269"/>
      <c r="I278" s="269"/>
      <c r="J278" s="251"/>
    </row>
    <row r="279">
      <c r="A279" s="265"/>
      <c r="B279" s="268"/>
      <c r="C279" s="248"/>
      <c r="D279" s="331"/>
      <c r="F279" s="250">
        <v>700.0</v>
      </c>
      <c r="G279" s="254" t="s">
        <v>1063</v>
      </c>
      <c r="H279" s="269"/>
      <c r="I279" s="269"/>
      <c r="J279" s="251"/>
    </row>
    <row r="280">
      <c r="A280" s="265"/>
      <c r="B280" s="247">
        <v>3529.0</v>
      </c>
      <c r="C280" s="252"/>
      <c r="D280" s="822"/>
      <c r="F280" s="250"/>
      <c r="G280" s="254" t="s">
        <v>118</v>
      </c>
      <c r="H280" s="269"/>
      <c r="I280" s="269"/>
      <c r="J280" s="251"/>
    </row>
    <row r="281">
      <c r="A281" s="265"/>
      <c r="B281" s="247">
        <v>4715.0</v>
      </c>
      <c r="C281" s="248"/>
      <c r="D281" s="822"/>
      <c r="F281" s="250"/>
      <c r="G281" s="254" t="s">
        <v>82</v>
      </c>
      <c r="H281" s="269"/>
      <c r="I281" s="269"/>
      <c r="J281" s="251"/>
    </row>
    <row r="282">
      <c r="A282" s="265"/>
      <c r="B282" s="247">
        <v>10921.46</v>
      </c>
      <c r="C282" s="252"/>
      <c r="D282" s="822"/>
      <c r="F282" s="250"/>
      <c r="G282" s="254" t="s">
        <v>77</v>
      </c>
      <c r="H282" s="269"/>
      <c r="I282" s="269"/>
      <c r="J282" s="251"/>
    </row>
    <row r="283">
      <c r="A283" s="265"/>
      <c r="B283" s="247"/>
      <c r="C283" s="252"/>
      <c r="D283" s="822"/>
      <c r="F283" s="250">
        <v>5650.0</v>
      </c>
      <c r="G283" s="254" t="s">
        <v>524</v>
      </c>
      <c r="H283" s="269"/>
      <c r="I283" s="269"/>
      <c r="J283" s="251"/>
    </row>
    <row r="284">
      <c r="A284" s="265"/>
      <c r="B284" s="268"/>
      <c r="C284" s="248"/>
      <c r="D284" s="822"/>
      <c r="F284" s="250"/>
      <c r="G284" s="269"/>
      <c r="H284" s="269"/>
      <c r="I284" s="269"/>
      <c r="J284" s="251"/>
    </row>
    <row r="285">
      <c r="A285" s="265"/>
      <c r="B285" s="268"/>
      <c r="C285" s="248"/>
      <c r="D285" s="822"/>
      <c r="F285" s="250"/>
      <c r="G285" s="269"/>
      <c r="H285" s="269"/>
      <c r="I285" s="269"/>
      <c r="J285" s="251"/>
    </row>
    <row r="286">
      <c r="A286" s="265"/>
      <c r="B286" s="268"/>
      <c r="C286" s="252"/>
      <c r="D286" s="822"/>
      <c r="F286" s="250"/>
      <c r="G286" s="269"/>
      <c r="H286" s="269"/>
      <c r="I286" s="269"/>
      <c r="J286" s="251"/>
    </row>
    <row r="287">
      <c r="A287" s="265"/>
      <c r="B287" s="268"/>
      <c r="C287" s="252"/>
      <c r="D287" s="822"/>
      <c r="F287" s="250"/>
      <c r="G287" s="269"/>
      <c r="H287" s="269"/>
      <c r="I287" s="269"/>
      <c r="J287" s="251"/>
    </row>
    <row r="288">
      <c r="A288" s="265"/>
      <c r="B288" s="268"/>
      <c r="C288" s="252"/>
      <c r="D288" s="822"/>
      <c r="F288" s="250"/>
      <c r="G288" s="269"/>
      <c r="H288" s="269"/>
      <c r="I288" s="269"/>
      <c r="J288" s="251"/>
    </row>
    <row r="289">
      <c r="A289" s="270"/>
      <c r="B289" s="271"/>
      <c r="C289" s="272"/>
      <c r="D289" s="823"/>
      <c r="E289" s="18"/>
      <c r="F289" s="259"/>
      <c r="G289" s="260"/>
      <c r="H289" s="260"/>
      <c r="I289" s="275"/>
      <c r="J289" s="261"/>
    </row>
    <row r="290">
      <c r="A290" s="262" t="s">
        <v>446</v>
      </c>
      <c r="B290" s="239">
        <v>11600.0</v>
      </c>
      <c r="C290" s="263"/>
      <c r="D290" s="824"/>
      <c r="E290" s="242"/>
      <c r="F290" s="243"/>
      <c r="G290" s="276" t="s">
        <v>122</v>
      </c>
      <c r="H290" s="276"/>
      <c r="I290" s="276"/>
      <c r="J290" s="307"/>
    </row>
    <row r="291">
      <c r="A291" s="265"/>
      <c r="B291" s="247">
        <v>4440.0</v>
      </c>
      <c r="C291" s="252"/>
      <c r="D291" s="822"/>
      <c r="F291" s="250"/>
      <c r="G291" s="254" t="s">
        <v>75</v>
      </c>
      <c r="H291" s="269"/>
      <c r="I291" s="269"/>
      <c r="J291" s="251"/>
    </row>
    <row r="292">
      <c r="A292" s="265"/>
      <c r="B292" s="247"/>
      <c r="C292" s="252"/>
      <c r="D292" s="822"/>
      <c r="F292" s="250">
        <f>500+1098</f>
        <v>1598</v>
      </c>
      <c r="G292" s="254" t="s">
        <v>97</v>
      </c>
      <c r="H292" s="269"/>
      <c r="I292" s="269"/>
      <c r="J292" s="251"/>
    </row>
    <row r="293">
      <c r="A293" s="265"/>
      <c r="B293" s="268"/>
      <c r="C293" s="248"/>
      <c r="D293" s="822"/>
      <c r="F293" s="250">
        <v>1000.0</v>
      </c>
      <c r="G293" s="254" t="s">
        <v>2776</v>
      </c>
      <c r="H293" s="269"/>
      <c r="I293" s="269"/>
      <c r="J293" s="251"/>
    </row>
    <row r="294">
      <c r="A294" s="265"/>
      <c r="B294" s="247">
        <v>990.0</v>
      </c>
      <c r="C294" s="252"/>
      <c r="D294" s="822"/>
      <c r="F294" s="250"/>
      <c r="G294" s="254" t="s">
        <v>2989</v>
      </c>
      <c r="H294" s="269"/>
      <c r="I294" s="269"/>
      <c r="J294" s="251"/>
    </row>
    <row r="295">
      <c r="A295" s="265"/>
      <c r="B295" s="268"/>
      <c r="C295" s="248"/>
      <c r="D295" s="331"/>
      <c r="F295" s="250">
        <v>1300.0</v>
      </c>
      <c r="G295" s="254" t="s">
        <v>2938</v>
      </c>
      <c r="H295" s="269"/>
      <c r="I295" s="269"/>
      <c r="J295" s="251"/>
    </row>
    <row r="296">
      <c r="A296" s="265"/>
      <c r="B296" s="247"/>
      <c r="C296" s="252"/>
      <c r="D296" s="331"/>
      <c r="F296" s="250">
        <v>1500.0</v>
      </c>
      <c r="G296" s="254" t="s">
        <v>2935</v>
      </c>
      <c r="H296" s="269"/>
      <c r="I296" s="269"/>
      <c r="J296" s="251"/>
    </row>
    <row r="297">
      <c r="A297" s="265"/>
      <c r="B297" s="247"/>
      <c r="C297" s="248"/>
      <c r="D297" s="822"/>
      <c r="F297" s="250">
        <v>2000.0</v>
      </c>
      <c r="G297" s="254" t="s">
        <v>94</v>
      </c>
      <c r="H297" s="269"/>
      <c r="I297" s="269"/>
      <c r="J297" s="251"/>
    </row>
    <row r="298">
      <c r="A298" s="265"/>
      <c r="B298" s="268"/>
      <c r="C298" s="252"/>
      <c r="D298" s="331"/>
      <c r="F298" s="250">
        <v>1000.0</v>
      </c>
      <c r="G298" s="254" t="s">
        <v>97</v>
      </c>
      <c r="H298" s="269"/>
      <c r="I298" s="269"/>
      <c r="J298" s="251"/>
    </row>
    <row r="299">
      <c r="A299" s="265"/>
      <c r="B299" s="247">
        <v>5990.0</v>
      </c>
      <c r="C299" s="252"/>
      <c r="D299" s="331"/>
      <c r="F299" s="250"/>
      <c r="G299" s="254" t="s">
        <v>2990</v>
      </c>
      <c r="H299" s="269"/>
      <c r="I299" s="269"/>
      <c r="J299" s="251"/>
    </row>
    <row r="300">
      <c r="A300" s="265"/>
      <c r="B300" s="268"/>
      <c r="C300" s="252"/>
      <c r="D300" s="822"/>
      <c r="F300" s="250"/>
      <c r="G300" s="269"/>
      <c r="H300" s="269"/>
      <c r="I300" s="269"/>
      <c r="J300" s="251"/>
    </row>
    <row r="301">
      <c r="A301" s="265"/>
      <c r="B301" s="268"/>
      <c r="C301" s="252"/>
      <c r="D301" s="822"/>
      <c r="F301" s="250"/>
      <c r="G301" s="269"/>
      <c r="H301" s="269"/>
      <c r="I301" s="269"/>
      <c r="J301" s="251"/>
    </row>
    <row r="302">
      <c r="A302" s="265"/>
      <c r="B302" s="268"/>
      <c r="C302" s="252"/>
      <c r="D302" s="822"/>
      <c r="F302" s="250"/>
      <c r="G302" s="269"/>
      <c r="H302" s="269"/>
      <c r="I302" s="269"/>
      <c r="J302" s="251"/>
    </row>
    <row r="303">
      <c r="A303" s="270"/>
      <c r="B303" s="271"/>
      <c r="C303" s="272"/>
      <c r="D303" s="823"/>
      <c r="E303" s="18"/>
      <c r="F303" s="274"/>
      <c r="G303" s="275"/>
      <c r="H303" s="275"/>
      <c r="I303" s="275"/>
      <c r="J303" s="261"/>
    </row>
    <row r="304">
      <c r="A304" s="262" t="s">
        <v>449</v>
      </c>
      <c r="B304" s="239"/>
      <c r="C304" s="263"/>
      <c r="D304" s="824"/>
      <c r="E304" s="242"/>
      <c r="F304" s="243">
        <v>14700.0</v>
      </c>
      <c r="G304" s="276" t="s">
        <v>87</v>
      </c>
      <c r="H304" s="276"/>
      <c r="I304" s="276"/>
      <c r="J304" s="307"/>
    </row>
    <row r="305">
      <c r="A305" s="265"/>
      <c r="B305" s="247"/>
      <c r="C305" s="248">
        <v>31729.0</v>
      </c>
      <c r="D305" s="822"/>
      <c r="F305" s="250"/>
      <c r="G305" s="254" t="s">
        <v>71</v>
      </c>
      <c r="H305" s="269"/>
      <c r="I305" s="269"/>
      <c r="J305" s="251"/>
    </row>
    <row r="306">
      <c r="A306" s="265"/>
      <c r="B306" s="247">
        <v>3231.0</v>
      </c>
      <c r="C306" s="248"/>
      <c r="D306" s="822"/>
      <c r="F306" s="250"/>
      <c r="G306" s="254" t="s">
        <v>82</v>
      </c>
      <c r="H306" s="269"/>
      <c r="I306" s="269"/>
      <c r="J306" s="251"/>
    </row>
    <row r="307">
      <c r="A307" s="265"/>
      <c r="B307" s="247"/>
      <c r="C307" s="248"/>
      <c r="D307" s="822"/>
      <c r="F307" s="250">
        <v>2300.0</v>
      </c>
      <c r="G307" s="254" t="s">
        <v>2991</v>
      </c>
      <c r="H307" s="269"/>
      <c r="I307" s="269"/>
      <c r="J307" s="251"/>
    </row>
    <row r="308">
      <c r="A308" s="265"/>
      <c r="B308" s="247"/>
      <c r="C308" s="252"/>
      <c r="D308" s="822"/>
      <c r="F308" s="250">
        <v>1000.0</v>
      </c>
      <c r="G308" s="254" t="s">
        <v>2933</v>
      </c>
      <c r="H308" s="269"/>
      <c r="I308" s="269"/>
      <c r="J308" s="251"/>
    </row>
    <row r="309">
      <c r="A309" s="265"/>
      <c r="B309" s="247"/>
      <c r="C309" s="252"/>
      <c r="D309" s="822"/>
      <c r="F309" s="250">
        <v>3160.0</v>
      </c>
      <c r="G309" s="254" t="s">
        <v>97</v>
      </c>
      <c r="H309" s="269"/>
      <c r="I309" s="269"/>
      <c r="J309" s="251"/>
    </row>
    <row r="310">
      <c r="A310" s="265"/>
      <c r="B310" s="247"/>
      <c r="C310" s="248"/>
      <c r="D310" s="822"/>
      <c r="F310" s="250">
        <v>1200.0</v>
      </c>
      <c r="G310" s="254" t="s">
        <v>2914</v>
      </c>
      <c r="H310" s="269"/>
      <c r="I310" s="269"/>
      <c r="J310" s="251"/>
    </row>
    <row r="311">
      <c r="A311" s="265"/>
      <c r="B311" s="247"/>
      <c r="C311" s="252"/>
      <c r="D311" s="331">
        <v>950.0</v>
      </c>
      <c r="F311" s="250"/>
      <c r="G311" s="254" t="s">
        <v>2992</v>
      </c>
      <c r="H311" s="269"/>
      <c r="I311" s="269"/>
      <c r="J311" s="251"/>
    </row>
    <row r="312">
      <c r="A312" s="265"/>
      <c r="B312" s="247"/>
      <c r="C312" s="252"/>
      <c r="D312" s="822"/>
      <c r="F312" s="250"/>
      <c r="G312" s="269"/>
      <c r="H312" s="269"/>
      <c r="I312" s="269"/>
      <c r="J312" s="251"/>
    </row>
    <row r="313">
      <c r="A313" s="265"/>
      <c r="B313" s="268"/>
      <c r="C313" s="252"/>
      <c r="D313" s="822"/>
      <c r="F313" s="250"/>
      <c r="G313" s="269"/>
      <c r="H313" s="269"/>
      <c r="I313" s="269"/>
      <c r="J313" s="251"/>
    </row>
    <row r="314">
      <c r="A314" s="265"/>
      <c r="B314" s="268"/>
      <c r="C314" s="252"/>
      <c r="D314" s="822"/>
      <c r="F314" s="250"/>
      <c r="G314" s="254"/>
      <c r="H314" s="254"/>
      <c r="I314" s="269"/>
      <c r="J314" s="251"/>
    </row>
    <row r="315">
      <c r="A315" s="265"/>
      <c r="B315" s="268"/>
      <c r="C315" s="252"/>
      <c r="D315" s="822"/>
      <c r="F315" s="250"/>
      <c r="G315" s="269"/>
      <c r="H315" s="269"/>
      <c r="I315" s="269"/>
      <c r="J315" s="251"/>
    </row>
    <row r="316">
      <c r="A316" s="265"/>
      <c r="B316" s="268"/>
      <c r="C316" s="252"/>
      <c r="D316" s="822"/>
      <c r="F316" s="250"/>
      <c r="G316" s="269"/>
      <c r="H316" s="269"/>
      <c r="I316" s="269"/>
      <c r="J316" s="251"/>
    </row>
    <row r="317">
      <c r="A317" s="265"/>
      <c r="B317" s="268"/>
      <c r="C317" s="252"/>
      <c r="D317" s="822"/>
      <c r="F317" s="250"/>
      <c r="G317" s="269"/>
      <c r="H317" s="269"/>
      <c r="I317" s="269"/>
      <c r="J317" s="251"/>
    </row>
    <row r="318">
      <c r="A318" s="270"/>
      <c r="B318" s="271"/>
      <c r="C318" s="272"/>
      <c r="D318" s="823"/>
      <c r="E318" s="18"/>
      <c r="F318" s="274"/>
      <c r="G318" s="275"/>
      <c r="H318" s="275"/>
      <c r="I318" s="275"/>
      <c r="J318" s="261"/>
    </row>
    <row r="319">
      <c r="A319" s="262" t="s">
        <v>452</v>
      </c>
      <c r="B319" s="239">
        <v>7653.34</v>
      </c>
      <c r="C319" s="240"/>
      <c r="D319" s="821"/>
      <c r="E319" s="242"/>
      <c r="F319" s="250"/>
      <c r="G319" s="254" t="s">
        <v>114</v>
      </c>
      <c r="H319" s="269"/>
      <c r="I319" s="269"/>
      <c r="J319" s="307"/>
    </row>
    <row r="320">
      <c r="A320" s="265"/>
      <c r="B320" s="247"/>
      <c r="C320" s="252"/>
      <c r="D320" s="822"/>
      <c r="F320" s="250">
        <v>975.0</v>
      </c>
      <c r="G320" s="254" t="s">
        <v>97</v>
      </c>
      <c r="H320" s="269"/>
      <c r="I320" s="269"/>
      <c r="J320" s="251"/>
    </row>
    <row r="321">
      <c r="A321" s="265"/>
      <c r="B321" s="247">
        <v>7300.0</v>
      </c>
      <c r="C321" s="248"/>
      <c r="D321" s="331"/>
      <c r="F321" s="250"/>
      <c r="G321" s="254" t="s">
        <v>79</v>
      </c>
      <c r="H321" s="269"/>
      <c r="I321" s="269"/>
      <c r="J321" s="251"/>
    </row>
    <row r="322">
      <c r="A322" s="265"/>
      <c r="B322" s="247"/>
      <c r="C322" s="248"/>
      <c r="D322" s="822"/>
      <c r="F322" s="250">
        <v>4800.0</v>
      </c>
      <c r="G322" s="254" t="s">
        <v>2669</v>
      </c>
      <c r="H322" s="269"/>
      <c r="I322" s="269"/>
      <c r="J322" s="251"/>
    </row>
    <row r="323">
      <c r="A323" s="265"/>
      <c r="B323" s="247"/>
      <c r="C323" s="252"/>
      <c r="D323" s="822"/>
      <c r="F323" s="250"/>
      <c r="G323" s="269"/>
      <c r="H323" s="269"/>
      <c r="I323" s="269"/>
      <c r="J323" s="251"/>
    </row>
    <row r="324">
      <c r="A324" s="265"/>
      <c r="B324" s="247"/>
      <c r="C324" s="252"/>
      <c r="D324" s="822"/>
      <c r="F324" s="250"/>
      <c r="G324" s="269"/>
      <c r="H324" s="269"/>
      <c r="I324" s="269"/>
      <c r="J324" s="251"/>
    </row>
    <row r="325">
      <c r="A325" s="265"/>
      <c r="B325" s="247"/>
      <c r="C325" s="252"/>
      <c r="D325" s="331"/>
      <c r="F325" s="250"/>
      <c r="G325" s="269"/>
      <c r="H325" s="269"/>
      <c r="I325" s="269"/>
      <c r="J325" s="251"/>
    </row>
    <row r="326">
      <c r="A326" s="265"/>
      <c r="B326" s="247"/>
      <c r="C326" s="252"/>
      <c r="D326" s="822"/>
      <c r="F326" s="250"/>
      <c r="G326" s="269"/>
      <c r="H326" s="269"/>
      <c r="I326" s="269"/>
      <c r="J326" s="251"/>
    </row>
    <row r="327">
      <c r="A327" s="265"/>
      <c r="B327" s="268"/>
      <c r="C327" s="252"/>
      <c r="D327" s="822"/>
      <c r="F327" s="250"/>
      <c r="G327" s="269"/>
      <c r="H327" s="269"/>
      <c r="I327" s="269"/>
      <c r="J327" s="251"/>
    </row>
    <row r="328">
      <c r="A328" s="265"/>
      <c r="B328" s="268"/>
      <c r="C328" s="252"/>
      <c r="D328" s="822"/>
      <c r="F328" s="250"/>
      <c r="G328" s="269"/>
      <c r="H328" s="269"/>
      <c r="I328" s="269"/>
      <c r="J328" s="251"/>
    </row>
    <row r="329">
      <c r="A329" s="265"/>
      <c r="B329" s="268"/>
      <c r="C329" s="252"/>
      <c r="D329" s="822"/>
      <c r="F329" s="250"/>
      <c r="G329" s="269"/>
      <c r="H329" s="269"/>
      <c r="I329" s="269"/>
      <c r="J329" s="251"/>
    </row>
    <row r="330">
      <c r="A330" s="265"/>
      <c r="B330" s="247"/>
      <c r="C330" s="252"/>
      <c r="D330" s="822"/>
      <c r="F330" s="250"/>
      <c r="G330" s="269"/>
      <c r="H330" s="269"/>
      <c r="I330" s="269"/>
      <c r="J330" s="251"/>
    </row>
    <row r="331">
      <c r="A331" s="265"/>
      <c r="B331" s="268"/>
      <c r="C331" s="252"/>
      <c r="D331" s="822"/>
      <c r="F331" s="250"/>
      <c r="G331" s="269"/>
      <c r="H331" s="269"/>
      <c r="I331" s="269"/>
      <c r="J331" s="251"/>
    </row>
    <row r="332">
      <c r="A332" s="265"/>
      <c r="B332" s="268"/>
      <c r="C332" s="252"/>
      <c r="D332" s="822"/>
      <c r="F332" s="250"/>
      <c r="G332" s="269"/>
      <c r="H332" s="269"/>
      <c r="I332" s="269"/>
      <c r="J332" s="251"/>
    </row>
    <row r="333">
      <c r="A333" s="270"/>
      <c r="B333" s="271"/>
      <c r="C333" s="272"/>
      <c r="D333" s="823"/>
      <c r="E333" s="18"/>
      <c r="F333" s="274"/>
      <c r="G333" s="18"/>
      <c r="H333" s="18"/>
      <c r="I333" s="18"/>
      <c r="J333" s="261"/>
    </row>
    <row r="334">
      <c r="A334" s="262" t="s">
        <v>661</v>
      </c>
      <c r="B334" s="239"/>
      <c r="C334" s="263"/>
      <c r="D334" s="824"/>
      <c r="E334" s="242"/>
      <c r="F334" s="243">
        <v>4672.0</v>
      </c>
      <c r="G334" s="244" t="s">
        <v>97</v>
      </c>
      <c r="H334" s="244"/>
      <c r="I334" s="244"/>
      <c r="J334" s="307"/>
    </row>
    <row r="335">
      <c r="A335" s="265"/>
      <c r="B335" s="247">
        <v>4846.08</v>
      </c>
      <c r="C335" s="248"/>
      <c r="D335" s="822"/>
      <c r="F335" s="250"/>
      <c r="G335" s="2" t="s">
        <v>2993</v>
      </c>
      <c r="J335" s="251"/>
    </row>
    <row r="336">
      <c r="A336" s="265"/>
      <c r="B336" s="268"/>
      <c r="C336" s="248"/>
      <c r="D336" s="331">
        <v>43560.0</v>
      </c>
      <c r="F336" s="250"/>
      <c r="G336" s="2" t="s">
        <v>167</v>
      </c>
      <c r="J336" s="251"/>
    </row>
    <row r="337">
      <c r="A337" s="265"/>
      <c r="B337" s="268"/>
      <c r="C337" s="252"/>
      <c r="D337" s="822"/>
      <c r="F337" s="250">
        <v>1000.0</v>
      </c>
      <c r="G337" s="2" t="s">
        <v>2776</v>
      </c>
      <c r="J337" s="251"/>
    </row>
    <row r="338">
      <c r="A338" s="265"/>
      <c r="B338" s="247"/>
      <c r="C338" s="248"/>
      <c r="D338" s="331"/>
      <c r="F338" s="250">
        <v>2500.0</v>
      </c>
      <c r="G338" s="2" t="s">
        <v>160</v>
      </c>
      <c r="J338" s="251"/>
    </row>
    <row r="339">
      <c r="A339" s="265"/>
      <c r="B339" s="247"/>
      <c r="C339" s="252"/>
      <c r="D339" s="822"/>
      <c r="F339" s="250">
        <v>1000.0</v>
      </c>
      <c r="G339" s="2" t="s">
        <v>63</v>
      </c>
      <c r="J339" s="251"/>
    </row>
    <row r="340">
      <c r="A340" s="265"/>
      <c r="B340" s="247"/>
      <c r="C340" s="252"/>
      <c r="D340" s="822"/>
      <c r="F340" s="250"/>
      <c r="J340" s="251"/>
    </row>
    <row r="341">
      <c r="A341" s="265"/>
      <c r="B341" s="247"/>
      <c r="C341" s="252"/>
      <c r="D341" s="822"/>
      <c r="F341" s="250"/>
      <c r="J341" s="251"/>
    </row>
    <row r="342">
      <c r="A342" s="265"/>
      <c r="B342" s="247"/>
      <c r="C342" s="252"/>
      <c r="D342" s="822"/>
      <c r="F342" s="250"/>
      <c r="J342" s="251"/>
    </row>
    <row r="343">
      <c r="A343" s="265"/>
      <c r="B343" s="247"/>
      <c r="C343" s="252"/>
      <c r="D343" s="822"/>
      <c r="F343" s="250"/>
      <c r="J343" s="251"/>
    </row>
    <row r="344">
      <c r="A344" s="265"/>
      <c r="B344" s="247"/>
      <c r="C344" s="252"/>
      <c r="D344" s="822"/>
      <c r="F344" s="250"/>
      <c r="J344" s="251"/>
    </row>
    <row r="345">
      <c r="A345" s="265"/>
      <c r="B345" s="247"/>
      <c r="C345" s="252"/>
      <c r="D345" s="331"/>
      <c r="F345" s="250"/>
      <c r="J345" s="251"/>
    </row>
    <row r="346">
      <c r="A346" s="270"/>
      <c r="B346" s="271"/>
      <c r="C346" s="272"/>
      <c r="D346" s="823"/>
      <c r="E346" s="18"/>
      <c r="F346" s="259"/>
      <c r="G346" s="293"/>
      <c r="H346" s="293"/>
      <c r="I346" s="18"/>
      <c r="J346" s="261"/>
    </row>
    <row r="347">
      <c r="A347" s="262"/>
      <c r="B347" s="306"/>
      <c r="C347" s="240"/>
      <c r="D347" s="824"/>
      <c r="E347" s="242"/>
      <c r="F347" s="243"/>
      <c r="G347" s="244"/>
      <c r="H347" s="244"/>
      <c r="I347" s="244"/>
      <c r="J347" s="307"/>
    </row>
    <row r="348">
      <c r="A348" s="265"/>
      <c r="B348" s="247"/>
      <c r="C348" s="248"/>
      <c r="D348" s="822"/>
      <c r="F348" s="250"/>
      <c r="J348" s="251"/>
    </row>
    <row r="349">
      <c r="A349" s="265"/>
      <c r="B349" s="247"/>
      <c r="C349" s="252"/>
      <c r="D349" s="822"/>
      <c r="F349" s="250"/>
      <c r="J349" s="251"/>
    </row>
    <row r="350">
      <c r="A350" s="265"/>
      <c r="B350" s="247"/>
      <c r="C350" s="248"/>
      <c r="D350" s="331"/>
      <c r="F350" s="250"/>
      <c r="J350" s="251"/>
    </row>
    <row r="351">
      <c r="A351" s="265"/>
      <c r="B351" s="247"/>
      <c r="C351" s="252"/>
      <c r="D351" s="822"/>
      <c r="F351" s="250"/>
      <c r="J351" s="251"/>
    </row>
    <row r="352">
      <c r="A352" s="265"/>
      <c r="B352" s="247"/>
      <c r="C352" s="252"/>
      <c r="D352" s="822"/>
      <c r="F352" s="250"/>
      <c r="J352" s="251"/>
    </row>
    <row r="353">
      <c r="A353" s="265"/>
      <c r="B353" s="247"/>
      <c r="C353" s="252"/>
      <c r="D353" s="822"/>
      <c r="F353" s="250"/>
      <c r="I353" s="318"/>
      <c r="J353" s="251"/>
    </row>
    <row r="354">
      <c r="A354" s="265"/>
      <c r="B354" s="268"/>
      <c r="C354" s="252"/>
      <c r="D354" s="331"/>
      <c r="F354" s="250"/>
      <c r="J354" s="251"/>
    </row>
    <row r="355">
      <c r="A355" s="265"/>
      <c r="B355" s="268"/>
      <c r="C355" s="252"/>
      <c r="D355" s="822"/>
      <c r="F355" s="250"/>
      <c r="J355" s="251"/>
    </row>
    <row r="356">
      <c r="A356" s="265"/>
      <c r="B356" s="268"/>
      <c r="C356" s="252"/>
      <c r="D356" s="822"/>
      <c r="F356" s="250"/>
      <c r="J356" s="251"/>
    </row>
    <row r="357">
      <c r="A357" s="265"/>
      <c r="B357" s="268"/>
      <c r="C357" s="252"/>
      <c r="D357" s="822"/>
      <c r="F357" s="250"/>
      <c r="J357" s="251"/>
    </row>
    <row r="358">
      <c r="A358" s="265"/>
      <c r="B358" s="247"/>
      <c r="C358" s="252"/>
      <c r="D358" s="822"/>
      <c r="F358" s="250"/>
      <c r="J358" s="251"/>
    </row>
    <row r="359">
      <c r="A359" s="265"/>
      <c r="B359" s="268"/>
      <c r="C359" s="252"/>
      <c r="D359" s="822"/>
      <c r="F359" s="250"/>
      <c r="J359" s="251"/>
    </row>
    <row r="360">
      <c r="A360" s="265"/>
      <c r="B360" s="268"/>
      <c r="C360" s="252"/>
      <c r="D360" s="822"/>
      <c r="F360" s="250"/>
      <c r="J360" s="251"/>
    </row>
    <row r="361">
      <c r="A361" s="265"/>
      <c r="B361" s="268"/>
      <c r="C361" s="252"/>
      <c r="D361" s="822"/>
      <c r="F361" s="250"/>
      <c r="J361" s="251"/>
    </row>
    <row r="362">
      <c r="A362" s="265"/>
      <c r="B362" s="268"/>
      <c r="C362" s="252"/>
      <c r="D362" s="822"/>
      <c r="F362" s="250"/>
      <c r="J362" s="251"/>
    </row>
    <row r="363">
      <c r="A363" s="265"/>
      <c r="B363" s="268"/>
      <c r="C363" s="252"/>
      <c r="D363" s="822"/>
      <c r="F363" s="250"/>
      <c r="J363" s="251"/>
    </row>
    <row r="364">
      <c r="A364" s="270"/>
      <c r="B364" s="271"/>
      <c r="C364" s="272"/>
      <c r="D364" s="823"/>
      <c r="E364" s="18"/>
      <c r="F364" s="274"/>
      <c r="G364" s="18"/>
      <c r="H364" s="18"/>
      <c r="I364" s="293"/>
      <c r="J364" s="261"/>
    </row>
    <row r="365">
      <c r="A365" s="262"/>
      <c r="B365" s="306"/>
      <c r="C365" s="240"/>
      <c r="D365" s="824"/>
      <c r="E365" s="242"/>
      <c r="F365" s="243"/>
      <c r="G365" s="244"/>
      <c r="H365" s="244"/>
      <c r="I365" s="244"/>
      <c r="J365" s="307"/>
    </row>
    <row r="366">
      <c r="A366" s="265"/>
      <c r="B366" s="247"/>
      <c r="C366" s="248"/>
      <c r="D366" s="822"/>
      <c r="F366" s="250"/>
      <c r="J366" s="251"/>
    </row>
    <row r="367">
      <c r="A367" s="265"/>
      <c r="B367" s="247"/>
      <c r="C367" s="252"/>
      <c r="D367" s="822"/>
      <c r="F367" s="250"/>
      <c r="J367" s="251"/>
    </row>
    <row r="368">
      <c r="A368" s="265"/>
      <c r="B368" s="247"/>
      <c r="C368" s="248"/>
      <c r="D368" s="331"/>
      <c r="F368" s="250"/>
      <c r="J368" s="251"/>
    </row>
    <row r="369">
      <c r="A369" s="265"/>
      <c r="B369" s="247"/>
      <c r="C369" s="252"/>
      <c r="D369" s="822"/>
      <c r="F369" s="250"/>
      <c r="J369" s="251"/>
    </row>
    <row r="370">
      <c r="A370" s="265"/>
      <c r="B370" s="247"/>
      <c r="C370" s="252"/>
      <c r="D370" s="822"/>
      <c r="F370" s="250"/>
      <c r="J370" s="251"/>
    </row>
    <row r="371">
      <c r="A371" s="265"/>
      <c r="B371" s="247"/>
      <c r="C371" s="252"/>
      <c r="D371" s="822"/>
      <c r="F371" s="250"/>
      <c r="I371" s="318"/>
      <c r="J371" s="251"/>
    </row>
    <row r="372">
      <c r="A372" s="265"/>
      <c r="B372" s="268"/>
      <c r="C372" s="252"/>
      <c r="D372" s="331"/>
      <c r="F372" s="250"/>
      <c r="J372" s="251"/>
    </row>
    <row r="373">
      <c r="A373" s="265"/>
      <c r="B373" s="268"/>
      <c r="C373" s="252"/>
      <c r="D373" s="822"/>
      <c r="F373" s="250"/>
      <c r="J373" s="251"/>
    </row>
    <row r="374">
      <c r="A374" s="265"/>
      <c r="B374" s="268"/>
      <c r="C374" s="252"/>
      <c r="D374" s="822"/>
      <c r="F374" s="250"/>
      <c r="J374" s="251"/>
    </row>
    <row r="375">
      <c r="A375" s="265"/>
      <c r="B375" s="268"/>
      <c r="C375" s="252"/>
      <c r="D375" s="822"/>
      <c r="F375" s="250"/>
      <c r="J375" s="251"/>
    </row>
    <row r="376">
      <c r="A376" s="265"/>
      <c r="B376" s="247"/>
      <c r="C376" s="252"/>
      <c r="D376" s="822"/>
      <c r="F376" s="250"/>
      <c r="J376" s="251"/>
    </row>
    <row r="377">
      <c r="A377" s="265"/>
      <c r="B377" s="268"/>
      <c r="C377" s="252"/>
      <c r="D377" s="822"/>
      <c r="F377" s="250"/>
      <c r="J377" s="251"/>
    </row>
    <row r="378">
      <c r="A378" s="265"/>
      <c r="B378" s="268"/>
      <c r="C378" s="252"/>
      <c r="D378" s="822"/>
      <c r="F378" s="250"/>
      <c r="J378" s="251"/>
    </row>
    <row r="379">
      <c r="A379" s="265"/>
      <c r="B379" s="268"/>
      <c r="C379" s="252"/>
      <c r="D379" s="822"/>
      <c r="F379" s="250"/>
      <c r="J379" s="251"/>
    </row>
    <row r="380">
      <c r="A380" s="265"/>
      <c r="B380" s="268"/>
      <c r="C380" s="252"/>
      <c r="D380" s="822"/>
      <c r="F380" s="250"/>
      <c r="J380" s="251"/>
    </row>
    <row r="381">
      <c r="A381" s="265"/>
      <c r="B381" s="268"/>
      <c r="C381" s="252"/>
      <c r="D381" s="822"/>
      <c r="F381" s="250"/>
      <c r="J381" s="251"/>
    </row>
    <row r="382">
      <c r="A382" s="270"/>
      <c r="B382" s="271"/>
      <c r="C382" s="272"/>
      <c r="D382" s="823"/>
      <c r="E382" s="18"/>
      <c r="F382" s="274"/>
      <c r="G382" s="18"/>
      <c r="H382" s="18"/>
      <c r="I382" s="293" t="s">
        <v>2817</v>
      </c>
      <c r="J382" s="261"/>
    </row>
    <row r="383">
      <c r="A383" s="262" t="s">
        <v>187</v>
      </c>
      <c r="B383" s="239"/>
      <c r="C383" s="240"/>
      <c r="D383" s="821"/>
      <c r="E383" s="242"/>
      <c r="F383" s="243"/>
      <c r="G383" s="2" t="s">
        <v>188</v>
      </c>
      <c r="H383" s="318"/>
      <c r="I383" s="318"/>
      <c r="J383" s="307"/>
    </row>
    <row r="384">
      <c r="A384" s="265"/>
      <c r="B384" s="247"/>
      <c r="C384" s="248"/>
      <c r="D384" s="331"/>
      <c r="F384" s="250"/>
      <c r="G384" s="2" t="s">
        <v>2819</v>
      </c>
      <c r="H384" s="318"/>
      <c r="I384" s="318"/>
      <c r="J384" s="267"/>
    </row>
    <row r="385">
      <c r="A385" s="265"/>
      <c r="B385" s="247">
        <v>1586.59</v>
      </c>
      <c r="C385" s="248"/>
      <c r="D385" s="331"/>
      <c r="F385" s="250"/>
      <c r="G385" s="2" t="s">
        <v>2284</v>
      </c>
      <c r="H385" s="318">
        <v>44582.0</v>
      </c>
      <c r="I385" s="318"/>
      <c r="J385" s="267"/>
    </row>
    <row r="386">
      <c r="A386" s="265"/>
      <c r="B386" s="268"/>
      <c r="C386" s="252"/>
      <c r="D386" s="331">
        <v>48400.0</v>
      </c>
      <c r="F386" s="250"/>
      <c r="G386" s="2" t="s">
        <v>192</v>
      </c>
      <c r="H386" s="318">
        <v>44582.0</v>
      </c>
      <c r="I386" s="318"/>
      <c r="J386" s="251"/>
    </row>
    <row r="387">
      <c r="A387" s="265"/>
      <c r="B387" s="268"/>
      <c r="C387" s="252"/>
      <c r="D387" s="822"/>
      <c r="F387" s="250">
        <v>30000.0</v>
      </c>
      <c r="G387" s="2" t="s">
        <v>193</v>
      </c>
      <c r="H387" s="318">
        <v>44594.0</v>
      </c>
      <c r="J387" s="251"/>
    </row>
    <row r="388">
      <c r="A388" s="265"/>
      <c r="B388" s="247"/>
      <c r="C388" s="252"/>
      <c r="D388" s="331">
        <v>9384.0</v>
      </c>
      <c r="F388" s="250"/>
      <c r="G388" s="2" t="s">
        <v>194</v>
      </c>
      <c r="H388" s="318">
        <v>44582.0</v>
      </c>
      <c r="I388" s="318"/>
      <c r="J388" s="251"/>
    </row>
    <row r="389">
      <c r="A389" s="265"/>
      <c r="B389" s="268"/>
      <c r="C389" s="252"/>
      <c r="D389" s="331">
        <v>13500.0</v>
      </c>
      <c r="F389" s="250"/>
      <c r="G389" s="2" t="s">
        <v>196</v>
      </c>
      <c r="H389" s="318">
        <v>44592.0</v>
      </c>
      <c r="I389" s="318"/>
      <c r="J389" s="251"/>
    </row>
    <row r="390">
      <c r="A390" s="265"/>
      <c r="B390" s="268"/>
      <c r="C390" s="252"/>
      <c r="D390" s="331">
        <v>4432.81</v>
      </c>
      <c r="F390" s="250"/>
      <c r="G390" s="2" t="s">
        <v>2285</v>
      </c>
      <c r="H390" s="2"/>
      <c r="I390" s="2" t="s">
        <v>2821</v>
      </c>
      <c r="J390" s="251"/>
    </row>
    <row r="391">
      <c r="A391" s="265"/>
      <c r="B391" s="268"/>
      <c r="C391" s="252"/>
      <c r="D391" s="331">
        <v>4064.24</v>
      </c>
      <c r="F391" s="250"/>
      <c r="G391" s="2" t="s">
        <v>199</v>
      </c>
      <c r="H391" s="2"/>
      <c r="I391" s="2" t="s">
        <v>2821</v>
      </c>
      <c r="J391" s="251"/>
    </row>
    <row r="392">
      <c r="A392" s="265"/>
      <c r="B392" s="247"/>
      <c r="C392" s="252"/>
      <c r="D392" s="331">
        <v>8629.42</v>
      </c>
      <c r="F392" s="250"/>
      <c r="G392" s="2" t="s">
        <v>200</v>
      </c>
      <c r="H392" s="2"/>
      <c r="I392" s="2" t="s">
        <v>2821</v>
      </c>
      <c r="J392" s="267"/>
    </row>
    <row r="393">
      <c r="A393" s="270"/>
      <c r="B393" s="271"/>
      <c r="C393" s="272"/>
      <c r="D393" s="823"/>
      <c r="E393" s="18"/>
      <c r="F393" s="274"/>
      <c r="G393" s="18"/>
      <c r="H393" s="18"/>
      <c r="I393" s="18"/>
      <c r="J393" s="261"/>
    </row>
    <row r="394">
      <c r="A394" s="262"/>
      <c r="B394" s="239"/>
      <c r="C394" s="240"/>
      <c r="D394" s="821"/>
      <c r="E394" s="242"/>
      <c r="F394" s="243"/>
      <c r="I394" s="318"/>
      <c r="J394" s="307"/>
    </row>
    <row r="395">
      <c r="A395" s="265"/>
      <c r="B395" s="247"/>
      <c r="C395" s="248"/>
      <c r="D395" s="331"/>
      <c r="F395" s="250"/>
      <c r="I395" s="318"/>
      <c r="J395" s="251"/>
    </row>
    <row r="396">
      <c r="A396" s="265"/>
      <c r="B396" s="247"/>
      <c r="C396" s="248"/>
      <c r="D396" s="331"/>
      <c r="F396" s="250"/>
      <c r="I396" s="318"/>
      <c r="J396" s="267"/>
    </row>
    <row r="397">
      <c r="A397" s="265"/>
      <c r="B397" s="247"/>
      <c r="C397" s="248"/>
      <c r="D397" s="331"/>
      <c r="F397" s="250"/>
      <c r="I397" s="318"/>
      <c r="J397" s="267"/>
    </row>
    <row r="398">
      <c r="A398" s="265"/>
      <c r="B398" s="268"/>
      <c r="C398" s="252"/>
      <c r="D398" s="331"/>
      <c r="F398" s="250"/>
      <c r="I398" s="318"/>
      <c r="J398" s="251"/>
    </row>
    <row r="399">
      <c r="A399" s="265"/>
      <c r="B399" s="268"/>
      <c r="C399" s="252"/>
      <c r="D399" s="822"/>
      <c r="F399" s="250"/>
      <c r="J399" s="251"/>
    </row>
    <row r="400">
      <c r="A400" s="265"/>
      <c r="B400" s="247"/>
      <c r="C400" s="252"/>
      <c r="D400" s="331"/>
      <c r="F400" s="250"/>
      <c r="I400" s="318"/>
      <c r="J400" s="251"/>
    </row>
    <row r="401">
      <c r="A401" s="265"/>
      <c r="B401" s="268"/>
      <c r="C401" s="252"/>
      <c r="D401" s="331"/>
      <c r="F401" s="250"/>
      <c r="I401" s="318"/>
      <c r="J401" s="251"/>
    </row>
    <row r="402">
      <c r="A402" s="265"/>
      <c r="B402" s="268"/>
      <c r="C402" s="252"/>
      <c r="D402" s="331"/>
      <c r="F402" s="250"/>
      <c r="J402" s="251"/>
    </row>
    <row r="403">
      <c r="A403" s="265"/>
      <c r="B403" s="268"/>
      <c r="C403" s="252"/>
      <c r="D403" s="331"/>
      <c r="F403" s="250"/>
      <c r="J403" s="251"/>
    </row>
    <row r="404">
      <c r="A404" s="265"/>
      <c r="B404" s="247"/>
      <c r="C404" s="252"/>
      <c r="D404" s="822"/>
      <c r="F404" s="250"/>
      <c r="J404" s="267"/>
    </row>
    <row r="405">
      <c r="A405" s="270"/>
      <c r="B405" s="271"/>
      <c r="C405" s="272"/>
      <c r="D405" s="823"/>
      <c r="E405" s="18"/>
      <c r="F405" s="274"/>
      <c r="G405" s="18"/>
      <c r="H405" s="18"/>
      <c r="I405" s="18"/>
      <c r="J405" s="261"/>
    </row>
    <row r="406">
      <c r="A406" s="303"/>
      <c r="B406" s="268"/>
      <c r="C406" s="252"/>
      <c r="D406" s="331"/>
      <c r="F406" s="250"/>
      <c r="J406" s="251"/>
    </row>
    <row r="407">
      <c r="A407" s="303"/>
      <c r="B407" s="268"/>
      <c r="C407" s="252"/>
      <c r="D407" s="822"/>
      <c r="F407" s="250"/>
      <c r="J407" s="251"/>
    </row>
    <row r="408">
      <c r="A408" s="303"/>
      <c r="B408" s="268"/>
      <c r="C408" s="252"/>
      <c r="D408" s="822"/>
      <c r="F408" s="250"/>
      <c r="J408" s="251"/>
    </row>
    <row r="409">
      <c r="A409" s="303"/>
      <c r="B409" s="268"/>
      <c r="C409" s="252"/>
      <c r="D409" s="822"/>
      <c r="F409" s="250"/>
      <c r="J409" s="251"/>
    </row>
    <row r="410">
      <c r="A410" s="303"/>
      <c r="B410" s="268"/>
      <c r="C410" s="252"/>
      <c r="D410" s="822"/>
      <c r="F410" s="250"/>
      <c r="J410" s="251"/>
    </row>
    <row r="411">
      <c r="A411" s="303"/>
      <c r="B411" s="268"/>
      <c r="C411" s="252"/>
      <c r="D411" s="822"/>
      <c r="F411" s="250"/>
      <c r="J411" s="251"/>
    </row>
    <row r="412">
      <c r="A412" s="304"/>
      <c r="B412" s="271"/>
      <c r="C412" s="272"/>
      <c r="D412" s="823"/>
      <c r="E412" s="18"/>
      <c r="F412" s="274"/>
      <c r="G412" s="18"/>
      <c r="H412" s="18"/>
      <c r="I412" s="18"/>
      <c r="J412" s="261"/>
    </row>
    <row r="413">
      <c r="A413" s="305"/>
      <c r="B413" s="306"/>
      <c r="C413" s="240"/>
      <c r="D413" s="824"/>
      <c r="E413" s="242"/>
      <c r="F413" s="243"/>
      <c r="G413" s="244"/>
      <c r="H413" s="244"/>
      <c r="I413" s="244"/>
      <c r="J413" s="307"/>
    </row>
    <row r="414">
      <c r="A414" s="265"/>
      <c r="B414" s="268"/>
      <c r="C414" s="252"/>
      <c r="D414" s="822"/>
      <c r="F414" s="250"/>
      <c r="I414" s="252"/>
      <c r="J414" s="251"/>
    </row>
    <row r="415">
      <c r="A415" s="265"/>
      <c r="B415" s="268"/>
      <c r="C415" s="252"/>
      <c r="D415" s="822"/>
      <c r="F415" s="250"/>
      <c r="I415" s="252"/>
      <c r="J415" s="251"/>
    </row>
    <row r="416">
      <c r="A416" s="265"/>
      <c r="B416" s="268"/>
      <c r="C416" s="252"/>
      <c r="D416" s="822"/>
      <c r="F416" s="250"/>
      <c r="I416" s="252"/>
      <c r="J416" s="251"/>
    </row>
    <row r="417">
      <c r="A417" s="265"/>
      <c r="B417" s="268"/>
      <c r="C417" s="252"/>
      <c r="D417" s="822"/>
      <c r="F417" s="250"/>
      <c r="I417" s="252"/>
      <c r="J417" s="251"/>
    </row>
    <row r="418">
      <c r="A418" s="265"/>
      <c r="B418" s="268"/>
      <c r="C418" s="252"/>
      <c r="D418" s="822"/>
      <c r="F418" s="250"/>
      <c r="J418" s="251"/>
    </row>
    <row r="419">
      <c r="A419" s="265"/>
      <c r="B419" s="268"/>
      <c r="C419" s="252"/>
      <c r="D419" s="822"/>
      <c r="F419" s="250"/>
      <c r="J419" s="251"/>
    </row>
    <row r="420">
      <c r="A420" s="265"/>
      <c r="B420" s="268"/>
      <c r="C420" s="252"/>
      <c r="D420" s="822"/>
      <c r="F420" s="250"/>
      <c r="J420" s="251"/>
    </row>
    <row r="421">
      <c r="A421" s="265"/>
      <c r="B421" s="268"/>
      <c r="C421" s="252"/>
      <c r="D421" s="822"/>
      <c r="F421" s="250"/>
      <c r="J421" s="251"/>
    </row>
    <row r="422">
      <c r="A422" s="270"/>
      <c r="B422" s="271"/>
      <c r="C422" s="272"/>
      <c r="D422" s="823"/>
      <c r="E422" s="18"/>
      <c r="F422" s="274"/>
      <c r="G422" s="18"/>
      <c r="H422" s="18"/>
      <c r="I422" s="18"/>
      <c r="J422" s="261"/>
    </row>
    <row r="423">
      <c r="A423" s="305"/>
      <c r="B423" s="306"/>
      <c r="C423" s="240"/>
      <c r="D423" s="824"/>
      <c r="E423" s="242"/>
      <c r="F423" s="243"/>
      <c r="G423" s="244"/>
      <c r="H423" s="244"/>
      <c r="I423" s="244"/>
      <c r="J423" s="307"/>
    </row>
    <row r="424">
      <c r="A424" s="265"/>
      <c r="B424" s="268"/>
      <c r="C424" s="252"/>
      <c r="D424" s="822"/>
      <c r="F424" s="250"/>
      <c r="J424" s="251"/>
    </row>
    <row r="425">
      <c r="A425" s="265"/>
      <c r="B425" s="268"/>
      <c r="C425" s="252"/>
      <c r="D425" s="822"/>
      <c r="F425" s="250"/>
      <c r="J425" s="251"/>
    </row>
    <row r="426">
      <c r="A426" s="265"/>
      <c r="B426" s="268"/>
      <c r="C426" s="252"/>
      <c r="D426" s="822"/>
      <c r="F426" s="250"/>
      <c r="J426" s="251"/>
    </row>
    <row r="427">
      <c r="A427" s="265"/>
      <c r="B427" s="268"/>
      <c r="C427" s="252"/>
      <c r="D427" s="822"/>
      <c r="F427" s="250"/>
      <c r="J427" s="251"/>
    </row>
    <row r="428">
      <c r="A428" s="265"/>
      <c r="B428" s="268"/>
      <c r="C428" s="252"/>
      <c r="D428" s="822"/>
      <c r="F428" s="250"/>
      <c r="J428" s="251"/>
    </row>
    <row r="429">
      <c r="A429" s="265"/>
      <c r="B429" s="268"/>
      <c r="C429" s="252"/>
      <c r="D429" s="822"/>
      <c r="F429" s="250"/>
      <c r="J429" s="251"/>
    </row>
    <row r="430">
      <c r="A430" s="265"/>
      <c r="B430" s="268"/>
      <c r="C430" s="252"/>
      <c r="D430" s="822"/>
      <c r="F430" s="250"/>
      <c r="J430" s="251"/>
    </row>
    <row r="431">
      <c r="A431" s="265"/>
      <c r="B431" s="268"/>
      <c r="C431" s="252"/>
      <c r="D431" s="822"/>
      <c r="F431" s="250"/>
      <c r="J431" s="251"/>
    </row>
    <row r="432">
      <c r="A432" s="270"/>
      <c r="B432" s="271"/>
      <c r="C432" s="272"/>
      <c r="D432" s="823"/>
      <c r="E432" s="18"/>
      <c r="F432" s="274"/>
      <c r="G432" s="18"/>
      <c r="H432" s="18"/>
      <c r="I432" s="18"/>
      <c r="J432" s="261"/>
    </row>
    <row r="433">
      <c r="B433" s="306"/>
      <c r="C433" s="240"/>
      <c r="D433" s="824"/>
      <c r="E433" s="242"/>
      <c r="F433" s="243"/>
      <c r="G433" s="244"/>
      <c r="H433" s="244"/>
      <c r="I433" s="244"/>
      <c r="J433" s="307"/>
    </row>
    <row r="434">
      <c r="B434" s="268"/>
      <c r="C434" s="252"/>
      <c r="D434" s="822"/>
      <c r="F434" s="250"/>
      <c r="J434" s="251"/>
    </row>
    <row r="435">
      <c r="B435" s="268"/>
      <c r="C435" s="252"/>
      <c r="D435" s="822"/>
      <c r="F435" s="250"/>
      <c r="J435" s="251"/>
    </row>
    <row r="436">
      <c r="B436" s="308"/>
      <c r="C436" s="252"/>
      <c r="D436" s="822"/>
      <c r="F436" s="309"/>
      <c r="J436" s="302"/>
    </row>
    <row r="437">
      <c r="B437" s="308"/>
      <c r="C437" s="252"/>
      <c r="D437" s="822"/>
      <c r="F437" s="309"/>
      <c r="J437" s="302"/>
    </row>
    <row r="438">
      <c r="B438" s="308"/>
      <c r="C438" s="252"/>
      <c r="D438" s="822"/>
      <c r="F438" s="309"/>
      <c r="J438" s="302"/>
    </row>
    <row r="439">
      <c r="B439" s="308"/>
      <c r="C439" s="252"/>
      <c r="D439" s="822"/>
      <c r="F439" s="309"/>
      <c r="J439" s="302"/>
    </row>
    <row r="440">
      <c r="B440" s="308"/>
      <c r="C440" s="252"/>
      <c r="D440" s="822"/>
      <c r="F440" s="309"/>
      <c r="J440" s="302"/>
    </row>
    <row r="441">
      <c r="B441" s="308"/>
      <c r="C441" s="252"/>
      <c r="D441" s="822"/>
      <c r="F441" s="309"/>
      <c r="J441" s="302"/>
    </row>
    <row r="442">
      <c r="B442" s="308"/>
      <c r="C442" s="252"/>
      <c r="D442" s="822"/>
      <c r="F442" s="309"/>
      <c r="J442" s="302"/>
    </row>
    <row r="443">
      <c r="B443" s="308"/>
      <c r="C443" s="252"/>
      <c r="D443" s="822"/>
      <c r="F443" s="309"/>
      <c r="J443" s="302"/>
    </row>
    <row r="444">
      <c r="B444" s="308"/>
      <c r="C444" s="252"/>
      <c r="D444" s="822"/>
      <c r="F444" s="309"/>
      <c r="J444" s="302"/>
    </row>
    <row r="445">
      <c r="B445" s="308"/>
      <c r="C445" s="252"/>
      <c r="D445" s="822"/>
      <c r="F445" s="309"/>
      <c r="J445" s="302"/>
    </row>
    <row r="446">
      <c r="B446" s="308"/>
      <c r="C446" s="252"/>
      <c r="D446" s="822"/>
      <c r="F446" s="309"/>
      <c r="J446" s="302"/>
    </row>
    <row r="447">
      <c r="B447" s="308"/>
      <c r="C447" s="252"/>
      <c r="D447" s="822"/>
      <c r="F447" s="309"/>
      <c r="J447" s="302"/>
    </row>
    <row r="448">
      <c r="B448" s="308"/>
      <c r="C448" s="252"/>
      <c r="D448" s="822"/>
      <c r="F448" s="309"/>
      <c r="J448" s="302"/>
    </row>
    <row r="449">
      <c r="B449" s="308"/>
      <c r="C449" s="252"/>
      <c r="D449" s="822"/>
      <c r="F449" s="309"/>
      <c r="J449" s="302"/>
    </row>
    <row r="450">
      <c r="B450" s="308"/>
      <c r="C450" s="252"/>
      <c r="D450" s="822"/>
      <c r="F450" s="309"/>
      <c r="J450" s="302"/>
    </row>
    <row r="451">
      <c r="B451" s="308"/>
      <c r="C451" s="252"/>
      <c r="D451" s="822"/>
      <c r="F451" s="309"/>
      <c r="J451" s="302"/>
    </row>
    <row r="452">
      <c r="B452" s="308"/>
      <c r="C452" s="252"/>
      <c r="D452" s="822"/>
      <c r="F452" s="309"/>
      <c r="J452" s="302"/>
    </row>
    <row r="453">
      <c r="B453" s="308"/>
      <c r="C453" s="252"/>
      <c r="D453" s="822"/>
      <c r="F453" s="309"/>
      <c r="J453" s="302"/>
    </row>
    <row r="454">
      <c r="B454" s="308"/>
      <c r="C454" s="252"/>
      <c r="D454" s="822"/>
      <c r="F454" s="309"/>
      <c r="J454" s="302"/>
    </row>
    <row r="455">
      <c r="B455" s="308"/>
      <c r="C455" s="252"/>
      <c r="D455" s="822"/>
      <c r="F455" s="309"/>
      <c r="J455" s="302"/>
    </row>
    <row r="456">
      <c r="B456" s="308"/>
      <c r="C456" s="252"/>
      <c r="D456" s="822"/>
      <c r="F456" s="309"/>
      <c r="J456" s="302"/>
    </row>
    <row r="457">
      <c r="B457" s="308"/>
      <c r="C457" s="252"/>
      <c r="D457" s="822"/>
      <c r="F457" s="309"/>
      <c r="J457" s="302"/>
    </row>
    <row r="458">
      <c r="B458" s="308"/>
      <c r="C458" s="252"/>
      <c r="D458" s="822"/>
      <c r="F458" s="309"/>
      <c r="J458" s="302"/>
    </row>
    <row r="459">
      <c r="B459" s="308"/>
      <c r="C459" s="252"/>
      <c r="D459" s="822"/>
      <c r="F459" s="309"/>
      <c r="J459" s="302"/>
    </row>
    <row r="460">
      <c r="B460" s="308"/>
      <c r="C460" s="252"/>
      <c r="D460" s="822"/>
      <c r="F460" s="309"/>
      <c r="J460" s="302"/>
    </row>
    <row r="461">
      <c r="B461" s="308"/>
      <c r="C461" s="252"/>
      <c r="D461" s="822"/>
      <c r="F461" s="309"/>
      <c r="J461" s="302"/>
    </row>
    <row r="462">
      <c r="B462" s="308"/>
      <c r="C462" s="252"/>
      <c r="D462" s="822"/>
      <c r="F462" s="309"/>
      <c r="J462" s="302"/>
    </row>
    <row r="463">
      <c r="B463" s="308"/>
      <c r="C463" s="252"/>
      <c r="D463" s="822"/>
      <c r="F463" s="309"/>
      <c r="J463" s="302"/>
    </row>
    <row r="464">
      <c r="B464" s="308"/>
      <c r="C464" s="252"/>
      <c r="D464" s="822"/>
      <c r="F464" s="309"/>
      <c r="J464" s="302"/>
    </row>
    <row r="465">
      <c r="B465" s="308"/>
      <c r="C465" s="252"/>
      <c r="D465" s="822"/>
      <c r="F465" s="309"/>
      <c r="J465" s="302"/>
    </row>
    <row r="466">
      <c r="B466" s="308"/>
      <c r="C466" s="252"/>
      <c r="D466" s="822"/>
      <c r="F466" s="309"/>
      <c r="J466" s="302"/>
    </row>
    <row r="467">
      <c r="B467" s="308"/>
      <c r="C467" s="252"/>
      <c r="D467" s="822"/>
      <c r="F467" s="309"/>
      <c r="J467" s="302"/>
    </row>
    <row r="468">
      <c r="B468" s="308"/>
      <c r="C468" s="252"/>
      <c r="D468" s="822"/>
      <c r="F468" s="309"/>
      <c r="J468" s="302"/>
    </row>
    <row r="469">
      <c r="B469" s="308"/>
      <c r="C469" s="252"/>
      <c r="D469" s="822"/>
      <c r="F469" s="309"/>
      <c r="J469" s="302"/>
    </row>
    <row r="470">
      <c r="B470" s="308"/>
      <c r="C470" s="252"/>
      <c r="D470" s="822"/>
      <c r="F470" s="309"/>
      <c r="J470" s="302"/>
    </row>
    <row r="471">
      <c r="B471" s="308"/>
      <c r="C471" s="252"/>
      <c r="D471" s="822"/>
      <c r="F471" s="309"/>
      <c r="J471" s="302"/>
    </row>
    <row r="472">
      <c r="B472" s="308"/>
      <c r="C472" s="252"/>
      <c r="D472" s="822"/>
      <c r="F472" s="309"/>
      <c r="J472" s="302"/>
    </row>
    <row r="473">
      <c r="B473" s="308"/>
      <c r="C473" s="252"/>
      <c r="D473" s="822"/>
      <c r="F473" s="309"/>
      <c r="J473" s="302"/>
    </row>
    <row r="474">
      <c r="B474" s="308"/>
      <c r="C474" s="252"/>
      <c r="D474" s="822"/>
      <c r="F474" s="309"/>
      <c r="J474" s="302"/>
    </row>
    <row r="475">
      <c r="B475" s="308"/>
      <c r="C475" s="252"/>
      <c r="D475" s="822"/>
      <c r="F475" s="309"/>
      <c r="J475" s="302"/>
    </row>
    <row r="476">
      <c r="B476" s="308"/>
      <c r="C476" s="252"/>
      <c r="D476" s="822"/>
      <c r="F476" s="309"/>
      <c r="J476" s="302"/>
    </row>
    <row r="477">
      <c r="B477" s="308"/>
      <c r="C477" s="252"/>
      <c r="D477" s="822"/>
      <c r="F477" s="309"/>
      <c r="J477" s="302"/>
    </row>
    <row r="478">
      <c r="B478" s="308"/>
      <c r="C478" s="252"/>
      <c r="D478" s="822"/>
      <c r="F478" s="309"/>
      <c r="J478" s="302"/>
    </row>
    <row r="479">
      <c r="B479" s="308"/>
      <c r="C479" s="252"/>
      <c r="D479" s="822"/>
      <c r="F479" s="309"/>
      <c r="J479" s="302"/>
    </row>
    <row r="480">
      <c r="B480" s="308"/>
      <c r="C480" s="252"/>
      <c r="D480" s="822"/>
      <c r="F480" s="309"/>
      <c r="J480" s="302"/>
    </row>
    <row r="481">
      <c r="B481" s="308"/>
      <c r="C481" s="252"/>
      <c r="D481" s="822"/>
      <c r="F481" s="309"/>
      <c r="J481" s="302"/>
    </row>
    <row r="482">
      <c r="B482" s="308"/>
      <c r="C482" s="252"/>
      <c r="D482" s="822"/>
      <c r="F482" s="309"/>
      <c r="J482" s="302"/>
    </row>
    <row r="483">
      <c r="B483" s="308"/>
      <c r="C483" s="252"/>
      <c r="D483" s="822"/>
      <c r="F483" s="309"/>
      <c r="J483" s="302"/>
    </row>
    <row r="484">
      <c r="B484" s="308"/>
      <c r="C484" s="252"/>
      <c r="D484" s="822"/>
      <c r="F484" s="309"/>
      <c r="J484" s="302"/>
    </row>
    <row r="485">
      <c r="B485" s="308"/>
      <c r="C485" s="252"/>
      <c r="D485" s="822"/>
      <c r="F485" s="309"/>
      <c r="J485" s="302"/>
    </row>
    <row r="486">
      <c r="B486" s="308"/>
      <c r="C486" s="252"/>
      <c r="D486" s="822"/>
      <c r="F486" s="309"/>
      <c r="J486" s="302"/>
    </row>
    <row r="487">
      <c r="B487" s="308"/>
      <c r="C487" s="252"/>
      <c r="D487" s="822"/>
      <c r="F487" s="309"/>
      <c r="J487" s="302"/>
    </row>
    <row r="488">
      <c r="B488" s="308"/>
      <c r="C488" s="252"/>
      <c r="D488" s="822"/>
      <c r="F488" s="309"/>
      <c r="J488" s="302"/>
    </row>
    <row r="489">
      <c r="B489" s="308"/>
      <c r="C489" s="252"/>
      <c r="D489" s="822"/>
      <c r="F489" s="309"/>
      <c r="J489" s="302"/>
    </row>
    <row r="490">
      <c r="B490" s="308"/>
      <c r="C490" s="252"/>
      <c r="D490" s="822"/>
      <c r="F490" s="309"/>
      <c r="J490" s="302"/>
    </row>
    <row r="491">
      <c r="B491" s="308"/>
      <c r="C491" s="252"/>
      <c r="D491" s="822"/>
      <c r="F491" s="309"/>
      <c r="J491" s="302"/>
    </row>
    <row r="492">
      <c r="B492" s="308"/>
      <c r="C492" s="252"/>
      <c r="D492" s="822"/>
      <c r="F492" s="309"/>
      <c r="J492" s="302"/>
    </row>
    <row r="493">
      <c r="B493" s="308"/>
      <c r="C493" s="252"/>
      <c r="D493" s="822"/>
      <c r="F493" s="309"/>
      <c r="J493" s="302"/>
    </row>
    <row r="494">
      <c r="B494" s="308"/>
      <c r="C494" s="252"/>
      <c r="D494" s="822"/>
      <c r="F494" s="309"/>
      <c r="J494" s="302"/>
    </row>
    <row r="495">
      <c r="B495" s="308"/>
      <c r="C495" s="252"/>
      <c r="D495" s="822"/>
      <c r="F495" s="309"/>
      <c r="J495" s="302"/>
    </row>
    <row r="496">
      <c r="B496" s="308"/>
      <c r="C496" s="252"/>
      <c r="D496" s="822"/>
      <c r="F496" s="309"/>
      <c r="J496" s="302"/>
    </row>
    <row r="497">
      <c r="B497" s="308"/>
      <c r="C497" s="252"/>
      <c r="D497" s="822"/>
      <c r="F497" s="309"/>
      <c r="J497" s="302"/>
    </row>
    <row r="498">
      <c r="B498" s="308"/>
      <c r="C498" s="252"/>
      <c r="D498" s="822"/>
      <c r="F498" s="309"/>
      <c r="J498" s="302"/>
    </row>
    <row r="499">
      <c r="B499" s="308"/>
      <c r="C499" s="252"/>
      <c r="D499" s="822"/>
      <c r="F499" s="309"/>
      <c r="J499" s="302"/>
    </row>
    <row r="500">
      <c r="B500" s="308"/>
      <c r="C500" s="252"/>
      <c r="D500" s="822"/>
      <c r="F500" s="309"/>
      <c r="J500" s="302"/>
    </row>
    <row r="501">
      <c r="B501" s="308"/>
      <c r="C501" s="252"/>
      <c r="D501" s="822"/>
      <c r="F501" s="309"/>
      <c r="J501" s="302"/>
    </row>
    <row r="502">
      <c r="B502" s="308"/>
      <c r="C502" s="252"/>
      <c r="D502" s="822"/>
      <c r="F502" s="309"/>
      <c r="J502" s="302"/>
    </row>
    <row r="503">
      <c r="B503" s="308"/>
      <c r="C503" s="252"/>
      <c r="D503" s="822"/>
      <c r="F503" s="309"/>
      <c r="J503" s="302"/>
    </row>
    <row r="504">
      <c r="B504" s="308"/>
      <c r="C504" s="252"/>
      <c r="D504" s="822"/>
      <c r="F504" s="309"/>
      <c r="J504" s="302"/>
    </row>
    <row r="505">
      <c r="B505" s="308"/>
      <c r="C505" s="252"/>
      <c r="D505" s="822"/>
      <c r="F505" s="309"/>
      <c r="J505" s="302"/>
    </row>
    <row r="506">
      <c r="B506" s="308"/>
      <c r="C506" s="252"/>
      <c r="D506" s="822"/>
      <c r="F506" s="309"/>
      <c r="J506" s="302"/>
    </row>
    <row r="507">
      <c r="B507" s="308"/>
      <c r="C507" s="252"/>
      <c r="D507" s="822"/>
      <c r="F507" s="309"/>
      <c r="J507" s="302"/>
    </row>
    <row r="508">
      <c r="B508" s="308"/>
      <c r="C508" s="252"/>
      <c r="D508" s="822"/>
      <c r="F508" s="309"/>
      <c r="J508" s="302"/>
    </row>
    <row r="509">
      <c r="B509" s="308"/>
      <c r="C509" s="252"/>
      <c r="D509" s="822"/>
      <c r="F509" s="309"/>
      <c r="J509" s="302"/>
    </row>
    <row r="510">
      <c r="B510" s="308"/>
      <c r="C510" s="252"/>
      <c r="D510" s="822"/>
      <c r="F510" s="309"/>
      <c r="J510" s="302"/>
    </row>
    <row r="511">
      <c r="B511" s="308"/>
      <c r="C511" s="252"/>
      <c r="D511" s="822"/>
      <c r="F511" s="309"/>
      <c r="J511" s="302"/>
    </row>
    <row r="512">
      <c r="B512" s="308"/>
      <c r="C512" s="252"/>
      <c r="D512" s="822"/>
      <c r="F512" s="309"/>
      <c r="J512" s="302"/>
    </row>
    <row r="513">
      <c r="B513" s="308"/>
      <c r="C513" s="252"/>
      <c r="D513" s="822"/>
      <c r="F513" s="309"/>
      <c r="J513" s="302"/>
    </row>
    <row r="514">
      <c r="B514" s="308"/>
      <c r="C514" s="252"/>
      <c r="D514" s="822"/>
      <c r="F514" s="309"/>
      <c r="J514" s="302"/>
    </row>
    <row r="515">
      <c r="B515" s="308"/>
      <c r="C515" s="252"/>
      <c r="D515" s="822"/>
      <c r="F515" s="309"/>
      <c r="J515" s="302"/>
    </row>
    <row r="516">
      <c r="B516" s="308"/>
      <c r="C516" s="252"/>
      <c r="D516" s="822"/>
      <c r="F516" s="309"/>
      <c r="J516" s="302"/>
    </row>
    <row r="517">
      <c r="B517" s="308"/>
      <c r="C517" s="252"/>
      <c r="D517" s="822"/>
      <c r="F517" s="309"/>
      <c r="J517" s="302"/>
    </row>
    <row r="518">
      <c r="B518" s="308"/>
      <c r="C518" s="252"/>
      <c r="D518" s="822"/>
      <c r="F518" s="309"/>
      <c r="J518" s="302"/>
    </row>
    <row r="519">
      <c r="B519" s="308"/>
      <c r="C519" s="252"/>
      <c r="D519" s="822"/>
      <c r="F519" s="309"/>
      <c r="J519" s="302"/>
    </row>
    <row r="520">
      <c r="B520" s="308"/>
      <c r="C520" s="252"/>
      <c r="D520" s="822"/>
      <c r="F520" s="309"/>
      <c r="J520" s="302"/>
    </row>
    <row r="521">
      <c r="B521" s="308"/>
      <c r="C521" s="252"/>
      <c r="D521" s="822"/>
      <c r="F521" s="309"/>
      <c r="J521" s="302"/>
    </row>
    <row r="522">
      <c r="B522" s="308"/>
      <c r="C522" s="252"/>
      <c r="D522" s="822"/>
      <c r="F522" s="309"/>
      <c r="J522" s="302"/>
    </row>
    <row r="523">
      <c r="B523" s="308"/>
      <c r="C523" s="252"/>
      <c r="D523" s="822"/>
      <c r="F523" s="309"/>
      <c r="J523" s="302"/>
    </row>
    <row r="524">
      <c r="B524" s="308"/>
      <c r="C524" s="252"/>
      <c r="D524" s="822"/>
      <c r="F524" s="309"/>
      <c r="J524" s="302"/>
    </row>
    <row r="525">
      <c r="B525" s="308"/>
      <c r="C525" s="252"/>
      <c r="D525" s="822"/>
      <c r="F525" s="309"/>
      <c r="J525" s="302"/>
    </row>
    <row r="526">
      <c r="B526" s="308"/>
      <c r="C526" s="252"/>
      <c r="D526" s="822"/>
      <c r="F526" s="309"/>
      <c r="J526" s="302"/>
    </row>
    <row r="527">
      <c r="B527" s="308"/>
      <c r="C527" s="252"/>
      <c r="D527" s="822"/>
      <c r="F527" s="309"/>
      <c r="J527" s="302"/>
    </row>
    <row r="528">
      <c r="B528" s="308"/>
      <c r="C528" s="252"/>
      <c r="D528" s="822"/>
      <c r="F528" s="309"/>
      <c r="J528" s="302"/>
    </row>
    <row r="529">
      <c r="B529" s="308"/>
      <c r="C529" s="252"/>
      <c r="D529" s="822"/>
      <c r="F529" s="309"/>
      <c r="J529" s="302"/>
    </row>
    <row r="530">
      <c r="B530" s="308"/>
      <c r="C530" s="252"/>
      <c r="D530" s="822"/>
      <c r="F530" s="309"/>
      <c r="J530" s="302"/>
    </row>
    <row r="531">
      <c r="B531" s="308"/>
      <c r="C531" s="252"/>
      <c r="D531" s="822"/>
      <c r="F531" s="309"/>
      <c r="J531" s="302"/>
    </row>
    <row r="532">
      <c r="B532" s="308"/>
      <c r="C532" s="252"/>
      <c r="D532" s="822"/>
      <c r="F532" s="309"/>
      <c r="J532" s="302"/>
    </row>
    <row r="533">
      <c r="B533" s="308"/>
      <c r="C533" s="252"/>
      <c r="D533" s="822"/>
      <c r="F533" s="309"/>
      <c r="J533" s="302"/>
    </row>
    <row r="534">
      <c r="B534" s="308"/>
      <c r="C534" s="252"/>
      <c r="D534" s="822"/>
      <c r="F534" s="309"/>
      <c r="J534" s="302"/>
    </row>
    <row r="535">
      <c r="B535" s="308"/>
      <c r="C535" s="252"/>
      <c r="D535" s="822"/>
      <c r="F535" s="309"/>
      <c r="J535" s="302"/>
    </row>
    <row r="536">
      <c r="B536" s="308"/>
      <c r="C536" s="252"/>
      <c r="D536" s="822"/>
      <c r="F536" s="309"/>
      <c r="J536" s="302"/>
    </row>
    <row r="537">
      <c r="B537" s="308"/>
      <c r="C537" s="252"/>
      <c r="D537" s="822"/>
      <c r="F537" s="309"/>
      <c r="J537" s="302"/>
    </row>
    <row r="538">
      <c r="B538" s="308"/>
      <c r="C538" s="252"/>
      <c r="D538" s="822"/>
      <c r="F538" s="309"/>
      <c r="J538" s="302"/>
    </row>
    <row r="539">
      <c r="B539" s="308"/>
      <c r="C539" s="252"/>
      <c r="D539" s="822"/>
      <c r="F539" s="309"/>
      <c r="J539" s="302"/>
    </row>
    <row r="540">
      <c r="B540" s="308"/>
      <c r="C540" s="252"/>
      <c r="D540" s="822"/>
      <c r="F540" s="309"/>
      <c r="J540" s="302"/>
    </row>
    <row r="541">
      <c r="B541" s="308"/>
      <c r="C541" s="252"/>
      <c r="D541" s="822"/>
      <c r="F541" s="309"/>
      <c r="J541" s="302"/>
    </row>
    <row r="542">
      <c r="B542" s="308"/>
      <c r="C542" s="252"/>
      <c r="D542" s="822"/>
      <c r="F542" s="309"/>
      <c r="J542" s="302"/>
    </row>
    <row r="543">
      <c r="B543" s="308"/>
      <c r="C543" s="252"/>
      <c r="D543" s="822"/>
      <c r="F543" s="309"/>
      <c r="J543" s="302"/>
    </row>
    <row r="544">
      <c r="B544" s="308"/>
      <c r="C544" s="252"/>
      <c r="D544" s="822"/>
      <c r="F544" s="309"/>
      <c r="J544" s="302"/>
    </row>
    <row r="545">
      <c r="B545" s="308"/>
      <c r="C545" s="252"/>
      <c r="D545" s="822"/>
      <c r="F545" s="309"/>
      <c r="J545" s="302"/>
    </row>
    <row r="546">
      <c r="B546" s="308"/>
      <c r="C546" s="252"/>
      <c r="D546" s="822"/>
      <c r="F546" s="309"/>
      <c r="J546" s="302"/>
    </row>
    <row r="547">
      <c r="B547" s="308"/>
      <c r="C547" s="252"/>
      <c r="D547" s="822"/>
      <c r="F547" s="309"/>
      <c r="J547" s="302"/>
    </row>
    <row r="548">
      <c r="B548" s="308"/>
      <c r="C548" s="252"/>
      <c r="D548" s="822"/>
      <c r="F548" s="309"/>
      <c r="J548" s="302"/>
    </row>
    <row r="549">
      <c r="B549" s="308"/>
      <c r="C549" s="252"/>
      <c r="D549" s="822"/>
      <c r="F549" s="309"/>
      <c r="J549" s="302"/>
    </row>
    <row r="550">
      <c r="B550" s="308"/>
      <c r="C550" s="252"/>
      <c r="D550" s="822"/>
      <c r="F550" s="309"/>
      <c r="J550" s="302"/>
    </row>
    <row r="551">
      <c r="B551" s="308"/>
      <c r="C551" s="252"/>
      <c r="D551" s="822"/>
      <c r="F551" s="309"/>
      <c r="J551" s="302"/>
    </row>
    <row r="552">
      <c r="B552" s="308"/>
      <c r="C552" s="252"/>
      <c r="D552" s="822"/>
      <c r="F552" s="309"/>
      <c r="J552" s="302"/>
    </row>
    <row r="553">
      <c r="B553" s="308"/>
      <c r="C553" s="252"/>
      <c r="D553" s="822"/>
      <c r="F553" s="309"/>
      <c r="J553" s="302"/>
    </row>
    <row r="554">
      <c r="B554" s="308"/>
      <c r="C554" s="252"/>
      <c r="D554" s="822"/>
      <c r="F554" s="309"/>
      <c r="J554" s="302"/>
    </row>
    <row r="555">
      <c r="B555" s="308"/>
      <c r="C555" s="252"/>
      <c r="D555" s="822"/>
      <c r="F555" s="309"/>
      <c r="J555" s="302"/>
    </row>
    <row r="556">
      <c r="B556" s="308"/>
      <c r="C556" s="252"/>
      <c r="D556" s="822"/>
      <c r="F556" s="309"/>
      <c r="J556" s="302"/>
    </row>
    <row r="557">
      <c r="B557" s="308"/>
      <c r="C557" s="252"/>
      <c r="D557" s="822"/>
      <c r="F557" s="309"/>
      <c r="J557" s="302"/>
    </row>
    <row r="558">
      <c r="B558" s="308"/>
      <c r="C558" s="252"/>
      <c r="D558" s="822"/>
      <c r="F558" s="309"/>
      <c r="J558" s="302"/>
    </row>
    <row r="559">
      <c r="B559" s="308"/>
      <c r="C559" s="252"/>
      <c r="D559" s="822"/>
      <c r="F559" s="309"/>
      <c r="J559" s="302"/>
    </row>
    <row r="560">
      <c r="B560" s="308"/>
      <c r="C560" s="252"/>
      <c r="D560" s="822"/>
      <c r="F560" s="309"/>
      <c r="J560" s="302"/>
    </row>
    <row r="561">
      <c r="B561" s="308"/>
      <c r="C561" s="252"/>
      <c r="D561" s="822"/>
      <c r="F561" s="309"/>
      <c r="J561" s="302"/>
    </row>
    <row r="562">
      <c r="B562" s="308"/>
      <c r="C562" s="252"/>
      <c r="D562" s="822"/>
      <c r="F562" s="309"/>
      <c r="J562" s="302"/>
    </row>
    <row r="563">
      <c r="B563" s="308"/>
      <c r="C563" s="252"/>
      <c r="D563" s="822"/>
      <c r="F563" s="309"/>
      <c r="J563" s="302"/>
    </row>
    <row r="564">
      <c r="B564" s="308"/>
      <c r="C564" s="252"/>
      <c r="D564" s="822"/>
      <c r="F564" s="309"/>
      <c r="J564" s="302"/>
    </row>
    <row r="565">
      <c r="B565" s="308"/>
      <c r="C565" s="252"/>
      <c r="D565" s="822"/>
      <c r="F565" s="309"/>
      <c r="J565" s="302"/>
    </row>
    <row r="566">
      <c r="B566" s="308"/>
      <c r="C566" s="252"/>
      <c r="D566" s="822"/>
      <c r="F566" s="309"/>
      <c r="J566" s="302"/>
    </row>
    <row r="567">
      <c r="B567" s="308"/>
      <c r="C567" s="252"/>
      <c r="D567" s="822"/>
      <c r="F567" s="309"/>
      <c r="J567" s="302"/>
    </row>
    <row r="568">
      <c r="B568" s="308"/>
      <c r="C568" s="252"/>
      <c r="D568" s="822"/>
      <c r="F568" s="309"/>
      <c r="J568" s="302"/>
    </row>
    <row r="569">
      <c r="B569" s="308"/>
      <c r="C569" s="252"/>
      <c r="D569" s="822"/>
      <c r="F569" s="309"/>
      <c r="J569" s="302"/>
    </row>
    <row r="570">
      <c r="B570" s="308"/>
      <c r="C570" s="252"/>
      <c r="D570" s="822"/>
      <c r="F570" s="309"/>
      <c r="J570" s="302"/>
    </row>
    <row r="571">
      <c r="B571" s="308"/>
      <c r="C571" s="252"/>
      <c r="D571" s="822"/>
      <c r="F571" s="309"/>
      <c r="J571" s="302"/>
    </row>
    <row r="572">
      <c r="B572" s="308"/>
      <c r="C572" s="252"/>
      <c r="D572" s="822"/>
      <c r="F572" s="309"/>
      <c r="J572" s="302"/>
    </row>
    <row r="573">
      <c r="B573" s="308"/>
      <c r="C573" s="252"/>
      <c r="D573" s="822"/>
      <c r="F573" s="309"/>
      <c r="J573" s="302"/>
    </row>
    <row r="574">
      <c r="B574" s="308"/>
      <c r="C574" s="252"/>
      <c r="D574" s="822"/>
      <c r="F574" s="309"/>
      <c r="J574" s="302"/>
    </row>
    <row r="575">
      <c r="B575" s="308"/>
      <c r="C575" s="252"/>
      <c r="D575" s="822"/>
      <c r="F575" s="309"/>
      <c r="J575" s="302"/>
    </row>
    <row r="576">
      <c r="B576" s="308"/>
      <c r="C576" s="252"/>
      <c r="D576" s="822"/>
      <c r="F576" s="309"/>
      <c r="J576" s="302"/>
    </row>
    <row r="577">
      <c r="B577" s="308"/>
      <c r="C577" s="252"/>
      <c r="D577" s="822"/>
      <c r="F577" s="309"/>
      <c r="J577" s="302"/>
    </row>
    <row r="578">
      <c r="B578" s="308"/>
      <c r="C578" s="252"/>
      <c r="D578" s="822"/>
      <c r="F578" s="309"/>
      <c r="J578" s="302"/>
    </row>
    <row r="579">
      <c r="B579" s="308"/>
      <c r="C579" s="252"/>
      <c r="D579" s="822"/>
      <c r="F579" s="309"/>
      <c r="J579" s="302"/>
    </row>
    <row r="580">
      <c r="B580" s="308"/>
      <c r="C580" s="252"/>
      <c r="D580" s="822"/>
      <c r="F580" s="309"/>
      <c r="J580" s="302"/>
    </row>
    <row r="581">
      <c r="B581" s="308"/>
      <c r="C581" s="252"/>
      <c r="D581" s="822"/>
      <c r="F581" s="309"/>
      <c r="J581" s="302"/>
    </row>
    <row r="582">
      <c r="B582" s="308"/>
      <c r="C582" s="252"/>
      <c r="D582" s="822"/>
      <c r="F582" s="309"/>
      <c r="J582" s="302"/>
    </row>
    <row r="583">
      <c r="B583" s="308"/>
      <c r="C583" s="252"/>
      <c r="D583" s="822"/>
      <c r="F583" s="309"/>
      <c r="J583" s="302"/>
    </row>
    <row r="584">
      <c r="B584" s="308"/>
      <c r="C584" s="252"/>
      <c r="D584" s="822"/>
      <c r="F584" s="309"/>
      <c r="J584" s="302"/>
    </row>
    <row r="585">
      <c r="B585" s="308"/>
      <c r="C585" s="252"/>
      <c r="D585" s="822"/>
      <c r="F585" s="309"/>
      <c r="J585" s="302"/>
    </row>
    <row r="586">
      <c r="B586" s="308"/>
      <c r="C586" s="252"/>
      <c r="D586" s="822"/>
      <c r="F586" s="309"/>
      <c r="J586" s="302"/>
    </row>
    <row r="587">
      <c r="B587" s="308"/>
      <c r="C587" s="252"/>
      <c r="D587" s="822"/>
      <c r="F587" s="309"/>
      <c r="J587" s="302"/>
    </row>
    <row r="588">
      <c r="B588" s="308"/>
      <c r="C588" s="252"/>
      <c r="D588" s="822"/>
      <c r="F588" s="309"/>
      <c r="J588" s="302"/>
    </row>
    <row r="589">
      <c r="B589" s="308"/>
      <c r="C589" s="252"/>
      <c r="D589" s="822"/>
      <c r="F589" s="309"/>
      <c r="J589" s="302"/>
    </row>
    <row r="590">
      <c r="B590" s="308"/>
      <c r="C590" s="252"/>
      <c r="D590" s="822"/>
      <c r="F590" s="309"/>
      <c r="J590" s="302"/>
    </row>
    <row r="591">
      <c r="B591" s="308"/>
      <c r="C591" s="252"/>
      <c r="D591" s="822"/>
      <c r="F591" s="309"/>
      <c r="J591" s="302"/>
    </row>
    <row r="592">
      <c r="B592" s="308"/>
      <c r="C592" s="252"/>
      <c r="D592" s="822"/>
      <c r="F592" s="309"/>
      <c r="J592" s="302"/>
    </row>
    <row r="593">
      <c r="B593" s="308"/>
      <c r="C593" s="252"/>
      <c r="D593" s="822"/>
      <c r="F593" s="309"/>
      <c r="J593" s="302"/>
    </row>
    <row r="594">
      <c r="B594" s="308"/>
      <c r="C594" s="252"/>
      <c r="D594" s="822"/>
      <c r="F594" s="309"/>
      <c r="J594" s="302"/>
    </row>
    <row r="595">
      <c r="B595" s="308"/>
      <c r="C595" s="252"/>
      <c r="D595" s="822"/>
      <c r="F595" s="309"/>
      <c r="J595" s="302"/>
    </row>
    <row r="596">
      <c r="B596" s="308"/>
      <c r="C596" s="252"/>
      <c r="D596" s="822"/>
      <c r="F596" s="309"/>
      <c r="J596" s="302"/>
    </row>
    <row r="597">
      <c r="B597" s="308"/>
      <c r="C597" s="252"/>
      <c r="D597" s="822"/>
      <c r="F597" s="309"/>
      <c r="J597" s="302"/>
    </row>
    <row r="598">
      <c r="B598" s="308"/>
      <c r="C598" s="252"/>
      <c r="D598" s="822"/>
      <c r="F598" s="309"/>
      <c r="J598" s="302"/>
    </row>
    <row r="599">
      <c r="B599" s="308"/>
      <c r="C599" s="252"/>
      <c r="D599" s="822"/>
      <c r="F599" s="309"/>
      <c r="J599" s="302"/>
    </row>
    <row r="600">
      <c r="B600" s="308"/>
      <c r="C600" s="252"/>
      <c r="D600" s="822"/>
      <c r="F600" s="309"/>
      <c r="J600" s="302"/>
    </row>
    <row r="601">
      <c r="B601" s="308"/>
      <c r="C601" s="252"/>
      <c r="D601" s="822"/>
      <c r="F601" s="309"/>
      <c r="J601" s="302"/>
    </row>
    <row r="602">
      <c r="B602" s="308"/>
      <c r="C602" s="252"/>
      <c r="D602" s="822"/>
      <c r="F602" s="309"/>
      <c r="J602" s="302"/>
    </row>
    <row r="603">
      <c r="B603" s="308"/>
      <c r="C603" s="252"/>
      <c r="D603" s="822"/>
      <c r="F603" s="309"/>
      <c r="J603" s="302"/>
    </row>
    <row r="604">
      <c r="B604" s="308"/>
      <c r="C604" s="252"/>
      <c r="D604" s="822"/>
      <c r="F604" s="309"/>
      <c r="J604" s="302"/>
    </row>
    <row r="605">
      <c r="B605" s="308"/>
      <c r="C605" s="252"/>
      <c r="D605" s="822"/>
      <c r="F605" s="309"/>
      <c r="J605" s="302"/>
    </row>
    <row r="606">
      <c r="B606" s="308"/>
      <c r="C606" s="252"/>
      <c r="D606" s="822"/>
      <c r="F606" s="309"/>
      <c r="J606" s="302"/>
    </row>
    <row r="607">
      <c r="B607" s="308"/>
      <c r="C607" s="252"/>
      <c r="D607" s="822"/>
      <c r="F607" s="309"/>
      <c r="J607" s="302"/>
    </row>
    <row r="608">
      <c r="B608" s="308"/>
      <c r="C608" s="252"/>
      <c r="D608" s="822"/>
      <c r="F608" s="309"/>
      <c r="J608" s="302"/>
    </row>
    <row r="609">
      <c r="B609" s="308"/>
      <c r="C609" s="252"/>
      <c r="D609" s="822"/>
      <c r="F609" s="309"/>
      <c r="J609" s="302"/>
    </row>
    <row r="610">
      <c r="B610" s="308"/>
      <c r="C610" s="252"/>
      <c r="D610" s="822"/>
      <c r="F610" s="309"/>
      <c r="J610" s="302"/>
    </row>
    <row r="611">
      <c r="B611" s="308"/>
      <c r="C611" s="252"/>
      <c r="D611" s="822"/>
      <c r="F611" s="309"/>
      <c r="J611" s="302"/>
    </row>
    <row r="612">
      <c r="B612" s="308"/>
      <c r="C612" s="252"/>
      <c r="D612" s="822"/>
      <c r="F612" s="309"/>
      <c r="J612" s="302"/>
    </row>
    <row r="613">
      <c r="B613" s="308"/>
      <c r="C613" s="252"/>
      <c r="D613" s="822"/>
      <c r="F613" s="309"/>
      <c r="J613" s="302"/>
    </row>
    <row r="614">
      <c r="B614" s="308"/>
      <c r="C614" s="252"/>
      <c r="D614" s="822"/>
      <c r="F614" s="309"/>
      <c r="J614" s="302"/>
    </row>
    <row r="615">
      <c r="B615" s="308"/>
      <c r="C615" s="252"/>
      <c r="D615" s="822"/>
      <c r="F615" s="309"/>
      <c r="J615" s="302"/>
    </row>
    <row r="616">
      <c r="B616" s="308"/>
      <c r="C616" s="252"/>
      <c r="D616" s="822"/>
      <c r="F616" s="309"/>
      <c r="J616" s="302"/>
    </row>
    <row r="617">
      <c r="B617" s="308"/>
      <c r="C617" s="252"/>
      <c r="D617" s="822"/>
      <c r="F617" s="309"/>
      <c r="J617" s="302"/>
    </row>
    <row r="618">
      <c r="B618" s="308"/>
      <c r="C618" s="252"/>
      <c r="D618" s="822"/>
      <c r="F618" s="309"/>
      <c r="J618" s="302"/>
    </row>
    <row r="619">
      <c r="B619" s="308"/>
      <c r="C619" s="252"/>
      <c r="D619" s="822"/>
      <c r="F619" s="309"/>
      <c r="J619" s="302"/>
    </row>
    <row r="620">
      <c r="B620" s="308"/>
      <c r="C620" s="252"/>
      <c r="D620" s="822"/>
      <c r="F620" s="309"/>
      <c r="J620" s="302"/>
    </row>
    <row r="621">
      <c r="B621" s="308"/>
      <c r="C621" s="252"/>
      <c r="D621" s="822"/>
      <c r="F621" s="309"/>
      <c r="J621" s="302"/>
    </row>
    <row r="622">
      <c r="B622" s="308"/>
      <c r="C622" s="252"/>
      <c r="D622" s="822"/>
      <c r="F622" s="309"/>
      <c r="J622" s="302"/>
    </row>
    <row r="623">
      <c r="B623" s="308"/>
      <c r="C623" s="252"/>
      <c r="D623" s="822"/>
      <c r="F623" s="309"/>
      <c r="J623" s="302"/>
    </row>
    <row r="624">
      <c r="B624" s="308"/>
      <c r="C624" s="252"/>
      <c r="D624" s="822"/>
      <c r="F624" s="309"/>
      <c r="J624" s="302"/>
    </row>
    <row r="625">
      <c r="B625" s="308"/>
      <c r="C625" s="252"/>
      <c r="D625" s="822"/>
      <c r="F625" s="309"/>
      <c r="J625" s="302"/>
    </row>
    <row r="626">
      <c r="B626" s="308"/>
      <c r="C626" s="252"/>
      <c r="D626" s="822"/>
      <c r="F626" s="309"/>
      <c r="J626" s="302"/>
    </row>
    <row r="627">
      <c r="B627" s="308"/>
      <c r="C627" s="252"/>
      <c r="D627" s="822"/>
      <c r="F627" s="309"/>
      <c r="J627" s="302"/>
    </row>
    <row r="628">
      <c r="B628" s="308"/>
      <c r="C628" s="252"/>
      <c r="D628" s="822"/>
      <c r="F628" s="309"/>
      <c r="J628" s="302"/>
    </row>
    <row r="629">
      <c r="B629" s="308"/>
      <c r="C629" s="252"/>
      <c r="D629" s="822"/>
      <c r="F629" s="309"/>
      <c r="J629" s="302"/>
    </row>
    <row r="630">
      <c r="B630" s="308"/>
      <c r="C630" s="252"/>
      <c r="D630" s="822"/>
      <c r="F630" s="309"/>
      <c r="J630" s="302"/>
    </row>
    <row r="631">
      <c r="B631" s="308"/>
      <c r="C631" s="252"/>
      <c r="D631" s="822"/>
      <c r="F631" s="309"/>
      <c r="J631" s="302"/>
    </row>
    <row r="632">
      <c r="B632" s="308"/>
      <c r="C632" s="252"/>
      <c r="D632" s="822"/>
      <c r="F632" s="309"/>
      <c r="J632" s="302"/>
    </row>
    <row r="633">
      <c r="B633" s="308"/>
      <c r="C633" s="252"/>
      <c r="D633" s="822"/>
      <c r="F633" s="309"/>
      <c r="J633" s="302"/>
    </row>
    <row r="634">
      <c r="B634" s="308"/>
      <c r="C634" s="252"/>
      <c r="D634" s="822"/>
      <c r="F634" s="309"/>
      <c r="J634" s="302"/>
    </row>
    <row r="635">
      <c r="B635" s="308"/>
      <c r="C635" s="252"/>
      <c r="D635" s="822"/>
      <c r="F635" s="309"/>
      <c r="J635" s="302"/>
    </row>
    <row r="636">
      <c r="B636" s="308"/>
      <c r="C636" s="252"/>
      <c r="D636" s="822"/>
      <c r="F636" s="309"/>
      <c r="J636" s="302"/>
    </row>
    <row r="637">
      <c r="B637" s="308"/>
      <c r="C637" s="252"/>
      <c r="D637" s="822"/>
      <c r="F637" s="309"/>
      <c r="J637" s="302"/>
    </row>
    <row r="638">
      <c r="B638" s="308"/>
      <c r="C638" s="252"/>
      <c r="D638" s="822"/>
      <c r="F638" s="309"/>
      <c r="J638" s="302"/>
    </row>
    <row r="639">
      <c r="B639" s="308"/>
      <c r="C639" s="252"/>
      <c r="D639" s="822"/>
      <c r="F639" s="309"/>
      <c r="J639" s="302"/>
    </row>
    <row r="640">
      <c r="B640" s="308"/>
      <c r="C640" s="252"/>
      <c r="D640" s="822"/>
      <c r="F640" s="309"/>
      <c r="J640" s="302"/>
    </row>
    <row r="641">
      <c r="B641" s="308"/>
      <c r="C641" s="252"/>
      <c r="D641" s="822"/>
      <c r="F641" s="309"/>
      <c r="J641" s="302"/>
    </row>
    <row r="642">
      <c r="B642" s="308"/>
      <c r="C642" s="252"/>
      <c r="D642" s="822"/>
      <c r="F642" s="309"/>
      <c r="J642" s="302"/>
    </row>
    <row r="643">
      <c r="B643" s="308"/>
      <c r="C643" s="252"/>
      <c r="D643" s="822"/>
      <c r="F643" s="309"/>
      <c r="J643" s="302"/>
    </row>
    <row r="644">
      <c r="B644" s="308"/>
      <c r="C644" s="252"/>
      <c r="D644" s="822"/>
      <c r="F644" s="309"/>
      <c r="J644" s="302"/>
    </row>
    <row r="645">
      <c r="B645" s="308"/>
      <c r="C645" s="252"/>
      <c r="D645" s="822"/>
      <c r="F645" s="309"/>
      <c r="J645" s="302"/>
    </row>
    <row r="646">
      <c r="B646" s="308"/>
      <c r="C646" s="252"/>
      <c r="D646" s="822"/>
      <c r="F646" s="309"/>
      <c r="J646" s="302"/>
    </row>
    <row r="647">
      <c r="B647" s="308"/>
      <c r="C647" s="252"/>
      <c r="D647" s="822"/>
      <c r="F647" s="309"/>
      <c r="J647" s="302"/>
    </row>
    <row r="648">
      <c r="B648" s="308"/>
      <c r="C648" s="252"/>
      <c r="D648" s="822"/>
      <c r="F648" s="309"/>
      <c r="J648" s="302"/>
    </row>
    <row r="649">
      <c r="B649" s="308"/>
      <c r="C649" s="252"/>
      <c r="D649" s="822"/>
      <c r="F649" s="309"/>
      <c r="J649" s="302"/>
    </row>
    <row r="650">
      <c r="B650" s="308"/>
      <c r="C650" s="252"/>
      <c r="D650" s="822"/>
      <c r="F650" s="309"/>
      <c r="J650" s="302"/>
    </row>
    <row r="651">
      <c r="B651" s="308"/>
      <c r="C651" s="252"/>
      <c r="D651" s="822"/>
      <c r="F651" s="309"/>
      <c r="J651" s="302"/>
    </row>
    <row r="652">
      <c r="B652" s="308"/>
      <c r="C652" s="252"/>
      <c r="D652" s="822"/>
      <c r="F652" s="309"/>
      <c r="J652" s="302"/>
    </row>
    <row r="653">
      <c r="B653" s="308"/>
      <c r="C653" s="252"/>
      <c r="D653" s="822"/>
      <c r="F653" s="309"/>
      <c r="J653" s="302"/>
    </row>
    <row r="654">
      <c r="B654" s="308"/>
      <c r="C654" s="252"/>
      <c r="D654" s="822"/>
      <c r="F654" s="309"/>
      <c r="J654" s="302"/>
    </row>
    <row r="655">
      <c r="B655" s="308"/>
      <c r="C655" s="252"/>
      <c r="D655" s="822"/>
      <c r="F655" s="309"/>
      <c r="J655" s="302"/>
    </row>
    <row r="656">
      <c r="B656" s="308"/>
      <c r="C656" s="252"/>
      <c r="D656" s="822"/>
      <c r="F656" s="309"/>
      <c r="J656" s="302"/>
    </row>
    <row r="657">
      <c r="B657" s="308"/>
      <c r="C657" s="252"/>
      <c r="D657" s="822"/>
      <c r="F657" s="309"/>
      <c r="J657" s="302"/>
    </row>
    <row r="658">
      <c r="B658" s="308"/>
      <c r="C658" s="252"/>
      <c r="D658" s="822"/>
      <c r="F658" s="309"/>
      <c r="J658" s="302"/>
    </row>
    <row r="659">
      <c r="B659" s="308"/>
      <c r="C659" s="252"/>
      <c r="D659" s="822"/>
      <c r="F659" s="309"/>
      <c r="J659" s="302"/>
    </row>
    <row r="660">
      <c r="B660" s="308"/>
      <c r="C660" s="252"/>
      <c r="D660" s="822"/>
      <c r="F660" s="309"/>
      <c r="J660" s="302"/>
    </row>
    <row r="661">
      <c r="B661" s="308"/>
      <c r="C661" s="252"/>
      <c r="D661" s="822"/>
      <c r="F661" s="309"/>
      <c r="J661" s="302"/>
    </row>
    <row r="662">
      <c r="B662" s="308"/>
      <c r="C662" s="252"/>
      <c r="D662" s="822"/>
      <c r="F662" s="309"/>
      <c r="J662" s="302"/>
    </row>
    <row r="663">
      <c r="B663" s="308"/>
      <c r="C663" s="252"/>
      <c r="D663" s="822"/>
      <c r="F663" s="309"/>
      <c r="J663" s="302"/>
    </row>
    <row r="664">
      <c r="B664" s="308"/>
      <c r="C664" s="252"/>
      <c r="D664" s="822"/>
      <c r="F664" s="309"/>
      <c r="J664" s="302"/>
    </row>
    <row r="665">
      <c r="B665" s="308"/>
      <c r="C665" s="252"/>
      <c r="D665" s="822"/>
      <c r="F665" s="309"/>
      <c r="J665" s="302"/>
    </row>
    <row r="666">
      <c r="B666" s="308"/>
      <c r="C666" s="252"/>
      <c r="D666" s="822"/>
      <c r="F666" s="309"/>
      <c r="J666" s="302"/>
    </row>
    <row r="667">
      <c r="B667" s="308"/>
      <c r="C667" s="252"/>
      <c r="D667" s="822"/>
      <c r="F667" s="309"/>
      <c r="J667" s="302"/>
    </row>
    <row r="668">
      <c r="B668" s="308"/>
      <c r="C668" s="252"/>
      <c r="D668" s="822"/>
      <c r="F668" s="309"/>
      <c r="J668" s="302"/>
    </row>
    <row r="669">
      <c r="B669" s="308"/>
      <c r="C669" s="252"/>
      <c r="D669" s="822"/>
      <c r="F669" s="309"/>
      <c r="J669" s="302"/>
    </row>
    <row r="670">
      <c r="B670" s="308"/>
      <c r="C670" s="252"/>
      <c r="D670" s="822"/>
      <c r="F670" s="309"/>
      <c r="J670" s="302"/>
    </row>
    <row r="671">
      <c r="B671" s="308"/>
      <c r="C671" s="252"/>
      <c r="D671" s="822"/>
      <c r="F671" s="309"/>
      <c r="J671" s="302"/>
    </row>
    <row r="672">
      <c r="B672" s="308"/>
      <c r="C672" s="252"/>
      <c r="D672" s="822"/>
      <c r="F672" s="309"/>
      <c r="J672" s="302"/>
    </row>
    <row r="673">
      <c r="B673" s="308"/>
      <c r="C673" s="252"/>
      <c r="D673" s="822"/>
      <c r="F673" s="309"/>
      <c r="J673" s="302"/>
    </row>
    <row r="674">
      <c r="B674" s="308"/>
      <c r="C674" s="252"/>
      <c r="D674" s="822"/>
      <c r="F674" s="309"/>
      <c r="J674" s="302"/>
    </row>
    <row r="675">
      <c r="B675" s="308"/>
      <c r="C675" s="252"/>
      <c r="D675" s="822"/>
      <c r="F675" s="309"/>
      <c r="J675" s="302"/>
    </row>
    <row r="676">
      <c r="B676" s="308"/>
      <c r="C676" s="252"/>
      <c r="D676" s="822"/>
      <c r="F676" s="309"/>
      <c r="J676" s="302"/>
    </row>
    <row r="677">
      <c r="B677" s="308"/>
      <c r="C677" s="252"/>
      <c r="D677" s="822"/>
      <c r="F677" s="309"/>
      <c r="J677" s="302"/>
    </row>
    <row r="678">
      <c r="B678" s="308"/>
      <c r="C678" s="252"/>
      <c r="D678" s="822"/>
      <c r="F678" s="309"/>
      <c r="J678" s="302"/>
    </row>
    <row r="679">
      <c r="B679" s="308"/>
      <c r="C679" s="252"/>
      <c r="D679" s="822"/>
      <c r="F679" s="309"/>
      <c r="J679" s="302"/>
    </row>
    <row r="680">
      <c r="B680" s="308"/>
      <c r="C680" s="252"/>
      <c r="D680" s="822"/>
      <c r="F680" s="309"/>
      <c r="J680" s="302"/>
    </row>
    <row r="681">
      <c r="B681" s="308"/>
      <c r="C681" s="252"/>
      <c r="D681" s="822"/>
      <c r="F681" s="309"/>
      <c r="J681" s="302"/>
    </row>
    <row r="682">
      <c r="B682" s="308"/>
      <c r="C682" s="252"/>
      <c r="D682" s="822"/>
      <c r="F682" s="309"/>
      <c r="J682" s="302"/>
    </row>
    <row r="683">
      <c r="B683" s="308"/>
      <c r="C683" s="252"/>
      <c r="D683" s="822"/>
      <c r="F683" s="309"/>
      <c r="J683" s="302"/>
    </row>
    <row r="684">
      <c r="B684" s="308"/>
      <c r="C684" s="252"/>
      <c r="D684" s="822"/>
      <c r="F684" s="309"/>
      <c r="J684" s="302"/>
    </row>
    <row r="685">
      <c r="B685" s="308"/>
      <c r="C685" s="252"/>
      <c r="D685" s="822"/>
      <c r="F685" s="309"/>
      <c r="J685" s="302"/>
    </row>
    <row r="686">
      <c r="B686" s="308"/>
      <c r="C686" s="252"/>
      <c r="D686" s="822"/>
      <c r="F686" s="309"/>
      <c r="J686" s="302"/>
    </row>
    <row r="687">
      <c r="B687" s="308"/>
      <c r="C687" s="252"/>
      <c r="D687" s="822"/>
      <c r="F687" s="309"/>
      <c r="J687" s="302"/>
    </row>
    <row r="688">
      <c r="B688" s="308"/>
      <c r="C688" s="252"/>
      <c r="D688" s="822"/>
      <c r="F688" s="309"/>
      <c r="J688" s="302"/>
    </row>
    <row r="689">
      <c r="B689" s="308"/>
      <c r="C689" s="252"/>
      <c r="D689" s="822"/>
      <c r="F689" s="309"/>
      <c r="J689" s="302"/>
    </row>
    <row r="690">
      <c r="B690" s="308"/>
      <c r="C690" s="252"/>
      <c r="D690" s="822"/>
      <c r="F690" s="309"/>
      <c r="J690" s="302"/>
    </row>
    <row r="691">
      <c r="B691" s="308"/>
      <c r="C691" s="252"/>
      <c r="D691" s="822"/>
      <c r="F691" s="309"/>
      <c r="J691" s="302"/>
    </row>
    <row r="692">
      <c r="B692" s="308"/>
      <c r="C692" s="252"/>
      <c r="D692" s="822"/>
      <c r="F692" s="309"/>
      <c r="J692" s="302"/>
    </row>
    <row r="693">
      <c r="B693" s="308"/>
      <c r="C693" s="252"/>
      <c r="D693" s="822"/>
      <c r="F693" s="309"/>
      <c r="J693" s="302"/>
    </row>
    <row r="694">
      <c r="B694" s="308"/>
      <c r="C694" s="252"/>
      <c r="D694" s="822"/>
      <c r="F694" s="309"/>
      <c r="J694" s="302"/>
    </row>
    <row r="695">
      <c r="B695" s="308"/>
      <c r="C695" s="252"/>
      <c r="D695" s="822"/>
      <c r="F695" s="309"/>
      <c r="J695" s="302"/>
    </row>
    <row r="696">
      <c r="B696" s="308"/>
      <c r="C696" s="252"/>
      <c r="D696" s="822"/>
      <c r="F696" s="309"/>
      <c r="J696" s="302"/>
    </row>
    <row r="697">
      <c r="B697" s="308"/>
      <c r="C697" s="252"/>
      <c r="D697" s="822"/>
      <c r="F697" s="309"/>
      <c r="J697" s="302"/>
    </row>
    <row r="698">
      <c r="B698" s="308"/>
      <c r="C698" s="252"/>
      <c r="D698" s="822"/>
      <c r="F698" s="309"/>
      <c r="J698" s="302"/>
    </row>
    <row r="699">
      <c r="B699" s="308"/>
      <c r="C699" s="252"/>
      <c r="D699" s="822"/>
      <c r="F699" s="309"/>
      <c r="J699" s="302"/>
    </row>
    <row r="700">
      <c r="B700" s="308"/>
      <c r="C700" s="252"/>
      <c r="D700" s="822"/>
      <c r="F700" s="309"/>
      <c r="J700" s="302"/>
    </row>
    <row r="701">
      <c r="B701" s="308"/>
      <c r="C701" s="252"/>
      <c r="D701" s="822"/>
      <c r="F701" s="309"/>
      <c r="J701" s="302"/>
    </row>
    <row r="702">
      <c r="B702" s="308"/>
      <c r="C702" s="252"/>
      <c r="D702" s="822"/>
      <c r="F702" s="309"/>
      <c r="J702" s="302"/>
    </row>
    <row r="703">
      <c r="B703" s="308"/>
      <c r="C703" s="252"/>
      <c r="D703" s="822"/>
      <c r="F703" s="309"/>
      <c r="J703" s="302"/>
    </row>
    <row r="704">
      <c r="B704" s="308"/>
      <c r="C704" s="252"/>
      <c r="D704" s="822"/>
      <c r="F704" s="309"/>
      <c r="J704" s="302"/>
    </row>
    <row r="705">
      <c r="B705" s="308"/>
      <c r="C705" s="252"/>
      <c r="D705" s="822"/>
      <c r="F705" s="309"/>
      <c r="J705" s="302"/>
    </row>
    <row r="706">
      <c r="B706" s="308"/>
      <c r="C706" s="252"/>
      <c r="D706" s="822"/>
      <c r="F706" s="309"/>
      <c r="J706" s="302"/>
    </row>
    <row r="707">
      <c r="B707" s="308"/>
      <c r="C707" s="252"/>
      <c r="D707" s="822"/>
      <c r="F707" s="309"/>
      <c r="J707" s="302"/>
    </row>
    <row r="708">
      <c r="B708" s="308"/>
      <c r="C708" s="252"/>
      <c r="D708" s="822"/>
      <c r="F708" s="309"/>
      <c r="J708" s="302"/>
    </row>
    <row r="709">
      <c r="B709" s="308"/>
      <c r="C709" s="252"/>
      <c r="D709" s="822"/>
      <c r="F709" s="309"/>
      <c r="J709" s="302"/>
    </row>
    <row r="710">
      <c r="B710" s="308"/>
      <c r="C710" s="252"/>
      <c r="D710" s="822"/>
      <c r="F710" s="309"/>
      <c r="J710" s="302"/>
    </row>
    <row r="711">
      <c r="B711" s="308"/>
      <c r="C711" s="252"/>
      <c r="D711" s="822"/>
      <c r="F711" s="309"/>
      <c r="J711" s="302"/>
    </row>
    <row r="712">
      <c r="B712" s="308"/>
      <c r="C712" s="252"/>
      <c r="D712" s="822"/>
      <c r="F712" s="309"/>
      <c r="J712" s="302"/>
    </row>
    <row r="713">
      <c r="B713" s="308"/>
      <c r="C713" s="252"/>
      <c r="D713" s="822"/>
      <c r="F713" s="309"/>
      <c r="J713" s="302"/>
    </row>
    <row r="714">
      <c r="B714" s="308"/>
      <c r="C714" s="252"/>
      <c r="D714" s="822"/>
      <c r="F714" s="309"/>
      <c r="J714" s="302"/>
    </row>
    <row r="715">
      <c r="B715" s="308"/>
      <c r="C715" s="252"/>
      <c r="D715" s="822"/>
      <c r="F715" s="309"/>
      <c r="J715" s="302"/>
    </row>
    <row r="716">
      <c r="B716" s="308"/>
      <c r="C716" s="252"/>
      <c r="D716" s="822"/>
      <c r="F716" s="309"/>
      <c r="J716" s="302"/>
    </row>
    <row r="717">
      <c r="B717" s="308"/>
      <c r="C717" s="252"/>
      <c r="D717" s="822"/>
      <c r="F717" s="309"/>
      <c r="J717" s="302"/>
    </row>
    <row r="718">
      <c r="B718" s="308"/>
      <c r="C718" s="252"/>
      <c r="D718" s="822"/>
      <c r="F718" s="309"/>
      <c r="J718" s="302"/>
    </row>
    <row r="719">
      <c r="B719" s="308"/>
      <c r="C719" s="252"/>
      <c r="D719" s="822"/>
      <c r="F719" s="309"/>
      <c r="J719" s="302"/>
    </row>
    <row r="720">
      <c r="B720" s="308"/>
      <c r="C720" s="252"/>
      <c r="D720" s="822"/>
      <c r="F720" s="309"/>
      <c r="J720" s="302"/>
    </row>
    <row r="721">
      <c r="B721" s="308"/>
      <c r="C721" s="252"/>
      <c r="D721" s="822"/>
      <c r="F721" s="309"/>
      <c r="J721" s="302"/>
    </row>
    <row r="722">
      <c r="B722" s="308"/>
      <c r="C722" s="252"/>
      <c r="D722" s="822"/>
      <c r="F722" s="309"/>
      <c r="J722" s="302"/>
    </row>
    <row r="723">
      <c r="B723" s="308"/>
      <c r="C723" s="252"/>
      <c r="D723" s="822"/>
      <c r="F723" s="309"/>
      <c r="J723" s="302"/>
    </row>
    <row r="724">
      <c r="B724" s="308"/>
      <c r="C724" s="252"/>
      <c r="D724" s="822"/>
      <c r="F724" s="309"/>
      <c r="J724" s="302"/>
    </row>
    <row r="725">
      <c r="B725" s="308"/>
      <c r="C725" s="252"/>
      <c r="D725" s="822"/>
      <c r="F725" s="309"/>
      <c r="J725" s="302"/>
    </row>
    <row r="726">
      <c r="B726" s="308"/>
      <c r="C726" s="252"/>
      <c r="D726" s="822"/>
      <c r="F726" s="309"/>
      <c r="J726" s="302"/>
    </row>
    <row r="727">
      <c r="B727" s="308"/>
      <c r="C727" s="252"/>
      <c r="D727" s="822"/>
      <c r="F727" s="309"/>
      <c r="J727" s="302"/>
    </row>
    <row r="728">
      <c r="B728" s="308"/>
      <c r="C728" s="252"/>
      <c r="D728" s="822"/>
      <c r="F728" s="309"/>
      <c r="J728" s="302"/>
    </row>
    <row r="729">
      <c r="B729" s="308"/>
      <c r="C729" s="252"/>
      <c r="D729" s="822"/>
      <c r="F729" s="309"/>
      <c r="J729" s="302"/>
    </row>
    <row r="730">
      <c r="B730" s="308"/>
      <c r="C730" s="252"/>
      <c r="D730" s="822"/>
      <c r="F730" s="309"/>
      <c r="J730" s="302"/>
    </row>
    <row r="731">
      <c r="B731" s="308"/>
      <c r="C731" s="252"/>
      <c r="D731" s="822"/>
      <c r="F731" s="309"/>
      <c r="J731" s="302"/>
    </row>
    <row r="732">
      <c r="B732" s="308"/>
      <c r="C732" s="252"/>
      <c r="D732" s="822"/>
      <c r="F732" s="309"/>
      <c r="J732" s="302"/>
    </row>
    <row r="733">
      <c r="B733" s="308"/>
      <c r="C733" s="252"/>
      <c r="D733" s="822"/>
      <c r="F733" s="309"/>
      <c r="J733" s="302"/>
    </row>
    <row r="734">
      <c r="B734" s="308"/>
      <c r="C734" s="252"/>
      <c r="D734" s="822"/>
      <c r="F734" s="309"/>
      <c r="J734" s="302"/>
    </row>
    <row r="735">
      <c r="B735" s="308"/>
      <c r="C735" s="252"/>
      <c r="D735" s="822"/>
      <c r="F735" s="309"/>
      <c r="J735" s="302"/>
    </row>
    <row r="736">
      <c r="B736" s="308"/>
      <c r="C736" s="252"/>
      <c r="D736" s="822"/>
      <c r="F736" s="309"/>
      <c r="J736" s="302"/>
    </row>
    <row r="737">
      <c r="B737" s="308"/>
      <c r="C737" s="252"/>
      <c r="D737" s="822"/>
      <c r="F737" s="309"/>
      <c r="J737" s="302"/>
    </row>
    <row r="738">
      <c r="B738" s="308"/>
      <c r="C738" s="252"/>
      <c r="D738" s="822"/>
      <c r="F738" s="309"/>
      <c r="J738" s="302"/>
    </row>
    <row r="739">
      <c r="B739" s="308"/>
      <c r="C739" s="252"/>
      <c r="D739" s="822"/>
      <c r="F739" s="309"/>
      <c r="J739" s="302"/>
    </row>
    <row r="740">
      <c r="B740" s="308"/>
      <c r="C740" s="252"/>
      <c r="D740" s="822"/>
      <c r="F740" s="309"/>
      <c r="J740" s="302"/>
    </row>
    <row r="741">
      <c r="B741" s="308"/>
      <c r="C741" s="252"/>
      <c r="D741" s="822"/>
      <c r="F741" s="309"/>
      <c r="J741" s="302"/>
    </row>
  </sheetData>
  <mergeCells count="32">
    <mergeCell ref="G1:I1"/>
    <mergeCell ref="A2:A11"/>
    <mergeCell ref="A12:A24"/>
    <mergeCell ref="A25:A37"/>
    <mergeCell ref="A38:A49"/>
    <mergeCell ref="A52:A61"/>
    <mergeCell ref="A62:A75"/>
    <mergeCell ref="A76:A87"/>
    <mergeCell ref="A88:A103"/>
    <mergeCell ref="A104:A117"/>
    <mergeCell ref="A118:A135"/>
    <mergeCell ref="A136:A150"/>
    <mergeCell ref="A151:A165"/>
    <mergeCell ref="A166:A175"/>
    <mergeCell ref="A176:A190"/>
    <mergeCell ref="A191:A206"/>
    <mergeCell ref="A207:A221"/>
    <mergeCell ref="A222:A233"/>
    <mergeCell ref="A234:A248"/>
    <mergeCell ref="A249:A262"/>
    <mergeCell ref="A263:A276"/>
    <mergeCell ref="A383:A393"/>
    <mergeCell ref="A394:A405"/>
    <mergeCell ref="A413:A422"/>
    <mergeCell ref="A423:A432"/>
    <mergeCell ref="A277:A289"/>
    <mergeCell ref="A290:A303"/>
    <mergeCell ref="A304:A318"/>
    <mergeCell ref="A319:A333"/>
    <mergeCell ref="A334:A346"/>
    <mergeCell ref="A347:A364"/>
    <mergeCell ref="A365:A38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6"/>
      <c r="I1" s="637"/>
      <c r="J1" s="413" t="s">
        <v>2782</v>
      </c>
    </row>
    <row r="2">
      <c r="A2" s="816" t="s">
        <v>212</v>
      </c>
      <c r="B2" s="247"/>
      <c r="C2" s="263"/>
      <c r="D2" s="824"/>
      <c r="E2" s="242"/>
      <c r="F2" s="243">
        <v>1260.0</v>
      </c>
      <c r="G2" s="244" t="s">
        <v>97</v>
      </c>
      <c r="H2" s="244"/>
      <c r="I2" s="244"/>
      <c r="J2" s="307"/>
    </row>
    <row r="3">
      <c r="A3" s="265"/>
      <c r="B3" s="268"/>
      <c r="C3" s="248">
        <v>18260.4</v>
      </c>
      <c r="D3" s="331"/>
      <c r="F3" s="250"/>
      <c r="G3" s="2" t="s">
        <v>84</v>
      </c>
      <c r="H3" s="2"/>
      <c r="J3" s="251"/>
    </row>
    <row r="4">
      <c r="A4" s="265"/>
      <c r="B4" s="247"/>
      <c r="C4" s="252"/>
      <c r="D4" s="331"/>
      <c r="F4" s="250">
        <v>160.0</v>
      </c>
      <c r="G4" s="2" t="s">
        <v>2994</v>
      </c>
      <c r="H4" s="2"/>
      <c r="J4" s="251"/>
    </row>
    <row r="5">
      <c r="A5" s="265"/>
      <c r="B5" s="247">
        <v>2963.85</v>
      </c>
      <c r="C5" s="252"/>
      <c r="D5" s="822"/>
      <c r="F5" s="250"/>
      <c r="G5" s="2" t="s">
        <v>82</v>
      </c>
      <c r="H5" s="2"/>
      <c r="J5" s="251"/>
    </row>
    <row r="6">
      <c r="A6" s="265"/>
      <c r="B6" s="247"/>
      <c r="C6" s="248"/>
      <c r="D6" s="331"/>
      <c r="F6" s="250">
        <v>600.0</v>
      </c>
      <c r="G6" s="2" t="s">
        <v>2995</v>
      </c>
      <c r="H6" s="2"/>
      <c r="I6" s="838"/>
      <c r="J6" s="251"/>
    </row>
    <row r="7">
      <c r="A7" s="265"/>
      <c r="B7" s="247"/>
      <c r="C7" s="252"/>
      <c r="D7" s="822"/>
      <c r="F7" s="250">
        <v>272.0</v>
      </c>
      <c r="G7" s="2" t="s">
        <v>2996</v>
      </c>
      <c r="H7" s="2"/>
      <c r="J7" s="251"/>
    </row>
    <row r="8">
      <c r="A8" s="265"/>
      <c r="B8" s="268"/>
      <c r="C8" s="252"/>
      <c r="D8" s="822"/>
      <c r="F8" s="250">
        <v>1000.0</v>
      </c>
      <c r="G8" s="2" t="s">
        <v>2534</v>
      </c>
      <c r="H8" s="2"/>
      <c r="J8" s="251"/>
    </row>
    <row r="9">
      <c r="A9" s="265"/>
      <c r="B9" s="268"/>
      <c r="C9" s="252"/>
      <c r="D9" s="822"/>
      <c r="F9" s="250">
        <v>450.0</v>
      </c>
      <c r="G9" s="2" t="s">
        <v>2996</v>
      </c>
      <c r="H9" s="2"/>
      <c r="J9" s="251"/>
    </row>
    <row r="10">
      <c r="A10" s="265"/>
      <c r="B10" s="268"/>
      <c r="C10" s="252"/>
      <c r="D10" s="822"/>
      <c r="F10" s="250">
        <v>390.0</v>
      </c>
      <c r="G10" s="2" t="s">
        <v>2996</v>
      </c>
      <c r="H10" s="2"/>
      <c r="J10" s="251"/>
    </row>
    <row r="11">
      <c r="A11" s="270"/>
      <c r="B11" s="271"/>
      <c r="C11" s="272"/>
      <c r="D11" s="823"/>
      <c r="E11" s="18"/>
      <c r="F11" s="259"/>
      <c r="G11" s="18"/>
      <c r="H11" s="18"/>
      <c r="I11" s="18"/>
      <c r="J11" s="261"/>
    </row>
    <row r="12">
      <c r="A12" s="816" t="s">
        <v>216</v>
      </c>
      <c r="B12" s="247"/>
      <c r="C12" s="263"/>
      <c r="D12" s="821"/>
      <c r="E12" s="242"/>
      <c r="F12" s="243">
        <v>280.0</v>
      </c>
      <c r="G12" s="244" t="s">
        <v>1735</v>
      </c>
      <c r="H12" s="244"/>
      <c r="I12" s="244"/>
      <c r="J12" s="307"/>
    </row>
    <row r="13">
      <c r="A13" s="265"/>
      <c r="B13" s="247">
        <v>5084.0</v>
      </c>
      <c r="C13" s="248"/>
      <c r="D13" s="822"/>
      <c r="F13" s="250"/>
      <c r="G13" s="2" t="s">
        <v>2649</v>
      </c>
      <c r="H13" s="2"/>
      <c r="J13" s="251"/>
    </row>
    <row r="14">
      <c r="A14" s="265"/>
      <c r="B14" s="247">
        <v>6089.93</v>
      </c>
      <c r="C14" s="248"/>
      <c r="D14" s="331"/>
      <c r="F14" s="250"/>
      <c r="G14" s="2" t="s">
        <v>91</v>
      </c>
      <c r="H14" s="2"/>
      <c r="J14" s="251"/>
    </row>
    <row r="15">
      <c r="A15" s="265"/>
      <c r="B15" s="247"/>
      <c r="C15" s="252"/>
      <c r="D15" s="331"/>
      <c r="F15" s="250">
        <v>1000.0</v>
      </c>
      <c r="G15" s="2" t="s">
        <v>2997</v>
      </c>
      <c r="H15" s="2"/>
      <c r="J15" s="251"/>
    </row>
    <row r="16">
      <c r="A16" s="265"/>
      <c r="B16" s="268"/>
      <c r="C16" s="252"/>
      <c r="D16" s="331"/>
      <c r="F16" s="250">
        <v>1000.0</v>
      </c>
      <c r="G16" s="2" t="s">
        <v>2534</v>
      </c>
      <c r="H16" s="2"/>
      <c r="J16" s="251"/>
    </row>
    <row r="17">
      <c r="A17" s="265"/>
      <c r="B17" s="247">
        <v>10000.0</v>
      </c>
      <c r="C17" s="248"/>
      <c r="D17" s="331"/>
      <c r="F17" s="250">
        <v>7000.0</v>
      </c>
      <c r="G17" s="2" t="s">
        <v>2998</v>
      </c>
      <c r="H17" s="2"/>
      <c r="J17" s="251"/>
    </row>
    <row r="18">
      <c r="A18" s="265"/>
      <c r="B18" s="247">
        <v>1760.0</v>
      </c>
      <c r="C18" s="252"/>
      <c r="D18" s="822"/>
      <c r="F18" s="250"/>
      <c r="G18" s="2" t="s">
        <v>2999</v>
      </c>
      <c r="H18" s="2"/>
      <c r="J18" s="251"/>
    </row>
    <row r="19">
      <c r="A19" s="265"/>
      <c r="B19" s="247"/>
      <c r="C19" s="252"/>
      <c r="D19" s="331"/>
      <c r="F19" s="250"/>
      <c r="J19" s="251"/>
    </row>
    <row r="20">
      <c r="A20" s="265"/>
      <c r="B20" s="247"/>
      <c r="C20" s="252"/>
      <c r="D20" s="822"/>
      <c r="F20" s="250"/>
      <c r="G20" s="839"/>
      <c r="H20" s="839"/>
      <c r="J20" s="251"/>
    </row>
    <row r="21">
      <c r="A21" s="265"/>
      <c r="B21" s="278"/>
      <c r="C21" s="252"/>
      <c r="D21" s="822"/>
      <c r="F21" s="250"/>
      <c r="G21" s="839"/>
      <c r="H21" s="839"/>
      <c r="J21" s="251"/>
    </row>
    <row r="22">
      <c r="A22" s="265"/>
      <c r="B22" s="278"/>
      <c r="C22" s="252"/>
      <c r="D22" s="822"/>
      <c r="F22" s="250"/>
      <c r="J22" s="251"/>
    </row>
    <row r="23">
      <c r="A23" s="265"/>
      <c r="B23" s="278"/>
      <c r="C23" s="252"/>
      <c r="D23" s="822"/>
      <c r="F23" s="250"/>
      <c r="J23" s="251"/>
    </row>
    <row r="24">
      <c r="A24" s="270"/>
      <c r="B24" s="271"/>
      <c r="C24" s="272"/>
      <c r="D24" s="823"/>
      <c r="E24" s="18"/>
      <c r="F24" s="274"/>
      <c r="G24" s="18"/>
      <c r="H24" s="18"/>
      <c r="I24" s="18"/>
      <c r="J24" s="261"/>
    </row>
    <row r="25">
      <c r="A25" s="262" t="s">
        <v>222</v>
      </c>
      <c r="B25" s="239"/>
      <c r="C25" s="263"/>
      <c r="D25" s="824"/>
      <c r="E25" s="242"/>
      <c r="F25" s="250">
        <v>1190.0</v>
      </c>
      <c r="G25" s="244" t="s">
        <v>97</v>
      </c>
      <c r="H25" s="244"/>
      <c r="I25" s="244"/>
      <c r="J25" s="307"/>
    </row>
    <row r="26">
      <c r="A26" s="265"/>
      <c r="B26" s="247">
        <v>4608.12</v>
      </c>
      <c r="C26" s="248"/>
      <c r="D26" s="822"/>
      <c r="F26" s="266"/>
      <c r="G26" s="2" t="s">
        <v>82</v>
      </c>
      <c r="H26" s="2"/>
      <c r="J26" s="251"/>
    </row>
    <row r="27">
      <c r="A27" s="265"/>
      <c r="B27" s="247">
        <v>2195.0</v>
      </c>
      <c r="C27" s="248"/>
      <c r="D27" s="822"/>
      <c r="F27" s="250"/>
      <c r="G27" s="2" t="s">
        <v>3000</v>
      </c>
      <c r="H27" s="2"/>
      <c r="J27" s="251"/>
    </row>
    <row r="28">
      <c r="A28" s="265"/>
      <c r="B28" s="247"/>
      <c r="C28" s="252"/>
      <c r="D28" s="822"/>
      <c r="F28" s="250">
        <v>3702.0</v>
      </c>
      <c r="G28" s="2" t="s">
        <v>3001</v>
      </c>
      <c r="H28" s="2"/>
      <c r="J28" s="251"/>
    </row>
    <row r="29">
      <c r="A29" s="265"/>
      <c r="B29" s="247">
        <v>4744.0</v>
      </c>
      <c r="C29" s="248"/>
      <c r="D29" s="822"/>
      <c r="F29" s="250"/>
      <c r="G29" s="2" t="s">
        <v>87</v>
      </c>
      <c r="H29" s="2"/>
      <c r="J29" s="251"/>
    </row>
    <row r="30">
      <c r="A30" s="265"/>
      <c r="B30" s="247">
        <v>8274.0</v>
      </c>
      <c r="C30" s="252"/>
      <c r="D30" s="822"/>
      <c r="F30" s="250"/>
      <c r="G30" s="2" t="s">
        <v>103</v>
      </c>
      <c r="H30" s="2"/>
      <c r="J30" s="251"/>
    </row>
    <row r="31">
      <c r="A31" s="265"/>
      <c r="B31" s="247">
        <v>7300.0</v>
      </c>
      <c r="C31" s="252"/>
      <c r="D31" s="822"/>
      <c r="F31" s="250"/>
      <c r="G31" s="2" t="s">
        <v>79</v>
      </c>
      <c r="H31" s="2"/>
      <c r="J31" s="251"/>
    </row>
    <row r="32">
      <c r="A32" s="265"/>
      <c r="B32" s="247"/>
      <c r="C32" s="252"/>
      <c r="D32" s="331"/>
      <c r="F32" s="250">
        <v>1550.0</v>
      </c>
      <c r="G32" s="2" t="s">
        <v>3002</v>
      </c>
      <c r="H32" s="2"/>
      <c r="J32" s="267"/>
    </row>
    <row r="33">
      <c r="A33" s="265"/>
      <c r="B33" s="268"/>
      <c r="C33" s="252"/>
      <c r="D33" s="822"/>
      <c r="F33" s="250">
        <v>450.0</v>
      </c>
      <c r="G33" s="2" t="s">
        <v>228</v>
      </c>
      <c r="H33" s="2"/>
      <c r="J33" s="267"/>
    </row>
    <row r="34">
      <c r="A34" s="265"/>
      <c r="B34" s="247"/>
      <c r="C34" s="252"/>
      <c r="D34" s="822"/>
      <c r="F34" s="250">
        <v>5000.0</v>
      </c>
      <c r="G34" s="2" t="s">
        <v>453</v>
      </c>
      <c r="H34" s="2"/>
      <c r="J34" s="251"/>
    </row>
    <row r="35">
      <c r="A35" s="265"/>
      <c r="B35" s="268"/>
      <c r="C35" s="252"/>
      <c r="D35" s="822"/>
      <c r="F35" s="250"/>
      <c r="J35" s="251"/>
    </row>
    <row r="36">
      <c r="A36" s="265"/>
      <c r="B36" s="268"/>
      <c r="C36" s="252"/>
      <c r="D36" s="822"/>
      <c r="F36" s="250"/>
      <c r="J36" s="251"/>
    </row>
    <row r="37">
      <c r="A37" s="270"/>
      <c r="B37" s="271"/>
      <c r="C37" s="272"/>
      <c r="D37" s="823"/>
      <c r="E37" s="18"/>
      <c r="F37" s="274"/>
      <c r="G37" s="18"/>
      <c r="H37" s="18"/>
      <c r="I37" s="18"/>
      <c r="J37" s="261"/>
    </row>
    <row r="38">
      <c r="A38" s="262" t="s">
        <v>223</v>
      </c>
      <c r="B38" s="239"/>
      <c r="C38" s="240"/>
      <c r="D38" s="824"/>
      <c r="E38" s="242"/>
      <c r="F38" s="243">
        <f>225+840</f>
        <v>1065</v>
      </c>
      <c r="G38" s="244" t="s">
        <v>97</v>
      </c>
      <c r="H38" s="244"/>
      <c r="I38" s="244"/>
      <c r="J38" s="307"/>
    </row>
    <row r="39">
      <c r="A39" s="265"/>
      <c r="B39" s="247">
        <v>9680.0</v>
      </c>
      <c r="C39" s="252"/>
      <c r="D39" s="822"/>
      <c r="F39" s="250"/>
      <c r="G39" s="2" t="s">
        <v>75</v>
      </c>
      <c r="H39" s="2"/>
      <c r="J39" s="251"/>
    </row>
    <row r="40">
      <c r="A40" s="265"/>
      <c r="B40" s="268"/>
      <c r="C40" s="248"/>
      <c r="D40" s="331"/>
      <c r="F40" s="250">
        <v>13800.0</v>
      </c>
      <c r="G40" s="2" t="s">
        <v>87</v>
      </c>
      <c r="H40" s="2"/>
      <c r="J40" s="251"/>
    </row>
    <row r="41">
      <c r="A41" s="265"/>
      <c r="B41" s="247"/>
      <c r="C41" s="252"/>
      <c r="D41" s="822"/>
      <c r="F41" s="250">
        <v>7400.0</v>
      </c>
      <c r="G41" s="2" t="s">
        <v>2120</v>
      </c>
      <c r="H41" s="2"/>
      <c r="J41" s="251"/>
    </row>
    <row r="42">
      <c r="A42" s="265"/>
      <c r="B42" s="247"/>
      <c r="C42" s="252"/>
      <c r="D42" s="331"/>
      <c r="F42" s="250">
        <v>5400.0</v>
      </c>
      <c r="G42" s="2" t="s">
        <v>2669</v>
      </c>
      <c r="H42" s="2"/>
      <c r="J42" s="251"/>
    </row>
    <row r="43">
      <c r="A43" s="265"/>
      <c r="B43" s="247"/>
      <c r="C43" s="252"/>
      <c r="D43" s="822"/>
      <c r="F43" s="250"/>
      <c r="J43" s="267"/>
    </row>
    <row r="44">
      <c r="A44" s="265"/>
      <c r="B44" s="268"/>
      <c r="C44" s="248"/>
      <c r="D44" s="822"/>
      <c r="F44" s="250"/>
      <c r="J44" s="251"/>
    </row>
    <row r="45">
      <c r="A45" s="265"/>
      <c r="B45" s="247"/>
      <c r="C45" s="252"/>
      <c r="D45" s="822"/>
      <c r="F45" s="250"/>
      <c r="J45" s="251"/>
    </row>
    <row r="46">
      <c r="A46" s="265"/>
      <c r="B46" s="268"/>
      <c r="C46" s="248"/>
      <c r="D46" s="822"/>
      <c r="F46" s="250"/>
      <c r="J46" s="251"/>
    </row>
    <row r="47">
      <c r="A47" s="265"/>
      <c r="B47" s="278"/>
      <c r="C47" s="252"/>
      <c r="D47" s="822"/>
      <c r="F47" s="250"/>
      <c r="J47" s="251"/>
    </row>
    <row r="48">
      <c r="A48" s="265"/>
      <c r="B48" s="278"/>
      <c r="C48" s="252"/>
      <c r="D48" s="822"/>
      <c r="F48" s="250"/>
      <c r="J48" s="251"/>
    </row>
    <row r="49">
      <c r="A49" s="270"/>
      <c r="B49" s="271"/>
      <c r="C49" s="272"/>
      <c r="D49" s="823"/>
      <c r="E49" s="18"/>
      <c r="F49" s="259"/>
      <c r="G49" s="293"/>
      <c r="H49" s="293"/>
      <c r="I49" s="18"/>
      <c r="J49" s="261"/>
    </row>
    <row r="50">
      <c r="A50" s="437"/>
      <c r="B50" s="278"/>
      <c r="C50" s="252"/>
      <c r="D50" s="822"/>
      <c r="F50" s="250"/>
      <c r="J50" s="251"/>
    </row>
    <row r="51">
      <c r="A51" s="437"/>
      <c r="B51" s="278"/>
      <c r="C51" s="252"/>
      <c r="D51" s="822"/>
      <c r="F51" s="250"/>
      <c r="J51" s="251"/>
    </row>
    <row r="52">
      <c r="A52" s="262" t="s">
        <v>224</v>
      </c>
      <c r="B52" s="239">
        <v>3702.0</v>
      </c>
      <c r="C52" s="263"/>
      <c r="D52" s="824"/>
      <c r="E52" s="242"/>
      <c r="F52" s="243"/>
      <c r="G52" s="244" t="s">
        <v>3003</v>
      </c>
      <c r="H52" s="244"/>
      <c r="I52" s="244"/>
      <c r="J52" s="307"/>
    </row>
    <row r="53">
      <c r="A53" s="265"/>
      <c r="B53" s="247"/>
      <c r="C53" s="252"/>
      <c r="D53" s="822"/>
      <c r="F53" s="250">
        <f>101.47+1206</f>
        <v>1307.47</v>
      </c>
      <c r="G53" s="2" t="s">
        <v>97</v>
      </c>
      <c r="H53" s="2"/>
      <c r="J53" s="251"/>
    </row>
    <row r="54">
      <c r="A54" s="265"/>
      <c r="B54" s="247">
        <v>4445.77</v>
      </c>
      <c r="C54" s="248"/>
      <c r="D54" s="331"/>
      <c r="F54" s="250"/>
      <c r="G54" s="2" t="s">
        <v>82</v>
      </c>
      <c r="H54" s="2"/>
      <c r="J54" s="251"/>
    </row>
    <row r="55">
      <c r="A55" s="265"/>
      <c r="B55" s="247">
        <v>32004.17</v>
      </c>
      <c r="C55" s="252"/>
      <c r="D55" s="822"/>
      <c r="F55" s="250"/>
      <c r="G55" s="2" t="s">
        <v>71</v>
      </c>
      <c r="H55" s="2"/>
      <c r="J55" s="251"/>
    </row>
    <row r="56">
      <c r="A56" s="265"/>
      <c r="B56" s="247"/>
      <c r="C56" s="252"/>
      <c r="D56" s="331"/>
      <c r="F56" s="250">
        <v>120.0</v>
      </c>
      <c r="G56" s="2" t="s">
        <v>3004</v>
      </c>
      <c r="H56" s="2"/>
      <c r="J56" s="267"/>
    </row>
    <row r="57">
      <c r="A57" s="265"/>
      <c r="B57" s="247"/>
      <c r="C57" s="252"/>
      <c r="D57" s="822"/>
      <c r="F57" s="250">
        <v>1000.0</v>
      </c>
      <c r="G57" s="2" t="s">
        <v>2534</v>
      </c>
      <c r="H57" s="2"/>
      <c r="J57" s="251"/>
    </row>
    <row r="58">
      <c r="A58" s="265"/>
      <c r="B58" s="247">
        <v>8080.0</v>
      </c>
      <c r="C58" s="248"/>
      <c r="D58" s="822"/>
      <c r="F58" s="250"/>
      <c r="G58" s="2" t="s">
        <v>2349</v>
      </c>
      <c r="H58" s="2"/>
      <c r="J58" s="251"/>
    </row>
    <row r="59">
      <c r="A59" s="265"/>
      <c r="B59" s="268"/>
      <c r="C59" s="252"/>
      <c r="D59" s="822"/>
      <c r="F59" s="250"/>
      <c r="J59" s="251"/>
    </row>
    <row r="60">
      <c r="A60" s="265"/>
      <c r="B60" s="268"/>
      <c r="C60" s="252"/>
      <c r="D60" s="822"/>
      <c r="F60" s="250"/>
      <c r="J60" s="251"/>
    </row>
    <row r="61">
      <c r="A61" s="270"/>
      <c r="B61" s="271"/>
      <c r="C61" s="272"/>
      <c r="D61" s="823"/>
      <c r="E61" s="18"/>
      <c r="F61" s="274"/>
      <c r="G61" s="18"/>
      <c r="H61" s="18"/>
      <c r="I61" s="18"/>
      <c r="J61" s="261"/>
    </row>
    <row r="62">
      <c r="A62" s="262" t="s">
        <v>230</v>
      </c>
      <c r="B62" s="239">
        <v>4880.7</v>
      </c>
      <c r="C62" s="263"/>
      <c r="D62" s="824"/>
      <c r="E62" s="242"/>
      <c r="F62" s="243"/>
      <c r="G62" s="244" t="s">
        <v>91</v>
      </c>
      <c r="H62" s="244"/>
      <c r="I62" s="244"/>
      <c r="J62" s="307"/>
    </row>
    <row r="63">
      <c r="A63" s="265"/>
      <c r="B63" s="247"/>
      <c r="C63" s="252"/>
      <c r="D63" s="822"/>
      <c r="F63" s="250">
        <v>13800.0</v>
      </c>
      <c r="G63" s="2" t="s">
        <v>87</v>
      </c>
      <c r="H63" s="2"/>
      <c r="J63" s="251"/>
    </row>
    <row r="64">
      <c r="A64" s="265"/>
      <c r="B64" s="247"/>
      <c r="C64" s="252"/>
      <c r="D64" s="822"/>
      <c r="F64" s="250">
        <v>7240.0</v>
      </c>
      <c r="G64" s="2" t="s">
        <v>76</v>
      </c>
      <c r="H64" s="2"/>
      <c r="J64" s="251"/>
    </row>
    <row r="65">
      <c r="A65" s="265"/>
      <c r="B65" s="247">
        <v>10921.42</v>
      </c>
      <c r="C65" s="252"/>
      <c r="D65" s="331"/>
      <c r="F65" s="250"/>
      <c r="G65" s="2" t="s">
        <v>74</v>
      </c>
      <c r="H65" s="2"/>
      <c r="J65" s="267"/>
    </row>
    <row r="66">
      <c r="A66" s="265"/>
      <c r="B66" s="247">
        <v>9199.59</v>
      </c>
      <c r="C66" s="248"/>
      <c r="D66" s="822"/>
      <c r="F66" s="250"/>
      <c r="G66" s="2" t="s">
        <v>73</v>
      </c>
      <c r="H66" s="2"/>
      <c r="J66" s="251"/>
    </row>
    <row r="67">
      <c r="A67" s="265"/>
      <c r="B67" s="247">
        <v>7120.85</v>
      </c>
      <c r="C67" s="252"/>
      <c r="D67" s="822"/>
      <c r="F67" s="250"/>
      <c r="G67" s="2" t="s">
        <v>77</v>
      </c>
      <c r="H67" s="2"/>
      <c r="J67" s="251"/>
    </row>
    <row r="68">
      <c r="A68" s="265"/>
      <c r="B68" s="247">
        <v>11350.0</v>
      </c>
      <c r="C68" s="252"/>
      <c r="D68" s="822"/>
      <c r="F68" s="250"/>
      <c r="G68" s="2" t="s">
        <v>662</v>
      </c>
      <c r="H68" s="2"/>
      <c r="J68" s="251"/>
    </row>
    <row r="69">
      <c r="A69" s="265"/>
      <c r="B69" s="247">
        <v>4445.77</v>
      </c>
      <c r="C69" s="252"/>
      <c r="D69" s="822"/>
      <c r="F69" s="250"/>
      <c r="G69" s="2" t="s">
        <v>58</v>
      </c>
      <c r="H69" s="2"/>
      <c r="J69" s="251"/>
    </row>
    <row r="70">
      <c r="A70" s="265"/>
      <c r="B70" s="268"/>
      <c r="C70" s="248"/>
      <c r="D70" s="822"/>
      <c r="F70" s="250">
        <v>420.0</v>
      </c>
      <c r="G70" s="2" t="s">
        <v>97</v>
      </c>
      <c r="H70" s="2"/>
      <c r="J70" s="251"/>
    </row>
    <row r="71">
      <c r="A71" s="265"/>
      <c r="B71" s="268"/>
      <c r="C71" s="248">
        <v>17099.61</v>
      </c>
      <c r="D71" s="331"/>
      <c r="F71" s="250"/>
      <c r="G71" s="2" t="s">
        <v>84</v>
      </c>
      <c r="H71" s="2"/>
      <c r="J71" s="251"/>
    </row>
    <row r="72">
      <c r="A72" s="265"/>
      <c r="B72" s="268"/>
      <c r="C72" s="248"/>
      <c r="D72" s="331"/>
      <c r="F72" s="250">
        <v>1700.0</v>
      </c>
      <c r="G72" s="2" t="s">
        <v>453</v>
      </c>
      <c r="H72" s="2"/>
      <c r="J72" s="251"/>
    </row>
    <row r="73">
      <c r="A73" s="265"/>
      <c r="B73" s="268"/>
      <c r="C73" s="248"/>
      <c r="D73" s="331"/>
      <c r="F73" s="250">
        <f>1545+7000</f>
        <v>8545</v>
      </c>
      <c r="G73" s="2" t="s">
        <v>453</v>
      </c>
      <c r="H73" s="2"/>
      <c r="J73" s="251"/>
    </row>
    <row r="74">
      <c r="A74" s="265"/>
      <c r="B74" s="278"/>
      <c r="C74" s="252"/>
      <c r="D74" s="822"/>
      <c r="F74" s="250">
        <v>1000.0</v>
      </c>
      <c r="G74" s="2" t="s">
        <v>2534</v>
      </c>
      <c r="H74" s="2"/>
      <c r="J74" s="251"/>
    </row>
    <row r="75">
      <c r="A75" s="270"/>
      <c r="B75" s="271"/>
      <c r="C75" s="272"/>
      <c r="D75" s="823"/>
      <c r="E75" s="18"/>
      <c r="F75" s="274"/>
      <c r="G75" s="18"/>
      <c r="H75" s="18"/>
      <c r="I75" s="18"/>
      <c r="J75" s="261"/>
    </row>
    <row r="76">
      <c r="A76" s="262" t="s">
        <v>237</v>
      </c>
      <c r="B76" s="239"/>
      <c r="C76" s="263"/>
      <c r="D76" s="824"/>
      <c r="E76" s="242"/>
      <c r="F76" s="243">
        <v>660.0</v>
      </c>
      <c r="G76" s="244" t="s">
        <v>97</v>
      </c>
      <c r="H76" s="244"/>
      <c r="I76" s="244"/>
      <c r="J76" s="307"/>
    </row>
    <row r="77">
      <c r="A77" s="265"/>
      <c r="B77" s="268"/>
      <c r="C77" s="248"/>
      <c r="D77" s="822"/>
      <c r="F77" s="250">
        <v>200.0</v>
      </c>
      <c r="G77" s="2" t="s">
        <v>3005</v>
      </c>
      <c r="J77" s="251"/>
    </row>
    <row r="78">
      <c r="A78" s="265"/>
      <c r="B78" s="247"/>
      <c r="C78" s="252"/>
      <c r="D78" s="822"/>
      <c r="F78" s="250">
        <v>1500.0</v>
      </c>
      <c r="G78" s="2" t="s">
        <v>3006</v>
      </c>
      <c r="I78" s="840"/>
      <c r="J78" s="267"/>
    </row>
    <row r="79">
      <c r="A79" s="265"/>
      <c r="B79" s="247"/>
      <c r="C79" s="248"/>
      <c r="D79" s="822"/>
      <c r="F79" s="250">
        <v>425.0</v>
      </c>
      <c r="G79" s="2" t="s">
        <v>3007</v>
      </c>
      <c r="J79" s="251"/>
    </row>
    <row r="80">
      <c r="A80" s="265"/>
      <c r="B80" s="247"/>
      <c r="C80" s="248"/>
      <c r="D80" s="822"/>
      <c r="F80" s="250"/>
      <c r="J80" s="251"/>
    </row>
    <row r="81">
      <c r="A81" s="265"/>
      <c r="B81" s="247"/>
      <c r="C81" s="248"/>
      <c r="D81" s="822"/>
      <c r="F81" s="250"/>
      <c r="J81" s="251"/>
    </row>
    <row r="82">
      <c r="A82" s="265"/>
      <c r="B82" s="268"/>
      <c r="C82" s="252"/>
      <c r="D82" s="822"/>
      <c r="F82" s="250"/>
      <c r="J82" s="251"/>
    </row>
    <row r="83">
      <c r="A83" s="265"/>
      <c r="B83" s="247"/>
      <c r="C83" s="252"/>
      <c r="D83" s="822"/>
      <c r="F83" s="250"/>
      <c r="J83" s="251"/>
    </row>
    <row r="84">
      <c r="A84" s="265"/>
      <c r="B84" s="247"/>
      <c r="C84" s="252"/>
      <c r="D84" s="822"/>
      <c r="F84" s="250"/>
      <c r="J84" s="251"/>
    </row>
    <row r="85">
      <c r="A85" s="265"/>
      <c r="B85" s="278"/>
      <c r="C85" s="252"/>
      <c r="D85" s="822"/>
      <c r="F85" s="250"/>
      <c r="J85" s="251"/>
    </row>
    <row r="86">
      <c r="A86" s="265"/>
      <c r="B86" s="278"/>
      <c r="C86" s="252"/>
      <c r="D86" s="822"/>
      <c r="F86" s="250"/>
      <c r="I86" s="838"/>
      <c r="J86" s="251"/>
    </row>
    <row r="87">
      <c r="A87" s="270"/>
      <c r="B87" s="271"/>
      <c r="C87" s="272"/>
      <c r="D87" s="823"/>
      <c r="E87" s="18"/>
      <c r="F87" s="274"/>
      <c r="G87" s="18"/>
      <c r="H87" s="18"/>
      <c r="I87" s="18"/>
      <c r="J87" s="261"/>
    </row>
    <row r="88">
      <c r="A88" s="262" t="s">
        <v>240</v>
      </c>
      <c r="B88" s="239"/>
      <c r="C88" s="263"/>
      <c r="D88" s="824"/>
      <c r="E88" s="242"/>
      <c r="F88" s="243">
        <v>550.0</v>
      </c>
      <c r="G88" s="244" t="s">
        <v>3008</v>
      </c>
      <c r="H88" s="244"/>
      <c r="I88" s="244"/>
      <c r="J88" s="307"/>
    </row>
    <row r="89">
      <c r="A89" s="265"/>
      <c r="B89" s="247">
        <v>7641.0</v>
      </c>
      <c r="C89" s="248"/>
      <c r="D89" s="822"/>
      <c r="F89" s="250"/>
      <c r="G89" s="2" t="s">
        <v>3009</v>
      </c>
      <c r="J89" s="251"/>
    </row>
    <row r="90">
      <c r="A90" s="265"/>
      <c r="B90" s="247">
        <v>8098.83</v>
      </c>
      <c r="C90" s="248"/>
      <c r="D90" s="822"/>
      <c r="F90" s="250"/>
      <c r="G90" s="2" t="s">
        <v>450</v>
      </c>
      <c r="H90" s="2" t="s">
        <v>3010</v>
      </c>
      <c r="J90" s="251"/>
    </row>
    <row r="91">
      <c r="A91" s="265"/>
      <c r="B91" s="247">
        <v>1660.0</v>
      </c>
      <c r="C91" s="248"/>
      <c r="D91" s="822"/>
      <c r="F91" s="250"/>
      <c r="G91" s="2" t="s">
        <v>75</v>
      </c>
      <c r="J91" s="251"/>
    </row>
    <row r="92">
      <c r="A92" s="265"/>
      <c r="B92" s="78"/>
      <c r="C92" s="248"/>
      <c r="D92" s="822"/>
      <c r="F92" s="250">
        <v>930.0</v>
      </c>
      <c r="G92" s="2" t="s">
        <v>3011</v>
      </c>
      <c r="J92" s="251"/>
    </row>
    <row r="93">
      <c r="A93" s="265"/>
      <c r="B93" s="841"/>
      <c r="C93" s="252"/>
      <c r="D93" s="331"/>
      <c r="F93" s="266">
        <v>1000.0</v>
      </c>
      <c r="G93" s="2" t="s">
        <v>3012</v>
      </c>
      <c r="J93" s="251"/>
    </row>
    <row r="94">
      <c r="A94" s="265"/>
      <c r="B94" s="281"/>
      <c r="C94" s="252"/>
      <c r="D94" s="331"/>
      <c r="F94" s="250">
        <v>300.0</v>
      </c>
      <c r="G94" s="2" t="s">
        <v>85</v>
      </c>
      <c r="J94" s="251"/>
    </row>
    <row r="95">
      <c r="A95" s="265"/>
      <c r="B95" s="247"/>
      <c r="C95" s="252"/>
      <c r="D95" s="331"/>
      <c r="F95" s="250"/>
      <c r="J95" s="251"/>
    </row>
    <row r="96">
      <c r="A96" s="265"/>
      <c r="B96" s="247"/>
      <c r="C96" s="252"/>
      <c r="D96" s="822"/>
      <c r="F96" s="250"/>
      <c r="J96" s="251"/>
    </row>
    <row r="97">
      <c r="A97" s="265"/>
      <c r="B97" s="247"/>
      <c r="C97" s="252"/>
      <c r="D97" s="331"/>
      <c r="F97" s="250"/>
      <c r="J97" s="251"/>
    </row>
    <row r="98">
      <c r="A98" s="265"/>
      <c r="B98" s="268"/>
      <c r="C98" s="252"/>
      <c r="D98" s="822"/>
      <c r="F98" s="250"/>
      <c r="J98" s="251"/>
    </row>
    <row r="99">
      <c r="A99" s="265"/>
      <c r="B99" s="247"/>
      <c r="C99" s="252"/>
      <c r="D99" s="822"/>
      <c r="F99" s="250"/>
      <c r="J99" s="251"/>
    </row>
    <row r="100">
      <c r="A100" s="265"/>
      <c r="B100" s="277"/>
      <c r="C100" s="252"/>
      <c r="D100" s="822"/>
      <c r="F100" s="282"/>
      <c r="J100" s="251"/>
    </row>
    <row r="101">
      <c r="A101" s="265"/>
      <c r="B101" s="278"/>
      <c r="C101" s="248"/>
      <c r="D101" s="822"/>
      <c r="F101" s="282"/>
      <c r="J101" s="251"/>
    </row>
    <row r="102">
      <c r="A102" s="265"/>
      <c r="B102" s="278"/>
      <c r="C102" s="252"/>
      <c r="D102" s="822"/>
      <c r="F102" s="250"/>
      <c r="J102" s="251"/>
    </row>
    <row r="103">
      <c r="A103" s="270"/>
      <c r="B103" s="271"/>
      <c r="C103" s="272"/>
      <c r="D103" s="823"/>
      <c r="E103" s="18"/>
      <c r="F103" s="259"/>
      <c r="G103" s="293"/>
      <c r="H103" s="293"/>
      <c r="I103" s="18"/>
      <c r="J103" s="261"/>
    </row>
    <row r="104">
      <c r="A104" s="262" t="s">
        <v>3013</v>
      </c>
      <c r="B104" s="239"/>
      <c r="C104" s="263"/>
      <c r="D104" s="821"/>
      <c r="E104" s="242"/>
      <c r="F104" s="250">
        <f>978+840</f>
        <v>1818</v>
      </c>
      <c r="G104" s="244" t="s">
        <v>97</v>
      </c>
      <c r="H104" s="244"/>
      <c r="I104" s="244"/>
      <c r="J104" s="307"/>
    </row>
    <row r="105">
      <c r="A105" s="265"/>
      <c r="B105" s="247">
        <v>3423.72</v>
      </c>
      <c r="C105" s="248"/>
      <c r="D105" s="822"/>
      <c r="F105" s="250"/>
      <c r="G105" s="2" t="s">
        <v>82</v>
      </c>
      <c r="J105" s="251"/>
    </row>
    <row r="106">
      <c r="A106" s="265"/>
      <c r="B106" s="247"/>
      <c r="C106" s="248"/>
      <c r="D106" s="822"/>
      <c r="F106" s="250">
        <v>705.0</v>
      </c>
      <c r="G106" s="2" t="s">
        <v>275</v>
      </c>
      <c r="J106" s="251"/>
    </row>
    <row r="107">
      <c r="A107" s="265"/>
      <c r="B107" s="247"/>
      <c r="C107" s="248"/>
      <c r="D107" s="822"/>
      <c r="F107" s="250">
        <v>13800.0</v>
      </c>
      <c r="G107" s="2" t="s">
        <v>87</v>
      </c>
      <c r="J107" s="251"/>
    </row>
    <row r="108">
      <c r="A108" s="265"/>
      <c r="B108" s="247"/>
      <c r="C108" s="252"/>
      <c r="D108" s="822"/>
      <c r="F108" s="250">
        <v>580.0</v>
      </c>
      <c r="G108" s="2" t="s">
        <v>3014</v>
      </c>
      <c r="J108" s="251"/>
    </row>
    <row r="109">
      <c r="A109" s="265"/>
      <c r="B109" s="268"/>
      <c r="C109" s="252"/>
      <c r="D109" s="822"/>
      <c r="F109" s="250">
        <v>6500.0</v>
      </c>
      <c r="G109" s="2" t="s">
        <v>3015</v>
      </c>
      <c r="J109" s="251"/>
    </row>
    <row r="110">
      <c r="A110" s="265"/>
      <c r="B110" s="268"/>
      <c r="C110" s="252"/>
      <c r="D110" s="331"/>
      <c r="F110" s="250">
        <v>6200.0</v>
      </c>
      <c r="G110" s="2" t="s">
        <v>3016</v>
      </c>
      <c r="J110" s="251"/>
    </row>
    <row r="111">
      <c r="A111" s="265"/>
      <c r="B111" s="247"/>
      <c r="C111" s="252"/>
      <c r="D111" s="822"/>
      <c r="F111" s="250">
        <v>1000.0</v>
      </c>
      <c r="G111" s="2" t="s">
        <v>2776</v>
      </c>
      <c r="J111" s="251"/>
    </row>
    <row r="112">
      <c r="A112" s="265"/>
      <c r="B112" s="247"/>
      <c r="C112" s="252"/>
      <c r="D112" s="822"/>
      <c r="F112" s="250">
        <v>130.0</v>
      </c>
      <c r="G112" s="2" t="s">
        <v>3017</v>
      </c>
      <c r="J112" s="251"/>
    </row>
    <row r="113">
      <c r="A113" s="265"/>
      <c r="B113" s="268"/>
      <c r="C113" s="252"/>
      <c r="D113" s="822"/>
      <c r="F113" s="250"/>
      <c r="J113" s="251"/>
    </row>
    <row r="114">
      <c r="A114" s="265"/>
      <c r="B114" s="278"/>
      <c r="C114" s="248"/>
      <c r="D114" s="822"/>
      <c r="F114" s="282"/>
      <c r="J114" s="251"/>
    </row>
    <row r="115">
      <c r="A115" s="265"/>
      <c r="B115" s="278"/>
      <c r="C115" s="252"/>
      <c r="D115" s="822"/>
      <c r="F115" s="250"/>
      <c r="J115" s="251"/>
    </row>
    <row r="116">
      <c r="A116" s="265"/>
      <c r="B116" s="278"/>
      <c r="C116" s="252"/>
      <c r="D116" s="822"/>
      <c r="F116" s="282"/>
      <c r="J116" s="251"/>
    </row>
    <row r="117">
      <c r="A117" s="270"/>
      <c r="B117" s="271"/>
      <c r="C117" s="272"/>
      <c r="D117" s="823"/>
      <c r="E117" s="18"/>
      <c r="F117" s="274"/>
      <c r="G117" s="18"/>
      <c r="H117" s="18"/>
      <c r="I117" s="18"/>
      <c r="J117" s="261"/>
    </row>
    <row r="118">
      <c r="A118" s="262" t="s">
        <v>246</v>
      </c>
      <c r="B118" s="239"/>
      <c r="C118" s="263"/>
      <c r="D118" s="821"/>
      <c r="E118" s="242"/>
      <c r="F118" s="243">
        <v>700.0</v>
      </c>
      <c r="G118" s="244" t="s">
        <v>97</v>
      </c>
      <c r="H118" s="244"/>
      <c r="I118" s="244"/>
      <c r="J118" s="307"/>
    </row>
    <row r="119">
      <c r="A119" s="265"/>
      <c r="B119" s="247"/>
      <c r="C119" s="252"/>
      <c r="D119" s="331"/>
      <c r="F119" s="250">
        <v>1300.0</v>
      </c>
      <c r="G119" s="2" t="s">
        <v>3018</v>
      </c>
      <c r="J119" s="251"/>
    </row>
    <row r="120">
      <c r="A120" s="265"/>
      <c r="B120" s="247">
        <v>3604.0</v>
      </c>
      <c r="C120" s="248"/>
      <c r="D120" s="331"/>
      <c r="F120" s="250"/>
      <c r="G120" s="250" t="s">
        <v>118</v>
      </c>
      <c r="H120" s="250"/>
      <c r="J120" s="251"/>
    </row>
    <row r="121">
      <c r="A121" s="265"/>
      <c r="B121" s="247">
        <v>2609.0</v>
      </c>
      <c r="C121" s="248"/>
      <c r="D121" s="331"/>
      <c r="F121" s="250"/>
      <c r="G121" s="2" t="s">
        <v>352</v>
      </c>
      <c r="J121" s="251"/>
    </row>
    <row r="122">
      <c r="A122" s="265"/>
      <c r="B122" s="247"/>
      <c r="C122" s="252"/>
      <c r="D122" s="331"/>
      <c r="F122" s="250">
        <v>7100.0</v>
      </c>
      <c r="G122" s="2" t="s">
        <v>2669</v>
      </c>
      <c r="J122" s="251"/>
    </row>
    <row r="123">
      <c r="A123" s="265"/>
      <c r="B123" s="247"/>
      <c r="C123" s="252"/>
      <c r="D123" s="822"/>
      <c r="F123" s="250">
        <v>3000.0</v>
      </c>
      <c r="G123" s="2" t="s">
        <v>2806</v>
      </c>
      <c r="J123" s="251"/>
    </row>
    <row r="124">
      <c r="A124" s="265"/>
      <c r="B124" s="247"/>
      <c r="C124" s="252"/>
      <c r="D124" s="822"/>
      <c r="F124" s="250"/>
      <c r="J124" s="251"/>
    </row>
    <row r="125">
      <c r="A125" s="265"/>
      <c r="B125" s="247"/>
      <c r="C125" s="252"/>
      <c r="D125" s="822"/>
      <c r="F125" s="250"/>
      <c r="J125" s="251"/>
    </row>
    <row r="126">
      <c r="A126" s="265"/>
      <c r="B126" s="247"/>
      <c r="C126" s="252"/>
      <c r="D126" s="331"/>
      <c r="F126" s="250"/>
      <c r="J126" s="251"/>
    </row>
    <row r="127">
      <c r="A127" s="265"/>
      <c r="B127" s="268"/>
      <c r="C127" s="248"/>
      <c r="D127" s="822"/>
      <c r="F127" s="250"/>
      <c r="J127" s="251"/>
    </row>
    <row r="128">
      <c r="A128" s="265"/>
      <c r="B128" s="268"/>
      <c r="C128" s="252"/>
      <c r="D128" s="822"/>
      <c r="F128" s="250"/>
      <c r="J128" s="251"/>
    </row>
    <row r="129">
      <c r="A129" s="265"/>
      <c r="B129" s="268"/>
      <c r="C129" s="252"/>
      <c r="D129" s="822"/>
      <c r="F129" s="250"/>
      <c r="J129" s="251"/>
    </row>
    <row r="130">
      <c r="A130" s="265"/>
      <c r="B130" s="268"/>
      <c r="C130" s="252"/>
      <c r="D130" s="822"/>
      <c r="F130" s="250"/>
      <c r="J130" s="251"/>
    </row>
    <row r="131">
      <c r="A131" s="265"/>
      <c r="B131" s="268"/>
      <c r="C131" s="252"/>
      <c r="D131" s="822"/>
      <c r="F131" s="250"/>
      <c r="J131" s="251"/>
    </row>
    <row r="132">
      <c r="A132" s="265"/>
      <c r="B132" s="268"/>
      <c r="C132" s="252"/>
      <c r="D132" s="822"/>
      <c r="F132" s="250"/>
      <c r="J132" s="251"/>
    </row>
    <row r="133">
      <c r="A133" s="265"/>
      <c r="B133" s="268"/>
      <c r="C133" s="252"/>
      <c r="D133" s="822"/>
      <c r="F133" s="250"/>
      <c r="J133" s="251"/>
    </row>
    <row r="134">
      <c r="A134" s="265"/>
      <c r="B134" s="268"/>
      <c r="C134" s="252"/>
      <c r="D134" s="822"/>
      <c r="F134" s="250"/>
      <c r="J134" s="251"/>
    </row>
    <row r="135">
      <c r="A135" s="270"/>
      <c r="B135" s="271"/>
      <c r="C135" s="272"/>
      <c r="D135" s="823"/>
      <c r="E135" s="18"/>
      <c r="F135" s="274"/>
      <c r="G135" s="18"/>
      <c r="H135" s="18"/>
      <c r="I135" s="18"/>
      <c r="J135" s="261"/>
    </row>
    <row r="136">
      <c r="A136" s="262" t="s">
        <v>248</v>
      </c>
      <c r="B136" s="239">
        <v>3423.72</v>
      </c>
      <c r="C136" s="263"/>
      <c r="D136" s="824"/>
      <c r="E136" s="242"/>
      <c r="F136" s="243"/>
      <c r="G136" s="244" t="s">
        <v>3019</v>
      </c>
      <c r="H136" s="244"/>
      <c r="I136" s="244"/>
      <c r="J136" s="307"/>
    </row>
    <row r="137">
      <c r="A137" s="265"/>
      <c r="B137" s="247"/>
      <c r="C137" s="248"/>
      <c r="D137" s="822"/>
      <c r="F137" s="250">
        <v>1800.0</v>
      </c>
      <c r="G137" s="2" t="s">
        <v>3020</v>
      </c>
      <c r="J137" s="251"/>
    </row>
    <row r="138">
      <c r="A138" s="265"/>
      <c r="B138" s="247"/>
      <c r="C138" s="248"/>
      <c r="D138" s="822"/>
      <c r="F138" s="250">
        <v>500.0</v>
      </c>
      <c r="G138" s="2" t="s">
        <v>3021</v>
      </c>
      <c r="J138" s="251"/>
    </row>
    <row r="139">
      <c r="A139" s="265"/>
      <c r="B139" s="247"/>
      <c r="C139" s="252"/>
      <c r="D139" s="331"/>
      <c r="F139" s="250">
        <v>2340.0</v>
      </c>
      <c r="G139" s="2" t="s">
        <v>2996</v>
      </c>
      <c r="J139" s="251"/>
    </row>
    <row r="140">
      <c r="A140" s="265"/>
      <c r="B140" s="247"/>
      <c r="C140" s="252"/>
      <c r="D140" s="822"/>
      <c r="F140" s="250">
        <v>125.0</v>
      </c>
      <c r="G140" s="2" t="s">
        <v>97</v>
      </c>
      <c r="J140" s="251"/>
    </row>
    <row r="141">
      <c r="A141" s="265"/>
      <c r="B141" s="247"/>
      <c r="C141" s="252"/>
      <c r="D141" s="822"/>
      <c r="F141" s="250">
        <v>2000.0</v>
      </c>
      <c r="G141" s="2" t="s">
        <v>101</v>
      </c>
      <c r="J141" s="251"/>
    </row>
    <row r="142">
      <c r="A142" s="265"/>
      <c r="B142" s="247"/>
      <c r="C142" s="252"/>
      <c r="D142" s="822"/>
      <c r="F142" s="250">
        <v>600.0</v>
      </c>
      <c r="G142" s="2" t="s">
        <v>102</v>
      </c>
      <c r="J142" s="251"/>
    </row>
    <row r="143">
      <c r="A143" s="265"/>
      <c r="B143" s="283"/>
      <c r="C143" s="248"/>
      <c r="D143" s="822"/>
      <c r="F143" s="250"/>
      <c r="G143" s="2" t="s">
        <v>114</v>
      </c>
      <c r="J143" s="251"/>
    </row>
    <row r="144">
      <c r="A144" s="265"/>
      <c r="B144" s="247"/>
      <c r="C144" s="252"/>
      <c r="D144" s="822"/>
      <c r="F144" s="250">
        <v>3400.0</v>
      </c>
      <c r="G144" s="2" t="s">
        <v>3022</v>
      </c>
      <c r="J144" s="251"/>
    </row>
    <row r="145">
      <c r="A145" s="265"/>
      <c r="B145" s="247">
        <v>1447.0</v>
      </c>
      <c r="C145" s="252"/>
      <c r="D145" s="822"/>
      <c r="F145" s="250"/>
      <c r="G145" s="2" t="s">
        <v>392</v>
      </c>
      <c r="J145" s="251"/>
    </row>
    <row r="146">
      <c r="A146" s="265"/>
      <c r="B146" s="247">
        <v>678.0</v>
      </c>
      <c r="C146" s="252"/>
      <c r="D146" s="822"/>
      <c r="F146" s="250"/>
      <c r="G146" s="2" t="s">
        <v>3023</v>
      </c>
      <c r="J146" s="251"/>
    </row>
    <row r="147">
      <c r="A147" s="265"/>
      <c r="B147" s="277">
        <v>2912.56</v>
      </c>
      <c r="C147" s="252"/>
      <c r="D147" s="822"/>
      <c r="F147" s="250"/>
      <c r="G147" s="2" t="s">
        <v>3024</v>
      </c>
      <c r="J147" s="251"/>
    </row>
    <row r="148">
      <c r="A148" s="265"/>
      <c r="B148" s="277">
        <v>29600.0</v>
      </c>
      <c r="C148" s="252"/>
      <c r="D148" s="822"/>
      <c r="F148" s="250"/>
      <c r="G148" s="2" t="s">
        <v>3025</v>
      </c>
      <c r="J148" s="251"/>
    </row>
    <row r="149">
      <c r="A149" s="265"/>
      <c r="B149" s="278"/>
      <c r="C149" s="252"/>
      <c r="D149" s="822"/>
      <c r="F149" s="250">
        <v>2250.0</v>
      </c>
      <c r="G149" s="2" t="s">
        <v>426</v>
      </c>
      <c r="J149" s="251"/>
    </row>
    <row r="150">
      <c r="A150" s="270"/>
      <c r="B150" s="271"/>
      <c r="C150" s="272"/>
      <c r="D150" s="823"/>
      <c r="E150" s="18"/>
      <c r="F150" s="274"/>
      <c r="G150" s="18"/>
      <c r="H150" s="18"/>
      <c r="I150" s="18"/>
      <c r="J150" s="261"/>
    </row>
    <row r="151">
      <c r="A151" s="262" t="s">
        <v>251</v>
      </c>
      <c r="B151" s="239"/>
      <c r="C151" s="240"/>
      <c r="D151" s="824"/>
      <c r="E151" s="242"/>
      <c r="F151" s="243">
        <v>1050.0</v>
      </c>
      <c r="G151" s="244" t="s">
        <v>97</v>
      </c>
      <c r="H151" s="244"/>
      <c r="I151" s="244"/>
      <c r="J151" s="307"/>
    </row>
    <row r="152">
      <c r="A152" s="265"/>
      <c r="B152" s="247">
        <v>15755.41</v>
      </c>
      <c r="C152" s="252"/>
      <c r="D152" s="822"/>
      <c r="F152" s="250"/>
      <c r="G152" s="2" t="s">
        <v>91</v>
      </c>
      <c r="J152" s="251"/>
    </row>
    <row r="153">
      <c r="A153" s="265"/>
      <c r="B153" s="247">
        <f>10764.37+1260.53</f>
        <v>12024.9</v>
      </c>
      <c r="C153" s="252"/>
      <c r="D153" s="331"/>
      <c r="F153" s="418"/>
      <c r="G153" s="398" t="s">
        <v>74</v>
      </c>
      <c r="H153" s="417"/>
      <c r="I153" s="842"/>
      <c r="J153" s="251"/>
    </row>
    <row r="154">
      <c r="A154" s="265"/>
      <c r="B154" s="247">
        <v>3368.06</v>
      </c>
      <c r="C154" s="252"/>
      <c r="D154" s="822"/>
      <c r="F154" s="250"/>
      <c r="G154" s="2" t="s">
        <v>73</v>
      </c>
      <c r="J154" s="251"/>
    </row>
    <row r="155">
      <c r="A155" s="265"/>
      <c r="B155" s="247">
        <v>13230.0</v>
      </c>
      <c r="C155" s="252"/>
      <c r="D155" s="331"/>
      <c r="F155" s="250"/>
      <c r="G155" s="2" t="s">
        <v>75</v>
      </c>
      <c r="H155" s="2" t="s">
        <v>3026</v>
      </c>
      <c r="J155" s="251"/>
    </row>
    <row r="156">
      <c r="A156" s="265"/>
      <c r="B156" s="268"/>
      <c r="C156" s="248"/>
      <c r="D156" s="331"/>
      <c r="F156" s="250">
        <v>740.0</v>
      </c>
      <c r="G156" s="2" t="s">
        <v>97</v>
      </c>
      <c r="J156" s="251"/>
    </row>
    <row r="157">
      <c r="A157" s="265"/>
      <c r="B157" s="268"/>
      <c r="C157" s="252"/>
      <c r="D157" s="331"/>
      <c r="F157" s="250">
        <v>13800.0</v>
      </c>
      <c r="G157" s="2" t="s">
        <v>87</v>
      </c>
      <c r="J157" s="251"/>
    </row>
    <row r="158">
      <c r="A158" s="265"/>
      <c r="B158" s="247"/>
      <c r="C158" s="252"/>
      <c r="D158" s="331"/>
      <c r="F158" s="250">
        <v>5950.0</v>
      </c>
      <c r="G158" s="2" t="s">
        <v>76</v>
      </c>
      <c r="J158" s="251"/>
    </row>
    <row r="159">
      <c r="A159" s="265"/>
      <c r="B159" s="268"/>
      <c r="C159" s="252"/>
      <c r="D159" s="331"/>
      <c r="F159" s="250">
        <v>100.0</v>
      </c>
      <c r="G159" s="266" t="s">
        <v>3020</v>
      </c>
      <c r="H159" s="266"/>
      <c r="I159" s="309"/>
      <c r="J159" s="251"/>
    </row>
    <row r="160">
      <c r="A160" s="265"/>
      <c r="B160" s="247"/>
      <c r="C160" s="252"/>
      <c r="D160" s="822"/>
      <c r="F160" s="250"/>
      <c r="J160" s="251"/>
    </row>
    <row r="161">
      <c r="A161" s="265"/>
      <c r="B161" s="268"/>
      <c r="C161" s="252"/>
      <c r="D161" s="822"/>
      <c r="F161" s="250"/>
      <c r="J161" s="251"/>
    </row>
    <row r="162">
      <c r="A162" s="265"/>
      <c r="B162" s="277"/>
      <c r="C162" s="252"/>
      <c r="D162" s="822"/>
      <c r="F162" s="250"/>
      <c r="J162" s="251"/>
    </row>
    <row r="163">
      <c r="A163" s="265"/>
      <c r="B163" s="277"/>
      <c r="C163" s="252"/>
      <c r="D163" s="822"/>
      <c r="F163" s="282"/>
      <c r="J163" s="251"/>
    </row>
    <row r="164">
      <c r="A164" s="265"/>
      <c r="B164" s="278"/>
      <c r="C164" s="252"/>
      <c r="D164" s="822"/>
      <c r="F164" s="250"/>
      <c r="J164" s="251"/>
    </row>
    <row r="165">
      <c r="A165" s="270"/>
      <c r="B165" s="271"/>
      <c r="C165" s="272"/>
      <c r="D165" s="823"/>
      <c r="E165" s="18"/>
      <c r="F165" s="259"/>
      <c r="G165" s="293"/>
      <c r="H165" s="293"/>
      <c r="I165" s="18"/>
      <c r="J165" s="261"/>
    </row>
    <row r="166">
      <c r="A166" s="262" t="s">
        <v>256</v>
      </c>
      <c r="B166" s="239">
        <v>18942.04</v>
      </c>
      <c r="C166" s="263"/>
      <c r="D166" s="821"/>
      <c r="E166" s="242"/>
      <c r="F166" s="243"/>
      <c r="G166" s="244" t="s">
        <v>84</v>
      </c>
      <c r="H166" s="244"/>
      <c r="I166" s="244"/>
      <c r="J166" s="307"/>
    </row>
    <row r="167">
      <c r="A167" s="265"/>
      <c r="B167" s="247"/>
      <c r="C167" s="252"/>
      <c r="D167" s="822"/>
      <c r="F167" s="250">
        <v>350.0</v>
      </c>
      <c r="G167" s="2" t="s">
        <v>97</v>
      </c>
      <c r="J167" s="251"/>
    </row>
    <row r="168">
      <c r="A168" s="265"/>
      <c r="B168" s="247">
        <v>4059.27</v>
      </c>
      <c r="C168" s="248"/>
      <c r="D168" s="331"/>
      <c r="F168" s="250"/>
      <c r="G168" s="2" t="s">
        <v>82</v>
      </c>
      <c r="J168" s="251"/>
    </row>
    <row r="169">
      <c r="A169" s="265"/>
      <c r="B169" s="247"/>
      <c r="C169" s="252"/>
      <c r="D169" s="331"/>
      <c r="F169" s="250">
        <v>517.0</v>
      </c>
      <c r="G169" s="2" t="s">
        <v>63</v>
      </c>
      <c r="J169" s="251"/>
    </row>
    <row r="170">
      <c r="A170" s="265"/>
      <c r="B170" s="268"/>
      <c r="C170" s="252"/>
      <c r="D170" s="822"/>
      <c r="F170" s="250">
        <v>1000.0</v>
      </c>
      <c r="G170" s="2" t="s">
        <v>2776</v>
      </c>
      <c r="J170" s="251"/>
    </row>
    <row r="171">
      <c r="A171" s="265"/>
      <c r="B171" s="247">
        <v>13086.0</v>
      </c>
      <c r="C171" s="248"/>
      <c r="D171" s="822"/>
      <c r="F171" s="250"/>
      <c r="G171" s="2" t="s">
        <v>2884</v>
      </c>
      <c r="J171" s="251"/>
    </row>
    <row r="172">
      <c r="A172" s="265"/>
      <c r="B172" s="268"/>
      <c r="C172" s="252"/>
      <c r="D172" s="331"/>
      <c r="F172" s="250"/>
      <c r="J172" s="251"/>
    </row>
    <row r="173">
      <c r="A173" s="265"/>
      <c r="B173" s="268"/>
      <c r="C173" s="252"/>
      <c r="D173" s="822"/>
      <c r="F173" s="250"/>
      <c r="J173" s="251"/>
    </row>
    <row r="174">
      <c r="A174" s="265"/>
      <c r="B174" s="247"/>
      <c r="C174" s="252"/>
      <c r="D174" s="822"/>
      <c r="F174" s="250"/>
      <c r="J174" s="251"/>
    </row>
    <row r="175">
      <c r="A175" s="270"/>
      <c r="B175" s="279"/>
      <c r="C175" s="272"/>
      <c r="D175" s="823"/>
      <c r="E175" s="18"/>
      <c r="F175" s="274"/>
      <c r="G175" s="293"/>
      <c r="H175" s="293"/>
      <c r="I175" s="18"/>
      <c r="J175" s="261"/>
    </row>
    <row r="176">
      <c r="A176" s="262" t="s">
        <v>261</v>
      </c>
      <c r="B176" s="239">
        <v>21133.87</v>
      </c>
      <c r="C176" s="240"/>
      <c r="D176" s="821"/>
      <c r="E176" s="242"/>
      <c r="F176" s="250"/>
      <c r="G176" s="244" t="s">
        <v>3027</v>
      </c>
      <c r="H176" s="244"/>
      <c r="I176" s="244"/>
      <c r="J176" s="307"/>
    </row>
    <row r="177">
      <c r="A177" s="265"/>
      <c r="B177" s="247">
        <v>8222.31</v>
      </c>
      <c r="C177" s="252"/>
      <c r="D177" s="331"/>
      <c r="F177" s="250"/>
      <c r="G177" s="2" t="s">
        <v>114</v>
      </c>
      <c r="J177" s="251"/>
    </row>
    <row r="178">
      <c r="A178" s="265"/>
      <c r="B178" s="247">
        <v>13272.5</v>
      </c>
      <c r="C178" s="248"/>
      <c r="D178" s="331"/>
      <c r="F178" s="250"/>
      <c r="G178" s="2" t="s">
        <v>2623</v>
      </c>
      <c r="J178" s="251"/>
    </row>
    <row r="179">
      <c r="A179" s="265"/>
      <c r="B179" s="247"/>
      <c r="C179" s="252"/>
      <c r="D179" s="822"/>
      <c r="F179" s="250">
        <v>1000.0</v>
      </c>
      <c r="G179" s="2" t="s">
        <v>2776</v>
      </c>
      <c r="J179" s="251"/>
    </row>
    <row r="180">
      <c r="A180" s="265"/>
      <c r="B180" s="247">
        <v>41140.0</v>
      </c>
      <c r="C180" s="248"/>
      <c r="D180" s="331"/>
      <c r="F180" s="250"/>
      <c r="G180" s="2" t="s">
        <v>167</v>
      </c>
      <c r="J180" s="251"/>
    </row>
    <row r="181">
      <c r="A181" s="265"/>
      <c r="B181" s="247">
        <v>21900.0</v>
      </c>
      <c r="C181" s="252"/>
      <c r="D181" s="822"/>
      <c r="F181" s="250"/>
      <c r="G181" s="2" t="s">
        <v>79</v>
      </c>
      <c r="J181" s="251"/>
    </row>
    <row r="182">
      <c r="A182" s="265"/>
      <c r="B182" s="247"/>
      <c r="C182" s="252"/>
      <c r="D182" s="822"/>
      <c r="F182" s="250">
        <v>10000.0</v>
      </c>
      <c r="G182" s="2" t="s">
        <v>95</v>
      </c>
      <c r="J182" s="251"/>
    </row>
    <row r="183">
      <c r="A183" s="265"/>
      <c r="B183" s="247"/>
      <c r="C183" s="252"/>
      <c r="D183" s="822"/>
      <c r="F183" s="250"/>
      <c r="J183" s="251"/>
    </row>
    <row r="184">
      <c r="A184" s="265"/>
      <c r="B184" s="268"/>
      <c r="C184" s="252"/>
      <c r="D184" s="822"/>
      <c r="F184" s="250"/>
      <c r="J184" s="251"/>
    </row>
    <row r="185">
      <c r="A185" s="265"/>
      <c r="B185" s="268"/>
      <c r="C185" s="252"/>
      <c r="D185" s="822"/>
      <c r="F185" s="250"/>
      <c r="J185" s="251"/>
    </row>
    <row r="186">
      <c r="A186" s="265"/>
      <c r="B186" s="268"/>
      <c r="C186" s="252"/>
      <c r="D186" s="822"/>
      <c r="F186" s="250"/>
      <c r="J186" s="251"/>
    </row>
    <row r="187">
      <c r="A187" s="265"/>
      <c r="B187" s="268"/>
      <c r="C187" s="252"/>
      <c r="D187" s="822"/>
      <c r="F187" s="250"/>
      <c r="J187" s="251"/>
    </row>
    <row r="188">
      <c r="A188" s="265"/>
      <c r="B188" s="268"/>
      <c r="C188" s="252"/>
      <c r="D188" s="822"/>
      <c r="F188" s="250"/>
      <c r="J188" s="251"/>
    </row>
    <row r="189">
      <c r="A189" s="265"/>
      <c r="B189" s="268"/>
      <c r="C189" s="252"/>
      <c r="D189" s="822"/>
      <c r="F189" s="250"/>
      <c r="J189" s="251"/>
    </row>
    <row r="190">
      <c r="A190" s="270"/>
      <c r="B190" s="271"/>
      <c r="C190" s="272"/>
      <c r="D190" s="823"/>
      <c r="E190" s="18"/>
      <c r="F190" s="259"/>
      <c r="G190" s="293"/>
      <c r="H190" s="293"/>
      <c r="I190" s="18"/>
      <c r="J190" s="261"/>
    </row>
    <row r="191">
      <c r="A191" s="262" t="s">
        <v>3028</v>
      </c>
      <c r="B191" s="239"/>
      <c r="C191" s="240"/>
      <c r="D191" s="821"/>
      <c r="E191" s="242"/>
      <c r="F191" s="243">
        <v>5360.0</v>
      </c>
      <c r="G191" s="244" t="s">
        <v>3029</v>
      </c>
      <c r="H191" s="244">
        <v>5350.0</v>
      </c>
      <c r="J191" s="286"/>
    </row>
    <row r="192">
      <c r="A192" s="265"/>
      <c r="B192" s="247"/>
      <c r="C192" s="248"/>
      <c r="D192" s="331"/>
      <c r="F192" s="250">
        <v>1000.0</v>
      </c>
      <c r="G192" s="2" t="s">
        <v>2933</v>
      </c>
      <c r="H192" s="2">
        <v>1000.0</v>
      </c>
      <c r="J192" s="251"/>
    </row>
    <row r="193">
      <c r="A193" s="265"/>
      <c r="B193" s="247"/>
      <c r="C193" s="252"/>
      <c r="D193" s="822"/>
      <c r="F193" s="250">
        <v>13800.0</v>
      </c>
      <c r="G193" s="2" t="s">
        <v>2602</v>
      </c>
      <c r="H193" s="2">
        <v>13800.0</v>
      </c>
      <c r="J193" s="251"/>
    </row>
    <row r="194">
      <c r="A194" s="265"/>
      <c r="B194" s="247"/>
      <c r="C194" s="252"/>
      <c r="D194" s="822"/>
      <c r="F194" s="250"/>
      <c r="J194" s="251"/>
    </row>
    <row r="195">
      <c r="A195" s="265"/>
      <c r="B195" s="268"/>
      <c r="C195" s="248"/>
      <c r="D195" s="331"/>
      <c r="F195" s="250"/>
      <c r="J195" s="251"/>
    </row>
    <row r="196">
      <c r="A196" s="265"/>
      <c r="B196" s="247"/>
      <c r="C196" s="248"/>
      <c r="D196" s="331"/>
      <c r="F196" s="250"/>
      <c r="J196" s="251"/>
    </row>
    <row r="197">
      <c r="A197" s="265"/>
      <c r="B197" s="268"/>
      <c r="C197" s="248"/>
      <c r="D197" s="331"/>
      <c r="F197" s="250"/>
      <c r="J197" s="251"/>
    </row>
    <row r="198">
      <c r="A198" s="265"/>
      <c r="B198" s="247"/>
      <c r="C198" s="252"/>
      <c r="D198" s="331"/>
      <c r="F198" s="250"/>
      <c r="J198" s="251"/>
    </row>
    <row r="199">
      <c r="A199" s="265"/>
      <c r="B199" s="247"/>
      <c r="C199" s="252"/>
      <c r="D199" s="822"/>
      <c r="F199" s="250"/>
      <c r="J199" s="251"/>
    </row>
    <row r="200">
      <c r="A200" s="265"/>
      <c r="B200" s="278"/>
      <c r="C200" s="252"/>
      <c r="D200" s="822"/>
      <c r="F200" s="250"/>
      <c r="G200" s="81"/>
      <c r="H200" s="81"/>
      <c r="I200" s="838"/>
      <c r="J200" s="251"/>
    </row>
    <row r="201">
      <c r="A201" s="265"/>
      <c r="B201" s="278"/>
      <c r="C201" s="252"/>
      <c r="D201" s="822"/>
      <c r="F201" s="250"/>
      <c r="J201" s="251"/>
    </row>
    <row r="202">
      <c r="A202" s="265"/>
      <c r="B202" s="277"/>
      <c r="C202" s="252"/>
      <c r="D202" s="822"/>
      <c r="F202" s="250"/>
      <c r="J202" s="251"/>
    </row>
    <row r="203">
      <c r="A203" s="265"/>
      <c r="B203" s="278"/>
      <c r="C203" s="252"/>
      <c r="D203" s="822"/>
      <c r="F203" s="250"/>
      <c r="J203" s="251"/>
    </row>
    <row r="204">
      <c r="A204" s="265"/>
      <c r="B204" s="278"/>
      <c r="C204" s="252"/>
      <c r="D204" s="822"/>
      <c r="F204" s="282"/>
      <c r="J204" s="251"/>
    </row>
    <row r="205">
      <c r="A205" s="265"/>
      <c r="B205" s="278"/>
      <c r="C205" s="252"/>
      <c r="D205" s="822"/>
      <c r="F205" s="282"/>
      <c r="J205" s="251"/>
    </row>
    <row r="206">
      <c r="A206" s="270"/>
      <c r="B206" s="271"/>
      <c r="C206" s="272"/>
      <c r="D206" s="823"/>
      <c r="E206" s="18"/>
      <c r="F206" s="274"/>
      <c r="G206" s="18"/>
      <c r="H206" s="18"/>
      <c r="I206" s="18"/>
      <c r="J206" s="261"/>
    </row>
    <row r="207">
      <c r="A207" s="262" t="s">
        <v>3030</v>
      </c>
      <c r="B207" s="239"/>
      <c r="C207" s="263"/>
      <c r="D207" s="824"/>
      <c r="E207" s="242"/>
      <c r="F207" s="243">
        <v>1490.0</v>
      </c>
      <c r="G207" s="244" t="s">
        <v>3031</v>
      </c>
      <c r="H207" s="244"/>
      <c r="I207" s="244"/>
      <c r="J207" s="307"/>
    </row>
    <row r="208">
      <c r="A208" s="265"/>
      <c r="B208" s="247"/>
      <c r="C208" s="252"/>
      <c r="D208" s="822"/>
      <c r="F208" s="250">
        <v>5100.0</v>
      </c>
      <c r="G208" s="2" t="s">
        <v>2807</v>
      </c>
      <c r="J208" s="251"/>
    </row>
    <row r="209">
      <c r="A209" s="265"/>
      <c r="B209" s="247"/>
      <c r="C209" s="252"/>
      <c r="D209" s="331"/>
      <c r="F209" s="250">
        <v>6000.0</v>
      </c>
      <c r="G209" s="2" t="s">
        <v>3032</v>
      </c>
      <c r="I209" s="843"/>
      <c r="J209" s="251"/>
    </row>
    <row r="210">
      <c r="A210" s="265"/>
      <c r="B210" s="247">
        <v>32355.0</v>
      </c>
      <c r="C210" s="248"/>
      <c r="D210" s="331"/>
      <c r="F210" s="250"/>
      <c r="G210" s="2" t="s">
        <v>3033</v>
      </c>
      <c r="J210" s="251"/>
    </row>
    <row r="211">
      <c r="A211" s="265"/>
      <c r="B211" s="247"/>
      <c r="C211" s="248"/>
      <c r="D211" s="331"/>
      <c r="F211" s="250"/>
      <c r="J211" s="251"/>
    </row>
    <row r="212">
      <c r="A212" s="265"/>
      <c r="B212" s="247"/>
      <c r="C212" s="252"/>
      <c r="D212" s="331"/>
      <c r="F212" s="250"/>
      <c r="J212" s="251"/>
    </row>
    <row r="213">
      <c r="A213" s="265"/>
      <c r="B213" s="247"/>
      <c r="C213" s="252"/>
      <c r="D213" s="822"/>
      <c r="F213" s="250"/>
      <c r="J213" s="251"/>
    </row>
    <row r="214">
      <c r="A214" s="265"/>
      <c r="B214" s="247"/>
      <c r="C214" s="252"/>
      <c r="D214" s="331"/>
      <c r="F214" s="250"/>
      <c r="J214" s="251"/>
    </row>
    <row r="215">
      <c r="A215" s="265"/>
      <c r="B215" s="268"/>
      <c r="C215" s="248"/>
      <c r="D215" s="331"/>
      <c r="F215" s="250"/>
      <c r="J215" s="251"/>
    </row>
    <row r="216">
      <c r="A216" s="265"/>
      <c r="B216" s="268"/>
      <c r="C216" s="248"/>
      <c r="D216" s="822"/>
      <c r="F216" s="250"/>
      <c r="J216" s="251"/>
    </row>
    <row r="217">
      <c r="A217" s="265"/>
      <c r="B217" s="268"/>
      <c r="C217" s="248"/>
      <c r="D217" s="822"/>
      <c r="F217" s="250"/>
      <c r="J217" s="251"/>
    </row>
    <row r="218">
      <c r="A218" s="265"/>
      <c r="B218" s="247"/>
      <c r="C218" s="248"/>
      <c r="D218" s="822"/>
      <c r="F218" s="250"/>
      <c r="J218" s="251"/>
    </row>
    <row r="219">
      <c r="A219" s="265"/>
      <c r="B219" s="278"/>
      <c r="C219" s="252"/>
      <c r="D219" s="822"/>
      <c r="F219" s="250"/>
      <c r="J219" s="251"/>
    </row>
    <row r="220">
      <c r="A220" s="265"/>
      <c r="B220" s="278"/>
      <c r="C220" s="252"/>
      <c r="D220" s="822"/>
      <c r="F220" s="282"/>
      <c r="J220" s="251"/>
    </row>
    <row r="221">
      <c r="A221" s="270"/>
      <c r="B221" s="271"/>
      <c r="C221" s="272"/>
      <c r="D221" s="823"/>
      <c r="E221" s="18"/>
      <c r="F221" s="274"/>
      <c r="G221" s="18"/>
      <c r="H221" s="18"/>
      <c r="I221" s="18"/>
      <c r="J221" s="261"/>
    </row>
    <row r="222">
      <c r="A222" s="262" t="s">
        <v>271</v>
      </c>
      <c r="B222" s="239"/>
      <c r="C222" s="263"/>
      <c r="D222" s="824"/>
      <c r="E222" s="242"/>
      <c r="F222" s="243">
        <v>2750.0</v>
      </c>
      <c r="G222" s="244" t="s">
        <v>122</v>
      </c>
      <c r="H222" s="244"/>
      <c r="I222" s="244"/>
      <c r="J222" s="307"/>
    </row>
    <row r="223">
      <c r="A223" s="265"/>
      <c r="B223" s="247"/>
      <c r="C223" s="248"/>
      <c r="D223" s="331"/>
      <c r="F223" s="250">
        <v>957.0</v>
      </c>
      <c r="G223" s="2" t="s">
        <v>3034</v>
      </c>
      <c r="J223" s="251"/>
    </row>
    <row r="224">
      <c r="A224" s="265"/>
      <c r="B224" s="247"/>
      <c r="C224" s="252"/>
      <c r="D224" s="822"/>
      <c r="F224" s="250">
        <v>295.0</v>
      </c>
      <c r="G224" s="2" t="s">
        <v>227</v>
      </c>
      <c r="J224" s="251"/>
    </row>
    <row r="225">
      <c r="A225" s="265"/>
      <c r="B225" s="247"/>
      <c r="C225" s="248"/>
      <c r="D225" s="331"/>
      <c r="F225" s="250"/>
      <c r="J225" s="251"/>
    </row>
    <row r="226">
      <c r="A226" s="265"/>
      <c r="B226" s="247">
        <v>8100.0</v>
      </c>
      <c r="C226" s="252"/>
      <c r="D226" s="822"/>
      <c r="F226" s="250"/>
      <c r="G226" s="2" t="s">
        <v>2623</v>
      </c>
      <c r="J226" s="251"/>
    </row>
    <row r="227">
      <c r="A227" s="265"/>
      <c r="B227" s="247">
        <v>15505.34</v>
      </c>
      <c r="C227" s="252"/>
      <c r="D227" s="822"/>
      <c r="F227" s="250"/>
      <c r="G227" s="2" t="s">
        <v>3035</v>
      </c>
      <c r="J227" s="251"/>
    </row>
    <row r="228">
      <c r="A228" s="265"/>
      <c r="B228" s="247"/>
      <c r="C228" s="252"/>
      <c r="D228" s="822"/>
      <c r="F228" s="250">
        <v>1000.0</v>
      </c>
      <c r="G228" s="2" t="s">
        <v>2933</v>
      </c>
      <c r="I228" s="252"/>
      <c r="J228" s="251"/>
    </row>
    <row r="229">
      <c r="A229" s="265"/>
      <c r="B229" s="247"/>
      <c r="C229" s="252"/>
      <c r="D229" s="822"/>
      <c r="F229" s="250">
        <v>900.0</v>
      </c>
      <c r="G229" s="2" t="s">
        <v>3036</v>
      </c>
      <c r="J229" s="251"/>
    </row>
    <row r="230">
      <c r="A230" s="265"/>
      <c r="B230" s="247"/>
      <c r="C230" s="252"/>
      <c r="D230" s="331"/>
      <c r="F230" s="250">
        <v>250.0</v>
      </c>
      <c r="G230" s="2" t="s">
        <v>3037</v>
      </c>
      <c r="J230" s="251"/>
    </row>
    <row r="231">
      <c r="A231" s="265"/>
      <c r="B231" s="278"/>
      <c r="C231" s="252"/>
      <c r="D231" s="822"/>
      <c r="F231" s="250"/>
      <c r="J231" s="251"/>
    </row>
    <row r="232">
      <c r="A232" s="265"/>
      <c r="B232" s="278"/>
      <c r="C232" s="252"/>
      <c r="D232" s="822"/>
      <c r="F232" s="282"/>
      <c r="J232" s="251"/>
    </row>
    <row r="233">
      <c r="A233" s="270"/>
      <c r="B233" s="271"/>
      <c r="C233" s="272"/>
      <c r="D233" s="823"/>
      <c r="E233" s="18"/>
      <c r="F233" s="274"/>
      <c r="G233" s="18"/>
      <c r="H233" s="18"/>
      <c r="I233" s="18"/>
      <c r="J233" s="261"/>
    </row>
    <row r="234">
      <c r="A234" s="262" t="s">
        <v>272</v>
      </c>
      <c r="B234" s="239"/>
      <c r="C234" s="240"/>
      <c r="D234" s="821"/>
      <c r="E234" s="242"/>
      <c r="F234" s="243">
        <v>13800.0</v>
      </c>
      <c r="G234" s="244" t="s">
        <v>87</v>
      </c>
      <c r="H234" s="244"/>
      <c r="I234" s="244"/>
      <c r="J234" s="307"/>
    </row>
    <row r="235">
      <c r="A235" s="265"/>
      <c r="B235" s="247">
        <v>22579.74</v>
      </c>
      <c r="C235" s="252"/>
      <c r="D235" s="331"/>
      <c r="F235" s="250"/>
      <c r="G235" s="2" t="s">
        <v>71</v>
      </c>
      <c r="J235" s="251"/>
    </row>
    <row r="236">
      <c r="A236" s="265"/>
      <c r="B236" s="268"/>
      <c r="C236" s="252"/>
      <c r="D236" s="331"/>
      <c r="F236" s="250">
        <v>420.0</v>
      </c>
      <c r="G236" s="2" t="s">
        <v>97</v>
      </c>
      <c r="J236" s="251"/>
    </row>
    <row r="237">
      <c r="A237" s="265"/>
      <c r="B237" s="247">
        <v>10770.0</v>
      </c>
      <c r="C237" s="248"/>
      <c r="D237" s="822"/>
      <c r="F237" s="250"/>
      <c r="G237" s="2" t="s">
        <v>75</v>
      </c>
      <c r="J237" s="251"/>
    </row>
    <row r="238">
      <c r="A238" s="265"/>
      <c r="B238" s="247"/>
      <c r="C238" s="248"/>
      <c r="D238" s="822"/>
      <c r="F238" s="250">
        <v>2000.0</v>
      </c>
      <c r="G238" s="2" t="s">
        <v>101</v>
      </c>
      <c r="J238" s="251"/>
    </row>
    <row r="239">
      <c r="A239" s="265"/>
      <c r="B239" s="268"/>
      <c r="C239" s="248"/>
      <c r="D239" s="331"/>
      <c r="F239" s="250">
        <v>400.0</v>
      </c>
      <c r="G239" s="2" t="s">
        <v>85</v>
      </c>
      <c r="J239" s="251"/>
    </row>
    <row r="240">
      <c r="A240" s="265"/>
      <c r="B240" s="247">
        <v>8490.27</v>
      </c>
      <c r="C240" s="252"/>
      <c r="D240" s="822"/>
      <c r="F240" s="250"/>
      <c r="G240" s="2" t="s">
        <v>114</v>
      </c>
      <c r="J240" s="251"/>
    </row>
    <row r="241">
      <c r="A241" s="265"/>
      <c r="B241" s="247">
        <v>3693.24</v>
      </c>
      <c r="C241" s="252"/>
      <c r="D241" s="822"/>
      <c r="F241" s="250"/>
      <c r="G241" s="2" t="s">
        <v>3038</v>
      </c>
      <c r="J241" s="251"/>
    </row>
    <row r="242">
      <c r="A242" s="265"/>
      <c r="B242" s="268"/>
      <c r="C242" s="252"/>
      <c r="D242" s="822"/>
      <c r="F242" s="250">
        <v>4600.0</v>
      </c>
      <c r="G242" s="2" t="s">
        <v>76</v>
      </c>
      <c r="J242" s="251"/>
    </row>
    <row r="243">
      <c r="A243" s="265"/>
      <c r="B243" s="247">
        <v>505.0</v>
      </c>
      <c r="C243" s="252"/>
      <c r="D243" s="822"/>
      <c r="F243" s="250"/>
      <c r="G243" s="2" t="s">
        <v>260</v>
      </c>
      <c r="J243" s="251"/>
    </row>
    <row r="244">
      <c r="A244" s="265"/>
      <c r="B244" s="268"/>
      <c r="C244" s="252"/>
      <c r="D244" s="822"/>
      <c r="F244" s="250">
        <v>1000.0</v>
      </c>
      <c r="G244" s="2" t="s">
        <v>2933</v>
      </c>
      <c r="J244" s="251"/>
    </row>
    <row r="245">
      <c r="A245" s="265"/>
      <c r="B245" s="277">
        <v>6885.0</v>
      </c>
      <c r="C245" s="252"/>
      <c r="D245" s="822"/>
      <c r="F245" s="282"/>
      <c r="G245" s="2" t="s">
        <v>3039</v>
      </c>
      <c r="J245" s="251"/>
    </row>
    <row r="246">
      <c r="A246" s="265"/>
      <c r="B246" s="278"/>
      <c r="C246" s="252"/>
      <c r="D246" s="822"/>
      <c r="F246" s="282"/>
      <c r="J246" s="251"/>
    </row>
    <row r="247">
      <c r="A247" s="265"/>
      <c r="B247" s="278"/>
      <c r="C247" s="252"/>
      <c r="D247" s="822"/>
      <c r="F247" s="282"/>
      <c r="J247" s="251"/>
    </row>
    <row r="248">
      <c r="A248" s="270"/>
      <c r="B248" s="271"/>
      <c r="C248" s="272"/>
      <c r="D248" s="823"/>
      <c r="E248" s="18"/>
      <c r="F248" s="274"/>
      <c r="G248" s="18"/>
      <c r="H248" s="18"/>
      <c r="I248" s="18"/>
      <c r="J248" s="261"/>
    </row>
    <row r="249">
      <c r="A249" s="262" t="s">
        <v>274</v>
      </c>
      <c r="B249" s="239"/>
      <c r="C249" s="263"/>
      <c r="D249" s="824"/>
      <c r="E249" s="242"/>
      <c r="F249" s="243">
        <v>500.0</v>
      </c>
      <c r="G249" s="244" t="s">
        <v>2703</v>
      </c>
      <c r="H249" s="244"/>
      <c r="I249" s="244"/>
      <c r="J249" s="307"/>
    </row>
    <row r="250">
      <c r="A250" s="265"/>
      <c r="B250" s="247"/>
      <c r="C250" s="252"/>
      <c r="D250" s="822"/>
      <c r="F250" s="250">
        <v>1000.0</v>
      </c>
      <c r="G250" s="2" t="s">
        <v>2776</v>
      </c>
      <c r="J250" s="251"/>
    </row>
    <row r="251">
      <c r="A251" s="265"/>
      <c r="B251" s="247">
        <v>9503.0</v>
      </c>
      <c r="C251" s="252"/>
      <c r="D251" s="822"/>
      <c r="F251" s="250"/>
      <c r="G251" s="2" t="s">
        <v>3040</v>
      </c>
      <c r="J251" s="251"/>
    </row>
    <row r="252">
      <c r="A252" s="265"/>
      <c r="B252" s="247"/>
      <c r="C252" s="248"/>
      <c r="D252" s="822"/>
      <c r="F252" s="250"/>
      <c r="J252" s="251"/>
    </row>
    <row r="253">
      <c r="A253" s="265"/>
      <c r="B253" s="268"/>
      <c r="C253" s="252"/>
      <c r="D253" s="822"/>
      <c r="F253" s="250"/>
      <c r="J253" s="267"/>
    </row>
    <row r="254">
      <c r="A254" s="265"/>
      <c r="B254" s="268"/>
      <c r="C254" s="248"/>
      <c r="D254" s="822"/>
      <c r="F254" s="250"/>
      <c r="J254" s="251"/>
    </row>
    <row r="255">
      <c r="A255" s="265"/>
      <c r="B255" s="247"/>
      <c r="C255" s="248"/>
      <c r="D255" s="822"/>
      <c r="F255" s="250"/>
      <c r="J255" s="251"/>
    </row>
    <row r="256">
      <c r="A256" s="265"/>
      <c r="B256" s="268"/>
      <c r="C256" s="252"/>
      <c r="D256" s="822"/>
      <c r="F256" s="250"/>
      <c r="J256" s="251"/>
    </row>
    <row r="257">
      <c r="A257" s="265"/>
      <c r="B257" s="247"/>
      <c r="C257" s="252"/>
      <c r="D257" s="822"/>
      <c r="F257" s="250"/>
      <c r="J257" s="251"/>
    </row>
    <row r="258">
      <c r="A258" s="265"/>
      <c r="B258" s="268"/>
      <c r="C258" s="252"/>
      <c r="D258" s="822"/>
      <c r="F258" s="250"/>
      <c r="J258" s="251"/>
    </row>
    <row r="259">
      <c r="A259" s="265"/>
      <c r="B259" s="278"/>
      <c r="C259" s="252"/>
      <c r="D259" s="822"/>
      <c r="F259" s="250"/>
      <c r="J259" s="251"/>
    </row>
    <row r="260">
      <c r="A260" s="265"/>
      <c r="B260" s="278"/>
      <c r="C260" s="252"/>
      <c r="D260" s="822"/>
      <c r="F260" s="250"/>
      <c r="J260" s="251"/>
    </row>
    <row r="261">
      <c r="A261" s="265"/>
      <c r="B261" s="278"/>
      <c r="C261" s="252"/>
      <c r="D261" s="822"/>
      <c r="F261" s="250"/>
      <c r="J261" s="251"/>
    </row>
    <row r="262">
      <c r="A262" s="270"/>
      <c r="B262" s="271"/>
      <c r="C262" s="272"/>
      <c r="D262" s="823"/>
      <c r="E262" s="18"/>
      <c r="F262" s="274"/>
      <c r="G262" s="18"/>
      <c r="H262" s="18"/>
      <c r="I262" s="18"/>
      <c r="J262" s="261"/>
    </row>
    <row r="263">
      <c r="A263" s="262" t="s">
        <v>279</v>
      </c>
      <c r="B263" s="239"/>
      <c r="C263" s="263"/>
      <c r="D263" s="824"/>
      <c r="E263" s="242"/>
      <c r="F263" s="243">
        <v>1000.0</v>
      </c>
      <c r="G263" s="244" t="s">
        <v>2933</v>
      </c>
      <c r="H263" s="244"/>
      <c r="I263" s="244"/>
      <c r="J263" s="307"/>
    </row>
    <row r="264">
      <c r="A264" s="265"/>
      <c r="B264" s="247"/>
      <c r="C264" s="248"/>
      <c r="D264" s="822"/>
      <c r="F264" s="250">
        <v>7000.0</v>
      </c>
      <c r="G264" s="2" t="s">
        <v>3041</v>
      </c>
      <c r="J264" s="251"/>
    </row>
    <row r="265">
      <c r="A265" s="265"/>
      <c r="B265" s="247"/>
      <c r="C265" s="252"/>
      <c r="D265" s="822"/>
      <c r="F265" s="250">
        <v>265.0</v>
      </c>
      <c r="G265" s="2" t="s">
        <v>97</v>
      </c>
      <c r="J265" s="251"/>
    </row>
    <row r="266">
      <c r="A266" s="265"/>
      <c r="B266" s="247"/>
      <c r="C266" s="248"/>
      <c r="D266" s="822"/>
      <c r="F266" s="250">
        <v>4800.0</v>
      </c>
      <c r="G266" s="2" t="s">
        <v>2669</v>
      </c>
      <c r="J266" s="251"/>
    </row>
    <row r="267">
      <c r="A267" s="265"/>
      <c r="B267" s="247"/>
      <c r="C267" s="248"/>
      <c r="D267" s="822"/>
      <c r="F267" s="250"/>
      <c r="J267" s="251"/>
    </row>
    <row r="268">
      <c r="A268" s="265"/>
      <c r="B268" s="247"/>
      <c r="C268" s="248"/>
      <c r="D268" s="331"/>
      <c r="F268" s="250"/>
      <c r="J268" s="251"/>
    </row>
    <row r="269">
      <c r="A269" s="265"/>
      <c r="B269" s="268"/>
      <c r="C269" s="252"/>
      <c r="D269" s="331"/>
      <c r="F269" s="250"/>
      <c r="J269" s="251"/>
    </row>
    <row r="270">
      <c r="A270" s="265"/>
      <c r="B270" s="247"/>
      <c r="C270" s="252"/>
      <c r="D270" s="822"/>
      <c r="F270" s="250"/>
      <c r="J270" s="251"/>
    </row>
    <row r="271">
      <c r="A271" s="265"/>
      <c r="B271" s="247"/>
      <c r="C271" s="252"/>
      <c r="D271" s="822"/>
      <c r="F271" s="250"/>
      <c r="J271" s="251"/>
    </row>
    <row r="272">
      <c r="A272" s="265"/>
      <c r="B272" s="247"/>
      <c r="C272" s="252"/>
      <c r="D272" s="822"/>
      <c r="F272" s="250"/>
      <c r="J272" s="251"/>
    </row>
    <row r="273">
      <c r="A273" s="265"/>
      <c r="B273" s="268"/>
      <c r="C273" s="252"/>
      <c r="D273" s="822"/>
      <c r="F273" s="250"/>
      <c r="J273" s="267"/>
    </row>
    <row r="274">
      <c r="A274" s="265"/>
      <c r="B274" s="268"/>
      <c r="C274" s="252"/>
      <c r="D274" s="822"/>
      <c r="F274" s="250"/>
      <c r="J274" s="251"/>
    </row>
    <row r="275">
      <c r="A275" s="265"/>
      <c r="B275" s="268"/>
      <c r="C275" s="252"/>
      <c r="D275" s="822"/>
      <c r="F275" s="250"/>
      <c r="J275" s="251"/>
    </row>
    <row r="276">
      <c r="A276" s="270"/>
      <c r="B276" s="271"/>
      <c r="C276" s="272"/>
      <c r="D276" s="823"/>
      <c r="E276" s="18"/>
      <c r="F276" s="259"/>
      <c r="G276" s="293"/>
      <c r="H276" s="293"/>
      <c r="I276" s="18"/>
      <c r="J276" s="261"/>
    </row>
    <row r="277">
      <c r="A277" s="262" t="s">
        <v>281</v>
      </c>
      <c r="B277" s="239"/>
      <c r="C277" s="263"/>
      <c r="D277" s="821"/>
      <c r="E277" s="242"/>
      <c r="F277" s="243">
        <v>65.0</v>
      </c>
      <c r="G277" s="244" t="s">
        <v>97</v>
      </c>
      <c r="H277" s="244"/>
      <c r="I277" s="244"/>
      <c r="J277" s="307"/>
    </row>
    <row r="278">
      <c r="A278" s="265"/>
      <c r="B278" s="247">
        <v>6018.96</v>
      </c>
      <c r="C278" s="252"/>
      <c r="D278" s="822"/>
      <c r="F278" s="250"/>
      <c r="G278" s="2" t="s">
        <v>2863</v>
      </c>
      <c r="J278" s="251"/>
    </row>
    <row r="279">
      <c r="A279" s="265"/>
      <c r="B279" s="268"/>
      <c r="C279" s="248"/>
      <c r="D279" s="331"/>
      <c r="F279" s="250"/>
      <c r="J279" s="251"/>
    </row>
    <row r="280">
      <c r="A280" s="265"/>
      <c r="B280" s="247"/>
      <c r="C280" s="252"/>
      <c r="D280" s="822"/>
      <c r="F280" s="250"/>
      <c r="J280" s="251"/>
    </row>
    <row r="281">
      <c r="A281" s="265"/>
      <c r="B281" s="247"/>
      <c r="C281" s="248"/>
      <c r="D281" s="822"/>
      <c r="F281" s="250"/>
      <c r="J281" s="251"/>
    </row>
    <row r="282">
      <c r="A282" s="265"/>
      <c r="B282" s="247"/>
      <c r="C282" s="252"/>
      <c r="D282" s="822"/>
      <c r="F282" s="250"/>
      <c r="J282" s="251"/>
    </row>
    <row r="283">
      <c r="A283" s="265"/>
      <c r="B283" s="247"/>
      <c r="C283" s="252"/>
      <c r="D283" s="822"/>
      <c r="F283" s="250"/>
      <c r="J283" s="251"/>
    </row>
    <row r="284">
      <c r="A284" s="265"/>
      <c r="B284" s="268"/>
      <c r="C284" s="248"/>
      <c r="D284" s="822"/>
      <c r="F284" s="250"/>
      <c r="J284" s="251"/>
    </row>
    <row r="285">
      <c r="A285" s="265"/>
      <c r="B285" s="268"/>
      <c r="C285" s="248"/>
      <c r="D285" s="822"/>
      <c r="F285" s="250"/>
      <c r="J285" s="251"/>
    </row>
    <row r="286">
      <c r="A286" s="265"/>
      <c r="B286" s="268"/>
      <c r="C286" s="252"/>
      <c r="D286" s="822"/>
      <c r="F286" s="250"/>
      <c r="J286" s="251"/>
    </row>
    <row r="287">
      <c r="A287" s="265"/>
      <c r="B287" s="268"/>
      <c r="C287" s="252"/>
      <c r="D287" s="822"/>
      <c r="F287" s="250"/>
      <c r="J287" s="251"/>
    </row>
    <row r="288">
      <c r="A288" s="265"/>
      <c r="B288" s="268"/>
      <c r="C288" s="252"/>
      <c r="D288" s="822"/>
      <c r="F288" s="250"/>
      <c r="J288" s="251"/>
    </row>
    <row r="289">
      <c r="A289" s="270"/>
      <c r="B289" s="271"/>
      <c r="C289" s="272"/>
      <c r="D289" s="823"/>
      <c r="E289" s="18"/>
      <c r="F289" s="259"/>
      <c r="G289" s="293"/>
      <c r="H289" s="293"/>
      <c r="I289" s="18"/>
      <c r="J289" s="261"/>
    </row>
    <row r="290">
      <c r="A290" s="262" t="s">
        <v>284</v>
      </c>
      <c r="B290" s="239"/>
      <c r="C290" s="263"/>
      <c r="D290" s="824"/>
      <c r="E290" s="242"/>
      <c r="F290" s="243"/>
      <c r="G290" s="244"/>
      <c r="H290" s="244"/>
      <c r="I290" s="244"/>
      <c r="J290" s="307"/>
    </row>
    <row r="291">
      <c r="A291" s="265"/>
      <c r="B291" s="247"/>
      <c r="C291" s="252"/>
      <c r="D291" s="822"/>
      <c r="F291" s="250"/>
      <c r="J291" s="251"/>
    </row>
    <row r="292">
      <c r="A292" s="265"/>
      <c r="B292" s="247"/>
      <c r="C292" s="252"/>
      <c r="D292" s="822"/>
      <c r="F292" s="250"/>
      <c r="J292" s="251"/>
    </row>
    <row r="293">
      <c r="A293" s="265"/>
      <c r="B293" s="268"/>
      <c r="C293" s="248"/>
      <c r="D293" s="822"/>
      <c r="F293" s="250"/>
      <c r="J293" s="251"/>
    </row>
    <row r="294">
      <c r="A294" s="265"/>
      <c r="B294" s="247"/>
      <c r="C294" s="252"/>
      <c r="D294" s="822"/>
      <c r="F294" s="250"/>
      <c r="J294" s="251"/>
    </row>
    <row r="295">
      <c r="A295" s="265"/>
      <c r="B295" s="268"/>
      <c r="C295" s="248"/>
      <c r="D295" s="331"/>
      <c r="F295" s="250"/>
      <c r="J295" s="251"/>
    </row>
    <row r="296">
      <c r="A296" s="265"/>
      <c r="B296" s="247"/>
      <c r="C296" s="252"/>
      <c r="D296" s="331"/>
      <c r="F296" s="250"/>
      <c r="J296" s="251"/>
    </row>
    <row r="297">
      <c r="A297" s="265"/>
      <c r="B297" s="247"/>
      <c r="C297" s="248"/>
      <c r="D297" s="822"/>
      <c r="F297" s="250"/>
      <c r="J297" s="251"/>
    </row>
    <row r="298">
      <c r="A298" s="265"/>
      <c r="B298" s="268"/>
      <c r="C298" s="252"/>
      <c r="D298" s="331"/>
      <c r="F298" s="250"/>
      <c r="J298" s="251"/>
    </row>
    <row r="299">
      <c r="A299" s="265"/>
      <c r="B299" s="268"/>
      <c r="C299" s="252"/>
      <c r="D299" s="331"/>
      <c r="F299" s="250"/>
      <c r="J299" s="251"/>
    </row>
    <row r="300">
      <c r="A300" s="265"/>
      <c r="B300" s="268"/>
      <c r="C300" s="252"/>
      <c r="D300" s="822"/>
      <c r="F300" s="250"/>
      <c r="J300" s="251"/>
    </row>
    <row r="301">
      <c r="A301" s="265"/>
      <c r="B301" s="268"/>
      <c r="C301" s="252"/>
      <c r="D301" s="822"/>
      <c r="F301" s="250"/>
      <c r="J301" s="251"/>
    </row>
    <row r="302">
      <c r="A302" s="265"/>
      <c r="B302" s="268"/>
      <c r="C302" s="252"/>
      <c r="D302" s="822"/>
      <c r="F302" s="250"/>
      <c r="J302" s="251"/>
    </row>
    <row r="303">
      <c r="A303" s="270"/>
      <c r="B303" s="271"/>
      <c r="C303" s="272"/>
      <c r="D303" s="823"/>
      <c r="E303" s="18"/>
      <c r="F303" s="274"/>
      <c r="G303" s="18"/>
      <c r="H303" s="18"/>
      <c r="I303" s="18"/>
      <c r="J303" s="261"/>
    </row>
    <row r="304">
      <c r="A304" s="262" t="s">
        <v>290</v>
      </c>
      <c r="B304" s="239"/>
      <c r="C304" s="263"/>
      <c r="D304" s="824"/>
      <c r="E304" s="242"/>
      <c r="F304" s="243">
        <v>2000.0</v>
      </c>
      <c r="G304" s="244" t="s">
        <v>62</v>
      </c>
      <c r="H304" s="244"/>
      <c r="I304" s="244"/>
      <c r="J304" s="307"/>
    </row>
    <row r="305">
      <c r="A305" s="265"/>
      <c r="B305" s="247"/>
      <c r="C305" s="248"/>
      <c r="D305" s="822"/>
      <c r="F305" s="250">
        <v>1000.0</v>
      </c>
      <c r="G305" s="2" t="s">
        <v>2951</v>
      </c>
      <c r="J305" s="251"/>
    </row>
    <row r="306">
      <c r="A306" s="265"/>
      <c r="B306" s="247"/>
      <c r="C306" s="248"/>
      <c r="D306" s="822"/>
      <c r="F306" s="250">
        <v>800.0</v>
      </c>
      <c r="G306" s="2" t="s">
        <v>64</v>
      </c>
      <c r="J306" s="251"/>
    </row>
    <row r="307">
      <c r="A307" s="265"/>
      <c r="B307" s="247"/>
      <c r="C307" s="248"/>
      <c r="D307" s="822"/>
      <c r="F307" s="250">
        <v>300.0</v>
      </c>
      <c r="G307" s="2" t="s">
        <v>3042</v>
      </c>
      <c r="J307" s="251"/>
    </row>
    <row r="308">
      <c r="A308" s="265"/>
      <c r="B308" s="247">
        <v>41563.5</v>
      </c>
      <c r="C308" s="252"/>
      <c r="D308" s="822"/>
      <c r="F308" s="250"/>
      <c r="G308" s="2" t="s">
        <v>167</v>
      </c>
      <c r="J308" s="251"/>
    </row>
    <row r="309">
      <c r="A309" s="265"/>
      <c r="B309" s="247"/>
      <c r="C309" s="252"/>
      <c r="D309" s="822"/>
      <c r="F309" s="250">
        <f>742+852</f>
        <v>1594</v>
      </c>
      <c r="G309" s="2" t="s">
        <v>97</v>
      </c>
      <c r="J309" s="251"/>
    </row>
    <row r="310">
      <c r="A310" s="265"/>
      <c r="B310" s="247"/>
      <c r="C310" s="248"/>
      <c r="D310" s="822"/>
      <c r="F310" s="250"/>
      <c r="J310" s="251"/>
    </row>
    <row r="311">
      <c r="A311" s="265"/>
      <c r="B311" s="247"/>
      <c r="C311" s="252"/>
      <c r="D311" s="822"/>
      <c r="F311" s="250"/>
      <c r="J311" s="251"/>
    </row>
    <row r="312">
      <c r="A312" s="265"/>
      <c r="B312" s="247"/>
      <c r="C312" s="252"/>
      <c r="D312" s="822"/>
      <c r="F312" s="250"/>
      <c r="J312" s="251"/>
    </row>
    <row r="313">
      <c r="A313" s="265"/>
      <c r="B313" s="268"/>
      <c r="C313" s="252"/>
      <c r="D313" s="822"/>
      <c r="F313" s="250"/>
      <c r="J313" s="251"/>
    </row>
    <row r="314">
      <c r="A314" s="265"/>
      <c r="B314" s="268"/>
      <c r="C314" s="252"/>
      <c r="D314" s="822"/>
      <c r="F314" s="250"/>
      <c r="G314" s="266"/>
      <c r="H314" s="266"/>
      <c r="I314" s="309"/>
      <c r="J314" s="251"/>
    </row>
    <row r="315">
      <c r="A315" s="265"/>
      <c r="B315" s="268"/>
      <c r="C315" s="252"/>
      <c r="D315" s="822"/>
      <c r="F315" s="250"/>
      <c r="J315" s="251"/>
    </row>
    <row r="316">
      <c r="A316" s="265"/>
      <c r="B316" s="268"/>
      <c r="C316" s="252"/>
      <c r="D316" s="822"/>
      <c r="F316" s="250"/>
      <c r="J316" s="251"/>
    </row>
    <row r="317">
      <c r="A317" s="265"/>
      <c r="B317" s="268"/>
      <c r="C317" s="252"/>
      <c r="D317" s="822"/>
      <c r="F317" s="250"/>
      <c r="J317" s="251"/>
    </row>
    <row r="318">
      <c r="A318" s="270"/>
      <c r="B318" s="271"/>
      <c r="C318" s="272"/>
      <c r="D318" s="823"/>
      <c r="E318" s="18"/>
      <c r="F318" s="274"/>
      <c r="G318" s="18"/>
      <c r="H318" s="18"/>
      <c r="I318" s="18"/>
      <c r="J318" s="261"/>
    </row>
    <row r="319">
      <c r="A319" s="262" t="s">
        <v>298</v>
      </c>
      <c r="B319" s="239">
        <v>10870.0</v>
      </c>
      <c r="C319" s="240"/>
      <c r="D319" s="821"/>
      <c r="E319" s="242"/>
      <c r="F319" s="250"/>
      <c r="G319" s="2" t="s">
        <v>75</v>
      </c>
      <c r="J319" s="307"/>
    </row>
    <row r="320">
      <c r="A320" s="265"/>
      <c r="B320" s="247">
        <v>2963.83</v>
      </c>
      <c r="C320" s="252"/>
      <c r="D320" s="822"/>
      <c r="F320" s="250"/>
      <c r="G320" s="2" t="s">
        <v>3043</v>
      </c>
      <c r="J320" s="251"/>
    </row>
    <row r="321">
      <c r="A321" s="265"/>
      <c r="B321" s="268"/>
      <c r="C321" s="248">
        <v>23801.94</v>
      </c>
      <c r="D321" s="331"/>
      <c r="F321" s="250"/>
      <c r="G321" s="2" t="s">
        <v>71</v>
      </c>
      <c r="J321" s="251"/>
    </row>
    <row r="322">
      <c r="A322" s="265"/>
      <c r="B322" s="247"/>
      <c r="C322" s="248"/>
      <c r="D322" s="822"/>
      <c r="F322" s="250">
        <f>878+653.51</f>
        <v>1531.51</v>
      </c>
      <c r="G322" s="2" t="s">
        <v>97</v>
      </c>
      <c r="J322" s="251"/>
    </row>
    <row r="323">
      <c r="A323" s="265"/>
      <c r="B323" s="247"/>
      <c r="C323" s="252"/>
      <c r="D323" s="822"/>
      <c r="F323" s="250">
        <v>3080.0</v>
      </c>
      <c r="G323" s="2" t="s">
        <v>76</v>
      </c>
      <c r="J323" s="251"/>
    </row>
    <row r="324">
      <c r="A324" s="265"/>
      <c r="B324" s="247">
        <v>2647.64</v>
      </c>
      <c r="C324" s="252"/>
      <c r="D324" s="822"/>
      <c r="F324" s="250"/>
      <c r="G324" s="2" t="s">
        <v>73</v>
      </c>
      <c r="J324" s="251"/>
    </row>
    <row r="325">
      <c r="A325" s="265"/>
      <c r="B325" s="247">
        <v>9896.0</v>
      </c>
      <c r="C325" s="252"/>
      <c r="D325" s="331"/>
      <c r="F325" s="250"/>
      <c r="G325" s="2" t="s">
        <v>74</v>
      </c>
      <c r="J325" s="251"/>
    </row>
    <row r="326">
      <c r="A326" s="265"/>
      <c r="B326" s="247">
        <v>5943.6</v>
      </c>
      <c r="C326" s="252"/>
      <c r="D326" s="822"/>
      <c r="F326" s="250"/>
      <c r="G326" s="2" t="s">
        <v>114</v>
      </c>
      <c r="J326" s="251"/>
    </row>
    <row r="327">
      <c r="A327" s="265"/>
      <c r="B327" s="268"/>
      <c r="C327" s="252"/>
      <c r="D327" s="822"/>
      <c r="F327" s="250">
        <v>11600.0</v>
      </c>
      <c r="G327" s="2" t="s">
        <v>122</v>
      </c>
      <c r="J327" s="251"/>
    </row>
    <row r="328">
      <c r="A328" s="265"/>
      <c r="B328" s="268"/>
      <c r="C328" s="252"/>
      <c r="D328" s="822"/>
      <c r="F328" s="250">
        <v>1000.0</v>
      </c>
      <c r="G328" s="2" t="s">
        <v>2776</v>
      </c>
      <c r="J328" s="251"/>
    </row>
    <row r="329">
      <c r="A329" s="265"/>
      <c r="B329" s="268"/>
      <c r="C329" s="252"/>
      <c r="D329" s="822"/>
      <c r="F329" s="250">
        <v>187.0</v>
      </c>
      <c r="G329" s="2" t="s">
        <v>314</v>
      </c>
      <c r="J329" s="251"/>
    </row>
    <row r="330">
      <c r="A330" s="265"/>
      <c r="B330" s="247">
        <v>12061.0</v>
      </c>
      <c r="C330" s="252"/>
      <c r="D330" s="822"/>
      <c r="F330" s="250"/>
      <c r="G330" s="2" t="s">
        <v>450</v>
      </c>
      <c r="J330" s="251"/>
    </row>
    <row r="331">
      <c r="A331" s="265"/>
      <c r="B331" s="268"/>
      <c r="C331" s="252"/>
      <c r="D331" s="822"/>
      <c r="F331" s="250">
        <v>400.0</v>
      </c>
      <c r="G331" s="2" t="s">
        <v>85</v>
      </c>
      <c r="J331" s="251"/>
    </row>
    <row r="332">
      <c r="A332" s="265"/>
      <c r="B332" s="268"/>
      <c r="C332" s="252"/>
      <c r="D332" s="822"/>
      <c r="F332" s="250">
        <v>500.0</v>
      </c>
      <c r="G332" s="2" t="s">
        <v>3044</v>
      </c>
      <c r="H332" s="2" t="s">
        <v>3045</v>
      </c>
      <c r="J332" s="251"/>
    </row>
    <row r="333">
      <c r="A333" s="270"/>
      <c r="B333" s="271"/>
      <c r="C333" s="272"/>
      <c r="D333" s="823"/>
      <c r="E333" s="18"/>
      <c r="F333" s="274"/>
      <c r="G333" s="18"/>
      <c r="H333" s="18"/>
      <c r="I333" s="18"/>
      <c r="J333" s="261"/>
    </row>
    <row r="334">
      <c r="A334" s="262" t="s">
        <v>354</v>
      </c>
      <c r="B334" s="239"/>
      <c r="C334" s="263">
        <v>30098.87</v>
      </c>
      <c r="D334" s="824"/>
      <c r="E334" s="242"/>
      <c r="F334" s="243"/>
      <c r="G334" s="244" t="s">
        <v>84</v>
      </c>
      <c r="H334" s="244"/>
      <c r="I334" s="244"/>
      <c r="J334" s="307"/>
    </row>
    <row r="335">
      <c r="A335" s="265"/>
      <c r="B335" s="247"/>
      <c r="C335" s="248"/>
      <c r="D335" s="822"/>
      <c r="F335" s="250">
        <v>604.0</v>
      </c>
      <c r="G335" s="2" t="s">
        <v>97</v>
      </c>
      <c r="J335" s="251"/>
    </row>
    <row r="336">
      <c r="A336" s="265"/>
      <c r="B336" s="268"/>
      <c r="C336" s="248"/>
      <c r="D336" s="822"/>
      <c r="F336" s="250"/>
      <c r="J336" s="251"/>
    </row>
    <row r="337">
      <c r="A337" s="265"/>
      <c r="B337" s="268"/>
      <c r="C337" s="252"/>
      <c r="D337" s="822"/>
      <c r="F337" s="250"/>
      <c r="J337" s="251"/>
    </row>
    <row r="338">
      <c r="A338" s="265"/>
      <c r="B338" s="247"/>
      <c r="C338" s="248"/>
      <c r="D338" s="331"/>
      <c r="F338" s="250"/>
      <c r="J338" s="251"/>
    </row>
    <row r="339">
      <c r="A339" s="265"/>
      <c r="B339" s="247"/>
      <c r="C339" s="252"/>
      <c r="D339" s="822"/>
      <c r="F339" s="250"/>
      <c r="J339" s="251"/>
    </row>
    <row r="340">
      <c r="A340" s="265"/>
      <c r="B340" s="247"/>
      <c r="C340" s="252"/>
      <c r="D340" s="822"/>
      <c r="F340" s="250"/>
      <c r="J340" s="251"/>
    </row>
    <row r="341">
      <c r="A341" s="265"/>
      <c r="B341" s="247"/>
      <c r="C341" s="252"/>
      <c r="D341" s="822"/>
      <c r="F341" s="250"/>
      <c r="J341" s="251"/>
    </row>
    <row r="342">
      <c r="A342" s="265"/>
      <c r="B342" s="247"/>
      <c r="C342" s="252"/>
      <c r="D342" s="822"/>
      <c r="F342" s="250"/>
      <c r="J342" s="251"/>
    </row>
    <row r="343">
      <c r="A343" s="265"/>
      <c r="B343" s="247"/>
      <c r="C343" s="252"/>
      <c r="D343" s="822"/>
      <c r="F343" s="250"/>
      <c r="J343" s="251"/>
    </row>
    <row r="344">
      <c r="A344" s="265"/>
      <c r="B344" s="247"/>
      <c r="C344" s="252"/>
      <c r="D344" s="822"/>
      <c r="F344" s="250"/>
      <c r="J344" s="251"/>
    </row>
    <row r="345">
      <c r="A345" s="265"/>
      <c r="B345" s="247"/>
      <c r="C345" s="252"/>
      <c r="D345" s="331"/>
      <c r="F345" s="250"/>
      <c r="J345" s="251"/>
    </row>
    <row r="346">
      <c r="A346" s="270"/>
      <c r="B346" s="271"/>
      <c r="C346" s="272"/>
      <c r="D346" s="823"/>
      <c r="E346" s="18"/>
      <c r="F346" s="259"/>
      <c r="G346" s="293"/>
      <c r="H346" s="293"/>
      <c r="I346" s="18"/>
      <c r="J346" s="261"/>
    </row>
    <row r="347">
      <c r="A347" s="262" t="s">
        <v>355</v>
      </c>
      <c r="B347" s="306"/>
      <c r="C347" s="240"/>
      <c r="D347" s="824"/>
      <c r="E347" s="242"/>
      <c r="F347" s="243">
        <v>1000.0</v>
      </c>
      <c r="G347" s="244" t="s">
        <v>2933</v>
      </c>
      <c r="H347" s="244"/>
      <c r="I347" s="244"/>
      <c r="J347" s="307"/>
    </row>
    <row r="348">
      <c r="A348" s="265"/>
      <c r="B348" s="247">
        <v>3653.7</v>
      </c>
      <c r="C348" s="248"/>
      <c r="D348" s="822"/>
      <c r="F348" s="250"/>
      <c r="G348" s="2" t="s">
        <v>82</v>
      </c>
      <c r="J348" s="251"/>
    </row>
    <row r="349">
      <c r="A349" s="265"/>
      <c r="B349" s="247"/>
      <c r="C349" s="252"/>
      <c r="D349" s="822"/>
      <c r="F349" s="250">
        <v>9200.0</v>
      </c>
      <c r="G349" s="2" t="s">
        <v>87</v>
      </c>
      <c r="J349" s="251"/>
    </row>
    <row r="350">
      <c r="A350" s="265"/>
      <c r="B350" s="247"/>
      <c r="C350" s="248"/>
      <c r="D350" s="331"/>
      <c r="F350" s="250">
        <v>504.45</v>
      </c>
      <c r="G350" s="2" t="s">
        <v>97</v>
      </c>
      <c r="J350" s="251"/>
    </row>
    <row r="351">
      <c r="A351" s="265"/>
      <c r="B351" s="247"/>
      <c r="C351" s="252"/>
      <c r="D351" s="822"/>
      <c r="F351" s="250"/>
      <c r="J351" s="251"/>
    </row>
    <row r="352">
      <c r="A352" s="265"/>
      <c r="B352" s="247"/>
      <c r="C352" s="252"/>
      <c r="D352" s="822"/>
      <c r="F352" s="250"/>
      <c r="J352" s="251"/>
    </row>
    <row r="353">
      <c r="A353" s="265"/>
      <c r="B353" s="247"/>
      <c r="C353" s="252"/>
      <c r="D353" s="822"/>
      <c r="F353" s="250"/>
      <c r="I353" s="318"/>
      <c r="J353" s="251"/>
    </row>
    <row r="354">
      <c r="A354" s="265"/>
      <c r="B354" s="268"/>
      <c r="C354" s="252"/>
      <c r="D354" s="331"/>
      <c r="F354" s="250"/>
      <c r="J354" s="251"/>
    </row>
    <row r="355">
      <c r="A355" s="265"/>
      <c r="B355" s="268"/>
      <c r="C355" s="252"/>
      <c r="D355" s="822"/>
      <c r="F355" s="250"/>
      <c r="J355" s="251"/>
    </row>
    <row r="356">
      <c r="A356" s="265"/>
      <c r="B356" s="268"/>
      <c r="C356" s="252"/>
      <c r="D356" s="822"/>
      <c r="F356" s="250"/>
      <c r="J356" s="251"/>
    </row>
    <row r="357">
      <c r="A357" s="265"/>
      <c r="B357" s="268"/>
      <c r="C357" s="252"/>
      <c r="D357" s="822"/>
      <c r="F357" s="250"/>
      <c r="J357" s="251"/>
    </row>
    <row r="358">
      <c r="A358" s="265"/>
      <c r="B358" s="247"/>
      <c r="C358" s="252"/>
      <c r="D358" s="822"/>
      <c r="F358" s="250"/>
      <c r="J358" s="251"/>
    </row>
    <row r="359">
      <c r="A359" s="265"/>
      <c r="B359" s="268"/>
      <c r="C359" s="252"/>
      <c r="D359" s="822"/>
      <c r="F359" s="250"/>
      <c r="J359" s="251"/>
    </row>
    <row r="360">
      <c r="A360" s="265"/>
      <c r="B360" s="268"/>
      <c r="C360" s="252"/>
      <c r="D360" s="822"/>
      <c r="F360" s="250"/>
      <c r="J360" s="251"/>
    </row>
    <row r="361">
      <c r="A361" s="265"/>
      <c r="B361" s="268"/>
      <c r="C361" s="252"/>
      <c r="D361" s="822"/>
      <c r="F361" s="250"/>
      <c r="J361" s="251"/>
    </row>
    <row r="362">
      <c r="A362" s="265"/>
      <c r="B362" s="268"/>
      <c r="C362" s="252"/>
      <c r="D362" s="822"/>
      <c r="F362" s="250"/>
      <c r="J362" s="251"/>
    </row>
    <row r="363">
      <c r="A363" s="265"/>
      <c r="B363" s="268"/>
      <c r="C363" s="252"/>
      <c r="D363" s="822"/>
      <c r="F363" s="250"/>
      <c r="J363" s="251"/>
    </row>
    <row r="364">
      <c r="A364" s="270"/>
      <c r="B364" s="271"/>
      <c r="C364" s="272"/>
      <c r="D364" s="823"/>
      <c r="E364" s="18"/>
      <c r="F364" s="274"/>
      <c r="G364" s="18"/>
      <c r="H364" s="18"/>
      <c r="I364" s="293"/>
      <c r="J364" s="261"/>
    </row>
    <row r="365">
      <c r="A365" s="262" t="s">
        <v>358</v>
      </c>
      <c r="B365" s="306"/>
      <c r="C365" s="240"/>
      <c r="D365" s="824"/>
      <c r="E365" s="242"/>
      <c r="F365" s="243"/>
      <c r="G365" s="244"/>
      <c r="H365" s="244"/>
      <c r="I365" s="244"/>
      <c r="J365" s="307"/>
    </row>
    <row r="366">
      <c r="A366" s="265"/>
      <c r="B366" s="247"/>
      <c r="C366" s="248"/>
      <c r="D366" s="822"/>
      <c r="F366" s="250"/>
      <c r="J366" s="251"/>
    </row>
    <row r="367">
      <c r="A367" s="265"/>
      <c r="B367" s="247"/>
      <c r="C367" s="252"/>
      <c r="D367" s="822"/>
      <c r="F367" s="250"/>
      <c r="J367" s="251"/>
    </row>
    <row r="368">
      <c r="A368" s="265"/>
      <c r="B368" s="247"/>
      <c r="C368" s="248"/>
      <c r="D368" s="331"/>
      <c r="F368" s="250"/>
      <c r="J368" s="251"/>
    </row>
    <row r="369">
      <c r="A369" s="265"/>
      <c r="B369" s="247"/>
      <c r="C369" s="252"/>
      <c r="D369" s="822"/>
      <c r="F369" s="250"/>
      <c r="J369" s="251"/>
    </row>
    <row r="370">
      <c r="A370" s="265"/>
      <c r="B370" s="247"/>
      <c r="C370" s="252"/>
      <c r="D370" s="822"/>
      <c r="F370" s="250"/>
      <c r="J370" s="251"/>
    </row>
    <row r="371">
      <c r="A371" s="265"/>
      <c r="B371" s="247"/>
      <c r="C371" s="252"/>
      <c r="D371" s="822"/>
      <c r="F371" s="250"/>
      <c r="I371" s="318"/>
      <c r="J371" s="251"/>
    </row>
    <row r="372">
      <c r="A372" s="265"/>
      <c r="B372" s="268"/>
      <c r="C372" s="252"/>
      <c r="D372" s="331"/>
      <c r="F372" s="250"/>
      <c r="J372" s="251"/>
    </row>
    <row r="373">
      <c r="A373" s="265"/>
      <c r="B373" s="268"/>
      <c r="C373" s="252"/>
      <c r="D373" s="822"/>
      <c r="F373" s="250"/>
      <c r="J373" s="251"/>
    </row>
    <row r="374">
      <c r="A374" s="265"/>
      <c r="B374" s="268"/>
      <c r="C374" s="252"/>
      <c r="D374" s="822"/>
      <c r="F374" s="250"/>
      <c r="J374" s="251"/>
    </row>
    <row r="375">
      <c r="A375" s="265"/>
      <c r="B375" s="268"/>
      <c r="C375" s="252"/>
      <c r="D375" s="822"/>
      <c r="F375" s="250"/>
      <c r="J375" s="251"/>
    </row>
    <row r="376">
      <c r="A376" s="265"/>
      <c r="B376" s="247"/>
      <c r="C376" s="252"/>
      <c r="D376" s="822"/>
      <c r="F376" s="250"/>
      <c r="J376" s="251"/>
    </row>
    <row r="377">
      <c r="A377" s="265"/>
      <c r="B377" s="268"/>
      <c r="C377" s="252"/>
      <c r="D377" s="822"/>
      <c r="F377" s="250"/>
      <c r="J377" s="251"/>
    </row>
    <row r="378">
      <c r="A378" s="265"/>
      <c r="B378" s="268"/>
      <c r="C378" s="252"/>
      <c r="D378" s="822"/>
      <c r="F378" s="250"/>
      <c r="J378" s="251"/>
    </row>
    <row r="379">
      <c r="A379" s="265"/>
      <c r="B379" s="268"/>
      <c r="C379" s="252"/>
      <c r="D379" s="822"/>
      <c r="F379" s="250"/>
      <c r="J379" s="251"/>
    </row>
    <row r="380">
      <c r="A380" s="265"/>
      <c r="B380" s="268"/>
      <c r="C380" s="252"/>
      <c r="D380" s="822"/>
      <c r="F380" s="250"/>
      <c r="J380" s="251"/>
    </row>
    <row r="381">
      <c r="A381" s="265"/>
      <c r="B381" s="268"/>
      <c r="C381" s="252"/>
      <c r="D381" s="822"/>
      <c r="F381" s="250"/>
      <c r="J381" s="251"/>
    </row>
    <row r="382">
      <c r="A382" s="270"/>
      <c r="B382" s="271"/>
      <c r="C382" s="272"/>
      <c r="D382" s="823"/>
      <c r="E382" s="18"/>
      <c r="F382" s="274"/>
      <c r="G382" s="18"/>
      <c r="H382" s="18"/>
      <c r="I382" s="293" t="s">
        <v>2817</v>
      </c>
      <c r="J382" s="261"/>
    </row>
    <row r="383">
      <c r="A383" s="262" t="s">
        <v>187</v>
      </c>
      <c r="B383" s="239">
        <v>14693.0</v>
      </c>
      <c r="C383" s="240"/>
      <c r="D383" s="821"/>
      <c r="E383" s="242"/>
      <c r="F383" s="243"/>
      <c r="G383" s="2" t="s">
        <v>188</v>
      </c>
      <c r="H383" s="318">
        <v>44546.0</v>
      </c>
      <c r="I383" s="318"/>
      <c r="J383" s="307"/>
    </row>
    <row r="384">
      <c r="A384" s="265"/>
      <c r="B384" s="247">
        <v>19462.0</v>
      </c>
      <c r="C384" s="248"/>
      <c r="D384" s="331"/>
      <c r="F384" s="250"/>
      <c r="G384" s="2" t="s">
        <v>2819</v>
      </c>
      <c r="H384" s="318">
        <v>44558.0</v>
      </c>
      <c r="I384" s="318"/>
      <c r="J384" s="267"/>
    </row>
    <row r="385">
      <c r="A385" s="265"/>
      <c r="B385" s="247">
        <v>1586.85</v>
      </c>
      <c r="C385" s="248"/>
      <c r="D385" s="331"/>
      <c r="F385" s="250"/>
      <c r="G385" s="2" t="s">
        <v>2284</v>
      </c>
      <c r="H385" s="318">
        <v>44546.0</v>
      </c>
      <c r="I385" s="318"/>
      <c r="J385" s="267"/>
    </row>
    <row r="386">
      <c r="A386" s="265"/>
      <c r="B386" s="268"/>
      <c r="C386" s="252"/>
      <c r="D386" s="331">
        <v>48400.0</v>
      </c>
      <c r="F386" s="250"/>
      <c r="G386" s="2" t="s">
        <v>192</v>
      </c>
      <c r="H386" s="318">
        <v>44551.0</v>
      </c>
      <c r="I386" s="318"/>
      <c r="J386" s="251"/>
    </row>
    <row r="387">
      <c r="A387" s="265"/>
      <c r="B387" s="268"/>
      <c r="C387" s="252"/>
      <c r="D387" s="822"/>
      <c r="F387" s="250">
        <v>30000.0</v>
      </c>
      <c r="G387" s="2" t="s">
        <v>193</v>
      </c>
      <c r="H387" s="318">
        <v>44558.0</v>
      </c>
      <c r="J387" s="251"/>
    </row>
    <row r="388">
      <c r="A388" s="265"/>
      <c r="B388" s="247"/>
      <c r="C388" s="252"/>
      <c r="D388" s="331">
        <v>9384.0</v>
      </c>
      <c r="F388" s="250"/>
      <c r="G388" s="2" t="s">
        <v>194</v>
      </c>
      <c r="H388" s="318">
        <v>44546.0</v>
      </c>
      <c r="I388" s="318"/>
      <c r="J388" s="251"/>
    </row>
    <row r="389">
      <c r="A389" s="265"/>
      <c r="B389" s="268"/>
      <c r="C389" s="252"/>
      <c r="D389" s="331">
        <v>13500.0</v>
      </c>
      <c r="F389" s="250"/>
      <c r="G389" s="2" t="s">
        <v>196</v>
      </c>
      <c r="H389" s="2"/>
      <c r="I389" s="318"/>
      <c r="J389" s="251"/>
    </row>
    <row r="390">
      <c r="A390" s="265"/>
      <c r="B390" s="268"/>
      <c r="C390" s="252"/>
      <c r="D390" s="331">
        <v>4432.81</v>
      </c>
      <c r="F390" s="250"/>
      <c r="G390" s="2" t="s">
        <v>2285</v>
      </c>
      <c r="H390" s="2"/>
      <c r="I390" s="2" t="s">
        <v>2821</v>
      </c>
      <c r="J390" s="251"/>
    </row>
    <row r="391">
      <c r="A391" s="265"/>
      <c r="B391" s="268"/>
      <c r="C391" s="252"/>
      <c r="D391" s="331">
        <v>4064.24</v>
      </c>
      <c r="F391" s="250"/>
      <c r="G391" s="2" t="s">
        <v>199</v>
      </c>
      <c r="H391" s="2"/>
      <c r="I391" s="2" t="s">
        <v>2821</v>
      </c>
      <c r="J391" s="251"/>
    </row>
    <row r="392">
      <c r="A392" s="265"/>
      <c r="B392" s="247"/>
      <c r="C392" s="252"/>
      <c r="D392" s="822"/>
      <c r="F392" s="250"/>
      <c r="G392" s="2" t="s">
        <v>200</v>
      </c>
      <c r="H392" s="2"/>
      <c r="I392" s="2" t="s">
        <v>2821</v>
      </c>
      <c r="J392" s="267"/>
    </row>
    <row r="393">
      <c r="A393" s="270"/>
      <c r="B393" s="271"/>
      <c r="C393" s="272"/>
      <c r="D393" s="823"/>
      <c r="E393" s="18"/>
      <c r="F393" s="274"/>
      <c r="G393" s="18"/>
      <c r="H393" s="18"/>
      <c r="I393" s="18"/>
      <c r="J393" s="261"/>
    </row>
    <row r="394">
      <c r="A394" s="262"/>
      <c r="B394" s="239"/>
      <c r="C394" s="240"/>
      <c r="D394" s="821"/>
      <c r="E394" s="242"/>
      <c r="F394" s="243"/>
      <c r="I394" s="318"/>
      <c r="J394" s="307"/>
    </row>
    <row r="395">
      <c r="A395" s="265"/>
      <c r="B395" s="247"/>
      <c r="C395" s="248"/>
      <c r="D395" s="331"/>
      <c r="F395" s="250"/>
      <c r="I395" s="318"/>
      <c r="J395" s="251"/>
    </row>
    <row r="396">
      <c r="A396" s="265"/>
      <c r="B396" s="247"/>
      <c r="C396" s="248"/>
      <c r="D396" s="331"/>
      <c r="F396" s="250"/>
      <c r="I396" s="318"/>
      <c r="J396" s="267"/>
    </row>
    <row r="397">
      <c r="A397" s="265"/>
      <c r="B397" s="247"/>
      <c r="C397" s="248"/>
      <c r="D397" s="331"/>
      <c r="F397" s="250"/>
      <c r="I397" s="318"/>
      <c r="J397" s="267"/>
    </row>
    <row r="398">
      <c r="A398" s="265"/>
      <c r="B398" s="268"/>
      <c r="C398" s="252"/>
      <c r="D398" s="331"/>
      <c r="F398" s="250"/>
      <c r="I398" s="318"/>
      <c r="J398" s="251"/>
    </row>
    <row r="399">
      <c r="A399" s="265"/>
      <c r="B399" s="268"/>
      <c r="C399" s="252"/>
      <c r="D399" s="822"/>
      <c r="F399" s="250"/>
      <c r="J399" s="251"/>
    </row>
    <row r="400">
      <c r="A400" s="265"/>
      <c r="B400" s="247"/>
      <c r="C400" s="252"/>
      <c r="D400" s="331"/>
      <c r="F400" s="250"/>
      <c r="I400" s="318"/>
      <c r="J400" s="251"/>
    </row>
    <row r="401">
      <c r="A401" s="265"/>
      <c r="B401" s="268"/>
      <c r="C401" s="252"/>
      <c r="D401" s="331"/>
      <c r="F401" s="250"/>
      <c r="I401" s="318"/>
      <c r="J401" s="251"/>
    </row>
    <row r="402">
      <c r="A402" s="265"/>
      <c r="B402" s="268"/>
      <c r="C402" s="252"/>
      <c r="D402" s="331"/>
      <c r="F402" s="250"/>
      <c r="J402" s="251"/>
    </row>
    <row r="403">
      <c r="A403" s="265"/>
      <c r="B403" s="268"/>
      <c r="C403" s="252"/>
      <c r="D403" s="331"/>
      <c r="F403" s="250"/>
      <c r="J403" s="251"/>
    </row>
    <row r="404">
      <c r="A404" s="265"/>
      <c r="B404" s="247"/>
      <c r="C404" s="252"/>
      <c r="D404" s="822"/>
      <c r="F404" s="250"/>
      <c r="J404" s="267"/>
    </row>
    <row r="405">
      <c r="A405" s="270"/>
      <c r="B405" s="271"/>
      <c r="C405" s="272"/>
      <c r="D405" s="823"/>
      <c r="E405" s="18"/>
      <c r="F405" s="274"/>
      <c r="G405" s="18"/>
      <c r="H405" s="18"/>
      <c r="I405" s="18"/>
      <c r="J405" s="261"/>
    </row>
    <row r="406">
      <c r="A406" s="303"/>
      <c r="B406" s="268"/>
      <c r="C406" s="252"/>
      <c r="D406" s="331"/>
      <c r="F406" s="250"/>
      <c r="J406" s="251"/>
    </row>
    <row r="407">
      <c r="A407" s="303"/>
      <c r="B407" s="268"/>
      <c r="C407" s="252"/>
      <c r="D407" s="822"/>
      <c r="F407" s="250"/>
      <c r="J407" s="251"/>
    </row>
    <row r="408">
      <c r="A408" s="303"/>
      <c r="B408" s="268"/>
      <c r="C408" s="252"/>
      <c r="D408" s="822"/>
      <c r="F408" s="250"/>
      <c r="J408" s="251"/>
    </row>
    <row r="409">
      <c r="A409" s="303"/>
      <c r="B409" s="268"/>
      <c r="C409" s="252"/>
      <c r="D409" s="822"/>
      <c r="F409" s="250"/>
      <c r="J409" s="251"/>
    </row>
    <row r="410">
      <c r="A410" s="303"/>
      <c r="B410" s="268"/>
      <c r="C410" s="252"/>
      <c r="D410" s="822"/>
      <c r="F410" s="250"/>
      <c r="J410" s="251"/>
    </row>
    <row r="411">
      <c r="A411" s="303"/>
      <c r="B411" s="268"/>
      <c r="C411" s="252"/>
      <c r="D411" s="822"/>
      <c r="F411" s="250"/>
      <c r="J411" s="251"/>
    </row>
    <row r="412">
      <c r="A412" s="304"/>
      <c r="B412" s="271"/>
      <c r="C412" s="272"/>
      <c r="D412" s="823"/>
      <c r="E412" s="18"/>
      <c r="F412" s="274"/>
      <c r="G412" s="18"/>
      <c r="H412" s="18"/>
      <c r="I412" s="18"/>
      <c r="J412" s="261"/>
    </row>
    <row r="413">
      <c r="A413" s="305"/>
      <c r="B413" s="306"/>
      <c r="C413" s="240"/>
      <c r="D413" s="824"/>
      <c r="E413" s="242"/>
      <c r="F413" s="243"/>
      <c r="G413" s="244"/>
      <c r="H413" s="244"/>
      <c r="I413" s="244"/>
      <c r="J413" s="307"/>
    </row>
    <row r="414">
      <c r="A414" s="265"/>
      <c r="B414" s="268"/>
      <c r="C414" s="252"/>
      <c r="D414" s="822"/>
      <c r="F414" s="250"/>
      <c r="I414" s="252"/>
      <c r="J414" s="251"/>
    </row>
    <row r="415">
      <c r="A415" s="265"/>
      <c r="B415" s="268"/>
      <c r="C415" s="252"/>
      <c r="D415" s="822"/>
      <c r="F415" s="250"/>
      <c r="I415" s="252"/>
      <c r="J415" s="251"/>
    </row>
    <row r="416">
      <c r="A416" s="265"/>
      <c r="B416" s="268"/>
      <c r="C416" s="252"/>
      <c r="D416" s="822"/>
      <c r="F416" s="250"/>
      <c r="I416" s="252"/>
      <c r="J416" s="251"/>
    </row>
    <row r="417">
      <c r="A417" s="265"/>
      <c r="B417" s="268"/>
      <c r="C417" s="252"/>
      <c r="D417" s="822"/>
      <c r="F417" s="250"/>
      <c r="I417" s="252"/>
      <c r="J417" s="251"/>
    </row>
    <row r="418">
      <c r="A418" s="265"/>
      <c r="B418" s="268"/>
      <c r="C418" s="252"/>
      <c r="D418" s="822"/>
      <c r="F418" s="250"/>
      <c r="J418" s="251"/>
    </row>
    <row r="419">
      <c r="A419" s="265"/>
      <c r="B419" s="268"/>
      <c r="C419" s="252"/>
      <c r="D419" s="822"/>
      <c r="F419" s="250"/>
      <c r="J419" s="251"/>
    </row>
    <row r="420">
      <c r="A420" s="265"/>
      <c r="B420" s="268"/>
      <c r="C420" s="252"/>
      <c r="D420" s="822"/>
      <c r="F420" s="250"/>
      <c r="J420" s="251"/>
    </row>
    <row r="421">
      <c r="A421" s="265"/>
      <c r="B421" s="268"/>
      <c r="C421" s="252"/>
      <c r="D421" s="822"/>
      <c r="F421" s="250"/>
      <c r="J421" s="251"/>
    </row>
    <row r="422">
      <c r="A422" s="270"/>
      <c r="B422" s="271"/>
      <c r="C422" s="272"/>
      <c r="D422" s="823"/>
      <c r="E422" s="18"/>
      <c r="F422" s="274"/>
      <c r="G422" s="18"/>
      <c r="H422" s="18"/>
      <c r="I422" s="18"/>
      <c r="J422" s="261"/>
    </row>
    <row r="423">
      <c r="A423" s="305"/>
      <c r="B423" s="306"/>
      <c r="C423" s="240"/>
      <c r="D423" s="824"/>
      <c r="E423" s="242"/>
      <c r="F423" s="243"/>
      <c r="G423" s="244"/>
      <c r="H423" s="244"/>
      <c r="I423" s="244"/>
      <c r="J423" s="307"/>
    </row>
    <row r="424">
      <c r="A424" s="265"/>
      <c r="B424" s="268"/>
      <c r="C424" s="252"/>
      <c r="D424" s="822"/>
      <c r="F424" s="250"/>
      <c r="J424" s="251"/>
    </row>
    <row r="425">
      <c r="A425" s="265"/>
      <c r="B425" s="268"/>
      <c r="C425" s="252"/>
      <c r="D425" s="822"/>
      <c r="F425" s="250"/>
      <c r="J425" s="251"/>
    </row>
    <row r="426">
      <c r="A426" s="265"/>
      <c r="B426" s="268"/>
      <c r="C426" s="252"/>
      <c r="D426" s="822"/>
      <c r="F426" s="250"/>
      <c r="J426" s="251"/>
    </row>
    <row r="427">
      <c r="A427" s="265"/>
      <c r="B427" s="268"/>
      <c r="C427" s="252"/>
      <c r="D427" s="822"/>
      <c r="F427" s="250"/>
      <c r="J427" s="251"/>
    </row>
    <row r="428">
      <c r="A428" s="265"/>
      <c r="B428" s="268"/>
      <c r="C428" s="252"/>
      <c r="D428" s="822"/>
      <c r="F428" s="250"/>
      <c r="J428" s="251"/>
    </row>
    <row r="429">
      <c r="A429" s="265"/>
      <c r="B429" s="268"/>
      <c r="C429" s="252"/>
      <c r="D429" s="822"/>
      <c r="F429" s="250"/>
      <c r="J429" s="251"/>
    </row>
    <row r="430">
      <c r="A430" s="265"/>
      <c r="B430" s="268"/>
      <c r="C430" s="252"/>
      <c r="D430" s="822"/>
      <c r="F430" s="250"/>
      <c r="J430" s="251"/>
    </row>
    <row r="431">
      <c r="A431" s="265"/>
      <c r="B431" s="268"/>
      <c r="C431" s="252"/>
      <c r="D431" s="822"/>
      <c r="F431" s="250"/>
      <c r="J431" s="251"/>
    </row>
    <row r="432">
      <c r="A432" s="270"/>
      <c r="B432" s="271"/>
      <c r="C432" s="272"/>
      <c r="D432" s="823"/>
      <c r="E432" s="18"/>
      <c r="F432" s="274"/>
      <c r="G432" s="18"/>
      <c r="H432" s="18"/>
      <c r="I432" s="18"/>
      <c r="J432" s="261"/>
    </row>
    <row r="433">
      <c r="B433" s="306"/>
      <c r="C433" s="240"/>
      <c r="D433" s="824"/>
      <c r="E433" s="242"/>
      <c r="F433" s="243"/>
      <c r="G433" s="244"/>
      <c r="H433" s="244"/>
      <c r="I433" s="244"/>
      <c r="J433" s="307"/>
    </row>
    <row r="434">
      <c r="B434" s="268"/>
      <c r="C434" s="252"/>
      <c r="D434" s="822"/>
      <c r="F434" s="250"/>
      <c r="J434" s="251"/>
    </row>
    <row r="435">
      <c r="B435" s="268"/>
      <c r="C435" s="252"/>
      <c r="D435" s="822"/>
      <c r="F435" s="250"/>
      <c r="J435" s="251"/>
    </row>
    <row r="436">
      <c r="B436" s="308"/>
      <c r="C436" s="252"/>
      <c r="D436" s="822"/>
      <c r="F436" s="309"/>
      <c r="J436" s="302"/>
    </row>
    <row r="437">
      <c r="B437" s="308"/>
      <c r="C437" s="252"/>
      <c r="D437" s="822"/>
      <c r="F437" s="309"/>
      <c r="J437" s="302"/>
    </row>
    <row r="438">
      <c r="B438" s="308"/>
      <c r="C438" s="252"/>
      <c r="D438" s="822"/>
      <c r="F438" s="309"/>
      <c r="J438" s="302"/>
    </row>
    <row r="439">
      <c r="B439" s="308"/>
      <c r="C439" s="252"/>
      <c r="D439" s="822"/>
      <c r="F439" s="309"/>
      <c r="J439" s="302"/>
    </row>
    <row r="440">
      <c r="B440" s="308"/>
      <c r="C440" s="252"/>
      <c r="D440" s="822"/>
      <c r="F440" s="309"/>
      <c r="J440" s="302"/>
    </row>
    <row r="441">
      <c r="B441" s="308"/>
      <c r="C441" s="252"/>
      <c r="D441" s="822"/>
      <c r="F441" s="309"/>
      <c r="J441" s="302"/>
    </row>
    <row r="442">
      <c r="B442" s="308"/>
      <c r="C442" s="252"/>
      <c r="D442" s="822"/>
      <c r="F442" s="309"/>
      <c r="J442" s="302"/>
    </row>
    <row r="443">
      <c r="B443" s="308"/>
      <c r="C443" s="252"/>
      <c r="D443" s="822"/>
      <c r="F443" s="309"/>
      <c r="J443" s="302"/>
    </row>
    <row r="444">
      <c r="B444" s="308"/>
      <c r="C444" s="252"/>
      <c r="D444" s="822"/>
      <c r="F444" s="309"/>
      <c r="J444" s="302"/>
    </row>
    <row r="445">
      <c r="B445" s="308"/>
      <c r="C445" s="252"/>
      <c r="D445" s="822"/>
      <c r="F445" s="309"/>
      <c r="J445" s="302"/>
    </row>
    <row r="446">
      <c r="B446" s="308"/>
      <c r="C446" s="252"/>
      <c r="D446" s="822"/>
      <c r="F446" s="309"/>
      <c r="J446" s="302"/>
    </row>
    <row r="447">
      <c r="B447" s="308"/>
      <c r="C447" s="252"/>
      <c r="D447" s="822"/>
      <c r="F447" s="309"/>
      <c r="J447" s="302"/>
    </row>
    <row r="448">
      <c r="B448" s="308"/>
      <c r="C448" s="252"/>
      <c r="D448" s="822"/>
      <c r="F448" s="309"/>
      <c r="J448" s="302"/>
    </row>
    <row r="449">
      <c r="B449" s="308"/>
      <c r="C449" s="252"/>
      <c r="D449" s="822"/>
      <c r="F449" s="309"/>
      <c r="J449" s="302"/>
    </row>
    <row r="450">
      <c r="B450" s="308"/>
      <c r="C450" s="252"/>
      <c r="D450" s="822"/>
      <c r="F450" s="309"/>
      <c r="J450" s="302"/>
    </row>
    <row r="451">
      <c r="B451" s="308"/>
      <c r="C451" s="252"/>
      <c r="D451" s="822"/>
      <c r="F451" s="309"/>
      <c r="J451" s="302"/>
    </row>
    <row r="452">
      <c r="B452" s="308"/>
      <c r="C452" s="252"/>
      <c r="D452" s="822"/>
      <c r="F452" s="309"/>
      <c r="J452" s="302"/>
    </row>
    <row r="453">
      <c r="B453" s="308"/>
      <c r="C453" s="252"/>
      <c r="D453" s="822"/>
      <c r="F453" s="309"/>
      <c r="J453" s="302"/>
    </row>
    <row r="454">
      <c r="B454" s="308"/>
      <c r="C454" s="252"/>
      <c r="D454" s="822"/>
      <c r="F454" s="309"/>
      <c r="J454" s="302"/>
    </row>
    <row r="455">
      <c r="B455" s="308"/>
      <c r="C455" s="252"/>
      <c r="D455" s="822"/>
      <c r="F455" s="309"/>
      <c r="J455" s="302"/>
    </row>
    <row r="456">
      <c r="B456" s="308"/>
      <c r="C456" s="252"/>
      <c r="D456" s="822"/>
      <c r="F456" s="309"/>
      <c r="J456" s="302"/>
    </row>
    <row r="457">
      <c r="B457" s="308"/>
      <c r="C457" s="252"/>
      <c r="D457" s="822"/>
      <c r="F457" s="309"/>
      <c r="J457" s="302"/>
    </row>
    <row r="458">
      <c r="B458" s="308"/>
      <c r="C458" s="252"/>
      <c r="D458" s="822"/>
      <c r="F458" s="309"/>
      <c r="J458" s="302"/>
    </row>
    <row r="459">
      <c r="B459" s="308"/>
      <c r="C459" s="252"/>
      <c r="D459" s="822"/>
      <c r="F459" s="309"/>
      <c r="J459" s="302"/>
    </row>
    <row r="460">
      <c r="B460" s="308"/>
      <c r="C460" s="252"/>
      <c r="D460" s="822"/>
      <c r="F460" s="309"/>
      <c r="J460" s="302"/>
    </row>
    <row r="461">
      <c r="B461" s="308"/>
      <c r="C461" s="252"/>
      <c r="D461" s="822"/>
      <c r="F461" s="309"/>
      <c r="J461" s="302"/>
    </row>
    <row r="462">
      <c r="B462" s="308"/>
      <c r="C462" s="252"/>
      <c r="D462" s="822"/>
      <c r="F462" s="309"/>
      <c r="J462" s="302"/>
    </row>
    <row r="463">
      <c r="B463" s="308"/>
      <c r="C463" s="252"/>
      <c r="D463" s="822"/>
      <c r="F463" s="309"/>
      <c r="J463" s="302"/>
    </row>
    <row r="464">
      <c r="B464" s="308"/>
      <c r="C464" s="252"/>
      <c r="D464" s="822"/>
      <c r="F464" s="309"/>
      <c r="J464" s="302"/>
    </row>
    <row r="465">
      <c r="B465" s="308"/>
      <c r="C465" s="252"/>
      <c r="D465" s="822"/>
      <c r="F465" s="309"/>
      <c r="J465" s="302"/>
    </row>
    <row r="466">
      <c r="B466" s="308"/>
      <c r="C466" s="252"/>
      <c r="D466" s="822"/>
      <c r="F466" s="309"/>
      <c r="J466" s="302"/>
    </row>
    <row r="467">
      <c r="B467" s="308"/>
      <c r="C467" s="252"/>
      <c r="D467" s="822"/>
      <c r="F467" s="309"/>
      <c r="J467" s="302"/>
    </row>
    <row r="468">
      <c r="B468" s="308"/>
      <c r="C468" s="252"/>
      <c r="D468" s="822"/>
      <c r="F468" s="309"/>
      <c r="J468" s="302"/>
    </row>
    <row r="469">
      <c r="B469" s="308"/>
      <c r="C469" s="252"/>
      <c r="D469" s="822"/>
      <c r="F469" s="309"/>
      <c r="J469" s="302"/>
    </row>
    <row r="470">
      <c r="B470" s="308"/>
      <c r="C470" s="252"/>
      <c r="D470" s="822"/>
      <c r="F470" s="309"/>
      <c r="J470" s="302"/>
    </row>
    <row r="471">
      <c r="B471" s="308"/>
      <c r="C471" s="252"/>
      <c r="D471" s="822"/>
      <c r="F471" s="309"/>
      <c r="J471" s="302"/>
    </row>
    <row r="472">
      <c r="B472" s="308"/>
      <c r="C472" s="252"/>
      <c r="D472" s="822"/>
      <c r="F472" s="309"/>
      <c r="J472" s="302"/>
    </row>
    <row r="473">
      <c r="B473" s="308"/>
      <c r="C473" s="252"/>
      <c r="D473" s="822"/>
      <c r="F473" s="309"/>
      <c r="J473" s="302"/>
    </row>
    <row r="474">
      <c r="B474" s="308"/>
      <c r="C474" s="252"/>
      <c r="D474" s="822"/>
      <c r="F474" s="309"/>
      <c r="J474" s="302"/>
    </row>
    <row r="475">
      <c r="B475" s="308"/>
      <c r="C475" s="252"/>
      <c r="D475" s="822"/>
      <c r="F475" s="309"/>
      <c r="J475" s="302"/>
    </row>
    <row r="476">
      <c r="B476" s="308"/>
      <c r="C476" s="252"/>
      <c r="D476" s="822"/>
      <c r="F476" s="309"/>
      <c r="J476" s="302"/>
    </row>
    <row r="477">
      <c r="B477" s="308"/>
      <c r="C477" s="252"/>
      <c r="D477" s="822"/>
      <c r="F477" s="309"/>
      <c r="J477" s="302"/>
    </row>
    <row r="478">
      <c r="B478" s="308"/>
      <c r="C478" s="252"/>
      <c r="D478" s="822"/>
      <c r="F478" s="309"/>
      <c r="J478" s="302"/>
    </row>
    <row r="479">
      <c r="B479" s="308"/>
      <c r="C479" s="252"/>
      <c r="D479" s="822"/>
      <c r="F479" s="309"/>
      <c r="J479" s="302"/>
    </row>
    <row r="480">
      <c r="B480" s="308"/>
      <c r="C480" s="252"/>
      <c r="D480" s="822"/>
      <c r="F480" s="309"/>
      <c r="J480" s="302"/>
    </row>
    <row r="481">
      <c r="B481" s="308"/>
      <c r="C481" s="252"/>
      <c r="D481" s="822"/>
      <c r="F481" s="309"/>
      <c r="J481" s="302"/>
    </row>
    <row r="482">
      <c r="B482" s="308"/>
      <c r="C482" s="252"/>
      <c r="D482" s="822"/>
      <c r="F482" s="309"/>
      <c r="J482" s="302"/>
    </row>
    <row r="483">
      <c r="B483" s="308"/>
      <c r="C483" s="252"/>
      <c r="D483" s="822"/>
      <c r="F483" s="309"/>
      <c r="J483" s="302"/>
    </row>
    <row r="484">
      <c r="B484" s="308"/>
      <c r="C484" s="252"/>
      <c r="D484" s="822"/>
      <c r="F484" s="309"/>
      <c r="J484" s="302"/>
    </row>
    <row r="485">
      <c r="B485" s="308"/>
      <c r="C485" s="252"/>
      <c r="D485" s="822"/>
      <c r="F485" s="309"/>
      <c r="J485" s="302"/>
    </row>
    <row r="486">
      <c r="B486" s="308"/>
      <c r="C486" s="252"/>
      <c r="D486" s="822"/>
      <c r="F486" s="309"/>
      <c r="J486" s="302"/>
    </row>
    <row r="487">
      <c r="B487" s="308"/>
      <c r="C487" s="252"/>
      <c r="D487" s="822"/>
      <c r="F487" s="309"/>
      <c r="J487" s="302"/>
    </row>
    <row r="488">
      <c r="B488" s="308"/>
      <c r="C488" s="252"/>
      <c r="D488" s="822"/>
      <c r="F488" s="309"/>
      <c r="J488" s="302"/>
    </row>
    <row r="489">
      <c r="B489" s="308"/>
      <c r="C489" s="252"/>
      <c r="D489" s="822"/>
      <c r="F489" s="309"/>
      <c r="J489" s="302"/>
    </row>
    <row r="490">
      <c r="B490" s="308"/>
      <c r="C490" s="252"/>
      <c r="D490" s="822"/>
      <c r="F490" s="309"/>
      <c r="J490" s="302"/>
    </row>
    <row r="491">
      <c r="B491" s="308"/>
      <c r="C491" s="252"/>
      <c r="D491" s="822"/>
      <c r="F491" s="309"/>
      <c r="J491" s="302"/>
    </row>
    <row r="492">
      <c r="B492" s="308"/>
      <c r="C492" s="252"/>
      <c r="D492" s="822"/>
      <c r="F492" s="309"/>
      <c r="J492" s="302"/>
    </row>
    <row r="493">
      <c r="B493" s="308"/>
      <c r="C493" s="252"/>
      <c r="D493" s="822"/>
      <c r="F493" s="309"/>
      <c r="J493" s="302"/>
    </row>
    <row r="494">
      <c r="B494" s="308"/>
      <c r="C494" s="252"/>
      <c r="D494" s="822"/>
      <c r="F494" s="309"/>
      <c r="J494" s="302"/>
    </row>
    <row r="495">
      <c r="B495" s="308"/>
      <c r="C495" s="252"/>
      <c r="D495" s="822"/>
      <c r="F495" s="309"/>
      <c r="J495" s="302"/>
    </row>
    <row r="496">
      <c r="B496" s="308"/>
      <c r="C496" s="252"/>
      <c r="D496" s="822"/>
      <c r="F496" s="309"/>
      <c r="J496" s="302"/>
    </row>
    <row r="497">
      <c r="B497" s="308"/>
      <c r="C497" s="252"/>
      <c r="D497" s="822"/>
      <c r="F497" s="309"/>
      <c r="J497" s="302"/>
    </row>
    <row r="498">
      <c r="B498" s="308"/>
      <c r="C498" s="252"/>
      <c r="D498" s="822"/>
      <c r="F498" s="309"/>
      <c r="J498" s="302"/>
    </row>
    <row r="499">
      <c r="B499" s="308"/>
      <c r="C499" s="252"/>
      <c r="D499" s="822"/>
      <c r="F499" s="309"/>
      <c r="J499" s="302"/>
    </row>
    <row r="500">
      <c r="B500" s="308"/>
      <c r="C500" s="252"/>
      <c r="D500" s="822"/>
      <c r="F500" s="309"/>
      <c r="J500" s="302"/>
    </row>
    <row r="501">
      <c r="B501" s="308"/>
      <c r="C501" s="252"/>
      <c r="D501" s="822"/>
      <c r="F501" s="309"/>
      <c r="J501" s="302"/>
    </row>
    <row r="502">
      <c r="B502" s="308"/>
      <c r="C502" s="252"/>
      <c r="D502" s="822"/>
      <c r="F502" s="309"/>
      <c r="J502" s="302"/>
    </row>
    <row r="503">
      <c r="B503" s="308"/>
      <c r="C503" s="252"/>
      <c r="D503" s="822"/>
      <c r="F503" s="309"/>
      <c r="J503" s="302"/>
    </row>
    <row r="504">
      <c r="B504" s="308"/>
      <c r="C504" s="252"/>
      <c r="D504" s="822"/>
      <c r="F504" s="309"/>
      <c r="J504" s="302"/>
    </row>
    <row r="505">
      <c r="B505" s="308"/>
      <c r="C505" s="252"/>
      <c r="D505" s="822"/>
      <c r="F505" s="309"/>
      <c r="J505" s="302"/>
    </row>
    <row r="506">
      <c r="B506" s="308"/>
      <c r="C506" s="252"/>
      <c r="D506" s="822"/>
      <c r="F506" s="309"/>
      <c r="J506" s="302"/>
    </row>
    <row r="507">
      <c r="B507" s="308"/>
      <c r="C507" s="252"/>
      <c r="D507" s="822"/>
      <c r="F507" s="309"/>
      <c r="J507" s="302"/>
    </row>
    <row r="508">
      <c r="B508" s="308"/>
      <c r="C508" s="252"/>
      <c r="D508" s="822"/>
      <c r="F508" s="309"/>
      <c r="J508" s="302"/>
    </row>
    <row r="509">
      <c r="B509" s="308"/>
      <c r="C509" s="252"/>
      <c r="D509" s="822"/>
      <c r="F509" s="309"/>
      <c r="J509" s="302"/>
    </row>
    <row r="510">
      <c r="B510" s="308"/>
      <c r="C510" s="252"/>
      <c r="D510" s="822"/>
      <c r="F510" s="309"/>
      <c r="J510" s="302"/>
    </row>
    <row r="511">
      <c r="B511" s="308"/>
      <c r="C511" s="252"/>
      <c r="D511" s="822"/>
      <c r="F511" s="309"/>
      <c r="J511" s="302"/>
    </row>
    <row r="512">
      <c r="B512" s="308"/>
      <c r="C512" s="252"/>
      <c r="D512" s="822"/>
      <c r="F512" s="309"/>
      <c r="J512" s="302"/>
    </row>
    <row r="513">
      <c r="B513" s="308"/>
      <c r="C513" s="252"/>
      <c r="D513" s="822"/>
      <c r="F513" s="309"/>
      <c r="J513" s="302"/>
    </row>
    <row r="514">
      <c r="B514" s="308"/>
      <c r="C514" s="252"/>
      <c r="D514" s="822"/>
      <c r="F514" s="309"/>
      <c r="J514" s="302"/>
    </row>
    <row r="515">
      <c r="B515" s="308"/>
      <c r="C515" s="252"/>
      <c r="D515" s="822"/>
      <c r="F515" s="309"/>
      <c r="J515" s="302"/>
    </row>
    <row r="516">
      <c r="B516" s="308"/>
      <c r="C516" s="252"/>
      <c r="D516" s="822"/>
      <c r="F516" s="309"/>
      <c r="J516" s="302"/>
    </row>
    <row r="517">
      <c r="B517" s="308"/>
      <c r="C517" s="252"/>
      <c r="D517" s="822"/>
      <c r="F517" s="309"/>
      <c r="J517" s="302"/>
    </row>
    <row r="518">
      <c r="B518" s="308"/>
      <c r="C518" s="252"/>
      <c r="D518" s="822"/>
      <c r="F518" s="309"/>
      <c r="J518" s="302"/>
    </row>
    <row r="519">
      <c r="B519" s="308"/>
      <c r="C519" s="252"/>
      <c r="D519" s="822"/>
      <c r="F519" s="309"/>
      <c r="J519" s="302"/>
    </row>
    <row r="520">
      <c r="B520" s="308"/>
      <c r="C520" s="252"/>
      <c r="D520" s="822"/>
      <c r="F520" s="309"/>
      <c r="J520" s="302"/>
    </row>
    <row r="521">
      <c r="B521" s="308"/>
      <c r="C521" s="252"/>
      <c r="D521" s="822"/>
      <c r="F521" s="309"/>
      <c r="J521" s="302"/>
    </row>
    <row r="522">
      <c r="B522" s="308"/>
      <c r="C522" s="252"/>
      <c r="D522" s="822"/>
      <c r="F522" s="309"/>
      <c r="J522" s="302"/>
    </row>
    <row r="523">
      <c r="B523" s="308"/>
      <c r="C523" s="252"/>
      <c r="D523" s="822"/>
      <c r="F523" s="309"/>
      <c r="J523" s="302"/>
    </row>
    <row r="524">
      <c r="B524" s="308"/>
      <c r="C524" s="252"/>
      <c r="D524" s="822"/>
      <c r="F524" s="309"/>
      <c r="J524" s="302"/>
    </row>
    <row r="525">
      <c r="B525" s="308"/>
      <c r="C525" s="252"/>
      <c r="D525" s="822"/>
      <c r="F525" s="309"/>
      <c r="J525" s="302"/>
    </row>
    <row r="526">
      <c r="B526" s="308"/>
      <c r="C526" s="252"/>
      <c r="D526" s="822"/>
      <c r="F526" s="309"/>
      <c r="J526" s="302"/>
    </row>
    <row r="527">
      <c r="B527" s="308"/>
      <c r="C527" s="252"/>
      <c r="D527" s="822"/>
      <c r="F527" s="309"/>
      <c r="J527" s="302"/>
    </row>
    <row r="528">
      <c r="B528" s="308"/>
      <c r="C528" s="252"/>
      <c r="D528" s="822"/>
      <c r="F528" s="309"/>
      <c r="J528" s="302"/>
    </row>
    <row r="529">
      <c r="B529" s="308"/>
      <c r="C529" s="252"/>
      <c r="D529" s="822"/>
      <c r="F529" s="309"/>
      <c r="J529" s="302"/>
    </row>
    <row r="530">
      <c r="B530" s="308"/>
      <c r="C530" s="252"/>
      <c r="D530" s="822"/>
      <c r="F530" s="309"/>
      <c r="J530" s="302"/>
    </row>
    <row r="531">
      <c r="B531" s="308"/>
      <c r="C531" s="252"/>
      <c r="D531" s="822"/>
      <c r="F531" s="309"/>
      <c r="J531" s="302"/>
    </row>
    <row r="532">
      <c r="B532" s="308"/>
      <c r="C532" s="252"/>
      <c r="D532" s="822"/>
      <c r="F532" s="309"/>
      <c r="J532" s="302"/>
    </row>
    <row r="533">
      <c r="B533" s="308"/>
      <c r="C533" s="252"/>
      <c r="D533" s="822"/>
      <c r="F533" s="309"/>
      <c r="J533" s="302"/>
    </row>
    <row r="534">
      <c r="B534" s="308"/>
      <c r="C534" s="252"/>
      <c r="D534" s="822"/>
      <c r="F534" s="309"/>
      <c r="J534" s="302"/>
    </row>
    <row r="535">
      <c r="B535" s="308"/>
      <c r="C535" s="252"/>
      <c r="D535" s="822"/>
      <c r="F535" s="309"/>
      <c r="J535" s="302"/>
    </row>
    <row r="536">
      <c r="B536" s="308"/>
      <c r="C536" s="252"/>
      <c r="D536" s="822"/>
      <c r="F536" s="309"/>
      <c r="J536" s="302"/>
    </row>
    <row r="537">
      <c r="B537" s="308"/>
      <c r="C537" s="252"/>
      <c r="D537" s="822"/>
      <c r="F537" s="309"/>
      <c r="J537" s="302"/>
    </row>
    <row r="538">
      <c r="B538" s="308"/>
      <c r="C538" s="252"/>
      <c r="D538" s="822"/>
      <c r="F538" s="309"/>
      <c r="J538" s="302"/>
    </row>
    <row r="539">
      <c r="B539" s="308"/>
      <c r="C539" s="252"/>
      <c r="D539" s="822"/>
      <c r="F539" s="309"/>
      <c r="J539" s="302"/>
    </row>
    <row r="540">
      <c r="B540" s="308"/>
      <c r="C540" s="252"/>
      <c r="D540" s="822"/>
      <c r="F540" s="309"/>
      <c r="J540" s="302"/>
    </row>
    <row r="541">
      <c r="B541" s="308"/>
      <c r="C541" s="252"/>
      <c r="D541" s="822"/>
      <c r="F541" s="309"/>
      <c r="J541" s="302"/>
    </row>
    <row r="542">
      <c r="B542" s="308"/>
      <c r="C542" s="252"/>
      <c r="D542" s="822"/>
      <c r="F542" s="309"/>
      <c r="J542" s="302"/>
    </row>
    <row r="543">
      <c r="B543" s="308"/>
      <c r="C543" s="252"/>
      <c r="D543" s="822"/>
      <c r="F543" s="309"/>
      <c r="J543" s="302"/>
    </row>
    <row r="544">
      <c r="B544" s="308"/>
      <c r="C544" s="252"/>
      <c r="D544" s="822"/>
      <c r="F544" s="309"/>
      <c r="J544" s="302"/>
    </row>
    <row r="545">
      <c r="B545" s="308"/>
      <c r="C545" s="252"/>
      <c r="D545" s="822"/>
      <c r="F545" s="309"/>
      <c r="J545" s="302"/>
    </row>
    <row r="546">
      <c r="B546" s="308"/>
      <c r="C546" s="252"/>
      <c r="D546" s="822"/>
      <c r="F546" s="309"/>
      <c r="J546" s="302"/>
    </row>
    <row r="547">
      <c r="B547" s="308"/>
      <c r="C547" s="252"/>
      <c r="D547" s="822"/>
      <c r="F547" s="309"/>
      <c r="J547" s="302"/>
    </row>
    <row r="548">
      <c r="B548" s="308"/>
      <c r="C548" s="252"/>
      <c r="D548" s="822"/>
      <c r="F548" s="309"/>
      <c r="J548" s="302"/>
    </row>
    <row r="549">
      <c r="B549" s="308"/>
      <c r="C549" s="252"/>
      <c r="D549" s="822"/>
      <c r="F549" s="309"/>
      <c r="J549" s="302"/>
    </row>
    <row r="550">
      <c r="B550" s="308"/>
      <c r="C550" s="252"/>
      <c r="D550" s="822"/>
      <c r="F550" s="309"/>
      <c r="J550" s="302"/>
    </row>
    <row r="551">
      <c r="B551" s="308"/>
      <c r="C551" s="252"/>
      <c r="D551" s="822"/>
      <c r="F551" s="309"/>
      <c r="J551" s="302"/>
    </row>
    <row r="552">
      <c r="B552" s="308"/>
      <c r="C552" s="252"/>
      <c r="D552" s="822"/>
      <c r="F552" s="309"/>
      <c r="J552" s="302"/>
    </row>
    <row r="553">
      <c r="B553" s="308"/>
      <c r="C553" s="252"/>
      <c r="D553" s="822"/>
      <c r="F553" s="309"/>
      <c r="J553" s="302"/>
    </row>
    <row r="554">
      <c r="B554" s="308"/>
      <c r="C554" s="252"/>
      <c r="D554" s="822"/>
      <c r="F554" s="309"/>
      <c r="J554" s="302"/>
    </row>
    <row r="555">
      <c r="B555" s="308"/>
      <c r="C555" s="252"/>
      <c r="D555" s="822"/>
      <c r="F555" s="309"/>
      <c r="J555" s="302"/>
    </row>
    <row r="556">
      <c r="B556" s="308"/>
      <c r="C556" s="252"/>
      <c r="D556" s="822"/>
      <c r="F556" s="309"/>
      <c r="J556" s="302"/>
    </row>
    <row r="557">
      <c r="B557" s="308"/>
      <c r="C557" s="252"/>
      <c r="D557" s="822"/>
      <c r="F557" s="309"/>
      <c r="J557" s="302"/>
    </row>
    <row r="558">
      <c r="B558" s="308"/>
      <c r="C558" s="252"/>
      <c r="D558" s="822"/>
      <c r="F558" s="309"/>
      <c r="J558" s="302"/>
    </row>
    <row r="559">
      <c r="B559" s="308"/>
      <c r="C559" s="252"/>
      <c r="D559" s="822"/>
      <c r="F559" s="309"/>
      <c r="J559" s="302"/>
    </row>
    <row r="560">
      <c r="B560" s="308"/>
      <c r="C560" s="252"/>
      <c r="D560" s="822"/>
      <c r="F560" s="309"/>
      <c r="J560" s="302"/>
    </row>
    <row r="561">
      <c r="B561" s="308"/>
      <c r="C561" s="252"/>
      <c r="D561" s="822"/>
      <c r="F561" s="309"/>
      <c r="J561" s="302"/>
    </row>
    <row r="562">
      <c r="B562" s="308"/>
      <c r="C562" s="252"/>
      <c r="D562" s="822"/>
      <c r="F562" s="309"/>
      <c r="J562" s="302"/>
    </row>
    <row r="563">
      <c r="B563" s="308"/>
      <c r="C563" s="252"/>
      <c r="D563" s="822"/>
      <c r="F563" s="309"/>
      <c r="J563" s="302"/>
    </row>
    <row r="564">
      <c r="B564" s="308"/>
      <c r="C564" s="252"/>
      <c r="D564" s="822"/>
      <c r="F564" s="309"/>
      <c r="J564" s="302"/>
    </row>
    <row r="565">
      <c r="B565" s="308"/>
      <c r="C565" s="252"/>
      <c r="D565" s="822"/>
      <c r="F565" s="309"/>
      <c r="J565" s="302"/>
    </row>
    <row r="566">
      <c r="B566" s="308"/>
      <c r="C566" s="252"/>
      <c r="D566" s="822"/>
      <c r="F566" s="309"/>
      <c r="J566" s="302"/>
    </row>
    <row r="567">
      <c r="B567" s="308"/>
      <c r="C567" s="252"/>
      <c r="D567" s="822"/>
      <c r="F567" s="309"/>
      <c r="J567" s="302"/>
    </row>
    <row r="568">
      <c r="B568" s="308"/>
      <c r="C568" s="252"/>
      <c r="D568" s="822"/>
      <c r="F568" s="309"/>
      <c r="J568" s="302"/>
    </row>
    <row r="569">
      <c r="B569" s="308"/>
      <c r="C569" s="252"/>
      <c r="D569" s="822"/>
      <c r="F569" s="309"/>
      <c r="J569" s="302"/>
    </row>
    <row r="570">
      <c r="B570" s="308"/>
      <c r="C570" s="252"/>
      <c r="D570" s="822"/>
      <c r="F570" s="309"/>
      <c r="J570" s="302"/>
    </row>
    <row r="571">
      <c r="B571" s="308"/>
      <c r="C571" s="252"/>
      <c r="D571" s="822"/>
      <c r="F571" s="309"/>
      <c r="J571" s="302"/>
    </row>
    <row r="572">
      <c r="B572" s="308"/>
      <c r="C572" s="252"/>
      <c r="D572" s="822"/>
      <c r="F572" s="309"/>
      <c r="J572" s="302"/>
    </row>
    <row r="573">
      <c r="B573" s="308"/>
      <c r="C573" s="252"/>
      <c r="D573" s="822"/>
      <c r="F573" s="309"/>
      <c r="J573" s="302"/>
    </row>
    <row r="574">
      <c r="B574" s="308"/>
      <c r="C574" s="252"/>
      <c r="D574" s="822"/>
      <c r="F574" s="309"/>
      <c r="J574" s="302"/>
    </row>
    <row r="575">
      <c r="B575" s="308"/>
      <c r="C575" s="252"/>
      <c r="D575" s="822"/>
      <c r="F575" s="309"/>
      <c r="J575" s="302"/>
    </row>
    <row r="576">
      <c r="B576" s="308"/>
      <c r="C576" s="252"/>
      <c r="D576" s="822"/>
      <c r="F576" s="309"/>
      <c r="J576" s="302"/>
    </row>
    <row r="577">
      <c r="B577" s="308"/>
      <c r="C577" s="252"/>
      <c r="D577" s="822"/>
      <c r="F577" s="309"/>
      <c r="J577" s="302"/>
    </row>
    <row r="578">
      <c r="B578" s="308"/>
      <c r="C578" s="252"/>
      <c r="D578" s="822"/>
      <c r="F578" s="309"/>
      <c r="J578" s="302"/>
    </row>
    <row r="579">
      <c r="B579" s="308"/>
      <c r="C579" s="252"/>
      <c r="D579" s="822"/>
      <c r="F579" s="309"/>
      <c r="J579" s="302"/>
    </row>
    <row r="580">
      <c r="B580" s="308"/>
      <c r="C580" s="252"/>
      <c r="D580" s="822"/>
      <c r="F580" s="309"/>
      <c r="J580" s="302"/>
    </row>
    <row r="581">
      <c r="B581" s="308"/>
      <c r="C581" s="252"/>
      <c r="D581" s="822"/>
      <c r="F581" s="309"/>
      <c r="J581" s="302"/>
    </row>
    <row r="582">
      <c r="B582" s="308"/>
      <c r="C582" s="252"/>
      <c r="D582" s="822"/>
      <c r="F582" s="309"/>
      <c r="J582" s="302"/>
    </row>
    <row r="583">
      <c r="B583" s="308"/>
      <c r="C583" s="252"/>
      <c r="D583" s="822"/>
      <c r="F583" s="309"/>
      <c r="J583" s="302"/>
    </row>
    <row r="584">
      <c r="B584" s="308"/>
      <c r="C584" s="252"/>
      <c r="D584" s="822"/>
      <c r="F584" s="309"/>
      <c r="J584" s="302"/>
    </row>
    <row r="585">
      <c r="B585" s="308"/>
      <c r="C585" s="252"/>
      <c r="D585" s="822"/>
      <c r="F585" s="309"/>
      <c r="J585" s="302"/>
    </row>
    <row r="586">
      <c r="B586" s="308"/>
      <c r="C586" s="252"/>
      <c r="D586" s="822"/>
      <c r="F586" s="309"/>
      <c r="J586" s="302"/>
    </row>
    <row r="587">
      <c r="B587" s="308"/>
      <c r="C587" s="252"/>
      <c r="D587" s="822"/>
      <c r="F587" s="309"/>
      <c r="J587" s="302"/>
    </row>
    <row r="588">
      <c r="B588" s="308"/>
      <c r="C588" s="252"/>
      <c r="D588" s="822"/>
      <c r="F588" s="309"/>
      <c r="J588" s="302"/>
    </row>
    <row r="589">
      <c r="B589" s="308"/>
      <c r="C589" s="252"/>
      <c r="D589" s="822"/>
      <c r="F589" s="309"/>
      <c r="J589" s="302"/>
    </row>
    <row r="590">
      <c r="B590" s="308"/>
      <c r="C590" s="252"/>
      <c r="D590" s="822"/>
      <c r="F590" s="309"/>
      <c r="J590" s="302"/>
    </row>
    <row r="591">
      <c r="B591" s="308"/>
      <c r="C591" s="252"/>
      <c r="D591" s="822"/>
      <c r="F591" s="309"/>
      <c r="J591" s="302"/>
    </row>
    <row r="592">
      <c r="B592" s="308"/>
      <c r="C592" s="252"/>
      <c r="D592" s="822"/>
      <c r="F592" s="309"/>
      <c r="J592" s="302"/>
    </row>
    <row r="593">
      <c r="B593" s="308"/>
      <c r="C593" s="252"/>
      <c r="D593" s="822"/>
      <c r="F593" s="309"/>
      <c r="J593" s="302"/>
    </row>
    <row r="594">
      <c r="B594" s="308"/>
      <c r="C594" s="252"/>
      <c r="D594" s="822"/>
      <c r="F594" s="309"/>
      <c r="J594" s="302"/>
    </row>
    <row r="595">
      <c r="B595" s="308"/>
      <c r="C595" s="252"/>
      <c r="D595" s="822"/>
      <c r="F595" s="309"/>
      <c r="J595" s="302"/>
    </row>
    <row r="596">
      <c r="B596" s="308"/>
      <c r="C596" s="252"/>
      <c r="D596" s="822"/>
      <c r="F596" s="309"/>
      <c r="J596" s="302"/>
    </row>
    <row r="597">
      <c r="B597" s="308"/>
      <c r="C597" s="252"/>
      <c r="D597" s="822"/>
      <c r="F597" s="309"/>
      <c r="J597" s="302"/>
    </row>
    <row r="598">
      <c r="B598" s="308"/>
      <c r="C598" s="252"/>
      <c r="D598" s="822"/>
      <c r="F598" s="309"/>
      <c r="J598" s="302"/>
    </row>
    <row r="599">
      <c r="B599" s="308"/>
      <c r="C599" s="252"/>
      <c r="D599" s="822"/>
      <c r="F599" s="309"/>
      <c r="J599" s="302"/>
    </row>
    <row r="600">
      <c r="B600" s="308"/>
      <c r="C600" s="252"/>
      <c r="D600" s="822"/>
      <c r="F600" s="309"/>
      <c r="J600" s="302"/>
    </row>
    <row r="601">
      <c r="B601" s="308"/>
      <c r="C601" s="252"/>
      <c r="D601" s="822"/>
      <c r="F601" s="309"/>
      <c r="J601" s="302"/>
    </row>
    <row r="602">
      <c r="B602" s="308"/>
      <c r="C602" s="252"/>
      <c r="D602" s="822"/>
      <c r="F602" s="309"/>
      <c r="J602" s="302"/>
    </row>
    <row r="603">
      <c r="B603" s="308"/>
      <c r="C603" s="252"/>
      <c r="D603" s="822"/>
      <c r="F603" s="309"/>
      <c r="J603" s="302"/>
    </row>
    <row r="604">
      <c r="B604" s="308"/>
      <c r="C604" s="252"/>
      <c r="D604" s="822"/>
      <c r="F604" s="309"/>
      <c r="J604" s="302"/>
    </row>
    <row r="605">
      <c r="B605" s="308"/>
      <c r="C605" s="252"/>
      <c r="D605" s="822"/>
      <c r="F605" s="309"/>
      <c r="J605" s="302"/>
    </row>
    <row r="606">
      <c r="B606" s="308"/>
      <c r="C606" s="252"/>
      <c r="D606" s="822"/>
      <c r="F606" s="309"/>
      <c r="J606" s="302"/>
    </row>
    <row r="607">
      <c r="B607" s="308"/>
      <c r="C607" s="252"/>
      <c r="D607" s="822"/>
      <c r="F607" s="309"/>
      <c r="J607" s="302"/>
    </row>
    <row r="608">
      <c r="B608" s="308"/>
      <c r="C608" s="252"/>
      <c r="D608" s="822"/>
      <c r="F608" s="309"/>
      <c r="J608" s="302"/>
    </row>
    <row r="609">
      <c r="B609" s="308"/>
      <c r="C609" s="252"/>
      <c r="D609" s="822"/>
      <c r="F609" s="309"/>
      <c r="J609" s="302"/>
    </row>
    <row r="610">
      <c r="B610" s="308"/>
      <c r="C610" s="252"/>
      <c r="D610" s="822"/>
      <c r="F610" s="309"/>
      <c r="J610" s="302"/>
    </row>
    <row r="611">
      <c r="B611" s="308"/>
      <c r="C611" s="252"/>
      <c r="D611" s="822"/>
      <c r="F611" s="309"/>
      <c r="J611" s="302"/>
    </row>
    <row r="612">
      <c r="B612" s="308"/>
      <c r="C612" s="252"/>
      <c r="D612" s="822"/>
      <c r="F612" s="309"/>
      <c r="J612" s="302"/>
    </row>
    <row r="613">
      <c r="B613" s="308"/>
      <c r="C613" s="252"/>
      <c r="D613" s="822"/>
      <c r="F613" s="309"/>
      <c r="J613" s="302"/>
    </row>
    <row r="614">
      <c r="B614" s="308"/>
      <c r="C614" s="252"/>
      <c r="D614" s="822"/>
      <c r="F614" s="309"/>
      <c r="J614" s="302"/>
    </row>
    <row r="615">
      <c r="B615" s="308"/>
      <c r="C615" s="252"/>
      <c r="D615" s="822"/>
      <c r="F615" s="309"/>
      <c r="J615" s="302"/>
    </row>
    <row r="616">
      <c r="B616" s="308"/>
      <c r="C616" s="252"/>
      <c r="D616" s="822"/>
      <c r="F616" s="309"/>
      <c r="J616" s="302"/>
    </row>
    <row r="617">
      <c r="B617" s="308"/>
      <c r="C617" s="252"/>
      <c r="D617" s="822"/>
      <c r="F617" s="309"/>
      <c r="J617" s="302"/>
    </row>
    <row r="618">
      <c r="B618" s="308"/>
      <c r="C618" s="252"/>
      <c r="D618" s="822"/>
      <c r="F618" s="309"/>
      <c r="J618" s="302"/>
    </row>
    <row r="619">
      <c r="B619" s="308"/>
      <c r="C619" s="252"/>
      <c r="D619" s="822"/>
      <c r="F619" s="309"/>
      <c r="J619" s="302"/>
    </row>
    <row r="620">
      <c r="B620" s="308"/>
      <c r="C620" s="252"/>
      <c r="D620" s="822"/>
      <c r="F620" s="309"/>
      <c r="J620" s="302"/>
    </row>
    <row r="621">
      <c r="B621" s="308"/>
      <c r="C621" s="252"/>
      <c r="D621" s="822"/>
      <c r="F621" s="309"/>
      <c r="J621" s="302"/>
    </row>
    <row r="622">
      <c r="B622" s="308"/>
      <c r="C622" s="252"/>
      <c r="D622" s="822"/>
      <c r="F622" s="309"/>
      <c r="J622" s="302"/>
    </row>
    <row r="623">
      <c r="B623" s="308"/>
      <c r="C623" s="252"/>
      <c r="D623" s="822"/>
      <c r="F623" s="309"/>
      <c r="J623" s="302"/>
    </row>
    <row r="624">
      <c r="B624" s="308"/>
      <c r="C624" s="252"/>
      <c r="D624" s="822"/>
      <c r="F624" s="309"/>
      <c r="J624" s="302"/>
    </row>
    <row r="625">
      <c r="B625" s="308"/>
      <c r="C625" s="252"/>
      <c r="D625" s="822"/>
      <c r="F625" s="309"/>
      <c r="J625" s="302"/>
    </row>
    <row r="626">
      <c r="B626" s="308"/>
      <c r="C626" s="252"/>
      <c r="D626" s="822"/>
      <c r="F626" s="309"/>
      <c r="J626" s="302"/>
    </row>
    <row r="627">
      <c r="B627" s="308"/>
      <c r="C627" s="252"/>
      <c r="D627" s="822"/>
      <c r="F627" s="309"/>
      <c r="J627" s="302"/>
    </row>
    <row r="628">
      <c r="B628" s="308"/>
      <c r="C628" s="252"/>
      <c r="D628" s="822"/>
      <c r="F628" s="309"/>
      <c r="J628" s="302"/>
    </row>
    <row r="629">
      <c r="B629" s="308"/>
      <c r="C629" s="252"/>
      <c r="D629" s="822"/>
      <c r="F629" s="309"/>
      <c r="J629" s="302"/>
    </row>
    <row r="630">
      <c r="B630" s="308"/>
      <c r="C630" s="252"/>
      <c r="D630" s="822"/>
      <c r="F630" s="309"/>
      <c r="J630" s="302"/>
    </row>
    <row r="631">
      <c r="B631" s="308"/>
      <c r="C631" s="252"/>
      <c r="D631" s="822"/>
      <c r="F631" s="309"/>
      <c r="J631" s="302"/>
    </row>
    <row r="632">
      <c r="B632" s="308"/>
      <c r="C632" s="252"/>
      <c r="D632" s="822"/>
      <c r="F632" s="309"/>
      <c r="J632" s="302"/>
    </row>
    <row r="633">
      <c r="B633" s="308"/>
      <c r="C633" s="252"/>
      <c r="D633" s="822"/>
      <c r="F633" s="309"/>
      <c r="J633" s="302"/>
    </row>
    <row r="634">
      <c r="B634" s="308"/>
      <c r="C634" s="252"/>
      <c r="D634" s="822"/>
      <c r="F634" s="309"/>
      <c r="J634" s="302"/>
    </row>
    <row r="635">
      <c r="B635" s="308"/>
      <c r="C635" s="252"/>
      <c r="D635" s="822"/>
      <c r="F635" s="309"/>
      <c r="J635" s="302"/>
    </row>
    <row r="636">
      <c r="B636" s="308"/>
      <c r="C636" s="252"/>
      <c r="D636" s="822"/>
      <c r="F636" s="309"/>
      <c r="J636" s="302"/>
    </row>
    <row r="637">
      <c r="B637" s="308"/>
      <c r="C637" s="252"/>
      <c r="D637" s="822"/>
      <c r="F637" s="309"/>
      <c r="J637" s="302"/>
    </row>
    <row r="638">
      <c r="B638" s="308"/>
      <c r="C638" s="252"/>
      <c r="D638" s="822"/>
      <c r="F638" s="309"/>
      <c r="J638" s="302"/>
    </row>
    <row r="639">
      <c r="B639" s="308"/>
      <c r="C639" s="252"/>
      <c r="D639" s="822"/>
      <c r="F639" s="309"/>
      <c r="J639" s="302"/>
    </row>
    <row r="640">
      <c r="B640" s="308"/>
      <c r="C640" s="252"/>
      <c r="D640" s="822"/>
      <c r="F640" s="309"/>
      <c r="J640" s="302"/>
    </row>
    <row r="641">
      <c r="B641" s="308"/>
      <c r="C641" s="252"/>
      <c r="D641" s="822"/>
      <c r="F641" s="309"/>
      <c r="J641" s="302"/>
    </row>
    <row r="642">
      <c r="B642" s="308"/>
      <c r="C642" s="252"/>
      <c r="D642" s="822"/>
      <c r="F642" s="309"/>
      <c r="J642" s="302"/>
    </row>
    <row r="643">
      <c r="B643" s="308"/>
      <c r="C643" s="252"/>
      <c r="D643" s="822"/>
      <c r="F643" s="309"/>
      <c r="J643" s="302"/>
    </row>
    <row r="644">
      <c r="B644" s="308"/>
      <c r="C644" s="252"/>
      <c r="D644" s="822"/>
      <c r="F644" s="309"/>
      <c r="J644" s="302"/>
    </row>
    <row r="645">
      <c r="B645" s="308"/>
      <c r="C645" s="252"/>
      <c r="D645" s="822"/>
      <c r="F645" s="309"/>
      <c r="J645" s="302"/>
    </row>
    <row r="646">
      <c r="B646" s="308"/>
      <c r="C646" s="252"/>
      <c r="D646" s="822"/>
      <c r="F646" s="309"/>
      <c r="J646" s="302"/>
    </row>
    <row r="647">
      <c r="B647" s="308"/>
      <c r="C647" s="252"/>
      <c r="D647" s="822"/>
      <c r="F647" s="309"/>
      <c r="J647" s="302"/>
    </row>
    <row r="648">
      <c r="B648" s="308"/>
      <c r="C648" s="252"/>
      <c r="D648" s="822"/>
      <c r="F648" s="309"/>
      <c r="J648" s="302"/>
    </row>
    <row r="649">
      <c r="B649" s="308"/>
      <c r="C649" s="252"/>
      <c r="D649" s="822"/>
      <c r="F649" s="309"/>
      <c r="J649" s="302"/>
    </row>
    <row r="650">
      <c r="B650" s="308"/>
      <c r="C650" s="252"/>
      <c r="D650" s="822"/>
      <c r="F650" s="309"/>
      <c r="J650" s="302"/>
    </row>
    <row r="651">
      <c r="B651" s="308"/>
      <c r="C651" s="252"/>
      <c r="D651" s="822"/>
      <c r="F651" s="309"/>
      <c r="J651" s="302"/>
    </row>
    <row r="652">
      <c r="B652" s="308"/>
      <c r="C652" s="252"/>
      <c r="D652" s="822"/>
      <c r="F652" s="309"/>
      <c r="J652" s="302"/>
    </row>
    <row r="653">
      <c r="B653" s="308"/>
      <c r="C653" s="252"/>
      <c r="D653" s="822"/>
      <c r="F653" s="309"/>
      <c r="J653" s="302"/>
    </row>
    <row r="654">
      <c r="B654" s="308"/>
      <c r="C654" s="252"/>
      <c r="D654" s="822"/>
      <c r="F654" s="309"/>
      <c r="J654" s="302"/>
    </row>
    <row r="655">
      <c r="B655" s="308"/>
      <c r="C655" s="252"/>
      <c r="D655" s="822"/>
      <c r="F655" s="309"/>
      <c r="J655" s="302"/>
    </row>
    <row r="656">
      <c r="B656" s="308"/>
      <c r="C656" s="252"/>
      <c r="D656" s="822"/>
      <c r="F656" s="309"/>
      <c r="J656" s="302"/>
    </row>
    <row r="657">
      <c r="B657" s="308"/>
      <c r="C657" s="252"/>
      <c r="D657" s="822"/>
      <c r="F657" s="309"/>
      <c r="J657" s="302"/>
    </row>
    <row r="658">
      <c r="B658" s="308"/>
      <c r="C658" s="252"/>
      <c r="D658" s="822"/>
      <c r="F658" s="309"/>
      <c r="J658" s="302"/>
    </row>
    <row r="659">
      <c r="B659" s="308"/>
      <c r="C659" s="252"/>
      <c r="D659" s="822"/>
      <c r="F659" s="309"/>
      <c r="J659" s="302"/>
    </row>
    <row r="660">
      <c r="B660" s="308"/>
      <c r="C660" s="252"/>
      <c r="D660" s="822"/>
      <c r="F660" s="309"/>
      <c r="J660" s="302"/>
    </row>
    <row r="661">
      <c r="B661" s="308"/>
      <c r="C661" s="252"/>
      <c r="D661" s="822"/>
      <c r="F661" s="309"/>
      <c r="J661" s="302"/>
    </row>
    <row r="662">
      <c r="B662" s="308"/>
      <c r="C662" s="252"/>
      <c r="D662" s="822"/>
      <c r="F662" s="309"/>
      <c r="J662" s="302"/>
    </row>
    <row r="663">
      <c r="B663" s="308"/>
      <c r="C663" s="252"/>
      <c r="D663" s="822"/>
      <c r="F663" s="309"/>
      <c r="J663" s="302"/>
    </row>
    <row r="664">
      <c r="B664" s="308"/>
      <c r="C664" s="252"/>
      <c r="D664" s="822"/>
      <c r="F664" s="309"/>
      <c r="J664" s="302"/>
    </row>
    <row r="665">
      <c r="B665" s="308"/>
      <c r="C665" s="252"/>
      <c r="D665" s="822"/>
      <c r="F665" s="309"/>
      <c r="J665" s="302"/>
    </row>
    <row r="666">
      <c r="B666" s="308"/>
      <c r="C666" s="252"/>
      <c r="D666" s="822"/>
      <c r="F666" s="309"/>
      <c r="J666" s="302"/>
    </row>
    <row r="667">
      <c r="B667" s="308"/>
      <c r="C667" s="252"/>
      <c r="D667" s="822"/>
      <c r="F667" s="309"/>
      <c r="J667" s="302"/>
    </row>
    <row r="668">
      <c r="B668" s="308"/>
      <c r="C668" s="252"/>
      <c r="D668" s="822"/>
      <c r="F668" s="309"/>
      <c r="J668" s="302"/>
    </row>
    <row r="669">
      <c r="B669" s="308"/>
      <c r="C669" s="252"/>
      <c r="D669" s="822"/>
      <c r="F669" s="309"/>
      <c r="J669" s="302"/>
    </row>
    <row r="670">
      <c r="B670" s="308"/>
      <c r="C670" s="252"/>
      <c r="D670" s="822"/>
      <c r="F670" s="309"/>
      <c r="J670" s="302"/>
    </row>
    <row r="671">
      <c r="B671" s="308"/>
      <c r="C671" s="252"/>
      <c r="D671" s="822"/>
      <c r="F671" s="309"/>
      <c r="J671" s="302"/>
    </row>
    <row r="672">
      <c r="B672" s="308"/>
      <c r="C672" s="252"/>
      <c r="D672" s="822"/>
      <c r="F672" s="309"/>
      <c r="J672" s="302"/>
    </row>
    <row r="673">
      <c r="B673" s="308"/>
      <c r="C673" s="252"/>
      <c r="D673" s="822"/>
      <c r="F673" s="309"/>
      <c r="J673" s="302"/>
    </row>
    <row r="674">
      <c r="B674" s="308"/>
      <c r="C674" s="252"/>
      <c r="D674" s="822"/>
      <c r="F674" s="309"/>
      <c r="J674" s="302"/>
    </row>
    <row r="675">
      <c r="B675" s="308"/>
      <c r="C675" s="252"/>
      <c r="D675" s="822"/>
      <c r="F675" s="309"/>
      <c r="J675" s="302"/>
    </row>
    <row r="676">
      <c r="B676" s="308"/>
      <c r="C676" s="252"/>
      <c r="D676" s="822"/>
      <c r="F676" s="309"/>
      <c r="J676" s="302"/>
    </row>
    <row r="677">
      <c r="B677" s="308"/>
      <c r="C677" s="252"/>
      <c r="D677" s="822"/>
      <c r="F677" s="309"/>
      <c r="J677" s="302"/>
    </row>
    <row r="678">
      <c r="B678" s="308"/>
      <c r="C678" s="252"/>
      <c r="D678" s="822"/>
      <c r="F678" s="309"/>
      <c r="J678" s="302"/>
    </row>
    <row r="679">
      <c r="B679" s="308"/>
      <c r="C679" s="252"/>
      <c r="D679" s="822"/>
      <c r="F679" s="309"/>
      <c r="J679" s="302"/>
    </row>
    <row r="680">
      <c r="B680" s="308"/>
      <c r="C680" s="252"/>
      <c r="D680" s="822"/>
      <c r="F680" s="309"/>
      <c r="J680" s="302"/>
    </row>
    <row r="681">
      <c r="B681" s="308"/>
      <c r="C681" s="252"/>
      <c r="D681" s="822"/>
      <c r="F681" s="309"/>
      <c r="J681" s="302"/>
    </row>
    <row r="682">
      <c r="B682" s="308"/>
      <c r="C682" s="252"/>
      <c r="D682" s="822"/>
      <c r="F682" s="309"/>
      <c r="J682" s="302"/>
    </row>
    <row r="683">
      <c r="B683" s="308"/>
      <c r="C683" s="252"/>
      <c r="D683" s="822"/>
      <c r="F683" s="309"/>
      <c r="J683" s="302"/>
    </row>
    <row r="684">
      <c r="B684" s="308"/>
      <c r="C684" s="252"/>
      <c r="D684" s="822"/>
      <c r="F684" s="309"/>
      <c r="J684" s="302"/>
    </row>
    <row r="685">
      <c r="B685" s="308"/>
      <c r="C685" s="252"/>
      <c r="D685" s="822"/>
      <c r="F685" s="309"/>
      <c r="J685" s="302"/>
    </row>
    <row r="686">
      <c r="B686" s="308"/>
      <c r="C686" s="252"/>
      <c r="D686" s="822"/>
      <c r="F686" s="309"/>
      <c r="J686" s="302"/>
    </row>
    <row r="687">
      <c r="B687" s="308"/>
      <c r="C687" s="252"/>
      <c r="D687" s="822"/>
      <c r="F687" s="309"/>
      <c r="J687" s="302"/>
    </row>
    <row r="688">
      <c r="B688" s="308"/>
      <c r="C688" s="252"/>
      <c r="D688" s="822"/>
      <c r="F688" s="309"/>
      <c r="J688" s="302"/>
    </row>
    <row r="689">
      <c r="B689" s="308"/>
      <c r="C689" s="252"/>
      <c r="D689" s="822"/>
      <c r="F689" s="309"/>
      <c r="J689" s="302"/>
    </row>
    <row r="690">
      <c r="B690" s="308"/>
      <c r="C690" s="252"/>
      <c r="D690" s="822"/>
      <c r="F690" s="309"/>
      <c r="J690" s="302"/>
    </row>
    <row r="691">
      <c r="B691" s="308"/>
      <c r="C691" s="252"/>
      <c r="D691" s="822"/>
      <c r="F691" s="309"/>
      <c r="J691" s="302"/>
    </row>
    <row r="692">
      <c r="B692" s="308"/>
      <c r="C692" s="252"/>
      <c r="D692" s="822"/>
      <c r="F692" s="309"/>
      <c r="J692" s="302"/>
    </row>
    <row r="693">
      <c r="B693" s="308"/>
      <c r="C693" s="252"/>
      <c r="D693" s="822"/>
      <c r="F693" s="309"/>
      <c r="J693" s="302"/>
    </row>
    <row r="694">
      <c r="B694" s="308"/>
      <c r="C694" s="252"/>
      <c r="D694" s="822"/>
      <c r="F694" s="309"/>
      <c r="J694" s="302"/>
    </row>
    <row r="695">
      <c r="B695" s="308"/>
      <c r="C695" s="252"/>
      <c r="D695" s="822"/>
      <c r="F695" s="309"/>
      <c r="J695" s="302"/>
    </row>
    <row r="696">
      <c r="B696" s="308"/>
      <c r="C696" s="252"/>
      <c r="D696" s="822"/>
      <c r="F696" s="309"/>
      <c r="J696" s="302"/>
    </row>
    <row r="697">
      <c r="B697" s="308"/>
      <c r="C697" s="252"/>
      <c r="D697" s="822"/>
      <c r="F697" s="309"/>
      <c r="J697" s="302"/>
    </row>
    <row r="698">
      <c r="B698" s="308"/>
      <c r="C698" s="252"/>
      <c r="D698" s="822"/>
      <c r="F698" s="309"/>
      <c r="J698" s="302"/>
    </row>
    <row r="699">
      <c r="B699" s="308"/>
      <c r="C699" s="252"/>
      <c r="D699" s="822"/>
      <c r="F699" s="309"/>
      <c r="J699" s="302"/>
    </row>
    <row r="700">
      <c r="B700" s="308"/>
      <c r="C700" s="252"/>
      <c r="D700" s="822"/>
      <c r="F700" s="309"/>
      <c r="J700" s="302"/>
    </row>
    <row r="701">
      <c r="B701" s="308"/>
      <c r="C701" s="252"/>
      <c r="D701" s="822"/>
      <c r="F701" s="309"/>
      <c r="J701" s="302"/>
    </row>
    <row r="702">
      <c r="B702" s="308"/>
      <c r="C702" s="252"/>
      <c r="D702" s="822"/>
      <c r="F702" s="309"/>
      <c r="J702" s="302"/>
    </row>
    <row r="703">
      <c r="B703" s="308"/>
      <c r="C703" s="252"/>
      <c r="D703" s="822"/>
      <c r="F703" s="309"/>
      <c r="J703" s="302"/>
    </row>
    <row r="704">
      <c r="B704" s="308"/>
      <c r="C704" s="252"/>
      <c r="D704" s="822"/>
      <c r="F704" s="309"/>
      <c r="J704" s="302"/>
    </row>
    <row r="705">
      <c r="B705" s="308"/>
      <c r="C705" s="252"/>
      <c r="D705" s="822"/>
      <c r="F705" s="309"/>
      <c r="J705" s="302"/>
    </row>
    <row r="706">
      <c r="B706" s="308"/>
      <c r="C706" s="252"/>
      <c r="D706" s="822"/>
      <c r="F706" s="309"/>
      <c r="J706" s="302"/>
    </row>
    <row r="707">
      <c r="B707" s="308"/>
      <c r="C707" s="252"/>
      <c r="D707" s="822"/>
      <c r="F707" s="309"/>
      <c r="J707" s="302"/>
    </row>
    <row r="708">
      <c r="B708" s="308"/>
      <c r="C708" s="252"/>
      <c r="D708" s="822"/>
      <c r="F708" s="309"/>
      <c r="J708" s="302"/>
    </row>
    <row r="709">
      <c r="B709" s="308"/>
      <c r="C709" s="252"/>
      <c r="D709" s="822"/>
      <c r="F709" s="309"/>
      <c r="J709" s="302"/>
    </row>
    <row r="710">
      <c r="B710" s="308"/>
      <c r="C710" s="252"/>
      <c r="D710" s="822"/>
      <c r="F710" s="309"/>
      <c r="J710" s="302"/>
    </row>
    <row r="711">
      <c r="B711" s="308"/>
      <c r="C711" s="252"/>
      <c r="D711" s="822"/>
      <c r="F711" s="309"/>
      <c r="J711" s="302"/>
    </row>
    <row r="712">
      <c r="B712" s="308"/>
      <c r="C712" s="252"/>
      <c r="D712" s="822"/>
      <c r="F712" s="309"/>
      <c r="J712" s="302"/>
    </row>
    <row r="713">
      <c r="B713" s="308"/>
      <c r="C713" s="252"/>
      <c r="D713" s="822"/>
      <c r="F713" s="309"/>
      <c r="J713" s="302"/>
    </row>
    <row r="714">
      <c r="B714" s="308"/>
      <c r="C714" s="252"/>
      <c r="D714" s="822"/>
      <c r="F714" s="309"/>
      <c r="J714" s="302"/>
    </row>
    <row r="715">
      <c r="B715" s="308"/>
      <c r="C715" s="252"/>
      <c r="D715" s="822"/>
      <c r="F715" s="309"/>
      <c r="J715" s="302"/>
    </row>
    <row r="716">
      <c r="B716" s="308"/>
      <c r="C716" s="252"/>
      <c r="D716" s="822"/>
      <c r="F716" s="309"/>
      <c r="J716" s="302"/>
    </row>
    <row r="717">
      <c r="B717" s="308"/>
      <c r="C717" s="252"/>
      <c r="D717" s="822"/>
      <c r="F717" s="309"/>
      <c r="J717" s="302"/>
    </row>
    <row r="718">
      <c r="B718" s="308"/>
      <c r="C718" s="252"/>
      <c r="D718" s="822"/>
      <c r="F718" s="309"/>
      <c r="J718" s="302"/>
    </row>
    <row r="719">
      <c r="B719" s="308"/>
      <c r="C719" s="252"/>
      <c r="D719" s="822"/>
      <c r="F719" s="309"/>
      <c r="J719" s="302"/>
    </row>
    <row r="720">
      <c r="B720" s="308"/>
      <c r="C720" s="252"/>
      <c r="D720" s="822"/>
      <c r="F720" s="309"/>
      <c r="J720" s="302"/>
    </row>
    <row r="721">
      <c r="B721" s="308"/>
      <c r="C721" s="252"/>
      <c r="D721" s="822"/>
      <c r="F721" s="309"/>
      <c r="J721" s="302"/>
    </row>
    <row r="722">
      <c r="B722" s="308"/>
      <c r="C722" s="252"/>
      <c r="D722" s="822"/>
      <c r="F722" s="309"/>
      <c r="J722" s="302"/>
    </row>
    <row r="723">
      <c r="B723" s="308"/>
      <c r="C723" s="252"/>
      <c r="D723" s="822"/>
      <c r="F723" s="309"/>
      <c r="J723" s="302"/>
    </row>
    <row r="724">
      <c r="B724" s="308"/>
      <c r="C724" s="252"/>
      <c r="D724" s="822"/>
      <c r="F724" s="309"/>
      <c r="J724" s="302"/>
    </row>
    <row r="725">
      <c r="B725" s="308"/>
      <c r="C725" s="252"/>
      <c r="D725" s="822"/>
      <c r="F725" s="309"/>
      <c r="J725" s="302"/>
    </row>
    <row r="726">
      <c r="B726" s="308"/>
      <c r="C726" s="252"/>
      <c r="D726" s="822"/>
      <c r="F726" s="309"/>
      <c r="J726" s="302"/>
    </row>
    <row r="727">
      <c r="B727" s="308"/>
      <c r="C727" s="252"/>
      <c r="D727" s="822"/>
      <c r="F727" s="309"/>
      <c r="J727" s="302"/>
    </row>
    <row r="728">
      <c r="B728" s="308"/>
      <c r="C728" s="252"/>
      <c r="D728" s="822"/>
      <c r="F728" s="309"/>
      <c r="J728" s="302"/>
    </row>
    <row r="729">
      <c r="B729" s="308"/>
      <c r="C729" s="252"/>
      <c r="D729" s="822"/>
      <c r="F729" s="309"/>
      <c r="J729" s="302"/>
    </row>
    <row r="730">
      <c r="B730" s="308"/>
      <c r="C730" s="252"/>
      <c r="D730" s="822"/>
      <c r="F730" s="309"/>
      <c r="J730" s="302"/>
    </row>
    <row r="731">
      <c r="B731" s="308"/>
      <c r="C731" s="252"/>
      <c r="D731" s="822"/>
      <c r="F731" s="309"/>
      <c r="J731" s="302"/>
    </row>
    <row r="732">
      <c r="B732" s="308"/>
      <c r="C732" s="252"/>
      <c r="D732" s="822"/>
      <c r="F732" s="309"/>
      <c r="J732" s="302"/>
    </row>
    <row r="733">
      <c r="B733" s="308"/>
      <c r="C733" s="252"/>
      <c r="D733" s="822"/>
      <c r="F733" s="309"/>
      <c r="J733" s="302"/>
    </row>
    <row r="734">
      <c r="B734" s="308"/>
      <c r="C734" s="252"/>
      <c r="D734" s="822"/>
      <c r="F734" s="309"/>
      <c r="J734" s="302"/>
    </row>
    <row r="735">
      <c r="B735" s="308"/>
      <c r="C735" s="252"/>
      <c r="D735" s="822"/>
      <c r="F735" s="309"/>
      <c r="J735" s="302"/>
    </row>
    <row r="736">
      <c r="B736" s="308"/>
      <c r="C736" s="252"/>
      <c r="D736" s="822"/>
      <c r="F736" s="309"/>
      <c r="J736" s="302"/>
    </row>
    <row r="737">
      <c r="B737" s="308"/>
      <c r="C737" s="252"/>
      <c r="D737" s="822"/>
      <c r="F737" s="309"/>
      <c r="J737" s="302"/>
    </row>
    <row r="738">
      <c r="B738" s="308"/>
      <c r="C738" s="252"/>
      <c r="D738" s="822"/>
      <c r="F738" s="309"/>
      <c r="J738" s="302"/>
    </row>
    <row r="739">
      <c r="B739" s="308"/>
      <c r="C739" s="252"/>
      <c r="D739" s="822"/>
      <c r="F739" s="309"/>
      <c r="J739" s="302"/>
    </row>
    <row r="740">
      <c r="B740" s="308"/>
      <c r="C740" s="252"/>
      <c r="D740" s="822"/>
      <c r="F740" s="309"/>
      <c r="J740" s="302"/>
    </row>
    <row r="741">
      <c r="B741" s="308"/>
      <c r="C741" s="252"/>
      <c r="D741" s="822"/>
      <c r="F741" s="309"/>
      <c r="J741" s="302"/>
    </row>
  </sheetData>
  <mergeCells count="32">
    <mergeCell ref="G1:I1"/>
    <mergeCell ref="A2:A11"/>
    <mergeCell ref="A12:A24"/>
    <mergeCell ref="A25:A37"/>
    <mergeCell ref="A38:A49"/>
    <mergeCell ref="A52:A61"/>
    <mergeCell ref="A62:A75"/>
    <mergeCell ref="A76:A87"/>
    <mergeCell ref="A88:A103"/>
    <mergeCell ref="A104:A117"/>
    <mergeCell ref="A118:A135"/>
    <mergeCell ref="A136:A150"/>
    <mergeCell ref="A151:A165"/>
    <mergeCell ref="A166:A175"/>
    <mergeCell ref="A176:A190"/>
    <mergeCell ref="A191:A206"/>
    <mergeCell ref="A207:A221"/>
    <mergeCell ref="A222:A233"/>
    <mergeCell ref="A234:A248"/>
    <mergeCell ref="A249:A262"/>
    <mergeCell ref="A263:A276"/>
    <mergeCell ref="A383:A393"/>
    <mergeCell ref="A394:A405"/>
    <mergeCell ref="A413:A422"/>
    <mergeCell ref="A423:A432"/>
    <mergeCell ref="A277:A289"/>
    <mergeCell ref="A290:A303"/>
    <mergeCell ref="A304:A318"/>
    <mergeCell ref="A319:A333"/>
    <mergeCell ref="A334:A346"/>
    <mergeCell ref="A347:A364"/>
    <mergeCell ref="A365:A38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3" t="s">
        <v>2782</v>
      </c>
    </row>
    <row r="2">
      <c r="A2" s="816" t="s">
        <v>3046</v>
      </c>
      <c r="B2" s="247"/>
      <c r="C2" s="263" t="s">
        <v>3047</v>
      </c>
      <c r="D2" s="824"/>
      <c r="E2" s="242"/>
      <c r="F2" s="243"/>
      <c r="G2" s="244" t="s">
        <v>2637</v>
      </c>
      <c r="H2" s="244"/>
      <c r="I2" s="307"/>
    </row>
    <row r="3">
      <c r="A3" s="265"/>
      <c r="B3" s="268"/>
      <c r="C3" s="248"/>
      <c r="D3" s="331"/>
      <c r="F3" s="250">
        <v>1491.0</v>
      </c>
      <c r="G3" s="2" t="s">
        <v>3048</v>
      </c>
      <c r="I3" s="251"/>
    </row>
    <row r="4">
      <c r="A4" s="265"/>
      <c r="B4" s="247"/>
      <c r="C4" s="252"/>
      <c r="D4" s="331"/>
      <c r="F4" s="250">
        <v>6460.0</v>
      </c>
      <c r="G4" s="2" t="s">
        <v>3049</v>
      </c>
      <c r="I4" s="251"/>
    </row>
    <row r="5">
      <c r="A5" s="265"/>
      <c r="B5" s="247"/>
      <c r="C5" s="252"/>
      <c r="D5" s="822"/>
      <c r="F5" s="250">
        <v>972.0</v>
      </c>
      <c r="G5" s="2" t="s">
        <v>3050</v>
      </c>
      <c r="I5" s="251"/>
    </row>
    <row r="6">
      <c r="A6" s="265"/>
      <c r="B6" s="247"/>
      <c r="C6" s="248"/>
      <c r="D6" s="331"/>
      <c r="F6" s="250">
        <v>140.0</v>
      </c>
      <c r="G6" s="2" t="s">
        <v>3021</v>
      </c>
      <c r="H6" s="838"/>
      <c r="I6" s="251"/>
    </row>
    <row r="7">
      <c r="A7" s="265"/>
      <c r="B7" s="247"/>
      <c r="C7" s="252"/>
      <c r="D7" s="822"/>
      <c r="F7" s="250">
        <v>1000.0</v>
      </c>
      <c r="G7" s="2" t="s">
        <v>3032</v>
      </c>
      <c r="I7" s="251"/>
    </row>
    <row r="8">
      <c r="A8" s="265"/>
      <c r="B8" s="268"/>
      <c r="C8" s="252"/>
      <c r="D8" s="822"/>
      <c r="F8" s="250">
        <v>770.0</v>
      </c>
      <c r="G8" s="2" t="s">
        <v>3048</v>
      </c>
      <c r="I8" s="251"/>
    </row>
    <row r="9">
      <c r="A9" s="265"/>
      <c r="B9" s="268"/>
      <c r="C9" s="252"/>
      <c r="D9" s="822"/>
      <c r="F9" s="250">
        <v>2000.0</v>
      </c>
      <c r="G9" s="2" t="s">
        <v>95</v>
      </c>
      <c r="I9" s="251"/>
    </row>
    <row r="10">
      <c r="A10" s="265"/>
      <c r="B10" s="268"/>
      <c r="C10" s="252"/>
      <c r="D10" s="822"/>
      <c r="F10" s="250"/>
      <c r="I10" s="251"/>
    </row>
    <row r="11">
      <c r="A11" s="270"/>
      <c r="B11" s="271"/>
      <c r="C11" s="272"/>
      <c r="D11" s="823"/>
      <c r="E11" s="18"/>
      <c r="F11" s="274"/>
      <c r="G11" s="18"/>
      <c r="H11" s="18"/>
      <c r="I11" s="261"/>
    </row>
    <row r="12">
      <c r="A12" s="816" t="s">
        <v>458</v>
      </c>
      <c r="B12" s="247"/>
      <c r="C12" s="263"/>
      <c r="D12" s="821"/>
      <c r="E12" s="242"/>
      <c r="F12" s="243">
        <v>599.0</v>
      </c>
      <c r="G12" s="244" t="s">
        <v>97</v>
      </c>
      <c r="H12" s="244"/>
      <c r="I12" s="307"/>
    </row>
    <row r="13">
      <c r="A13" s="265"/>
      <c r="B13" s="247"/>
      <c r="C13" s="248"/>
      <c r="D13" s="822"/>
      <c r="F13" s="250">
        <v>12300.0</v>
      </c>
      <c r="G13" s="2" t="s">
        <v>87</v>
      </c>
      <c r="I13" s="251"/>
    </row>
    <row r="14">
      <c r="A14" s="265"/>
      <c r="B14" s="247">
        <v>5156.66</v>
      </c>
      <c r="C14" s="248"/>
      <c r="D14" s="331"/>
      <c r="F14" s="250"/>
      <c r="G14" s="2" t="s">
        <v>74</v>
      </c>
      <c r="I14" s="251"/>
    </row>
    <row r="15">
      <c r="A15" s="265"/>
      <c r="B15" s="247">
        <v>3469.57</v>
      </c>
      <c r="C15" s="252"/>
      <c r="D15" s="331"/>
      <c r="F15" s="250"/>
      <c r="G15" s="2" t="s">
        <v>73</v>
      </c>
      <c r="I15" s="251"/>
    </row>
    <row r="16">
      <c r="A16" s="265"/>
      <c r="B16" s="268"/>
      <c r="C16" s="252"/>
      <c r="D16" s="331"/>
      <c r="F16" s="250">
        <v>5680.0</v>
      </c>
      <c r="G16" s="2" t="s">
        <v>76</v>
      </c>
      <c r="I16" s="251"/>
    </row>
    <row r="17">
      <c r="A17" s="265"/>
      <c r="B17" s="247"/>
      <c r="C17" s="248"/>
      <c r="D17" s="331"/>
      <c r="F17" s="250">
        <v>1332.0</v>
      </c>
      <c r="G17" s="2" t="s">
        <v>3051</v>
      </c>
      <c r="I17" s="251"/>
    </row>
    <row r="18">
      <c r="A18" s="265"/>
      <c r="B18" s="247"/>
      <c r="C18" s="252"/>
      <c r="D18" s="822"/>
      <c r="F18" s="250"/>
      <c r="G18" s="2" t="s">
        <v>97</v>
      </c>
      <c r="I18" s="251"/>
    </row>
    <row r="19">
      <c r="A19" s="265"/>
      <c r="B19" s="247"/>
      <c r="C19" s="252"/>
      <c r="D19" s="331"/>
      <c r="F19" s="250">
        <v>15000.0</v>
      </c>
      <c r="G19" s="2" t="s">
        <v>3052</v>
      </c>
      <c r="I19" s="251"/>
    </row>
    <row r="20">
      <c r="A20" s="265"/>
      <c r="B20" s="247">
        <v>2606.65</v>
      </c>
      <c r="C20" s="252"/>
      <c r="D20" s="822"/>
      <c r="F20" s="250"/>
      <c r="G20" s="839" t="s">
        <v>2621</v>
      </c>
      <c r="I20" s="251"/>
    </row>
    <row r="21">
      <c r="A21" s="265"/>
      <c r="B21" s="278"/>
      <c r="C21" s="252"/>
      <c r="D21" s="822"/>
      <c r="F21" s="250">
        <v>250.0</v>
      </c>
      <c r="G21" s="839" t="s">
        <v>344</v>
      </c>
      <c r="I21" s="251"/>
    </row>
    <row r="22">
      <c r="A22" s="265"/>
      <c r="B22" s="278"/>
      <c r="C22" s="252"/>
      <c r="D22" s="822"/>
      <c r="F22" s="250">
        <v>1340.0</v>
      </c>
      <c r="G22" s="2" t="s">
        <v>3053</v>
      </c>
      <c r="I22" s="251"/>
    </row>
    <row r="23">
      <c r="A23" s="265"/>
      <c r="B23" s="278"/>
      <c r="C23" s="252"/>
      <c r="D23" s="822"/>
      <c r="F23" s="250">
        <v>320.0</v>
      </c>
      <c r="G23" s="2" t="s">
        <v>3021</v>
      </c>
      <c r="I23" s="251"/>
    </row>
    <row r="24">
      <c r="A24" s="270"/>
      <c r="B24" s="271"/>
      <c r="C24" s="272"/>
      <c r="D24" s="823"/>
      <c r="E24" s="18"/>
      <c r="F24" s="274"/>
      <c r="G24" s="18"/>
      <c r="H24" s="18"/>
      <c r="I24" s="261"/>
    </row>
    <row r="25">
      <c r="A25" s="262" t="s">
        <v>461</v>
      </c>
      <c r="B25" s="239"/>
      <c r="C25" s="263">
        <v>15691.69</v>
      </c>
      <c r="D25" s="824"/>
      <c r="E25" s="242"/>
      <c r="F25" s="250"/>
      <c r="G25" s="244" t="s">
        <v>84</v>
      </c>
      <c r="H25" s="244"/>
      <c r="I25" s="307"/>
    </row>
    <row r="26">
      <c r="A26" s="265"/>
      <c r="B26" s="247"/>
      <c r="C26" s="248"/>
      <c r="D26" s="822"/>
      <c r="F26" s="266">
        <v>80.0</v>
      </c>
      <c r="G26" s="2" t="s">
        <v>137</v>
      </c>
      <c r="I26" s="251"/>
    </row>
    <row r="27">
      <c r="A27" s="265"/>
      <c r="B27" s="247">
        <v>1560.0</v>
      </c>
      <c r="C27" s="248"/>
      <c r="D27" s="822"/>
      <c r="F27" s="250"/>
      <c r="G27" s="2" t="s">
        <v>572</v>
      </c>
      <c r="I27" s="251"/>
    </row>
    <row r="28">
      <c r="A28" s="265"/>
      <c r="B28" s="247"/>
      <c r="C28" s="252"/>
      <c r="D28" s="822"/>
      <c r="F28" s="250"/>
      <c r="I28" s="251"/>
    </row>
    <row r="29">
      <c r="A29" s="265"/>
      <c r="B29" s="268"/>
      <c r="C29" s="248"/>
      <c r="D29" s="822"/>
      <c r="F29" s="250"/>
      <c r="I29" s="251"/>
    </row>
    <row r="30">
      <c r="A30" s="265"/>
      <c r="B30" s="247"/>
      <c r="C30" s="252"/>
      <c r="D30" s="822"/>
      <c r="F30" s="250"/>
      <c r="I30" s="251"/>
    </row>
    <row r="31">
      <c r="A31" s="265"/>
      <c r="B31" s="268"/>
      <c r="C31" s="252"/>
      <c r="D31" s="822"/>
      <c r="F31" s="250"/>
      <c r="I31" s="251"/>
    </row>
    <row r="32">
      <c r="A32" s="265"/>
      <c r="B32" s="247"/>
      <c r="C32" s="252"/>
      <c r="D32" s="331"/>
      <c r="F32" s="250"/>
      <c r="I32" s="267"/>
    </row>
    <row r="33">
      <c r="A33" s="265"/>
      <c r="B33" s="268"/>
      <c r="C33" s="252"/>
      <c r="D33" s="822"/>
      <c r="F33" s="250"/>
      <c r="I33" s="267"/>
    </row>
    <row r="34">
      <c r="A34" s="265"/>
      <c r="B34" s="247"/>
      <c r="C34" s="252"/>
      <c r="D34" s="822"/>
      <c r="F34" s="250"/>
      <c r="I34" s="251"/>
    </row>
    <row r="35">
      <c r="A35" s="265"/>
      <c r="B35" s="268"/>
      <c r="C35" s="252"/>
      <c r="D35" s="822"/>
      <c r="F35" s="250"/>
      <c r="I35" s="251"/>
    </row>
    <row r="36">
      <c r="A36" s="265"/>
      <c r="B36" s="268"/>
      <c r="C36" s="252"/>
      <c r="D36" s="822"/>
      <c r="F36" s="250"/>
      <c r="I36" s="251"/>
    </row>
    <row r="37">
      <c r="A37" s="270"/>
      <c r="B37" s="271"/>
      <c r="C37" s="272"/>
      <c r="D37" s="823"/>
      <c r="E37" s="18"/>
      <c r="F37" s="274"/>
      <c r="G37" s="18"/>
      <c r="H37" s="18"/>
      <c r="I37" s="261"/>
    </row>
    <row r="38">
      <c r="A38" s="262" t="s">
        <v>465</v>
      </c>
      <c r="B38" s="239"/>
      <c r="C38" s="240"/>
      <c r="D38" s="824"/>
      <c r="E38" s="242"/>
      <c r="F38" s="243">
        <v>250.0</v>
      </c>
      <c r="G38" s="244" t="s">
        <v>3054</v>
      </c>
      <c r="H38" s="244"/>
      <c r="I38" s="307"/>
    </row>
    <row r="39">
      <c r="A39" s="265"/>
      <c r="B39" s="247"/>
      <c r="C39" s="252"/>
      <c r="D39" s="822"/>
      <c r="F39" s="250">
        <v>2100.0</v>
      </c>
      <c r="G39" s="2" t="s">
        <v>547</v>
      </c>
      <c r="I39" s="251"/>
    </row>
    <row r="40">
      <c r="A40" s="265"/>
      <c r="B40" s="268"/>
      <c r="C40" s="248"/>
      <c r="D40" s="331">
        <v>3558.6</v>
      </c>
      <c r="F40" s="250"/>
      <c r="G40" s="2" t="s">
        <v>91</v>
      </c>
      <c r="I40" s="251"/>
    </row>
    <row r="41">
      <c r="A41" s="265"/>
      <c r="B41" s="247">
        <v>3650.0</v>
      </c>
      <c r="C41" s="252"/>
      <c r="D41" s="822"/>
      <c r="F41" s="250"/>
      <c r="G41" s="2" t="s">
        <v>79</v>
      </c>
      <c r="I41" s="251"/>
    </row>
    <row r="42">
      <c r="A42" s="265"/>
      <c r="B42" s="247"/>
      <c r="C42" s="252"/>
      <c r="D42" s="331"/>
      <c r="F42" s="250">
        <v>1260.0</v>
      </c>
      <c r="G42" s="2" t="s">
        <v>215</v>
      </c>
      <c r="I42" s="251"/>
    </row>
    <row r="43">
      <c r="A43" s="265"/>
      <c r="B43" s="247">
        <v>6590.0</v>
      </c>
      <c r="C43" s="252"/>
      <c r="D43" s="822"/>
      <c r="F43" s="250"/>
      <c r="G43" s="2" t="s">
        <v>99</v>
      </c>
      <c r="I43" s="267"/>
    </row>
    <row r="44">
      <c r="A44" s="265"/>
      <c r="B44" s="268"/>
      <c r="C44" s="248"/>
      <c r="D44" s="822"/>
      <c r="F44" s="250">
        <v>950.0</v>
      </c>
      <c r="G44" s="2" t="s">
        <v>255</v>
      </c>
      <c r="I44" s="251"/>
    </row>
    <row r="45">
      <c r="A45" s="265"/>
      <c r="B45" s="247"/>
      <c r="C45" s="252"/>
      <c r="D45" s="822"/>
      <c r="F45" s="250"/>
      <c r="I45" s="251"/>
    </row>
    <row r="46">
      <c r="A46" s="265"/>
      <c r="B46" s="268"/>
      <c r="C46" s="248"/>
      <c r="D46" s="822"/>
      <c r="F46" s="250"/>
      <c r="I46" s="251"/>
    </row>
    <row r="47">
      <c r="A47" s="265"/>
      <c r="B47" s="278"/>
      <c r="C47" s="252"/>
      <c r="D47" s="822"/>
      <c r="F47" s="250"/>
      <c r="I47" s="251"/>
    </row>
    <row r="48">
      <c r="A48" s="265"/>
      <c r="B48" s="278"/>
      <c r="C48" s="252"/>
      <c r="D48" s="822"/>
      <c r="F48" s="250"/>
      <c r="I48" s="251"/>
    </row>
    <row r="49">
      <c r="A49" s="270"/>
      <c r="B49" s="271"/>
      <c r="C49" s="272"/>
      <c r="D49" s="823"/>
      <c r="E49" s="18"/>
      <c r="F49" s="259"/>
      <c r="G49" s="293"/>
      <c r="H49" s="18"/>
      <c r="I49" s="261"/>
    </row>
    <row r="50">
      <c r="A50" s="437"/>
      <c r="B50" s="278"/>
      <c r="C50" s="252"/>
      <c r="D50" s="822"/>
      <c r="F50" s="250"/>
      <c r="I50" s="251"/>
    </row>
    <row r="51">
      <c r="A51" s="437"/>
      <c r="B51" s="278"/>
      <c r="C51" s="252"/>
      <c r="D51" s="822"/>
      <c r="F51" s="250"/>
      <c r="I51" s="251"/>
    </row>
    <row r="52">
      <c r="A52" s="262" t="s">
        <v>466</v>
      </c>
      <c r="B52" s="239">
        <v>2429.0</v>
      </c>
      <c r="C52" s="263"/>
      <c r="D52" s="824"/>
      <c r="E52" s="242"/>
      <c r="F52" s="243"/>
      <c r="G52" s="244" t="s">
        <v>58</v>
      </c>
      <c r="H52" s="244"/>
      <c r="I52" s="307"/>
    </row>
    <row r="53">
      <c r="A53" s="265"/>
      <c r="B53" s="247"/>
      <c r="C53" s="252"/>
      <c r="D53" s="822"/>
      <c r="F53" s="250">
        <f>225+119</f>
        <v>344</v>
      </c>
      <c r="G53" s="2" t="s">
        <v>97</v>
      </c>
      <c r="I53" s="251"/>
    </row>
    <row r="54">
      <c r="A54" s="265"/>
      <c r="B54" s="247"/>
      <c r="C54" s="248"/>
      <c r="D54" s="331"/>
      <c r="F54" s="250">
        <v>1150.0</v>
      </c>
      <c r="G54" s="2" t="s">
        <v>3055</v>
      </c>
      <c r="I54" s="251"/>
    </row>
    <row r="55">
      <c r="A55" s="265"/>
      <c r="B55" s="247"/>
      <c r="C55" s="252"/>
      <c r="D55" s="822"/>
      <c r="F55" s="250">
        <v>3497.0</v>
      </c>
      <c r="G55" s="2" t="s">
        <v>114</v>
      </c>
      <c r="I55" s="251"/>
    </row>
    <row r="56">
      <c r="A56" s="265"/>
      <c r="B56" s="247"/>
      <c r="C56" s="252"/>
      <c r="D56" s="331"/>
      <c r="F56" s="250"/>
      <c r="I56" s="267"/>
    </row>
    <row r="57">
      <c r="A57" s="265"/>
      <c r="B57" s="247"/>
      <c r="C57" s="252"/>
      <c r="D57" s="822"/>
      <c r="F57" s="250"/>
      <c r="I57" s="251"/>
    </row>
    <row r="58">
      <c r="A58" s="265"/>
      <c r="B58" s="247"/>
      <c r="C58" s="248"/>
      <c r="D58" s="822"/>
      <c r="F58" s="250"/>
      <c r="I58" s="251"/>
    </row>
    <row r="59">
      <c r="A59" s="265"/>
      <c r="B59" s="268"/>
      <c r="C59" s="252"/>
      <c r="D59" s="822"/>
      <c r="F59" s="250"/>
      <c r="I59" s="251"/>
    </row>
    <row r="60">
      <c r="A60" s="265"/>
      <c r="B60" s="268"/>
      <c r="C60" s="252"/>
      <c r="D60" s="822"/>
      <c r="F60" s="250"/>
      <c r="I60" s="251"/>
    </row>
    <row r="61">
      <c r="A61" s="270"/>
      <c r="B61" s="271"/>
      <c r="C61" s="272"/>
      <c r="D61" s="823"/>
      <c r="E61" s="18"/>
      <c r="F61" s="274"/>
      <c r="G61" s="18"/>
      <c r="H61" s="18"/>
      <c r="I61" s="261"/>
    </row>
    <row r="62">
      <c r="A62" s="262" t="s">
        <v>3056</v>
      </c>
      <c r="B62" s="306"/>
      <c r="C62" s="263"/>
      <c r="D62" s="824"/>
      <c r="E62" s="242"/>
      <c r="F62" s="243">
        <v>6150.0</v>
      </c>
      <c r="G62" s="244" t="s">
        <v>87</v>
      </c>
      <c r="H62" s="244"/>
      <c r="I62" s="307"/>
    </row>
    <row r="63">
      <c r="A63" s="265"/>
      <c r="B63" s="247"/>
      <c r="C63" s="252"/>
      <c r="D63" s="822"/>
      <c r="F63" s="250">
        <f>120+190</f>
        <v>310</v>
      </c>
      <c r="G63" s="2" t="s">
        <v>97</v>
      </c>
      <c r="I63" s="251"/>
    </row>
    <row r="64">
      <c r="A64" s="265"/>
      <c r="B64" s="247"/>
      <c r="C64" s="252"/>
      <c r="D64" s="822"/>
      <c r="F64" s="250">
        <v>5250.0</v>
      </c>
      <c r="G64" s="2" t="s">
        <v>2760</v>
      </c>
      <c r="I64" s="251"/>
    </row>
    <row r="65">
      <c r="A65" s="265"/>
      <c r="B65" s="247"/>
      <c r="C65" s="252"/>
      <c r="D65" s="331">
        <v>16817.0</v>
      </c>
      <c r="F65" s="250"/>
      <c r="G65" s="2" t="s">
        <v>144</v>
      </c>
      <c r="I65" s="267"/>
    </row>
    <row r="66">
      <c r="A66" s="265"/>
      <c r="B66" s="247">
        <v>16515.0</v>
      </c>
      <c r="C66" s="248"/>
      <c r="D66" s="822"/>
      <c r="F66" s="250"/>
      <c r="G66" s="2" t="s">
        <v>144</v>
      </c>
      <c r="I66" s="251"/>
    </row>
    <row r="67">
      <c r="A67" s="265"/>
      <c r="B67" s="247"/>
      <c r="C67" s="252"/>
      <c r="D67" s="822"/>
      <c r="F67" s="250"/>
      <c r="I67" s="251"/>
    </row>
    <row r="68">
      <c r="A68" s="265"/>
      <c r="B68" s="247"/>
      <c r="C68" s="252"/>
      <c r="D68" s="822"/>
      <c r="F68" s="250"/>
      <c r="I68" s="251"/>
    </row>
    <row r="69">
      <c r="A69" s="265"/>
      <c r="B69" s="247"/>
      <c r="C69" s="252"/>
      <c r="D69" s="822"/>
      <c r="F69" s="250"/>
      <c r="I69" s="251"/>
    </row>
    <row r="70">
      <c r="A70" s="265"/>
      <c r="B70" s="268"/>
      <c r="C70" s="248"/>
      <c r="D70" s="822"/>
      <c r="F70" s="250"/>
      <c r="I70" s="251"/>
    </row>
    <row r="71">
      <c r="A71" s="265"/>
      <c r="B71" s="268"/>
      <c r="C71" s="248"/>
      <c r="D71" s="331"/>
      <c r="F71" s="250"/>
      <c r="I71" s="251"/>
    </row>
    <row r="72">
      <c r="A72" s="265"/>
      <c r="B72" s="278"/>
      <c r="C72" s="252"/>
      <c r="D72" s="822"/>
      <c r="F72" s="282"/>
      <c r="I72" s="251"/>
    </row>
    <row r="73">
      <c r="A73" s="270"/>
      <c r="B73" s="271"/>
      <c r="C73" s="272"/>
      <c r="D73" s="823"/>
      <c r="E73" s="18"/>
      <c r="F73" s="274"/>
      <c r="G73" s="18"/>
      <c r="H73" s="18"/>
      <c r="I73" s="261"/>
    </row>
    <row r="74">
      <c r="A74" s="262" t="s">
        <v>470</v>
      </c>
      <c r="B74" s="239"/>
      <c r="C74" s="263"/>
      <c r="D74" s="824"/>
      <c r="E74" s="242"/>
      <c r="F74" s="243">
        <v>485.0</v>
      </c>
      <c r="G74" s="244" t="s">
        <v>3057</v>
      </c>
      <c r="H74" s="244"/>
      <c r="I74" s="307"/>
    </row>
    <row r="75">
      <c r="A75" s="265"/>
      <c r="B75" s="268"/>
      <c r="C75" s="248"/>
      <c r="D75" s="822"/>
      <c r="F75" s="250">
        <v>170.0</v>
      </c>
      <c r="G75" s="2" t="s">
        <v>595</v>
      </c>
      <c r="I75" s="251"/>
    </row>
    <row r="76">
      <c r="A76" s="265"/>
      <c r="B76" s="247">
        <v>3711.0</v>
      </c>
      <c r="C76" s="252"/>
      <c r="D76" s="822"/>
      <c r="F76" s="250"/>
      <c r="G76" s="2" t="s">
        <v>82</v>
      </c>
      <c r="H76" s="840"/>
      <c r="I76" s="267"/>
    </row>
    <row r="77">
      <c r="A77" s="265"/>
      <c r="B77" s="247"/>
      <c r="C77" s="248">
        <v>28553.86</v>
      </c>
      <c r="D77" s="822"/>
      <c r="F77" s="250"/>
      <c r="G77" s="2" t="s">
        <v>71</v>
      </c>
      <c r="I77" s="251"/>
    </row>
    <row r="78">
      <c r="A78" s="265"/>
      <c r="B78" s="247">
        <v>2409.0</v>
      </c>
      <c r="C78" s="248"/>
      <c r="D78" s="822"/>
      <c r="F78" s="250"/>
      <c r="G78" s="2" t="s">
        <v>434</v>
      </c>
      <c r="I78" s="251"/>
    </row>
    <row r="79">
      <c r="A79" s="265"/>
      <c r="B79" s="247"/>
      <c r="C79" s="248"/>
      <c r="D79" s="822"/>
      <c r="F79" s="250">
        <v>1000.0</v>
      </c>
      <c r="G79" s="2" t="s">
        <v>2534</v>
      </c>
      <c r="I79" s="251"/>
    </row>
    <row r="80">
      <c r="A80" s="265"/>
      <c r="B80" s="268"/>
      <c r="C80" s="252"/>
      <c r="D80" s="822"/>
      <c r="F80" s="250">
        <v>2200.0</v>
      </c>
      <c r="G80" s="2" t="s">
        <v>2914</v>
      </c>
      <c r="I80" s="251"/>
    </row>
    <row r="81">
      <c r="A81" s="265"/>
      <c r="B81" s="247">
        <v>1988.0</v>
      </c>
      <c r="C81" s="252"/>
      <c r="D81" s="822"/>
      <c r="F81" s="250"/>
      <c r="G81" s="2" t="s">
        <v>3058</v>
      </c>
      <c r="I81" s="251"/>
    </row>
    <row r="82">
      <c r="A82" s="265"/>
      <c r="B82" s="247"/>
      <c r="C82" s="252"/>
      <c r="D82" s="822"/>
      <c r="F82" s="250"/>
      <c r="I82" s="251"/>
    </row>
    <row r="83">
      <c r="A83" s="265"/>
      <c r="B83" s="278"/>
      <c r="C83" s="252"/>
      <c r="D83" s="822"/>
      <c r="F83" s="250"/>
      <c r="I83" s="251"/>
    </row>
    <row r="84">
      <c r="A84" s="265"/>
      <c r="B84" s="278"/>
      <c r="C84" s="252"/>
      <c r="D84" s="822"/>
      <c r="F84" s="250"/>
      <c r="H84" s="838"/>
      <c r="I84" s="251"/>
    </row>
    <row r="85">
      <c r="A85" s="270"/>
      <c r="B85" s="271"/>
      <c r="C85" s="272"/>
      <c r="D85" s="823"/>
      <c r="E85" s="18"/>
      <c r="F85" s="274"/>
      <c r="G85" s="18"/>
      <c r="H85" s="18"/>
      <c r="I85" s="261"/>
    </row>
    <row r="86">
      <c r="A86" s="262" t="s">
        <v>471</v>
      </c>
      <c r="B86" s="239">
        <v>3432.35</v>
      </c>
      <c r="C86" s="263"/>
      <c r="D86" s="824"/>
      <c r="E86" s="242"/>
      <c r="F86" s="243"/>
      <c r="G86" s="244" t="s">
        <v>74</v>
      </c>
      <c r="H86" s="244"/>
      <c r="I86" s="307"/>
    </row>
    <row r="87">
      <c r="A87" s="265"/>
      <c r="B87" s="247">
        <v>8990.44</v>
      </c>
      <c r="C87" s="248"/>
      <c r="D87" s="822"/>
      <c r="F87" s="250"/>
      <c r="G87" s="2" t="s">
        <v>73</v>
      </c>
      <c r="I87" s="251"/>
    </row>
    <row r="88">
      <c r="A88" s="265"/>
      <c r="B88" s="268"/>
      <c r="C88" s="248"/>
      <c r="D88" s="822"/>
      <c r="F88" s="250">
        <v>120.0</v>
      </c>
      <c r="G88" s="2" t="s">
        <v>97</v>
      </c>
      <c r="I88" s="251"/>
    </row>
    <row r="89">
      <c r="A89" s="265"/>
      <c r="B89" s="247">
        <v>12140.0</v>
      </c>
      <c r="C89" s="248"/>
      <c r="D89" s="822"/>
      <c r="F89" s="250"/>
      <c r="G89" s="2" t="s">
        <v>75</v>
      </c>
      <c r="I89" s="251"/>
    </row>
    <row r="90">
      <c r="A90" s="265"/>
      <c r="B90" s="78"/>
      <c r="C90" s="248"/>
      <c r="D90" s="822"/>
      <c r="F90" s="250">
        <v>5680.0</v>
      </c>
      <c r="G90" s="2" t="s">
        <v>76</v>
      </c>
      <c r="I90" s="251"/>
    </row>
    <row r="91">
      <c r="A91" s="265"/>
      <c r="B91" s="841"/>
      <c r="C91" s="252"/>
      <c r="D91" s="331"/>
      <c r="F91" s="266">
        <v>12600.0</v>
      </c>
      <c r="G91" s="2" t="s">
        <v>87</v>
      </c>
      <c r="I91" s="251"/>
    </row>
    <row r="92">
      <c r="A92" s="265"/>
      <c r="B92" s="281"/>
      <c r="C92" s="252"/>
      <c r="D92" s="331"/>
      <c r="F92" s="250">
        <v>1000.0</v>
      </c>
      <c r="G92" s="2" t="s">
        <v>2534</v>
      </c>
      <c r="I92" s="251"/>
    </row>
    <row r="93">
      <c r="A93" s="265"/>
      <c r="B93" s="247"/>
      <c r="C93" s="252"/>
      <c r="D93" s="331"/>
      <c r="F93" s="250">
        <v>880.0</v>
      </c>
      <c r="G93" s="2" t="s">
        <v>3059</v>
      </c>
      <c r="I93" s="251"/>
    </row>
    <row r="94">
      <c r="A94" s="265"/>
      <c r="B94" s="247"/>
      <c r="C94" s="252"/>
      <c r="D94" s="822"/>
      <c r="F94" s="250">
        <v>5600.0</v>
      </c>
      <c r="G94" s="2" t="s">
        <v>128</v>
      </c>
      <c r="I94" s="251"/>
    </row>
    <row r="95">
      <c r="A95" s="265"/>
      <c r="B95" s="247">
        <v>2334.0</v>
      </c>
      <c r="C95" s="252"/>
      <c r="D95" s="331"/>
      <c r="F95" s="250"/>
      <c r="G95" s="2" t="s">
        <v>2649</v>
      </c>
      <c r="I95" s="251"/>
    </row>
    <row r="96">
      <c r="A96" s="265"/>
      <c r="B96" s="268"/>
      <c r="C96" s="252"/>
      <c r="D96" s="822"/>
      <c r="F96" s="250"/>
      <c r="I96" s="251"/>
    </row>
    <row r="97">
      <c r="A97" s="265"/>
      <c r="B97" s="247"/>
      <c r="C97" s="252"/>
      <c r="D97" s="822"/>
      <c r="F97" s="250"/>
      <c r="I97" s="251"/>
    </row>
    <row r="98">
      <c r="A98" s="265"/>
      <c r="B98" s="277"/>
      <c r="C98" s="252"/>
      <c r="D98" s="822"/>
      <c r="F98" s="282"/>
      <c r="I98" s="251"/>
    </row>
    <row r="99">
      <c r="A99" s="265"/>
      <c r="B99" s="278"/>
      <c r="C99" s="248"/>
      <c r="D99" s="822"/>
      <c r="F99" s="282"/>
      <c r="I99" s="251"/>
    </row>
    <row r="100">
      <c r="A100" s="265"/>
      <c r="B100" s="278"/>
      <c r="C100" s="252"/>
      <c r="D100" s="822"/>
      <c r="F100" s="250"/>
      <c r="I100" s="251"/>
    </row>
    <row r="101">
      <c r="A101" s="270"/>
      <c r="B101" s="271"/>
      <c r="C101" s="272"/>
      <c r="D101" s="823"/>
      <c r="E101" s="18"/>
      <c r="F101" s="259"/>
      <c r="G101" s="293"/>
      <c r="H101" s="18"/>
      <c r="I101" s="261"/>
    </row>
    <row r="102">
      <c r="A102" s="262" t="s">
        <v>3060</v>
      </c>
      <c r="B102" s="239">
        <v>2963.85</v>
      </c>
      <c r="C102" s="263"/>
      <c r="D102" s="821"/>
      <c r="E102" s="242"/>
      <c r="F102" s="250"/>
      <c r="G102" s="244" t="s">
        <v>82</v>
      </c>
      <c r="H102" s="244"/>
      <c r="I102" s="307"/>
    </row>
    <row r="103">
      <c r="A103" s="265"/>
      <c r="B103" s="268"/>
      <c r="C103" s="248"/>
      <c r="D103" s="822"/>
      <c r="F103" s="250">
        <v>290.0</v>
      </c>
      <c r="G103" s="2" t="s">
        <v>3061</v>
      </c>
      <c r="I103" s="251"/>
    </row>
    <row r="104">
      <c r="A104" s="265"/>
      <c r="B104" s="247"/>
      <c r="C104" s="248"/>
      <c r="D104" s="822"/>
      <c r="F104" s="250"/>
      <c r="G104" s="2" t="s">
        <v>3062</v>
      </c>
      <c r="I104" s="251"/>
    </row>
    <row r="105">
      <c r="A105" s="265"/>
      <c r="B105" s="247"/>
      <c r="C105" s="248">
        <v>17337.57</v>
      </c>
      <c r="D105" s="822"/>
      <c r="F105" s="250"/>
      <c r="G105" s="2" t="s">
        <v>631</v>
      </c>
      <c r="I105" s="251"/>
    </row>
    <row r="106">
      <c r="A106" s="265"/>
      <c r="B106" s="247"/>
      <c r="C106" s="252"/>
      <c r="D106" s="822"/>
      <c r="F106" s="250">
        <v>5750.0</v>
      </c>
      <c r="G106" s="2" t="s">
        <v>114</v>
      </c>
      <c r="I106" s="251"/>
    </row>
    <row r="107">
      <c r="A107" s="265"/>
      <c r="B107" s="268"/>
      <c r="C107" s="252"/>
      <c r="D107" s="822"/>
      <c r="F107" s="250">
        <v>1800.0</v>
      </c>
      <c r="G107" s="2" t="s">
        <v>3063</v>
      </c>
      <c r="I107" s="251"/>
    </row>
    <row r="108">
      <c r="A108" s="265"/>
      <c r="B108" s="268"/>
      <c r="C108" s="252"/>
      <c r="D108" s="331"/>
      <c r="F108" s="250">
        <v>1000.0</v>
      </c>
      <c r="G108" s="2" t="s">
        <v>2534</v>
      </c>
      <c r="I108" s="251"/>
    </row>
    <row r="109">
      <c r="A109" s="265"/>
      <c r="B109" s="247"/>
      <c r="C109" s="252"/>
      <c r="D109" s="822"/>
      <c r="F109" s="250"/>
      <c r="I109" s="251"/>
    </row>
    <row r="110">
      <c r="A110" s="265"/>
      <c r="B110" s="247"/>
      <c r="C110" s="252"/>
      <c r="D110" s="822"/>
      <c r="F110" s="250"/>
      <c r="I110" s="251"/>
    </row>
    <row r="111">
      <c r="A111" s="265"/>
      <c r="B111" s="268"/>
      <c r="C111" s="252"/>
      <c r="D111" s="822"/>
      <c r="F111" s="250"/>
      <c r="I111" s="251"/>
    </row>
    <row r="112">
      <c r="A112" s="265"/>
      <c r="B112" s="278"/>
      <c r="C112" s="248"/>
      <c r="D112" s="822"/>
      <c r="F112" s="282"/>
      <c r="I112" s="251"/>
    </row>
    <row r="113">
      <c r="A113" s="265"/>
      <c r="B113" s="278"/>
      <c r="C113" s="252"/>
      <c r="D113" s="822"/>
      <c r="F113" s="250"/>
      <c r="I113" s="251"/>
    </row>
    <row r="114">
      <c r="A114" s="265"/>
      <c r="B114" s="278"/>
      <c r="C114" s="252"/>
      <c r="D114" s="822"/>
      <c r="F114" s="282"/>
      <c r="I114" s="251"/>
    </row>
    <row r="115">
      <c r="A115" s="270"/>
      <c r="B115" s="271"/>
      <c r="C115" s="272"/>
      <c r="D115" s="823"/>
      <c r="E115" s="18"/>
      <c r="F115" s="274"/>
      <c r="G115" s="18"/>
      <c r="H115" s="18"/>
      <c r="I115" s="261"/>
    </row>
    <row r="116">
      <c r="A116" s="262" t="s">
        <v>3064</v>
      </c>
      <c r="B116" s="239"/>
      <c r="C116" s="263"/>
      <c r="D116" s="821"/>
      <c r="E116" s="242"/>
      <c r="F116" s="243"/>
      <c r="G116" s="244"/>
      <c r="H116" s="244"/>
      <c r="I116" s="307"/>
    </row>
    <row r="117">
      <c r="A117" s="265"/>
      <c r="B117" s="247"/>
      <c r="C117" s="252"/>
      <c r="D117" s="331"/>
      <c r="F117" s="250">
        <v>12600.0</v>
      </c>
      <c r="G117" s="2" t="s">
        <v>3050</v>
      </c>
      <c r="I117" s="251"/>
    </row>
    <row r="118">
      <c r="A118" s="265"/>
      <c r="B118" s="247"/>
      <c r="C118" s="248"/>
      <c r="D118" s="331"/>
      <c r="F118" s="250">
        <v>2820.0</v>
      </c>
      <c r="G118" s="250" t="s">
        <v>76</v>
      </c>
      <c r="I118" s="251"/>
    </row>
    <row r="119">
      <c r="A119" s="265"/>
      <c r="B119" s="247"/>
      <c r="C119" s="248"/>
      <c r="D119" s="331">
        <v>14989.86</v>
      </c>
      <c r="F119" s="250"/>
      <c r="G119" s="2" t="s">
        <v>3065</v>
      </c>
      <c r="I119" s="251"/>
    </row>
    <row r="120">
      <c r="A120" s="265"/>
      <c r="B120" s="247">
        <v>4930.0</v>
      </c>
      <c r="C120" s="252"/>
      <c r="D120" s="331"/>
      <c r="F120" s="250"/>
      <c r="G120" s="2" t="s">
        <v>662</v>
      </c>
      <c r="I120" s="251"/>
    </row>
    <row r="121">
      <c r="A121" s="265"/>
      <c r="B121" s="247"/>
      <c r="C121" s="252"/>
      <c r="D121" s="822"/>
      <c r="F121" s="250">
        <f>156+200</f>
        <v>356</v>
      </c>
      <c r="G121" s="2" t="s">
        <v>97</v>
      </c>
      <c r="I121" s="251"/>
    </row>
    <row r="122">
      <c r="A122" s="265"/>
      <c r="B122" s="247">
        <v>10920.0</v>
      </c>
      <c r="C122" s="252"/>
      <c r="D122" s="822"/>
      <c r="F122" s="250"/>
      <c r="G122" s="2" t="s">
        <v>3066</v>
      </c>
      <c r="I122" s="251"/>
    </row>
    <row r="123">
      <c r="A123" s="265"/>
      <c r="B123" s="247"/>
      <c r="C123" s="252"/>
      <c r="D123" s="822"/>
      <c r="F123" s="250">
        <v>1000.0</v>
      </c>
      <c r="G123" s="2" t="s">
        <v>2534</v>
      </c>
      <c r="I123" s="251"/>
    </row>
    <row r="124">
      <c r="A124" s="265"/>
      <c r="B124" s="247"/>
      <c r="C124" s="252"/>
      <c r="D124" s="331"/>
      <c r="F124" s="250"/>
      <c r="I124" s="251"/>
    </row>
    <row r="125">
      <c r="A125" s="265"/>
      <c r="B125" s="268"/>
      <c r="C125" s="248"/>
      <c r="D125" s="822"/>
      <c r="F125" s="250"/>
      <c r="I125" s="251"/>
    </row>
    <row r="126">
      <c r="A126" s="265"/>
      <c r="B126" s="268"/>
      <c r="C126" s="252"/>
      <c r="D126" s="822"/>
      <c r="F126" s="250"/>
      <c r="I126" s="251"/>
    </row>
    <row r="127">
      <c r="A127" s="265"/>
      <c r="B127" s="268"/>
      <c r="C127" s="252"/>
      <c r="D127" s="822"/>
      <c r="F127" s="250"/>
      <c r="I127" s="251"/>
    </row>
    <row r="128">
      <c r="A128" s="265"/>
      <c r="B128" s="268"/>
      <c r="C128" s="252"/>
      <c r="D128" s="822"/>
      <c r="F128" s="250"/>
      <c r="I128" s="251"/>
    </row>
    <row r="129">
      <c r="A129" s="265"/>
      <c r="B129" s="268"/>
      <c r="C129" s="252"/>
      <c r="D129" s="822"/>
      <c r="F129" s="250"/>
      <c r="I129" s="251"/>
    </row>
    <row r="130">
      <c r="A130" s="265"/>
      <c r="B130" s="268"/>
      <c r="C130" s="252"/>
      <c r="D130" s="822"/>
      <c r="F130" s="250"/>
      <c r="I130" s="251"/>
    </row>
    <row r="131">
      <c r="A131" s="265"/>
      <c r="B131" s="268"/>
      <c r="C131" s="252"/>
      <c r="D131" s="822"/>
      <c r="F131" s="250"/>
      <c r="I131" s="251"/>
    </row>
    <row r="132">
      <c r="A132" s="265"/>
      <c r="B132" s="268"/>
      <c r="C132" s="252"/>
      <c r="D132" s="822"/>
      <c r="F132" s="250"/>
      <c r="I132" s="251"/>
    </row>
    <row r="133">
      <c r="A133" s="270"/>
      <c r="B133" s="271"/>
      <c r="C133" s="272"/>
      <c r="D133" s="823"/>
      <c r="E133" s="18"/>
      <c r="F133" s="274"/>
      <c r="G133" s="18"/>
      <c r="H133" s="18"/>
      <c r="I133" s="261"/>
    </row>
    <row r="134">
      <c r="A134" s="262" t="s">
        <v>3067</v>
      </c>
      <c r="B134" s="239">
        <v>5072.85</v>
      </c>
      <c r="C134" s="263"/>
      <c r="D134" s="824"/>
      <c r="E134" s="242"/>
      <c r="F134" s="243"/>
      <c r="G134" s="244" t="s">
        <v>82</v>
      </c>
      <c r="H134" s="244"/>
      <c r="I134" s="307"/>
    </row>
    <row r="135">
      <c r="A135" s="265"/>
      <c r="B135" s="247"/>
      <c r="C135" s="248"/>
      <c r="D135" s="822"/>
      <c r="F135" s="250">
        <v>5280.0</v>
      </c>
      <c r="G135" s="2" t="s">
        <v>275</v>
      </c>
      <c r="I135" s="251"/>
    </row>
    <row r="136">
      <c r="A136" s="265"/>
      <c r="B136" s="247"/>
      <c r="C136" s="248"/>
      <c r="D136" s="822"/>
      <c r="F136" s="250">
        <v>1368.0</v>
      </c>
      <c r="G136" s="2" t="s">
        <v>97</v>
      </c>
      <c r="I136" s="251"/>
    </row>
    <row r="137">
      <c r="A137" s="265"/>
      <c r="B137" s="247">
        <v>7300.0</v>
      </c>
      <c r="C137" s="252"/>
      <c r="D137" s="331"/>
      <c r="F137" s="250"/>
      <c r="G137" s="2" t="s">
        <v>394</v>
      </c>
      <c r="I137" s="251"/>
    </row>
    <row r="138">
      <c r="A138" s="265"/>
      <c r="B138" s="247"/>
      <c r="C138" s="252"/>
      <c r="D138" s="822"/>
      <c r="F138" s="250">
        <v>1000.0</v>
      </c>
      <c r="G138" s="2" t="s">
        <v>3041</v>
      </c>
      <c r="I138" s="251"/>
    </row>
    <row r="139">
      <c r="A139" s="265"/>
      <c r="B139" s="247"/>
      <c r="C139" s="252"/>
      <c r="D139" s="822"/>
      <c r="F139" s="250">
        <v>500.0</v>
      </c>
      <c r="G139" s="2" t="s">
        <v>3068</v>
      </c>
      <c r="H139" s="844"/>
      <c r="I139" s="251"/>
    </row>
    <row r="140">
      <c r="A140" s="265"/>
      <c r="B140" s="247"/>
      <c r="C140" s="252"/>
      <c r="D140" s="822"/>
      <c r="F140" s="250"/>
      <c r="I140" s="251"/>
    </row>
    <row r="141">
      <c r="A141" s="265"/>
      <c r="B141" s="283"/>
      <c r="C141" s="248"/>
      <c r="D141" s="822"/>
      <c r="F141" s="250"/>
      <c r="I141" s="251"/>
    </row>
    <row r="142">
      <c r="A142" s="265"/>
      <c r="B142" s="247"/>
      <c r="C142" s="252"/>
      <c r="D142" s="822"/>
      <c r="F142" s="250"/>
      <c r="I142" s="251"/>
    </row>
    <row r="143">
      <c r="A143" s="265"/>
      <c r="B143" s="268"/>
      <c r="C143" s="252"/>
      <c r="D143" s="822"/>
      <c r="F143" s="250"/>
      <c r="I143" s="251"/>
    </row>
    <row r="144">
      <c r="A144" s="265"/>
      <c r="B144" s="268"/>
      <c r="C144" s="252"/>
      <c r="D144" s="822"/>
      <c r="F144" s="250"/>
      <c r="I144" s="251"/>
    </row>
    <row r="145">
      <c r="A145" s="265"/>
      <c r="B145" s="278"/>
      <c r="C145" s="252"/>
      <c r="D145" s="822"/>
      <c r="F145" s="250"/>
      <c r="I145" s="251"/>
    </row>
    <row r="146">
      <c r="A146" s="265"/>
      <c r="B146" s="278"/>
      <c r="C146" s="252"/>
      <c r="D146" s="822"/>
      <c r="F146" s="250"/>
      <c r="I146" s="251"/>
    </row>
    <row r="147">
      <c r="A147" s="265"/>
      <c r="B147" s="278"/>
      <c r="C147" s="252"/>
      <c r="D147" s="822"/>
      <c r="F147" s="250"/>
      <c r="I147" s="251"/>
    </row>
    <row r="148">
      <c r="A148" s="270"/>
      <c r="B148" s="271"/>
      <c r="C148" s="272"/>
      <c r="D148" s="823"/>
      <c r="E148" s="18"/>
      <c r="F148" s="274"/>
      <c r="G148" s="18"/>
      <c r="H148" s="18"/>
      <c r="I148" s="261"/>
    </row>
    <row r="149">
      <c r="A149" s="262" t="s">
        <v>487</v>
      </c>
      <c r="B149" s="239"/>
      <c r="C149" s="240"/>
      <c r="D149" s="824"/>
      <c r="E149" s="242"/>
      <c r="F149" s="243">
        <v>5000.0</v>
      </c>
      <c r="G149" s="244" t="s">
        <v>2807</v>
      </c>
      <c r="H149" s="244"/>
      <c r="I149" s="307"/>
    </row>
    <row r="150">
      <c r="A150" s="265"/>
      <c r="B150" s="247"/>
      <c r="C150" s="252"/>
      <c r="D150" s="822"/>
      <c r="F150" s="250"/>
      <c r="I150" s="251"/>
    </row>
    <row r="151">
      <c r="A151" s="265"/>
      <c r="B151" s="247"/>
      <c r="C151" s="252"/>
      <c r="D151" s="331"/>
      <c r="F151" s="418"/>
      <c r="G151" s="417"/>
      <c r="H151" s="842"/>
      <c r="I151" s="251"/>
    </row>
    <row r="152">
      <c r="A152" s="265"/>
      <c r="B152" s="247"/>
      <c r="C152" s="252"/>
      <c r="D152" s="822"/>
      <c r="F152" s="250"/>
      <c r="I152" s="251"/>
    </row>
    <row r="153">
      <c r="A153" s="265"/>
      <c r="B153" s="247"/>
      <c r="C153" s="252"/>
      <c r="D153" s="331"/>
      <c r="F153" s="250"/>
      <c r="I153" s="251"/>
    </row>
    <row r="154">
      <c r="A154" s="265"/>
      <c r="B154" s="268"/>
      <c r="C154" s="248"/>
      <c r="D154" s="331"/>
      <c r="F154" s="250"/>
      <c r="I154" s="251"/>
    </row>
    <row r="155">
      <c r="A155" s="265"/>
      <c r="B155" s="268"/>
      <c r="C155" s="252"/>
      <c r="D155" s="331"/>
      <c r="F155" s="250"/>
      <c r="I155" s="251"/>
    </row>
    <row r="156">
      <c r="A156" s="265"/>
      <c r="B156" s="247"/>
      <c r="C156" s="252"/>
      <c r="D156" s="331"/>
      <c r="F156" s="250"/>
      <c r="I156" s="251"/>
    </row>
    <row r="157">
      <c r="A157" s="265"/>
      <c r="B157" s="268"/>
      <c r="C157" s="252"/>
      <c r="D157" s="331"/>
      <c r="F157" s="250"/>
      <c r="G157" s="266"/>
      <c r="H157" s="309"/>
      <c r="I157" s="251"/>
    </row>
    <row r="158">
      <c r="A158" s="265"/>
      <c r="B158" s="247"/>
      <c r="C158" s="252"/>
      <c r="D158" s="822"/>
      <c r="F158" s="250"/>
      <c r="I158" s="251"/>
    </row>
    <row r="159">
      <c r="A159" s="265"/>
      <c r="B159" s="268"/>
      <c r="C159" s="252"/>
      <c r="D159" s="822"/>
      <c r="F159" s="250"/>
      <c r="I159" s="251"/>
    </row>
    <row r="160">
      <c r="A160" s="265"/>
      <c r="B160" s="277"/>
      <c r="C160" s="252"/>
      <c r="D160" s="822"/>
      <c r="F160" s="250"/>
      <c r="I160" s="251"/>
    </row>
    <row r="161">
      <c r="A161" s="265"/>
      <c r="B161" s="277"/>
      <c r="C161" s="252"/>
      <c r="D161" s="822"/>
      <c r="F161" s="282"/>
      <c r="I161" s="251"/>
    </row>
    <row r="162">
      <c r="A162" s="265"/>
      <c r="B162" s="278"/>
      <c r="C162" s="252"/>
      <c r="D162" s="822"/>
      <c r="F162" s="250"/>
      <c r="I162" s="251"/>
    </row>
    <row r="163">
      <c r="A163" s="270"/>
      <c r="B163" s="271"/>
      <c r="C163" s="272"/>
      <c r="D163" s="823"/>
      <c r="E163" s="18"/>
      <c r="F163" s="259"/>
      <c r="G163" s="293"/>
      <c r="H163" s="18"/>
      <c r="I163" s="261"/>
    </row>
    <row r="164">
      <c r="A164" s="262" t="s">
        <v>489</v>
      </c>
      <c r="B164" s="239"/>
      <c r="C164" s="263"/>
      <c r="D164" s="821"/>
      <c r="E164" s="242"/>
      <c r="F164" s="243">
        <v>440.0</v>
      </c>
      <c r="G164" s="244" t="s">
        <v>3069</v>
      </c>
      <c r="H164" s="244"/>
      <c r="I164" s="307"/>
    </row>
    <row r="165">
      <c r="A165" s="265"/>
      <c r="B165" s="247"/>
      <c r="C165" s="252"/>
      <c r="D165" s="822"/>
      <c r="F165" s="250">
        <v>3000.0</v>
      </c>
      <c r="G165" s="2" t="s">
        <v>3070</v>
      </c>
      <c r="I165" s="251"/>
    </row>
    <row r="166">
      <c r="A166" s="265"/>
      <c r="B166" s="247"/>
      <c r="C166" s="248"/>
      <c r="D166" s="331"/>
      <c r="F166" s="250">
        <v>13200.0</v>
      </c>
      <c r="G166" s="2" t="s">
        <v>3050</v>
      </c>
      <c r="I166" s="251"/>
    </row>
    <row r="167">
      <c r="A167" s="265"/>
      <c r="B167" s="247">
        <v>3990.0</v>
      </c>
      <c r="C167" s="252"/>
      <c r="D167" s="331"/>
      <c r="F167" s="250"/>
      <c r="G167" s="2" t="s">
        <v>58</v>
      </c>
      <c r="I167" s="251"/>
    </row>
    <row r="168">
      <c r="A168" s="265"/>
      <c r="B168" s="268"/>
      <c r="C168" s="252"/>
      <c r="D168" s="822"/>
      <c r="F168" s="250">
        <v>2000.0</v>
      </c>
      <c r="G168" s="2" t="s">
        <v>62</v>
      </c>
      <c r="I168" s="251"/>
    </row>
    <row r="169">
      <c r="A169" s="265"/>
      <c r="B169" s="268"/>
      <c r="C169" s="248">
        <v>20465.94</v>
      </c>
      <c r="D169" s="822"/>
      <c r="F169" s="250"/>
      <c r="G169" s="2" t="s">
        <v>2637</v>
      </c>
      <c r="I169" s="251"/>
    </row>
    <row r="170">
      <c r="A170" s="265"/>
      <c r="B170" s="268"/>
      <c r="C170" s="252"/>
      <c r="D170" s="331"/>
      <c r="F170" s="250">
        <v>126.0</v>
      </c>
      <c r="G170" s="2" t="s">
        <v>63</v>
      </c>
      <c r="I170" s="251"/>
    </row>
    <row r="171">
      <c r="A171" s="265"/>
      <c r="B171" s="268"/>
      <c r="C171" s="252"/>
      <c r="D171" s="822"/>
      <c r="F171" s="250">
        <v>1000.0</v>
      </c>
      <c r="G171" s="2" t="s">
        <v>3006</v>
      </c>
      <c r="I171" s="251"/>
    </row>
    <row r="172">
      <c r="A172" s="265"/>
      <c r="B172" s="247">
        <v>30000.0</v>
      </c>
      <c r="C172" s="252"/>
      <c r="D172" s="822"/>
      <c r="F172" s="250"/>
      <c r="G172" s="2" t="s">
        <v>3071</v>
      </c>
      <c r="I172" s="251"/>
    </row>
    <row r="173">
      <c r="A173" s="270"/>
      <c r="B173" s="279">
        <v>23000.0</v>
      </c>
      <c r="C173" s="272"/>
      <c r="D173" s="823"/>
      <c r="E173" s="18"/>
      <c r="F173" s="274"/>
      <c r="G173" s="293" t="s">
        <v>3072</v>
      </c>
      <c r="H173" s="18"/>
      <c r="I173" s="261"/>
    </row>
    <row r="174">
      <c r="A174" s="262" t="s">
        <v>491</v>
      </c>
      <c r="B174" s="239">
        <v>2700.0</v>
      </c>
      <c r="C174" s="240"/>
      <c r="D174" s="821"/>
      <c r="E174" s="242"/>
      <c r="F174" s="250"/>
      <c r="G174" s="244" t="s">
        <v>3073</v>
      </c>
      <c r="H174" s="244"/>
      <c r="I174" s="307"/>
    </row>
    <row r="175">
      <c r="A175" s="265"/>
      <c r="B175" s="247"/>
      <c r="C175" s="252"/>
      <c r="D175" s="331"/>
      <c r="F175" s="250">
        <v>7370.0</v>
      </c>
      <c r="G175" s="2" t="s">
        <v>114</v>
      </c>
      <c r="I175" s="251"/>
    </row>
    <row r="176">
      <c r="A176" s="265"/>
      <c r="B176" s="247"/>
      <c r="C176" s="248"/>
      <c r="D176" s="331"/>
      <c r="F176" s="250">
        <v>1190.0</v>
      </c>
      <c r="G176" s="2" t="s">
        <v>97</v>
      </c>
      <c r="I176" s="251"/>
    </row>
    <row r="177">
      <c r="A177" s="265"/>
      <c r="B177" s="247">
        <v>10670.0</v>
      </c>
      <c r="C177" s="252"/>
      <c r="D177" s="822"/>
      <c r="F177" s="250"/>
      <c r="G177" s="2" t="s">
        <v>75</v>
      </c>
      <c r="I177" s="251"/>
    </row>
    <row r="178">
      <c r="A178" s="265"/>
      <c r="B178" s="268"/>
      <c r="C178" s="248"/>
      <c r="D178" s="331"/>
      <c r="F178" s="250"/>
      <c r="I178" s="251"/>
    </row>
    <row r="179">
      <c r="A179" s="265"/>
      <c r="B179" s="247">
        <v>5048.0</v>
      </c>
      <c r="C179" s="252"/>
      <c r="D179" s="822"/>
      <c r="F179" s="250"/>
      <c r="G179" s="2" t="s">
        <v>787</v>
      </c>
      <c r="I179" s="251"/>
    </row>
    <row r="180">
      <c r="A180" s="265"/>
      <c r="B180" s="247">
        <v>40051.0</v>
      </c>
      <c r="C180" s="252"/>
      <c r="D180" s="822"/>
      <c r="F180" s="250"/>
      <c r="G180" s="2" t="s">
        <v>167</v>
      </c>
      <c r="I180" s="251"/>
    </row>
    <row r="181">
      <c r="A181" s="265"/>
      <c r="B181" s="247"/>
      <c r="C181" s="252"/>
      <c r="D181" s="822"/>
      <c r="F181" s="250">
        <v>750.0</v>
      </c>
      <c r="G181" s="2" t="s">
        <v>3074</v>
      </c>
      <c r="I181" s="251"/>
    </row>
    <row r="182">
      <c r="A182" s="265"/>
      <c r="B182" s="268"/>
      <c r="C182" s="252"/>
      <c r="D182" s="822"/>
      <c r="F182" s="250"/>
      <c r="I182" s="251"/>
    </row>
    <row r="183">
      <c r="A183" s="265"/>
      <c r="B183" s="268"/>
      <c r="C183" s="252"/>
      <c r="D183" s="822"/>
      <c r="F183" s="250"/>
      <c r="I183" s="251"/>
    </row>
    <row r="184">
      <c r="A184" s="265"/>
      <c r="B184" s="268"/>
      <c r="C184" s="252"/>
      <c r="D184" s="822"/>
      <c r="F184" s="250"/>
      <c r="I184" s="251"/>
    </row>
    <row r="185">
      <c r="A185" s="265"/>
      <c r="B185" s="268"/>
      <c r="C185" s="252"/>
      <c r="D185" s="822"/>
      <c r="F185" s="250"/>
      <c r="I185" s="251"/>
    </row>
    <row r="186">
      <c r="A186" s="265"/>
      <c r="B186" s="268"/>
      <c r="C186" s="252"/>
      <c r="D186" s="822"/>
      <c r="F186" s="250"/>
      <c r="I186" s="251"/>
    </row>
    <row r="187">
      <c r="A187" s="265"/>
      <c r="B187" s="268"/>
      <c r="C187" s="252"/>
      <c r="D187" s="822"/>
      <c r="F187" s="250"/>
      <c r="I187" s="251"/>
    </row>
    <row r="188">
      <c r="A188" s="270"/>
      <c r="B188" s="271"/>
      <c r="C188" s="272"/>
      <c r="D188" s="823"/>
      <c r="E188" s="18"/>
      <c r="F188" s="259"/>
      <c r="G188" s="293"/>
      <c r="H188" s="18"/>
      <c r="I188" s="261"/>
    </row>
    <row r="189">
      <c r="A189" s="262" t="s">
        <v>3075</v>
      </c>
      <c r="B189" s="239"/>
      <c r="C189" s="240"/>
      <c r="D189" s="821"/>
      <c r="E189" s="242"/>
      <c r="F189" s="243">
        <v>1022.0</v>
      </c>
      <c r="G189" s="244" t="s">
        <v>97</v>
      </c>
      <c r="I189" s="286"/>
    </row>
    <row r="190">
      <c r="A190" s="265"/>
      <c r="B190" s="247">
        <v>10645.12</v>
      </c>
      <c r="C190" s="248"/>
      <c r="D190" s="331"/>
      <c r="F190" s="250"/>
      <c r="G190" s="2" t="s">
        <v>405</v>
      </c>
      <c r="I190" s="251"/>
    </row>
    <row r="191">
      <c r="A191" s="265"/>
      <c r="B191" s="247">
        <v>2596.76</v>
      </c>
      <c r="C191" s="252"/>
      <c r="D191" s="822"/>
      <c r="F191" s="250"/>
      <c r="G191" s="2" t="s">
        <v>73</v>
      </c>
      <c r="I191" s="251"/>
    </row>
    <row r="192">
      <c r="A192" s="265"/>
      <c r="B192" s="247">
        <v>2963.85</v>
      </c>
      <c r="C192" s="252"/>
      <c r="D192" s="822"/>
      <c r="F192" s="250"/>
      <c r="G192" s="2" t="s">
        <v>82</v>
      </c>
      <c r="I192" s="251"/>
    </row>
    <row r="193">
      <c r="A193" s="265"/>
      <c r="B193" s="268"/>
      <c r="C193" s="248"/>
      <c r="D193" s="331"/>
      <c r="F193" s="250">
        <v>13200.0</v>
      </c>
      <c r="G193" s="2" t="s">
        <v>87</v>
      </c>
      <c r="I193" s="251"/>
    </row>
    <row r="194">
      <c r="A194" s="265"/>
      <c r="B194" s="247"/>
      <c r="C194" s="248"/>
      <c r="D194" s="331"/>
      <c r="F194" s="250">
        <v>5640.0</v>
      </c>
      <c r="G194" s="2" t="s">
        <v>76</v>
      </c>
      <c r="I194" s="251"/>
    </row>
    <row r="195">
      <c r="A195" s="265"/>
      <c r="B195" s="268"/>
      <c r="C195" s="248">
        <v>30000.0</v>
      </c>
      <c r="D195" s="331"/>
      <c r="F195" s="250"/>
      <c r="G195" s="2" t="s">
        <v>2654</v>
      </c>
      <c r="I195" s="251"/>
    </row>
    <row r="196">
      <c r="A196" s="265"/>
      <c r="B196" s="247">
        <v>2280.0</v>
      </c>
      <c r="C196" s="252"/>
      <c r="D196" s="331"/>
      <c r="F196" s="250"/>
      <c r="G196" s="2" t="s">
        <v>3076</v>
      </c>
      <c r="I196" s="251"/>
    </row>
    <row r="197">
      <c r="A197" s="265"/>
      <c r="B197" s="247">
        <v>1880.0</v>
      </c>
      <c r="C197" s="252"/>
      <c r="D197" s="822"/>
      <c r="F197" s="250"/>
      <c r="G197" s="2" t="s">
        <v>3077</v>
      </c>
      <c r="I197" s="251"/>
    </row>
    <row r="198">
      <c r="A198" s="265"/>
      <c r="B198" s="278"/>
      <c r="C198" s="252"/>
      <c r="D198" s="822"/>
      <c r="F198" s="250">
        <v>3750.0</v>
      </c>
      <c r="G198" s="81" t="s">
        <v>2806</v>
      </c>
      <c r="H198" s="838"/>
      <c r="I198" s="251"/>
    </row>
    <row r="199">
      <c r="A199" s="265"/>
      <c r="B199" s="278"/>
      <c r="C199" s="252"/>
      <c r="D199" s="822"/>
      <c r="F199" s="250">
        <v>1000.0</v>
      </c>
      <c r="G199" s="2" t="s">
        <v>3078</v>
      </c>
      <c r="I199" s="251"/>
    </row>
    <row r="200">
      <c r="A200" s="265"/>
      <c r="B200" s="277"/>
      <c r="C200" s="252"/>
      <c r="D200" s="822"/>
      <c r="F200" s="250"/>
      <c r="I200" s="251"/>
    </row>
    <row r="201">
      <c r="A201" s="265"/>
      <c r="B201" s="278"/>
      <c r="C201" s="252"/>
      <c r="D201" s="822"/>
      <c r="F201" s="250"/>
      <c r="I201" s="251"/>
    </row>
    <row r="202">
      <c r="A202" s="265"/>
      <c r="B202" s="278"/>
      <c r="C202" s="252"/>
      <c r="D202" s="822"/>
      <c r="F202" s="282"/>
      <c r="I202" s="251"/>
    </row>
    <row r="203">
      <c r="A203" s="265"/>
      <c r="B203" s="278"/>
      <c r="C203" s="252"/>
      <c r="D203" s="822"/>
      <c r="F203" s="282"/>
      <c r="I203" s="251"/>
    </row>
    <row r="204">
      <c r="A204" s="270"/>
      <c r="B204" s="271"/>
      <c r="C204" s="272"/>
      <c r="D204" s="823"/>
      <c r="E204" s="18"/>
      <c r="F204" s="274"/>
      <c r="G204" s="18"/>
      <c r="H204" s="18"/>
      <c r="I204" s="261"/>
    </row>
    <row r="205">
      <c r="A205" s="262" t="s">
        <v>495</v>
      </c>
      <c r="B205" s="239"/>
      <c r="C205" s="263">
        <v>14938.49</v>
      </c>
      <c r="D205" s="824"/>
      <c r="E205" s="242"/>
      <c r="F205" s="243"/>
      <c r="G205" s="244" t="s">
        <v>951</v>
      </c>
      <c r="H205" s="244"/>
      <c r="I205" s="307"/>
    </row>
    <row r="206">
      <c r="A206" s="265"/>
      <c r="B206" s="247"/>
      <c r="C206" s="252"/>
      <c r="D206" s="822"/>
      <c r="F206" s="250">
        <v>4960.0</v>
      </c>
      <c r="G206" s="2" t="s">
        <v>2348</v>
      </c>
      <c r="I206" s="251"/>
    </row>
    <row r="207">
      <c r="A207" s="265"/>
      <c r="B207" s="247"/>
      <c r="C207" s="252"/>
      <c r="D207" s="331"/>
      <c r="F207" s="250">
        <v>3000.0</v>
      </c>
      <c r="G207" s="2" t="s">
        <v>3079</v>
      </c>
      <c r="H207" s="843"/>
      <c r="I207" s="251"/>
    </row>
    <row r="208">
      <c r="A208" s="265"/>
      <c r="B208" s="247"/>
      <c r="C208" s="248"/>
      <c r="D208" s="331"/>
      <c r="F208" s="250">
        <v>471.0</v>
      </c>
      <c r="G208" s="2" t="s">
        <v>3080</v>
      </c>
      <c r="I208" s="251"/>
    </row>
    <row r="209">
      <c r="A209" s="265"/>
      <c r="B209" s="247"/>
      <c r="C209" s="248"/>
      <c r="D209" s="331"/>
      <c r="F209" s="250">
        <v>1120.0</v>
      </c>
      <c r="G209" s="2" t="s">
        <v>3081</v>
      </c>
      <c r="I209" s="251"/>
    </row>
    <row r="210">
      <c r="A210" s="265"/>
      <c r="B210" s="247">
        <v>4184.0</v>
      </c>
      <c r="C210" s="252"/>
      <c r="D210" s="331"/>
      <c r="F210" s="250"/>
      <c r="G210" s="2" t="s">
        <v>73</v>
      </c>
      <c r="I210" s="251"/>
    </row>
    <row r="211">
      <c r="A211" s="265"/>
      <c r="B211" s="247">
        <v>2968.13</v>
      </c>
      <c r="C211" s="252"/>
      <c r="D211" s="822"/>
      <c r="F211" s="250"/>
      <c r="G211" s="2" t="s">
        <v>91</v>
      </c>
      <c r="I211" s="251"/>
    </row>
    <row r="212">
      <c r="A212" s="265"/>
      <c r="B212" s="247">
        <v>5550.0</v>
      </c>
      <c r="C212" s="252"/>
      <c r="D212" s="331"/>
      <c r="F212" s="250"/>
      <c r="G212" s="2" t="s">
        <v>75</v>
      </c>
      <c r="I212" s="251"/>
    </row>
    <row r="213">
      <c r="A213" s="265"/>
      <c r="B213" s="268"/>
      <c r="C213" s="248"/>
      <c r="D213" s="331"/>
      <c r="F213" s="250">
        <v>1000.0</v>
      </c>
      <c r="G213" s="2" t="s">
        <v>764</v>
      </c>
      <c r="I213" s="251"/>
    </row>
    <row r="214">
      <c r="A214" s="265"/>
      <c r="B214" s="268"/>
      <c r="C214" s="248"/>
      <c r="D214" s="822"/>
      <c r="F214" s="250"/>
      <c r="I214" s="251"/>
    </row>
    <row r="215">
      <c r="A215" s="265"/>
      <c r="B215" s="268"/>
      <c r="C215" s="248"/>
      <c r="D215" s="822"/>
      <c r="F215" s="250"/>
      <c r="I215" s="251"/>
    </row>
    <row r="216">
      <c r="A216" s="265"/>
      <c r="B216" s="247"/>
      <c r="C216" s="248"/>
      <c r="D216" s="822"/>
      <c r="F216" s="250"/>
      <c r="I216" s="251"/>
    </row>
    <row r="217">
      <c r="A217" s="265"/>
      <c r="B217" s="278"/>
      <c r="C217" s="252"/>
      <c r="D217" s="822"/>
      <c r="F217" s="250"/>
      <c r="I217" s="251"/>
    </row>
    <row r="218">
      <c r="A218" s="265"/>
      <c r="B218" s="278"/>
      <c r="C218" s="252"/>
      <c r="D218" s="822"/>
      <c r="F218" s="282"/>
      <c r="I218" s="251"/>
    </row>
    <row r="219">
      <c r="A219" s="270"/>
      <c r="B219" s="271"/>
      <c r="C219" s="272"/>
      <c r="D219" s="823"/>
      <c r="E219" s="18"/>
      <c r="F219" s="274"/>
      <c r="G219" s="18"/>
      <c r="H219" s="18"/>
      <c r="I219" s="261"/>
    </row>
    <row r="220">
      <c r="A220" s="262" t="s">
        <v>497</v>
      </c>
      <c r="B220" s="239">
        <v>4409.9</v>
      </c>
      <c r="C220" s="263"/>
      <c r="D220" s="824"/>
      <c r="E220" s="242"/>
      <c r="F220" s="243"/>
      <c r="G220" s="244" t="s">
        <v>82</v>
      </c>
      <c r="H220" s="244"/>
      <c r="I220" s="307"/>
    </row>
    <row r="221">
      <c r="A221" s="265"/>
      <c r="B221" s="247"/>
      <c r="C221" s="248"/>
      <c r="D221" s="331"/>
      <c r="F221" s="250">
        <v>504.0</v>
      </c>
      <c r="G221" s="2" t="s">
        <v>97</v>
      </c>
      <c r="I221" s="251"/>
    </row>
    <row r="222">
      <c r="A222" s="265"/>
      <c r="B222" s="247"/>
      <c r="C222" s="252"/>
      <c r="D222" s="822"/>
      <c r="F222" s="250">
        <v>4200.0</v>
      </c>
      <c r="G222" s="2" t="s">
        <v>3082</v>
      </c>
      <c r="I222" s="251"/>
    </row>
    <row r="223">
      <c r="A223" s="265"/>
      <c r="B223" s="247"/>
      <c r="C223" s="248"/>
      <c r="D223" s="331"/>
      <c r="F223" s="250">
        <v>13200.0</v>
      </c>
      <c r="G223" s="2" t="s">
        <v>87</v>
      </c>
      <c r="I223" s="251"/>
    </row>
    <row r="224">
      <c r="A224" s="265"/>
      <c r="B224" s="247"/>
      <c r="C224" s="252"/>
      <c r="D224" s="822"/>
      <c r="F224" s="250">
        <v>1000.0</v>
      </c>
      <c r="G224" s="2" t="s">
        <v>2534</v>
      </c>
      <c r="I224" s="251"/>
    </row>
    <row r="225">
      <c r="A225" s="265"/>
      <c r="B225" s="247"/>
      <c r="C225" s="252"/>
      <c r="D225" s="822"/>
      <c r="F225" s="250">
        <v>1000.0</v>
      </c>
      <c r="G225" s="2" t="s">
        <v>3078</v>
      </c>
      <c r="I225" s="251"/>
    </row>
    <row r="226">
      <c r="A226" s="265"/>
      <c r="B226" s="247">
        <v>3650.0</v>
      </c>
      <c r="C226" s="252"/>
      <c r="D226" s="822"/>
      <c r="F226" s="250"/>
      <c r="G226" s="2" t="s">
        <v>79</v>
      </c>
      <c r="H226" s="252"/>
      <c r="I226" s="251"/>
    </row>
    <row r="227">
      <c r="A227" s="265"/>
      <c r="B227" s="247"/>
      <c r="C227" s="252"/>
      <c r="D227" s="822"/>
      <c r="F227" s="250">
        <v>840.0</v>
      </c>
      <c r="G227" s="2" t="s">
        <v>3083</v>
      </c>
      <c r="I227" s="251"/>
    </row>
    <row r="228">
      <c r="A228" s="265"/>
      <c r="B228" s="247"/>
      <c r="C228" s="252"/>
      <c r="D228" s="331"/>
      <c r="F228" s="250"/>
      <c r="I228" s="251"/>
    </row>
    <row r="229">
      <c r="A229" s="265"/>
      <c r="B229" s="278"/>
      <c r="C229" s="252"/>
      <c r="D229" s="822"/>
      <c r="F229" s="250"/>
      <c r="I229" s="251"/>
    </row>
    <row r="230">
      <c r="A230" s="265"/>
      <c r="B230" s="278"/>
      <c r="C230" s="252"/>
      <c r="D230" s="822"/>
      <c r="F230" s="282"/>
      <c r="I230" s="251"/>
    </row>
    <row r="231">
      <c r="A231" s="270"/>
      <c r="B231" s="271"/>
      <c r="C231" s="272"/>
      <c r="D231" s="823"/>
      <c r="E231" s="18"/>
      <c r="F231" s="274"/>
      <c r="G231" s="18"/>
      <c r="H231" s="18"/>
      <c r="I231" s="261"/>
    </row>
    <row r="232">
      <c r="A232" s="262" t="s">
        <v>498</v>
      </c>
      <c r="B232" s="239"/>
      <c r="C232" s="240"/>
      <c r="D232" s="821"/>
      <c r="E232" s="242"/>
      <c r="F232" s="243">
        <v>800.0</v>
      </c>
      <c r="G232" s="244" t="s">
        <v>97</v>
      </c>
      <c r="H232" s="244"/>
      <c r="I232" s="307"/>
    </row>
    <row r="233">
      <c r="A233" s="265"/>
      <c r="B233" s="268"/>
      <c r="C233" s="252"/>
      <c r="D233" s="331"/>
      <c r="F233" s="250">
        <v>5400.0</v>
      </c>
      <c r="G233" s="2" t="s">
        <v>2807</v>
      </c>
      <c r="I233" s="251"/>
    </row>
    <row r="234">
      <c r="A234" s="265"/>
      <c r="B234" s="268"/>
      <c r="C234" s="252"/>
      <c r="D234" s="331"/>
      <c r="F234" s="250"/>
      <c r="I234" s="251"/>
    </row>
    <row r="235">
      <c r="A235" s="265"/>
      <c r="B235" s="268"/>
      <c r="C235" s="248"/>
      <c r="D235" s="822"/>
      <c r="F235" s="250"/>
      <c r="I235" s="251"/>
    </row>
    <row r="236">
      <c r="A236" s="265"/>
      <c r="B236" s="247"/>
      <c r="C236" s="248"/>
      <c r="D236" s="822"/>
      <c r="F236" s="250"/>
      <c r="I236" s="251"/>
    </row>
    <row r="237">
      <c r="A237" s="265"/>
      <c r="B237" s="268"/>
      <c r="C237" s="248"/>
      <c r="D237" s="331"/>
      <c r="F237" s="250"/>
      <c r="I237" s="251"/>
    </row>
    <row r="238">
      <c r="A238" s="265"/>
      <c r="B238" s="268"/>
      <c r="C238" s="252"/>
      <c r="D238" s="822"/>
      <c r="F238" s="250"/>
      <c r="I238" s="251"/>
    </row>
    <row r="239">
      <c r="A239" s="265"/>
      <c r="B239" s="268"/>
      <c r="C239" s="252"/>
      <c r="D239" s="822"/>
      <c r="F239" s="250"/>
      <c r="I239" s="251"/>
    </row>
    <row r="240">
      <c r="A240" s="265"/>
      <c r="B240" s="268"/>
      <c r="C240" s="252"/>
      <c r="D240" s="822"/>
      <c r="F240" s="250"/>
      <c r="I240" s="251"/>
    </row>
    <row r="241">
      <c r="A241" s="265"/>
      <c r="B241" s="268"/>
      <c r="C241" s="252"/>
      <c r="D241" s="822"/>
      <c r="F241" s="250"/>
      <c r="I241" s="251"/>
    </row>
    <row r="242">
      <c r="A242" s="270"/>
      <c r="B242" s="271"/>
      <c r="C242" s="272"/>
      <c r="D242" s="823"/>
      <c r="E242" s="18"/>
      <c r="F242" s="274"/>
      <c r="G242" s="18"/>
      <c r="H242" s="18"/>
      <c r="I242" s="261"/>
    </row>
    <row r="243">
      <c r="A243" s="262" t="s">
        <v>499</v>
      </c>
      <c r="B243" s="239">
        <v>11850.8</v>
      </c>
      <c r="C243" s="263"/>
      <c r="D243" s="824"/>
      <c r="E243" s="242"/>
      <c r="F243" s="243"/>
      <c r="G243" s="244" t="s">
        <v>3084</v>
      </c>
      <c r="H243" s="244"/>
      <c r="I243" s="307"/>
    </row>
    <row r="244">
      <c r="A244" s="265"/>
      <c r="B244" s="247">
        <v>3590.93</v>
      </c>
      <c r="C244" s="252"/>
      <c r="D244" s="822"/>
      <c r="F244" s="250"/>
      <c r="G244" s="2" t="s">
        <v>82</v>
      </c>
      <c r="I244" s="251"/>
    </row>
    <row r="245">
      <c r="A245" s="265"/>
      <c r="B245" s="247"/>
      <c r="C245" s="252"/>
      <c r="D245" s="822"/>
      <c r="F245" s="250">
        <v>1500.0</v>
      </c>
      <c r="G245" s="2" t="s">
        <v>2534</v>
      </c>
      <c r="I245" s="251"/>
    </row>
    <row r="246">
      <c r="A246" s="265"/>
      <c r="B246" s="247"/>
      <c r="C246" s="248"/>
      <c r="D246" s="822"/>
      <c r="F246" s="250"/>
      <c r="I246" s="251"/>
    </row>
    <row r="247">
      <c r="A247" s="265"/>
      <c r="B247" s="268"/>
      <c r="C247" s="252"/>
      <c r="D247" s="822"/>
      <c r="F247" s="250"/>
      <c r="I247" s="267"/>
    </row>
    <row r="248">
      <c r="A248" s="265"/>
      <c r="B248" s="268"/>
      <c r="C248" s="248"/>
      <c r="D248" s="822"/>
      <c r="F248" s="250"/>
      <c r="I248" s="251"/>
    </row>
    <row r="249">
      <c r="A249" s="265"/>
      <c r="B249" s="247"/>
      <c r="C249" s="248"/>
      <c r="D249" s="822"/>
      <c r="F249" s="250"/>
      <c r="I249" s="251"/>
    </row>
    <row r="250">
      <c r="A250" s="265"/>
      <c r="B250" s="268"/>
      <c r="C250" s="252"/>
      <c r="D250" s="822"/>
      <c r="F250" s="250"/>
      <c r="I250" s="251"/>
    </row>
    <row r="251">
      <c r="A251" s="265"/>
      <c r="B251" s="247"/>
      <c r="C251" s="252"/>
      <c r="D251" s="822"/>
      <c r="F251" s="250"/>
      <c r="I251" s="251"/>
    </row>
    <row r="252">
      <c r="A252" s="265"/>
      <c r="B252" s="268"/>
      <c r="C252" s="252"/>
      <c r="D252" s="822"/>
      <c r="F252" s="250"/>
      <c r="I252" s="251"/>
    </row>
    <row r="253">
      <c r="A253" s="265"/>
      <c r="B253" s="278"/>
      <c r="C253" s="252"/>
      <c r="D253" s="822"/>
      <c r="F253" s="250"/>
      <c r="I253" s="251"/>
    </row>
    <row r="254">
      <c r="A254" s="265"/>
      <c r="B254" s="278"/>
      <c r="C254" s="252"/>
      <c r="D254" s="822"/>
      <c r="F254" s="250"/>
      <c r="I254" s="251"/>
    </row>
    <row r="255">
      <c r="A255" s="265"/>
      <c r="B255" s="278"/>
      <c r="C255" s="252"/>
      <c r="D255" s="822"/>
      <c r="F255" s="250"/>
      <c r="I255" s="251"/>
    </row>
    <row r="256">
      <c r="A256" s="270"/>
      <c r="B256" s="271"/>
      <c r="C256" s="272"/>
      <c r="D256" s="823"/>
      <c r="E256" s="18"/>
      <c r="F256" s="274"/>
      <c r="G256" s="18"/>
      <c r="H256" s="18"/>
      <c r="I256" s="261"/>
    </row>
    <row r="257">
      <c r="A257" s="262" t="s">
        <v>500</v>
      </c>
      <c r="B257" s="239"/>
      <c r="C257" s="263">
        <v>32101.84</v>
      </c>
      <c r="D257" s="824"/>
      <c r="E257" s="242"/>
      <c r="F257" s="243"/>
      <c r="G257" s="244" t="s">
        <v>2637</v>
      </c>
      <c r="H257" s="244"/>
      <c r="I257" s="307"/>
    </row>
    <row r="258">
      <c r="A258" s="265"/>
      <c r="B258" s="247"/>
      <c r="C258" s="248"/>
      <c r="D258" s="822"/>
      <c r="F258" s="250">
        <v>280.0</v>
      </c>
      <c r="G258" s="2" t="s">
        <v>63</v>
      </c>
      <c r="I258" s="251"/>
    </row>
    <row r="259">
      <c r="A259" s="265"/>
      <c r="B259" s="247">
        <v>14342.13</v>
      </c>
      <c r="C259" s="252"/>
      <c r="D259" s="822"/>
      <c r="F259" s="250"/>
      <c r="G259" s="2" t="s">
        <v>3085</v>
      </c>
      <c r="I259" s="251"/>
    </row>
    <row r="260">
      <c r="A260" s="265"/>
      <c r="B260" s="247">
        <v>9680.0</v>
      </c>
      <c r="C260" s="248"/>
      <c r="D260" s="822"/>
      <c r="F260" s="250"/>
      <c r="G260" s="2" t="s">
        <v>75</v>
      </c>
      <c r="I260" s="251"/>
    </row>
    <row r="261">
      <c r="A261" s="265"/>
      <c r="B261" s="247"/>
      <c r="C261" s="248"/>
      <c r="D261" s="822"/>
      <c r="F261" s="250">
        <v>7000.0</v>
      </c>
      <c r="G261" s="2" t="s">
        <v>2764</v>
      </c>
      <c r="I261" s="251"/>
    </row>
    <row r="262">
      <c r="A262" s="265"/>
      <c r="B262" s="247">
        <v>3900.0</v>
      </c>
      <c r="C262" s="248"/>
      <c r="D262" s="331"/>
      <c r="F262" s="250"/>
      <c r="G262" s="2" t="s">
        <v>79</v>
      </c>
      <c r="H262" s="2" t="s">
        <v>3086</v>
      </c>
      <c r="I262" s="251"/>
    </row>
    <row r="263">
      <c r="A263" s="265"/>
      <c r="B263" s="268"/>
      <c r="C263" s="252"/>
      <c r="D263" s="331"/>
      <c r="F263" s="250">
        <v>8800.0</v>
      </c>
      <c r="G263" s="2" t="s">
        <v>87</v>
      </c>
      <c r="I263" s="251"/>
    </row>
    <row r="264">
      <c r="A264" s="265"/>
      <c r="B264" s="247">
        <v>1329.0</v>
      </c>
      <c r="C264" s="252"/>
      <c r="D264" s="822"/>
      <c r="F264" s="250"/>
      <c r="G264" s="2" t="s">
        <v>3087</v>
      </c>
      <c r="I264" s="251"/>
    </row>
    <row r="265">
      <c r="A265" s="265"/>
      <c r="B265" s="247">
        <v>6564.72</v>
      </c>
      <c r="C265" s="252"/>
      <c r="D265" s="822"/>
      <c r="F265" s="250"/>
      <c r="G265" s="2" t="s">
        <v>73</v>
      </c>
      <c r="I265" s="251"/>
    </row>
    <row r="266">
      <c r="A266" s="265"/>
      <c r="B266" s="247">
        <v>5988.0</v>
      </c>
      <c r="C266" s="252"/>
      <c r="D266" s="822"/>
      <c r="F266" s="250"/>
      <c r="G266" s="2" t="s">
        <v>74</v>
      </c>
      <c r="I266" s="251"/>
    </row>
    <row r="267">
      <c r="A267" s="265"/>
      <c r="B267" s="268"/>
      <c r="C267" s="252"/>
      <c r="D267" s="822"/>
      <c r="F267" s="250">
        <v>1000.0</v>
      </c>
      <c r="G267" s="2" t="s">
        <v>2534</v>
      </c>
      <c r="I267" s="267"/>
    </row>
    <row r="268">
      <c r="A268" s="265"/>
      <c r="B268" s="268"/>
      <c r="C268" s="252"/>
      <c r="D268" s="822"/>
      <c r="F268" s="250">
        <v>1260.0</v>
      </c>
      <c r="G268" s="2" t="s">
        <v>3088</v>
      </c>
      <c r="I268" s="251"/>
    </row>
    <row r="269">
      <c r="A269" s="265"/>
      <c r="B269" s="268"/>
      <c r="C269" s="252"/>
      <c r="D269" s="822"/>
      <c r="F269" s="250">
        <v>3280.0</v>
      </c>
      <c r="G269" s="2" t="s">
        <v>3089</v>
      </c>
      <c r="I269" s="251"/>
    </row>
    <row r="270">
      <c r="A270" s="270"/>
      <c r="B270" s="271"/>
      <c r="C270" s="272"/>
      <c r="D270" s="823"/>
      <c r="E270" s="18"/>
      <c r="F270" s="259"/>
      <c r="G270" s="293"/>
      <c r="H270" s="18"/>
      <c r="I270" s="261"/>
    </row>
    <row r="271">
      <c r="A271" s="262" t="s">
        <v>503</v>
      </c>
      <c r="B271" s="239">
        <v>3467.0</v>
      </c>
      <c r="C271" s="263"/>
      <c r="D271" s="821"/>
      <c r="E271" s="242"/>
      <c r="F271" s="243"/>
      <c r="G271" s="244" t="s">
        <v>82</v>
      </c>
      <c r="H271" s="244"/>
      <c r="I271" s="307"/>
    </row>
    <row r="272">
      <c r="A272" s="265"/>
      <c r="B272" s="247"/>
      <c r="C272" s="252"/>
      <c r="D272" s="822"/>
      <c r="F272" s="250">
        <v>854.0</v>
      </c>
      <c r="G272" s="2" t="s">
        <v>97</v>
      </c>
      <c r="I272" s="251"/>
    </row>
    <row r="273">
      <c r="A273" s="265"/>
      <c r="B273" s="268"/>
      <c r="C273" s="248"/>
      <c r="D273" s="331"/>
      <c r="F273" s="250">
        <v>9000.0</v>
      </c>
      <c r="G273" s="2" t="s">
        <v>3003</v>
      </c>
      <c r="I273" s="251"/>
    </row>
    <row r="274">
      <c r="A274" s="265"/>
      <c r="B274" s="247"/>
      <c r="C274" s="252"/>
      <c r="D274" s="822"/>
      <c r="F274" s="250">
        <v>6600.0</v>
      </c>
      <c r="G274" s="2" t="s">
        <v>87</v>
      </c>
      <c r="I274" s="251"/>
    </row>
    <row r="275">
      <c r="A275" s="265"/>
      <c r="B275" s="247"/>
      <c r="C275" s="248">
        <v>15049.91</v>
      </c>
      <c r="D275" s="822"/>
      <c r="F275" s="250"/>
      <c r="G275" s="2" t="s">
        <v>84</v>
      </c>
      <c r="I275" s="251"/>
    </row>
    <row r="276">
      <c r="A276" s="265"/>
      <c r="B276" s="247"/>
      <c r="C276" s="252"/>
      <c r="D276" s="822"/>
      <c r="F276" s="250">
        <v>230.0</v>
      </c>
      <c r="G276" s="2" t="s">
        <v>3061</v>
      </c>
      <c r="I276" s="251"/>
    </row>
    <row r="277">
      <c r="A277" s="265"/>
      <c r="B277" s="247"/>
      <c r="C277" s="252"/>
      <c r="D277" s="822"/>
      <c r="F277" s="250">
        <v>160.0</v>
      </c>
      <c r="G277" s="2" t="s">
        <v>3090</v>
      </c>
      <c r="I277" s="251"/>
    </row>
    <row r="278">
      <c r="A278" s="265"/>
      <c r="B278" s="268"/>
      <c r="C278" s="248">
        <v>30000.0</v>
      </c>
      <c r="D278" s="822"/>
      <c r="F278" s="250"/>
      <c r="G278" s="2" t="s">
        <v>2995</v>
      </c>
      <c r="I278" s="251"/>
    </row>
    <row r="279">
      <c r="A279" s="265"/>
      <c r="B279" s="268"/>
      <c r="C279" s="248">
        <v>30000.0</v>
      </c>
      <c r="D279" s="822"/>
      <c r="F279" s="250"/>
      <c r="G279" s="2" t="s">
        <v>2995</v>
      </c>
      <c r="I279" s="251"/>
    </row>
    <row r="280">
      <c r="A280" s="265"/>
      <c r="B280" s="268"/>
      <c r="C280" s="252"/>
      <c r="D280" s="822"/>
      <c r="F280" s="250">
        <v>190.0</v>
      </c>
      <c r="G280" s="2" t="s">
        <v>3091</v>
      </c>
      <c r="I280" s="251"/>
    </row>
    <row r="281">
      <c r="A281" s="265"/>
      <c r="B281" s="268"/>
      <c r="C281" s="252"/>
      <c r="D281" s="822"/>
      <c r="F281" s="250">
        <v>300.0</v>
      </c>
      <c r="G281" s="2" t="s">
        <v>3092</v>
      </c>
      <c r="I281" s="251"/>
    </row>
    <row r="282">
      <c r="A282" s="265"/>
      <c r="B282" s="268"/>
      <c r="C282" s="252"/>
      <c r="D282" s="822"/>
      <c r="F282" s="250">
        <v>963.0</v>
      </c>
      <c r="G282" s="2" t="s">
        <v>453</v>
      </c>
      <c r="I282" s="251"/>
    </row>
    <row r="283">
      <c r="A283" s="270"/>
      <c r="B283" s="271"/>
      <c r="C283" s="272"/>
      <c r="D283" s="823"/>
      <c r="E283" s="18"/>
      <c r="F283" s="259">
        <v>210.0</v>
      </c>
      <c r="G283" s="293" t="s">
        <v>453</v>
      </c>
      <c r="H283" s="18"/>
      <c r="I283" s="261"/>
    </row>
    <row r="284">
      <c r="A284" s="262" t="s">
        <v>506</v>
      </c>
      <c r="B284" s="239"/>
      <c r="C284" s="263"/>
      <c r="D284" s="824"/>
      <c r="E284" s="242"/>
      <c r="F284" s="243">
        <v>3000.0</v>
      </c>
      <c r="G284" s="244" t="s">
        <v>3093</v>
      </c>
      <c r="H284" s="244"/>
      <c r="I284" s="307"/>
    </row>
    <row r="285">
      <c r="A285" s="265"/>
      <c r="B285" s="247"/>
      <c r="C285" s="252"/>
      <c r="D285" s="822"/>
      <c r="F285" s="250">
        <v>190.0</v>
      </c>
      <c r="G285" s="2" t="s">
        <v>3088</v>
      </c>
      <c r="I285" s="251"/>
    </row>
    <row r="286">
      <c r="A286" s="265"/>
      <c r="B286" s="247"/>
      <c r="C286" s="252"/>
      <c r="D286" s="822"/>
      <c r="F286" s="250">
        <v>4230.0</v>
      </c>
      <c r="G286" s="2" t="s">
        <v>1347</v>
      </c>
      <c r="I286" s="251"/>
    </row>
    <row r="287">
      <c r="A287" s="265"/>
      <c r="B287" s="268"/>
      <c r="C287" s="248"/>
      <c r="D287" s="822"/>
      <c r="F287" s="250">
        <v>4020.0</v>
      </c>
      <c r="G287" s="2" t="s">
        <v>2849</v>
      </c>
      <c r="I287" s="251"/>
    </row>
    <row r="288">
      <c r="A288" s="265"/>
      <c r="B288" s="247"/>
      <c r="C288" s="252"/>
      <c r="D288" s="822"/>
      <c r="F288" s="250">
        <v>2500.0</v>
      </c>
      <c r="G288" s="2" t="s">
        <v>2534</v>
      </c>
      <c r="I288" s="251"/>
    </row>
    <row r="289">
      <c r="A289" s="265"/>
      <c r="B289" s="268"/>
      <c r="C289" s="248"/>
      <c r="D289" s="331"/>
      <c r="F289" s="250">
        <v>2700.0</v>
      </c>
      <c r="G289" s="2" t="s">
        <v>453</v>
      </c>
      <c r="I289" s="251"/>
    </row>
    <row r="290">
      <c r="A290" s="265"/>
      <c r="B290" s="247"/>
      <c r="C290" s="252"/>
      <c r="D290" s="331"/>
      <c r="F290" s="250">
        <v>5400.0</v>
      </c>
      <c r="G290" s="2" t="s">
        <v>2669</v>
      </c>
      <c r="I290" s="251"/>
    </row>
    <row r="291">
      <c r="A291" s="265"/>
      <c r="B291" s="247"/>
      <c r="C291" s="248"/>
      <c r="D291" s="822"/>
      <c r="F291" s="250"/>
      <c r="I291" s="251"/>
    </row>
    <row r="292">
      <c r="A292" s="265"/>
      <c r="B292" s="268"/>
      <c r="C292" s="252"/>
      <c r="D292" s="331"/>
      <c r="F292" s="250"/>
      <c r="I292" s="251"/>
    </row>
    <row r="293">
      <c r="A293" s="265"/>
      <c r="B293" s="268"/>
      <c r="C293" s="252"/>
      <c r="D293" s="331"/>
      <c r="F293" s="250"/>
      <c r="I293" s="251"/>
    </row>
    <row r="294">
      <c r="A294" s="265"/>
      <c r="B294" s="268"/>
      <c r="C294" s="252"/>
      <c r="D294" s="822"/>
      <c r="F294" s="250"/>
      <c r="I294" s="251"/>
    </row>
    <row r="295">
      <c r="A295" s="265"/>
      <c r="B295" s="268"/>
      <c r="C295" s="252"/>
      <c r="D295" s="822"/>
      <c r="F295" s="250"/>
      <c r="I295" s="251"/>
    </row>
    <row r="296">
      <c r="A296" s="265"/>
      <c r="B296" s="268"/>
      <c r="C296" s="252"/>
      <c r="D296" s="822"/>
      <c r="F296" s="250"/>
      <c r="I296" s="251"/>
    </row>
    <row r="297">
      <c r="A297" s="270"/>
      <c r="B297" s="271"/>
      <c r="C297" s="272"/>
      <c r="D297" s="823"/>
      <c r="E297" s="18"/>
      <c r="F297" s="274"/>
      <c r="G297" s="18"/>
      <c r="H297" s="18"/>
      <c r="I297" s="261"/>
    </row>
    <row r="298">
      <c r="A298" s="262" t="s">
        <v>508</v>
      </c>
      <c r="B298" s="239"/>
      <c r="C298" s="263"/>
      <c r="D298" s="824"/>
      <c r="E298" s="242"/>
      <c r="F298" s="243">
        <v>784.0</v>
      </c>
      <c r="G298" s="244" t="s">
        <v>3094</v>
      </c>
      <c r="H298" s="244"/>
      <c r="I298" s="307"/>
    </row>
    <row r="299">
      <c r="A299" s="265"/>
      <c r="B299" s="247"/>
      <c r="C299" s="248"/>
      <c r="D299" s="822"/>
      <c r="F299" s="250">
        <v>630.0</v>
      </c>
      <c r="G299" s="2" t="s">
        <v>3095</v>
      </c>
      <c r="I299" s="251"/>
    </row>
    <row r="300">
      <c r="A300" s="265"/>
      <c r="B300" s="247"/>
      <c r="C300" s="248"/>
      <c r="D300" s="822"/>
      <c r="F300" s="250">
        <v>13200.0</v>
      </c>
      <c r="G300" s="2" t="s">
        <v>3050</v>
      </c>
      <c r="I300" s="251"/>
    </row>
    <row r="301">
      <c r="A301" s="265"/>
      <c r="B301" s="247"/>
      <c r="C301" s="248"/>
      <c r="D301" s="822"/>
      <c r="F301" s="250">
        <v>120.0</v>
      </c>
      <c r="G301" s="2" t="s">
        <v>3096</v>
      </c>
      <c r="I301" s="251"/>
    </row>
    <row r="302">
      <c r="A302" s="265"/>
      <c r="B302" s="247"/>
      <c r="C302" s="252"/>
      <c r="D302" s="822"/>
      <c r="F302" s="250"/>
      <c r="I302" s="251"/>
    </row>
    <row r="303">
      <c r="A303" s="265"/>
      <c r="B303" s="247"/>
      <c r="C303" s="252"/>
      <c r="D303" s="822"/>
      <c r="F303" s="250"/>
      <c r="I303" s="251"/>
    </row>
    <row r="304">
      <c r="A304" s="265"/>
      <c r="B304" s="247"/>
      <c r="C304" s="248"/>
      <c r="D304" s="822"/>
      <c r="F304" s="250"/>
      <c r="I304" s="251"/>
    </row>
    <row r="305">
      <c r="A305" s="265"/>
      <c r="B305" s="247"/>
      <c r="C305" s="252"/>
      <c r="D305" s="822"/>
      <c r="F305" s="250"/>
      <c r="I305" s="251"/>
    </row>
    <row r="306">
      <c r="A306" s="265"/>
      <c r="B306" s="247"/>
      <c r="C306" s="252"/>
      <c r="D306" s="822"/>
      <c r="F306" s="250"/>
      <c r="I306" s="251"/>
    </row>
    <row r="307">
      <c r="A307" s="265"/>
      <c r="B307" s="268"/>
      <c r="C307" s="252"/>
      <c r="D307" s="822"/>
      <c r="F307" s="250"/>
      <c r="I307" s="251"/>
    </row>
    <row r="308">
      <c r="A308" s="265"/>
      <c r="B308" s="268"/>
      <c r="C308" s="252"/>
      <c r="D308" s="822"/>
      <c r="F308" s="250"/>
      <c r="G308" s="266"/>
      <c r="H308" s="309"/>
      <c r="I308" s="251"/>
    </row>
    <row r="309">
      <c r="A309" s="265"/>
      <c r="B309" s="268"/>
      <c r="C309" s="252"/>
      <c r="D309" s="822"/>
      <c r="F309" s="250"/>
      <c r="I309" s="251"/>
    </row>
    <row r="310">
      <c r="A310" s="265"/>
      <c r="B310" s="268"/>
      <c r="C310" s="252"/>
      <c r="D310" s="822"/>
      <c r="F310" s="250"/>
      <c r="I310" s="251"/>
    </row>
    <row r="311">
      <c r="A311" s="265"/>
      <c r="B311" s="268"/>
      <c r="C311" s="252"/>
      <c r="D311" s="822"/>
      <c r="F311" s="250"/>
      <c r="I311" s="251"/>
    </row>
    <row r="312">
      <c r="A312" s="270"/>
      <c r="B312" s="271"/>
      <c r="C312" s="272"/>
      <c r="D312" s="823"/>
      <c r="E312" s="18"/>
      <c r="F312" s="274"/>
      <c r="G312" s="18"/>
      <c r="H312" s="18"/>
      <c r="I312" s="261"/>
    </row>
    <row r="313">
      <c r="A313" s="262" t="s">
        <v>510</v>
      </c>
      <c r="B313" s="239"/>
      <c r="C313" s="240"/>
      <c r="D313" s="821"/>
      <c r="E313" s="242"/>
      <c r="F313" s="250">
        <v>770.0</v>
      </c>
      <c r="G313" s="2" t="s">
        <v>3088</v>
      </c>
      <c r="I313" s="307"/>
    </row>
    <row r="314">
      <c r="A314" s="265"/>
      <c r="B314" s="268"/>
      <c r="C314" s="252"/>
      <c r="D314" s="822"/>
      <c r="F314" s="250">
        <v>120.0</v>
      </c>
      <c r="G314" s="2" t="s">
        <v>3097</v>
      </c>
      <c r="I314" s="251"/>
    </row>
    <row r="315">
      <c r="A315" s="265"/>
      <c r="B315" s="268"/>
      <c r="C315" s="252"/>
      <c r="D315" s="331"/>
      <c r="F315" s="250"/>
      <c r="I315" s="251"/>
    </row>
    <row r="316">
      <c r="A316" s="265"/>
      <c r="B316" s="247"/>
      <c r="C316" s="248"/>
      <c r="D316" s="822"/>
      <c r="F316" s="250"/>
      <c r="I316" s="251"/>
    </row>
    <row r="317">
      <c r="A317" s="265"/>
      <c r="B317" s="247"/>
      <c r="C317" s="252"/>
      <c r="D317" s="822"/>
      <c r="F317" s="250"/>
      <c r="I317" s="251"/>
    </row>
    <row r="318">
      <c r="A318" s="265"/>
      <c r="B318" s="247"/>
      <c r="C318" s="252"/>
      <c r="D318" s="822"/>
      <c r="F318" s="250"/>
      <c r="I318" s="251"/>
    </row>
    <row r="319">
      <c r="A319" s="265"/>
      <c r="B319" s="268"/>
      <c r="C319" s="252"/>
      <c r="D319" s="331"/>
      <c r="F319" s="250"/>
      <c r="I319" s="251"/>
    </row>
    <row r="320">
      <c r="A320" s="265"/>
      <c r="B320" s="268"/>
      <c r="C320" s="252"/>
      <c r="D320" s="822"/>
      <c r="F320" s="250"/>
      <c r="I320" s="251"/>
    </row>
    <row r="321">
      <c r="A321" s="265"/>
      <c r="B321" s="268"/>
      <c r="C321" s="252"/>
      <c r="D321" s="822"/>
      <c r="F321" s="250"/>
      <c r="I321" s="251"/>
    </row>
    <row r="322">
      <c r="A322" s="265"/>
      <c r="B322" s="268"/>
      <c r="C322" s="252"/>
      <c r="D322" s="822"/>
      <c r="F322" s="250"/>
      <c r="I322" s="251"/>
    </row>
    <row r="323">
      <c r="A323" s="270"/>
      <c r="B323" s="271"/>
      <c r="C323" s="272"/>
      <c r="D323" s="823"/>
      <c r="E323" s="18"/>
      <c r="F323" s="274"/>
      <c r="G323" s="18"/>
      <c r="H323" s="18"/>
      <c r="I323" s="261"/>
    </row>
    <row r="324">
      <c r="A324" s="262" t="s">
        <v>513</v>
      </c>
      <c r="B324" s="239">
        <v>5927.0</v>
      </c>
      <c r="C324" s="263"/>
      <c r="D324" s="824"/>
      <c r="E324" s="242"/>
      <c r="F324" s="243"/>
      <c r="G324" s="244" t="s">
        <v>3019</v>
      </c>
      <c r="H324" s="244"/>
      <c r="I324" s="307"/>
    </row>
    <row r="325">
      <c r="A325" s="265"/>
      <c r="B325" s="247"/>
      <c r="C325" s="248"/>
      <c r="D325" s="822"/>
      <c r="F325" s="250">
        <v>2000.0</v>
      </c>
      <c r="G325" s="2" t="s">
        <v>3098</v>
      </c>
      <c r="I325" s="251"/>
    </row>
    <row r="326">
      <c r="A326" s="265"/>
      <c r="B326" s="268"/>
      <c r="C326" s="248"/>
      <c r="D326" s="822"/>
      <c r="F326" s="250">
        <v>378.0</v>
      </c>
      <c r="G326" s="2" t="s">
        <v>3099</v>
      </c>
      <c r="I326" s="251"/>
    </row>
    <row r="327">
      <c r="A327" s="265"/>
      <c r="B327" s="268"/>
      <c r="C327" s="252"/>
      <c r="D327" s="822"/>
      <c r="F327" s="250">
        <v>918.0</v>
      </c>
      <c r="G327" s="2" t="s">
        <v>97</v>
      </c>
      <c r="I327" s="251"/>
    </row>
    <row r="328">
      <c r="A328" s="265"/>
      <c r="B328" s="247"/>
      <c r="C328" s="248"/>
      <c r="D328" s="331"/>
      <c r="F328" s="250">
        <v>1300.0</v>
      </c>
      <c r="G328" s="2" t="s">
        <v>2534</v>
      </c>
      <c r="I328" s="251"/>
    </row>
    <row r="329">
      <c r="A329" s="265"/>
      <c r="B329" s="247"/>
      <c r="C329" s="252"/>
      <c r="D329" s="822"/>
      <c r="F329" s="250">
        <v>4000.0</v>
      </c>
      <c r="G329" s="2" t="s">
        <v>3078</v>
      </c>
      <c r="I329" s="251"/>
    </row>
    <row r="330">
      <c r="A330" s="265"/>
      <c r="B330" s="247"/>
      <c r="C330" s="252"/>
      <c r="D330" s="822"/>
      <c r="F330" s="250">
        <v>2200.0</v>
      </c>
      <c r="G330" s="2" t="s">
        <v>3100</v>
      </c>
      <c r="I330" s="251"/>
    </row>
    <row r="331">
      <c r="A331" s="265"/>
      <c r="B331" s="247">
        <v>40837.5</v>
      </c>
      <c r="C331" s="252"/>
      <c r="D331" s="822"/>
      <c r="F331" s="250"/>
      <c r="G331" s="2" t="s">
        <v>131</v>
      </c>
      <c r="I331" s="251"/>
    </row>
    <row r="332">
      <c r="A332" s="265"/>
      <c r="B332" s="247">
        <v>2029.0</v>
      </c>
      <c r="C332" s="252"/>
      <c r="D332" s="822"/>
      <c r="F332" s="250"/>
      <c r="G332" s="2" t="s">
        <v>3101</v>
      </c>
      <c r="I332" s="251"/>
    </row>
    <row r="333">
      <c r="A333" s="265"/>
      <c r="B333" s="247">
        <v>8690.0</v>
      </c>
      <c r="C333" s="252"/>
      <c r="D333" s="822"/>
      <c r="F333" s="250"/>
      <c r="G333" s="2" t="s">
        <v>3102</v>
      </c>
      <c r="I333" s="251"/>
    </row>
    <row r="334">
      <c r="A334" s="265"/>
      <c r="B334" s="247">
        <v>8750.0</v>
      </c>
      <c r="C334" s="252"/>
      <c r="D334" s="822"/>
      <c r="F334" s="250"/>
      <c r="G334" s="2" t="s">
        <v>3102</v>
      </c>
      <c r="I334" s="251"/>
    </row>
    <row r="335">
      <c r="A335" s="265"/>
      <c r="B335" s="247"/>
      <c r="C335" s="252"/>
      <c r="D335" s="331">
        <v>15000.0</v>
      </c>
      <c r="F335" s="250"/>
      <c r="G335" s="2" t="s">
        <v>453</v>
      </c>
      <c r="I335" s="251"/>
    </row>
    <row r="336">
      <c r="A336" s="270"/>
      <c r="B336" s="271"/>
      <c r="C336" s="272"/>
      <c r="D336" s="823"/>
      <c r="E336" s="18"/>
      <c r="F336" s="259">
        <v>2000.0</v>
      </c>
      <c r="G336" s="293" t="s">
        <v>3103</v>
      </c>
      <c r="H336" s="18"/>
      <c r="I336" s="261"/>
    </row>
    <row r="337">
      <c r="A337" s="262" t="s">
        <v>518</v>
      </c>
      <c r="B337" s="306"/>
      <c r="C337" s="240"/>
      <c r="D337" s="824"/>
      <c r="E337" s="242"/>
      <c r="F337" s="243">
        <v>1557.0</v>
      </c>
      <c r="G337" s="244" t="s">
        <v>97</v>
      </c>
      <c r="H337" s="244"/>
      <c r="I337" s="307"/>
    </row>
    <row r="338">
      <c r="A338" s="265"/>
      <c r="B338" s="247"/>
      <c r="C338" s="248">
        <v>30273.55</v>
      </c>
      <c r="D338" s="822"/>
      <c r="F338" s="250"/>
      <c r="G338" s="2" t="s">
        <v>71</v>
      </c>
      <c r="I338" s="251"/>
    </row>
    <row r="339">
      <c r="A339" s="265"/>
      <c r="B339" s="247">
        <v>12788.62</v>
      </c>
      <c r="C339" s="252"/>
      <c r="D339" s="822"/>
      <c r="F339" s="250"/>
      <c r="G339" s="2" t="s">
        <v>73</v>
      </c>
      <c r="I339" s="251"/>
    </row>
    <row r="340">
      <c r="A340" s="265"/>
      <c r="B340" s="247"/>
      <c r="C340" s="248"/>
      <c r="D340" s="331"/>
      <c r="F340" s="250">
        <v>5340.0</v>
      </c>
      <c r="G340" s="2" t="s">
        <v>76</v>
      </c>
      <c r="I340" s="251"/>
    </row>
    <row r="341">
      <c r="A341" s="265"/>
      <c r="B341" s="247">
        <v>8870.0</v>
      </c>
      <c r="C341" s="252"/>
      <c r="D341" s="822"/>
      <c r="F341" s="250"/>
      <c r="G341" s="2" t="s">
        <v>114</v>
      </c>
      <c r="I341" s="251"/>
    </row>
    <row r="342">
      <c r="A342" s="265"/>
      <c r="B342" s="247">
        <v>14280.0</v>
      </c>
      <c r="C342" s="252"/>
      <c r="D342" s="822"/>
      <c r="F342" s="250"/>
      <c r="G342" s="2" t="s">
        <v>1750</v>
      </c>
      <c r="I342" s="251"/>
    </row>
    <row r="343">
      <c r="A343" s="265"/>
      <c r="B343" s="247">
        <v>7300.0</v>
      </c>
      <c r="C343" s="252"/>
      <c r="D343" s="822"/>
      <c r="F343" s="250"/>
      <c r="G343" s="2" t="s">
        <v>79</v>
      </c>
      <c r="H343" s="318"/>
      <c r="I343" s="251"/>
    </row>
    <row r="344">
      <c r="A344" s="265"/>
      <c r="B344" s="268"/>
      <c r="C344" s="252"/>
      <c r="D344" s="331"/>
      <c r="F344" s="250">
        <v>15400.0</v>
      </c>
      <c r="G344" s="2" t="s">
        <v>87</v>
      </c>
      <c r="I344" s="251"/>
    </row>
    <row r="345">
      <c r="A345" s="265"/>
      <c r="B345" s="268"/>
      <c r="C345" s="252"/>
      <c r="D345" s="822"/>
      <c r="F345" s="250">
        <v>200.0</v>
      </c>
      <c r="G345" s="2" t="s">
        <v>3104</v>
      </c>
      <c r="I345" s="251"/>
    </row>
    <row r="346">
      <c r="A346" s="265"/>
      <c r="B346" s="268"/>
      <c r="C346" s="252"/>
      <c r="D346" s="822"/>
      <c r="F346" s="250">
        <v>100.0</v>
      </c>
      <c r="G346" s="2" t="s">
        <v>3105</v>
      </c>
      <c r="I346" s="251"/>
    </row>
    <row r="347">
      <c r="A347" s="265"/>
      <c r="B347" s="268"/>
      <c r="C347" s="252"/>
      <c r="D347" s="822"/>
      <c r="F347" s="250">
        <v>210.0</v>
      </c>
      <c r="G347" s="2" t="s">
        <v>63</v>
      </c>
      <c r="I347" s="251"/>
    </row>
    <row r="348">
      <c r="A348" s="265"/>
      <c r="B348" s="247">
        <v>2409.0</v>
      </c>
      <c r="C348" s="252"/>
      <c r="D348" s="822"/>
      <c r="F348" s="250"/>
      <c r="G348" s="2" t="s">
        <v>434</v>
      </c>
      <c r="I348" s="251"/>
    </row>
    <row r="349">
      <c r="A349" s="265"/>
      <c r="B349" s="268"/>
      <c r="C349" s="252"/>
      <c r="D349" s="822"/>
      <c r="F349" s="250">
        <v>2340.0</v>
      </c>
      <c r="G349" s="2" t="s">
        <v>2987</v>
      </c>
      <c r="I349" s="251"/>
    </row>
    <row r="350">
      <c r="A350" s="265"/>
      <c r="B350" s="268"/>
      <c r="C350" s="252"/>
      <c r="D350" s="822"/>
      <c r="F350" s="250">
        <v>1000.0</v>
      </c>
      <c r="G350" s="2" t="s">
        <v>3032</v>
      </c>
      <c r="I350" s="251"/>
    </row>
    <row r="351">
      <c r="A351" s="265"/>
      <c r="B351" s="268"/>
      <c r="C351" s="252"/>
      <c r="D351" s="822"/>
      <c r="F351" s="250">
        <v>1160.0</v>
      </c>
      <c r="G351" s="2" t="s">
        <v>3106</v>
      </c>
      <c r="I351" s="251"/>
    </row>
    <row r="352">
      <c r="A352" s="265"/>
      <c r="B352" s="268"/>
      <c r="C352" s="252"/>
      <c r="D352" s="822"/>
      <c r="F352" s="250" t="s">
        <v>3107</v>
      </c>
      <c r="G352" s="2" t="s">
        <v>3108</v>
      </c>
      <c r="I352" s="251"/>
    </row>
    <row r="353">
      <c r="A353" s="265"/>
      <c r="B353" s="268"/>
      <c r="C353" s="252"/>
      <c r="D353" s="822"/>
      <c r="F353" s="250"/>
      <c r="I353" s="251"/>
    </row>
    <row r="354">
      <c r="A354" s="270"/>
      <c r="B354" s="271"/>
      <c r="C354" s="272"/>
      <c r="D354" s="823"/>
      <c r="E354" s="18"/>
      <c r="F354" s="274"/>
      <c r="G354" s="18"/>
      <c r="H354" s="293" t="s">
        <v>2817</v>
      </c>
      <c r="I354" s="261"/>
    </row>
    <row r="355">
      <c r="A355" s="262" t="s">
        <v>187</v>
      </c>
      <c r="B355" s="239">
        <v>13069.85</v>
      </c>
      <c r="C355" s="240"/>
      <c r="D355" s="821"/>
      <c r="E355" s="242"/>
      <c r="F355" s="243"/>
      <c r="G355" s="2" t="s">
        <v>188</v>
      </c>
      <c r="H355" s="318">
        <v>44508.0</v>
      </c>
      <c r="I355" s="307"/>
    </row>
    <row r="356">
      <c r="A356" s="265"/>
      <c r="B356" s="247"/>
      <c r="C356" s="248"/>
      <c r="D356" s="331">
        <v>9975.91</v>
      </c>
      <c r="F356" s="250"/>
      <c r="G356" s="2" t="s">
        <v>2819</v>
      </c>
      <c r="H356" s="318">
        <v>44508.0</v>
      </c>
      <c r="I356" s="251"/>
    </row>
    <row r="357">
      <c r="A357" s="265"/>
      <c r="B357" s="247">
        <v>19347.0</v>
      </c>
      <c r="C357" s="248"/>
      <c r="D357" s="331"/>
      <c r="F357" s="250"/>
      <c r="G357" s="2" t="s">
        <v>2819</v>
      </c>
      <c r="H357" s="318">
        <v>44508.0</v>
      </c>
      <c r="I357" s="267" t="s">
        <v>3109</v>
      </c>
    </row>
    <row r="358">
      <c r="A358" s="265"/>
      <c r="B358" s="247">
        <f>2204+1529.6</f>
        <v>3733.6</v>
      </c>
      <c r="C358" s="248"/>
      <c r="D358" s="331"/>
      <c r="F358" s="250"/>
      <c r="G358" s="2" t="s">
        <v>2284</v>
      </c>
      <c r="H358" s="318">
        <v>44508.0</v>
      </c>
      <c r="I358" s="267" t="s">
        <v>3110</v>
      </c>
    </row>
    <row r="359">
      <c r="A359" s="265"/>
      <c r="B359" s="268"/>
      <c r="C359" s="252"/>
      <c r="D359" s="331">
        <v>48400.0</v>
      </c>
      <c r="F359" s="250"/>
      <c r="G359" s="2" t="s">
        <v>192</v>
      </c>
      <c r="H359" s="318">
        <v>44517.0</v>
      </c>
      <c r="I359" s="251"/>
    </row>
    <row r="360">
      <c r="A360" s="265"/>
      <c r="B360" s="268"/>
      <c r="C360" s="252"/>
      <c r="D360" s="822"/>
      <c r="F360" s="250">
        <v>30000.0</v>
      </c>
      <c r="G360" s="2" t="s">
        <v>193</v>
      </c>
      <c r="H360" s="318">
        <v>44531.0</v>
      </c>
      <c r="I360" s="251"/>
    </row>
    <row r="361">
      <c r="A361" s="265"/>
      <c r="B361" s="247">
        <v>8970.0</v>
      </c>
      <c r="C361" s="252"/>
      <c r="D361" s="331"/>
      <c r="F361" s="250"/>
      <c r="G361" s="2" t="s">
        <v>194</v>
      </c>
      <c r="H361" s="318">
        <v>44508.0</v>
      </c>
      <c r="I361" s="251"/>
    </row>
    <row r="362">
      <c r="A362" s="265"/>
      <c r="B362" s="268"/>
      <c r="C362" s="252"/>
      <c r="D362" s="331">
        <v>13500.0</v>
      </c>
      <c r="F362" s="250"/>
      <c r="G362" s="2" t="s">
        <v>196</v>
      </c>
      <c r="H362" s="318">
        <v>44516.0</v>
      </c>
      <c r="I362" s="251"/>
    </row>
    <row r="363">
      <c r="A363" s="265"/>
      <c r="B363" s="268"/>
      <c r="C363" s="252"/>
      <c r="D363" s="331">
        <v>4432.81</v>
      </c>
      <c r="F363" s="250"/>
      <c r="G363" s="2" t="s">
        <v>2285</v>
      </c>
      <c r="H363" s="2" t="s">
        <v>2821</v>
      </c>
      <c r="I363" s="251"/>
    </row>
    <row r="364">
      <c r="A364" s="265"/>
      <c r="B364" s="268"/>
      <c r="C364" s="252"/>
      <c r="D364" s="331">
        <v>4064.24</v>
      </c>
      <c r="F364" s="250"/>
      <c r="G364" s="2" t="s">
        <v>199</v>
      </c>
      <c r="H364" s="2" t="s">
        <v>2821</v>
      </c>
      <c r="I364" s="251"/>
    </row>
    <row r="365">
      <c r="A365" s="265"/>
      <c r="B365" s="247"/>
      <c r="C365" s="252"/>
      <c r="D365" s="822"/>
      <c r="F365" s="250"/>
      <c r="G365" s="2" t="s">
        <v>200</v>
      </c>
      <c r="H365" s="2" t="s">
        <v>2821</v>
      </c>
      <c r="I365" s="267"/>
    </row>
    <row r="366">
      <c r="A366" s="270"/>
      <c r="B366" s="271"/>
      <c r="C366" s="272"/>
      <c r="D366" s="823"/>
      <c r="E366" s="18"/>
      <c r="F366" s="274"/>
      <c r="G366" s="18"/>
      <c r="H366" s="18"/>
      <c r="I366" s="261"/>
    </row>
    <row r="367">
      <c r="A367" s="262" t="s">
        <v>3111</v>
      </c>
      <c r="B367" s="306"/>
      <c r="C367" s="263"/>
      <c r="D367" s="824"/>
      <c r="E367" s="242"/>
      <c r="F367" s="243"/>
      <c r="G367" s="244"/>
      <c r="H367" s="244"/>
      <c r="I367" s="307"/>
    </row>
    <row r="368">
      <c r="A368" s="265"/>
      <c r="B368" s="268">
        <f>SUM(B2:D367)</f>
        <v>877620.55</v>
      </c>
      <c r="C368" s="248"/>
      <c r="D368" s="331"/>
      <c r="F368" s="250">
        <f>SUM(F2:F367)</f>
        <v>380071</v>
      </c>
      <c r="G368" s="826">
        <f>SUM(B368:F368)</f>
        <v>1257691.55</v>
      </c>
      <c r="I368" s="251"/>
    </row>
    <row r="369">
      <c r="A369" s="265"/>
      <c r="B369" s="268"/>
      <c r="C369" s="252"/>
      <c r="D369" s="331"/>
      <c r="F369" s="250"/>
      <c r="I369" s="251"/>
    </row>
    <row r="370">
      <c r="A370" s="265"/>
      <c r="B370" s="268"/>
      <c r="C370" s="252"/>
      <c r="D370" s="822"/>
      <c r="F370" s="250"/>
      <c r="I370" s="251"/>
    </row>
    <row r="371">
      <c r="A371" s="265"/>
      <c r="B371" s="268"/>
      <c r="C371" s="248"/>
      <c r="D371" s="331"/>
      <c r="F371" s="250"/>
      <c r="I371" s="251"/>
    </row>
    <row r="372">
      <c r="A372" s="265"/>
      <c r="B372" s="268"/>
      <c r="C372" s="252"/>
      <c r="D372" s="331"/>
      <c r="F372" s="250"/>
      <c r="I372" s="251"/>
    </row>
    <row r="373">
      <c r="A373" s="265"/>
      <c r="B373" s="268"/>
      <c r="C373" s="252"/>
      <c r="D373" s="822"/>
      <c r="F373" s="250"/>
      <c r="I373" s="251"/>
    </row>
    <row r="374">
      <c r="A374" s="265"/>
      <c r="B374" s="268"/>
      <c r="C374" s="252"/>
      <c r="D374" s="331"/>
      <c r="F374" s="250"/>
      <c r="I374" s="251"/>
    </row>
    <row r="375">
      <c r="A375" s="265"/>
      <c r="B375" s="268"/>
      <c r="C375" s="252"/>
      <c r="D375" s="822"/>
      <c r="F375" s="250"/>
      <c r="I375" s="251"/>
    </row>
    <row r="376">
      <c r="A376" s="265"/>
      <c r="B376" s="268"/>
      <c r="C376" s="252"/>
      <c r="D376" s="822"/>
      <c r="F376" s="250"/>
      <c r="I376" s="251"/>
    </row>
    <row r="377">
      <c r="A377" s="265"/>
      <c r="B377" s="268"/>
      <c r="C377" s="252"/>
      <c r="D377" s="331"/>
      <c r="F377" s="250"/>
      <c r="I377" s="251"/>
    </row>
    <row r="378">
      <c r="A378" s="265"/>
      <c r="B378" s="268"/>
      <c r="C378" s="252"/>
      <c r="D378" s="822"/>
      <c r="F378" s="250"/>
      <c r="I378" s="251"/>
    </row>
    <row r="379">
      <c r="A379" s="270"/>
      <c r="B379" s="271"/>
      <c r="C379" s="272"/>
      <c r="D379" s="823"/>
      <c r="E379" s="18"/>
      <c r="F379" s="274"/>
      <c r="G379" s="18"/>
      <c r="H379" s="18"/>
      <c r="I379" s="261"/>
    </row>
    <row r="380">
      <c r="A380" s="262"/>
      <c r="B380" s="306"/>
      <c r="C380" s="263"/>
      <c r="D380" s="824"/>
      <c r="E380" s="242"/>
      <c r="F380" s="243"/>
      <c r="G380" s="244"/>
      <c r="H380" s="244"/>
      <c r="I380" s="307"/>
    </row>
    <row r="381">
      <c r="A381" s="265"/>
      <c r="B381" s="268"/>
      <c r="C381" s="248"/>
      <c r="D381" s="331"/>
      <c r="F381" s="250"/>
      <c r="I381" s="251"/>
    </row>
    <row r="382">
      <c r="A382" s="265"/>
      <c r="B382" s="268"/>
      <c r="C382" s="252"/>
      <c r="D382" s="822"/>
      <c r="F382" s="250"/>
      <c r="I382" s="251"/>
    </row>
    <row r="383">
      <c r="A383" s="265"/>
      <c r="B383" s="268"/>
      <c r="C383" s="252"/>
      <c r="D383" s="822"/>
      <c r="F383" s="250"/>
      <c r="I383" s="251"/>
    </row>
    <row r="384">
      <c r="A384" s="265"/>
      <c r="B384" s="268"/>
      <c r="C384" s="252"/>
      <c r="D384" s="331"/>
      <c r="F384" s="250"/>
      <c r="I384" s="251"/>
    </row>
    <row r="385">
      <c r="A385" s="265"/>
      <c r="B385" s="268"/>
      <c r="C385" s="252"/>
      <c r="D385" s="822"/>
      <c r="F385" s="250"/>
      <c r="I385" s="251"/>
    </row>
    <row r="386">
      <c r="A386" s="265"/>
      <c r="B386" s="268"/>
      <c r="C386" s="252"/>
      <c r="D386" s="822"/>
      <c r="F386" s="250"/>
      <c r="I386" s="251"/>
    </row>
    <row r="387">
      <c r="A387" s="265"/>
      <c r="B387" s="268"/>
      <c r="C387" s="252"/>
      <c r="D387" s="822"/>
      <c r="F387" s="250"/>
      <c r="I387" s="251"/>
    </row>
    <row r="388">
      <c r="A388" s="265"/>
      <c r="B388" s="268"/>
      <c r="C388" s="252"/>
      <c r="D388" s="822"/>
      <c r="F388" s="250"/>
      <c r="I388" s="251"/>
    </row>
    <row r="389">
      <c r="A389" s="265"/>
      <c r="B389" s="278"/>
      <c r="C389" s="252"/>
      <c r="D389" s="822"/>
      <c r="F389" s="282"/>
      <c r="I389" s="251"/>
    </row>
    <row r="390">
      <c r="A390" s="265"/>
      <c r="B390" s="278"/>
      <c r="C390" s="252"/>
      <c r="D390" s="822"/>
      <c r="F390" s="282"/>
      <c r="I390" s="251"/>
    </row>
    <row r="391">
      <c r="A391" s="270"/>
      <c r="B391" s="271"/>
      <c r="C391" s="272"/>
      <c r="D391" s="823"/>
      <c r="E391" s="18"/>
      <c r="F391" s="274"/>
      <c r="G391" s="18"/>
      <c r="H391" s="18"/>
      <c r="I391" s="261"/>
    </row>
    <row r="392">
      <c r="A392" s="305"/>
      <c r="B392" s="306"/>
      <c r="C392" s="240"/>
      <c r="D392" s="824"/>
      <c r="E392" s="242"/>
      <c r="F392" s="243"/>
      <c r="G392" s="244"/>
      <c r="H392" s="244"/>
      <c r="I392" s="307"/>
    </row>
    <row r="393">
      <c r="A393" s="265"/>
      <c r="B393" s="268"/>
      <c r="C393" s="252"/>
      <c r="D393" s="331"/>
      <c r="F393" s="250"/>
      <c r="I393" s="251"/>
    </row>
    <row r="394">
      <c r="A394" s="265"/>
      <c r="B394" s="268"/>
      <c r="C394" s="252"/>
      <c r="D394" s="822"/>
      <c r="F394" s="250"/>
      <c r="I394" s="251"/>
    </row>
    <row r="395">
      <c r="A395" s="265"/>
      <c r="B395" s="268"/>
      <c r="C395" s="252"/>
      <c r="D395" s="331"/>
      <c r="F395" s="250"/>
      <c r="I395" s="251"/>
    </row>
    <row r="396">
      <c r="A396" s="265"/>
      <c r="B396" s="268"/>
      <c r="C396" s="252"/>
      <c r="D396" s="822"/>
      <c r="F396" s="250"/>
      <c r="I396" s="251"/>
    </row>
    <row r="397">
      <c r="A397" s="265"/>
      <c r="B397" s="268"/>
      <c r="C397" s="252"/>
      <c r="D397" s="331"/>
      <c r="F397" s="250"/>
      <c r="I397" s="251"/>
    </row>
    <row r="398">
      <c r="A398" s="265"/>
      <c r="B398" s="268"/>
      <c r="C398" s="252"/>
      <c r="D398" s="822"/>
      <c r="F398" s="250"/>
      <c r="I398" s="251"/>
    </row>
    <row r="399">
      <c r="A399" s="265"/>
      <c r="B399" s="268"/>
      <c r="C399" s="252"/>
      <c r="D399" s="822"/>
      <c r="F399" s="250"/>
      <c r="I399" s="251"/>
    </row>
    <row r="400">
      <c r="A400" s="265"/>
      <c r="B400" s="268"/>
      <c r="C400" s="252"/>
      <c r="D400" s="822"/>
      <c r="F400" s="250"/>
      <c r="I400" s="251"/>
    </row>
    <row r="401">
      <c r="A401" s="265"/>
      <c r="B401" s="268"/>
      <c r="C401" s="252"/>
      <c r="D401" s="822"/>
      <c r="F401" s="250"/>
      <c r="I401" s="251"/>
    </row>
    <row r="402">
      <c r="A402" s="265"/>
      <c r="B402" s="268"/>
      <c r="C402" s="252"/>
      <c r="D402" s="822"/>
      <c r="F402" s="250"/>
      <c r="I402" s="251"/>
    </row>
    <row r="403">
      <c r="A403" s="270"/>
      <c r="B403" s="271"/>
      <c r="C403" s="272"/>
      <c r="D403" s="823"/>
      <c r="E403" s="18"/>
      <c r="F403" s="274"/>
      <c r="G403" s="18"/>
      <c r="H403" s="18"/>
      <c r="I403" s="261"/>
    </row>
    <row r="404">
      <c r="A404" s="305"/>
      <c r="B404" s="306"/>
      <c r="C404" s="240"/>
      <c r="D404" s="824"/>
      <c r="E404" s="242"/>
      <c r="F404" s="243"/>
      <c r="G404" s="244"/>
      <c r="H404" s="244"/>
      <c r="I404" s="307"/>
    </row>
    <row r="405">
      <c r="A405" s="265"/>
      <c r="B405" s="268"/>
      <c r="C405" s="252"/>
      <c r="D405" s="822"/>
      <c r="F405" s="250"/>
      <c r="H405" s="252"/>
      <c r="I405" s="251"/>
    </row>
    <row r="406">
      <c r="A406" s="265"/>
      <c r="B406" s="268"/>
      <c r="C406" s="252"/>
      <c r="D406" s="822"/>
      <c r="F406" s="250"/>
      <c r="H406" s="252"/>
      <c r="I406" s="251"/>
    </row>
    <row r="407">
      <c r="A407" s="265"/>
      <c r="B407" s="268"/>
      <c r="C407" s="252"/>
      <c r="D407" s="822"/>
      <c r="F407" s="250"/>
      <c r="H407" s="252"/>
      <c r="I407" s="251"/>
    </row>
    <row r="408">
      <c r="A408" s="265"/>
      <c r="B408" s="268"/>
      <c r="C408" s="252"/>
      <c r="D408" s="822"/>
      <c r="F408" s="250"/>
      <c r="H408" s="252"/>
      <c r="I408" s="251"/>
    </row>
    <row r="409">
      <c r="A409" s="265"/>
      <c r="B409" s="268"/>
      <c r="C409" s="252"/>
      <c r="D409" s="822"/>
      <c r="F409" s="250"/>
      <c r="I409" s="251"/>
    </row>
    <row r="410">
      <c r="A410" s="265"/>
      <c r="B410" s="268"/>
      <c r="C410" s="252"/>
      <c r="D410" s="822"/>
      <c r="F410" s="250"/>
      <c r="I410" s="251"/>
    </row>
    <row r="411">
      <c r="A411" s="265"/>
      <c r="B411" s="268"/>
      <c r="C411" s="252"/>
      <c r="D411" s="822"/>
      <c r="F411" s="250"/>
      <c r="I411" s="251"/>
    </row>
    <row r="412">
      <c r="A412" s="265"/>
      <c r="B412" s="268"/>
      <c r="C412" s="252"/>
      <c r="D412" s="822"/>
      <c r="F412" s="250"/>
      <c r="I412" s="251"/>
    </row>
    <row r="413">
      <c r="A413" s="270"/>
      <c r="B413" s="271"/>
      <c r="C413" s="272"/>
      <c r="D413" s="823"/>
      <c r="E413" s="18"/>
      <c r="F413" s="274"/>
      <c r="G413" s="18"/>
      <c r="H413" s="18"/>
      <c r="I413" s="261"/>
    </row>
    <row r="414">
      <c r="A414" s="305"/>
      <c r="B414" s="306"/>
      <c r="C414" s="240"/>
      <c r="D414" s="824"/>
      <c r="E414" s="242"/>
      <c r="F414" s="243"/>
      <c r="G414" s="244"/>
      <c r="H414" s="244"/>
      <c r="I414" s="307"/>
    </row>
    <row r="415">
      <c r="A415" s="265"/>
      <c r="B415" s="268"/>
      <c r="C415" s="252"/>
      <c r="D415" s="822"/>
      <c r="F415" s="250"/>
      <c r="I415" s="251"/>
    </row>
    <row r="416">
      <c r="A416" s="265"/>
      <c r="B416" s="268"/>
      <c r="C416" s="252"/>
      <c r="D416" s="822"/>
      <c r="F416" s="250"/>
      <c r="I416" s="251"/>
    </row>
    <row r="417">
      <c r="A417" s="265"/>
      <c r="B417" s="268"/>
      <c r="C417" s="252"/>
      <c r="D417" s="822"/>
      <c r="F417" s="250"/>
      <c r="I417" s="251"/>
    </row>
    <row r="418">
      <c r="A418" s="265"/>
      <c r="B418" s="268"/>
      <c r="C418" s="252"/>
      <c r="D418" s="822"/>
      <c r="F418" s="250"/>
      <c r="I418" s="251"/>
    </row>
    <row r="419">
      <c r="A419" s="265"/>
      <c r="B419" s="268"/>
      <c r="C419" s="252"/>
      <c r="D419" s="822"/>
      <c r="F419" s="250"/>
      <c r="I419" s="251"/>
    </row>
    <row r="420">
      <c r="A420" s="265"/>
      <c r="B420" s="268"/>
      <c r="C420" s="252"/>
      <c r="D420" s="822"/>
      <c r="F420" s="250"/>
      <c r="I420" s="251"/>
    </row>
    <row r="421">
      <c r="A421" s="265"/>
      <c r="B421" s="268"/>
      <c r="C421" s="252"/>
      <c r="D421" s="822"/>
      <c r="F421" s="250"/>
      <c r="I421" s="251"/>
    </row>
    <row r="422">
      <c r="A422" s="265"/>
      <c r="B422" s="268"/>
      <c r="C422" s="252"/>
      <c r="D422" s="822"/>
      <c r="F422" s="250"/>
      <c r="I422" s="251"/>
    </row>
    <row r="423">
      <c r="A423" s="270"/>
      <c r="B423" s="271"/>
      <c r="C423" s="272"/>
      <c r="D423" s="823"/>
      <c r="E423" s="18"/>
      <c r="F423" s="274"/>
      <c r="G423" s="18"/>
      <c r="H423" s="18"/>
      <c r="I423" s="261"/>
    </row>
    <row r="424">
      <c r="B424" s="306"/>
      <c r="C424" s="240"/>
      <c r="D424" s="824"/>
      <c r="E424" s="242"/>
      <c r="F424" s="243"/>
      <c r="G424" s="244"/>
      <c r="H424" s="244"/>
      <c r="I424" s="307"/>
    </row>
    <row r="425">
      <c r="B425" s="268"/>
      <c r="C425" s="252"/>
      <c r="D425" s="822"/>
      <c r="F425" s="250"/>
      <c r="I425" s="251"/>
    </row>
    <row r="426">
      <c r="B426" s="268"/>
      <c r="C426" s="252"/>
      <c r="D426" s="822"/>
      <c r="F426" s="250"/>
      <c r="I426" s="251"/>
    </row>
    <row r="427">
      <c r="B427" s="308"/>
      <c r="C427" s="252"/>
      <c r="D427" s="822"/>
      <c r="F427" s="309"/>
      <c r="I427" s="302"/>
    </row>
    <row r="428">
      <c r="B428" s="308"/>
      <c r="C428" s="252"/>
      <c r="D428" s="822"/>
      <c r="F428" s="309"/>
      <c r="I428" s="302"/>
    </row>
    <row r="429">
      <c r="B429" s="308"/>
      <c r="C429" s="252"/>
      <c r="D429" s="822"/>
      <c r="F429" s="309"/>
      <c r="I429" s="302"/>
    </row>
    <row r="430">
      <c r="B430" s="308"/>
      <c r="C430" s="252"/>
      <c r="D430" s="822"/>
      <c r="F430" s="309"/>
      <c r="I430" s="302"/>
    </row>
    <row r="431">
      <c r="B431" s="308"/>
      <c r="C431" s="252"/>
      <c r="D431" s="822"/>
      <c r="F431" s="309"/>
      <c r="I431" s="302"/>
    </row>
    <row r="432">
      <c r="B432" s="308"/>
      <c r="C432" s="252"/>
      <c r="D432" s="822"/>
      <c r="F432" s="309"/>
      <c r="I432" s="302"/>
    </row>
    <row r="433">
      <c r="B433" s="308"/>
      <c r="C433" s="252"/>
      <c r="D433" s="822"/>
      <c r="F433" s="309"/>
      <c r="I433" s="302"/>
    </row>
    <row r="434">
      <c r="B434" s="308"/>
      <c r="C434" s="252"/>
      <c r="D434" s="822"/>
      <c r="F434" s="309"/>
      <c r="I434" s="302"/>
    </row>
    <row r="435">
      <c r="B435" s="308"/>
      <c r="C435" s="252"/>
      <c r="D435" s="822"/>
      <c r="F435" s="309"/>
      <c r="I435" s="302"/>
    </row>
    <row r="436">
      <c r="B436" s="308"/>
      <c r="C436" s="252"/>
      <c r="D436" s="822"/>
      <c r="F436" s="309"/>
      <c r="I436" s="302"/>
    </row>
    <row r="437">
      <c r="B437" s="308"/>
      <c r="C437" s="252"/>
      <c r="D437" s="822"/>
      <c r="F437" s="309"/>
      <c r="I437" s="302"/>
    </row>
    <row r="438">
      <c r="B438" s="308"/>
      <c r="C438" s="252"/>
      <c r="D438" s="822"/>
      <c r="F438" s="309"/>
      <c r="I438" s="302"/>
    </row>
    <row r="439">
      <c r="B439" s="308"/>
      <c r="C439" s="252"/>
      <c r="D439" s="822"/>
      <c r="F439" s="309"/>
      <c r="I439" s="302"/>
    </row>
    <row r="440">
      <c r="B440" s="308"/>
      <c r="C440" s="252"/>
      <c r="D440" s="822"/>
      <c r="F440" s="309"/>
      <c r="I440" s="302"/>
    </row>
    <row r="441">
      <c r="B441" s="308"/>
      <c r="C441" s="252"/>
      <c r="D441" s="822"/>
      <c r="F441" s="309"/>
      <c r="I441" s="302"/>
    </row>
    <row r="442">
      <c r="B442" s="308"/>
      <c r="C442" s="252"/>
      <c r="D442" s="822"/>
      <c r="F442" s="309"/>
      <c r="I442" s="302"/>
    </row>
    <row r="443">
      <c r="B443" s="308"/>
      <c r="C443" s="252"/>
      <c r="D443" s="822"/>
      <c r="F443" s="309"/>
      <c r="I443" s="302"/>
    </row>
    <row r="444">
      <c r="B444" s="308"/>
      <c r="C444" s="252"/>
      <c r="D444" s="822"/>
      <c r="F444" s="309"/>
      <c r="I444" s="302"/>
    </row>
    <row r="445">
      <c r="B445" s="308"/>
      <c r="C445" s="252"/>
      <c r="D445" s="822"/>
      <c r="F445" s="309"/>
      <c r="I445" s="302"/>
    </row>
    <row r="446">
      <c r="B446" s="308"/>
      <c r="C446" s="252"/>
      <c r="D446" s="822"/>
      <c r="F446" s="309"/>
      <c r="I446" s="302"/>
    </row>
    <row r="447">
      <c r="B447" s="308"/>
      <c r="C447" s="252"/>
      <c r="D447" s="822"/>
      <c r="F447" s="309"/>
      <c r="I447" s="302"/>
    </row>
    <row r="448">
      <c r="B448" s="308"/>
      <c r="C448" s="252"/>
      <c r="D448" s="822"/>
      <c r="F448" s="309"/>
      <c r="I448" s="302"/>
    </row>
    <row r="449">
      <c r="B449" s="308"/>
      <c r="C449" s="252"/>
      <c r="D449" s="822"/>
      <c r="F449" s="309"/>
      <c r="I449" s="302"/>
    </row>
    <row r="450">
      <c r="B450" s="308"/>
      <c r="C450" s="252"/>
      <c r="D450" s="822"/>
      <c r="F450" s="309"/>
      <c r="I450" s="302"/>
    </row>
    <row r="451">
      <c r="B451" s="308"/>
      <c r="C451" s="252"/>
      <c r="D451" s="822"/>
      <c r="F451" s="309"/>
      <c r="I451" s="302"/>
    </row>
    <row r="452">
      <c r="B452" s="308"/>
      <c r="C452" s="252"/>
      <c r="D452" s="822"/>
      <c r="F452" s="309"/>
      <c r="I452" s="302"/>
    </row>
    <row r="453">
      <c r="B453" s="308"/>
      <c r="C453" s="252"/>
      <c r="D453" s="822"/>
      <c r="F453" s="309"/>
      <c r="I453" s="302"/>
    </row>
    <row r="454">
      <c r="B454" s="308"/>
      <c r="C454" s="252"/>
      <c r="D454" s="822"/>
      <c r="F454" s="309"/>
      <c r="I454" s="302"/>
    </row>
    <row r="455">
      <c r="B455" s="308"/>
      <c r="C455" s="252"/>
      <c r="D455" s="822"/>
      <c r="F455" s="309"/>
      <c r="I455" s="302"/>
    </row>
    <row r="456">
      <c r="B456" s="308"/>
      <c r="C456" s="252"/>
      <c r="D456" s="822"/>
      <c r="F456" s="309"/>
      <c r="I456" s="302"/>
    </row>
    <row r="457">
      <c r="B457" s="308"/>
      <c r="C457" s="252"/>
      <c r="D457" s="822"/>
      <c r="F457" s="309"/>
      <c r="I457" s="302"/>
    </row>
    <row r="458">
      <c r="B458" s="308"/>
      <c r="C458" s="252"/>
      <c r="D458" s="822"/>
      <c r="F458" s="309"/>
      <c r="I458" s="302"/>
    </row>
    <row r="459">
      <c r="B459" s="308"/>
      <c r="C459" s="252"/>
      <c r="D459" s="822"/>
      <c r="F459" s="309"/>
      <c r="I459" s="302"/>
    </row>
    <row r="460">
      <c r="B460" s="308"/>
      <c r="C460" s="252"/>
      <c r="D460" s="822"/>
      <c r="F460" s="309"/>
      <c r="I460" s="302"/>
    </row>
    <row r="461">
      <c r="B461" s="308"/>
      <c r="C461" s="252"/>
      <c r="D461" s="822"/>
      <c r="F461" s="309"/>
      <c r="I461" s="302"/>
    </row>
    <row r="462">
      <c r="B462" s="308"/>
      <c r="C462" s="252"/>
      <c r="D462" s="822"/>
      <c r="F462" s="309"/>
      <c r="I462" s="302"/>
    </row>
    <row r="463">
      <c r="B463" s="308"/>
      <c r="C463" s="252"/>
      <c r="D463" s="822"/>
      <c r="F463" s="309"/>
      <c r="I463" s="302"/>
    </row>
    <row r="464">
      <c r="B464" s="308"/>
      <c r="C464" s="252"/>
      <c r="D464" s="822"/>
      <c r="F464" s="309"/>
      <c r="I464" s="302"/>
    </row>
    <row r="465">
      <c r="B465" s="308"/>
      <c r="C465" s="252"/>
      <c r="D465" s="822"/>
      <c r="F465" s="309"/>
      <c r="I465" s="302"/>
    </row>
    <row r="466">
      <c r="B466" s="308"/>
      <c r="C466" s="252"/>
      <c r="D466" s="822"/>
      <c r="F466" s="309"/>
      <c r="I466" s="302"/>
    </row>
    <row r="467">
      <c r="B467" s="308"/>
      <c r="C467" s="252"/>
      <c r="D467" s="822"/>
      <c r="F467" s="309"/>
      <c r="I467" s="302"/>
    </row>
    <row r="468">
      <c r="B468" s="308"/>
      <c r="C468" s="252"/>
      <c r="D468" s="822"/>
      <c r="F468" s="309"/>
      <c r="I468" s="302"/>
    </row>
    <row r="469">
      <c r="B469" s="308"/>
      <c r="C469" s="252"/>
      <c r="D469" s="822"/>
      <c r="F469" s="309"/>
      <c r="I469" s="302"/>
    </row>
    <row r="470">
      <c r="B470" s="308"/>
      <c r="C470" s="252"/>
      <c r="D470" s="822"/>
      <c r="F470" s="309"/>
      <c r="I470" s="302"/>
    </row>
    <row r="471">
      <c r="B471" s="308"/>
      <c r="C471" s="252"/>
      <c r="D471" s="822"/>
      <c r="F471" s="309"/>
      <c r="I471" s="302"/>
    </row>
    <row r="472">
      <c r="B472" s="308"/>
      <c r="C472" s="252"/>
      <c r="D472" s="822"/>
      <c r="F472" s="309"/>
      <c r="I472" s="302"/>
    </row>
    <row r="473">
      <c r="B473" s="308"/>
      <c r="C473" s="252"/>
      <c r="D473" s="822"/>
      <c r="F473" s="309"/>
      <c r="I473" s="302"/>
    </row>
    <row r="474">
      <c r="B474" s="308"/>
      <c r="C474" s="252"/>
      <c r="D474" s="822"/>
      <c r="F474" s="309"/>
      <c r="I474" s="302"/>
    </row>
    <row r="475">
      <c r="B475" s="308"/>
      <c r="C475" s="252"/>
      <c r="D475" s="822"/>
      <c r="F475" s="309"/>
      <c r="I475" s="302"/>
    </row>
    <row r="476">
      <c r="B476" s="308"/>
      <c r="C476" s="252"/>
      <c r="D476" s="822"/>
      <c r="F476" s="309"/>
      <c r="I476" s="302"/>
    </row>
    <row r="477">
      <c r="B477" s="308"/>
      <c r="C477" s="252"/>
      <c r="D477" s="822"/>
      <c r="F477" s="309"/>
      <c r="I477" s="302"/>
    </row>
    <row r="478">
      <c r="B478" s="308"/>
      <c r="C478" s="252"/>
      <c r="D478" s="822"/>
      <c r="F478" s="309"/>
      <c r="I478" s="302"/>
    </row>
    <row r="479">
      <c r="B479" s="308"/>
      <c r="C479" s="252"/>
      <c r="D479" s="822"/>
      <c r="F479" s="309"/>
      <c r="I479" s="302"/>
    </row>
    <row r="480">
      <c r="B480" s="308"/>
      <c r="C480" s="252"/>
      <c r="D480" s="822"/>
      <c r="F480" s="309"/>
      <c r="I480" s="302"/>
    </row>
    <row r="481">
      <c r="B481" s="308"/>
      <c r="C481" s="252"/>
      <c r="D481" s="822"/>
      <c r="F481" s="309"/>
      <c r="I481" s="302"/>
    </row>
    <row r="482">
      <c r="B482" s="308"/>
      <c r="C482" s="252"/>
      <c r="D482" s="822"/>
      <c r="F482" s="309"/>
      <c r="I482" s="302"/>
    </row>
    <row r="483">
      <c r="B483" s="308"/>
      <c r="C483" s="252"/>
      <c r="D483" s="822"/>
      <c r="F483" s="309"/>
      <c r="I483" s="302"/>
    </row>
    <row r="484">
      <c r="B484" s="308"/>
      <c r="C484" s="252"/>
      <c r="D484" s="822"/>
      <c r="F484" s="309"/>
      <c r="I484" s="302"/>
    </row>
    <row r="485">
      <c r="B485" s="308"/>
      <c r="C485" s="252"/>
      <c r="D485" s="822"/>
      <c r="F485" s="309"/>
      <c r="I485" s="302"/>
    </row>
    <row r="486">
      <c r="B486" s="308"/>
      <c r="C486" s="252"/>
      <c r="D486" s="822"/>
      <c r="F486" s="309"/>
      <c r="I486" s="302"/>
    </row>
    <row r="487">
      <c r="B487" s="308"/>
      <c r="C487" s="252"/>
      <c r="D487" s="822"/>
      <c r="F487" s="309"/>
      <c r="I487" s="302"/>
    </row>
    <row r="488">
      <c r="B488" s="308"/>
      <c r="C488" s="252"/>
      <c r="D488" s="822"/>
      <c r="F488" s="309"/>
      <c r="I488" s="302"/>
    </row>
    <row r="489">
      <c r="B489" s="308"/>
      <c r="C489" s="252"/>
      <c r="D489" s="822"/>
      <c r="F489" s="309"/>
      <c r="I489" s="302"/>
    </row>
    <row r="490">
      <c r="B490" s="308"/>
      <c r="C490" s="252"/>
      <c r="D490" s="822"/>
      <c r="F490" s="309"/>
      <c r="I490" s="302"/>
    </row>
    <row r="491">
      <c r="B491" s="308"/>
      <c r="C491" s="252"/>
      <c r="D491" s="822"/>
      <c r="F491" s="309"/>
      <c r="I491" s="302"/>
    </row>
    <row r="492">
      <c r="B492" s="308"/>
      <c r="C492" s="252"/>
      <c r="D492" s="822"/>
      <c r="F492" s="309"/>
      <c r="I492" s="302"/>
    </row>
    <row r="493">
      <c r="B493" s="308"/>
      <c r="C493" s="252"/>
      <c r="D493" s="822"/>
      <c r="F493" s="309"/>
      <c r="I493" s="302"/>
    </row>
    <row r="494">
      <c r="B494" s="308"/>
      <c r="C494" s="252"/>
      <c r="D494" s="822"/>
      <c r="F494" s="309"/>
      <c r="I494" s="302"/>
    </row>
    <row r="495">
      <c r="B495" s="308"/>
      <c r="C495" s="252"/>
      <c r="D495" s="822"/>
      <c r="F495" s="309"/>
      <c r="I495" s="302"/>
    </row>
    <row r="496">
      <c r="B496" s="308"/>
      <c r="C496" s="252"/>
      <c r="D496" s="822"/>
      <c r="F496" s="309"/>
      <c r="I496" s="302"/>
    </row>
    <row r="497">
      <c r="B497" s="308"/>
      <c r="C497" s="252"/>
      <c r="D497" s="822"/>
      <c r="F497" s="309"/>
      <c r="I497" s="302"/>
    </row>
    <row r="498">
      <c r="B498" s="308"/>
      <c r="C498" s="252"/>
      <c r="D498" s="822"/>
      <c r="F498" s="309"/>
      <c r="I498" s="302"/>
    </row>
    <row r="499">
      <c r="B499" s="308"/>
      <c r="C499" s="252"/>
      <c r="D499" s="822"/>
      <c r="F499" s="309"/>
      <c r="I499" s="302"/>
    </row>
    <row r="500">
      <c r="B500" s="308"/>
      <c r="C500" s="252"/>
      <c r="D500" s="822"/>
      <c r="F500" s="309"/>
      <c r="I500" s="302"/>
    </row>
    <row r="501">
      <c r="B501" s="308"/>
      <c r="C501" s="252"/>
      <c r="D501" s="822"/>
      <c r="F501" s="309"/>
      <c r="I501" s="302"/>
    </row>
    <row r="502">
      <c r="B502" s="308"/>
      <c r="C502" s="252"/>
      <c r="D502" s="822"/>
      <c r="F502" s="309"/>
      <c r="I502" s="302"/>
    </row>
    <row r="503">
      <c r="B503" s="308"/>
      <c r="C503" s="252"/>
      <c r="D503" s="822"/>
      <c r="F503" s="309"/>
      <c r="I503" s="302"/>
    </row>
    <row r="504">
      <c r="B504" s="308"/>
      <c r="C504" s="252"/>
      <c r="D504" s="822"/>
      <c r="F504" s="309"/>
      <c r="I504" s="302"/>
    </row>
    <row r="505">
      <c r="B505" s="308"/>
      <c r="C505" s="252"/>
      <c r="D505" s="822"/>
      <c r="F505" s="309"/>
      <c r="I505" s="302"/>
    </row>
    <row r="506">
      <c r="B506" s="308"/>
      <c r="C506" s="252"/>
      <c r="D506" s="822"/>
      <c r="F506" s="309"/>
      <c r="I506" s="302"/>
    </row>
    <row r="507">
      <c r="B507" s="308"/>
      <c r="C507" s="252"/>
      <c r="D507" s="822"/>
      <c r="F507" s="309"/>
      <c r="I507" s="302"/>
    </row>
    <row r="508">
      <c r="B508" s="308"/>
      <c r="C508" s="252"/>
      <c r="D508" s="822"/>
      <c r="F508" s="309"/>
      <c r="I508" s="302"/>
    </row>
    <row r="509">
      <c r="B509" s="308"/>
      <c r="C509" s="252"/>
      <c r="D509" s="822"/>
      <c r="F509" s="309"/>
      <c r="I509" s="302"/>
    </row>
    <row r="510">
      <c r="B510" s="308"/>
      <c r="C510" s="252"/>
      <c r="D510" s="822"/>
      <c r="F510" s="309"/>
      <c r="I510" s="302"/>
    </row>
    <row r="511">
      <c r="B511" s="308"/>
      <c r="C511" s="252"/>
      <c r="D511" s="822"/>
      <c r="F511" s="309"/>
      <c r="I511" s="302"/>
    </row>
    <row r="512">
      <c r="B512" s="308"/>
      <c r="C512" s="252"/>
      <c r="D512" s="822"/>
      <c r="F512" s="309"/>
      <c r="I512" s="302"/>
    </row>
    <row r="513">
      <c r="B513" s="308"/>
      <c r="C513" s="252"/>
      <c r="D513" s="822"/>
      <c r="F513" s="309"/>
      <c r="I513" s="302"/>
    </row>
    <row r="514">
      <c r="B514" s="308"/>
      <c r="C514" s="252"/>
      <c r="D514" s="822"/>
      <c r="F514" s="309"/>
      <c r="I514" s="302"/>
    </row>
    <row r="515">
      <c r="B515" s="308"/>
      <c r="C515" s="252"/>
      <c r="D515" s="822"/>
      <c r="F515" s="309"/>
      <c r="I515" s="302"/>
    </row>
    <row r="516">
      <c r="B516" s="308"/>
      <c r="C516" s="252"/>
      <c r="D516" s="822"/>
      <c r="F516" s="309"/>
      <c r="I516" s="302"/>
    </row>
    <row r="517">
      <c r="B517" s="308"/>
      <c r="C517" s="252"/>
      <c r="D517" s="822"/>
      <c r="F517" s="309"/>
      <c r="I517" s="302"/>
    </row>
    <row r="518">
      <c r="B518" s="308"/>
      <c r="C518" s="252"/>
      <c r="D518" s="822"/>
      <c r="F518" s="309"/>
      <c r="I518" s="302"/>
    </row>
    <row r="519">
      <c r="B519" s="308"/>
      <c r="C519" s="252"/>
      <c r="D519" s="822"/>
      <c r="F519" s="309"/>
      <c r="I519" s="302"/>
    </row>
    <row r="520">
      <c r="B520" s="308"/>
      <c r="C520" s="252"/>
      <c r="D520" s="822"/>
      <c r="F520" s="309"/>
      <c r="I520" s="302"/>
    </row>
    <row r="521">
      <c r="B521" s="308"/>
      <c r="C521" s="252"/>
      <c r="D521" s="822"/>
      <c r="F521" s="309"/>
      <c r="I521" s="302"/>
    </row>
    <row r="522">
      <c r="B522" s="308"/>
      <c r="C522" s="252"/>
      <c r="D522" s="822"/>
      <c r="F522" s="309"/>
      <c r="I522" s="302"/>
    </row>
    <row r="523">
      <c r="B523" s="308"/>
      <c r="C523" s="252"/>
      <c r="D523" s="822"/>
      <c r="F523" s="309"/>
      <c r="I523" s="302"/>
    </row>
    <row r="524">
      <c r="B524" s="308"/>
      <c r="C524" s="252"/>
      <c r="D524" s="822"/>
      <c r="F524" s="309"/>
      <c r="I524" s="302"/>
    </row>
    <row r="525">
      <c r="B525" s="308"/>
      <c r="C525" s="252"/>
      <c r="D525" s="822"/>
      <c r="F525" s="309"/>
      <c r="I525" s="302"/>
    </row>
    <row r="526">
      <c r="B526" s="308"/>
      <c r="C526" s="252"/>
      <c r="D526" s="822"/>
      <c r="F526" s="309"/>
      <c r="I526" s="302"/>
    </row>
    <row r="527">
      <c r="B527" s="308"/>
      <c r="C527" s="252"/>
      <c r="D527" s="822"/>
      <c r="F527" s="309"/>
      <c r="I527" s="302"/>
    </row>
    <row r="528">
      <c r="B528" s="308"/>
      <c r="C528" s="252"/>
      <c r="D528" s="822"/>
      <c r="F528" s="309"/>
      <c r="I528" s="302"/>
    </row>
    <row r="529">
      <c r="B529" s="308"/>
      <c r="C529" s="252"/>
      <c r="D529" s="822"/>
      <c r="F529" s="309"/>
      <c r="I529" s="302"/>
    </row>
    <row r="530">
      <c r="B530" s="308"/>
      <c r="C530" s="252"/>
      <c r="D530" s="822"/>
      <c r="F530" s="309"/>
      <c r="I530" s="302"/>
    </row>
    <row r="531">
      <c r="B531" s="308"/>
      <c r="C531" s="252"/>
      <c r="D531" s="822"/>
      <c r="F531" s="309"/>
      <c r="I531" s="302"/>
    </row>
    <row r="532">
      <c r="B532" s="308"/>
      <c r="C532" s="252"/>
      <c r="D532" s="822"/>
      <c r="F532" s="309"/>
      <c r="I532" s="302"/>
    </row>
    <row r="533">
      <c r="B533" s="308"/>
      <c r="C533" s="252"/>
      <c r="D533" s="822"/>
      <c r="F533" s="309"/>
      <c r="I533" s="302"/>
    </row>
    <row r="534">
      <c r="B534" s="308"/>
      <c r="C534" s="252"/>
      <c r="D534" s="822"/>
      <c r="F534" s="309"/>
      <c r="I534" s="302"/>
    </row>
    <row r="535">
      <c r="B535" s="308"/>
      <c r="C535" s="252"/>
      <c r="D535" s="822"/>
      <c r="F535" s="309"/>
      <c r="I535" s="302"/>
    </row>
    <row r="536">
      <c r="B536" s="308"/>
      <c r="C536" s="252"/>
      <c r="D536" s="822"/>
      <c r="F536" s="309"/>
      <c r="I536" s="302"/>
    </row>
    <row r="537">
      <c r="B537" s="308"/>
      <c r="C537" s="252"/>
      <c r="D537" s="822"/>
      <c r="F537" s="309"/>
      <c r="I537" s="302"/>
    </row>
    <row r="538">
      <c r="B538" s="308"/>
      <c r="C538" s="252"/>
      <c r="D538" s="822"/>
      <c r="F538" s="309"/>
      <c r="I538" s="302"/>
    </row>
    <row r="539">
      <c r="B539" s="308"/>
      <c r="C539" s="252"/>
      <c r="D539" s="822"/>
      <c r="F539" s="309"/>
      <c r="I539" s="302"/>
    </row>
    <row r="540">
      <c r="B540" s="308"/>
      <c r="C540" s="252"/>
      <c r="D540" s="822"/>
      <c r="F540" s="309"/>
      <c r="I540" s="302"/>
    </row>
    <row r="541">
      <c r="B541" s="308"/>
      <c r="C541" s="252"/>
      <c r="D541" s="822"/>
      <c r="F541" s="309"/>
      <c r="I541" s="302"/>
    </row>
    <row r="542">
      <c r="B542" s="308"/>
      <c r="C542" s="252"/>
      <c r="D542" s="822"/>
      <c r="F542" s="309"/>
      <c r="I542" s="302"/>
    </row>
    <row r="543">
      <c r="B543" s="308"/>
      <c r="C543" s="252"/>
      <c r="D543" s="822"/>
      <c r="F543" s="309"/>
      <c r="I543" s="302"/>
    </row>
    <row r="544">
      <c r="B544" s="308"/>
      <c r="C544" s="252"/>
      <c r="D544" s="822"/>
      <c r="F544" s="309"/>
      <c r="I544" s="302"/>
    </row>
    <row r="545">
      <c r="B545" s="308"/>
      <c r="C545" s="252"/>
      <c r="D545" s="822"/>
      <c r="F545" s="309"/>
      <c r="I545" s="302"/>
    </row>
    <row r="546">
      <c r="B546" s="308"/>
      <c r="C546" s="252"/>
      <c r="D546" s="822"/>
      <c r="F546" s="309"/>
      <c r="I546" s="302"/>
    </row>
    <row r="547">
      <c r="B547" s="308"/>
      <c r="C547" s="252"/>
      <c r="D547" s="822"/>
      <c r="F547" s="309"/>
      <c r="I547" s="302"/>
    </row>
    <row r="548">
      <c r="B548" s="308"/>
      <c r="C548" s="252"/>
      <c r="D548" s="822"/>
      <c r="F548" s="309"/>
      <c r="I548" s="302"/>
    </row>
    <row r="549">
      <c r="B549" s="308"/>
      <c r="C549" s="252"/>
      <c r="D549" s="822"/>
      <c r="F549" s="309"/>
      <c r="I549" s="302"/>
    </row>
    <row r="550">
      <c r="B550" s="308"/>
      <c r="C550" s="252"/>
      <c r="D550" s="822"/>
      <c r="F550" s="309"/>
      <c r="I550" s="302"/>
    </row>
    <row r="551">
      <c r="B551" s="308"/>
      <c r="C551" s="252"/>
      <c r="D551" s="822"/>
      <c r="F551" s="309"/>
      <c r="I551" s="302"/>
    </row>
    <row r="552">
      <c r="B552" s="308"/>
      <c r="C552" s="252"/>
      <c r="D552" s="822"/>
      <c r="F552" s="309"/>
      <c r="I552" s="302"/>
    </row>
    <row r="553">
      <c r="B553" s="308"/>
      <c r="C553" s="252"/>
      <c r="D553" s="822"/>
      <c r="F553" s="309"/>
      <c r="I553" s="302"/>
    </row>
    <row r="554">
      <c r="B554" s="308"/>
      <c r="C554" s="252"/>
      <c r="D554" s="822"/>
      <c r="F554" s="309"/>
      <c r="I554" s="302"/>
    </row>
    <row r="555">
      <c r="B555" s="308"/>
      <c r="C555" s="252"/>
      <c r="D555" s="822"/>
      <c r="F555" s="309"/>
      <c r="I555" s="302"/>
    </row>
    <row r="556">
      <c r="B556" s="308"/>
      <c r="C556" s="252"/>
      <c r="D556" s="822"/>
      <c r="F556" s="309"/>
      <c r="I556" s="302"/>
    </row>
    <row r="557">
      <c r="B557" s="308"/>
      <c r="C557" s="252"/>
      <c r="D557" s="822"/>
      <c r="F557" s="309"/>
      <c r="I557" s="302"/>
    </row>
    <row r="558">
      <c r="B558" s="308"/>
      <c r="C558" s="252"/>
      <c r="D558" s="822"/>
      <c r="F558" s="309"/>
      <c r="I558" s="302"/>
    </row>
    <row r="559">
      <c r="B559" s="308"/>
      <c r="C559" s="252"/>
      <c r="D559" s="822"/>
      <c r="F559" s="309"/>
      <c r="I559" s="302"/>
    </row>
    <row r="560">
      <c r="B560" s="308"/>
      <c r="C560" s="252"/>
      <c r="D560" s="822"/>
      <c r="F560" s="309"/>
      <c r="I560" s="302"/>
    </row>
    <row r="561">
      <c r="B561" s="308"/>
      <c r="C561" s="252"/>
      <c r="D561" s="822"/>
      <c r="F561" s="309"/>
      <c r="I561" s="302"/>
    </row>
    <row r="562">
      <c r="B562" s="308"/>
      <c r="C562" s="252"/>
      <c r="D562" s="822"/>
      <c r="F562" s="309"/>
      <c r="I562" s="302"/>
    </row>
    <row r="563">
      <c r="B563" s="308"/>
      <c r="C563" s="252"/>
      <c r="D563" s="822"/>
      <c r="F563" s="309"/>
      <c r="I563" s="302"/>
    </row>
    <row r="564">
      <c r="B564" s="308"/>
      <c r="C564" s="252"/>
      <c r="D564" s="822"/>
      <c r="F564" s="309"/>
      <c r="I564" s="302"/>
    </row>
    <row r="565">
      <c r="B565" s="308"/>
      <c r="C565" s="252"/>
      <c r="D565" s="822"/>
      <c r="F565" s="309"/>
      <c r="I565" s="302"/>
    </row>
    <row r="566">
      <c r="B566" s="308"/>
      <c r="C566" s="252"/>
      <c r="D566" s="822"/>
      <c r="F566" s="309"/>
      <c r="I566" s="302"/>
    </row>
    <row r="567">
      <c r="B567" s="308"/>
      <c r="C567" s="252"/>
      <c r="D567" s="822"/>
      <c r="F567" s="309"/>
      <c r="I567" s="302"/>
    </row>
    <row r="568">
      <c r="B568" s="308"/>
      <c r="C568" s="252"/>
      <c r="D568" s="822"/>
      <c r="F568" s="309"/>
      <c r="I568" s="302"/>
    </row>
    <row r="569">
      <c r="B569" s="308"/>
      <c r="C569" s="252"/>
      <c r="D569" s="822"/>
      <c r="F569" s="309"/>
      <c r="I569" s="302"/>
    </row>
    <row r="570">
      <c r="B570" s="308"/>
      <c r="C570" s="252"/>
      <c r="D570" s="822"/>
      <c r="F570" s="309"/>
      <c r="I570" s="302"/>
    </row>
    <row r="571">
      <c r="B571" s="308"/>
      <c r="C571" s="252"/>
      <c r="D571" s="822"/>
      <c r="F571" s="309"/>
      <c r="I571" s="302"/>
    </row>
    <row r="572">
      <c r="B572" s="308"/>
      <c r="C572" s="252"/>
      <c r="D572" s="822"/>
      <c r="F572" s="309"/>
      <c r="I572" s="302"/>
    </row>
    <row r="573">
      <c r="B573" s="308"/>
      <c r="C573" s="252"/>
      <c r="D573" s="822"/>
      <c r="F573" s="309"/>
      <c r="I573" s="302"/>
    </row>
    <row r="574">
      <c r="B574" s="308"/>
      <c r="C574" s="252"/>
      <c r="D574" s="822"/>
      <c r="F574" s="309"/>
      <c r="I574" s="302"/>
    </row>
    <row r="575">
      <c r="B575" s="308"/>
      <c r="C575" s="252"/>
      <c r="D575" s="822"/>
      <c r="F575" s="309"/>
      <c r="I575" s="302"/>
    </row>
    <row r="576">
      <c r="B576" s="308"/>
      <c r="C576" s="252"/>
      <c r="D576" s="822"/>
      <c r="F576" s="309"/>
      <c r="I576" s="302"/>
    </row>
    <row r="577">
      <c r="B577" s="308"/>
      <c r="C577" s="252"/>
      <c r="D577" s="822"/>
      <c r="F577" s="309"/>
      <c r="I577" s="302"/>
    </row>
    <row r="578">
      <c r="B578" s="308"/>
      <c r="C578" s="252"/>
      <c r="D578" s="822"/>
      <c r="F578" s="309"/>
      <c r="I578" s="302"/>
    </row>
    <row r="579">
      <c r="B579" s="308"/>
      <c r="C579" s="252"/>
      <c r="D579" s="822"/>
      <c r="F579" s="309"/>
      <c r="I579" s="302"/>
    </row>
    <row r="580">
      <c r="B580" s="308"/>
      <c r="C580" s="252"/>
      <c r="D580" s="822"/>
      <c r="F580" s="309"/>
      <c r="I580" s="302"/>
    </row>
    <row r="581">
      <c r="B581" s="308"/>
      <c r="C581" s="252"/>
      <c r="D581" s="822"/>
      <c r="F581" s="309"/>
      <c r="I581" s="302"/>
    </row>
    <row r="582">
      <c r="B582" s="308"/>
      <c r="C582" s="252"/>
      <c r="D582" s="822"/>
      <c r="F582" s="309"/>
      <c r="I582" s="302"/>
    </row>
    <row r="583">
      <c r="B583" s="308"/>
      <c r="C583" s="252"/>
      <c r="D583" s="822"/>
      <c r="F583" s="309"/>
      <c r="I583" s="302"/>
    </row>
    <row r="584">
      <c r="B584" s="308"/>
      <c r="C584" s="252"/>
      <c r="D584" s="822"/>
      <c r="F584" s="309"/>
      <c r="I584" s="302"/>
    </row>
    <row r="585">
      <c r="B585" s="308"/>
      <c r="C585" s="252"/>
      <c r="D585" s="822"/>
      <c r="F585" s="309"/>
      <c r="I585" s="302"/>
    </row>
    <row r="586">
      <c r="B586" s="308"/>
      <c r="C586" s="252"/>
      <c r="D586" s="822"/>
      <c r="F586" s="309"/>
      <c r="I586" s="302"/>
    </row>
    <row r="587">
      <c r="B587" s="308"/>
      <c r="C587" s="252"/>
      <c r="D587" s="822"/>
      <c r="F587" s="309"/>
      <c r="I587" s="302"/>
    </row>
    <row r="588">
      <c r="B588" s="308"/>
      <c r="C588" s="252"/>
      <c r="D588" s="822"/>
      <c r="F588" s="309"/>
      <c r="I588" s="302"/>
    </row>
    <row r="589">
      <c r="B589" s="308"/>
      <c r="C589" s="252"/>
      <c r="D589" s="822"/>
      <c r="F589" s="309"/>
      <c r="I589" s="302"/>
    </row>
    <row r="590">
      <c r="B590" s="308"/>
      <c r="C590" s="252"/>
      <c r="D590" s="822"/>
      <c r="F590" s="309"/>
      <c r="I590" s="302"/>
    </row>
    <row r="591">
      <c r="B591" s="308"/>
      <c r="C591" s="252"/>
      <c r="D591" s="822"/>
      <c r="F591" s="309"/>
      <c r="I591" s="302"/>
    </row>
    <row r="592">
      <c r="B592" s="308"/>
      <c r="C592" s="252"/>
      <c r="D592" s="822"/>
      <c r="F592" s="309"/>
      <c r="I592" s="302"/>
    </row>
    <row r="593">
      <c r="B593" s="308"/>
      <c r="C593" s="252"/>
      <c r="D593" s="822"/>
      <c r="F593" s="309"/>
      <c r="I593" s="302"/>
    </row>
    <row r="594">
      <c r="B594" s="308"/>
      <c r="C594" s="252"/>
      <c r="D594" s="822"/>
      <c r="F594" s="309"/>
      <c r="I594" s="302"/>
    </row>
    <row r="595">
      <c r="B595" s="308"/>
      <c r="C595" s="252"/>
      <c r="D595" s="822"/>
      <c r="F595" s="309"/>
      <c r="I595" s="302"/>
    </row>
    <row r="596">
      <c r="B596" s="308"/>
      <c r="C596" s="252"/>
      <c r="D596" s="822"/>
      <c r="F596" s="309"/>
      <c r="I596" s="302"/>
    </row>
    <row r="597">
      <c r="B597" s="308"/>
      <c r="C597" s="252"/>
      <c r="D597" s="822"/>
      <c r="F597" s="309"/>
      <c r="I597" s="302"/>
    </row>
    <row r="598">
      <c r="B598" s="308"/>
      <c r="C598" s="252"/>
      <c r="D598" s="822"/>
      <c r="F598" s="309"/>
      <c r="I598" s="302"/>
    </row>
    <row r="599">
      <c r="B599" s="308"/>
      <c r="C599" s="252"/>
      <c r="D599" s="822"/>
      <c r="F599" s="309"/>
      <c r="I599" s="302"/>
    </row>
    <row r="600">
      <c r="B600" s="308"/>
      <c r="C600" s="252"/>
      <c r="D600" s="822"/>
      <c r="F600" s="309"/>
      <c r="I600" s="302"/>
    </row>
    <row r="601">
      <c r="B601" s="308"/>
      <c r="C601" s="252"/>
      <c r="D601" s="822"/>
      <c r="F601" s="309"/>
      <c r="I601" s="302"/>
    </row>
    <row r="602">
      <c r="B602" s="308"/>
      <c r="C602" s="252"/>
      <c r="D602" s="822"/>
      <c r="F602" s="309"/>
      <c r="I602" s="302"/>
    </row>
    <row r="603">
      <c r="B603" s="308"/>
      <c r="C603" s="252"/>
      <c r="D603" s="822"/>
      <c r="F603" s="309"/>
      <c r="I603" s="302"/>
    </row>
    <row r="604">
      <c r="B604" s="308"/>
      <c r="C604" s="252"/>
      <c r="D604" s="822"/>
      <c r="F604" s="309"/>
      <c r="I604" s="302"/>
    </row>
    <row r="605">
      <c r="B605" s="308"/>
      <c r="C605" s="252"/>
      <c r="D605" s="822"/>
      <c r="F605" s="309"/>
      <c r="I605" s="302"/>
    </row>
    <row r="606">
      <c r="B606" s="308"/>
      <c r="C606" s="252"/>
      <c r="D606" s="822"/>
      <c r="F606" s="309"/>
      <c r="I606" s="302"/>
    </row>
    <row r="607">
      <c r="B607" s="308"/>
      <c r="C607" s="252"/>
      <c r="D607" s="822"/>
      <c r="F607" s="309"/>
      <c r="I607" s="302"/>
    </row>
    <row r="608">
      <c r="B608" s="308"/>
      <c r="C608" s="252"/>
      <c r="D608" s="822"/>
      <c r="F608" s="309"/>
      <c r="I608" s="302"/>
    </row>
    <row r="609">
      <c r="B609" s="308"/>
      <c r="C609" s="252"/>
      <c r="D609" s="822"/>
      <c r="F609" s="309"/>
      <c r="I609" s="302"/>
    </row>
    <row r="610">
      <c r="B610" s="308"/>
      <c r="C610" s="252"/>
      <c r="D610" s="822"/>
      <c r="F610" s="309"/>
      <c r="I610" s="302"/>
    </row>
    <row r="611">
      <c r="B611" s="308"/>
      <c r="C611" s="252"/>
      <c r="D611" s="822"/>
      <c r="F611" s="309"/>
      <c r="I611" s="302"/>
    </row>
    <row r="612">
      <c r="B612" s="308"/>
      <c r="C612" s="252"/>
      <c r="D612" s="822"/>
      <c r="F612" s="309"/>
      <c r="I612" s="302"/>
    </row>
    <row r="613">
      <c r="B613" s="308"/>
      <c r="C613" s="252"/>
      <c r="D613" s="822"/>
      <c r="F613" s="309"/>
      <c r="I613" s="302"/>
    </row>
    <row r="614">
      <c r="B614" s="308"/>
      <c r="C614" s="252"/>
      <c r="D614" s="822"/>
      <c r="F614" s="309"/>
      <c r="I614" s="302"/>
    </row>
    <row r="615">
      <c r="B615" s="308"/>
      <c r="C615" s="252"/>
      <c r="D615" s="822"/>
      <c r="F615" s="309"/>
      <c r="I615" s="302"/>
    </row>
    <row r="616">
      <c r="B616" s="308"/>
      <c r="C616" s="252"/>
      <c r="D616" s="822"/>
      <c r="F616" s="309"/>
      <c r="I616" s="302"/>
    </row>
    <row r="617">
      <c r="B617" s="308"/>
      <c r="C617" s="252"/>
      <c r="D617" s="822"/>
      <c r="F617" s="309"/>
      <c r="I617" s="302"/>
    </row>
    <row r="618">
      <c r="B618" s="308"/>
      <c r="C618" s="252"/>
      <c r="D618" s="822"/>
      <c r="F618" s="309"/>
      <c r="I618" s="302"/>
    </row>
    <row r="619">
      <c r="B619" s="308"/>
      <c r="C619" s="252"/>
      <c r="D619" s="822"/>
      <c r="F619" s="309"/>
      <c r="I619" s="302"/>
    </row>
    <row r="620">
      <c r="B620" s="308"/>
      <c r="C620" s="252"/>
      <c r="D620" s="822"/>
      <c r="F620" s="309"/>
      <c r="I620" s="302"/>
    </row>
    <row r="621">
      <c r="B621" s="308"/>
      <c r="C621" s="252"/>
      <c r="D621" s="822"/>
      <c r="F621" s="309"/>
      <c r="I621" s="302"/>
    </row>
    <row r="622">
      <c r="B622" s="308"/>
      <c r="C622" s="252"/>
      <c r="D622" s="822"/>
      <c r="F622" s="309"/>
      <c r="I622" s="302"/>
    </row>
    <row r="623">
      <c r="B623" s="308"/>
      <c r="C623" s="252"/>
      <c r="D623" s="822"/>
      <c r="F623" s="309"/>
      <c r="I623" s="302"/>
    </row>
    <row r="624">
      <c r="B624" s="308"/>
      <c r="C624" s="252"/>
      <c r="D624" s="822"/>
      <c r="F624" s="309"/>
      <c r="I624" s="302"/>
    </row>
    <row r="625">
      <c r="B625" s="308"/>
      <c r="C625" s="252"/>
      <c r="D625" s="822"/>
      <c r="F625" s="309"/>
      <c r="I625" s="302"/>
    </row>
    <row r="626">
      <c r="B626" s="308"/>
      <c r="C626" s="252"/>
      <c r="D626" s="822"/>
      <c r="F626" s="309"/>
      <c r="I626" s="302"/>
    </row>
    <row r="627">
      <c r="B627" s="308"/>
      <c r="C627" s="252"/>
      <c r="D627" s="822"/>
      <c r="F627" s="309"/>
      <c r="I627" s="302"/>
    </row>
    <row r="628">
      <c r="B628" s="308"/>
      <c r="C628" s="252"/>
      <c r="D628" s="822"/>
      <c r="F628" s="309"/>
      <c r="I628" s="302"/>
    </row>
    <row r="629">
      <c r="B629" s="308"/>
      <c r="C629" s="252"/>
      <c r="D629" s="822"/>
      <c r="F629" s="309"/>
      <c r="I629" s="302"/>
    </row>
    <row r="630">
      <c r="B630" s="308"/>
      <c r="C630" s="252"/>
      <c r="D630" s="822"/>
      <c r="F630" s="309"/>
      <c r="I630" s="302"/>
    </row>
    <row r="631">
      <c r="B631" s="308"/>
      <c r="C631" s="252"/>
      <c r="D631" s="822"/>
      <c r="F631" s="309"/>
      <c r="I631" s="302"/>
    </row>
    <row r="632">
      <c r="B632" s="308"/>
      <c r="C632" s="252"/>
      <c r="D632" s="822"/>
      <c r="F632" s="309"/>
      <c r="I632" s="302"/>
    </row>
    <row r="633">
      <c r="B633" s="308"/>
      <c r="C633" s="252"/>
      <c r="D633" s="822"/>
      <c r="F633" s="309"/>
      <c r="I633" s="302"/>
    </row>
    <row r="634">
      <c r="B634" s="308"/>
      <c r="C634" s="252"/>
      <c r="D634" s="822"/>
      <c r="F634" s="309"/>
      <c r="I634" s="302"/>
    </row>
    <row r="635">
      <c r="B635" s="308"/>
      <c r="C635" s="252"/>
      <c r="D635" s="822"/>
      <c r="F635" s="309"/>
      <c r="I635" s="302"/>
    </row>
    <row r="636">
      <c r="B636" s="308"/>
      <c r="C636" s="252"/>
      <c r="D636" s="822"/>
      <c r="F636" s="309"/>
      <c r="I636" s="302"/>
    </row>
    <row r="637">
      <c r="B637" s="308"/>
      <c r="C637" s="252"/>
      <c r="D637" s="822"/>
      <c r="F637" s="309"/>
      <c r="I637" s="302"/>
    </row>
    <row r="638">
      <c r="B638" s="308"/>
      <c r="C638" s="252"/>
      <c r="D638" s="822"/>
      <c r="F638" s="309"/>
      <c r="I638" s="302"/>
    </row>
    <row r="639">
      <c r="B639" s="308"/>
      <c r="C639" s="252"/>
      <c r="D639" s="822"/>
      <c r="F639" s="309"/>
      <c r="I639" s="302"/>
    </row>
    <row r="640">
      <c r="B640" s="308"/>
      <c r="C640" s="252"/>
      <c r="D640" s="822"/>
      <c r="F640" s="309"/>
      <c r="I640" s="302"/>
    </row>
    <row r="641">
      <c r="B641" s="308"/>
      <c r="C641" s="252"/>
      <c r="D641" s="822"/>
      <c r="F641" s="309"/>
      <c r="I641" s="302"/>
    </row>
    <row r="642">
      <c r="B642" s="308"/>
      <c r="C642" s="252"/>
      <c r="D642" s="822"/>
      <c r="F642" s="309"/>
      <c r="I642" s="302"/>
    </row>
    <row r="643">
      <c r="B643" s="308"/>
      <c r="C643" s="252"/>
      <c r="D643" s="822"/>
      <c r="F643" s="309"/>
      <c r="I643" s="302"/>
    </row>
    <row r="644">
      <c r="B644" s="308"/>
      <c r="C644" s="252"/>
      <c r="D644" s="822"/>
      <c r="F644" s="309"/>
      <c r="I644" s="302"/>
    </row>
    <row r="645">
      <c r="B645" s="308"/>
      <c r="C645" s="252"/>
      <c r="D645" s="822"/>
      <c r="F645" s="309"/>
      <c r="I645" s="302"/>
    </row>
    <row r="646">
      <c r="B646" s="308"/>
      <c r="C646" s="252"/>
      <c r="D646" s="822"/>
      <c r="F646" s="309"/>
      <c r="I646" s="302"/>
    </row>
    <row r="647">
      <c r="B647" s="308"/>
      <c r="C647" s="252"/>
      <c r="D647" s="822"/>
      <c r="F647" s="309"/>
      <c r="I647" s="302"/>
    </row>
    <row r="648">
      <c r="B648" s="308"/>
      <c r="C648" s="252"/>
      <c r="D648" s="822"/>
      <c r="F648" s="309"/>
      <c r="I648" s="302"/>
    </row>
    <row r="649">
      <c r="B649" s="308"/>
      <c r="C649" s="252"/>
      <c r="D649" s="822"/>
      <c r="F649" s="309"/>
      <c r="I649" s="302"/>
    </row>
    <row r="650">
      <c r="B650" s="308"/>
      <c r="C650" s="252"/>
      <c r="D650" s="822"/>
      <c r="F650" s="309"/>
      <c r="I650" s="302"/>
    </row>
    <row r="651">
      <c r="B651" s="308"/>
      <c r="C651" s="252"/>
      <c r="D651" s="822"/>
      <c r="F651" s="309"/>
      <c r="I651" s="302"/>
    </row>
    <row r="652">
      <c r="B652" s="308"/>
      <c r="C652" s="252"/>
      <c r="D652" s="822"/>
      <c r="F652" s="309"/>
      <c r="I652" s="302"/>
    </row>
    <row r="653">
      <c r="B653" s="308"/>
      <c r="C653" s="252"/>
      <c r="D653" s="822"/>
      <c r="F653" s="309"/>
      <c r="I653" s="302"/>
    </row>
    <row r="654">
      <c r="B654" s="308"/>
      <c r="C654" s="252"/>
      <c r="D654" s="822"/>
      <c r="F654" s="309"/>
      <c r="I654" s="302"/>
    </row>
    <row r="655">
      <c r="B655" s="308"/>
      <c r="C655" s="252"/>
      <c r="D655" s="822"/>
      <c r="F655" s="309"/>
      <c r="I655" s="302"/>
    </row>
    <row r="656">
      <c r="B656" s="308"/>
      <c r="C656" s="252"/>
      <c r="D656" s="822"/>
      <c r="F656" s="309"/>
      <c r="I656" s="302"/>
    </row>
    <row r="657">
      <c r="B657" s="308"/>
      <c r="C657" s="252"/>
      <c r="D657" s="822"/>
      <c r="F657" s="309"/>
      <c r="I657" s="302"/>
    </row>
    <row r="658">
      <c r="B658" s="308"/>
      <c r="C658" s="252"/>
      <c r="D658" s="822"/>
      <c r="F658" s="309"/>
      <c r="I658" s="302"/>
    </row>
    <row r="659">
      <c r="B659" s="308"/>
      <c r="C659" s="252"/>
      <c r="D659" s="822"/>
      <c r="F659" s="309"/>
      <c r="I659" s="302"/>
    </row>
    <row r="660">
      <c r="B660" s="308"/>
      <c r="C660" s="252"/>
      <c r="D660" s="822"/>
      <c r="F660" s="309"/>
      <c r="I660" s="302"/>
    </row>
    <row r="661">
      <c r="B661" s="308"/>
      <c r="C661" s="252"/>
      <c r="D661" s="822"/>
      <c r="F661" s="309"/>
      <c r="I661" s="302"/>
    </row>
    <row r="662">
      <c r="B662" s="308"/>
      <c r="C662" s="252"/>
      <c r="D662" s="822"/>
      <c r="F662" s="309"/>
      <c r="I662" s="302"/>
    </row>
    <row r="663">
      <c r="B663" s="308"/>
      <c r="C663" s="252"/>
      <c r="D663" s="822"/>
      <c r="F663" s="309"/>
      <c r="I663" s="302"/>
    </row>
    <row r="664">
      <c r="B664" s="308"/>
      <c r="C664" s="252"/>
      <c r="D664" s="822"/>
      <c r="F664" s="309"/>
      <c r="I664" s="302"/>
    </row>
    <row r="665">
      <c r="B665" s="308"/>
      <c r="C665" s="252"/>
      <c r="D665" s="822"/>
      <c r="F665" s="309"/>
      <c r="I665" s="302"/>
    </row>
    <row r="666">
      <c r="B666" s="308"/>
      <c r="C666" s="252"/>
      <c r="D666" s="822"/>
      <c r="F666" s="309"/>
      <c r="I666" s="302"/>
    </row>
    <row r="667">
      <c r="B667" s="308"/>
      <c r="C667" s="252"/>
      <c r="D667" s="822"/>
      <c r="F667" s="309"/>
      <c r="I667" s="302"/>
    </row>
    <row r="668">
      <c r="B668" s="308"/>
      <c r="C668" s="252"/>
      <c r="D668" s="822"/>
      <c r="F668" s="309"/>
      <c r="I668" s="302"/>
    </row>
    <row r="669">
      <c r="B669" s="308"/>
      <c r="C669" s="252"/>
      <c r="D669" s="822"/>
      <c r="F669" s="309"/>
      <c r="I669" s="302"/>
    </row>
    <row r="670">
      <c r="B670" s="308"/>
      <c r="C670" s="252"/>
      <c r="D670" s="822"/>
      <c r="F670" s="309"/>
      <c r="I670" s="302"/>
    </row>
    <row r="671">
      <c r="B671" s="308"/>
      <c r="C671" s="252"/>
      <c r="D671" s="822"/>
      <c r="F671" s="309"/>
      <c r="I671" s="302"/>
    </row>
    <row r="672">
      <c r="B672" s="308"/>
      <c r="C672" s="252"/>
      <c r="D672" s="822"/>
      <c r="F672" s="309"/>
      <c r="I672" s="302"/>
    </row>
    <row r="673">
      <c r="B673" s="308"/>
      <c r="C673" s="252"/>
      <c r="D673" s="822"/>
      <c r="F673" s="309"/>
      <c r="I673" s="302"/>
    </row>
    <row r="674">
      <c r="B674" s="308"/>
      <c r="C674" s="252"/>
      <c r="D674" s="822"/>
      <c r="F674" s="309"/>
      <c r="I674" s="302"/>
    </row>
    <row r="675">
      <c r="B675" s="308"/>
      <c r="C675" s="252"/>
      <c r="D675" s="822"/>
      <c r="F675" s="309"/>
      <c r="I675" s="302"/>
    </row>
    <row r="676">
      <c r="B676" s="308"/>
      <c r="C676" s="252"/>
      <c r="D676" s="822"/>
      <c r="F676" s="309"/>
      <c r="I676" s="302"/>
    </row>
    <row r="677">
      <c r="B677" s="308"/>
      <c r="C677" s="252"/>
      <c r="D677" s="822"/>
      <c r="F677" s="309"/>
      <c r="I677" s="302"/>
    </row>
    <row r="678">
      <c r="B678" s="308"/>
      <c r="C678" s="252"/>
      <c r="D678" s="822"/>
      <c r="F678" s="309"/>
      <c r="I678" s="302"/>
    </row>
    <row r="679">
      <c r="B679" s="308"/>
      <c r="C679" s="252"/>
      <c r="D679" s="822"/>
      <c r="F679" s="309"/>
      <c r="I679" s="302"/>
    </row>
    <row r="680">
      <c r="B680" s="308"/>
      <c r="C680" s="252"/>
      <c r="D680" s="822"/>
      <c r="F680" s="309"/>
      <c r="I680" s="302"/>
    </row>
    <row r="681">
      <c r="B681" s="308"/>
      <c r="C681" s="252"/>
      <c r="D681" s="822"/>
      <c r="F681" s="309"/>
      <c r="I681" s="302"/>
    </row>
    <row r="682">
      <c r="B682" s="308"/>
      <c r="C682" s="252"/>
      <c r="D682" s="822"/>
      <c r="F682" s="309"/>
      <c r="I682" s="302"/>
    </row>
    <row r="683">
      <c r="B683" s="308"/>
      <c r="C683" s="252"/>
      <c r="D683" s="822"/>
      <c r="F683" s="309"/>
      <c r="I683" s="302"/>
    </row>
    <row r="684">
      <c r="B684" s="308"/>
      <c r="C684" s="252"/>
      <c r="D684" s="822"/>
      <c r="F684" s="309"/>
      <c r="I684" s="302"/>
    </row>
    <row r="685">
      <c r="B685" s="308"/>
      <c r="C685" s="252"/>
      <c r="D685" s="822"/>
      <c r="F685" s="309"/>
      <c r="I685" s="302"/>
    </row>
    <row r="686">
      <c r="B686" s="308"/>
      <c r="C686" s="252"/>
      <c r="D686" s="822"/>
      <c r="F686" s="309"/>
      <c r="I686" s="302"/>
    </row>
    <row r="687">
      <c r="B687" s="308"/>
      <c r="C687" s="252"/>
      <c r="D687" s="822"/>
      <c r="F687" s="309"/>
      <c r="I687" s="302"/>
    </row>
    <row r="688">
      <c r="B688" s="308"/>
      <c r="C688" s="252"/>
      <c r="D688" s="822"/>
      <c r="F688" s="309"/>
      <c r="I688" s="302"/>
    </row>
    <row r="689">
      <c r="B689" s="308"/>
      <c r="C689" s="252"/>
      <c r="D689" s="822"/>
      <c r="F689" s="309"/>
      <c r="I689" s="302"/>
    </row>
    <row r="690">
      <c r="B690" s="308"/>
      <c r="C690" s="252"/>
      <c r="D690" s="822"/>
      <c r="F690" s="309"/>
      <c r="I690" s="302"/>
    </row>
    <row r="691">
      <c r="B691" s="308"/>
      <c r="C691" s="252"/>
      <c r="D691" s="822"/>
      <c r="F691" s="309"/>
      <c r="I691" s="302"/>
    </row>
    <row r="692">
      <c r="B692" s="308"/>
      <c r="C692" s="252"/>
      <c r="D692" s="822"/>
      <c r="F692" s="309"/>
      <c r="I692" s="302"/>
    </row>
    <row r="693">
      <c r="B693" s="308"/>
      <c r="C693" s="252"/>
      <c r="D693" s="822"/>
      <c r="F693" s="309"/>
      <c r="I693" s="302"/>
    </row>
    <row r="694">
      <c r="B694" s="308"/>
      <c r="C694" s="252"/>
      <c r="D694" s="822"/>
      <c r="F694" s="309"/>
      <c r="I694" s="302"/>
    </row>
    <row r="695">
      <c r="B695" s="308"/>
      <c r="C695" s="252"/>
      <c r="D695" s="822"/>
      <c r="F695" s="309"/>
      <c r="I695" s="302"/>
    </row>
    <row r="696">
      <c r="B696" s="308"/>
      <c r="C696" s="252"/>
      <c r="D696" s="822"/>
      <c r="F696" s="309"/>
      <c r="I696" s="302"/>
    </row>
    <row r="697">
      <c r="B697" s="308"/>
      <c r="C697" s="252"/>
      <c r="D697" s="822"/>
      <c r="F697" s="309"/>
      <c r="I697" s="302"/>
    </row>
    <row r="698">
      <c r="B698" s="308"/>
      <c r="C698" s="252"/>
      <c r="D698" s="822"/>
      <c r="F698" s="309"/>
      <c r="I698" s="302"/>
    </row>
    <row r="699">
      <c r="B699" s="308"/>
      <c r="C699" s="252"/>
      <c r="D699" s="822"/>
      <c r="F699" s="309"/>
      <c r="I699" s="302"/>
    </row>
    <row r="700">
      <c r="B700" s="308"/>
      <c r="C700" s="252"/>
      <c r="D700" s="822"/>
      <c r="F700" s="309"/>
      <c r="I700" s="302"/>
    </row>
    <row r="701">
      <c r="B701" s="308"/>
      <c r="C701" s="252"/>
      <c r="D701" s="822"/>
      <c r="F701" s="309"/>
      <c r="I701" s="302"/>
    </row>
    <row r="702">
      <c r="B702" s="308"/>
      <c r="C702" s="252"/>
      <c r="D702" s="822"/>
      <c r="F702" s="309"/>
      <c r="I702" s="302"/>
    </row>
    <row r="703">
      <c r="B703" s="308"/>
      <c r="C703" s="252"/>
      <c r="D703" s="822"/>
      <c r="F703" s="309"/>
      <c r="I703" s="302"/>
    </row>
    <row r="704">
      <c r="B704" s="308"/>
      <c r="C704" s="252"/>
      <c r="D704" s="822"/>
      <c r="F704" s="309"/>
      <c r="I704" s="302"/>
    </row>
    <row r="705">
      <c r="B705" s="308"/>
      <c r="C705" s="252"/>
      <c r="D705" s="822"/>
      <c r="F705" s="309"/>
      <c r="I705" s="302"/>
    </row>
    <row r="706">
      <c r="B706" s="308"/>
      <c r="C706" s="252"/>
      <c r="D706" s="822"/>
      <c r="F706" s="309"/>
      <c r="I706" s="302"/>
    </row>
    <row r="707">
      <c r="B707" s="308"/>
      <c r="C707" s="252"/>
      <c r="D707" s="822"/>
      <c r="F707" s="309"/>
      <c r="I707" s="302"/>
    </row>
    <row r="708">
      <c r="B708" s="308"/>
      <c r="C708" s="252"/>
      <c r="D708" s="822"/>
      <c r="F708" s="309"/>
      <c r="I708" s="302"/>
    </row>
    <row r="709">
      <c r="B709" s="308"/>
      <c r="C709" s="252"/>
      <c r="D709" s="822"/>
      <c r="F709" s="309"/>
      <c r="I709" s="302"/>
    </row>
    <row r="710">
      <c r="B710" s="308"/>
      <c r="C710" s="252"/>
      <c r="D710" s="822"/>
      <c r="F710" s="309"/>
      <c r="I710" s="302"/>
    </row>
    <row r="711">
      <c r="B711" s="308"/>
      <c r="C711" s="252"/>
      <c r="D711" s="822"/>
      <c r="F711" s="309"/>
      <c r="I711" s="302"/>
    </row>
    <row r="712">
      <c r="B712" s="308"/>
      <c r="C712" s="252"/>
      <c r="D712" s="822"/>
      <c r="F712" s="309"/>
      <c r="I712" s="302"/>
    </row>
    <row r="713">
      <c r="B713" s="308"/>
      <c r="C713" s="252"/>
      <c r="D713" s="822"/>
      <c r="F713" s="309"/>
      <c r="I713" s="302"/>
    </row>
    <row r="714">
      <c r="B714" s="308"/>
      <c r="C714" s="252"/>
      <c r="D714" s="822"/>
      <c r="F714" s="309"/>
      <c r="I714" s="302"/>
    </row>
    <row r="715">
      <c r="B715" s="308"/>
      <c r="C715" s="252"/>
      <c r="D715" s="822"/>
      <c r="F715" s="309"/>
      <c r="I715" s="302"/>
    </row>
    <row r="716">
      <c r="B716" s="308"/>
      <c r="C716" s="252"/>
      <c r="D716" s="822"/>
      <c r="F716" s="309"/>
      <c r="I716" s="302"/>
    </row>
    <row r="717">
      <c r="B717" s="308"/>
      <c r="C717" s="252"/>
      <c r="D717" s="822"/>
      <c r="F717" s="309"/>
      <c r="I717" s="302"/>
    </row>
    <row r="718">
      <c r="B718" s="308"/>
      <c r="C718" s="252"/>
      <c r="D718" s="822"/>
      <c r="F718" s="309"/>
      <c r="I718" s="302"/>
    </row>
    <row r="719">
      <c r="B719" s="308"/>
      <c r="C719" s="252"/>
      <c r="D719" s="822"/>
      <c r="F719" s="309"/>
      <c r="I719" s="302"/>
    </row>
    <row r="720">
      <c r="B720" s="308"/>
      <c r="C720" s="252"/>
      <c r="D720" s="822"/>
      <c r="F720" s="309"/>
      <c r="I720" s="302"/>
    </row>
    <row r="721">
      <c r="B721" s="308"/>
      <c r="C721" s="252"/>
      <c r="D721" s="822"/>
      <c r="F721" s="309"/>
      <c r="I721" s="302"/>
    </row>
    <row r="722">
      <c r="B722" s="308"/>
      <c r="C722" s="252"/>
      <c r="D722" s="822"/>
      <c r="F722" s="309"/>
      <c r="I722" s="302"/>
    </row>
    <row r="723">
      <c r="B723" s="308"/>
      <c r="C723" s="252"/>
      <c r="D723" s="822"/>
      <c r="F723" s="309"/>
      <c r="I723" s="302"/>
    </row>
    <row r="724">
      <c r="B724" s="308"/>
      <c r="C724" s="252"/>
      <c r="D724" s="822"/>
      <c r="F724" s="309"/>
      <c r="I724" s="302"/>
    </row>
    <row r="725">
      <c r="B725" s="308"/>
      <c r="C725" s="252"/>
      <c r="D725" s="822"/>
      <c r="F725" s="309"/>
      <c r="I725" s="302"/>
    </row>
    <row r="726">
      <c r="B726" s="308"/>
      <c r="C726" s="252"/>
      <c r="D726" s="822"/>
      <c r="F726" s="309"/>
      <c r="I726" s="302"/>
    </row>
    <row r="727">
      <c r="B727" s="308"/>
      <c r="C727" s="252"/>
      <c r="D727" s="822"/>
      <c r="F727" s="309"/>
      <c r="I727" s="302"/>
    </row>
    <row r="728">
      <c r="B728" s="308"/>
      <c r="C728" s="252"/>
      <c r="D728" s="822"/>
      <c r="F728" s="309"/>
      <c r="I728" s="302"/>
    </row>
    <row r="729">
      <c r="B729" s="308"/>
      <c r="C729" s="252"/>
      <c r="D729" s="822"/>
      <c r="F729" s="309"/>
      <c r="I729" s="302"/>
    </row>
    <row r="730">
      <c r="B730" s="308"/>
      <c r="C730" s="252"/>
      <c r="D730" s="822"/>
      <c r="F730" s="309"/>
      <c r="I730" s="302"/>
    </row>
    <row r="731">
      <c r="B731" s="308"/>
      <c r="C731" s="252"/>
      <c r="D731" s="822"/>
      <c r="F731" s="309"/>
      <c r="I731" s="302"/>
    </row>
    <row r="732">
      <c r="B732" s="308"/>
      <c r="C732" s="252"/>
      <c r="D732" s="822"/>
      <c r="F732" s="309"/>
      <c r="I732" s="302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101"/>
    <mergeCell ref="A102:A115"/>
    <mergeCell ref="A116:A133"/>
    <mergeCell ref="A134:A148"/>
    <mergeCell ref="A149:A163"/>
    <mergeCell ref="A164:A173"/>
    <mergeCell ref="A174:A188"/>
    <mergeCell ref="A189:A204"/>
    <mergeCell ref="A205:A219"/>
    <mergeCell ref="A220:A231"/>
    <mergeCell ref="A232:A242"/>
    <mergeCell ref="A243:A256"/>
    <mergeCell ref="A257:A270"/>
    <mergeCell ref="A367:A379"/>
    <mergeCell ref="A380:A391"/>
    <mergeCell ref="A392:A403"/>
    <mergeCell ref="A404:A413"/>
    <mergeCell ref="A414:A423"/>
    <mergeCell ref="A271:A283"/>
    <mergeCell ref="A284:A297"/>
    <mergeCell ref="A298:A312"/>
    <mergeCell ref="A313:A323"/>
    <mergeCell ref="A324:A336"/>
    <mergeCell ref="A337:A354"/>
    <mergeCell ref="A355:A3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3" t="s">
        <v>2782</v>
      </c>
    </row>
    <row r="2">
      <c r="A2" s="816" t="s">
        <v>3112</v>
      </c>
      <c r="B2" s="247">
        <v>2963.85</v>
      </c>
      <c r="C2" s="240"/>
      <c r="D2" s="824"/>
      <c r="E2" s="242"/>
      <c r="F2" s="243"/>
      <c r="G2" s="2" t="s">
        <v>82</v>
      </c>
      <c r="H2" s="244"/>
      <c r="I2" s="307"/>
    </row>
    <row r="3">
      <c r="A3" s="265"/>
      <c r="B3" s="268"/>
      <c r="C3" s="248"/>
      <c r="D3" s="331"/>
      <c r="F3" s="250">
        <v>684.0</v>
      </c>
      <c r="G3" s="2" t="s">
        <v>708</v>
      </c>
      <c r="I3" s="251"/>
    </row>
    <row r="4">
      <c r="A4" s="265"/>
      <c r="B4" s="247">
        <v>3518.0</v>
      </c>
      <c r="C4" s="252"/>
      <c r="D4" s="822"/>
      <c r="F4" s="250"/>
      <c r="G4" s="2" t="s">
        <v>352</v>
      </c>
      <c r="I4" s="251"/>
    </row>
    <row r="5">
      <c r="A5" s="265"/>
      <c r="B5" s="247">
        <v>1560.0</v>
      </c>
      <c r="C5" s="248"/>
      <c r="D5" s="331"/>
      <c r="F5" s="250"/>
      <c r="G5" s="2" t="s">
        <v>949</v>
      </c>
      <c r="I5" s="251"/>
    </row>
    <row r="6">
      <c r="A6" s="265"/>
      <c r="B6" s="247"/>
      <c r="C6" s="252"/>
      <c r="D6" s="822"/>
      <c r="F6" s="250">
        <v>1000.0</v>
      </c>
      <c r="G6" s="2" t="s">
        <v>2534</v>
      </c>
      <c r="H6" s="838"/>
      <c r="I6" s="251"/>
    </row>
    <row r="7">
      <c r="A7" s="265"/>
      <c r="B7" s="247"/>
      <c r="C7" s="252"/>
      <c r="D7" s="822"/>
      <c r="F7" s="250">
        <v>4800.0</v>
      </c>
      <c r="G7" s="2" t="s">
        <v>344</v>
      </c>
      <c r="I7" s="251"/>
    </row>
    <row r="8">
      <c r="A8" s="265"/>
      <c r="B8" s="268"/>
      <c r="C8" s="252"/>
      <c r="D8" s="822"/>
      <c r="F8" s="250">
        <v>36.0</v>
      </c>
      <c r="G8" s="2" t="s">
        <v>3113</v>
      </c>
      <c r="I8" s="251"/>
    </row>
    <row r="9">
      <c r="A9" s="265"/>
      <c r="B9" s="268"/>
      <c r="C9" s="252"/>
      <c r="D9" s="822"/>
      <c r="F9" s="250">
        <v>6130.0</v>
      </c>
      <c r="G9" s="2" t="s">
        <v>75</v>
      </c>
      <c r="I9" s="251"/>
    </row>
    <row r="10">
      <c r="A10" s="265"/>
      <c r="B10" s="268"/>
      <c r="C10" s="252"/>
      <c r="D10" s="822"/>
      <c r="F10" s="250">
        <v>4200.0</v>
      </c>
      <c r="G10" s="2" t="s">
        <v>3114</v>
      </c>
      <c r="I10" s="251"/>
    </row>
    <row r="11">
      <c r="A11" s="270"/>
      <c r="B11" s="271"/>
      <c r="C11" s="272"/>
      <c r="D11" s="823"/>
      <c r="E11" s="18"/>
      <c r="F11" s="274"/>
      <c r="G11" s="18"/>
      <c r="H11" s="18"/>
      <c r="I11" s="261"/>
    </row>
    <row r="12">
      <c r="A12" s="816" t="s">
        <v>778</v>
      </c>
      <c r="B12" s="247"/>
      <c r="C12" s="263"/>
      <c r="D12" s="821"/>
      <c r="E12" s="242"/>
      <c r="F12" s="243">
        <f>SUM(269,46,355)</f>
        <v>670</v>
      </c>
      <c r="G12" s="244" t="s">
        <v>3115</v>
      </c>
      <c r="H12" s="244"/>
      <c r="I12" s="307"/>
    </row>
    <row r="13">
      <c r="A13" s="265"/>
      <c r="B13" s="247"/>
      <c r="C13" s="248"/>
      <c r="D13" s="822"/>
      <c r="F13" s="250">
        <v>700.0</v>
      </c>
      <c r="G13" s="2" t="s">
        <v>3116</v>
      </c>
      <c r="I13" s="251"/>
    </row>
    <row r="14">
      <c r="A14" s="265"/>
      <c r="B14" s="247"/>
      <c r="C14" s="248"/>
      <c r="D14" s="331"/>
      <c r="F14" s="250">
        <v>3500.0</v>
      </c>
      <c r="G14" s="2" t="s">
        <v>2893</v>
      </c>
      <c r="I14" s="251"/>
    </row>
    <row r="15">
      <c r="A15" s="265"/>
      <c r="B15" s="247"/>
      <c r="C15" s="252"/>
      <c r="D15" s="331"/>
      <c r="F15" s="250">
        <v>2000.0</v>
      </c>
      <c r="G15" s="2" t="s">
        <v>2837</v>
      </c>
      <c r="I15" s="251"/>
    </row>
    <row r="16">
      <c r="A16" s="265"/>
      <c r="B16" s="268"/>
      <c r="C16" s="252"/>
      <c r="D16" s="331"/>
      <c r="F16" s="250"/>
      <c r="G16" s="2" t="s">
        <v>2669</v>
      </c>
      <c r="I16" s="251"/>
    </row>
    <row r="17">
      <c r="A17" s="265"/>
      <c r="B17" s="247">
        <v>17645.0</v>
      </c>
      <c r="C17" s="248"/>
      <c r="D17" s="331"/>
      <c r="F17" s="250"/>
      <c r="G17" s="2" t="s">
        <v>144</v>
      </c>
      <c r="I17" s="251"/>
    </row>
    <row r="18">
      <c r="A18" s="265"/>
      <c r="B18" s="247">
        <v>15070.0</v>
      </c>
      <c r="C18" s="252"/>
      <c r="D18" s="822"/>
      <c r="F18" s="250"/>
      <c r="G18" s="2" t="s">
        <v>144</v>
      </c>
      <c r="I18" s="251"/>
    </row>
    <row r="19">
      <c r="A19" s="265"/>
      <c r="B19" s="247"/>
      <c r="C19" s="252"/>
      <c r="D19" s="331"/>
      <c r="F19" s="250"/>
      <c r="I19" s="251"/>
    </row>
    <row r="20">
      <c r="A20" s="265"/>
      <c r="B20" s="247"/>
      <c r="C20" s="252"/>
      <c r="D20" s="822"/>
      <c r="F20" s="250"/>
      <c r="G20" s="839"/>
      <c r="I20" s="251"/>
    </row>
    <row r="21">
      <c r="A21" s="265"/>
      <c r="B21" s="278"/>
      <c r="C21" s="252"/>
      <c r="D21" s="822"/>
      <c r="F21" s="250"/>
      <c r="G21" s="839"/>
      <c r="I21" s="251"/>
    </row>
    <row r="22">
      <c r="A22" s="265"/>
      <c r="B22" s="278"/>
      <c r="C22" s="252"/>
      <c r="D22" s="822"/>
      <c r="F22" s="250"/>
      <c r="I22" s="251"/>
    </row>
    <row r="23">
      <c r="A23" s="265"/>
      <c r="B23" s="278"/>
      <c r="C23" s="252"/>
      <c r="D23" s="822"/>
      <c r="F23" s="250"/>
      <c r="I23" s="251"/>
    </row>
    <row r="24">
      <c r="A24" s="270"/>
      <c r="B24" s="271"/>
      <c r="C24" s="272"/>
      <c r="D24" s="823"/>
      <c r="E24" s="18"/>
      <c r="F24" s="274"/>
      <c r="G24" s="18"/>
      <c r="H24" s="18"/>
      <c r="I24" s="261"/>
    </row>
    <row r="25">
      <c r="A25" s="262" t="s">
        <v>781</v>
      </c>
      <c r="B25" s="239"/>
      <c r="C25" s="263"/>
      <c r="D25" s="824"/>
      <c r="E25" s="242"/>
      <c r="F25" s="250">
        <v>1400.0</v>
      </c>
      <c r="G25" s="244" t="s">
        <v>3117</v>
      </c>
      <c r="H25" s="244"/>
      <c r="I25" s="307"/>
    </row>
    <row r="26">
      <c r="A26" s="265"/>
      <c r="B26" s="247">
        <v>4309.0</v>
      </c>
      <c r="C26" s="248"/>
      <c r="D26" s="822"/>
      <c r="F26" s="309"/>
      <c r="G26" s="2" t="s">
        <v>3019</v>
      </c>
      <c r="I26" s="251"/>
    </row>
    <row r="27">
      <c r="A27" s="265"/>
      <c r="B27" s="268"/>
      <c r="C27" s="248">
        <v>38630.72</v>
      </c>
      <c r="D27" s="822"/>
      <c r="F27" s="250"/>
      <c r="G27" s="2" t="s">
        <v>71</v>
      </c>
      <c r="I27" s="251"/>
    </row>
    <row r="28">
      <c r="A28" s="265"/>
      <c r="B28" s="247"/>
      <c r="C28" s="252"/>
      <c r="D28" s="822"/>
      <c r="F28" s="250">
        <v>1000.0</v>
      </c>
      <c r="G28" s="2" t="s">
        <v>3118</v>
      </c>
      <c r="I28" s="251"/>
    </row>
    <row r="29">
      <c r="A29" s="265"/>
      <c r="B29" s="268"/>
      <c r="C29" s="248"/>
      <c r="D29" s="822"/>
      <c r="F29" s="250">
        <v>2150.0</v>
      </c>
      <c r="G29" s="2" t="s">
        <v>426</v>
      </c>
      <c r="I29" s="251"/>
    </row>
    <row r="30">
      <c r="A30" s="265"/>
      <c r="B30" s="247"/>
      <c r="C30" s="252"/>
      <c r="D30" s="822"/>
      <c r="F30" s="250"/>
      <c r="G30" s="2" t="s">
        <v>3119</v>
      </c>
      <c r="I30" s="251"/>
    </row>
    <row r="31">
      <c r="A31" s="265"/>
      <c r="B31" s="268"/>
      <c r="C31" s="252"/>
      <c r="D31" s="822"/>
      <c r="F31" s="250">
        <v>2000.0</v>
      </c>
      <c r="G31" s="2" t="s">
        <v>101</v>
      </c>
      <c r="I31" s="251"/>
    </row>
    <row r="32">
      <c r="A32" s="265"/>
      <c r="B32" s="247">
        <v>3708.0</v>
      </c>
      <c r="C32" s="252"/>
      <c r="D32" s="331"/>
      <c r="F32" s="250"/>
      <c r="G32" s="2" t="s">
        <v>3120</v>
      </c>
      <c r="I32" s="267" t="s">
        <v>3121</v>
      </c>
    </row>
    <row r="33">
      <c r="A33" s="265"/>
      <c r="B33" s="268"/>
      <c r="C33" s="252"/>
      <c r="D33" s="822"/>
      <c r="F33" s="250">
        <v>1300.0</v>
      </c>
      <c r="G33" s="2" t="s">
        <v>3122</v>
      </c>
      <c r="I33" s="267" t="s">
        <v>3123</v>
      </c>
    </row>
    <row r="34">
      <c r="A34" s="265"/>
      <c r="B34" s="247">
        <v>1838.0</v>
      </c>
      <c r="C34" s="252"/>
      <c r="D34" s="822"/>
      <c r="F34" s="250"/>
      <c r="G34" s="2" t="s">
        <v>874</v>
      </c>
      <c r="I34" s="251"/>
    </row>
    <row r="35">
      <c r="A35" s="265"/>
      <c r="B35" s="268"/>
      <c r="C35" s="252"/>
      <c r="D35" s="822"/>
      <c r="F35" s="250"/>
      <c r="I35" s="251"/>
    </row>
    <row r="36">
      <c r="A36" s="265"/>
      <c r="B36" s="268"/>
      <c r="C36" s="252"/>
      <c r="D36" s="822"/>
      <c r="F36" s="250"/>
      <c r="I36" s="251"/>
    </row>
    <row r="37">
      <c r="A37" s="270"/>
      <c r="B37" s="271"/>
      <c r="C37" s="272"/>
      <c r="D37" s="823"/>
      <c r="E37" s="18"/>
      <c r="F37" s="274"/>
      <c r="G37" s="18"/>
      <c r="H37" s="18"/>
      <c r="I37" s="261"/>
    </row>
    <row r="38">
      <c r="A38" s="262" t="s">
        <v>782</v>
      </c>
      <c r="B38" s="239"/>
      <c r="C38" s="240"/>
      <c r="D38" s="824"/>
      <c r="E38" s="242"/>
      <c r="F38" s="243">
        <v>3900.0</v>
      </c>
      <c r="G38" s="244" t="s">
        <v>76</v>
      </c>
      <c r="H38" s="244"/>
      <c r="I38" s="307"/>
    </row>
    <row r="39">
      <c r="A39" s="265"/>
      <c r="B39" s="247"/>
      <c r="C39" s="252"/>
      <c r="D39" s="822"/>
      <c r="F39" s="250">
        <v>4070.0</v>
      </c>
      <c r="G39" s="2" t="s">
        <v>114</v>
      </c>
      <c r="I39" s="251"/>
    </row>
    <row r="40">
      <c r="A40" s="265"/>
      <c r="B40" s="268"/>
      <c r="C40" s="248"/>
      <c r="D40" s="822"/>
      <c r="F40" s="250">
        <v>1086.0</v>
      </c>
      <c r="G40" s="2" t="s">
        <v>854</v>
      </c>
      <c r="I40" s="251"/>
    </row>
    <row r="41">
      <c r="A41" s="265"/>
      <c r="B41" s="268"/>
      <c r="C41" s="252"/>
      <c r="D41" s="822"/>
      <c r="F41" s="250">
        <v>11700.0</v>
      </c>
      <c r="G41" s="2" t="s">
        <v>87</v>
      </c>
      <c r="I41" s="251"/>
    </row>
    <row r="42">
      <c r="A42" s="265"/>
      <c r="B42" s="247"/>
      <c r="C42" s="252"/>
      <c r="D42" s="331"/>
      <c r="F42" s="250">
        <v>1000.0</v>
      </c>
      <c r="G42" s="2" t="s">
        <v>2534</v>
      </c>
      <c r="I42" s="251"/>
    </row>
    <row r="43">
      <c r="A43" s="265"/>
      <c r="B43" s="247">
        <v>5445.66</v>
      </c>
      <c r="C43" s="252"/>
      <c r="D43" s="822"/>
      <c r="F43" s="250"/>
      <c r="G43" s="2" t="s">
        <v>3124</v>
      </c>
      <c r="I43" s="267" t="s">
        <v>3123</v>
      </c>
    </row>
    <row r="44">
      <c r="A44" s="265"/>
      <c r="B44" s="268"/>
      <c r="C44" s="248"/>
      <c r="D44" s="822"/>
      <c r="F44" s="250"/>
      <c r="I44" s="251"/>
    </row>
    <row r="45">
      <c r="A45" s="265"/>
      <c r="B45" s="268"/>
      <c r="C45" s="252"/>
      <c r="D45" s="822"/>
      <c r="F45" s="250"/>
      <c r="I45" s="251"/>
    </row>
    <row r="46">
      <c r="A46" s="265"/>
      <c r="B46" s="268"/>
      <c r="C46" s="248"/>
      <c r="D46" s="822"/>
      <c r="F46" s="250"/>
      <c r="I46" s="251"/>
    </row>
    <row r="47">
      <c r="A47" s="265"/>
      <c r="B47" s="278"/>
      <c r="C47" s="252"/>
      <c r="D47" s="822"/>
      <c r="F47" s="250"/>
      <c r="I47" s="251"/>
    </row>
    <row r="48">
      <c r="A48" s="265"/>
      <c r="B48" s="278"/>
      <c r="C48" s="252"/>
      <c r="D48" s="822"/>
      <c r="F48" s="250"/>
      <c r="I48" s="251"/>
    </row>
    <row r="49">
      <c r="A49" s="270"/>
      <c r="B49" s="271"/>
      <c r="C49" s="272"/>
      <c r="D49" s="823"/>
      <c r="E49" s="18"/>
      <c r="F49" s="259"/>
      <c r="G49" s="293"/>
      <c r="H49" s="18"/>
      <c r="I49" s="261"/>
    </row>
    <row r="50">
      <c r="A50" s="437"/>
      <c r="B50" s="278"/>
      <c r="C50" s="252"/>
      <c r="D50" s="822"/>
      <c r="F50" s="250"/>
      <c r="I50" s="251"/>
    </row>
    <row r="51">
      <c r="A51" s="437"/>
      <c r="B51" s="278"/>
      <c r="C51" s="252"/>
      <c r="D51" s="822"/>
      <c r="F51" s="250"/>
      <c r="I51" s="251"/>
    </row>
    <row r="52">
      <c r="A52" s="262" t="s">
        <v>784</v>
      </c>
      <c r="B52" s="306"/>
      <c r="C52" s="263"/>
      <c r="D52" s="824"/>
      <c r="E52" s="242"/>
      <c r="F52" s="243">
        <v>603.0</v>
      </c>
      <c r="G52" s="244" t="s">
        <v>97</v>
      </c>
      <c r="H52" s="244"/>
      <c r="I52" s="307"/>
    </row>
    <row r="53">
      <c r="A53" s="265"/>
      <c r="B53" s="247">
        <v>11135.66</v>
      </c>
      <c r="C53" s="252"/>
      <c r="D53" s="822"/>
      <c r="F53" s="250"/>
      <c r="G53" s="2" t="s">
        <v>73</v>
      </c>
      <c r="I53" s="251"/>
    </row>
    <row r="54">
      <c r="A54" s="265"/>
      <c r="B54" s="247">
        <v>10377.54</v>
      </c>
      <c r="C54" s="248"/>
      <c r="D54" s="331"/>
      <c r="F54" s="250"/>
      <c r="G54" s="2" t="s">
        <v>74</v>
      </c>
      <c r="I54" s="251"/>
    </row>
    <row r="55">
      <c r="A55" s="265"/>
      <c r="B55" s="247">
        <v>2963.85</v>
      </c>
      <c r="C55" s="252"/>
      <c r="D55" s="822"/>
      <c r="F55" s="250"/>
      <c r="G55" s="2" t="s">
        <v>82</v>
      </c>
      <c r="I55" s="251"/>
    </row>
    <row r="56">
      <c r="A56" s="265"/>
      <c r="B56" s="247"/>
      <c r="C56" s="252"/>
      <c r="D56" s="331"/>
      <c r="F56" s="250">
        <v>360.0</v>
      </c>
      <c r="G56" s="2" t="s">
        <v>228</v>
      </c>
      <c r="I56" s="267" t="s">
        <v>3125</v>
      </c>
    </row>
    <row r="57">
      <c r="A57" s="265"/>
      <c r="B57" s="247"/>
      <c r="C57" s="252"/>
      <c r="D57" s="822"/>
      <c r="F57" s="250">
        <v>2420.0</v>
      </c>
      <c r="G57" s="2" t="s">
        <v>320</v>
      </c>
      <c r="I57" s="251"/>
    </row>
    <row r="58">
      <c r="A58" s="265"/>
      <c r="B58" s="247">
        <v>1855.0</v>
      </c>
      <c r="C58" s="248"/>
      <c r="D58" s="822"/>
      <c r="F58" s="250"/>
      <c r="G58" s="2" t="s">
        <v>3126</v>
      </c>
      <c r="I58" s="251"/>
    </row>
    <row r="59">
      <c r="A59" s="265"/>
      <c r="B59" s="268"/>
      <c r="C59" s="252"/>
      <c r="D59" s="822"/>
      <c r="F59" s="250">
        <v>600.0</v>
      </c>
      <c r="G59" s="2" t="s">
        <v>3127</v>
      </c>
      <c r="I59" s="251"/>
    </row>
    <row r="60">
      <c r="A60" s="265"/>
      <c r="B60" s="268"/>
      <c r="C60" s="252"/>
      <c r="D60" s="822"/>
      <c r="F60" s="250">
        <v>1000.0</v>
      </c>
      <c r="G60" s="2" t="s">
        <v>2534</v>
      </c>
      <c r="I60" s="251"/>
    </row>
    <row r="61">
      <c r="A61" s="270"/>
      <c r="B61" s="271"/>
      <c r="C61" s="272"/>
      <c r="D61" s="823"/>
      <c r="E61" s="18"/>
      <c r="F61" s="274"/>
      <c r="G61" s="18"/>
      <c r="H61" s="18"/>
      <c r="I61" s="261"/>
    </row>
    <row r="62">
      <c r="A62" s="262" t="s">
        <v>785</v>
      </c>
      <c r="B62" s="306"/>
      <c r="C62" s="263"/>
      <c r="D62" s="824"/>
      <c r="E62" s="242"/>
      <c r="F62" s="243">
        <v>62.9</v>
      </c>
      <c r="G62" s="244" t="s">
        <v>3128</v>
      </c>
      <c r="H62" s="244"/>
      <c r="I62" s="307"/>
    </row>
    <row r="63">
      <c r="A63" s="265"/>
      <c r="B63" s="247"/>
      <c r="C63" s="252"/>
      <c r="D63" s="822"/>
      <c r="F63" s="250">
        <v>6000.0</v>
      </c>
      <c r="G63" s="2" t="s">
        <v>87</v>
      </c>
      <c r="I63" s="251"/>
    </row>
    <row r="64">
      <c r="A64" s="265"/>
      <c r="B64" s="247"/>
      <c r="C64" s="252"/>
      <c r="D64" s="822"/>
      <c r="F64" s="250">
        <v>16050.0</v>
      </c>
      <c r="G64" s="2" t="s">
        <v>75</v>
      </c>
      <c r="I64" s="251"/>
    </row>
    <row r="65">
      <c r="A65" s="265"/>
      <c r="B65" s="247"/>
      <c r="C65" s="252"/>
      <c r="D65" s="822"/>
      <c r="F65" s="250">
        <v>3158.23</v>
      </c>
      <c r="G65" s="2" t="s">
        <v>103</v>
      </c>
      <c r="I65" s="267" t="s">
        <v>3129</v>
      </c>
    </row>
    <row r="66">
      <c r="A66" s="265"/>
      <c r="B66" s="247"/>
      <c r="C66" s="248"/>
      <c r="D66" s="822"/>
      <c r="F66" s="250">
        <v>5610.0</v>
      </c>
      <c r="G66" s="2" t="s">
        <v>3130</v>
      </c>
      <c r="I66" s="251"/>
    </row>
    <row r="67">
      <c r="A67" s="265"/>
      <c r="B67" s="247"/>
      <c r="C67" s="252"/>
      <c r="D67" s="822"/>
      <c r="F67" s="250">
        <v>7170.0</v>
      </c>
      <c r="G67" s="2" t="s">
        <v>3003</v>
      </c>
      <c r="I67" s="251"/>
    </row>
    <row r="68">
      <c r="A68" s="265"/>
      <c r="B68" s="247"/>
      <c r="C68" s="252"/>
      <c r="D68" s="822"/>
      <c r="F68" s="250">
        <v>1000.0</v>
      </c>
      <c r="G68" s="2" t="s">
        <v>2534</v>
      </c>
      <c r="I68" s="251"/>
    </row>
    <row r="69">
      <c r="A69" s="265"/>
      <c r="B69" s="247"/>
      <c r="C69" s="252"/>
      <c r="D69" s="822"/>
      <c r="F69" s="250"/>
      <c r="I69" s="251"/>
    </row>
    <row r="70">
      <c r="A70" s="265"/>
      <c r="B70" s="268"/>
      <c r="C70" s="248"/>
      <c r="D70" s="822"/>
      <c r="F70" s="250"/>
      <c r="I70" s="251"/>
    </row>
    <row r="71">
      <c r="A71" s="265"/>
      <c r="B71" s="268"/>
      <c r="C71" s="248"/>
      <c r="D71" s="331"/>
      <c r="F71" s="250"/>
      <c r="I71" s="251"/>
    </row>
    <row r="72">
      <c r="A72" s="265"/>
      <c r="B72" s="278"/>
      <c r="C72" s="252"/>
      <c r="D72" s="822"/>
      <c r="F72" s="282"/>
      <c r="I72" s="251"/>
    </row>
    <row r="73">
      <c r="A73" s="270"/>
      <c r="B73" s="271"/>
      <c r="C73" s="272"/>
      <c r="D73" s="823"/>
      <c r="E73" s="18"/>
      <c r="F73" s="274"/>
      <c r="G73" s="18"/>
      <c r="H73" s="18"/>
      <c r="I73" s="261"/>
    </row>
    <row r="74">
      <c r="A74" s="262" t="s">
        <v>786</v>
      </c>
      <c r="B74" s="239">
        <v>7631.4</v>
      </c>
      <c r="C74" s="263"/>
      <c r="D74" s="824"/>
      <c r="E74" s="242"/>
      <c r="F74" s="243"/>
      <c r="G74" s="244" t="s">
        <v>82</v>
      </c>
      <c r="H74" s="244"/>
      <c r="I74" s="307"/>
    </row>
    <row r="75">
      <c r="A75" s="265"/>
      <c r="B75" s="268"/>
      <c r="C75" s="248"/>
      <c r="D75" s="822"/>
      <c r="F75" s="250">
        <v>3000.0</v>
      </c>
      <c r="G75" s="2" t="s">
        <v>2893</v>
      </c>
      <c r="I75" s="251"/>
    </row>
    <row r="76">
      <c r="A76" s="265"/>
      <c r="B76" s="247"/>
      <c r="C76" s="252"/>
      <c r="D76" s="822"/>
      <c r="F76" s="250">
        <v>300.0</v>
      </c>
      <c r="G76" s="2" t="s">
        <v>3131</v>
      </c>
      <c r="H76" s="840"/>
      <c r="I76" s="267" t="s">
        <v>3132</v>
      </c>
    </row>
    <row r="77">
      <c r="A77" s="265"/>
      <c r="B77" s="247"/>
      <c r="C77" s="252"/>
      <c r="D77" s="822"/>
      <c r="F77" s="250" t="s">
        <v>3006</v>
      </c>
      <c r="G77" s="2">
        <v>1000.0</v>
      </c>
      <c r="I77" s="251"/>
    </row>
    <row r="78">
      <c r="A78" s="265"/>
      <c r="B78" s="247"/>
      <c r="C78" s="248"/>
      <c r="D78" s="822"/>
      <c r="F78" s="250"/>
      <c r="I78" s="251"/>
    </row>
    <row r="79">
      <c r="A79" s="265"/>
      <c r="B79" s="247"/>
      <c r="C79" s="248"/>
      <c r="D79" s="822"/>
      <c r="F79" s="250"/>
      <c r="I79" s="251"/>
    </row>
    <row r="80">
      <c r="A80" s="265"/>
      <c r="B80" s="268"/>
      <c r="C80" s="252"/>
      <c r="D80" s="822"/>
      <c r="F80" s="250"/>
      <c r="I80" s="251"/>
    </row>
    <row r="81">
      <c r="A81" s="265"/>
      <c r="B81" s="247"/>
      <c r="C81" s="252"/>
      <c r="D81" s="822"/>
      <c r="F81" s="250"/>
      <c r="I81" s="251"/>
    </row>
    <row r="82">
      <c r="A82" s="265"/>
      <c r="B82" s="247"/>
      <c r="C82" s="252"/>
      <c r="D82" s="822"/>
      <c r="F82" s="250"/>
      <c r="I82" s="251"/>
    </row>
    <row r="83">
      <c r="A83" s="265"/>
      <c r="B83" s="278"/>
      <c r="C83" s="252"/>
      <c r="D83" s="822"/>
      <c r="F83" s="250"/>
      <c r="I83" s="251"/>
    </row>
    <row r="84">
      <c r="A84" s="265"/>
      <c r="B84" s="278"/>
      <c r="C84" s="252"/>
      <c r="D84" s="822"/>
      <c r="F84" s="250"/>
      <c r="H84" s="838"/>
      <c r="I84" s="251"/>
    </row>
    <row r="85">
      <c r="A85" s="270"/>
      <c r="B85" s="271"/>
      <c r="C85" s="272"/>
      <c r="D85" s="823"/>
      <c r="E85" s="18"/>
      <c r="F85" s="274"/>
      <c r="G85" s="18"/>
      <c r="H85" s="18"/>
      <c r="I85" s="261"/>
    </row>
    <row r="86">
      <c r="A86" s="262" t="s">
        <v>788</v>
      </c>
      <c r="B86" s="239"/>
      <c r="C86" s="263"/>
      <c r="D86" s="824"/>
      <c r="E86" s="242"/>
      <c r="F86" s="243">
        <v>5400.0</v>
      </c>
      <c r="G86" s="244" t="s">
        <v>2669</v>
      </c>
      <c r="H86" s="244"/>
      <c r="I86" s="307"/>
    </row>
    <row r="87">
      <c r="A87" s="265"/>
      <c r="B87" s="247"/>
      <c r="C87" s="248"/>
      <c r="D87" s="822"/>
      <c r="F87" s="250"/>
      <c r="I87" s="251"/>
    </row>
    <row r="88">
      <c r="A88" s="265"/>
      <c r="B88" s="268"/>
      <c r="C88" s="248"/>
      <c r="D88" s="822"/>
      <c r="F88" s="250"/>
      <c r="I88" s="251"/>
    </row>
    <row r="89">
      <c r="A89" s="265"/>
      <c r="B89" s="247"/>
      <c r="C89" s="248"/>
      <c r="D89" s="822"/>
      <c r="F89" s="250"/>
      <c r="I89" s="251"/>
    </row>
    <row r="90">
      <c r="A90" s="265"/>
      <c r="B90" s="78"/>
      <c r="C90" s="248"/>
      <c r="D90" s="822"/>
      <c r="F90" s="250"/>
      <c r="I90" s="251"/>
    </row>
    <row r="91">
      <c r="A91" s="265"/>
      <c r="B91" s="841"/>
      <c r="C91" s="252"/>
      <c r="D91" s="331"/>
      <c r="F91" s="266"/>
      <c r="I91" s="251"/>
    </row>
    <row r="92">
      <c r="A92" s="265"/>
      <c r="B92" s="281"/>
      <c r="C92" s="252"/>
      <c r="D92" s="331"/>
      <c r="F92" s="250"/>
      <c r="I92" s="251"/>
    </row>
    <row r="93">
      <c r="A93" s="265"/>
      <c r="B93" s="247"/>
      <c r="C93" s="252"/>
      <c r="D93" s="331"/>
      <c r="F93" s="250"/>
      <c r="I93" s="251"/>
    </row>
    <row r="94">
      <c r="A94" s="265"/>
      <c r="B94" s="247"/>
      <c r="C94" s="252"/>
      <c r="D94" s="822"/>
      <c r="F94" s="250"/>
      <c r="I94" s="251"/>
    </row>
    <row r="95">
      <c r="A95" s="265"/>
      <c r="B95" s="268"/>
      <c r="C95" s="252"/>
      <c r="D95" s="331"/>
      <c r="F95" s="250"/>
      <c r="I95" s="251"/>
    </row>
    <row r="96">
      <c r="A96" s="265"/>
      <c r="B96" s="268"/>
      <c r="C96" s="252"/>
      <c r="D96" s="822"/>
      <c r="F96" s="250"/>
      <c r="I96" s="251"/>
    </row>
    <row r="97">
      <c r="A97" s="265"/>
      <c r="B97" s="247"/>
      <c r="C97" s="252"/>
      <c r="D97" s="822"/>
      <c r="F97" s="250"/>
      <c r="I97" s="251"/>
    </row>
    <row r="98">
      <c r="A98" s="265"/>
      <c r="B98" s="277"/>
      <c r="C98" s="252"/>
      <c r="D98" s="822"/>
      <c r="F98" s="282"/>
      <c r="I98" s="251"/>
    </row>
    <row r="99">
      <c r="A99" s="265"/>
      <c r="B99" s="278"/>
      <c r="C99" s="248"/>
      <c r="D99" s="822"/>
      <c r="F99" s="282"/>
      <c r="I99" s="251"/>
    </row>
    <row r="100">
      <c r="A100" s="265"/>
      <c r="B100" s="278"/>
      <c r="C100" s="252"/>
      <c r="D100" s="822"/>
      <c r="F100" s="250"/>
      <c r="I100" s="251"/>
    </row>
    <row r="101">
      <c r="A101" s="270"/>
      <c r="B101" s="271"/>
      <c r="C101" s="272"/>
      <c r="D101" s="823"/>
      <c r="E101" s="18"/>
      <c r="F101" s="259"/>
      <c r="G101" s="293"/>
      <c r="H101" s="18"/>
      <c r="I101" s="261"/>
    </row>
    <row r="102">
      <c r="A102" s="262" t="s">
        <v>789</v>
      </c>
      <c r="B102" s="239">
        <v>2310.0</v>
      </c>
      <c r="C102" s="263"/>
      <c r="D102" s="821"/>
      <c r="E102" s="242"/>
      <c r="F102" s="250"/>
      <c r="G102" s="244" t="s">
        <v>2649</v>
      </c>
      <c r="H102" s="244"/>
      <c r="I102" s="307"/>
    </row>
    <row r="103">
      <c r="A103" s="265"/>
      <c r="B103" s="268"/>
      <c r="C103" s="248"/>
      <c r="D103" s="822"/>
      <c r="F103" s="250">
        <v>520.0</v>
      </c>
      <c r="G103" s="2" t="s">
        <v>1169</v>
      </c>
      <c r="I103" s="251"/>
    </row>
    <row r="104">
      <c r="A104" s="265"/>
      <c r="B104" s="247"/>
      <c r="C104" s="248"/>
      <c r="D104" s="822"/>
      <c r="F104" s="250">
        <v>450.0</v>
      </c>
      <c r="G104" s="2" t="s">
        <v>344</v>
      </c>
      <c r="I104" s="251"/>
    </row>
    <row r="105">
      <c r="A105" s="265"/>
      <c r="B105" s="247"/>
      <c r="C105" s="248"/>
      <c r="D105" s="822"/>
      <c r="F105" s="250"/>
      <c r="I105" s="251"/>
    </row>
    <row r="106">
      <c r="A106" s="265"/>
      <c r="B106" s="247"/>
      <c r="C106" s="252"/>
      <c r="D106" s="822"/>
      <c r="F106" s="250"/>
      <c r="I106" s="251"/>
    </row>
    <row r="107">
      <c r="A107" s="265"/>
      <c r="B107" s="268"/>
      <c r="C107" s="252"/>
      <c r="D107" s="822"/>
      <c r="F107" s="250"/>
      <c r="I107" s="251"/>
    </row>
    <row r="108">
      <c r="A108" s="265"/>
      <c r="B108" s="268"/>
      <c r="C108" s="252"/>
      <c r="D108" s="331"/>
      <c r="F108" s="250"/>
      <c r="I108" s="251"/>
    </row>
    <row r="109">
      <c r="A109" s="265"/>
      <c r="B109" s="247"/>
      <c r="C109" s="252"/>
      <c r="D109" s="822"/>
      <c r="F109" s="250"/>
      <c r="I109" s="251"/>
    </row>
    <row r="110">
      <c r="A110" s="265"/>
      <c r="B110" s="247"/>
      <c r="C110" s="252"/>
      <c r="D110" s="822"/>
      <c r="F110" s="250"/>
      <c r="I110" s="251"/>
    </row>
    <row r="111">
      <c r="A111" s="265"/>
      <c r="B111" s="268"/>
      <c r="C111" s="252"/>
      <c r="D111" s="822"/>
      <c r="F111" s="250"/>
      <c r="I111" s="251"/>
    </row>
    <row r="112">
      <c r="A112" s="265"/>
      <c r="B112" s="278"/>
      <c r="C112" s="248"/>
      <c r="D112" s="822"/>
      <c r="F112" s="282"/>
      <c r="I112" s="251"/>
    </row>
    <row r="113">
      <c r="A113" s="265"/>
      <c r="B113" s="278"/>
      <c r="C113" s="252"/>
      <c r="D113" s="822"/>
      <c r="F113" s="250"/>
      <c r="I113" s="251"/>
    </row>
    <row r="114">
      <c r="A114" s="265"/>
      <c r="B114" s="278"/>
      <c r="C114" s="252"/>
      <c r="D114" s="822"/>
      <c r="F114" s="282"/>
      <c r="I114" s="251"/>
    </row>
    <row r="115">
      <c r="A115" s="270"/>
      <c r="B115" s="271"/>
      <c r="C115" s="272"/>
      <c r="D115" s="823"/>
      <c r="E115" s="18"/>
      <c r="F115" s="274"/>
      <c r="G115" s="18"/>
      <c r="H115" s="18"/>
      <c r="I115" s="261"/>
    </row>
    <row r="116">
      <c r="A116" s="262" t="s">
        <v>792</v>
      </c>
      <c r="B116" s="239"/>
      <c r="C116" s="263">
        <v>33534.99</v>
      </c>
      <c r="D116" s="821"/>
      <c r="E116" s="242"/>
      <c r="F116" s="243"/>
      <c r="G116" s="244" t="s">
        <v>71</v>
      </c>
      <c r="H116" s="244"/>
      <c r="I116" s="307"/>
    </row>
    <row r="117">
      <c r="A117" s="265"/>
      <c r="B117" s="247">
        <v>2963.85</v>
      </c>
      <c r="C117" s="252"/>
      <c r="D117" s="331"/>
      <c r="F117" s="250"/>
      <c r="G117" s="2" t="s">
        <v>82</v>
      </c>
      <c r="I117" s="251"/>
    </row>
    <row r="118">
      <c r="A118" s="265"/>
      <c r="B118" s="247"/>
      <c r="C118" s="248"/>
      <c r="D118" s="331"/>
      <c r="F118" s="250">
        <v>824.0</v>
      </c>
      <c r="G118" s="2" t="s">
        <v>708</v>
      </c>
      <c r="I118" s="251"/>
    </row>
    <row r="119">
      <c r="A119" s="265"/>
      <c r="B119" s="247"/>
      <c r="C119" s="248"/>
      <c r="D119" s="331"/>
      <c r="F119" s="250">
        <v>12000.0</v>
      </c>
      <c r="G119" s="2" t="s">
        <v>87</v>
      </c>
      <c r="I119" s="251"/>
    </row>
    <row r="120">
      <c r="A120" s="265"/>
      <c r="B120" s="268"/>
      <c r="C120" s="252"/>
      <c r="D120" s="331"/>
      <c r="F120" s="250">
        <v>3900.0</v>
      </c>
      <c r="G120" s="2" t="s">
        <v>76</v>
      </c>
      <c r="I120" s="251"/>
    </row>
    <row r="121">
      <c r="A121" s="265"/>
      <c r="B121" s="247"/>
      <c r="C121" s="252"/>
      <c r="D121" s="822"/>
      <c r="F121" s="250">
        <v>4700.0</v>
      </c>
      <c r="G121" s="2" t="s">
        <v>662</v>
      </c>
      <c r="I121" s="251"/>
    </row>
    <row r="122">
      <c r="A122" s="265"/>
      <c r="B122" s="268"/>
      <c r="C122" s="252"/>
      <c r="D122" s="822"/>
      <c r="F122" s="250">
        <v>1000.0</v>
      </c>
      <c r="G122" s="2" t="s">
        <v>2534</v>
      </c>
      <c r="I122" s="251"/>
    </row>
    <row r="123">
      <c r="A123" s="265"/>
      <c r="B123" s="247"/>
      <c r="C123" s="252"/>
      <c r="D123" s="822"/>
      <c r="F123" s="250">
        <v>3190.0</v>
      </c>
      <c r="G123" s="2" t="s">
        <v>344</v>
      </c>
      <c r="I123" s="251"/>
    </row>
    <row r="124">
      <c r="A124" s="265"/>
      <c r="B124" s="247"/>
      <c r="C124" s="252"/>
      <c r="D124" s="331"/>
      <c r="F124" s="250">
        <v>1010.0</v>
      </c>
      <c r="G124" s="2" t="s">
        <v>3133</v>
      </c>
      <c r="I124" s="251"/>
    </row>
    <row r="125">
      <c r="A125" s="265"/>
      <c r="B125" s="268"/>
      <c r="C125" s="248"/>
      <c r="D125" s="822"/>
      <c r="F125" s="250">
        <v>106.0</v>
      </c>
      <c r="G125" s="2" t="s">
        <v>3134</v>
      </c>
      <c r="I125" s="251"/>
    </row>
    <row r="126">
      <c r="A126" s="265"/>
      <c r="B126" s="268"/>
      <c r="C126" s="252"/>
      <c r="D126" s="822"/>
      <c r="F126" s="250">
        <v>400.0</v>
      </c>
      <c r="G126" s="2" t="s">
        <v>2919</v>
      </c>
      <c r="I126" s="251"/>
    </row>
    <row r="127">
      <c r="A127" s="265"/>
      <c r="B127" s="268"/>
      <c r="C127" s="252"/>
      <c r="D127" s="822"/>
      <c r="F127" s="250"/>
      <c r="G127" s="2">
        <v>20000.0</v>
      </c>
      <c r="H127" s="2" t="s">
        <v>3135</v>
      </c>
      <c r="I127" s="251"/>
    </row>
    <row r="128">
      <c r="A128" s="265"/>
      <c r="B128" s="268"/>
      <c r="C128" s="252"/>
      <c r="D128" s="822"/>
      <c r="F128" s="250">
        <v>22.95</v>
      </c>
      <c r="G128" s="2" t="s">
        <v>3136</v>
      </c>
      <c r="I128" s="251"/>
    </row>
    <row r="129">
      <c r="A129" s="265"/>
      <c r="B129" s="268"/>
      <c r="C129" s="252"/>
      <c r="D129" s="822"/>
      <c r="F129" s="250">
        <v>265.0</v>
      </c>
      <c r="G129" s="2" t="s">
        <v>3137</v>
      </c>
      <c r="I129" s="251"/>
    </row>
    <row r="130">
      <c r="A130" s="265"/>
      <c r="B130" s="268"/>
      <c r="C130" s="252"/>
      <c r="D130" s="822"/>
      <c r="F130" s="250">
        <v>850.0</v>
      </c>
      <c r="G130" s="2" t="s">
        <v>3138</v>
      </c>
      <c r="I130" s="251"/>
    </row>
    <row r="131">
      <c r="A131" s="265"/>
      <c r="B131" s="268"/>
      <c r="C131" s="252"/>
      <c r="D131" s="822"/>
      <c r="F131" s="250">
        <v>2600.0</v>
      </c>
      <c r="G131" s="2" t="s">
        <v>1196</v>
      </c>
      <c r="I131" s="251"/>
    </row>
    <row r="132">
      <c r="A132" s="265"/>
      <c r="B132" s="268"/>
      <c r="C132" s="252"/>
      <c r="D132" s="822"/>
      <c r="F132" s="250">
        <v>3625.0</v>
      </c>
      <c r="G132" s="2" t="s">
        <v>3139</v>
      </c>
      <c r="I132" s="251"/>
    </row>
    <row r="133">
      <c r="A133" s="270"/>
      <c r="B133" s="271"/>
      <c r="C133" s="272"/>
      <c r="D133" s="823"/>
      <c r="E133" s="18"/>
      <c r="F133" s="274"/>
      <c r="G133" s="18"/>
      <c r="H133" s="18"/>
      <c r="I133" s="261"/>
    </row>
    <row r="134">
      <c r="A134" s="262" t="s">
        <v>795</v>
      </c>
      <c r="B134" s="239">
        <v>16394.88</v>
      </c>
      <c r="C134" s="263"/>
      <c r="D134" s="824"/>
      <c r="E134" s="242"/>
      <c r="F134" s="243"/>
      <c r="G134" s="244" t="s">
        <v>100</v>
      </c>
      <c r="H134" s="244"/>
      <c r="I134" s="307"/>
    </row>
    <row r="135">
      <c r="A135" s="265"/>
      <c r="B135" s="247">
        <v>9508.7</v>
      </c>
      <c r="C135" s="248"/>
      <c r="D135" s="822"/>
      <c r="F135" s="250"/>
      <c r="G135" s="2" t="s">
        <v>73</v>
      </c>
      <c r="I135" s="251"/>
    </row>
    <row r="136">
      <c r="A136" s="265"/>
      <c r="B136" s="247">
        <v>9138.85</v>
      </c>
      <c r="C136" s="248"/>
      <c r="D136" s="822"/>
      <c r="F136" s="250"/>
      <c r="G136" s="2" t="s">
        <v>74</v>
      </c>
      <c r="I136" s="251"/>
    </row>
    <row r="137">
      <c r="A137" s="265"/>
      <c r="B137" s="247"/>
      <c r="C137" s="252"/>
      <c r="D137" s="331"/>
      <c r="F137" s="250">
        <v>340.0</v>
      </c>
      <c r="G137" s="2" t="s">
        <v>3140</v>
      </c>
      <c r="I137" s="251"/>
    </row>
    <row r="138">
      <c r="A138" s="265"/>
      <c r="B138" s="247">
        <v>3450.0</v>
      </c>
      <c r="C138" s="252"/>
      <c r="D138" s="822"/>
      <c r="F138" s="250"/>
      <c r="G138" s="2" t="s">
        <v>79</v>
      </c>
      <c r="I138" s="251"/>
    </row>
    <row r="139">
      <c r="A139" s="265"/>
      <c r="B139" s="247"/>
      <c r="C139" s="252"/>
      <c r="D139" s="822"/>
      <c r="F139" s="250">
        <v>657.0</v>
      </c>
      <c r="G139" s="2" t="s">
        <v>3141</v>
      </c>
      <c r="I139" s="251"/>
    </row>
    <row r="140">
      <c r="A140" s="265"/>
      <c r="B140" s="247"/>
      <c r="C140" s="252"/>
      <c r="D140" s="822"/>
      <c r="F140" s="250">
        <v>2580.0</v>
      </c>
      <c r="G140" s="2" t="s">
        <v>275</v>
      </c>
      <c r="I140" s="251"/>
    </row>
    <row r="141">
      <c r="A141" s="265"/>
      <c r="B141" s="283"/>
      <c r="C141" s="248"/>
      <c r="D141" s="822"/>
      <c r="F141" s="250">
        <v>6200.0</v>
      </c>
      <c r="G141" s="2" t="s">
        <v>114</v>
      </c>
      <c r="I141" s="251"/>
    </row>
    <row r="142">
      <c r="A142" s="265"/>
      <c r="B142" s="247">
        <v>6242.87</v>
      </c>
      <c r="C142" s="252"/>
      <c r="D142" s="822"/>
      <c r="F142" s="250"/>
      <c r="G142" s="2" t="s">
        <v>82</v>
      </c>
      <c r="I142" s="251"/>
    </row>
    <row r="143">
      <c r="A143" s="265"/>
      <c r="B143" s="268"/>
      <c r="C143" s="252"/>
      <c r="D143" s="822"/>
      <c r="F143" s="250">
        <v>1000.0</v>
      </c>
      <c r="G143" s="2" t="s">
        <v>2534</v>
      </c>
      <c r="I143" s="251"/>
    </row>
    <row r="144">
      <c r="A144" s="265"/>
      <c r="B144" s="268"/>
      <c r="C144" s="252"/>
      <c r="D144" s="822"/>
      <c r="F144" s="250">
        <v>2000.0</v>
      </c>
      <c r="G144" s="2" t="s">
        <v>3142</v>
      </c>
      <c r="I144" s="251"/>
    </row>
    <row r="145">
      <c r="A145" s="265"/>
      <c r="B145" s="278"/>
      <c r="C145" s="252"/>
      <c r="D145" s="822"/>
      <c r="F145" s="250">
        <v>8180.0</v>
      </c>
      <c r="G145" s="2" t="s">
        <v>3143</v>
      </c>
      <c r="I145" s="251"/>
    </row>
    <row r="146">
      <c r="A146" s="265"/>
      <c r="B146" s="278"/>
      <c r="C146" s="252"/>
      <c r="D146" s="822"/>
      <c r="F146" s="250"/>
      <c r="I146" s="251"/>
    </row>
    <row r="147">
      <c r="A147" s="265"/>
      <c r="B147" s="278"/>
      <c r="C147" s="252"/>
      <c r="D147" s="822"/>
      <c r="F147" s="250"/>
      <c r="I147" s="251"/>
    </row>
    <row r="148">
      <c r="A148" s="270"/>
      <c r="B148" s="271"/>
      <c r="C148" s="272"/>
      <c r="D148" s="823"/>
      <c r="E148" s="18"/>
      <c r="F148" s="274"/>
      <c r="G148" s="18"/>
      <c r="H148" s="18"/>
      <c r="I148" s="261"/>
    </row>
    <row r="149">
      <c r="A149" s="262" t="s">
        <v>796</v>
      </c>
      <c r="B149" s="239"/>
      <c r="C149" s="240"/>
      <c r="D149" s="824"/>
      <c r="E149" s="242"/>
      <c r="F149" s="243">
        <v>120.0</v>
      </c>
      <c r="G149" s="244" t="s">
        <v>3144</v>
      </c>
      <c r="H149" s="244"/>
      <c r="I149" s="307"/>
    </row>
    <row r="150">
      <c r="A150" s="265"/>
      <c r="B150" s="247"/>
      <c r="C150" s="252"/>
      <c r="D150" s="822"/>
      <c r="F150" s="250">
        <v>8040.0</v>
      </c>
      <c r="G150" s="2" t="s">
        <v>2849</v>
      </c>
      <c r="I150" s="251"/>
    </row>
    <row r="151">
      <c r="A151" s="265"/>
      <c r="B151" s="247">
        <v>9992.18</v>
      </c>
      <c r="C151" s="252"/>
      <c r="D151" s="331"/>
      <c r="F151" s="418"/>
      <c r="G151" s="417" t="s">
        <v>77</v>
      </c>
      <c r="H151" s="842"/>
      <c r="I151" s="251"/>
    </row>
    <row r="152">
      <c r="A152" s="265"/>
      <c r="B152" s="247"/>
      <c r="C152" s="252"/>
      <c r="D152" s="822"/>
      <c r="F152" s="250">
        <v>700.0</v>
      </c>
      <c r="G152" s="2" t="s">
        <v>3145</v>
      </c>
      <c r="I152" s="251"/>
    </row>
    <row r="153">
      <c r="A153" s="265"/>
      <c r="B153" s="247">
        <v>8500.0</v>
      </c>
      <c r="C153" s="252"/>
      <c r="D153" s="331"/>
      <c r="F153" s="250"/>
      <c r="G153" s="2" t="s">
        <v>3146</v>
      </c>
      <c r="I153" s="251"/>
    </row>
    <row r="154">
      <c r="A154" s="265"/>
      <c r="B154" s="268"/>
      <c r="C154" s="248"/>
      <c r="D154" s="331"/>
      <c r="F154" s="250">
        <v>1000.0</v>
      </c>
      <c r="G154" s="2" t="s">
        <v>3041</v>
      </c>
      <c r="I154" s="251"/>
    </row>
    <row r="155">
      <c r="A155" s="265"/>
      <c r="B155" s="268"/>
      <c r="C155" s="252"/>
      <c r="D155" s="331"/>
      <c r="F155" s="250">
        <v>280.0</v>
      </c>
      <c r="G155" s="2" t="s">
        <v>3147</v>
      </c>
      <c r="I155" s="251"/>
    </row>
    <row r="156">
      <c r="A156" s="265"/>
      <c r="B156" s="247">
        <v>4832.0</v>
      </c>
      <c r="C156" s="252"/>
      <c r="D156" s="331"/>
      <c r="F156" s="250"/>
      <c r="G156" s="2" t="s">
        <v>260</v>
      </c>
      <c r="I156" s="251"/>
    </row>
    <row r="157">
      <c r="A157" s="265"/>
      <c r="B157" s="268"/>
      <c r="C157" s="252"/>
      <c r="D157" s="331"/>
      <c r="F157" s="250">
        <v>6000.0</v>
      </c>
      <c r="G157" s="266" t="s">
        <v>3147</v>
      </c>
      <c r="H157" s="309"/>
      <c r="I157" s="251"/>
    </row>
    <row r="158">
      <c r="A158" s="265"/>
      <c r="B158" s="247"/>
      <c r="C158" s="252"/>
      <c r="D158" s="822"/>
      <c r="F158" s="250"/>
      <c r="I158" s="251"/>
    </row>
    <row r="159">
      <c r="A159" s="265"/>
      <c r="B159" s="268"/>
      <c r="C159" s="252"/>
      <c r="D159" s="822"/>
      <c r="F159" s="250"/>
      <c r="I159" s="251"/>
    </row>
    <row r="160">
      <c r="A160" s="265"/>
      <c r="B160" s="277"/>
      <c r="C160" s="252"/>
      <c r="D160" s="822"/>
      <c r="F160" s="250"/>
      <c r="I160" s="251"/>
    </row>
    <row r="161">
      <c r="A161" s="265"/>
      <c r="B161" s="277"/>
      <c r="C161" s="252"/>
      <c r="D161" s="822"/>
      <c r="F161" s="282"/>
      <c r="I161" s="251"/>
    </row>
    <row r="162">
      <c r="A162" s="265"/>
      <c r="B162" s="278"/>
      <c r="C162" s="252"/>
      <c r="D162" s="822"/>
      <c r="F162" s="250"/>
      <c r="I162" s="251"/>
    </row>
    <row r="163">
      <c r="A163" s="270"/>
      <c r="B163" s="271"/>
      <c r="C163" s="272"/>
      <c r="D163" s="823"/>
      <c r="E163" s="18"/>
      <c r="F163" s="259"/>
      <c r="G163" s="293"/>
      <c r="H163" s="18"/>
      <c r="I163" s="261"/>
    </row>
    <row r="164">
      <c r="A164" s="262" t="s">
        <v>800</v>
      </c>
      <c r="B164" s="239"/>
      <c r="C164" s="263"/>
      <c r="D164" s="821"/>
      <c r="E164" s="242"/>
      <c r="F164" s="243">
        <v>3208.0</v>
      </c>
      <c r="G164" s="244" t="s">
        <v>71</v>
      </c>
      <c r="H164" s="244"/>
      <c r="I164" s="307"/>
    </row>
    <row r="165">
      <c r="A165" s="265"/>
      <c r="B165" s="247"/>
      <c r="C165" s="252"/>
      <c r="D165" s="822"/>
      <c r="F165" s="250">
        <v>12000.0</v>
      </c>
      <c r="G165" s="2" t="s">
        <v>87</v>
      </c>
      <c r="I165" s="251"/>
    </row>
    <row r="166">
      <c r="A166" s="265"/>
      <c r="B166" s="247"/>
      <c r="C166" s="248"/>
      <c r="D166" s="331">
        <v>34872.0</v>
      </c>
      <c r="F166" s="250"/>
      <c r="G166" s="2" t="s">
        <v>3148</v>
      </c>
      <c r="I166" s="251"/>
    </row>
    <row r="167">
      <c r="A167" s="265"/>
      <c r="B167" s="268"/>
      <c r="C167" s="252"/>
      <c r="D167" s="331"/>
      <c r="F167" s="250"/>
      <c r="I167" s="251"/>
    </row>
    <row r="168">
      <c r="A168" s="265"/>
      <c r="B168" s="268"/>
      <c r="C168" s="252"/>
      <c r="D168" s="822"/>
      <c r="F168" s="250"/>
      <c r="I168" s="251"/>
    </row>
    <row r="169">
      <c r="A169" s="265"/>
      <c r="B169" s="268"/>
      <c r="C169" s="252"/>
      <c r="D169" s="822"/>
      <c r="F169" s="250"/>
      <c r="I169" s="251"/>
    </row>
    <row r="170">
      <c r="A170" s="265"/>
      <c r="B170" s="268"/>
      <c r="C170" s="252"/>
      <c r="D170" s="331"/>
      <c r="F170" s="250"/>
      <c r="G170" s="2"/>
      <c r="I170" s="251"/>
    </row>
    <row r="171">
      <c r="A171" s="265"/>
      <c r="B171" s="268"/>
      <c r="C171" s="252"/>
      <c r="D171" s="822"/>
      <c r="F171" s="250"/>
      <c r="G171" s="2"/>
      <c r="I171" s="251"/>
    </row>
    <row r="172">
      <c r="A172" s="265"/>
      <c r="B172" s="268"/>
      <c r="C172" s="252"/>
      <c r="D172" s="822"/>
      <c r="F172" s="250"/>
      <c r="I172" s="251"/>
    </row>
    <row r="173">
      <c r="A173" s="270"/>
      <c r="B173" s="271"/>
      <c r="C173" s="272"/>
      <c r="D173" s="823"/>
      <c r="E173" s="18"/>
      <c r="F173" s="274"/>
      <c r="G173" s="18"/>
      <c r="H173" s="18"/>
      <c r="I173" s="261"/>
    </row>
    <row r="174">
      <c r="A174" s="262" t="s">
        <v>801</v>
      </c>
      <c r="B174" s="239"/>
      <c r="C174" s="240"/>
      <c r="D174" s="821"/>
      <c r="E174" s="242"/>
      <c r="F174" s="250">
        <v>800.0</v>
      </c>
      <c r="G174" s="244" t="s">
        <v>344</v>
      </c>
      <c r="H174" s="244"/>
      <c r="I174" s="307"/>
    </row>
    <row r="175">
      <c r="A175" s="265"/>
      <c r="B175" s="247"/>
      <c r="C175" s="252"/>
      <c r="D175" s="331"/>
      <c r="F175" s="250">
        <v>5400.0</v>
      </c>
      <c r="G175" s="2" t="s">
        <v>2669</v>
      </c>
      <c r="I175" s="251"/>
    </row>
    <row r="176">
      <c r="A176" s="265"/>
      <c r="B176" s="247"/>
      <c r="C176" s="248"/>
      <c r="D176" s="331"/>
      <c r="F176" s="250"/>
      <c r="I176" s="251"/>
    </row>
    <row r="177">
      <c r="A177" s="265"/>
      <c r="B177" s="247"/>
      <c r="C177" s="252"/>
      <c r="D177" s="822"/>
      <c r="F177" s="250"/>
      <c r="I177" s="251"/>
    </row>
    <row r="178">
      <c r="A178" s="265"/>
      <c r="B178" s="268"/>
      <c r="C178" s="248"/>
      <c r="D178" s="331"/>
      <c r="F178" s="250"/>
      <c r="I178" s="251"/>
    </row>
    <row r="179">
      <c r="A179" s="265"/>
      <c r="B179" s="268"/>
      <c r="C179" s="252"/>
      <c r="D179" s="822"/>
      <c r="F179" s="250"/>
      <c r="I179" s="251"/>
    </row>
    <row r="180">
      <c r="A180" s="265"/>
      <c r="B180" s="247"/>
      <c r="C180" s="252"/>
      <c r="D180" s="822"/>
      <c r="F180" s="250"/>
      <c r="I180" s="251"/>
    </row>
    <row r="181">
      <c r="A181" s="265"/>
      <c r="B181" s="247"/>
      <c r="C181" s="252"/>
      <c r="D181" s="822"/>
      <c r="F181" s="250"/>
      <c r="I181" s="251"/>
    </row>
    <row r="182">
      <c r="A182" s="265"/>
      <c r="B182" s="268"/>
      <c r="C182" s="252"/>
      <c r="D182" s="822"/>
      <c r="F182" s="250"/>
      <c r="I182" s="251"/>
    </row>
    <row r="183">
      <c r="A183" s="265"/>
      <c r="B183" s="268"/>
      <c r="C183" s="252"/>
      <c r="D183" s="822"/>
      <c r="F183" s="250"/>
      <c r="I183" s="251"/>
    </row>
    <row r="184">
      <c r="A184" s="265"/>
      <c r="B184" s="268"/>
      <c r="C184" s="252"/>
      <c r="D184" s="822"/>
      <c r="F184" s="250"/>
      <c r="I184" s="251"/>
    </row>
    <row r="185">
      <c r="A185" s="265"/>
      <c r="B185" s="268"/>
      <c r="C185" s="252"/>
      <c r="D185" s="822"/>
      <c r="F185" s="250"/>
      <c r="I185" s="251"/>
    </row>
    <row r="186">
      <c r="A186" s="265"/>
      <c r="B186" s="268"/>
      <c r="C186" s="252"/>
      <c r="D186" s="822"/>
      <c r="F186" s="250"/>
      <c r="I186" s="251"/>
    </row>
    <row r="187">
      <c r="A187" s="265"/>
      <c r="B187" s="268"/>
      <c r="C187" s="252"/>
      <c r="D187" s="822"/>
      <c r="F187" s="250"/>
      <c r="I187" s="251"/>
    </row>
    <row r="188">
      <c r="A188" s="270"/>
      <c r="B188" s="271"/>
      <c r="C188" s="272"/>
      <c r="D188" s="823"/>
      <c r="E188" s="18"/>
      <c r="F188" s="259"/>
      <c r="G188" s="293"/>
      <c r="H188" s="18"/>
      <c r="I188" s="261"/>
    </row>
    <row r="189">
      <c r="A189" s="262" t="s">
        <v>806</v>
      </c>
      <c r="B189" s="239"/>
      <c r="C189" s="240"/>
      <c r="D189" s="821">
        <v>26250.0</v>
      </c>
      <c r="E189" s="242"/>
      <c r="F189" s="243"/>
      <c r="G189" s="244" t="s">
        <v>3102</v>
      </c>
      <c r="I189" s="286"/>
    </row>
    <row r="190">
      <c r="A190" s="265"/>
      <c r="B190" s="268"/>
      <c r="C190" s="248"/>
      <c r="D190" s="331"/>
      <c r="F190" s="250">
        <v>348.0</v>
      </c>
      <c r="G190" s="2" t="s">
        <v>3061</v>
      </c>
      <c r="I190" s="251"/>
    </row>
    <row r="191">
      <c r="A191" s="265"/>
      <c r="B191" s="268"/>
      <c r="C191" s="252"/>
      <c r="D191" s="822"/>
      <c r="F191" s="250">
        <v>320.0</v>
      </c>
      <c r="G191" s="2" t="s">
        <v>3021</v>
      </c>
      <c r="I191" s="251"/>
    </row>
    <row r="192">
      <c r="A192" s="265"/>
      <c r="B192" s="247">
        <v>2963.85</v>
      </c>
      <c r="C192" s="252"/>
      <c r="D192" s="822"/>
      <c r="F192" s="250"/>
      <c r="G192" s="2" t="s">
        <v>82</v>
      </c>
      <c r="I192" s="251"/>
    </row>
    <row r="193">
      <c r="A193" s="265"/>
      <c r="B193" s="268"/>
      <c r="C193" s="248"/>
      <c r="D193" s="331"/>
      <c r="F193" s="250">
        <v>1000.0</v>
      </c>
      <c r="G193" s="2" t="s">
        <v>2534</v>
      </c>
      <c r="I193" s="251"/>
    </row>
    <row r="194">
      <c r="A194" s="265"/>
      <c r="B194" s="247"/>
      <c r="C194" s="248">
        <v>28804.5</v>
      </c>
      <c r="D194" s="331"/>
      <c r="F194" s="250"/>
      <c r="G194" s="2" t="s">
        <v>71</v>
      </c>
      <c r="I194" s="251"/>
    </row>
    <row r="195">
      <c r="A195" s="265"/>
      <c r="B195" s="268"/>
      <c r="C195" s="252"/>
      <c r="D195" s="331"/>
      <c r="F195" s="250">
        <v>560.0</v>
      </c>
      <c r="G195" s="2" t="s">
        <v>260</v>
      </c>
      <c r="I195" s="251"/>
    </row>
    <row r="196">
      <c r="A196" s="265"/>
      <c r="B196" s="247"/>
      <c r="C196" s="252"/>
      <c r="D196" s="331"/>
      <c r="F196" s="250">
        <v>300.0</v>
      </c>
      <c r="G196" s="2" t="s">
        <v>3149</v>
      </c>
      <c r="I196" s="251"/>
    </row>
    <row r="197">
      <c r="A197" s="265"/>
      <c r="B197" s="247"/>
      <c r="C197" s="252"/>
      <c r="D197" s="822"/>
      <c r="F197" s="250">
        <v>4242.0</v>
      </c>
      <c r="G197" s="2" t="s">
        <v>3150</v>
      </c>
      <c r="I197" s="251"/>
    </row>
    <row r="198">
      <c r="A198" s="265"/>
      <c r="B198" s="278"/>
      <c r="C198" s="252"/>
      <c r="D198" s="822"/>
      <c r="F198" s="250">
        <v>600.0</v>
      </c>
      <c r="G198" s="81" t="s">
        <v>3151</v>
      </c>
      <c r="H198" s="838"/>
      <c r="I198" s="251"/>
    </row>
    <row r="199">
      <c r="A199" s="265"/>
      <c r="B199" s="278"/>
      <c r="C199" s="252"/>
      <c r="D199" s="822"/>
      <c r="F199" s="250">
        <v>520.0</v>
      </c>
      <c r="G199" s="2" t="s">
        <v>3152</v>
      </c>
      <c r="I199" s="251"/>
    </row>
    <row r="200">
      <c r="A200" s="265"/>
      <c r="B200" s="277">
        <v>6900.0</v>
      </c>
      <c r="C200" s="252"/>
      <c r="D200" s="822"/>
      <c r="F200" s="250"/>
      <c r="G200" s="2" t="s">
        <v>79</v>
      </c>
      <c r="I200" s="251"/>
    </row>
    <row r="201">
      <c r="A201" s="265"/>
      <c r="B201" s="278"/>
      <c r="C201" s="252"/>
      <c r="D201" s="822"/>
      <c r="F201" s="250">
        <v>2520.0</v>
      </c>
      <c r="G201" s="2" t="s">
        <v>150</v>
      </c>
      <c r="I201" s="251"/>
    </row>
    <row r="202">
      <c r="A202" s="265"/>
      <c r="B202" s="278"/>
      <c r="C202" s="252"/>
      <c r="D202" s="822"/>
      <c r="F202" s="282"/>
      <c r="I202" s="251"/>
    </row>
    <row r="203">
      <c r="A203" s="265"/>
      <c r="B203" s="278"/>
      <c r="C203" s="252"/>
      <c r="D203" s="822"/>
      <c r="F203" s="282"/>
      <c r="I203" s="251"/>
    </row>
    <row r="204">
      <c r="A204" s="270"/>
      <c r="B204" s="271"/>
      <c r="C204" s="272"/>
      <c r="D204" s="823"/>
      <c r="E204" s="18"/>
      <c r="F204" s="274"/>
      <c r="G204" s="18"/>
      <c r="H204" s="18"/>
      <c r="I204" s="261"/>
    </row>
    <row r="205">
      <c r="A205" s="262" t="s">
        <v>808</v>
      </c>
      <c r="B205" s="239">
        <v>6564.98</v>
      </c>
      <c r="C205" s="263"/>
      <c r="D205" s="824"/>
      <c r="E205" s="242"/>
      <c r="F205" s="243"/>
      <c r="G205" s="244" t="s">
        <v>73</v>
      </c>
      <c r="H205" s="244"/>
      <c r="I205" s="307"/>
    </row>
    <row r="206">
      <c r="A206" s="265"/>
      <c r="B206" s="247">
        <v>6529.47</v>
      </c>
      <c r="C206" s="252"/>
      <c r="D206" s="822"/>
      <c r="F206" s="250"/>
      <c r="G206" s="2" t="s">
        <v>74</v>
      </c>
      <c r="I206" s="251"/>
    </row>
    <row r="207">
      <c r="A207" s="265"/>
      <c r="B207" s="247"/>
      <c r="C207" s="252"/>
      <c r="D207" s="331"/>
      <c r="F207" s="250"/>
      <c r="G207" s="2"/>
      <c r="H207" s="843"/>
      <c r="I207" s="251"/>
    </row>
    <row r="208">
      <c r="A208" s="265"/>
      <c r="B208" s="247"/>
      <c r="C208" s="248"/>
      <c r="D208" s="331"/>
      <c r="F208" s="250">
        <v>654.0</v>
      </c>
      <c r="G208" s="2" t="s">
        <v>97</v>
      </c>
      <c r="I208" s="251"/>
    </row>
    <row r="209">
      <c r="A209" s="265"/>
      <c r="B209" s="247"/>
      <c r="C209" s="248"/>
      <c r="D209" s="331"/>
      <c r="F209" s="250">
        <v>12000.0</v>
      </c>
      <c r="G209" s="2" t="s">
        <v>87</v>
      </c>
      <c r="I209" s="251"/>
    </row>
    <row r="210">
      <c r="A210" s="265"/>
      <c r="B210" s="247"/>
      <c r="C210" s="252"/>
      <c r="D210" s="331"/>
      <c r="F210" s="250">
        <v>4420.0</v>
      </c>
      <c r="G210" s="2" t="s">
        <v>3003</v>
      </c>
      <c r="I210" s="251"/>
    </row>
    <row r="211">
      <c r="A211" s="265"/>
      <c r="B211" s="247"/>
      <c r="C211" s="252"/>
      <c r="D211" s="822"/>
      <c r="F211" s="250">
        <v>260.0</v>
      </c>
      <c r="G211" s="2" t="s">
        <v>3153</v>
      </c>
      <c r="I211" s="251"/>
    </row>
    <row r="212">
      <c r="A212" s="265"/>
      <c r="B212" s="247"/>
      <c r="C212" s="252"/>
      <c r="D212" s="331"/>
      <c r="F212" s="250">
        <v>4800.0</v>
      </c>
      <c r="G212" s="2" t="s">
        <v>3154</v>
      </c>
      <c r="I212" s="251"/>
    </row>
    <row r="213">
      <c r="A213" s="265"/>
      <c r="B213" s="268"/>
      <c r="C213" s="248"/>
      <c r="D213" s="331"/>
      <c r="F213" s="250">
        <v>750.0</v>
      </c>
      <c r="G213" s="2" t="s">
        <v>1077</v>
      </c>
      <c r="I213" s="251"/>
    </row>
    <row r="214">
      <c r="A214" s="265"/>
      <c r="B214" s="268"/>
      <c r="C214" s="248"/>
      <c r="D214" s="822"/>
      <c r="F214" s="250">
        <v>8140.0</v>
      </c>
      <c r="G214" s="2" t="s">
        <v>1347</v>
      </c>
      <c r="I214" s="251"/>
    </row>
    <row r="215">
      <c r="A215" s="265"/>
      <c r="B215" s="268"/>
      <c r="C215" s="248"/>
      <c r="D215" s="822"/>
      <c r="F215" s="250">
        <v>1000.0</v>
      </c>
      <c r="G215" s="2" t="s">
        <v>3006</v>
      </c>
      <c r="I215" s="251"/>
    </row>
    <row r="216">
      <c r="A216" s="265"/>
      <c r="B216" s="247">
        <v>14500.0</v>
      </c>
      <c r="C216" s="248"/>
      <c r="D216" s="822"/>
      <c r="F216" s="250"/>
      <c r="G216" s="2" t="s">
        <v>3155</v>
      </c>
      <c r="I216" s="251"/>
    </row>
    <row r="217">
      <c r="A217" s="265"/>
      <c r="B217" s="278"/>
      <c r="C217" s="252"/>
      <c r="D217" s="822"/>
      <c r="F217" s="250"/>
      <c r="I217" s="251"/>
    </row>
    <row r="218">
      <c r="A218" s="265"/>
      <c r="B218" s="278"/>
      <c r="C218" s="252"/>
      <c r="D218" s="822"/>
      <c r="F218" s="282"/>
      <c r="I218" s="251"/>
    </row>
    <row r="219">
      <c r="A219" s="270"/>
      <c r="B219" s="271"/>
      <c r="C219" s="272"/>
      <c r="D219" s="823"/>
      <c r="E219" s="18"/>
      <c r="F219" s="274"/>
      <c r="G219" s="18"/>
      <c r="H219" s="18"/>
      <c r="I219" s="261"/>
    </row>
    <row r="220">
      <c r="A220" s="262" t="s">
        <v>811</v>
      </c>
      <c r="B220" s="239"/>
      <c r="C220" s="263"/>
      <c r="D220" s="824"/>
      <c r="E220" s="242"/>
      <c r="F220" s="243">
        <v>5100.0</v>
      </c>
      <c r="G220" s="244" t="s">
        <v>3130</v>
      </c>
      <c r="H220" s="244"/>
      <c r="I220" s="307"/>
    </row>
    <row r="221">
      <c r="A221" s="265"/>
      <c r="B221" s="247">
        <v>38063.37</v>
      </c>
      <c r="C221" s="248"/>
      <c r="D221" s="331"/>
      <c r="F221" s="250"/>
      <c r="G221" s="2" t="s">
        <v>84</v>
      </c>
      <c r="I221" s="251"/>
    </row>
    <row r="222">
      <c r="A222" s="265"/>
      <c r="B222" s="247">
        <v>6079.39</v>
      </c>
      <c r="C222" s="252"/>
      <c r="D222" s="822"/>
      <c r="F222" s="250"/>
      <c r="G222" s="2" t="s">
        <v>82</v>
      </c>
      <c r="I222" s="251"/>
    </row>
    <row r="223">
      <c r="A223" s="265"/>
      <c r="B223" s="247"/>
      <c r="C223" s="248"/>
      <c r="D223" s="331"/>
      <c r="F223" s="250">
        <v>747.0</v>
      </c>
      <c r="G223" s="2" t="s">
        <v>1077</v>
      </c>
      <c r="I223" s="251"/>
    </row>
    <row r="224">
      <c r="A224" s="265"/>
      <c r="B224" s="247"/>
      <c r="C224" s="252"/>
      <c r="D224" s="822"/>
      <c r="F224" s="250">
        <v>120.0</v>
      </c>
      <c r="G224" s="2" t="s">
        <v>137</v>
      </c>
      <c r="I224" s="251"/>
    </row>
    <row r="225">
      <c r="A225" s="265"/>
      <c r="B225" s="247">
        <v>2206.0</v>
      </c>
      <c r="C225" s="252"/>
      <c r="D225" s="822"/>
      <c r="F225" s="250"/>
      <c r="G225" s="2" t="s">
        <v>2647</v>
      </c>
      <c r="I225" s="251"/>
    </row>
    <row r="226">
      <c r="A226" s="265"/>
      <c r="B226" s="247">
        <v>6998.0</v>
      </c>
      <c r="C226" s="252"/>
      <c r="D226" s="822"/>
      <c r="F226" s="250"/>
      <c r="G226" s="2" t="s">
        <v>3120</v>
      </c>
      <c r="H226" s="252"/>
      <c r="I226" s="251"/>
    </row>
    <row r="227">
      <c r="A227" s="265"/>
      <c r="B227" s="247">
        <v>1647.0</v>
      </c>
      <c r="C227" s="252"/>
      <c r="D227" s="822"/>
      <c r="F227" s="250"/>
      <c r="G227" s="2" t="s">
        <v>3156</v>
      </c>
      <c r="I227" s="251"/>
    </row>
    <row r="228">
      <c r="A228" s="265"/>
      <c r="B228" s="247">
        <v>3726.0</v>
      </c>
      <c r="C228" s="252"/>
      <c r="D228" s="331"/>
      <c r="F228" s="250"/>
      <c r="G228" s="2" t="s">
        <v>3157</v>
      </c>
      <c r="I228" s="251"/>
    </row>
    <row r="229">
      <c r="A229" s="265"/>
      <c r="B229" s="278"/>
      <c r="C229" s="252"/>
      <c r="D229" s="822"/>
      <c r="F229" s="250">
        <v>1000.0</v>
      </c>
      <c r="G229" s="2" t="s">
        <v>3006</v>
      </c>
      <c r="I229" s="251"/>
    </row>
    <row r="230">
      <c r="A230" s="265"/>
      <c r="B230" s="278"/>
      <c r="C230" s="252"/>
      <c r="D230" s="822"/>
      <c r="F230" s="282"/>
      <c r="I230" s="251"/>
    </row>
    <row r="231">
      <c r="A231" s="270"/>
      <c r="B231" s="271"/>
      <c r="C231" s="272"/>
      <c r="D231" s="823"/>
      <c r="E231" s="18"/>
      <c r="F231" s="274"/>
      <c r="G231" s="18"/>
      <c r="H231" s="18"/>
      <c r="I231" s="261"/>
    </row>
    <row r="232">
      <c r="A232" s="262" t="s">
        <v>814</v>
      </c>
      <c r="B232" s="239"/>
      <c r="C232" s="240"/>
      <c r="D232" s="821"/>
      <c r="E232" s="242"/>
      <c r="F232" s="243">
        <v>9630.0</v>
      </c>
      <c r="G232" s="244" t="s">
        <v>3158</v>
      </c>
      <c r="H232" s="244"/>
      <c r="I232" s="307"/>
    </row>
    <row r="233">
      <c r="A233" s="265"/>
      <c r="B233" s="268"/>
      <c r="C233" s="252"/>
      <c r="D233" s="331"/>
      <c r="F233" s="250">
        <v>5450.0</v>
      </c>
      <c r="G233" s="2" t="s">
        <v>75</v>
      </c>
      <c r="I233" s="251"/>
    </row>
    <row r="234">
      <c r="A234" s="265"/>
      <c r="B234" s="268"/>
      <c r="C234" s="252"/>
      <c r="D234" s="331"/>
      <c r="F234" s="250">
        <v>5600.0</v>
      </c>
      <c r="G234" s="2" t="s">
        <v>128</v>
      </c>
      <c r="I234" s="251"/>
    </row>
    <row r="235">
      <c r="A235" s="265"/>
      <c r="B235" s="268"/>
      <c r="C235" s="248"/>
      <c r="D235" s="822"/>
      <c r="F235" s="250">
        <v>1000.0</v>
      </c>
      <c r="G235" s="2" t="s">
        <v>2534</v>
      </c>
      <c r="I235" s="251"/>
    </row>
    <row r="236">
      <c r="A236" s="265"/>
      <c r="B236" s="247"/>
      <c r="C236" s="248"/>
      <c r="D236" s="822"/>
      <c r="F236" s="250">
        <v>1000.0</v>
      </c>
      <c r="G236" s="2" t="s">
        <v>2919</v>
      </c>
      <c r="I236" s="251"/>
    </row>
    <row r="237">
      <c r="A237" s="265"/>
      <c r="B237" s="268"/>
      <c r="C237" s="248"/>
      <c r="D237" s="331"/>
      <c r="F237" s="250">
        <v>1000.0</v>
      </c>
      <c r="G237" s="2" t="s">
        <v>3159</v>
      </c>
      <c r="I237" s="251"/>
    </row>
    <row r="238">
      <c r="A238" s="265"/>
      <c r="B238" s="268"/>
      <c r="C238" s="252"/>
      <c r="D238" s="822"/>
      <c r="F238" s="250"/>
      <c r="I238" s="251"/>
    </row>
    <row r="239">
      <c r="A239" s="265"/>
      <c r="B239" s="268"/>
      <c r="C239" s="252"/>
      <c r="D239" s="822"/>
      <c r="F239" s="250"/>
      <c r="G239" s="2"/>
      <c r="I239" s="251"/>
    </row>
    <row r="240">
      <c r="A240" s="265"/>
      <c r="B240" s="268"/>
      <c r="C240" s="252"/>
      <c r="D240" s="822"/>
      <c r="F240" s="250"/>
      <c r="I240" s="251"/>
    </row>
    <row r="241">
      <c r="A241" s="265"/>
      <c r="B241" s="268"/>
      <c r="C241" s="252"/>
      <c r="D241" s="822"/>
      <c r="F241" s="250"/>
      <c r="I241" s="251"/>
    </row>
    <row r="242">
      <c r="A242" s="270"/>
      <c r="B242" s="271"/>
      <c r="C242" s="272"/>
      <c r="D242" s="823"/>
      <c r="E242" s="18"/>
      <c r="F242" s="274"/>
      <c r="G242" s="18"/>
      <c r="H242" s="18"/>
      <c r="I242" s="261"/>
    </row>
    <row r="243">
      <c r="A243" s="262" t="s">
        <v>815</v>
      </c>
      <c r="B243" s="239">
        <v>2963.85</v>
      </c>
      <c r="C243" s="263"/>
      <c r="D243" s="824"/>
      <c r="E243" s="242"/>
      <c r="F243" s="243"/>
      <c r="G243" s="244" t="s">
        <v>3160</v>
      </c>
      <c r="H243" s="244"/>
      <c r="I243" s="307"/>
    </row>
    <row r="244">
      <c r="A244" s="265"/>
      <c r="B244" s="247"/>
      <c r="C244" s="252"/>
      <c r="D244" s="822"/>
      <c r="F244" s="250">
        <v>6850.0</v>
      </c>
      <c r="G244" s="2" t="s">
        <v>3003</v>
      </c>
      <c r="I244" s="251"/>
    </row>
    <row r="245">
      <c r="A245" s="265"/>
      <c r="B245" s="247"/>
      <c r="C245" s="252"/>
      <c r="D245" s="822"/>
      <c r="F245" s="250">
        <v>12300.0</v>
      </c>
      <c r="G245" s="2" t="s">
        <v>87</v>
      </c>
      <c r="I245" s="251"/>
    </row>
    <row r="246">
      <c r="A246" s="265"/>
      <c r="B246" s="247"/>
      <c r="C246" s="248"/>
      <c r="D246" s="822"/>
      <c r="F246" s="250">
        <v>18310.0</v>
      </c>
      <c r="G246" s="2" t="s">
        <v>91</v>
      </c>
      <c r="I246" s="251"/>
    </row>
    <row r="247">
      <c r="A247" s="265"/>
      <c r="B247" s="268"/>
      <c r="C247" s="252"/>
      <c r="D247" s="822"/>
      <c r="F247" s="250">
        <v>1040.0</v>
      </c>
      <c r="G247" s="2" t="s">
        <v>3161</v>
      </c>
      <c r="I247" s="267"/>
    </row>
    <row r="248">
      <c r="A248" s="265"/>
      <c r="B248" s="268"/>
      <c r="C248" s="248"/>
      <c r="D248" s="822"/>
      <c r="F248" s="250">
        <v>1815.0</v>
      </c>
      <c r="G248" s="2" t="s">
        <v>3130</v>
      </c>
      <c r="I248" s="251"/>
    </row>
    <row r="249">
      <c r="A249" s="265"/>
      <c r="B249" s="247">
        <v>44000.0</v>
      </c>
      <c r="C249" s="248"/>
      <c r="D249" s="822"/>
      <c r="F249" s="250"/>
      <c r="G249" s="2" t="s">
        <v>3162</v>
      </c>
      <c r="I249" s="251"/>
    </row>
    <row r="250">
      <c r="A250" s="265"/>
      <c r="B250" s="268"/>
      <c r="C250" s="252"/>
      <c r="D250" s="822"/>
      <c r="F250" s="250">
        <v>1000.0</v>
      </c>
      <c r="G250" s="2" t="s">
        <v>2534</v>
      </c>
      <c r="I250" s="251"/>
    </row>
    <row r="251">
      <c r="A251" s="265"/>
      <c r="B251" s="247">
        <v>4950.0</v>
      </c>
      <c r="C251" s="252"/>
      <c r="D251" s="822"/>
      <c r="F251" s="250"/>
      <c r="G251" s="2" t="s">
        <v>3163</v>
      </c>
      <c r="I251" s="251"/>
    </row>
    <row r="252">
      <c r="A252" s="265"/>
      <c r="B252" s="268"/>
      <c r="C252" s="252"/>
      <c r="D252" s="822"/>
      <c r="F252" s="250"/>
      <c r="I252" s="251"/>
    </row>
    <row r="253">
      <c r="A253" s="265"/>
      <c r="B253" s="278"/>
      <c r="C253" s="252"/>
      <c r="D253" s="822"/>
      <c r="F253" s="250"/>
      <c r="I253" s="251"/>
    </row>
    <row r="254">
      <c r="A254" s="265"/>
      <c r="B254" s="278"/>
      <c r="C254" s="252"/>
      <c r="D254" s="822"/>
      <c r="F254" s="250"/>
      <c r="I254" s="251"/>
    </row>
    <row r="255">
      <c r="A255" s="265"/>
      <c r="B255" s="278"/>
      <c r="C255" s="252"/>
      <c r="D255" s="822"/>
      <c r="F255" s="250"/>
      <c r="I255" s="251"/>
    </row>
    <row r="256">
      <c r="A256" s="270"/>
      <c r="B256" s="271"/>
      <c r="C256" s="272"/>
      <c r="D256" s="823"/>
      <c r="E256" s="18"/>
      <c r="F256" s="274"/>
      <c r="G256" s="18"/>
      <c r="H256" s="18"/>
      <c r="I256" s="261"/>
    </row>
    <row r="257">
      <c r="A257" s="262" t="s">
        <v>818</v>
      </c>
      <c r="B257" s="239"/>
      <c r="C257" s="240"/>
      <c r="D257" s="824"/>
      <c r="E257" s="242"/>
      <c r="F257" s="243">
        <v>840.0</v>
      </c>
      <c r="G257" s="244" t="s">
        <v>215</v>
      </c>
      <c r="H257" s="244"/>
      <c r="I257" s="307"/>
    </row>
    <row r="258">
      <c r="A258" s="265"/>
      <c r="B258" s="247">
        <v>4620.0</v>
      </c>
      <c r="C258" s="248"/>
      <c r="D258" s="822"/>
      <c r="F258" s="250"/>
      <c r="G258" s="2" t="s">
        <v>2621</v>
      </c>
      <c r="I258" s="251"/>
    </row>
    <row r="259">
      <c r="A259" s="265"/>
      <c r="B259" s="247"/>
      <c r="C259" s="252"/>
      <c r="D259" s="822"/>
      <c r="F259" s="250">
        <v>6000.0</v>
      </c>
      <c r="G259" s="2" t="s">
        <v>453</v>
      </c>
      <c r="I259" s="251"/>
    </row>
    <row r="260">
      <c r="A260" s="265"/>
      <c r="B260" s="268"/>
      <c r="C260" s="248"/>
      <c r="D260" s="822"/>
      <c r="F260" s="250"/>
      <c r="I260" s="251"/>
    </row>
    <row r="261">
      <c r="A261" s="265"/>
      <c r="B261" s="247"/>
      <c r="C261" s="248"/>
      <c r="D261" s="822"/>
      <c r="F261" s="250"/>
      <c r="I261" s="251"/>
    </row>
    <row r="262">
      <c r="A262" s="265"/>
      <c r="B262" s="247"/>
      <c r="C262" s="248"/>
      <c r="D262" s="331"/>
      <c r="F262" s="250"/>
      <c r="I262" s="251"/>
    </row>
    <row r="263">
      <c r="A263" s="265"/>
      <c r="B263" s="268"/>
      <c r="C263" s="252"/>
      <c r="D263" s="331"/>
      <c r="F263" s="250"/>
      <c r="I263" s="251"/>
    </row>
    <row r="264">
      <c r="A264" s="265"/>
      <c r="B264" s="268"/>
      <c r="C264" s="252"/>
      <c r="D264" s="822"/>
      <c r="F264" s="250"/>
      <c r="I264" s="251"/>
    </row>
    <row r="265">
      <c r="A265" s="265"/>
      <c r="B265" s="268"/>
      <c r="C265" s="252"/>
      <c r="D265" s="822"/>
      <c r="F265" s="250"/>
      <c r="I265" s="251"/>
    </row>
    <row r="266">
      <c r="A266" s="265"/>
      <c r="B266" s="268"/>
      <c r="C266" s="252"/>
      <c r="D266" s="822"/>
      <c r="F266" s="250"/>
      <c r="I266" s="251"/>
    </row>
    <row r="267">
      <c r="A267" s="265"/>
      <c r="B267" s="268"/>
      <c r="C267" s="252"/>
      <c r="D267" s="822"/>
      <c r="F267" s="250"/>
      <c r="G267" s="2"/>
      <c r="I267" s="267"/>
    </row>
    <row r="268">
      <c r="A268" s="265"/>
      <c r="B268" s="268"/>
      <c r="C268" s="252"/>
      <c r="D268" s="822"/>
      <c r="F268" s="250"/>
      <c r="I268" s="251"/>
    </row>
    <row r="269">
      <c r="A269" s="265"/>
      <c r="B269" s="268"/>
      <c r="C269" s="252"/>
      <c r="D269" s="822"/>
      <c r="F269" s="250"/>
      <c r="I269" s="251"/>
    </row>
    <row r="270">
      <c r="A270" s="270"/>
      <c r="B270" s="271"/>
      <c r="C270" s="272"/>
      <c r="D270" s="823"/>
      <c r="E270" s="18"/>
      <c r="F270" s="274"/>
      <c r="G270" s="18"/>
      <c r="H270" s="18"/>
      <c r="I270" s="261"/>
    </row>
    <row r="271">
      <c r="A271" s="262" t="s">
        <v>819</v>
      </c>
      <c r="B271" s="239"/>
      <c r="C271" s="263"/>
      <c r="D271" s="821"/>
      <c r="E271" s="242"/>
      <c r="F271" s="243"/>
      <c r="G271" s="244" t="s">
        <v>74</v>
      </c>
      <c r="H271" s="244"/>
      <c r="I271" s="307"/>
    </row>
    <row r="272">
      <c r="A272" s="265"/>
      <c r="B272" s="247"/>
      <c r="C272" s="252"/>
      <c r="D272" s="822"/>
      <c r="F272" s="250">
        <v>1267.0</v>
      </c>
      <c r="G272" s="2" t="s">
        <v>3057</v>
      </c>
      <c r="I272" s="251"/>
    </row>
    <row r="273">
      <c r="A273" s="265"/>
      <c r="B273" s="268"/>
      <c r="C273" s="248" t="s">
        <v>3164</v>
      </c>
      <c r="D273" s="331"/>
      <c r="F273" s="250"/>
      <c r="G273" s="2" t="s">
        <v>1189</v>
      </c>
      <c r="I273" s="251"/>
    </row>
    <row r="274">
      <c r="A274" s="265"/>
      <c r="B274" s="247">
        <v>3430.84</v>
      </c>
      <c r="C274" s="252"/>
      <c r="D274" s="822"/>
      <c r="F274" s="250"/>
      <c r="G274" s="2" t="s">
        <v>82</v>
      </c>
      <c r="I274" s="251"/>
    </row>
    <row r="275">
      <c r="A275" s="265"/>
      <c r="B275" s="247">
        <v>2155.0</v>
      </c>
      <c r="C275" s="252"/>
      <c r="D275" s="822"/>
      <c r="F275" s="250"/>
      <c r="G275" s="2" t="s">
        <v>3165</v>
      </c>
      <c r="I275" s="251"/>
    </row>
    <row r="276">
      <c r="A276" s="265"/>
      <c r="B276" s="247"/>
      <c r="C276" s="252"/>
      <c r="D276" s="822"/>
      <c r="F276" s="250">
        <v>1000.0</v>
      </c>
      <c r="G276" s="2" t="s">
        <v>3032</v>
      </c>
      <c r="I276" s="251"/>
    </row>
    <row r="277">
      <c r="A277" s="265"/>
      <c r="B277" s="247"/>
      <c r="C277" s="252"/>
      <c r="D277" s="822"/>
      <c r="F277" s="250">
        <v>700.0</v>
      </c>
      <c r="G277" s="2" t="s">
        <v>2798</v>
      </c>
      <c r="I277" s="251"/>
    </row>
    <row r="278">
      <c r="A278" s="265"/>
      <c r="B278" s="268"/>
      <c r="C278" s="252"/>
      <c r="D278" s="822"/>
      <c r="F278" s="250"/>
      <c r="I278" s="251"/>
    </row>
    <row r="279">
      <c r="A279" s="265"/>
      <c r="B279" s="268"/>
      <c r="C279" s="252"/>
      <c r="D279" s="822"/>
      <c r="F279" s="250"/>
      <c r="I279" s="251"/>
    </row>
    <row r="280">
      <c r="A280" s="265"/>
      <c r="B280" s="268"/>
      <c r="C280" s="252"/>
      <c r="D280" s="822"/>
      <c r="F280" s="250"/>
      <c r="I280" s="251"/>
    </row>
    <row r="281">
      <c r="A281" s="265"/>
      <c r="B281" s="268"/>
      <c r="C281" s="252"/>
      <c r="D281" s="822"/>
      <c r="F281" s="250"/>
      <c r="I281" s="251"/>
    </row>
    <row r="282">
      <c r="A282" s="265"/>
      <c r="B282" s="268"/>
      <c r="C282" s="252"/>
      <c r="D282" s="822"/>
      <c r="F282" s="250"/>
      <c r="I282" s="251"/>
    </row>
    <row r="283">
      <c r="A283" s="270"/>
      <c r="B283" s="271"/>
      <c r="C283" s="272"/>
      <c r="D283" s="823"/>
      <c r="E283" s="18"/>
      <c r="F283" s="274"/>
      <c r="G283" s="18"/>
      <c r="H283" s="18"/>
      <c r="I283" s="261"/>
    </row>
    <row r="284">
      <c r="A284" s="262" t="s">
        <v>822</v>
      </c>
      <c r="B284" s="239"/>
      <c r="C284" s="263"/>
      <c r="D284" s="824"/>
      <c r="E284" s="242"/>
      <c r="F284" s="243">
        <v>400.0</v>
      </c>
      <c r="G284" s="244" t="s">
        <v>3166</v>
      </c>
      <c r="H284" s="244"/>
      <c r="I284" s="307"/>
    </row>
    <row r="285">
      <c r="A285" s="265"/>
      <c r="B285" s="247">
        <v>10450.0</v>
      </c>
      <c r="C285" s="252"/>
      <c r="D285" s="822"/>
      <c r="F285" s="250"/>
      <c r="G285" s="2" t="s">
        <v>79</v>
      </c>
      <c r="I285" s="251"/>
    </row>
    <row r="286">
      <c r="A286" s="265"/>
      <c r="B286" s="247"/>
      <c r="C286" s="252"/>
      <c r="D286" s="822"/>
      <c r="E286" s="2">
        <v>10650.0</v>
      </c>
      <c r="F286" s="250"/>
      <c r="G286" s="2" t="s">
        <v>662</v>
      </c>
      <c r="I286" s="251"/>
    </row>
    <row r="287">
      <c r="A287" s="265"/>
      <c r="B287" s="268"/>
      <c r="C287" s="248"/>
      <c r="D287" s="822"/>
      <c r="F287" s="250">
        <v>12300.0</v>
      </c>
      <c r="G287" s="2" t="s">
        <v>87</v>
      </c>
      <c r="I287" s="251"/>
    </row>
    <row r="288">
      <c r="A288" s="265"/>
      <c r="B288" s="247"/>
      <c r="C288" s="252"/>
      <c r="D288" s="822"/>
      <c r="F288" s="250">
        <v>500.0</v>
      </c>
      <c r="G288" s="2" t="s">
        <v>3118</v>
      </c>
      <c r="I288" s="251"/>
    </row>
    <row r="289">
      <c r="A289" s="265"/>
      <c r="B289" s="268"/>
      <c r="C289" s="248"/>
      <c r="D289" s="331"/>
      <c r="F289" s="250">
        <v>1000.0</v>
      </c>
      <c r="G289" s="2" t="s">
        <v>2534</v>
      </c>
      <c r="I289" s="251"/>
    </row>
    <row r="290">
      <c r="A290" s="265"/>
      <c r="B290" s="247"/>
      <c r="C290" s="252"/>
      <c r="D290" s="331"/>
      <c r="F290" s="250">
        <v>3900.0</v>
      </c>
      <c r="G290" s="2" t="s">
        <v>76</v>
      </c>
      <c r="I290" s="251"/>
    </row>
    <row r="291">
      <c r="A291" s="265"/>
      <c r="B291" s="247"/>
      <c r="C291" s="248"/>
      <c r="D291" s="822"/>
      <c r="F291" s="250"/>
      <c r="I291" s="251"/>
    </row>
    <row r="292">
      <c r="A292" s="265"/>
      <c r="B292" s="268"/>
      <c r="C292" s="252"/>
      <c r="D292" s="331"/>
      <c r="F292" s="250"/>
      <c r="I292" s="251"/>
    </row>
    <row r="293">
      <c r="A293" s="265"/>
      <c r="B293" s="268"/>
      <c r="C293" s="252"/>
      <c r="D293" s="331"/>
      <c r="F293" s="250"/>
      <c r="I293" s="251"/>
    </row>
    <row r="294">
      <c r="A294" s="265"/>
      <c r="B294" s="268"/>
      <c r="C294" s="252"/>
      <c r="D294" s="822"/>
      <c r="F294" s="250"/>
      <c r="I294" s="251"/>
    </row>
    <row r="295">
      <c r="A295" s="265"/>
      <c r="B295" s="268"/>
      <c r="C295" s="252"/>
      <c r="D295" s="822"/>
      <c r="F295" s="250"/>
      <c r="I295" s="251"/>
    </row>
    <row r="296">
      <c r="A296" s="265"/>
      <c r="B296" s="268"/>
      <c r="C296" s="252"/>
      <c r="D296" s="822"/>
      <c r="F296" s="250"/>
      <c r="I296" s="251"/>
    </row>
    <row r="297">
      <c r="A297" s="270"/>
      <c r="B297" s="271"/>
      <c r="C297" s="272"/>
      <c r="D297" s="823"/>
      <c r="E297" s="18"/>
      <c r="F297" s="274"/>
      <c r="G297" s="18"/>
      <c r="H297" s="18"/>
      <c r="I297" s="261"/>
    </row>
    <row r="298">
      <c r="A298" s="262" t="s">
        <v>824</v>
      </c>
      <c r="B298" s="239">
        <v>1937.95</v>
      </c>
      <c r="C298" s="263"/>
      <c r="D298" s="824"/>
      <c r="E298" s="242"/>
      <c r="F298" s="243"/>
      <c r="G298" s="244" t="s">
        <v>82</v>
      </c>
      <c r="H298" s="244"/>
      <c r="I298" s="307"/>
    </row>
    <row r="299">
      <c r="A299" s="265"/>
      <c r="B299" s="247"/>
      <c r="C299" s="248"/>
      <c r="D299" s="822"/>
      <c r="F299" s="250">
        <v>120.0</v>
      </c>
      <c r="G299" s="2" t="s">
        <v>97</v>
      </c>
      <c r="I299" s="251"/>
    </row>
    <row r="300">
      <c r="A300" s="265"/>
      <c r="B300" s="247"/>
      <c r="C300" s="248">
        <v>25063.07</v>
      </c>
      <c r="D300" s="822"/>
      <c r="F300" s="250"/>
      <c r="G300" s="2" t="s">
        <v>84</v>
      </c>
      <c r="I300" s="251"/>
    </row>
    <row r="301">
      <c r="A301" s="265"/>
      <c r="B301" s="247">
        <v>4596.72</v>
      </c>
      <c r="C301" s="248"/>
      <c r="D301" s="822"/>
      <c r="F301" s="250"/>
      <c r="G301" s="2" t="s">
        <v>73</v>
      </c>
      <c r="I301" s="251"/>
    </row>
    <row r="302">
      <c r="A302" s="265"/>
      <c r="B302" s="247">
        <v>6940.11</v>
      </c>
      <c r="C302" s="252"/>
      <c r="D302" s="822"/>
      <c r="F302" s="250"/>
      <c r="G302" s="2" t="s">
        <v>74</v>
      </c>
      <c r="I302" s="251"/>
    </row>
    <row r="303">
      <c r="A303" s="265"/>
      <c r="B303" s="247"/>
      <c r="C303" s="252"/>
      <c r="D303" s="822"/>
      <c r="F303" s="250">
        <v>1000.0</v>
      </c>
      <c r="G303" s="2" t="s">
        <v>2534</v>
      </c>
      <c r="I303" s="251"/>
    </row>
    <row r="304">
      <c r="A304" s="265"/>
      <c r="B304" s="247">
        <v>2896.0</v>
      </c>
      <c r="C304" s="248"/>
      <c r="D304" s="822"/>
      <c r="F304" s="250"/>
      <c r="G304" s="2" t="s">
        <v>3167</v>
      </c>
      <c r="I304" s="251"/>
    </row>
    <row r="305">
      <c r="A305" s="265"/>
      <c r="B305" s="247"/>
      <c r="C305" s="252"/>
      <c r="D305" s="822"/>
      <c r="F305" s="250">
        <v>596.0</v>
      </c>
      <c r="G305" s="2" t="s">
        <v>3168</v>
      </c>
      <c r="I305" s="251"/>
    </row>
    <row r="306">
      <c r="A306" s="265"/>
      <c r="B306" s="247"/>
      <c r="C306" s="252"/>
      <c r="D306" s="822"/>
      <c r="F306" s="250">
        <v>120.0</v>
      </c>
      <c r="G306" s="2" t="s">
        <v>3169</v>
      </c>
      <c r="I306" s="251"/>
    </row>
    <row r="307">
      <c r="A307" s="265"/>
      <c r="B307" s="268"/>
      <c r="C307" s="252"/>
      <c r="D307" s="822"/>
      <c r="F307" s="250">
        <v>180.0</v>
      </c>
      <c r="G307" s="2" t="s">
        <v>3170</v>
      </c>
      <c r="I307" s="251"/>
    </row>
    <row r="308">
      <c r="A308" s="265"/>
      <c r="B308" s="268"/>
      <c r="C308" s="252"/>
      <c r="D308" s="822"/>
      <c r="F308" s="250"/>
      <c r="G308" s="266" t="s">
        <v>3171</v>
      </c>
      <c r="H308" s="309"/>
      <c r="I308" s="251"/>
    </row>
    <row r="309">
      <c r="A309" s="265"/>
      <c r="B309" s="268"/>
      <c r="C309" s="252"/>
      <c r="D309" s="822"/>
      <c r="F309" s="250"/>
      <c r="I309" s="251"/>
    </row>
    <row r="310">
      <c r="A310" s="265"/>
      <c r="B310" s="268"/>
      <c r="C310" s="252"/>
      <c r="D310" s="822"/>
      <c r="F310" s="250"/>
      <c r="I310" s="251"/>
    </row>
    <row r="311">
      <c r="A311" s="265"/>
      <c r="B311" s="268"/>
      <c r="C311" s="252"/>
      <c r="D311" s="822"/>
      <c r="F311" s="250"/>
      <c r="I311" s="251"/>
    </row>
    <row r="312">
      <c r="A312" s="270"/>
      <c r="B312" s="271"/>
      <c r="C312" s="272"/>
      <c r="D312" s="823"/>
      <c r="E312" s="18"/>
      <c r="F312" s="274"/>
      <c r="G312" s="18"/>
      <c r="H312" s="18"/>
      <c r="I312" s="261"/>
    </row>
    <row r="313">
      <c r="A313" s="262" t="s">
        <v>827</v>
      </c>
      <c r="B313" s="239"/>
      <c r="C313" s="240"/>
      <c r="D313" s="821"/>
      <c r="E313" s="242"/>
      <c r="F313" s="250">
        <v>5520.0</v>
      </c>
      <c r="G313" s="2" t="s">
        <v>3003</v>
      </c>
      <c r="I313" s="307"/>
    </row>
    <row r="314">
      <c r="A314" s="265"/>
      <c r="B314" s="268"/>
      <c r="C314" s="252"/>
      <c r="D314" s="822"/>
      <c r="F314" s="250">
        <v>322.0</v>
      </c>
      <c r="G314" s="2" t="s">
        <v>227</v>
      </c>
      <c r="I314" s="251"/>
    </row>
    <row r="315">
      <c r="A315" s="265"/>
      <c r="B315" s="268"/>
      <c r="C315" s="252"/>
      <c r="D315" s="331"/>
      <c r="F315" s="250">
        <v>360.0</v>
      </c>
      <c r="G315" s="2" t="s">
        <v>3172</v>
      </c>
      <c r="I315" s="251"/>
    </row>
    <row r="316">
      <c r="A316" s="265"/>
      <c r="B316" s="247"/>
      <c r="C316" s="248"/>
      <c r="D316" s="822"/>
      <c r="F316" s="250">
        <v>290.0</v>
      </c>
      <c r="G316" s="2" t="s">
        <v>3088</v>
      </c>
      <c r="I316" s="251"/>
    </row>
    <row r="317">
      <c r="A317" s="265"/>
      <c r="B317" s="247"/>
      <c r="C317" s="252"/>
      <c r="D317" s="822"/>
      <c r="F317" s="250">
        <v>10240.0</v>
      </c>
      <c r="G317" s="2" t="s">
        <v>2864</v>
      </c>
      <c r="I317" s="251"/>
    </row>
    <row r="318">
      <c r="A318" s="265"/>
      <c r="B318" s="247"/>
      <c r="C318" s="252"/>
      <c r="D318" s="822"/>
      <c r="F318" s="250">
        <v>14000.0</v>
      </c>
      <c r="G318" s="2" t="s">
        <v>75</v>
      </c>
      <c r="I318" s="251"/>
    </row>
    <row r="319">
      <c r="A319" s="265"/>
      <c r="B319" s="268"/>
      <c r="C319" s="252"/>
      <c r="D319" s="331"/>
      <c r="F319" s="250">
        <v>1000.0</v>
      </c>
      <c r="G319" s="2" t="s">
        <v>2534</v>
      </c>
      <c r="I319" s="251"/>
    </row>
    <row r="320">
      <c r="A320" s="265"/>
      <c r="B320" s="268"/>
      <c r="C320" s="252"/>
      <c r="D320" s="822"/>
      <c r="F320" s="250"/>
      <c r="I320" s="251"/>
    </row>
    <row r="321">
      <c r="A321" s="265"/>
      <c r="B321" s="268"/>
      <c r="C321" s="252"/>
      <c r="D321" s="822"/>
      <c r="F321" s="250"/>
      <c r="I321" s="251"/>
    </row>
    <row r="322">
      <c r="A322" s="265"/>
      <c r="B322" s="268"/>
      <c r="C322" s="252"/>
      <c r="D322" s="822"/>
      <c r="F322" s="250"/>
      <c r="I322" s="251"/>
    </row>
    <row r="323">
      <c r="A323" s="270"/>
      <c r="B323" s="271"/>
      <c r="C323" s="272"/>
      <c r="D323" s="823"/>
      <c r="E323" s="18"/>
      <c r="F323" s="274"/>
      <c r="G323" s="18"/>
      <c r="H323" s="18"/>
      <c r="I323" s="261"/>
    </row>
    <row r="324">
      <c r="A324" s="262" t="s">
        <v>830</v>
      </c>
      <c r="B324" s="239">
        <v>4218.0</v>
      </c>
      <c r="C324" s="263"/>
      <c r="D324" s="824"/>
      <c r="E324" s="242"/>
      <c r="F324" s="243"/>
      <c r="G324" s="244" t="s">
        <v>82</v>
      </c>
      <c r="H324" s="244"/>
      <c r="I324" s="307"/>
    </row>
    <row r="325">
      <c r="A325" s="265"/>
      <c r="B325" s="247"/>
      <c r="C325" s="248"/>
      <c r="D325" s="822"/>
      <c r="F325" s="250"/>
      <c r="G325" s="2" t="s">
        <v>87</v>
      </c>
      <c r="I325" s="251"/>
    </row>
    <row r="326">
      <c r="A326" s="265"/>
      <c r="B326" s="268"/>
      <c r="C326" s="248"/>
      <c r="D326" s="822"/>
      <c r="F326" s="250">
        <v>110.0</v>
      </c>
      <c r="G326" s="2" t="s">
        <v>137</v>
      </c>
      <c r="I326" s="251"/>
    </row>
    <row r="327">
      <c r="A327" s="265"/>
      <c r="B327" s="268"/>
      <c r="C327" s="252"/>
      <c r="D327" s="822"/>
      <c r="F327" s="250">
        <v>7050.0</v>
      </c>
      <c r="G327" s="2" t="s">
        <v>87</v>
      </c>
      <c r="I327" s="251"/>
    </row>
    <row r="328">
      <c r="A328" s="265"/>
      <c r="B328" s="247"/>
      <c r="C328" s="248"/>
      <c r="D328" s="331"/>
      <c r="F328" s="250">
        <v>1000.0</v>
      </c>
      <c r="G328" s="2" t="s">
        <v>3006</v>
      </c>
      <c r="I328" s="251"/>
    </row>
    <row r="329">
      <c r="A329" s="265"/>
      <c r="B329" s="247"/>
      <c r="C329" s="252"/>
      <c r="D329" s="822"/>
      <c r="F329" s="250">
        <v>300.0</v>
      </c>
      <c r="G329" s="2" t="s">
        <v>85</v>
      </c>
      <c r="I329" s="251"/>
    </row>
    <row r="330">
      <c r="A330" s="265"/>
      <c r="B330" s="247"/>
      <c r="C330" s="252"/>
      <c r="D330" s="822"/>
      <c r="F330" s="250">
        <v>5070.0</v>
      </c>
      <c r="G330" s="2" t="s">
        <v>3173</v>
      </c>
      <c r="I330" s="251"/>
    </row>
    <row r="331">
      <c r="A331" s="265"/>
      <c r="B331" s="268"/>
      <c r="C331" s="252"/>
      <c r="D331" s="822"/>
      <c r="F331" s="250"/>
      <c r="I331" s="251"/>
    </row>
    <row r="332">
      <c r="A332" s="265"/>
      <c r="B332" s="268"/>
      <c r="C332" s="252"/>
      <c r="D332" s="822"/>
      <c r="F332" s="250"/>
      <c r="I332" s="251"/>
    </row>
    <row r="333">
      <c r="A333" s="265"/>
      <c r="B333" s="247"/>
      <c r="C333" s="252"/>
      <c r="D333" s="822"/>
      <c r="F333" s="250"/>
      <c r="I333" s="251"/>
    </row>
    <row r="334">
      <c r="A334" s="270"/>
      <c r="B334" s="271"/>
      <c r="C334" s="272"/>
      <c r="D334" s="823"/>
      <c r="E334" s="18"/>
      <c r="F334" s="274"/>
      <c r="G334" s="18"/>
      <c r="H334" s="18"/>
      <c r="I334" s="261"/>
    </row>
    <row r="335">
      <c r="A335" s="262" t="s">
        <v>835</v>
      </c>
      <c r="B335" s="306"/>
      <c r="C335" s="240"/>
      <c r="D335" s="824"/>
      <c r="E335" s="242"/>
      <c r="F335" s="243">
        <v>2500.0</v>
      </c>
      <c r="G335" s="244" t="s">
        <v>94</v>
      </c>
      <c r="H335" s="244"/>
      <c r="I335" s="307"/>
    </row>
    <row r="336">
      <c r="A336" s="265"/>
      <c r="B336" s="247"/>
      <c r="C336" s="252"/>
      <c r="D336" s="822"/>
      <c r="F336" s="250">
        <v>300.0</v>
      </c>
      <c r="G336" s="2" t="s">
        <v>97</v>
      </c>
      <c r="I336" s="251"/>
    </row>
    <row r="337">
      <c r="A337" s="265"/>
      <c r="B337" s="247"/>
      <c r="C337" s="252"/>
      <c r="D337" s="822"/>
      <c r="F337" s="250">
        <v>412.0</v>
      </c>
      <c r="G337" s="2" t="s">
        <v>97</v>
      </c>
      <c r="I337" s="251"/>
    </row>
    <row r="338">
      <c r="A338" s="265"/>
      <c r="B338" s="247"/>
      <c r="C338" s="248"/>
      <c r="D338" s="331"/>
      <c r="F338" s="250">
        <v>740.0</v>
      </c>
      <c r="G338" s="2" t="s">
        <v>3174</v>
      </c>
      <c r="I338" s="251"/>
    </row>
    <row r="339">
      <c r="A339" s="265"/>
      <c r="B339" s="247"/>
      <c r="C339" s="252"/>
      <c r="D339" s="822"/>
      <c r="F339" s="250"/>
      <c r="G339" s="2" t="s">
        <v>2669</v>
      </c>
      <c r="I339" s="251"/>
    </row>
    <row r="340">
      <c r="A340" s="265"/>
      <c r="B340" s="268"/>
      <c r="C340" s="252"/>
      <c r="D340" s="822"/>
      <c r="F340" s="250"/>
      <c r="I340" s="251"/>
    </row>
    <row r="341">
      <c r="A341" s="265"/>
      <c r="B341" s="247"/>
      <c r="C341" s="252"/>
      <c r="D341" s="822"/>
      <c r="F341" s="250"/>
      <c r="H341" s="318"/>
      <c r="I341" s="251"/>
    </row>
    <row r="342">
      <c r="A342" s="265"/>
      <c r="B342" s="268"/>
      <c r="C342" s="252"/>
      <c r="D342" s="331"/>
      <c r="F342" s="250"/>
      <c r="I342" s="251"/>
    </row>
    <row r="343">
      <c r="A343" s="265"/>
      <c r="B343" s="268"/>
      <c r="C343" s="252"/>
      <c r="D343" s="822"/>
      <c r="F343" s="250"/>
      <c r="I343" s="251"/>
    </row>
    <row r="344">
      <c r="A344" s="265"/>
      <c r="B344" s="268"/>
      <c r="C344" s="252"/>
      <c r="D344" s="822"/>
      <c r="F344" s="250"/>
      <c r="I344" s="251"/>
    </row>
    <row r="345">
      <c r="A345" s="265"/>
      <c r="B345" s="268"/>
      <c r="C345" s="252"/>
      <c r="D345" s="822"/>
      <c r="F345" s="250"/>
      <c r="I345" s="251"/>
    </row>
    <row r="346">
      <c r="A346" s="265"/>
      <c r="B346" s="268"/>
      <c r="C346" s="252"/>
      <c r="D346" s="822"/>
      <c r="F346" s="250"/>
      <c r="I346" s="251"/>
    </row>
    <row r="347">
      <c r="A347" s="265"/>
      <c r="B347" s="268"/>
      <c r="C347" s="252"/>
      <c r="D347" s="822"/>
      <c r="F347" s="250"/>
      <c r="I347" s="251"/>
    </row>
    <row r="348">
      <c r="A348" s="265"/>
      <c r="B348" s="268"/>
      <c r="C348" s="252"/>
      <c r="D348" s="822"/>
      <c r="F348" s="250"/>
      <c r="I348" s="251"/>
    </row>
    <row r="349">
      <c r="A349" s="265"/>
      <c r="B349" s="268"/>
      <c r="C349" s="252"/>
      <c r="D349" s="822"/>
      <c r="F349" s="250"/>
      <c r="I349" s="251"/>
    </row>
    <row r="350">
      <c r="A350" s="265"/>
      <c r="B350" s="268"/>
      <c r="C350" s="252"/>
      <c r="D350" s="822"/>
      <c r="F350" s="250"/>
      <c r="I350" s="251"/>
    </row>
    <row r="351">
      <c r="A351" s="265"/>
      <c r="B351" s="268"/>
      <c r="C351" s="252"/>
      <c r="D351" s="822"/>
      <c r="F351" s="250"/>
      <c r="I351" s="251"/>
    </row>
    <row r="352">
      <c r="A352" s="270"/>
      <c r="B352" s="271"/>
      <c r="C352" s="272"/>
      <c r="D352" s="823"/>
      <c r="E352" s="18"/>
      <c r="F352" s="274"/>
      <c r="G352" s="18"/>
      <c r="H352" s="293" t="s">
        <v>2817</v>
      </c>
      <c r="I352" s="261"/>
    </row>
    <row r="353">
      <c r="A353" s="262" t="s">
        <v>187</v>
      </c>
      <c r="B353" s="239"/>
      <c r="C353" s="240"/>
      <c r="D353" s="821">
        <v>12556.8</v>
      </c>
      <c r="E353" s="242"/>
      <c r="F353" s="243"/>
      <c r="G353" s="2" t="s">
        <v>188</v>
      </c>
      <c r="H353" s="318">
        <v>44490.0</v>
      </c>
      <c r="I353" s="307"/>
    </row>
    <row r="354">
      <c r="A354" s="265"/>
      <c r="B354" s="247"/>
      <c r="C354" s="248"/>
      <c r="D354" s="331">
        <v>10016.94</v>
      </c>
      <c r="F354" s="250"/>
      <c r="G354" s="2" t="s">
        <v>2819</v>
      </c>
      <c r="H354" s="318">
        <v>44490.0</v>
      </c>
      <c r="I354" s="251"/>
    </row>
    <row r="355">
      <c r="A355" s="265"/>
      <c r="B355" s="247">
        <v>1586.85</v>
      </c>
      <c r="C355" s="248"/>
      <c r="D355" s="331"/>
      <c r="F355" s="250"/>
      <c r="G355" s="2" t="s">
        <v>2284</v>
      </c>
      <c r="H355" s="318">
        <v>44473.0</v>
      </c>
      <c r="I355" s="251"/>
    </row>
    <row r="356">
      <c r="A356" s="265"/>
      <c r="B356" s="268"/>
      <c r="C356" s="252"/>
      <c r="D356" s="331">
        <v>48400.0</v>
      </c>
      <c r="F356" s="250"/>
      <c r="G356" s="2" t="s">
        <v>192</v>
      </c>
      <c r="H356" s="318">
        <v>44490.0</v>
      </c>
      <c r="I356" s="251"/>
    </row>
    <row r="357">
      <c r="A357" s="265"/>
      <c r="B357" s="268"/>
      <c r="C357" s="252"/>
      <c r="D357" s="822"/>
      <c r="F357" s="250">
        <v>30000.0</v>
      </c>
      <c r="G357" s="2" t="s">
        <v>193</v>
      </c>
      <c r="H357" s="318">
        <v>44508.0</v>
      </c>
      <c r="I357" s="251"/>
    </row>
    <row r="358">
      <c r="A358" s="265"/>
      <c r="B358" s="247">
        <v>17089.0</v>
      </c>
      <c r="C358" s="252"/>
      <c r="D358" s="331"/>
      <c r="F358" s="250"/>
      <c r="G358" s="2" t="s">
        <v>194</v>
      </c>
      <c r="H358" s="318">
        <v>44490.0</v>
      </c>
      <c r="I358" s="251"/>
    </row>
    <row r="359">
      <c r="A359" s="265"/>
      <c r="B359" s="268"/>
      <c r="C359" s="252"/>
      <c r="D359" s="822"/>
      <c r="F359" s="250"/>
      <c r="I359" s="251"/>
    </row>
    <row r="360">
      <c r="A360" s="265"/>
      <c r="B360" s="268"/>
      <c r="C360" s="252"/>
      <c r="D360" s="331">
        <v>4432.81</v>
      </c>
      <c r="F360" s="250"/>
      <c r="G360" s="2" t="s">
        <v>2285</v>
      </c>
      <c r="H360" s="2" t="s">
        <v>2821</v>
      </c>
      <c r="I360" s="251"/>
    </row>
    <row r="361">
      <c r="A361" s="265"/>
      <c r="B361" s="268"/>
      <c r="C361" s="252"/>
      <c r="D361" s="331">
        <v>4064.24</v>
      </c>
      <c r="F361" s="250"/>
      <c r="G361" s="2" t="s">
        <v>199</v>
      </c>
      <c r="H361" s="2" t="s">
        <v>2821</v>
      </c>
      <c r="I361" s="251"/>
    </row>
    <row r="362">
      <c r="A362" s="265"/>
      <c r="B362" s="247">
        <v>23642.22</v>
      </c>
      <c r="C362" s="252"/>
      <c r="D362" s="822"/>
      <c r="F362" s="250"/>
      <c r="G362" s="2" t="s">
        <v>200</v>
      </c>
      <c r="H362" s="2" t="s">
        <v>3175</v>
      </c>
      <c r="I362" s="267" t="s">
        <v>3176</v>
      </c>
    </row>
    <row r="363">
      <c r="A363" s="270"/>
      <c r="B363" s="271"/>
      <c r="C363" s="272"/>
      <c r="D363" s="823"/>
      <c r="E363" s="18"/>
      <c r="F363" s="274"/>
      <c r="G363" s="18"/>
      <c r="H363" s="18"/>
      <c r="I363" s="261"/>
    </row>
    <row r="364">
      <c r="A364" s="262" t="s">
        <v>3111</v>
      </c>
      <c r="B364" s="306"/>
      <c r="C364" s="263"/>
      <c r="D364" s="824"/>
      <c r="E364" s="242"/>
      <c r="F364" s="243"/>
      <c r="G364" s="244"/>
      <c r="H364" s="244"/>
      <c r="I364" s="307"/>
    </row>
    <row r="365">
      <c r="A365" s="265"/>
      <c r="B365" s="268"/>
      <c r="C365" s="248"/>
      <c r="D365" s="331"/>
      <c r="F365" s="250"/>
      <c r="I365" s="251"/>
    </row>
    <row r="366">
      <c r="A366" s="265"/>
      <c r="B366" s="268"/>
      <c r="C366" s="252"/>
      <c r="D366" s="331"/>
      <c r="F366" s="250"/>
      <c r="I366" s="251"/>
    </row>
    <row r="367">
      <c r="A367" s="265"/>
      <c r="B367" s="268"/>
      <c r="C367" s="252"/>
      <c r="D367" s="822"/>
      <c r="F367" s="250"/>
      <c r="I367" s="251"/>
    </row>
    <row r="368">
      <c r="A368" s="265"/>
      <c r="B368" s="268"/>
      <c r="C368" s="248"/>
      <c r="D368" s="331"/>
      <c r="F368" s="250"/>
      <c r="I368" s="251"/>
    </row>
    <row r="369">
      <c r="A369" s="265"/>
      <c r="B369" s="268"/>
      <c r="C369" s="252"/>
      <c r="D369" s="331"/>
      <c r="F369" s="250"/>
      <c r="I369" s="251"/>
    </row>
    <row r="370">
      <c r="A370" s="265"/>
      <c r="B370" s="268"/>
      <c r="C370" s="252"/>
      <c r="D370" s="822"/>
      <c r="F370" s="250"/>
      <c r="I370" s="251"/>
    </row>
    <row r="371">
      <c r="A371" s="265"/>
      <c r="B371" s="268"/>
      <c r="C371" s="252"/>
      <c r="D371" s="331"/>
      <c r="F371" s="250"/>
      <c r="I371" s="251"/>
    </row>
    <row r="372">
      <c r="A372" s="265"/>
      <c r="B372" s="268"/>
      <c r="C372" s="252"/>
      <c r="D372" s="822"/>
      <c r="F372" s="250"/>
      <c r="I372" s="251"/>
    </row>
    <row r="373">
      <c r="A373" s="265"/>
      <c r="B373" s="268"/>
      <c r="C373" s="252"/>
      <c r="D373" s="822"/>
      <c r="F373" s="250"/>
      <c r="I373" s="251"/>
    </row>
    <row r="374">
      <c r="A374" s="265"/>
      <c r="B374" s="268"/>
      <c r="C374" s="252"/>
      <c r="D374" s="331"/>
      <c r="F374" s="250"/>
      <c r="I374" s="251"/>
    </row>
    <row r="375">
      <c r="A375" s="265"/>
      <c r="B375" s="268"/>
      <c r="C375" s="252"/>
      <c r="D375" s="822"/>
      <c r="F375" s="250"/>
      <c r="I375" s="251"/>
    </row>
    <row r="376">
      <c r="A376" s="270"/>
      <c r="B376" s="271"/>
      <c r="C376" s="272"/>
      <c r="D376" s="823"/>
      <c r="E376" s="18"/>
      <c r="F376" s="274"/>
      <c r="G376" s="18"/>
      <c r="H376" s="18"/>
      <c r="I376" s="261"/>
    </row>
    <row r="377">
      <c r="A377" s="262"/>
      <c r="B377" s="306"/>
      <c r="C377" s="263"/>
      <c r="D377" s="824"/>
      <c r="E377" s="242"/>
      <c r="F377" s="243"/>
      <c r="G377" s="244"/>
      <c r="H377" s="244"/>
      <c r="I377" s="307"/>
    </row>
    <row r="378">
      <c r="A378" s="265"/>
      <c r="B378" s="268"/>
      <c r="C378" s="248"/>
      <c r="D378" s="331"/>
      <c r="F378" s="250"/>
      <c r="I378" s="251"/>
    </row>
    <row r="379">
      <c r="A379" s="265"/>
      <c r="B379" s="268"/>
      <c r="C379" s="252"/>
      <c r="D379" s="822"/>
      <c r="F379" s="250"/>
      <c r="I379" s="251"/>
    </row>
    <row r="380">
      <c r="A380" s="265"/>
      <c r="B380" s="268"/>
      <c r="C380" s="252"/>
      <c r="D380" s="822"/>
      <c r="F380" s="250"/>
      <c r="I380" s="251"/>
    </row>
    <row r="381">
      <c r="A381" s="265"/>
      <c r="B381" s="268"/>
      <c r="C381" s="252"/>
      <c r="D381" s="331"/>
      <c r="F381" s="250"/>
      <c r="I381" s="251"/>
    </row>
    <row r="382">
      <c r="A382" s="265"/>
      <c r="B382" s="268"/>
      <c r="C382" s="252"/>
      <c r="D382" s="822"/>
      <c r="F382" s="250"/>
      <c r="I382" s="251"/>
    </row>
    <row r="383">
      <c r="A383" s="265"/>
      <c r="B383" s="268"/>
      <c r="C383" s="252"/>
      <c r="D383" s="822"/>
      <c r="F383" s="250"/>
      <c r="I383" s="251"/>
    </row>
    <row r="384">
      <c r="A384" s="265"/>
      <c r="B384" s="268"/>
      <c r="C384" s="252"/>
      <c r="D384" s="822"/>
      <c r="F384" s="250"/>
      <c r="I384" s="251"/>
    </row>
    <row r="385">
      <c r="A385" s="265"/>
      <c r="B385" s="268"/>
      <c r="C385" s="252"/>
      <c r="D385" s="822"/>
      <c r="F385" s="250"/>
      <c r="I385" s="251"/>
    </row>
    <row r="386">
      <c r="A386" s="265"/>
      <c r="B386" s="278"/>
      <c r="C386" s="252"/>
      <c r="D386" s="822"/>
      <c r="F386" s="282"/>
      <c r="I386" s="251"/>
    </row>
    <row r="387">
      <c r="A387" s="265"/>
      <c r="B387" s="278"/>
      <c r="C387" s="252"/>
      <c r="D387" s="822"/>
      <c r="F387" s="282"/>
      <c r="I387" s="251"/>
    </row>
    <row r="388">
      <c r="A388" s="270"/>
      <c r="B388" s="271"/>
      <c r="C388" s="272"/>
      <c r="D388" s="823"/>
      <c r="E388" s="18"/>
      <c r="F388" s="274"/>
      <c r="G388" s="18"/>
      <c r="H388" s="18"/>
      <c r="I388" s="261"/>
    </row>
    <row r="389">
      <c r="A389" s="305"/>
      <c r="B389" s="306"/>
      <c r="C389" s="240"/>
      <c r="D389" s="824"/>
      <c r="E389" s="242"/>
      <c r="F389" s="243"/>
      <c r="G389" s="244"/>
      <c r="H389" s="244"/>
      <c r="I389" s="307"/>
    </row>
    <row r="390">
      <c r="A390" s="265"/>
      <c r="B390" s="268"/>
      <c r="C390" s="252"/>
      <c r="D390" s="331"/>
      <c r="F390" s="250"/>
      <c r="I390" s="251"/>
    </row>
    <row r="391">
      <c r="A391" s="265"/>
      <c r="B391" s="268"/>
      <c r="C391" s="252"/>
      <c r="D391" s="822"/>
      <c r="F391" s="250"/>
      <c r="I391" s="251"/>
    </row>
    <row r="392">
      <c r="A392" s="265"/>
      <c r="B392" s="268"/>
      <c r="C392" s="252"/>
      <c r="D392" s="331"/>
      <c r="F392" s="250"/>
      <c r="I392" s="251"/>
    </row>
    <row r="393">
      <c r="A393" s="265"/>
      <c r="B393" s="268"/>
      <c r="C393" s="252"/>
      <c r="D393" s="822"/>
      <c r="F393" s="250"/>
      <c r="I393" s="251"/>
    </row>
    <row r="394">
      <c r="A394" s="265"/>
      <c r="B394" s="268"/>
      <c r="C394" s="252"/>
      <c r="D394" s="331"/>
      <c r="F394" s="250"/>
      <c r="I394" s="251"/>
    </row>
    <row r="395">
      <c r="A395" s="265"/>
      <c r="B395" s="268"/>
      <c r="C395" s="252"/>
      <c r="D395" s="822"/>
      <c r="F395" s="250"/>
      <c r="I395" s="251"/>
    </row>
    <row r="396">
      <c r="A396" s="265"/>
      <c r="B396" s="268"/>
      <c r="C396" s="252"/>
      <c r="D396" s="822"/>
      <c r="F396" s="250"/>
      <c r="I396" s="251"/>
    </row>
    <row r="397">
      <c r="A397" s="265"/>
      <c r="B397" s="268"/>
      <c r="C397" s="252"/>
      <c r="D397" s="822"/>
      <c r="F397" s="250"/>
      <c r="I397" s="251"/>
    </row>
    <row r="398">
      <c r="A398" s="265"/>
      <c r="B398" s="268"/>
      <c r="C398" s="252"/>
      <c r="D398" s="822"/>
      <c r="F398" s="250"/>
      <c r="I398" s="251"/>
    </row>
    <row r="399">
      <c r="A399" s="265"/>
      <c r="B399" s="268"/>
      <c r="C399" s="252"/>
      <c r="D399" s="822"/>
      <c r="F399" s="250"/>
      <c r="I399" s="251"/>
    </row>
    <row r="400">
      <c r="A400" s="270"/>
      <c r="B400" s="271"/>
      <c r="C400" s="272"/>
      <c r="D400" s="823"/>
      <c r="E400" s="18"/>
      <c r="F400" s="274"/>
      <c r="G400" s="18"/>
      <c r="H400" s="18"/>
      <c r="I400" s="261"/>
    </row>
    <row r="401">
      <c r="A401" s="305"/>
      <c r="B401" s="306"/>
      <c r="C401" s="240"/>
      <c r="D401" s="824"/>
      <c r="E401" s="242"/>
      <c r="F401" s="243"/>
      <c r="G401" s="244"/>
      <c r="H401" s="244"/>
      <c r="I401" s="307"/>
    </row>
    <row r="402">
      <c r="A402" s="265"/>
      <c r="B402" s="268"/>
      <c r="C402" s="252"/>
      <c r="D402" s="822"/>
      <c r="F402" s="250"/>
      <c r="H402" s="252"/>
      <c r="I402" s="251"/>
    </row>
    <row r="403">
      <c r="A403" s="265"/>
      <c r="B403" s="268"/>
      <c r="C403" s="252"/>
      <c r="D403" s="822"/>
      <c r="F403" s="250"/>
      <c r="H403" s="252"/>
      <c r="I403" s="251"/>
    </row>
    <row r="404">
      <c r="A404" s="265"/>
      <c r="B404" s="268"/>
      <c r="C404" s="252"/>
      <c r="D404" s="822"/>
      <c r="F404" s="250"/>
      <c r="H404" s="252"/>
      <c r="I404" s="251"/>
    </row>
    <row r="405">
      <c r="A405" s="265"/>
      <c r="B405" s="268"/>
      <c r="C405" s="252"/>
      <c r="D405" s="822"/>
      <c r="F405" s="250"/>
      <c r="H405" s="252"/>
      <c r="I405" s="251"/>
    </row>
    <row r="406">
      <c r="A406" s="265"/>
      <c r="B406" s="268"/>
      <c r="C406" s="252"/>
      <c r="D406" s="822"/>
      <c r="F406" s="250"/>
      <c r="I406" s="251"/>
    </row>
    <row r="407">
      <c r="A407" s="265"/>
      <c r="B407" s="268"/>
      <c r="C407" s="252"/>
      <c r="D407" s="822"/>
      <c r="F407" s="250"/>
      <c r="I407" s="251"/>
    </row>
    <row r="408">
      <c r="A408" s="265"/>
      <c r="B408" s="268"/>
      <c r="C408" s="252"/>
      <c r="D408" s="822"/>
      <c r="F408" s="250"/>
      <c r="I408" s="251"/>
    </row>
    <row r="409">
      <c r="A409" s="265"/>
      <c r="B409" s="268"/>
      <c r="C409" s="252"/>
      <c r="D409" s="822"/>
      <c r="F409" s="250"/>
      <c r="I409" s="251"/>
    </row>
    <row r="410">
      <c r="A410" s="270"/>
      <c r="B410" s="271"/>
      <c r="C410" s="272"/>
      <c r="D410" s="823"/>
      <c r="E410" s="18"/>
      <c r="F410" s="274"/>
      <c r="G410" s="18"/>
      <c r="H410" s="18"/>
      <c r="I410" s="261"/>
    </row>
    <row r="411">
      <c r="A411" s="305"/>
      <c r="B411" s="306"/>
      <c r="C411" s="240"/>
      <c r="D411" s="824"/>
      <c r="E411" s="242"/>
      <c r="F411" s="243"/>
      <c r="G411" s="244"/>
      <c r="H411" s="244"/>
      <c r="I411" s="307"/>
    </row>
    <row r="412">
      <c r="A412" s="265"/>
      <c r="B412" s="268"/>
      <c r="C412" s="252"/>
      <c r="D412" s="822"/>
      <c r="F412" s="250"/>
      <c r="I412" s="251"/>
    </row>
    <row r="413">
      <c r="A413" s="265"/>
      <c r="B413" s="268"/>
      <c r="C413" s="252"/>
      <c r="D413" s="822"/>
      <c r="F413" s="250"/>
      <c r="I413" s="251"/>
    </row>
    <row r="414">
      <c r="A414" s="265"/>
      <c r="B414" s="268"/>
      <c r="C414" s="252"/>
      <c r="D414" s="822"/>
      <c r="F414" s="250"/>
      <c r="I414" s="251"/>
    </row>
    <row r="415">
      <c r="A415" s="265"/>
      <c r="B415" s="268"/>
      <c r="C415" s="252"/>
      <c r="D415" s="822"/>
      <c r="F415" s="250"/>
      <c r="I415" s="251"/>
    </row>
    <row r="416">
      <c r="A416" s="265"/>
      <c r="B416" s="268"/>
      <c r="C416" s="252"/>
      <c r="D416" s="822"/>
      <c r="F416" s="250"/>
      <c r="I416" s="251"/>
    </row>
    <row r="417">
      <c r="A417" s="265"/>
      <c r="B417" s="268"/>
      <c r="C417" s="252"/>
      <c r="D417" s="822"/>
      <c r="F417" s="250"/>
      <c r="I417" s="251"/>
    </row>
    <row r="418">
      <c r="A418" s="265"/>
      <c r="B418" s="268"/>
      <c r="C418" s="252"/>
      <c r="D418" s="822"/>
      <c r="F418" s="250"/>
      <c r="I418" s="251"/>
    </row>
    <row r="419">
      <c r="A419" s="265"/>
      <c r="B419" s="268"/>
      <c r="C419" s="252"/>
      <c r="D419" s="822"/>
      <c r="F419" s="250"/>
      <c r="I419" s="251"/>
    </row>
    <row r="420">
      <c r="A420" s="270"/>
      <c r="B420" s="271"/>
      <c r="C420" s="272"/>
      <c r="D420" s="823"/>
      <c r="E420" s="18"/>
      <c r="F420" s="274"/>
      <c r="G420" s="18"/>
      <c r="H420" s="18"/>
      <c r="I420" s="261"/>
    </row>
    <row r="421">
      <c r="B421" s="306"/>
      <c r="C421" s="240"/>
      <c r="D421" s="824"/>
      <c r="E421" s="242"/>
      <c r="F421" s="243"/>
      <c r="G421" s="244"/>
      <c r="H421" s="244"/>
      <c r="I421" s="307"/>
    </row>
    <row r="422">
      <c r="B422" s="268"/>
      <c r="C422" s="252"/>
      <c r="D422" s="822"/>
      <c r="F422" s="250"/>
      <c r="I422" s="251"/>
    </row>
    <row r="423">
      <c r="B423" s="268"/>
      <c r="C423" s="252"/>
      <c r="D423" s="822"/>
      <c r="F423" s="250"/>
      <c r="I423" s="251"/>
    </row>
    <row r="424">
      <c r="B424" s="308"/>
      <c r="C424" s="252"/>
      <c r="D424" s="822"/>
      <c r="F424" s="309"/>
      <c r="I424" s="302"/>
    </row>
    <row r="425">
      <c r="B425" s="308"/>
      <c r="C425" s="252"/>
      <c r="D425" s="822"/>
      <c r="F425" s="309"/>
      <c r="I425" s="302"/>
    </row>
    <row r="426">
      <c r="B426" s="308"/>
      <c r="C426" s="252"/>
      <c r="D426" s="822"/>
      <c r="F426" s="309"/>
      <c r="I426" s="302"/>
    </row>
    <row r="427">
      <c r="B427" s="308"/>
      <c r="C427" s="252"/>
      <c r="D427" s="822"/>
      <c r="F427" s="309"/>
      <c r="I427" s="302"/>
    </row>
    <row r="428">
      <c r="B428" s="308"/>
      <c r="C428" s="252"/>
      <c r="D428" s="822"/>
      <c r="F428" s="309"/>
      <c r="I428" s="302"/>
    </row>
    <row r="429">
      <c r="B429" s="308"/>
      <c r="C429" s="252"/>
      <c r="D429" s="822"/>
      <c r="F429" s="309"/>
      <c r="I429" s="302"/>
    </row>
    <row r="430">
      <c r="B430" s="308"/>
      <c r="C430" s="252"/>
      <c r="D430" s="822"/>
      <c r="F430" s="309"/>
      <c r="I430" s="302"/>
    </row>
    <row r="431">
      <c r="B431" s="308"/>
      <c r="C431" s="252"/>
      <c r="D431" s="822"/>
      <c r="F431" s="309"/>
      <c r="I431" s="302"/>
    </row>
    <row r="432">
      <c r="B432" s="308"/>
      <c r="C432" s="252"/>
      <c r="D432" s="822"/>
      <c r="F432" s="309"/>
      <c r="I432" s="302"/>
    </row>
    <row r="433">
      <c r="B433" s="308"/>
      <c r="C433" s="252"/>
      <c r="D433" s="822"/>
      <c r="F433" s="309"/>
      <c r="I433" s="302"/>
    </row>
    <row r="434">
      <c r="B434" s="308"/>
      <c r="C434" s="252"/>
      <c r="D434" s="822"/>
      <c r="F434" s="309"/>
      <c r="I434" s="302"/>
    </row>
    <row r="435">
      <c r="B435" s="308"/>
      <c r="C435" s="252"/>
      <c r="D435" s="822"/>
      <c r="F435" s="309"/>
      <c r="I435" s="302"/>
    </row>
    <row r="436">
      <c r="B436" s="308"/>
      <c r="C436" s="252"/>
      <c r="D436" s="822"/>
      <c r="F436" s="309"/>
      <c r="I436" s="302"/>
    </row>
    <row r="437">
      <c r="B437" s="308"/>
      <c r="C437" s="252"/>
      <c r="D437" s="822"/>
      <c r="F437" s="309"/>
      <c r="I437" s="302"/>
    </row>
    <row r="438">
      <c r="B438" s="308"/>
      <c r="C438" s="252"/>
      <c r="D438" s="822"/>
      <c r="F438" s="309"/>
      <c r="I438" s="302"/>
    </row>
    <row r="439">
      <c r="B439" s="308"/>
      <c r="C439" s="252"/>
      <c r="D439" s="822"/>
      <c r="F439" s="309"/>
      <c r="I439" s="302"/>
    </row>
    <row r="440">
      <c r="B440" s="308"/>
      <c r="C440" s="252"/>
      <c r="D440" s="822"/>
      <c r="F440" s="309"/>
      <c r="I440" s="302"/>
    </row>
    <row r="441">
      <c r="B441" s="308"/>
      <c r="C441" s="252"/>
      <c r="D441" s="822"/>
      <c r="F441" s="309"/>
      <c r="I441" s="302"/>
    </row>
    <row r="442">
      <c r="B442" s="308"/>
      <c r="C442" s="252"/>
      <c r="D442" s="822"/>
      <c r="F442" s="309"/>
      <c r="I442" s="302"/>
    </row>
    <row r="443">
      <c r="B443" s="308"/>
      <c r="C443" s="252"/>
      <c r="D443" s="822"/>
      <c r="F443" s="309"/>
      <c r="I443" s="302"/>
    </row>
    <row r="444">
      <c r="B444" s="308"/>
      <c r="C444" s="252"/>
      <c r="D444" s="822"/>
      <c r="F444" s="309"/>
      <c r="I444" s="302"/>
    </row>
    <row r="445">
      <c r="B445" s="308"/>
      <c r="C445" s="252"/>
      <c r="D445" s="822"/>
      <c r="F445" s="309"/>
      <c r="I445" s="302"/>
    </row>
    <row r="446">
      <c r="B446" s="308"/>
      <c r="C446" s="252"/>
      <c r="D446" s="822"/>
      <c r="F446" s="309"/>
      <c r="I446" s="302"/>
    </row>
    <row r="447">
      <c r="B447" s="308"/>
      <c r="C447" s="252"/>
      <c r="D447" s="822"/>
      <c r="F447" s="309"/>
      <c r="I447" s="302"/>
    </row>
    <row r="448">
      <c r="B448" s="308"/>
      <c r="C448" s="252"/>
      <c r="D448" s="822"/>
      <c r="F448" s="309"/>
      <c r="I448" s="302"/>
    </row>
    <row r="449">
      <c r="B449" s="308"/>
      <c r="C449" s="252"/>
      <c r="D449" s="822"/>
      <c r="F449" s="309"/>
      <c r="I449" s="302"/>
    </row>
    <row r="450">
      <c r="B450" s="308"/>
      <c r="C450" s="252"/>
      <c r="D450" s="822"/>
      <c r="F450" s="309"/>
      <c r="I450" s="302"/>
    </row>
    <row r="451">
      <c r="B451" s="308"/>
      <c r="C451" s="252"/>
      <c r="D451" s="822"/>
      <c r="F451" s="309"/>
      <c r="I451" s="302"/>
    </row>
    <row r="452">
      <c r="B452" s="308"/>
      <c r="C452" s="252"/>
      <c r="D452" s="822"/>
      <c r="F452" s="309"/>
      <c r="I452" s="302"/>
    </row>
    <row r="453">
      <c r="B453" s="308"/>
      <c r="C453" s="252"/>
      <c r="D453" s="822"/>
      <c r="F453" s="309"/>
      <c r="I453" s="302"/>
    </row>
    <row r="454">
      <c r="B454" s="308"/>
      <c r="C454" s="252"/>
      <c r="D454" s="822"/>
      <c r="F454" s="309"/>
      <c r="I454" s="302"/>
    </row>
    <row r="455">
      <c r="B455" s="308"/>
      <c r="C455" s="252"/>
      <c r="D455" s="822"/>
      <c r="F455" s="309"/>
      <c r="I455" s="302"/>
    </row>
    <row r="456">
      <c r="B456" s="308"/>
      <c r="C456" s="252"/>
      <c r="D456" s="822"/>
      <c r="F456" s="309"/>
      <c r="I456" s="302"/>
    </row>
    <row r="457">
      <c r="B457" s="308"/>
      <c r="C457" s="252"/>
      <c r="D457" s="822"/>
      <c r="F457" s="309"/>
      <c r="I457" s="302"/>
    </row>
    <row r="458">
      <c r="B458" s="308"/>
      <c r="C458" s="252"/>
      <c r="D458" s="822"/>
      <c r="F458" s="309"/>
      <c r="I458" s="302"/>
    </row>
    <row r="459">
      <c r="B459" s="308"/>
      <c r="C459" s="252"/>
      <c r="D459" s="822"/>
      <c r="F459" s="309"/>
      <c r="I459" s="302"/>
    </row>
    <row r="460">
      <c r="B460" s="308"/>
      <c r="C460" s="252"/>
      <c r="D460" s="822"/>
      <c r="F460" s="309"/>
      <c r="I460" s="302"/>
    </row>
    <row r="461">
      <c r="B461" s="308"/>
      <c r="C461" s="252"/>
      <c r="D461" s="822"/>
      <c r="F461" s="309"/>
      <c r="I461" s="302"/>
    </row>
    <row r="462">
      <c r="B462" s="308"/>
      <c r="C462" s="252"/>
      <c r="D462" s="822"/>
      <c r="F462" s="309"/>
      <c r="I462" s="302"/>
    </row>
    <row r="463">
      <c r="B463" s="308"/>
      <c r="C463" s="252"/>
      <c r="D463" s="822"/>
      <c r="F463" s="309"/>
      <c r="I463" s="302"/>
    </row>
    <row r="464">
      <c r="B464" s="308"/>
      <c r="C464" s="252"/>
      <c r="D464" s="822"/>
      <c r="F464" s="309"/>
      <c r="I464" s="302"/>
    </row>
    <row r="465">
      <c r="B465" s="308"/>
      <c r="C465" s="252"/>
      <c r="D465" s="822"/>
      <c r="F465" s="309"/>
      <c r="I465" s="302"/>
    </row>
    <row r="466">
      <c r="B466" s="308"/>
      <c r="C466" s="252"/>
      <c r="D466" s="822"/>
      <c r="F466" s="309"/>
      <c r="I466" s="302"/>
    </row>
    <row r="467">
      <c r="B467" s="308"/>
      <c r="C467" s="252"/>
      <c r="D467" s="822"/>
      <c r="F467" s="309"/>
      <c r="I467" s="302"/>
    </row>
    <row r="468">
      <c r="B468" s="308"/>
      <c r="C468" s="252"/>
      <c r="D468" s="822"/>
      <c r="F468" s="309"/>
      <c r="I468" s="302"/>
    </row>
    <row r="469">
      <c r="B469" s="308"/>
      <c r="C469" s="252"/>
      <c r="D469" s="822"/>
      <c r="F469" s="309"/>
      <c r="I469" s="302"/>
    </row>
    <row r="470">
      <c r="B470" s="308"/>
      <c r="C470" s="252"/>
      <c r="D470" s="822"/>
      <c r="F470" s="309"/>
      <c r="I470" s="302"/>
    </row>
    <row r="471">
      <c r="B471" s="308"/>
      <c r="C471" s="252"/>
      <c r="D471" s="822"/>
      <c r="F471" s="309"/>
      <c r="I471" s="302"/>
    </row>
    <row r="472">
      <c r="B472" s="308"/>
      <c r="C472" s="252"/>
      <c r="D472" s="822"/>
      <c r="F472" s="309"/>
      <c r="I472" s="302"/>
    </row>
    <row r="473">
      <c r="B473" s="308"/>
      <c r="C473" s="252"/>
      <c r="D473" s="822"/>
      <c r="F473" s="309"/>
      <c r="I473" s="302"/>
    </row>
    <row r="474">
      <c r="B474" s="308"/>
      <c r="C474" s="252"/>
      <c r="D474" s="822"/>
      <c r="F474" s="309"/>
      <c r="I474" s="302"/>
    </row>
    <row r="475">
      <c r="B475" s="308"/>
      <c r="C475" s="252"/>
      <c r="D475" s="822"/>
      <c r="F475" s="309"/>
      <c r="I475" s="302"/>
    </row>
    <row r="476">
      <c r="B476" s="308"/>
      <c r="C476" s="252"/>
      <c r="D476" s="822"/>
      <c r="F476" s="309"/>
      <c r="I476" s="302"/>
    </row>
    <row r="477">
      <c r="B477" s="308"/>
      <c r="C477" s="252"/>
      <c r="D477" s="822"/>
      <c r="F477" s="309"/>
      <c r="I477" s="302"/>
    </row>
    <row r="478">
      <c r="B478" s="308"/>
      <c r="C478" s="252"/>
      <c r="D478" s="822"/>
      <c r="F478" s="309"/>
      <c r="I478" s="302"/>
    </row>
    <row r="479">
      <c r="B479" s="308"/>
      <c r="C479" s="252"/>
      <c r="D479" s="822"/>
      <c r="F479" s="309"/>
      <c r="I479" s="302"/>
    </row>
    <row r="480">
      <c r="B480" s="308"/>
      <c r="C480" s="252"/>
      <c r="D480" s="822"/>
      <c r="F480" s="309"/>
      <c r="I480" s="302"/>
    </row>
    <row r="481">
      <c r="B481" s="308"/>
      <c r="C481" s="252"/>
      <c r="D481" s="822"/>
      <c r="F481" s="309"/>
      <c r="I481" s="302"/>
    </row>
    <row r="482">
      <c r="B482" s="308"/>
      <c r="C482" s="252"/>
      <c r="D482" s="822"/>
      <c r="F482" s="309"/>
      <c r="I482" s="302"/>
    </row>
    <row r="483">
      <c r="B483" s="308"/>
      <c r="C483" s="252"/>
      <c r="D483" s="822"/>
      <c r="F483" s="309"/>
      <c r="I483" s="302"/>
    </row>
    <row r="484">
      <c r="B484" s="308"/>
      <c r="C484" s="252"/>
      <c r="D484" s="822"/>
      <c r="F484" s="309"/>
      <c r="I484" s="302"/>
    </row>
    <row r="485">
      <c r="B485" s="308"/>
      <c r="C485" s="252"/>
      <c r="D485" s="822"/>
      <c r="F485" s="309"/>
      <c r="I485" s="302"/>
    </row>
    <row r="486">
      <c r="B486" s="308"/>
      <c r="C486" s="252"/>
      <c r="D486" s="822"/>
      <c r="F486" s="309"/>
      <c r="I486" s="302"/>
    </row>
    <row r="487">
      <c r="B487" s="308"/>
      <c r="C487" s="252"/>
      <c r="D487" s="822"/>
      <c r="F487" s="309"/>
      <c r="I487" s="302"/>
    </row>
    <row r="488">
      <c r="B488" s="308"/>
      <c r="C488" s="252"/>
      <c r="D488" s="822"/>
      <c r="F488" s="309"/>
      <c r="I488" s="302"/>
    </row>
    <row r="489">
      <c r="B489" s="308"/>
      <c r="C489" s="252"/>
      <c r="D489" s="822"/>
      <c r="F489" s="309"/>
      <c r="I489" s="302"/>
    </row>
    <row r="490">
      <c r="B490" s="308"/>
      <c r="C490" s="252"/>
      <c r="D490" s="822"/>
      <c r="F490" s="309"/>
      <c r="I490" s="302"/>
    </row>
    <row r="491">
      <c r="B491" s="308"/>
      <c r="C491" s="252"/>
      <c r="D491" s="822"/>
      <c r="F491" s="309"/>
      <c r="I491" s="302"/>
    </row>
    <row r="492">
      <c r="B492" s="308"/>
      <c r="C492" s="252"/>
      <c r="D492" s="822"/>
      <c r="F492" s="309"/>
      <c r="I492" s="302"/>
    </row>
    <row r="493">
      <c r="B493" s="308"/>
      <c r="C493" s="252"/>
      <c r="D493" s="822"/>
      <c r="F493" s="309"/>
      <c r="I493" s="302"/>
    </row>
    <row r="494">
      <c r="B494" s="308"/>
      <c r="C494" s="252"/>
      <c r="D494" s="822"/>
      <c r="F494" s="309"/>
      <c r="I494" s="302"/>
    </row>
    <row r="495">
      <c r="B495" s="308"/>
      <c r="C495" s="252"/>
      <c r="D495" s="822"/>
      <c r="F495" s="309"/>
      <c r="I495" s="302"/>
    </row>
    <row r="496">
      <c r="B496" s="308"/>
      <c r="C496" s="252"/>
      <c r="D496" s="822"/>
      <c r="F496" s="309"/>
      <c r="I496" s="302"/>
    </row>
    <row r="497">
      <c r="B497" s="308"/>
      <c r="C497" s="252"/>
      <c r="D497" s="822"/>
      <c r="F497" s="309"/>
      <c r="I497" s="302"/>
    </row>
    <row r="498">
      <c r="B498" s="308"/>
      <c r="C498" s="252"/>
      <c r="D498" s="822"/>
      <c r="F498" s="309"/>
      <c r="I498" s="302"/>
    </row>
    <row r="499">
      <c r="B499" s="308"/>
      <c r="C499" s="252"/>
      <c r="D499" s="822"/>
      <c r="F499" s="309"/>
      <c r="I499" s="302"/>
    </row>
    <row r="500">
      <c r="B500" s="308"/>
      <c r="C500" s="252"/>
      <c r="D500" s="822"/>
      <c r="F500" s="309"/>
      <c r="I500" s="302"/>
    </row>
    <row r="501">
      <c r="B501" s="308"/>
      <c r="C501" s="252"/>
      <c r="D501" s="822"/>
      <c r="F501" s="309"/>
      <c r="I501" s="302"/>
    </row>
    <row r="502">
      <c r="B502" s="308"/>
      <c r="C502" s="252"/>
      <c r="D502" s="822"/>
      <c r="F502" s="309"/>
      <c r="I502" s="302"/>
    </row>
    <row r="503">
      <c r="B503" s="308"/>
      <c r="C503" s="252"/>
      <c r="D503" s="822"/>
      <c r="F503" s="309"/>
      <c r="I503" s="302"/>
    </row>
    <row r="504">
      <c r="B504" s="308"/>
      <c r="C504" s="252"/>
      <c r="D504" s="822"/>
      <c r="F504" s="309"/>
      <c r="I504" s="302"/>
    </row>
    <row r="505">
      <c r="B505" s="308"/>
      <c r="C505" s="252"/>
      <c r="D505" s="822"/>
      <c r="F505" s="309"/>
      <c r="I505" s="302"/>
    </row>
    <row r="506">
      <c r="B506" s="308"/>
      <c r="C506" s="252"/>
      <c r="D506" s="822"/>
      <c r="F506" s="309"/>
      <c r="I506" s="302"/>
    </row>
    <row r="507">
      <c r="B507" s="308"/>
      <c r="C507" s="252"/>
      <c r="D507" s="822"/>
      <c r="F507" s="309"/>
      <c r="I507" s="302"/>
    </row>
    <row r="508">
      <c r="B508" s="308"/>
      <c r="C508" s="252"/>
      <c r="D508" s="822"/>
      <c r="F508" s="309"/>
      <c r="I508" s="302"/>
    </row>
    <row r="509">
      <c r="B509" s="308"/>
      <c r="C509" s="252"/>
      <c r="D509" s="822"/>
      <c r="F509" s="309"/>
      <c r="I509" s="302"/>
    </row>
    <row r="510">
      <c r="B510" s="308"/>
      <c r="C510" s="252"/>
      <c r="D510" s="822"/>
      <c r="F510" s="309"/>
      <c r="I510" s="302"/>
    </row>
    <row r="511">
      <c r="B511" s="308"/>
      <c r="C511" s="252"/>
      <c r="D511" s="822"/>
      <c r="F511" s="309"/>
      <c r="I511" s="302"/>
    </row>
    <row r="512">
      <c r="B512" s="308"/>
      <c r="C512" s="252"/>
      <c r="D512" s="822"/>
      <c r="F512" s="309"/>
      <c r="I512" s="302"/>
    </row>
    <row r="513">
      <c r="B513" s="308"/>
      <c r="C513" s="252"/>
      <c r="D513" s="822"/>
      <c r="F513" s="309"/>
      <c r="I513" s="302"/>
    </row>
    <row r="514">
      <c r="B514" s="308"/>
      <c r="C514" s="252"/>
      <c r="D514" s="822"/>
      <c r="F514" s="309"/>
      <c r="I514" s="302"/>
    </row>
    <row r="515">
      <c r="B515" s="308"/>
      <c r="C515" s="252"/>
      <c r="D515" s="822"/>
      <c r="F515" s="309"/>
      <c r="I515" s="302"/>
    </row>
    <row r="516">
      <c r="B516" s="308"/>
      <c r="C516" s="252"/>
      <c r="D516" s="822"/>
      <c r="F516" s="309"/>
      <c r="I516" s="302"/>
    </row>
    <row r="517">
      <c r="B517" s="308"/>
      <c r="C517" s="252"/>
      <c r="D517" s="822"/>
      <c r="F517" s="309"/>
      <c r="I517" s="302"/>
    </row>
    <row r="518">
      <c r="B518" s="308"/>
      <c r="C518" s="252"/>
      <c r="D518" s="822"/>
      <c r="F518" s="309"/>
      <c r="I518" s="302"/>
    </row>
    <row r="519">
      <c r="B519" s="308"/>
      <c r="C519" s="252"/>
      <c r="D519" s="822"/>
      <c r="F519" s="309"/>
      <c r="I519" s="302"/>
    </row>
    <row r="520">
      <c r="B520" s="308"/>
      <c r="C520" s="252"/>
      <c r="D520" s="822"/>
      <c r="F520" s="309"/>
      <c r="I520" s="302"/>
    </row>
    <row r="521">
      <c r="B521" s="308"/>
      <c r="C521" s="252"/>
      <c r="D521" s="822"/>
      <c r="F521" s="309"/>
      <c r="I521" s="302"/>
    </row>
    <row r="522">
      <c r="B522" s="308"/>
      <c r="C522" s="252"/>
      <c r="D522" s="822"/>
      <c r="F522" s="309"/>
      <c r="I522" s="302"/>
    </row>
    <row r="523">
      <c r="B523" s="308"/>
      <c r="C523" s="252"/>
      <c r="D523" s="822"/>
      <c r="F523" s="309"/>
      <c r="I523" s="302"/>
    </row>
    <row r="524">
      <c r="B524" s="308"/>
      <c r="C524" s="252"/>
      <c r="D524" s="822"/>
      <c r="F524" s="309"/>
      <c r="I524" s="302"/>
    </row>
    <row r="525">
      <c r="B525" s="308"/>
      <c r="C525" s="252"/>
      <c r="D525" s="822"/>
      <c r="F525" s="309"/>
      <c r="I525" s="302"/>
    </row>
    <row r="526">
      <c r="B526" s="308"/>
      <c r="C526" s="252"/>
      <c r="D526" s="822"/>
      <c r="F526" s="309"/>
      <c r="I526" s="302"/>
    </row>
    <row r="527">
      <c r="B527" s="308"/>
      <c r="C527" s="252"/>
      <c r="D527" s="822"/>
      <c r="F527" s="309"/>
      <c r="I527" s="302"/>
    </row>
    <row r="528">
      <c r="B528" s="308"/>
      <c r="C528" s="252"/>
      <c r="D528" s="822"/>
      <c r="F528" s="309"/>
      <c r="I528" s="302"/>
    </row>
    <row r="529">
      <c r="B529" s="308"/>
      <c r="C529" s="252"/>
      <c r="D529" s="822"/>
      <c r="F529" s="309"/>
      <c r="I529" s="302"/>
    </row>
    <row r="530">
      <c r="B530" s="308"/>
      <c r="C530" s="252"/>
      <c r="D530" s="822"/>
      <c r="F530" s="309"/>
      <c r="I530" s="302"/>
    </row>
    <row r="531">
      <c r="B531" s="308"/>
      <c r="C531" s="252"/>
      <c r="D531" s="822"/>
      <c r="F531" s="309"/>
      <c r="I531" s="302"/>
    </row>
    <row r="532">
      <c r="B532" s="308"/>
      <c r="C532" s="252"/>
      <c r="D532" s="822"/>
      <c r="F532" s="309"/>
      <c r="I532" s="302"/>
    </row>
    <row r="533">
      <c r="B533" s="308"/>
      <c r="C533" s="252"/>
      <c r="D533" s="822"/>
      <c r="F533" s="309"/>
      <c r="I533" s="302"/>
    </row>
    <row r="534">
      <c r="B534" s="308"/>
      <c r="C534" s="252"/>
      <c r="D534" s="822"/>
      <c r="F534" s="309"/>
      <c r="I534" s="302"/>
    </row>
    <row r="535">
      <c r="B535" s="308"/>
      <c r="C535" s="252"/>
      <c r="D535" s="822"/>
      <c r="F535" s="309"/>
      <c r="I535" s="302"/>
    </row>
    <row r="536">
      <c r="B536" s="308"/>
      <c r="C536" s="252"/>
      <c r="D536" s="822"/>
      <c r="F536" s="309"/>
      <c r="I536" s="302"/>
    </row>
    <row r="537">
      <c r="B537" s="308"/>
      <c r="C537" s="252"/>
      <c r="D537" s="822"/>
      <c r="F537" s="309"/>
      <c r="I537" s="302"/>
    </row>
    <row r="538">
      <c r="B538" s="308"/>
      <c r="C538" s="252"/>
      <c r="D538" s="822"/>
      <c r="F538" s="309"/>
      <c r="I538" s="302"/>
    </row>
    <row r="539">
      <c r="B539" s="308"/>
      <c r="C539" s="252"/>
      <c r="D539" s="822"/>
      <c r="F539" s="309"/>
      <c r="I539" s="302"/>
    </row>
    <row r="540">
      <c r="B540" s="308"/>
      <c r="C540" s="252"/>
      <c r="D540" s="822"/>
      <c r="F540" s="309"/>
      <c r="I540" s="302"/>
    </row>
    <row r="541">
      <c r="B541" s="308"/>
      <c r="C541" s="252"/>
      <c r="D541" s="822"/>
      <c r="F541" s="309"/>
      <c r="I541" s="302"/>
    </row>
    <row r="542">
      <c r="B542" s="308"/>
      <c r="C542" s="252"/>
      <c r="D542" s="822"/>
      <c r="F542" s="309"/>
      <c r="I542" s="302"/>
    </row>
    <row r="543">
      <c r="B543" s="308"/>
      <c r="C543" s="252"/>
      <c r="D543" s="822"/>
      <c r="F543" s="309"/>
      <c r="I543" s="302"/>
    </row>
    <row r="544">
      <c r="B544" s="308"/>
      <c r="C544" s="252"/>
      <c r="D544" s="822"/>
      <c r="F544" s="309"/>
      <c r="I544" s="302"/>
    </row>
    <row r="545">
      <c r="B545" s="308"/>
      <c r="C545" s="252"/>
      <c r="D545" s="822"/>
      <c r="F545" s="309"/>
      <c r="I545" s="302"/>
    </row>
    <row r="546">
      <c r="B546" s="308"/>
      <c r="C546" s="252"/>
      <c r="D546" s="822"/>
      <c r="F546" s="309"/>
      <c r="I546" s="302"/>
    </row>
    <row r="547">
      <c r="B547" s="308"/>
      <c r="C547" s="252"/>
      <c r="D547" s="822"/>
      <c r="F547" s="309"/>
      <c r="I547" s="302"/>
    </row>
    <row r="548">
      <c r="B548" s="308"/>
      <c r="C548" s="252"/>
      <c r="D548" s="822"/>
      <c r="F548" s="309"/>
      <c r="I548" s="302"/>
    </row>
    <row r="549">
      <c r="B549" s="308"/>
      <c r="C549" s="252"/>
      <c r="D549" s="822"/>
      <c r="F549" s="309"/>
      <c r="I549" s="302"/>
    </row>
    <row r="550">
      <c r="B550" s="308"/>
      <c r="C550" s="252"/>
      <c r="D550" s="822"/>
      <c r="F550" s="309"/>
      <c r="I550" s="302"/>
    </row>
    <row r="551">
      <c r="B551" s="308"/>
      <c r="C551" s="252"/>
      <c r="D551" s="822"/>
      <c r="F551" s="309"/>
      <c r="I551" s="302"/>
    </row>
    <row r="552">
      <c r="B552" s="308"/>
      <c r="C552" s="252"/>
      <c r="D552" s="822"/>
      <c r="F552" s="309"/>
      <c r="I552" s="302"/>
    </row>
    <row r="553">
      <c r="B553" s="308"/>
      <c r="C553" s="252"/>
      <c r="D553" s="822"/>
      <c r="F553" s="309"/>
      <c r="I553" s="302"/>
    </row>
    <row r="554">
      <c r="B554" s="308"/>
      <c r="C554" s="252"/>
      <c r="D554" s="822"/>
      <c r="F554" s="309"/>
      <c r="I554" s="302"/>
    </row>
    <row r="555">
      <c r="B555" s="308"/>
      <c r="C555" s="252"/>
      <c r="D555" s="822"/>
      <c r="F555" s="309"/>
      <c r="I555" s="302"/>
    </row>
    <row r="556">
      <c r="B556" s="308"/>
      <c r="C556" s="252"/>
      <c r="D556" s="822"/>
      <c r="F556" s="309"/>
      <c r="I556" s="302"/>
    </row>
    <row r="557">
      <c r="B557" s="308"/>
      <c r="C557" s="252"/>
      <c r="D557" s="822"/>
      <c r="F557" s="309"/>
      <c r="I557" s="302"/>
    </row>
    <row r="558">
      <c r="B558" s="308"/>
      <c r="C558" s="252"/>
      <c r="D558" s="822"/>
      <c r="F558" s="309"/>
      <c r="I558" s="302"/>
    </row>
    <row r="559">
      <c r="B559" s="308"/>
      <c r="C559" s="252"/>
      <c r="D559" s="822"/>
      <c r="F559" s="309"/>
      <c r="I559" s="302"/>
    </row>
    <row r="560">
      <c r="B560" s="308"/>
      <c r="C560" s="252"/>
      <c r="D560" s="822"/>
      <c r="F560" s="309"/>
      <c r="I560" s="302"/>
    </row>
    <row r="561">
      <c r="B561" s="308"/>
      <c r="C561" s="252"/>
      <c r="D561" s="822"/>
      <c r="F561" s="309"/>
      <c r="I561" s="302"/>
    </row>
    <row r="562">
      <c r="B562" s="308"/>
      <c r="C562" s="252"/>
      <c r="D562" s="822"/>
      <c r="F562" s="309"/>
      <c r="I562" s="302"/>
    </row>
    <row r="563">
      <c r="B563" s="308"/>
      <c r="C563" s="252"/>
      <c r="D563" s="822"/>
      <c r="F563" s="309"/>
      <c r="I563" s="302"/>
    </row>
    <row r="564">
      <c r="B564" s="308"/>
      <c r="C564" s="252"/>
      <c r="D564" s="822"/>
      <c r="F564" s="309"/>
      <c r="I564" s="302"/>
    </row>
    <row r="565">
      <c r="B565" s="308"/>
      <c r="C565" s="252"/>
      <c r="D565" s="822"/>
      <c r="F565" s="309"/>
      <c r="I565" s="302"/>
    </row>
    <row r="566">
      <c r="B566" s="308"/>
      <c r="C566" s="252"/>
      <c r="D566" s="822"/>
      <c r="F566" s="309"/>
      <c r="I566" s="302"/>
    </row>
    <row r="567">
      <c r="B567" s="308"/>
      <c r="C567" s="252"/>
      <c r="D567" s="822"/>
      <c r="F567" s="309"/>
      <c r="I567" s="302"/>
    </row>
    <row r="568">
      <c r="B568" s="308"/>
      <c r="C568" s="252"/>
      <c r="D568" s="822"/>
      <c r="F568" s="309"/>
      <c r="I568" s="302"/>
    </row>
    <row r="569">
      <c r="B569" s="308"/>
      <c r="C569" s="252"/>
      <c r="D569" s="822"/>
      <c r="F569" s="309"/>
      <c r="I569" s="302"/>
    </row>
    <row r="570">
      <c r="B570" s="308"/>
      <c r="C570" s="252"/>
      <c r="D570" s="822"/>
      <c r="F570" s="309"/>
      <c r="I570" s="302"/>
    </row>
    <row r="571">
      <c r="B571" s="308"/>
      <c r="C571" s="252"/>
      <c r="D571" s="822"/>
      <c r="F571" s="309"/>
      <c r="I571" s="302"/>
    </row>
    <row r="572">
      <c r="B572" s="308"/>
      <c r="C572" s="252"/>
      <c r="D572" s="822"/>
      <c r="F572" s="309"/>
      <c r="I572" s="302"/>
    </row>
    <row r="573">
      <c r="B573" s="308"/>
      <c r="C573" s="252"/>
      <c r="D573" s="822"/>
      <c r="F573" s="309"/>
      <c r="I573" s="302"/>
    </row>
    <row r="574">
      <c r="B574" s="308"/>
      <c r="C574" s="252"/>
      <c r="D574" s="822"/>
      <c r="F574" s="309"/>
      <c r="I574" s="302"/>
    </row>
    <row r="575">
      <c r="B575" s="308"/>
      <c r="C575" s="252"/>
      <c r="D575" s="822"/>
      <c r="F575" s="309"/>
      <c r="I575" s="302"/>
    </row>
    <row r="576">
      <c r="B576" s="308"/>
      <c r="C576" s="252"/>
      <c r="D576" s="822"/>
      <c r="F576" s="309"/>
      <c r="I576" s="302"/>
    </row>
    <row r="577">
      <c r="B577" s="308"/>
      <c r="C577" s="252"/>
      <c r="D577" s="822"/>
      <c r="F577" s="309"/>
      <c r="I577" s="302"/>
    </row>
    <row r="578">
      <c r="B578" s="308"/>
      <c r="C578" s="252"/>
      <c r="D578" s="822"/>
      <c r="F578" s="309"/>
      <c r="I578" s="302"/>
    </row>
    <row r="579">
      <c r="B579" s="308"/>
      <c r="C579" s="252"/>
      <c r="D579" s="822"/>
      <c r="F579" s="309"/>
      <c r="I579" s="302"/>
    </row>
    <row r="580">
      <c r="B580" s="308"/>
      <c r="C580" s="252"/>
      <c r="D580" s="822"/>
      <c r="F580" s="309"/>
      <c r="I580" s="302"/>
    </row>
    <row r="581">
      <c r="B581" s="308"/>
      <c r="C581" s="252"/>
      <c r="D581" s="822"/>
      <c r="F581" s="309"/>
      <c r="I581" s="302"/>
    </row>
    <row r="582">
      <c r="B582" s="308"/>
      <c r="C582" s="252"/>
      <c r="D582" s="822"/>
      <c r="F582" s="309"/>
      <c r="I582" s="302"/>
    </row>
    <row r="583">
      <c r="B583" s="308"/>
      <c r="C583" s="252"/>
      <c r="D583" s="822"/>
      <c r="F583" s="309"/>
      <c r="I583" s="302"/>
    </row>
    <row r="584">
      <c r="B584" s="308"/>
      <c r="C584" s="252"/>
      <c r="D584" s="822"/>
      <c r="F584" s="309"/>
      <c r="I584" s="302"/>
    </row>
    <row r="585">
      <c r="B585" s="308"/>
      <c r="C585" s="252"/>
      <c r="D585" s="822"/>
      <c r="F585" s="309"/>
      <c r="I585" s="302"/>
    </row>
    <row r="586">
      <c r="B586" s="308"/>
      <c r="C586" s="252"/>
      <c r="D586" s="822"/>
      <c r="F586" s="309"/>
      <c r="I586" s="302"/>
    </row>
    <row r="587">
      <c r="B587" s="308"/>
      <c r="C587" s="252"/>
      <c r="D587" s="822"/>
      <c r="F587" s="309"/>
      <c r="I587" s="302"/>
    </row>
    <row r="588">
      <c r="B588" s="308"/>
      <c r="C588" s="252"/>
      <c r="D588" s="822"/>
      <c r="F588" s="309"/>
      <c r="I588" s="302"/>
    </row>
    <row r="589">
      <c r="B589" s="308"/>
      <c r="C589" s="252"/>
      <c r="D589" s="822"/>
      <c r="F589" s="309"/>
      <c r="I589" s="302"/>
    </row>
    <row r="590">
      <c r="B590" s="308"/>
      <c r="C590" s="252"/>
      <c r="D590" s="822"/>
      <c r="F590" s="309"/>
      <c r="I590" s="302"/>
    </row>
    <row r="591">
      <c r="B591" s="308"/>
      <c r="C591" s="252"/>
      <c r="D591" s="822"/>
      <c r="F591" s="309"/>
      <c r="I591" s="302"/>
    </row>
    <row r="592">
      <c r="B592" s="308"/>
      <c r="C592" s="252"/>
      <c r="D592" s="822"/>
      <c r="F592" s="309"/>
      <c r="I592" s="302"/>
    </row>
    <row r="593">
      <c r="B593" s="308"/>
      <c r="C593" s="252"/>
      <c r="D593" s="822"/>
      <c r="F593" s="309"/>
      <c r="I593" s="302"/>
    </row>
    <row r="594">
      <c r="B594" s="308"/>
      <c r="C594" s="252"/>
      <c r="D594" s="822"/>
      <c r="F594" s="309"/>
      <c r="I594" s="302"/>
    </row>
    <row r="595">
      <c r="B595" s="308"/>
      <c r="C595" s="252"/>
      <c r="D595" s="822"/>
      <c r="F595" s="309"/>
      <c r="I595" s="302"/>
    </row>
    <row r="596">
      <c r="B596" s="308"/>
      <c r="C596" s="252"/>
      <c r="D596" s="822"/>
      <c r="F596" s="309"/>
      <c r="I596" s="302"/>
    </row>
    <row r="597">
      <c r="B597" s="308"/>
      <c r="C597" s="252"/>
      <c r="D597" s="822"/>
      <c r="F597" s="309"/>
      <c r="I597" s="302"/>
    </row>
    <row r="598">
      <c r="B598" s="308"/>
      <c r="C598" s="252"/>
      <c r="D598" s="822"/>
      <c r="F598" s="309"/>
      <c r="I598" s="302"/>
    </row>
    <row r="599">
      <c r="B599" s="308"/>
      <c r="C599" s="252"/>
      <c r="D599" s="822"/>
      <c r="F599" s="309"/>
      <c r="I599" s="302"/>
    </row>
    <row r="600">
      <c r="B600" s="308"/>
      <c r="C600" s="252"/>
      <c r="D600" s="822"/>
      <c r="F600" s="309"/>
      <c r="I600" s="302"/>
    </row>
    <row r="601">
      <c r="B601" s="308"/>
      <c r="C601" s="252"/>
      <c r="D601" s="822"/>
      <c r="F601" s="309"/>
      <c r="I601" s="302"/>
    </row>
    <row r="602">
      <c r="B602" s="308"/>
      <c r="C602" s="252"/>
      <c r="D602" s="822"/>
      <c r="F602" s="309"/>
      <c r="I602" s="302"/>
    </row>
    <row r="603">
      <c r="B603" s="308"/>
      <c r="C603" s="252"/>
      <c r="D603" s="822"/>
      <c r="F603" s="309"/>
      <c r="I603" s="302"/>
    </row>
    <row r="604">
      <c r="B604" s="308"/>
      <c r="C604" s="252"/>
      <c r="D604" s="822"/>
      <c r="F604" s="309"/>
      <c r="I604" s="302"/>
    </row>
    <row r="605">
      <c r="B605" s="308"/>
      <c r="C605" s="252"/>
      <c r="D605" s="822"/>
      <c r="F605" s="309"/>
      <c r="I605" s="302"/>
    </row>
    <row r="606">
      <c r="B606" s="308"/>
      <c r="C606" s="252"/>
      <c r="D606" s="822"/>
      <c r="F606" s="309"/>
      <c r="I606" s="302"/>
    </row>
    <row r="607">
      <c r="B607" s="308"/>
      <c r="C607" s="252"/>
      <c r="D607" s="822"/>
      <c r="F607" s="309"/>
      <c r="I607" s="302"/>
    </row>
    <row r="608">
      <c r="B608" s="308"/>
      <c r="C608" s="252"/>
      <c r="D608" s="822"/>
      <c r="F608" s="309"/>
      <c r="I608" s="302"/>
    </row>
    <row r="609">
      <c r="B609" s="308"/>
      <c r="C609" s="252"/>
      <c r="D609" s="822"/>
      <c r="F609" s="309"/>
      <c r="I609" s="302"/>
    </row>
    <row r="610">
      <c r="B610" s="308"/>
      <c r="C610" s="252"/>
      <c r="D610" s="822"/>
      <c r="F610" s="309"/>
      <c r="I610" s="302"/>
    </row>
    <row r="611">
      <c r="B611" s="308"/>
      <c r="C611" s="252"/>
      <c r="D611" s="822"/>
      <c r="F611" s="309"/>
      <c r="I611" s="302"/>
    </row>
    <row r="612">
      <c r="B612" s="308"/>
      <c r="C612" s="252"/>
      <c r="D612" s="822"/>
      <c r="F612" s="309"/>
      <c r="I612" s="302"/>
    </row>
    <row r="613">
      <c r="B613" s="308"/>
      <c r="C613" s="252"/>
      <c r="D613" s="822"/>
      <c r="F613" s="309"/>
      <c r="I613" s="302"/>
    </row>
    <row r="614">
      <c r="B614" s="308"/>
      <c r="C614" s="252"/>
      <c r="D614" s="822"/>
      <c r="F614" s="309"/>
      <c r="I614" s="302"/>
    </row>
    <row r="615">
      <c r="B615" s="308"/>
      <c r="C615" s="252"/>
      <c r="D615" s="822"/>
      <c r="F615" s="309"/>
      <c r="I615" s="302"/>
    </row>
    <row r="616">
      <c r="B616" s="308"/>
      <c r="C616" s="252"/>
      <c r="D616" s="822"/>
      <c r="F616" s="309"/>
      <c r="I616" s="302"/>
    </row>
    <row r="617">
      <c r="B617" s="308"/>
      <c r="C617" s="252"/>
      <c r="D617" s="822"/>
      <c r="F617" s="309"/>
      <c r="I617" s="302"/>
    </row>
    <row r="618">
      <c r="B618" s="308"/>
      <c r="C618" s="252"/>
      <c r="D618" s="822"/>
      <c r="F618" s="309"/>
      <c r="I618" s="302"/>
    </row>
    <row r="619">
      <c r="B619" s="308"/>
      <c r="C619" s="252"/>
      <c r="D619" s="822"/>
      <c r="F619" s="309"/>
      <c r="I619" s="302"/>
    </row>
    <row r="620">
      <c r="B620" s="308"/>
      <c r="C620" s="252"/>
      <c r="D620" s="822"/>
      <c r="F620" s="309"/>
      <c r="I620" s="302"/>
    </row>
    <row r="621">
      <c r="B621" s="308"/>
      <c r="C621" s="252"/>
      <c r="D621" s="822"/>
      <c r="F621" s="309"/>
      <c r="I621" s="302"/>
    </row>
    <row r="622">
      <c r="B622" s="308"/>
      <c r="C622" s="252"/>
      <c r="D622" s="822"/>
      <c r="F622" s="309"/>
      <c r="I622" s="302"/>
    </row>
    <row r="623">
      <c r="B623" s="308"/>
      <c r="C623" s="252"/>
      <c r="D623" s="822"/>
      <c r="F623" s="309"/>
      <c r="I623" s="302"/>
    </row>
    <row r="624">
      <c r="B624" s="308"/>
      <c r="C624" s="252"/>
      <c r="D624" s="822"/>
      <c r="F624" s="309"/>
      <c r="I624" s="302"/>
    </row>
    <row r="625">
      <c r="B625" s="308"/>
      <c r="C625" s="252"/>
      <c r="D625" s="822"/>
      <c r="F625" s="309"/>
      <c r="I625" s="302"/>
    </row>
    <row r="626">
      <c r="B626" s="308"/>
      <c r="C626" s="252"/>
      <c r="D626" s="822"/>
      <c r="F626" s="309"/>
      <c r="I626" s="302"/>
    </row>
    <row r="627">
      <c r="B627" s="308"/>
      <c r="C627" s="252"/>
      <c r="D627" s="822"/>
      <c r="F627" s="309"/>
      <c r="I627" s="302"/>
    </row>
    <row r="628">
      <c r="B628" s="308"/>
      <c r="C628" s="252"/>
      <c r="D628" s="822"/>
      <c r="F628" s="309"/>
      <c r="I628" s="302"/>
    </row>
    <row r="629">
      <c r="B629" s="308"/>
      <c r="C629" s="252"/>
      <c r="D629" s="822"/>
      <c r="F629" s="309"/>
      <c r="I629" s="302"/>
    </row>
    <row r="630">
      <c r="B630" s="308"/>
      <c r="C630" s="252"/>
      <c r="D630" s="822"/>
      <c r="F630" s="309"/>
      <c r="I630" s="302"/>
    </row>
    <row r="631">
      <c r="B631" s="308"/>
      <c r="C631" s="252"/>
      <c r="D631" s="822"/>
      <c r="F631" s="309"/>
      <c r="I631" s="302"/>
    </row>
    <row r="632">
      <c r="B632" s="308"/>
      <c r="C632" s="252"/>
      <c r="D632" s="822"/>
      <c r="F632" s="309"/>
      <c r="I632" s="302"/>
    </row>
    <row r="633">
      <c r="B633" s="308"/>
      <c r="C633" s="252"/>
      <c r="D633" s="822"/>
      <c r="F633" s="309"/>
      <c r="I633" s="302"/>
    </row>
    <row r="634">
      <c r="B634" s="308"/>
      <c r="C634" s="252"/>
      <c r="D634" s="822"/>
      <c r="F634" s="309"/>
      <c r="I634" s="302"/>
    </row>
    <row r="635">
      <c r="B635" s="308"/>
      <c r="C635" s="252"/>
      <c r="D635" s="822"/>
      <c r="F635" s="309"/>
      <c r="I635" s="302"/>
    </row>
    <row r="636">
      <c r="B636" s="308"/>
      <c r="C636" s="252"/>
      <c r="D636" s="822"/>
      <c r="F636" s="309"/>
      <c r="I636" s="302"/>
    </row>
    <row r="637">
      <c r="B637" s="308"/>
      <c r="C637" s="252"/>
      <c r="D637" s="822"/>
      <c r="F637" s="309"/>
      <c r="I637" s="302"/>
    </row>
    <row r="638">
      <c r="B638" s="308"/>
      <c r="C638" s="252"/>
      <c r="D638" s="822"/>
      <c r="F638" s="309"/>
      <c r="I638" s="302"/>
    </row>
    <row r="639">
      <c r="B639" s="308"/>
      <c r="C639" s="252"/>
      <c r="D639" s="822"/>
      <c r="F639" s="309"/>
      <c r="I639" s="302"/>
    </row>
    <row r="640">
      <c r="B640" s="308"/>
      <c r="C640" s="252"/>
      <c r="D640" s="822"/>
      <c r="F640" s="309"/>
      <c r="I640" s="302"/>
    </row>
    <row r="641">
      <c r="B641" s="308"/>
      <c r="C641" s="252"/>
      <c r="D641" s="822"/>
      <c r="F641" s="309"/>
      <c r="I641" s="302"/>
    </row>
    <row r="642">
      <c r="B642" s="308"/>
      <c r="C642" s="252"/>
      <c r="D642" s="822"/>
      <c r="F642" s="309"/>
      <c r="I642" s="302"/>
    </row>
    <row r="643">
      <c r="B643" s="308"/>
      <c r="C643" s="252"/>
      <c r="D643" s="822"/>
      <c r="F643" s="309"/>
      <c r="I643" s="302"/>
    </row>
    <row r="644">
      <c r="B644" s="308"/>
      <c r="C644" s="252"/>
      <c r="D644" s="822"/>
      <c r="F644" s="309"/>
      <c r="I644" s="302"/>
    </row>
    <row r="645">
      <c r="B645" s="308"/>
      <c r="C645" s="252"/>
      <c r="D645" s="822"/>
      <c r="F645" s="309"/>
      <c r="I645" s="302"/>
    </row>
    <row r="646">
      <c r="B646" s="308"/>
      <c r="C646" s="252"/>
      <c r="D646" s="822"/>
      <c r="F646" s="309"/>
      <c r="I646" s="302"/>
    </row>
    <row r="647">
      <c r="B647" s="308"/>
      <c r="C647" s="252"/>
      <c r="D647" s="822"/>
      <c r="F647" s="309"/>
      <c r="I647" s="302"/>
    </row>
    <row r="648">
      <c r="B648" s="308"/>
      <c r="C648" s="252"/>
      <c r="D648" s="822"/>
      <c r="F648" s="309"/>
      <c r="I648" s="302"/>
    </row>
    <row r="649">
      <c r="B649" s="308"/>
      <c r="C649" s="252"/>
      <c r="D649" s="822"/>
      <c r="F649" s="309"/>
      <c r="I649" s="302"/>
    </row>
    <row r="650">
      <c r="B650" s="308"/>
      <c r="C650" s="252"/>
      <c r="D650" s="822"/>
      <c r="F650" s="309"/>
      <c r="I650" s="302"/>
    </row>
    <row r="651">
      <c r="B651" s="308"/>
      <c r="C651" s="252"/>
      <c r="D651" s="822"/>
      <c r="F651" s="309"/>
      <c r="I651" s="302"/>
    </row>
    <row r="652">
      <c r="B652" s="308"/>
      <c r="C652" s="252"/>
      <c r="D652" s="822"/>
      <c r="F652" s="309"/>
      <c r="I652" s="302"/>
    </row>
    <row r="653">
      <c r="B653" s="308"/>
      <c r="C653" s="252"/>
      <c r="D653" s="822"/>
      <c r="F653" s="309"/>
      <c r="I653" s="302"/>
    </row>
    <row r="654">
      <c r="B654" s="308"/>
      <c r="C654" s="252"/>
      <c r="D654" s="822"/>
      <c r="F654" s="309"/>
      <c r="I654" s="302"/>
    </row>
    <row r="655">
      <c r="B655" s="308"/>
      <c r="C655" s="252"/>
      <c r="D655" s="822"/>
      <c r="F655" s="309"/>
      <c r="I655" s="302"/>
    </row>
    <row r="656">
      <c r="B656" s="308"/>
      <c r="C656" s="252"/>
      <c r="D656" s="822"/>
      <c r="F656" s="309"/>
      <c r="I656" s="302"/>
    </row>
    <row r="657">
      <c r="B657" s="308"/>
      <c r="C657" s="252"/>
      <c r="D657" s="822"/>
      <c r="F657" s="309"/>
      <c r="I657" s="302"/>
    </row>
    <row r="658">
      <c r="B658" s="308"/>
      <c r="C658" s="252"/>
      <c r="D658" s="822"/>
      <c r="F658" s="309"/>
      <c r="I658" s="302"/>
    </row>
    <row r="659">
      <c r="B659" s="308"/>
      <c r="C659" s="252"/>
      <c r="D659" s="822"/>
      <c r="F659" s="309"/>
      <c r="I659" s="302"/>
    </row>
    <row r="660">
      <c r="B660" s="308"/>
      <c r="C660" s="252"/>
      <c r="D660" s="822"/>
      <c r="F660" s="309"/>
      <c r="I660" s="302"/>
    </row>
    <row r="661">
      <c r="B661" s="308"/>
      <c r="C661" s="252"/>
      <c r="D661" s="822"/>
      <c r="F661" s="309"/>
      <c r="I661" s="302"/>
    </row>
    <row r="662">
      <c r="B662" s="308"/>
      <c r="C662" s="252"/>
      <c r="D662" s="822"/>
      <c r="F662" s="309"/>
      <c r="I662" s="302"/>
    </row>
    <row r="663">
      <c r="B663" s="308"/>
      <c r="C663" s="252"/>
      <c r="D663" s="822"/>
      <c r="F663" s="309"/>
      <c r="I663" s="302"/>
    </row>
    <row r="664">
      <c r="B664" s="308"/>
      <c r="C664" s="252"/>
      <c r="D664" s="822"/>
      <c r="F664" s="309"/>
      <c r="I664" s="302"/>
    </row>
    <row r="665">
      <c r="B665" s="308"/>
      <c r="C665" s="252"/>
      <c r="D665" s="822"/>
      <c r="F665" s="309"/>
      <c r="I665" s="302"/>
    </row>
    <row r="666">
      <c r="B666" s="308"/>
      <c r="C666" s="252"/>
      <c r="D666" s="822"/>
      <c r="F666" s="309"/>
      <c r="I666" s="302"/>
    </row>
    <row r="667">
      <c r="B667" s="308"/>
      <c r="C667" s="252"/>
      <c r="D667" s="822"/>
      <c r="F667" s="309"/>
      <c r="I667" s="302"/>
    </row>
    <row r="668">
      <c r="B668" s="308"/>
      <c r="C668" s="252"/>
      <c r="D668" s="822"/>
      <c r="F668" s="309"/>
      <c r="I668" s="302"/>
    </row>
    <row r="669">
      <c r="B669" s="308"/>
      <c r="C669" s="252"/>
      <c r="D669" s="822"/>
      <c r="F669" s="309"/>
      <c r="I669" s="302"/>
    </row>
    <row r="670">
      <c r="B670" s="308"/>
      <c r="C670" s="252"/>
      <c r="D670" s="822"/>
      <c r="F670" s="309"/>
      <c r="I670" s="302"/>
    </row>
    <row r="671">
      <c r="B671" s="308"/>
      <c r="C671" s="252"/>
      <c r="D671" s="822"/>
      <c r="F671" s="309"/>
      <c r="I671" s="302"/>
    </row>
    <row r="672">
      <c r="B672" s="308"/>
      <c r="C672" s="252"/>
      <c r="D672" s="822"/>
      <c r="F672" s="309"/>
      <c r="I672" s="302"/>
    </row>
    <row r="673">
      <c r="B673" s="308"/>
      <c r="C673" s="252"/>
      <c r="D673" s="822"/>
      <c r="F673" s="309"/>
      <c r="I673" s="302"/>
    </row>
    <row r="674">
      <c r="B674" s="308"/>
      <c r="C674" s="252"/>
      <c r="D674" s="822"/>
      <c r="F674" s="309"/>
      <c r="I674" s="302"/>
    </row>
    <row r="675">
      <c r="B675" s="308"/>
      <c r="C675" s="252"/>
      <c r="D675" s="822"/>
      <c r="F675" s="309"/>
      <c r="I675" s="302"/>
    </row>
    <row r="676">
      <c r="B676" s="308"/>
      <c r="C676" s="252"/>
      <c r="D676" s="822"/>
      <c r="F676" s="309"/>
      <c r="I676" s="302"/>
    </row>
    <row r="677">
      <c r="B677" s="308"/>
      <c r="C677" s="252"/>
      <c r="D677" s="822"/>
      <c r="F677" s="309"/>
      <c r="I677" s="302"/>
    </row>
    <row r="678">
      <c r="B678" s="308"/>
      <c r="C678" s="252"/>
      <c r="D678" s="822"/>
      <c r="F678" s="309"/>
      <c r="I678" s="302"/>
    </row>
    <row r="679">
      <c r="B679" s="308"/>
      <c r="C679" s="252"/>
      <c r="D679" s="822"/>
      <c r="F679" s="309"/>
      <c r="I679" s="302"/>
    </row>
    <row r="680">
      <c r="B680" s="308"/>
      <c r="C680" s="252"/>
      <c r="D680" s="822"/>
      <c r="F680" s="309"/>
      <c r="I680" s="302"/>
    </row>
    <row r="681">
      <c r="B681" s="308"/>
      <c r="C681" s="252"/>
      <c r="D681" s="822"/>
      <c r="F681" s="309"/>
      <c r="I681" s="302"/>
    </row>
    <row r="682">
      <c r="B682" s="308"/>
      <c r="C682" s="252"/>
      <c r="D682" s="822"/>
      <c r="F682" s="309"/>
      <c r="I682" s="302"/>
    </row>
    <row r="683">
      <c r="B683" s="308"/>
      <c r="C683" s="252"/>
      <c r="D683" s="822"/>
      <c r="F683" s="309"/>
      <c r="I683" s="302"/>
    </row>
    <row r="684">
      <c r="B684" s="308"/>
      <c r="C684" s="252"/>
      <c r="D684" s="822"/>
      <c r="F684" s="309"/>
      <c r="I684" s="302"/>
    </row>
    <row r="685">
      <c r="B685" s="308"/>
      <c r="C685" s="252"/>
      <c r="D685" s="822"/>
      <c r="F685" s="309"/>
      <c r="I685" s="302"/>
    </row>
    <row r="686">
      <c r="B686" s="308"/>
      <c r="C686" s="252"/>
      <c r="D686" s="822"/>
      <c r="F686" s="309"/>
      <c r="I686" s="302"/>
    </row>
    <row r="687">
      <c r="B687" s="308"/>
      <c r="C687" s="252"/>
      <c r="D687" s="822"/>
      <c r="F687" s="309"/>
      <c r="I687" s="302"/>
    </row>
    <row r="688">
      <c r="B688" s="308"/>
      <c r="C688" s="252"/>
      <c r="D688" s="822"/>
      <c r="F688" s="309"/>
      <c r="I688" s="302"/>
    </row>
    <row r="689">
      <c r="B689" s="308"/>
      <c r="C689" s="252"/>
      <c r="D689" s="822"/>
      <c r="F689" s="309"/>
      <c r="I689" s="302"/>
    </row>
    <row r="690">
      <c r="B690" s="308"/>
      <c r="C690" s="252"/>
      <c r="D690" s="822"/>
      <c r="F690" s="309"/>
      <c r="I690" s="302"/>
    </row>
    <row r="691">
      <c r="B691" s="308"/>
      <c r="C691" s="252"/>
      <c r="D691" s="822"/>
      <c r="F691" s="309"/>
      <c r="I691" s="302"/>
    </row>
    <row r="692">
      <c r="B692" s="308"/>
      <c r="C692" s="252"/>
      <c r="D692" s="822"/>
      <c r="F692" s="309"/>
      <c r="I692" s="302"/>
    </row>
    <row r="693">
      <c r="B693" s="308"/>
      <c r="C693" s="252"/>
      <c r="D693" s="822"/>
      <c r="F693" s="309"/>
      <c r="I693" s="302"/>
    </row>
    <row r="694">
      <c r="B694" s="308"/>
      <c r="C694" s="252"/>
      <c r="D694" s="822"/>
      <c r="F694" s="309"/>
      <c r="I694" s="302"/>
    </row>
    <row r="695">
      <c r="B695" s="308"/>
      <c r="C695" s="252"/>
      <c r="D695" s="822"/>
      <c r="F695" s="309"/>
      <c r="I695" s="302"/>
    </row>
    <row r="696">
      <c r="B696" s="308"/>
      <c r="C696" s="252"/>
      <c r="D696" s="822"/>
      <c r="F696" s="309"/>
      <c r="I696" s="302"/>
    </row>
    <row r="697">
      <c r="B697" s="308"/>
      <c r="C697" s="252"/>
      <c r="D697" s="822"/>
      <c r="F697" s="309"/>
      <c r="I697" s="302"/>
    </row>
    <row r="698">
      <c r="B698" s="308"/>
      <c r="C698" s="252"/>
      <c r="D698" s="822"/>
      <c r="F698" s="309"/>
      <c r="I698" s="302"/>
    </row>
    <row r="699">
      <c r="B699" s="308"/>
      <c r="C699" s="252"/>
      <c r="D699" s="822"/>
      <c r="F699" s="309"/>
      <c r="I699" s="302"/>
    </row>
    <row r="700">
      <c r="B700" s="308"/>
      <c r="C700" s="252"/>
      <c r="D700" s="822"/>
      <c r="F700" s="309"/>
      <c r="I700" s="302"/>
    </row>
    <row r="701">
      <c r="B701" s="308"/>
      <c r="C701" s="252"/>
      <c r="D701" s="822"/>
      <c r="F701" s="309"/>
      <c r="I701" s="302"/>
    </row>
    <row r="702">
      <c r="B702" s="308"/>
      <c r="C702" s="252"/>
      <c r="D702" s="822"/>
      <c r="F702" s="309"/>
      <c r="I702" s="302"/>
    </row>
    <row r="703">
      <c r="B703" s="308"/>
      <c r="C703" s="252"/>
      <c r="D703" s="822"/>
      <c r="F703" s="309"/>
      <c r="I703" s="302"/>
    </row>
    <row r="704">
      <c r="B704" s="308"/>
      <c r="C704" s="252"/>
      <c r="D704" s="822"/>
      <c r="F704" s="309"/>
      <c r="I704" s="302"/>
    </row>
    <row r="705">
      <c r="B705" s="308"/>
      <c r="C705" s="252"/>
      <c r="D705" s="822"/>
      <c r="F705" s="309"/>
      <c r="I705" s="302"/>
    </row>
    <row r="706">
      <c r="B706" s="308"/>
      <c r="C706" s="252"/>
      <c r="D706" s="822"/>
      <c r="F706" s="309"/>
      <c r="I706" s="302"/>
    </row>
    <row r="707">
      <c r="B707" s="308"/>
      <c r="C707" s="252"/>
      <c r="D707" s="822"/>
      <c r="F707" s="309"/>
      <c r="I707" s="302"/>
    </row>
    <row r="708">
      <c r="B708" s="308"/>
      <c r="C708" s="252"/>
      <c r="D708" s="822"/>
      <c r="F708" s="309"/>
      <c r="I708" s="302"/>
    </row>
    <row r="709">
      <c r="B709" s="308"/>
      <c r="C709" s="252"/>
      <c r="D709" s="822"/>
      <c r="F709" s="309"/>
      <c r="I709" s="302"/>
    </row>
    <row r="710">
      <c r="B710" s="308"/>
      <c r="C710" s="252"/>
      <c r="D710" s="822"/>
      <c r="F710" s="309"/>
      <c r="I710" s="302"/>
    </row>
    <row r="711">
      <c r="B711" s="308"/>
      <c r="C711" s="252"/>
      <c r="D711" s="822"/>
      <c r="F711" s="309"/>
      <c r="I711" s="302"/>
    </row>
    <row r="712">
      <c r="B712" s="308"/>
      <c r="C712" s="252"/>
      <c r="D712" s="822"/>
      <c r="F712" s="309"/>
      <c r="I712" s="302"/>
    </row>
    <row r="713">
      <c r="B713" s="308"/>
      <c r="C713" s="252"/>
      <c r="D713" s="822"/>
      <c r="F713" s="309"/>
      <c r="I713" s="302"/>
    </row>
    <row r="714">
      <c r="B714" s="308"/>
      <c r="C714" s="252"/>
      <c r="D714" s="822"/>
      <c r="F714" s="309"/>
      <c r="I714" s="302"/>
    </row>
    <row r="715">
      <c r="B715" s="308"/>
      <c r="C715" s="252"/>
      <c r="D715" s="822"/>
      <c r="F715" s="309"/>
      <c r="I715" s="302"/>
    </row>
    <row r="716">
      <c r="B716" s="308"/>
      <c r="C716" s="252"/>
      <c r="D716" s="822"/>
      <c r="F716" s="309"/>
      <c r="I716" s="302"/>
    </row>
    <row r="717">
      <c r="B717" s="308"/>
      <c r="C717" s="252"/>
      <c r="D717" s="822"/>
      <c r="F717" s="309"/>
      <c r="I717" s="302"/>
    </row>
    <row r="718">
      <c r="B718" s="308"/>
      <c r="C718" s="252"/>
      <c r="D718" s="822"/>
      <c r="F718" s="309"/>
      <c r="I718" s="302"/>
    </row>
    <row r="719">
      <c r="B719" s="308"/>
      <c r="C719" s="252"/>
      <c r="D719" s="822"/>
      <c r="F719" s="309"/>
      <c r="I719" s="302"/>
    </row>
    <row r="720">
      <c r="B720" s="308"/>
      <c r="C720" s="252"/>
      <c r="D720" s="822"/>
      <c r="F720" s="309"/>
      <c r="I720" s="302"/>
    </row>
    <row r="721">
      <c r="B721" s="308"/>
      <c r="C721" s="252"/>
      <c r="D721" s="822"/>
      <c r="F721" s="309"/>
      <c r="I721" s="302"/>
    </row>
    <row r="722">
      <c r="B722" s="308"/>
      <c r="C722" s="252"/>
      <c r="D722" s="822"/>
      <c r="F722" s="309"/>
      <c r="I722" s="302"/>
    </row>
    <row r="723">
      <c r="B723" s="308"/>
      <c r="C723" s="252"/>
      <c r="D723" s="822"/>
      <c r="F723" s="309"/>
      <c r="I723" s="302"/>
    </row>
    <row r="724">
      <c r="B724" s="308"/>
      <c r="C724" s="252"/>
      <c r="D724" s="822"/>
      <c r="F724" s="309"/>
      <c r="I724" s="302"/>
    </row>
    <row r="725">
      <c r="B725" s="308"/>
      <c r="C725" s="252"/>
      <c r="D725" s="822"/>
      <c r="F725" s="309"/>
      <c r="I725" s="302"/>
    </row>
    <row r="726">
      <c r="B726" s="308"/>
      <c r="C726" s="252"/>
      <c r="D726" s="822"/>
      <c r="F726" s="309"/>
      <c r="I726" s="302"/>
    </row>
    <row r="727">
      <c r="B727" s="308"/>
      <c r="C727" s="252"/>
      <c r="D727" s="822"/>
      <c r="F727" s="309"/>
      <c r="I727" s="302"/>
    </row>
    <row r="728">
      <c r="B728" s="308"/>
      <c r="C728" s="252"/>
      <c r="D728" s="822"/>
      <c r="F728" s="309"/>
      <c r="I728" s="302"/>
    </row>
    <row r="729">
      <c r="B729" s="308"/>
      <c r="C729" s="252"/>
      <c r="D729" s="822"/>
      <c r="F729" s="309"/>
      <c r="I729" s="302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101"/>
    <mergeCell ref="A102:A115"/>
    <mergeCell ref="A116:A133"/>
    <mergeCell ref="A134:A148"/>
    <mergeCell ref="A149:A163"/>
    <mergeCell ref="A164:A173"/>
    <mergeCell ref="A174:A188"/>
    <mergeCell ref="A189:A204"/>
    <mergeCell ref="A205:A219"/>
    <mergeCell ref="A220:A231"/>
    <mergeCell ref="A232:A242"/>
    <mergeCell ref="A243:A256"/>
    <mergeCell ref="A257:A270"/>
    <mergeCell ref="A364:A376"/>
    <mergeCell ref="A377:A388"/>
    <mergeCell ref="A389:A400"/>
    <mergeCell ref="A401:A410"/>
    <mergeCell ref="A411:A420"/>
    <mergeCell ref="A271:A283"/>
    <mergeCell ref="A284:A297"/>
    <mergeCell ref="A298:A312"/>
    <mergeCell ref="A313:A323"/>
    <mergeCell ref="A324:A334"/>
    <mergeCell ref="A335:A352"/>
    <mergeCell ref="A353:A3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3" t="s">
        <v>2782</v>
      </c>
    </row>
    <row r="2">
      <c r="A2" s="816" t="s">
        <v>212</v>
      </c>
      <c r="B2" s="247"/>
      <c r="C2" s="240"/>
      <c r="D2" s="824"/>
      <c r="E2" s="242"/>
      <c r="F2" s="243"/>
      <c r="H2" s="244"/>
      <c r="I2" s="307"/>
    </row>
    <row r="3">
      <c r="A3" s="265"/>
      <c r="B3" s="268"/>
      <c r="C3" s="248"/>
      <c r="D3" s="331"/>
      <c r="F3" s="250">
        <v>250.0</v>
      </c>
      <c r="G3" s="2" t="s">
        <v>97</v>
      </c>
      <c r="I3" s="251"/>
    </row>
    <row r="4">
      <c r="A4" s="265"/>
      <c r="B4" s="247">
        <v>2866.04</v>
      </c>
      <c r="C4" s="252"/>
      <c r="D4" s="822"/>
      <c r="F4" s="250"/>
      <c r="G4" s="2" t="s">
        <v>82</v>
      </c>
      <c r="I4" s="251"/>
    </row>
    <row r="5">
      <c r="A5" s="265"/>
      <c r="B5" s="247"/>
      <c r="C5" s="248"/>
      <c r="D5" s="331"/>
      <c r="F5" s="250">
        <v>1500.0</v>
      </c>
      <c r="G5" s="2" t="s">
        <v>3177</v>
      </c>
      <c r="I5" s="251"/>
    </row>
    <row r="6">
      <c r="A6" s="265"/>
      <c r="B6" s="247"/>
      <c r="C6" s="252"/>
      <c r="D6" s="822"/>
      <c r="F6" s="250">
        <v>440.0</v>
      </c>
      <c r="G6" s="2" t="s">
        <v>227</v>
      </c>
      <c r="H6" s="838"/>
      <c r="I6" s="251"/>
    </row>
    <row r="7">
      <c r="A7" s="265"/>
      <c r="B7" s="247"/>
      <c r="C7" s="252"/>
      <c r="D7" s="822"/>
      <c r="F7" s="250">
        <v>1979.0</v>
      </c>
      <c r="G7" s="2" t="s">
        <v>97</v>
      </c>
      <c r="I7" s="251"/>
    </row>
    <row r="8">
      <c r="A8" s="265"/>
      <c r="B8" s="268"/>
      <c r="C8" s="252"/>
      <c r="D8" s="822"/>
      <c r="F8" s="250">
        <v>600.0</v>
      </c>
      <c r="G8" s="2" t="s">
        <v>3178</v>
      </c>
      <c r="I8" s="251"/>
    </row>
    <row r="9">
      <c r="A9" s="265"/>
      <c r="B9" s="268"/>
      <c r="C9" s="252"/>
      <c r="D9" s="822"/>
      <c r="F9" s="250">
        <v>200.0</v>
      </c>
      <c r="G9" s="2" t="s">
        <v>1735</v>
      </c>
      <c r="I9" s="251"/>
    </row>
    <row r="10">
      <c r="A10" s="265"/>
      <c r="B10" s="268"/>
      <c r="C10" s="252"/>
      <c r="D10" s="822"/>
      <c r="F10" s="250"/>
      <c r="I10" s="251"/>
    </row>
    <row r="11">
      <c r="A11" s="270"/>
      <c r="B11" s="271"/>
      <c r="C11" s="272"/>
      <c r="D11" s="823"/>
      <c r="E11" s="18"/>
      <c r="F11" s="274"/>
      <c r="G11" s="18"/>
      <c r="H11" s="18"/>
      <c r="I11" s="261"/>
    </row>
    <row r="12">
      <c r="A12" s="816" t="s">
        <v>216</v>
      </c>
      <c r="B12" s="247"/>
      <c r="C12" s="263"/>
      <c r="D12" s="821"/>
      <c r="E12" s="242"/>
      <c r="F12" s="243">
        <v>600.0</v>
      </c>
      <c r="G12" s="244" t="s">
        <v>228</v>
      </c>
      <c r="H12" s="244"/>
      <c r="I12" s="307"/>
    </row>
    <row r="13">
      <c r="A13" s="265"/>
      <c r="B13" s="247"/>
      <c r="C13" s="248"/>
      <c r="D13" s="822"/>
      <c r="F13" s="250">
        <v>6750.0</v>
      </c>
      <c r="G13" s="2" t="s">
        <v>87</v>
      </c>
      <c r="I13" s="251"/>
    </row>
    <row r="14">
      <c r="A14" s="265"/>
      <c r="B14" s="247">
        <v>10187.0</v>
      </c>
      <c r="C14" s="248"/>
      <c r="D14" s="331"/>
      <c r="F14" s="250"/>
      <c r="G14" s="2" t="s">
        <v>73</v>
      </c>
      <c r="I14" s="251"/>
    </row>
    <row r="15">
      <c r="A15" s="265"/>
      <c r="B15" s="247">
        <v>9054.0</v>
      </c>
      <c r="C15" s="252"/>
      <c r="D15" s="331"/>
      <c r="F15" s="250"/>
      <c r="G15" s="2" t="s">
        <v>74</v>
      </c>
      <c r="I15" s="251"/>
    </row>
    <row r="16">
      <c r="A16" s="265"/>
      <c r="B16" s="268"/>
      <c r="C16" s="252"/>
      <c r="D16" s="331"/>
      <c r="F16" s="250">
        <v>3024.22</v>
      </c>
      <c r="G16" s="2" t="s">
        <v>103</v>
      </c>
      <c r="I16" s="251"/>
    </row>
    <row r="17">
      <c r="A17" s="265"/>
      <c r="B17" s="247"/>
      <c r="C17" s="248">
        <v>23946.05</v>
      </c>
      <c r="D17" s="331"/>
      <c r="F17" s="250"/>
      <c r="G17" s="2" t="s">
        <v>84</v>
      </c>
      <c r="I17" s="251"/>
    </row>
    <row r="18">
      <c r="A18" s="265"/>
      <c r="B18" s="247"/>
      <c r="C18" s="252"/>
      <c r="D18" s="822"/>
      <c r="F18" s="250">
        <v>5400.0</v>
      </c>
      <c r="G18" s="2" t="s">
        <v>2669</v>
      </c>
      <c r="I18" s="251"/>
    </row>
    <row r="19">
      <c r="A19" s="265"/>
      <c r="B19" s="247"/>
      <c r="C19" s="252"/>
      <c r="D19" s="331"/>
      <c r="F19" s="250"/>
      <c r="I19" s="251"/>
    </row>
    <row r="20">
      <c r="A20" s="265"/>
      <c r="B20" s="247"/>
      <c r="C20" s="252"/>
      <c r="D20" s="822"/>
      <c r="F20" s="250"/>
      <c r="G20" s="839" t="s">
        <v>3179</v>
      </c>
      <c r="I20" s="251"/>
    </row>
    <row r="21">
      <c r="A21" s="265"/>
      <c r="B21" s="278"/>
      <c r="C21" s="252"/>
      <c r="D21" s="822"/>
      <c r="F21" s="250"/>
      <c r="G21" s="839" t="s">
        <v>3180</v>
      </c>
      <c r="I21" s="251"/>
    </row>
    <row r="22">
      <c r="A22" s="265"/>
      <c r="B22" s="278"/>
      <c r="C22" s="252"/>
      <c r="D22" s="822"/>
      <c r="F22" s="250"/>
      <c r="I22" s="251"/>
    </row>
    <row r="23">
      <c r="A23" s="265"/>
      <c r="B23" s="278"/>
      <c r="C23" s="252"/>
      <c r="D23" s="822"/>
      <c r="F23" s="250"/>
      <c r="I23" s="251"/>
    </row>
    <row r="24">
      <c r="A24" s="270"/>
      <c r="B24" s="271"/>
      <c r="C24" s="272"/>
      <c r="D24" s="823"/>
      <c r="E24" s="18"/>
      <c r="F24" s="274"/>
      <c r="G24" s="18"/>
      <c r="H24" s="18"/>
      <c r="I24" s="261"/>
    </row>
    <row r="25">
      <c r="A25" s="262" t="s">
        <v>222</v>
      </c>
      <c r="B25" s="239"/>
      <c r="C25" s="263"/>
      <c r="D25" s="824"/>
      <c r="E25" s="242"/>
      <c r="F25" s="243">
        <v>455.0</v>
      </c>
      <c r="G25" s="244" t="s">
        <v>97</v>
      </c>
      <c r="H25" s="244"/>
      <c r="I25" s="307"/>
    </row>
    <row r="26">
      <c r="A26" s="265"/>
      <c r="B26" s="247">
        <v>2642.74</v>
      </c>
      <c r="C26" s="248"/>
      <c r="D26" s="822"/>
      <c r="F26" s="250"/>
      <c r="G26" s="2" t="s">
        <v>82</v>
      </c>
      <c r="I26" s="251"/>
    </row>
    <row r="27">
      <c r="A27" s="265"/>
      <c r="B27" s="268"/>
      <c r="C27" s="252"/>
      <c r="D27" s="822"/>
      <c r="F27" s="250">
        <v>8800.0</v>
      </c>
      <c r="G27" s="2" t="s">
        <v>1750</v>
      </c>
      <c r="I27" s="251"/>
    </row>
    <row r="28">
      <c r="A28" s="265"/>
      <c r="B28" s="247"/>
      <c r="C28" s="252"/>
      <c r="D28" s="822"/>
      <c r="F28" s="250">
        <v>450.0</v>
      </c>
      <c r="G28" s="2" t="s">
        <v>228</v>
      </c>
      <c r="I28" s="251"/>
    </row>
    <row r="29">
      <c r="A29" s="265"/>
      <c r="B29" s="268"/>
      <c r="C29" s="248"/>
      <c r="D29" s="822"/>
      <c r="F29" s="250">
        <v>500.0</v>
      </c>
      <c r="G29" s="2" t="s">
        <v>3118</v>
      </c>
      <c r="I29" s="251"/>
    </row>
    <row r="30">
      <c r="A30" s="265"/>
      <c r="B30" s="247"/>
      <c r="C30" s="252"/>
      <c r="D30" s="822"/>
      <c r="F30" s="250"/>
      <c r="I30" s="251"/>
    </row>
    <row r="31">
      <c r="A31" s="265"/>
      <c r="B31" s="268"/>
      <c r="C31" s="252"/>
      <c r="D31" s="822"/>
      <c r="F31" s="250"/>
      <c r="I31" s="251"/>
    </row>
    <row r="32">
      <c r="A32" s="265"/>
      <c r="B32" s="268"/>
      <c r="C32" s="252"/>
      <c r="D32" s="331"/>
      <c r="F32" s="250"/>
      <c r="I32" s="251"/>
    </row>
    <row r="33">
      <c r="A33" s="265"/>
      <c r="B33" s="268"/>
      <c r="C33" s="252"/>
      <c r="D33" s="822"/>
      <c r="F33" s="250"/>
      <c r="I33" s="251"/>
    </row>
    <row r="34">
      <c r="A34" s="265"/>
      <c r="B34" s="268"/>
      <c r="C34" s="252"/>
      <c r="D34" s="822"/>
      <c r="F34" s="250"/>
      <c r="I34" s="251"/>
    </row>
    <row r="35">
      <c r="A35" s="265"/>
      <c r="B35" s="268"/>
      <c r="C35" s="252"/>
      <c r="D35" s="822"/>
      <c r="F35" s="250"/>
      <c r="I35" s="251"/>
    </row>
    <row r="36">
      <c r="A36" s="265"/>
      <c r="B36" s="268"/>
      <c r="C36" s="252"/>
      <c r="D36" s="822"/>
      <c r="F36" s="250"/>
      <c r="I36" s="251"/>
    </row>
    <row r="37">
      <c r="A37" s="270"/>
      <c r="B37" s="271"/>
      <c r="C37" s="272"/>
      <c r="D37" s="823"/>
      <c r="E37" s="18"/>
      <c r="F37" s="274"/>
      <c r="G37" s="18"/>
      <c r="H37" s="18"/>
      <c r="I37" s="261"/>
    </row>
    <row r="38">
      <c r="A38" s="262" t="s">
        <v>223</v>
      </c>
      <c r="B38" s="239"/>
      <c r="C38" s="240"/>
      <c r="D38" s="824"/>
      <c r="E38" s="242"/>
      <c r="F38" s="243">
        <v>500.0</v>
      </c>
      <c r="G38" s="244" t="s">
        <v>3118</v>
      </c>
      <c r="H38" s="244"/>
      <c r="I38" s="307"/>
    </row>
    <row r="39">
      <c r="A39" s="265"/>
      <c r="B39" s="247"/>
      <c r="C39" s="252"/>
      <c r="D39" s="822"/>
      <c r="F39" s="250">
        <v>3000.0</v>
      </c>
      <c r="G39" s="2" t="s">
        <v>453</v>
      </c>
      <c r="I39" s="251"/>
    </row>
    <row r="40">
      <c r="A40" s="265"/>
      <c r="B40" s="268"/>
      <c r="C40" s="248"/>
      <c r="D40" s="822"/>
      <c r="F40" s="250">
        <v>3000.0</v>
      </c>
      <c r="G40" s="2" t="s">
        <v>3178</v>
      </c>
      <c r="I40" s="251"/>
    </row>
    <row r="41">
      <c r="A41" s="265"/>
      <c r="B41" s="268"/>
      <c r="C41" s="252"/>
      <c r="D41" s="822"/>
      <c r="F41" s="250"/>
      <c r="I41" s="251"/>
    </row>
    <row r="42">
      <c r="A42" s="265"/>
      <c r="B42" s="247"/>
      <c r="C42" s="252"/>
      <c r="D42" s="331"/>
      <c r="F42" s="250"/>
      <c r="I42" s="251"/>
    </row>
    <row r="43">
      <c r="A43" s="265"/>
      <c r="B43" s="247"/>
      <c r="C43" s="252"/>
      <c r="D43" s="822"/>
      <c r="F43" s="250"/>
      <c r="I43" s="251"/>
    </row>
    <row r="44">
      <c r="A44" s="265"/>
      <c r="B44" s="268"/>
      <c r="C44" s="248"/>
      <c r="D44" s="822"/>
      <c r="F44" s="250"/>
      <c r="I44" s="251"/>
    </row>
    <row r="45">
      <c r="A45" s="265"/>
      <c r="B45" s="268"/>
      <c r="C45" s="252"/>
      <c r="D45" s="822"/>
      <c r="F45" s="250"/>
      <c r="I45" s="251"/>
    </row>
    <row r="46">
      <c r="A46" s="265"/>
      <c r="B46" s="268"/>
      <c r="C46" s="248"/>
      <c r="D46" s="822"/>
      <c r="F46" s="250"/>
      <c r="I46" s="251"/>
    </row>
    <row r="47">
      <c r="A47" s="265"/>
      <c r="B47" s="278"/>
      <c r="C47" s="252"/>
      <c r="D47" s="822"/>
      <c r="F47" s="250"/>
      <c r="I47" s="251"/>
    </row>
    <row r="48">
      <c r="A48" s="265"/>
      <c r="B48" s="278"/>
      <c r="C48" s="252"/>
      <c r="D48" s="822"/>
      <c r="F48" s="250"/>
      <c r="I48" s="251"/>
    </row>
    <row r="49">
      <c r="A49" s="270"/>
      <c r="B49" s="271"/>
      <c r="C49" s="272"/>
      <c r="D49" s="823"/>
      <c r="E49" s="18"/>
      <c r="F49" s="259"/>
      <c r="G49" s="293"/>
      <c r="H49" s="18"/>
      <c r="I49" s="261"/>
    </row>
    <row r="50">
      <c r="A50" s="437"/>
      <c r="B50" s="278"/>
      <c r="C50" s="252"/>
      <c r="D50" s="822"/>
      <c r="F50" s="250"/>
      <c r="I50" s="251"/>
    </row>
    <row r="51">
      <c r="A51" s="437"/>
      <c r="B51" s="278"/>
      <c r="C51" s="252"/>
      <c r="D51" s="822"/>
      <c r="F51" s="250"/>
      <c r="I51" s="251"/>
    </row>
    <row r="52">
      <c r="A52" s="262" t="s">
        <v>224</v>
      </c>
      <c r="B52" s="306"/>
      <c r="C52" s="263"/>
      <c r="D52" s="824"/>
      <c r="E52" s="242"/>
      <c r="F52" s="243">
        <v>2000.0</v>
      </c>
      <c r="G52" s="244" t="s">
        <v>101</v>
      </c>
      <c r="H52" s="244"/>
      <c r="I52" s="307"/>
    </row>
    <row r="53">
      <c r="A53" s="265"/>
      <c r="B53" s="268"/>
      <c r="C53" s="252"/>
      <c r="D53" s="822"/>
      <c r="F53" s="250">
        <f>500+150</f>
        <v>650</v>
      </c>
      <c r="G53" s="2" t="s">
        <v>3118</v>
      </c>
      <c r="I53" s="251"/>
    </row>
    <row r="54">
      <c r="A54" s="265"/>
      <c r="B54" s="247"/>
      <c r="C54" s="248"/>
      <c r="D54" s="331"/>
      <c r="F54" s="250">
        <v>80.0</v>
      </c>
      <c r="G54" s="2" t="s">
        <v>406</v>
      </c>
      <c r="I54" s="251"/>
    </row>
    <row r="55">
      <c r="A55" s="265"/>
      <c r="B55" s="247">
        <v>13612.5</v>
      </c>
      <c r="C55" s="252"/>
      <c r="D55" s="822"/>
      <c r="F55" s="250"/>
      <c r="G55" s="2" t="s">
        <v>235</v>
      </c>
      <c r="I55" s="251"/>
    </row>
    <row r="56">
      <c r="A56" s="265"/>
      <c r="B56" s="247"/>
      <c r="C56" s="252"/>
      <c r="D56" s="331"/>
      <c r="F56" s="250">
        <v>10020.0</v>
      </c>
      <c r="G56" s="2" t="s">
        <v>3181</v>
      </c>
      <c r="I56" s="251"/>
    </row>
    <row r="57">
      <c r="A57" s="265"/>
      <c r="B57" s="247"/>
      <c r="C57" s="252"/>
      <c r="D57" s="822"/>
      <c r="F57" s="250"/>
      <c r="I57" s="251"/>
    </row>
    <row r="58">
      <c r="A58" s="265"/>
      <c r="B58" s="247"/>
      <c r="C58" s="248"/>
      <c r="D58" s="822"/>
      <c r="F58" s="250"/>
      <c r="I58" s="251"/>
    </row>
    <row r="59">
      <c r="A59" s="265"/>
      <c r="B59" s="268"/>
      <c r="C59" s="252"/>
      <c r="D59" s="822"/>
      <c r="F59" s="250"/>
      <c r="I59" s="251"/>
    </row>
    <row r="60">
      <c r="A60" s="265"/>
      <c r="B60" s="268"/>
      <c r="C60" s="252"/>
      <c r="D60" s="822"/>
      <c r="F60" s="250"/>
      <c r="I60" s="251"/>
    </row>
    <row r="61">
      <c r="A61" s="270"/>
      <c r="B61" s="271"/>
      <c r="C61" s="272"/>
      <c r="D61" s="823"/>
      <c r="E61" s="18"/>
      <c r="F61" s="274"/>
      <c r="G61" s="18"/>
      <c r="H61" s="18"/>
      <c r="I61" s="261"/>
    </row>
    <row r="62">
      <c r="A62" s="262" t="s">
        <v>3182</v>
      </c>
      <c r="B62" s="306"/>
      <c r="C62" s="263">
        <v>35147.6</v>
      </c>
      <c r="D62" s="824"/>
      <c r="E62" s="242"/>
      <c r="F62" s="243"/>
      <c r="G62" s="244" t="s">
        <v>2637</v>
      </c>
      <c r="H62" s="244"/>
      <c r="I62" s="307"/>
    </row>
    <row r="63">
      <c r="A63" s="265"/>
      <c r="B63" s="247"/>
      <c r="C63" s="252"/>
      <c r="D63" s="822"/>
      <c r="F63" s="250">
        <v>7200.0</v>
      </c>
      <c r="G63" s="2" t="s">
        <v>64</v>
      </c>
      <c r="I63" s="251"/>
    </row>
    <row r="64">
      <c r="A64" s="265"/>
      <c r="B64" s="247"/>
      <c r="C64" s="252"/>
      <c r="D64" s="822"/>
      <c r="F64" s="250">
        <v>4980.0</v>
      </c>
      <c r="G64" s="2" t="s">
        <v>3183</v>
      </c>
      <c r="I64" s="251"/>
    </row>
    <row r="65">
      <c r="A65" s="265"/>
      <c r="B65" s="247"/>
      <c r="C65" s="252"/>
      <c r="D65" s="822"/>
      <c r="F65" s="250">
        <v>4170.0</v>
      </c>
      <c r="G65" s="2" t="s">
        <v>2638</v>
      </c>
      <c r="I65" s="251"/>
    </row>
    <row r="66">
      <c r="A66" s="265"/>
      <c r="B66" s="247"/>
      <c r="C66" s="248"/>
      <c r="D66" s="822"/>
      <c r="F66" s="250">
        <v>1490.0</v>
      </c>
      <c r="G66" s="2" t="s">
        <v>2348</v>
      </c>
      <c r="I66" s="251"/>
    </row>
    <row r="67">
      <c r="A67" s="265"/>
      <c r="B67" s="247"/>
      <c r="C67" s="252"/>
      <c r="D67" s="822"/>
      <c r="F67" s="250">
        <v>500.0</v>
      </c>
      <c r="G67" s="2" t="s">
        <v>3118</v>
      </c>
      <c r="I67" s="251"/>
    </row>
    <row r="68">
      <c r="A68" s="265"/>
      <c r="B68" s="247">
        <v>2099.0</v>
      </c>
      <c r="C68" s="252"/>
      <c r="D68" s="822"/>
      <c r="F68" s="250"/>
      <c r="G68" s="2" t="s">
        <v>2649</v>
      </c>
      <c r="I68" s="251"/>
    </row>
    <row r="69">
      <c r="A69" s="265"/>
      <c r="B69" s="247"/>
      <c r="C69" s="252"/>
      <c r="D69" s="822"/>
      <c r="F69" s="250">
        <v>400.0</v>
      </c>
      <c r="G69" s="2" t="s">
        <v>228</v>
      </c>
      <c r="I69" s="251"/>
    </row>
    <row r="70">
      <c r="A70" s="265"/>
      <c r="B70" s="268"/>
      <c r="C70" s="248"/>
      <c r="D70" s="822"/>
      <c r="F70" s="250">
        <v>215.0</v>
      </c>
      <c r="G70" s="2" t="s">
        <v>3184</v>
      </c>
      <c r="I70" s="251"/>
    </row>
    <row r="71">
      <c r="A71" s="265"/>
      <c r="B71" s="268"/>
      <c r="C71" s="248"/>
      <c r="D71" s="331"/>
      <c r="F71" s="250">
        <v>80.0</v>
      </c>
      <c r="G71" s="2" t="s">
        <v>1735</v>
      </c>
      <c r="I71" s="251"/>
    </row>
    <row r="72">
      <c r="A72" s="265"/>
      <c r="B72" s="278"/>
      <c r="C72" s="252"/>
      <c r="D72" s="822"/>
      <c r="F72" s="282"/>
      <c r="I72" s="251"/>
    </row>
    <row r="73">
      <c r="A73" s="270"/>
      <c r="B73" s="271"/>
      <c r="C73" s="272"/>
      <c r="D73" s="823"/>
      <c r="E73" s="18"/>
      <c r="F73" s="274"/>
      <c r="G73" s="18"/>
      <c r="H73" s="18"/>
      <c r="I73" s="261"/>
    </row>
    <row r="74">
      <c r="A74" s="262" t="s">
        <v>237</v>
      </c>
      <c r="B74" s="239">
        <v>1398.35</v>
      </c>
      <c r="C74" s="263"/>
      <c r="D74" s="824"/>
      <c r="E74" s="242"/>
      <c r="F74" s="243"/>
      <c r="G74" s="244" t="s">
        <v>82</v>
      </c>
      <c r="H74" s="244"/>
      <c r="I74" s="307"/>
    </row>
    <row r="75">
      <c r="A75" s="265"/>
      <c r="B75" s="268"/>
      <c r="C75" s="248"/>
      <c r="D75" s="822"/>
      <c r="F75" s="250">
        <f>595+950</f>
        <v>1545</v>
      </c>
      <c r="G75" s="2" t="s">
        <v>97</v>
      </c>
      <c r="I75" s="251"/>
    </row>
    <row r="76">
      <c r="A76" s="265"/>
      <c r="B76" s="247"/>
      <c r="C76" s="252"/>
      <c r="D76" s="822"/>
      <c r="F76" s="250">
        <v>700.0</v>
      </c>
      <c r="G76" s="2" t="s">
        <v>3118</v>
      </c>
      <c r="H76" s="840"/>
      <c r="I76" s="251"/>
    </row>
    <row r="77">
      <c r="A77" s="265"/>
      <c r="B77" s="247">
        <v>6451.31</v>
      </c>
      <c r="C77" s="252"/>
      <c r="D77" s="822"/>
      <c r="F77" s="250"/>
      <c r="G77" s="2" t="s">
        <v>73</v>
      </c>
      <c r="I77" s="251"/>
    </row>
    <row r="78">
      <c r="A78" s="265"/>
      <c r="B78" s="247">
        <v>4090.0</v>
      </c>
      <c r="C78" s="248"/>
      <c r="D78" s="822"/>
      <c r="F78" s="250"/>
      <c r="G78" s="2" t="s">
        <v>74</v>
      </c>
      <c r="I78" s="251"/>
    </row>
    <row r="79">
      <c r="A79" s="265"/>
      <c r="B79" s="247"/>
      <c r="C79" s="248"/>
      <c r="D79" s="822"/>
      <c r="F79" s="250">
        <v>261.0</v>
      </c>
      <c r="G79" s="2" t="s">
        <v>3185</v>
      </c>
      <c r="I79" s="251"/>
    </row>
    <row r="80">
      <c r="A80" s="265"/>
      <c r="B80" s="268"/>
      <c r="C80" s="252"/>
      <c r="D80" s="822"/>
      <c r="F80" s="250"/>
      <c r="I80" s="251"/>
    </row>
    <row r="81">
      <c r="A81" s="265"/>
      <c r="B81" s="247"/>
      <c r="C81" s="252"/>
      <c r="D81" s="822"/>
      <c r="F81" s="250"/>
      <c r="I81" s="251"/>
    </row>
    <row r="82">
      <c r="A82" s="265"/>
      <c r="B82" s="247"/>
      <c r="C82" s="252"/>
      <c r="D82" s="822"/>
      <c r="F82" s="250"/>
      <c r="I82" s="251"/>
    </row>
    <row r="83">
      <c r="A83" s="265"/>
      <c r="B83" s="278"/>
      <c r="C83" s="252"/>
      <c r="D83" s="822"/>
      <c r="F83" s="250"/>
      <c r="I83" s="251"/>
    </row>
    <row r="84">
      <c r="A84" s="265"/>
      <c r="B84" s="278"/>
      <c r="C84" s="252"/>
      <c r="D84" s="822"/>
      <c r="F84" s="250"/>
      <c r="H84" s="838"/>
      <c r="I84" s="251"/>
    </row>
    <row r="85">
      <c r="A85" s="270"/>
      <c r="B85" s="271"/>
      <c r="C85" s="272"/>
      <c r="D85" s="823"/>
      <c r="E85" s="18"/>
      <c r="F85" s="274"/>
      <c r="G85" s="18"/>
      <c r="H85" s="18"/>
      <c r="I85" s="261"/>
    </row>
    <row r="86">
      <c r="A86" s="262" t="s">
        <v>240</v>
      </c>
      <c r="B86" s="239"/>
      <c r="C86" s="263"/>
      <c r="D86" s="824"/>
      <c r="E86" s="242"/>
      <c r="F86" s="243"/>
      <c r="G86" s="244" t="s">
        <v>76</v>
      </c>
      <c r="H86" s="244"/>
      <c r="I86" s="307"/>
    </row>
    <row r="87">
      <c r="A87" s="265"/>
      <c r="B87" s="247"/>
      <c r="C87" s="248"/>
      <c r="D87" s="822"/>
      <c r="F87" s="250"/>
      <c r="G87" s="2" t="s">
        <v>275</v>
      </c>
      <c r="I87" s="251"/>
    </row>
    <row r="88">
      <c r="A88" s="265"/>
      <c r="B88" s="268"/>
      <c r="C88" s="248"/>
      <c r="D88" s="822"/>
      <c r="F88" s="250">
        <v>1784.0</v>
      </c>
      <c r="G88" s="2" t="s">
        <v>3186</v>
      </c>
      <c r="I88" s="251"/>
    </row>
    <row r="89">
      <c r="A89" s="265"/>
      <c r="B89" s="247"/>
      <c r="C89" s="248">
        <v>25775.0</v>
      </c>
      <c r="D89" s="822"/>
      <c r="F89" s="250"/>
      <c r="G89" s="2" t="s">
        <v>3187</v>
      </c>
      <c r="I89" s="251"/>
    </row>
    <row r="90">
      <c r="A90" s="265"/>
      <c r="B90" s="78"/>
      <c r="C90" s="248">
        <v>30000.0</v>
      </c>
      <c r="D90" s="822"/>
      <c r="F90" s="250"/>
      <c r="G90" s="2" t="s">
        <v>3187</v>
      </c>
      <c r="I90" s="251"/>
    </row>
    <row r="91">
      <c r="A91" s="265"/>
      <c r="B91" s="841"/>
      <c r="C91" s="252"/>
      <c r="D91" s="331"/>
      <c r="F91" s="266">
        <v>3250.0</v>
      </c>
      <c r="G91" s="2" t="s">
        <v>3003</v>
      </c>
      <c r="I91" s="251"/>
    </row>
    <row r="92">
      <c r="A92" s="265"/>
      <c r="B92" s="281">
        <v>12478.0</v>
      </c>
      <c r="C92" s="252"/>
      <c r="D92" s="331"/>
      <c r="F92" s="250"/>
      <c r="G92" s="2" t="s">
        <v>100</v>
      </c>
      <c r="I92" s="251"/>
    </row>
    <row r="93">
      <c r="A93" s="265"/>
      <c r="B93" s="247"/>
      <c r="C93" s="252"/>
      <c r="D93" s="331"/>
      <c r="F93" s="250">
        <v>5200.0</v>
      </c>
      <c r="G93" s="2" t="s">
        <v>76</v>
      </c>
      <c r="I93" s="251"/>
    </row>
    <row r="94">
      <c r="A94" s="265"/>
      <c r="B94" s="247"/>
      <c r="C94" s="252"/>
      <c r="D94" s="822"/>
      <c r="F94" s="250">
        <v>9656.0</v>
      </c>
      <c r="G94" s="2" t="s">
        <v>91</v>
      </c>
      <c r="I94" s="251"/>
    </row>
    <row r="95">
      <c r="A95" s="265"/>
      <c r="B95" s="268"/>
      <c r="C95" s="252"/>
      <c r="D95" s="331"/>
      <c r="F95" s="250">
        <v>2580.0</v>
      </c>
      <c r="G95" s="2" t="s">
        <v>275</v>
      </c>
      <c r="I95" s="251"/>
    </row>
    <row r="96">
      <c r="A96" s="265"/>
      <c r="B96" s="268"/>
      <c r="C96" s="252"/>
      <c r="D96" s="822"/>
      <c r="F96" s="250"/>
      <c r="G96" s="2" t="s">
        <v>3118</v>
      </c>
      <c r="I96" s="251"/>
    </row>
    <row r="97">
      <c r="A97" s="265"/>
      <c r="B97" s="247">
        <v>1352.0</v>
      </c>
      <c r="C97" s="252"/>
      <c r="D97" s="822"/>
      <c r="F97" s="250"/>
      <c r="G97" s="2" t="s">
        <v>3188</v>
      </c>
      <c r="I97" s="251"/>
    </row>
    <row r="98">
      <c r="A98" s="265"/>
      <c r="B98" s="277">
        <v>65000.0</v>
      </c>
      <c r="C98" s="252"/>
      <c r="D98" s="822"/>
      <c r="F98" s="282"/>
      <c r="G98" s="2" t="s">
        <v>3189</v>
      </c>
      <c r="I98" s="251"/>
    </row>
    <row r="99">
      <c r="A99" s="265"/>
      <c r="B99" s="278"/>
      <c r="C99" s="248">
        <v>20945.25</v>
      </c>
      <c r="D99" s="822"/>
      <c r="F99" s="282"/>
      <c r="G99" s="2" t="s">
        <v>84</v>
      </c>
      <c r="I99" s="251"/>
    </row>
    <row r="100">
      <c r="A100" s="265"/>
      <c r="B100" s="278"/>
      <c r="C100" s="252"/>
      <c r="D100" s="822"/>
      <c r="F100" s="250">
        <v>200.0</v>
      </c>
      <c r="G100" s="2" t="s">
        <v>3190</v>
      </c>
      <c r="I100" s="251"/>
    </row>
    <row r="101">
      <c r="A101" s="270"/>
      <c r="B101" s="271"/>
      <c r="C101" s="272"/>
      <c r="D101" s="823"/>
      <c r="E101" s="18"/>
      <c r="F101" s="259">
        <v>14000.0</v>
      </c>
      <c r="G101" s="293" t="s">
        <v>3147</v>
      </c>
      <c r="H101" s="18"/>
      <c r="I101" s="261"/>
    </row>
    <row r="102">
      <c r="A102" s="262" t="s">
        <v>244</v>
      </c>
      <c r="B102" s="239"/>
      <c r="C102" s="263"/>
      <c r="D102" s="821"/>
      <c r="E102" s="242"/>
      <c r="F102" s="250">
        <v>5215.0</v>
      </c>
      <c r="G102" s="244" t="s">
        <v>3130</v>
      </c>
      <c r="H102" s="244"/>
      <c r="I102" s="307"/>
    </row>
    <row r="103">
      <c r="A103" s="265"/>
      <c r="B103" s="268"/>
      <c r="C103" s="248">
        <v>12892.17</v>
      </c>
      <c r="D103" s="822"/>
      <c r="F103" s="250"/>
      <c r="G103" s="2" t="s">
        <v>71</v>
      </c>
      <c r="I103" s="251"/>
    </row>
    <row r="104">
      <c r="A104" s="265"/>
      <c r="B104" s="247">
        <v>3326.78</v>
      </c>
      <c r="C104" s="248"/>
      <c r="D104" s="822"/>
      <c r="F104" s="250"/>
      <c r="G104" s="2" t="s">
        <v>82</v>
      </c>
      <c r="I104" s="251"/>
    </row>
    <row r="105">
      <c r="A105" s="265"/>
      <c r="B105" s="247"/>
      <c r="C105" s="248"/>
      <c r="D105" s="822"/>
      <c r="F105" s="250">
        <v>472.0</v>
      </c>
      <c r="G105" s="2" t="s">
        <v>708</v>
      </c>
      <c r="I105" s="251"/>
    </row>
    <row r="106">
      <c r="A106" s="265"/>
      <c r="B106" s="247"/>
      <c r="C106" s="252"/>
      <c r="D106" s="822"/>
      <c r="F106" s="250">
        <v>12000.0</v>
      </c>
      <c r="G106" s="2" t="s">
        <v>3191</v>
      </c>
      <c r="I106" s="251"/>
    </row>
    <row r="107">
      <c r="A107" s="265"/>
      <c r="B107" s="268"/>
      <c r="C107" s="252"/>
      <c r="D107" s="822"/>
      <c r="F107" s="250">
        <v>7200.0</v>
      </c>
      <c r="G107" s="2" t="s">
        <v>64</v>
      </c>
      <c r="I107" s="251"/>
    </row>
    <row r="108">
      <c r="A108" s="265"/>
      <c r="B108" s="268"/>
      <c r="C108" s="252"/>
      <c r="D108" s="331"/>
      <c r="F108" s="250"/>
      <c r="I108" s="251"/>
    </row>
    <row r="109">
      <c r="A109" s="265"/>
      <c r="B109" s="247">
        <v>1980.0</v>
      </c>
      <c r="C109" s="252"/>
      <c r="D109" s="822"/>
      <c r="F109" s="250"/>
      <c r="G109" s="2" t="s">
        <v>3192</v>
      </c>
      <c r="I109" s="251"/>
    </row>
    <row r="110">
      <c r="A110" s="265"/>
      <c r="B110" s="247">
        <v>7250.0</v>
      </c>
      <c r="C110" s="252"/>
      <c r="D110" s="822"/>
      <c r="F110" s="250"/>
      <c r="G110" s="2" t="s">
        <v>79</v>
      </c>
      <c r="I110" s="251"/>
    </row>
    <row r="111">
      <c r="A111" s="265"/>
      <c r="B111" s="268"/>
      <c r="C111" s="252"/>
      <c r="D111" s="822"/>
      <c r="F111" s="250"/>
      <c r="I111" s="251"/>
    </row>
    <row r="112">
      <c r="A112" s="265"/>
      <c r="B112" s="278"/>
      <c r="C112" s="248"/>
      <c r="D112" s="822"/>
      <c r="F112" s="282"/>
      <c r="I112" s="251"/>
    </row>
    <row r="113">
      <c r="A113" s="265"/>
      <c r="B113" s="278"/>
      <c r="C113" s="252"/>
      <c r="D113" s="822"/>
      <c r="F113" s="250"/>
      <c r="I113" s="251"/>
    </row>
    <row r="114">
      <c r="A114" s="265"/>
      <c r="B114" s="278"/>
      <c r="C114" s="252"/>
      <c r="D114" s="822"/>
      <c r="F114" s="282"/>
      <c r="I114" s="251"/>
    </row>
    <row r="115">
      <c r="A115" s="270"/>
      <c r="B115" s="271"/>
      <c r="C115" s="272"/>
      <c r="D115" s="823"/>
      <c r="E115" s="18"/>
      <c r="F115" s="274"/>
      <c r="G115" s="18"/>
      <c r="H115" s="18"/>
      <c r="I115" s="261"/>
    </row>
    <row r="116">
      <c r="A116" s="262" t="s">
        <v>246</v>
      </c>
      <c r="B116" s="239"/>
      <c r="C116" s="263"/>
      <c r="D116" s="821"/>
      <c r="E116" s="242"/>
      <c r="F116" s="243">
        <v>3000.0</v>
      </c>
      <c r="G116" s="244" t="s">
        <v>453</v>
      </c>
      <c r="H116" s="244"/>
      <c r="I116" s="307"/>
    </row>
    <row r="117">
      <c r="A117" s="265"/>
      <c r="B117" s="247"/>
      <c r="C117" s="252"/>
      <c r="D117" s="331"/>
      <c r="F117" s="250"/>
      <c r="I117" s="251"/>
    </row>
    <row r="118">
      <c r="A118" s="265"/>
      <c r="B118" s="247"/>
      <c r="C118" s="248"/>
      <c r="D118" s="331"/>
      <c r="F118" s="250"/>
      <c r="I118" s="251"/>
    </row>
    <row r="119">
      <c r="A119" s="265"/>
      <c r="B119" s="268"/>
      <c r="C119" s="248"/>
      <c r="D119" s="331"/>
      <c r="F119" s="250"/>
      <c r="I119" s="251"/>
    </row>
    <row r="120">
      <c r="A120" s="265"/>
      <c r="B120" s="268"/>
      <c r="C120" s="252"/>
      <c r="D120" s="331"/>
      <c r="F120" s="250"/>
      <c r="I120" s="251"/>
    </row>
    <row r="121">
      <c r="A121" s="265"/>
      <c r="B121" s="247"/>
      <c r="C121" s="252"/>
      <c r="D121" s="822"/>
      <c r="F121" s="250"/>
      <c r="I121" s="251"/>
    </row>
    <row r="122">
      <c r="A122" s="265"/>
      <c r="B122" s="268"/>
      <c r="C122" s="252"/>
      <c r="D122" s="822"/>
      <c r="F122" s="250"/>
      <c r="I122" s="251"/>
    </row>
    <row r="123">
      <c r="A123" s="265"/>
      <c r="B123" s="247"/>
      <c r="C123" s="252"/>
      <c r="D123" s="822"/>
      <c r="F123" s="250"/>
      <c r="I123" s="251"/>
    </row>
    <row r="124">
      <c r="A124" s="265"/>
      <c r="B124" s="247"/>
      <c r="C124" s="252"/>
      <c r="D124" s="331"/>
      <c r="F124" s="250"/>
      <c r="I124" s="251"/>
    </row>
    <row r="125">
      <c r="A125" s="265"/>
      <c r="B125" s="268"/>
      <c r="C125" s="248"/>
      <c r="D125" s="822"/>
      <c r="F125" s="250"/>
      <c r="I125" s="251"/>
    </row>
    <row r="126">
      <c r="A126" s="265"/>
      <c r="B126" s="268"/>
      <c r="C126" s="252"/>
      <c r="D126" s="822"/>
      <c r="F126" s="250"/>
      <c r="I126" s="251"/>
    </row>
    <row r="127">
      <c r="A127" s="265"/>
      <c r="B127" s="268"/>
      <c r="C127" s="252"/>
      <c r="D127" s="822"/>
      <c r="F127" s="250"/>
      <c r="I127" s="251"/>
    </row>
    <row r="128">
      <c r="A128" s="265"/>
      <c r="B128" s="268"/>
      <c r="C128" s="252"/>
      <c r="D128" s="822"/>
      <c r="F128" s="250"/>
      <c r="I128" s="251"/>
    </row>
    <row r="129">
      <c r="A129" s="265"/>
      <c r="B129" s="268"/>
      <c r="C129" s="252"/>
      <c r="D129" s="822"/>
      <c r="F129" s="250"/>
      <c r="I129" s="251"/>
    </row>
    <row r="130">
      <c r="A130" s="265"/>
      <c r="B130" s="268"/>
      <c r="C130" s="252"/>
      <c r="D130" s="822"/>
      <c r="F130" s="250"/>
      <c r="I130" s="251"/>
    </row>
    <row r="131">
      <c r="A131" s="270"/>
      <c r="B131" s="271"/>
      <c r="C131" s="272"/>
      <c r="D131" s="823"/>
      <c r="E131" s="18"/>
      <c r="F131" s="274"/>
      <c r="G131" s="18"/>
      <c r="H131" s="18"/>
      <c r="I131" s="261"/>
    </row>
    <row r="132">
      <c r="A132" s="262" t="s">
        <v>248</v>
      </c>
      <c r="B132" s="239"/>
      <c r="C132" s="263">
        <v>25110.64</v>
      </c>
      <c r="D132" s="824"/>
      <c r="E132" s="242"/>
      <c r="F132" s="243"/>
      <c r="G132" s="244" t="s">
        <v>71</v>
      </c>
      <c r="H132" s="244"/>
      <c r="I132" s="307"/>
    </row>
    <row r="133">
      <c r="A133" s="265"/>
      <c r="B133" s="247"/>
      <c r="C133" s="248"/>
      <c r="D133" s="822"/>
      <c r="F133" s="250">
        <v>7090.0</v>
      </c>
      <c r="G133" s="2" t="s">
        <v>3193</v>
      </c>
      <c r="I133" s="251"/>
    </row>
    <row r="134">
      <c r="A134" s="265"/>
      <c r="B134" s="247"/>
      <c r="C134" s="248"/>
      <c r="D134" s="822"/>
      <c r="F134" s="250">
        <v>7200.0</v>
      </c>
      <c r="G134" s="2" t="s">
        <v>3194</v>
      </c>
      <c r="I134" s="251"/>
    </row>
    <row r="135">
      <c r="A135" s="265"/>
      <c r="B135" s="247">
        <v>5752.14</v>
      </c>
      <c r="C135" s="252"/>
      <c r="D135" s="331"/>
      <c r="F135" s="250"/>
      <c r="G135" s="2" t="s">
        <v>82</v>
      </c>
      <c r="I135" s="251"/>
    </row>
    <row r="136">
      <c r="A136" s="265"/>
      <c r="B136" s="268"/>
      <c r="C136" s="252"/>
      <c r="D136" s="822"/>
      <c r="F136" s="250">
        <v>3000.0</v>
      </c>
      <c r="G136" s="2" t="s">
        <v>3003</v>
      </c>
      <c r="I136" s="251"/>
    </row>
    <row r="137">
      <c r="A137" s="265"/>
      <c r="B137" s="247"/>
      <c r="C137" s="252"/>
      <c r="D137" s="822"/>
      <c r="F137" s="250">
        <v>2000.0</v>
      </c>
      <c r="G137" s="2" t="s">
        <v>2957</v>
      </c>
      <c r="I137" s="251"/>
    </row>
    <row r="138">
      <c r="A138" s="265"/>
      <c r="B138" s="247"/>
      <c r="C138" s="252"/>
      <c r="D138" s="822"/>
      <c r="F138" s="250"/>
      <c r="I138" s="251"/>
    </row>
    <row r="139">
      <c r="A139" s="265"/>
      <c r="B139" s="283"/>
      <c r="C139" s="248"/>
      <c r="D139" s="822"/>
      <c r="F139" s="250"/>
      <c r="I139" s="251"/>
    </row>
    <row r="140">
      <c r="A140" s="265"/>
      <c r="B140" s="268"/>
      <c r="C140" s="252"/>
      <c r="D140" s="822"/>
      <c r="F140" s="250"/>
      <c r="I140" s="251"/>
    </row>
    <row r="141">
      <c r="A141" s="265"/>
      <c r="B141" s="268"/>
      <c r="C141" s="252"/>
      <c r="D141" s="822"/>
      <c r="F141" s="250"/>
      <c r="I141" s="251"/>
    </row>
    <row r="142">
      <c r="A142" s="265"/>
      <c r="B142" s="268"/>
      <c r="C142" s="252"/>
      <c r="D142" s="822"/>
      <c r="F142" s="250"/>
      <c r="I142" s="251"/>
    </row>
    <row r="143">
      <c r="A143" s="265"/>
      <c r="B143" s="278"/>
      <c r="C143" s="252"/>
      <c r="D143" s="822"/>
      <c r="F143" s="250"/>
      <c r="I143" s="251"/>
    </row>
    <row r="144">
      <c r="A144" s="270"/>
      <c r="B144" s="271"/>
      <c r="C144" s="272"/>
      <c r="D144" s="823"/>
      <c r="E144" s="18"/>
      <c r="F144" s="274"/>
      <c r="G144" s="18"/>
      <c r="H144" s="18"/>
      <c r="I144" s="261"/>
    </row>
    <row r="145">
      <c r="A145" s="262" t="s">
        <v>251</v>
      </c>
      <c r="B145" s="239">
        <v>2747.0</v>
      </c>
      <c r="C145" s="240"/>
      <c r="D145" s="824"/>
      <c r="E145" s="242"/>
      <c r="F145" s="243"/>
      <c r="G145" s="244" t="s">
        <v>260</v>
      </c>
      <c r="H145" s="244"/>
      <c r="I145" s="307"/>
    </row>
    <row r="146">
      <c r="A146" s="265"/>
      <c r="B146" s="247">
        <v>6894.65</v>
      </c>
      <c r="C146" s="252"/>
      <c r="D146" s="822"/>
      <c r="F146" s="250"/>
      <c r="G146" s="2" t="s">
        <v>73</v>
      </c>
      <c r="I146" s="251"/>
    </row>
    <row r="147">
      <c r="A147" s="265"/>
      <c r="B147" s="247">
        <v>4447.17</v>
      </c>
      <c r="C147" s="252"/>
      <c r="D147" s="822"/>
      <c r="F147" s="418"/>
      <c r="G147" s="417" t="s">
        <v>74</v>
      </c>
      <c r="H147" s="842"/>
      <c r="I147" s="251"/>
    </row>
    <row r="148">
      <c r="A148" s="265"/>
      <c r="B148" s="247"/>
      <c r="C148" s="252"/>
      <c r="D148" s="822"/>
      <c r="F148" s="250">
        <v>330.0</v>
      </c>
      <c r="G148" s="2" t="s">
        <v>85</v>
      </c>
      <c r="I148" s="251"/>
    </row>
    <row r="149">
      <c r="A149" s="265"/>
      <c r="B149" s="268"/>
      <c r="C149" s="252"/>
      <c r="D149" s="331"/>
      <c r="F149" s="250">
        <v>1000.0</v>
      </c>
      <c r="G149" s="2" t="s">
        <v>2534</v>
      </c>
      <c r="I149" s="251"/>
    </row>
    <row r="150">
      <c r="A150" s="265"/>
      <c r="B150" s="268"/>
      <c r="C150" s="248"/>
      <c r="D150" s="331"/>
      <c r="F150" s="250"/>
      <c r="I150" s="251"/>
    </row>
    <row r="151">
      <c r="A151" s="265"/>
      <c r="B151" s="268"/>
      <c r="C151" s="252"/>
      <c r="D151" s="331"/>
      <c r="F151" s="250"/>
      <c r="I151" s="251"/>
    </row>
    <row r="152">
      <c r="A152" s="265"/>
      <c r="B152" s="268"/>
      <c r="C152" s="252"/>
      <c r="D152" s="331"/>
      <c r="F152" s="250"/>
      <c r="I152" s="251"/>
    </row>
    <row r="153">
      <c r="A153" s="265"/>
      <c r="B153" s="268"/>
      <c r="C153" s="252"/>
      <c r="D153" s="331"/>
      <c r="F153" s="250"/>
      <c r="I153" s="251"/>
    </row>
    <row r="154">
      <c r="A154" s="265"/>
      <c r="B154" s="247"/>
      <c r="C154" s="252"/>
      <c r="D154" s="822"/>
      <c r="F154" s="250"/>
      <c r="I154" s="251"/>
    </row>
    <row r="155">
      <c r="A155" s="265"/>
      <c r="B155" s="268"/>
      <c r="C155" s="252"/>
      <c r="D155" s="822"/>
      <c r="F155" s="250"/>
      <c r="I155" s="251"/>
    </row>
    <row r="156">
      <c r="A156" s="265"/>
      <c r="B156" s="277"/>
      <c r="C156" s="252"/>
      <c r="D156" s="822"/>
      <c r="F156" s="250"/>
      <c r="I156" s="251"/>
    </row>
    <row r="157">
      <c r="A157" s="265"/>
      <c r="B157" s="277"/>
      <c r="C157" s="252"/>
      <c r="D157" s="822"/>
      <c r="F157" s="282"/>
      <c r="I157" s="251"/>
    </row>
    <row r="158">
      <c r="A158" s="265"/>
      <c r="B158" s="278"/>
      <c r="C158" s="252"/>
      <c r="D158" s="822"/>
      <c r="F158" s="250"/>
      <c r="I158" s="251"/>
    </row>
    <row r="159">
      <c r="A159" s="270"/>
      <c r="B159" s="271"/>
      <c r="C159" s="272"/>
      <c r="D159" s="823"/>
      <c r="E159" s="18"/>
      <c r="F159" s="259"/>
      <c r="G159" s="293"/>
      <c r="H159" s="18"/>
      <c r="I159" s="261"/>
    </row>
    <row r="160">
      <c r="A160" s="262" t="s">
        <v>256</v>
      </c>
      <c r="B160" s="239">
        <v>2963.85</v>
      </c>
      <c r="C160" s="263"/>
      <c r="D160" s="821"/>
      <c r="E160" s="242"/>
      <c r="F160" s="243"/>
      <c r="G160" s="244" t="s">
        <v>82</v>
      </c>
      <c r="H160" s="244"/>
      <c r="I160" s="307"/>
    </row>
    <row r="161">
      <c r="A161" s="265"/>
      <c r="B161" s="247">
        <v>32367.0</v>
      </c>
      <c r="C161" s="252"/>
      <c r="D161" s="822"/>
      <c r="F161" s="250"/>
      <c r="G161" s="2" t="s">
        <v>167</v>
      </c>
      <c r="I161" s="251"/>
    </row>
    <row r="162">
      <c r="A162" s="265"/>
      <c r="B162" s="247">
        <v>36058.0</v>
      </c>
      <c r="C162" s="248"/>
      <c r="D162" s="331"/>
      <c r="F162" s="250"/>
      <c r="G162" s="2" t="s">
        <v>167</v>
      </c>
      <c r="I162" s="251"/>
    </row>
    <row r="163">
      <c r="A163" s="265"/>
      <c r="B163" s="268"/>
      <c r="C163" s="252"/>
      <c r="D163" s="331">
        <v>35780.0</v>
      </c>
      <c r="F163" s="250"/>
      <c r="G163" s="2" t="s">
        <v>144</v>
      </c>
      <c r="I163" s="251"/>
    </row>
    <row r="164">
      <c r="A164" s="265"/>
      <c r="B164" s="268"/>
      <c r="C164" s="252"/>
      <c r="D164" s="822"/>
      <c r="F164" s="250">
        <v>640.0</v>
      </c>
      <c r="G164" s="2" t="s">
        <v>260</v>
      </c>
      <c r="H164" s="252"/>
      <c r="I164" s="251"/>
    </row>
    <row r="165">
      <c r="A165" s="265"/>
      <c r="B165" s="268"/>
      <c r="C165" s="252"/>
      <c r="D165" s="822"/>
      <c r="F165" s="250">
        <v>1000.0</v>
      </c>
      <c r="G165" s="2" t="s">
        <v>2534</v>
      </c>
      <c r="I165" s="251"/>
    </row>
    <row r="166">
      <c r="A166" s="265"/>
      <c r="B166" s="268"/>
      <c r="C166" s="252"/>
      <c r="D166" s="331"/>
      <c r="F166" s="250">
        <v>1700.0</v>
      </c>
      <c r="G166" s="266" t="s">
        <v>3195</v>
      </c>
      <c r="H166" s="309"/>
      <c r="I166" s="251"/>
    </row>
    <row r="167">
      <c r="A167" s="265"/>
      <c r="B167" s="268"/>
      <c r="C167" s="252"/>
      <c r="D167" s="822"/>
      <c r="F167" s="250"/>
      <c r="G167" s="266"/>
      <c r="H167" s="309"/>
      <c r="I167" s="251"/>
    </row>
    <row r="168">
      <c r="A168" s="265"/>
      <c r="B168" s="268"/>
      <c r="C168" s="252"/>
      <c r="D168" s="822"/>
      <c r="F168" s="250"/>
      <c r="I168" s="251"/>
    </row>
    <row r="169">
      <c r="A169" s="270"/>
      <c r="B169" s="271"/>
      <c r="C169" s="272"/>
      <c r="D169" s="823"/>
      <c r="E169" s="18"/>
      <c r="F169" s="274"/>
      <c r="G169" s="18"/>
      <c r="H169" s="18"/>
      <c r="I169" s="261"/>
    </row>
    <row r="170">
      <c r="A170" s="262" t="s">
        <v>261</v>
      </c>
      <c r="B170" s="239"/>
      <c r="C170" s="240"/>
      <c r="D170" s="821"/>
      <c r="E170" s="242"/>
      <c r="F170" s="259">
        <v>7800.0</v>
      </c>
      <c r="G170" s="244" t="s">
        <v>87</v>
      </c>
      <c r="H170" s="244"/>
      <c r="I170" s="307"/>
    </row>
    <row r="171">
      <c r="A171" s="265"/>
      <c r="B171" s="247"/>
      <c r="C171" s="252"/>
      <c r="D171" s="331"/>
      <c r="F171" s="250">
        <v>7530.0</v>
      </c>
      <c r="G171" s="2" t="s">
        <v>3003</v>
      </c>
      <c r="I171" s="251"/>
    </row>
    <row r="172">
      <c r="A172" s="265"/>
      <c r="B172" s="247"/>
      <c r="C172" s="248"/>
      <c r="D172" s="331"/>
      <c r="F172" s="250">
        <v>5694.0</v>
      </c>
      <c r="G172" s="2" t="s">
        <v>91</v>
      </c>
      <c r="I172" s="251"/>
    </row>
    <row r="173">
      <c r="A173" s="265"/>
      <c r="B173" s="247">
        <v>6160.0</v>
      </c>
      <c r="C173" s="252"/>
      <c r="D173" s="822"/>
      <c r="F173" s="250"/>
      <c r="G173" s="2" t="s">
        <v>215</v>
      </c>
      <c r="I173" s="251"/>
    </row>
    <row r="174">
      <c r="A174" s="265"/>
      <c r="B174" s="268"/>
      <c r="C174" s="248"/>
      <c r="D174" s="331"/>
      <c r="F174" s="250">
        <f>120+799+290</f>
        <v>1209</v>
      </c>
      <c r="G174" s="2" t="s">
        <v>3196</v>
      </c>
      <c r="I174" s="251"/>
    </row>
    <row r="175">
      <c r="A175" s="265"/>
      <c r="B175" s="268"/>
      <c r="C175" s="252"/>
      <c r="D175" s="822"/>
      <c r="F175" s="250">
        <v>7700.0</v>
      </c>
      <c r="G175" s="2" t="s">
        <v>3197</v>
      </c>
      <c r="I175" s="251"/>
    </row>
    <row r="176">
      <c r="A176" s="265"/>
      <c r="B176" s="247"/>
      <c r="C176" s="252"/>
      <c r="D176" s="822"/>
      <c r="F176" s="250">
        <v>4100.0</v>
      </c>
      <c r="G176" s="2" t="s">
        <v>76</v>
      </c>
      <c r="I176" s="251"/>
    </row>
    <row r="177">
      <c r="A177" s="265"/>
      <c r="B177" s="247"/>
      <c r="C177" s="252"/>
      <c r="D177" s="822"/>
      <c r="F177" s="250">
        <v>1000.0</v>
      </c>
      <c r="G177" s="2" t="s">
        <v>2534</v>
      </c>
      <c r="I177" s="251"/>
    </row>
    <row r="178">
      <c r="A178" s="265"/>
      <c r="B178" s="268"/>
      <c r="C178" s="252"/>
      <c r="D178" s="822"/>
      <c r="F178" s="250">
        <v>5500.0</v>
      </c>
      <c r="G178" s="2" t="s">
        <v>2669</v>
      </c>
      <c r="I178" s="251"/>
    </row>
    <row r="179">
      <c r="A179" s="265"/>
      <c r="B179" s="268"/>
      <c r="C179" s="252"/>
      <c r="D179" s="822"/>
      <c r="F179" s="250"/>
      <c r="I179" s="251"/>
    </row>
    <row r="180">
      <c r="A180" s="265"/>
      <c r="B180" s="268"/>
      <c r="C180" s="252"/>
      <c r="D180" s="822"/>
      <c r="F180" s="250"/>
      <c r="I180" s="251"/>
    </row>
    <row r="181">
      <c r="A181" s="265"/>
      <c r="B181" s="268"/>
      <c r="C181" s="252"/>
      <c r="D181" s="822"/>
      <c r="F181" s="250"/>
      <c r="I181" s="251"/>
    </row>
    <row r="182">
      <c r="A182" s="265"/>
      <c r="B182" s="268"/>
      <c r="C182" s="252"/>
      <c r="D182" s="822"/>
      <c r="F182" s="250"/>
      <c r="I182" s="251"/>
    </row>
    <row r="183">
      <c r="A183" s="265"/>
      <c r="B183" s="268"/>
      <c r="C183" s="252"/>
      <c r="D183" s="822"/>
      <c r="F183" s="250"/>
      <c r="I183" s="251"/>
    </row>
    <row r="184">
      <c r="A184" s="270"/>
      <c r="B184" s="271"/>
      <c r="C184" s="272"/>
      <c r="D184" s="823"/>
      <c r="E184" s="18"/>
      <c r="F184" s="259"/>
      <c r="G184" s="293"/>
      <c r="H184" s="18"/>
      <c r="I184" s="261"/>
    </row>
    <row r="185">
      <c r="A185" s="262" t="s">
        <v>3028</v>
      </c>
      <c r="B185" s="239">
        <v>3497.5</v>
      </c>
      <c r="C185" s="240"/>
      <c r="D185" s="821"/>
      <c r="E185" s="242"/>
      <c r="F185" s="243"/>
      <c r="G185" s="244" t="s">
        <v>82</v>
      </c>
      <c r="I185" s="286"/>
    </row>
    <row r="186">
      <c r="A186" s="265"/>
      <c r="B186" s="268"/>
      <c r="C186" s="248"/>
      <c r="D186" s="331"/>
      <c r="F186" s="250">
        <v>490.0</v>
      </c>
      <c r="G186" s="2" t="s">
        <v>97</v>
      </c>
      <c r="I186" s="251"/>
    </row>
    <row r="187">
      <c r="A187" s="265"/>
      <c r="B187" s="268"/>
      <c r="C187" s="252"/>
      <c r="D187" s="822"/>
      <c r="F187" s="250">
        <v>11740.0</v>
      </c>
      <c r="G187" s="2" t="s">
        <v>114</v>
      </c>
      <c r="I187" s="251"/>
    </row>
    <row r="188">
      <c r="A188" s="265"/>
      <c r="B188" s="247">
        <v>10005.0</v>
      </c>
      <c r="C188" s="252"/>
      <c r="D188" s="822"/>
      <c r="F188" s="250"/>
      <c r="G188" s="2" t="s">
        <v>79</v>
      </c>
      <c r="I188" s="251"/>
    </row>
    <row r="189">
      <c r="A189" s="265"/>
      <c r="B189" s="268"/>
      <c r="C189" s="248"/>
      <c r="D189" s="331"/>
      <c r="F189" s="250">
        <v>1000.0</v>
      </c>
      <c r="G189" s="2" t="s">
        <v>3198</v>
      </c>
      <c r="I189" s="251"/>
    </row>
    <row r="190">
      <c r="A190" s="265"/>
      <c r="B190" s="247"/>
      <c r="C190" s="248"/>
      <c r="D190" s="331"/>
      <c r="F190" s="250"/>
      <c r="I190" s="251"/>
    </row>
    <row r="191">
      <c r="A191" s="265"/>
      <c r="B191" s="268"/>
      <c r="C191" s="252"/>
      <c r="D191" s="331"/>
      <c r="F191" s="250"/>
      <c r="G191" s="2" t="s">
        <v>1750</v>
      </c>
      <c r="I191" s="251"/>
    </row>
    <row r="192">
      <c r="A192" s="265"/>
      <c r="B192" s="247"/>
      <c r="C192" s="252"/>
      <c r="D192" s="331"/>
      <c r="F192" s="250"/>
      <c r="I192" s="251"/>
    </row>
    <row r="193">
      <c r="A193" s="265"/>
      <c r="B193" s="247"/>
      <c r="C193" s="252"/>
      <c r="D193" s="822"/>
      <c r="F193" s="250"/>
      <c r="I193" s="251"/>
    </row>
    <row r="194">
      <c r="A194" s="265"/>
      <c r="B194" s="278"/>
      <c r="C194" s="252"/>
      <c r="D194" s="822"/>
      <c r="F194" s="250"/>
      <c r="I194" s="251"/>
    </row>
    <row r="195">
      <c r="A195" s="265"/>
      <c r="B195" s="278"/>
      <c r="C195" s="252"/>
      <c r="D195" s="822"/>
      <c r="F195" s="250"/>
      <c r="I195" s="251"/>
    </row>
    <row r="196">
      <c r="A196" s="265"/>
      <c r="B196" s="277"/>
      <c r="C196" s="252"/>
      <c r="D196" s="822"/>
      <c r="F196" s="250"/>
      <c r="I196" s="251"/>
    </row>
    <row r="197">
      <c r="A197" s="265"/>
      <c r="B197" s="278"/>
      <c r="C197" s="252"/>
      <c r="D197" s="822"/>
      <c r="F197" s="250"/>
      <c r="I197" s="251"/>
    </row>
    <row r="198">
      <c r="A198" s="265"/>
      <c r="B198" s="278"/>
      <c r="C198" s="252"/>
      <c r="D198" s="822"/>
      <c r="F198" s="282"/>
      <c r="I198" s="251"/>
    </row>
    <row r="199">
      <c r="A199" s="265"/>
      <c r="B199" s="278"/>
      <c r="C199" s="252"/>
      <c r="D199" s="822"/>
      <c r="F199" s="282"/>
      <c r="I199" s="251"/>
    </row>
    <row r="200">
      <c r="A200" s="270"/>
      <c r="B200" s="271"/>
      <c r="C200" s="272"/>
      <c r="D200" s="823"/>
      <c r="E200" s="18"/>
      <c r="F200" s="274"/>
      <c r="G200" s="18"/>
      <c r="H200" s="18"/>
      <c r="I200" s="261"/>
    </row>
    <row r="201">
      <c r="A201" s="262" t="s">
        <v>269</v>
      </c>
      <c r="B201" s="239"/>
      <c r="C201" s="263"/>
      <c r="D201" s="824"/>
      <c r="E201" s="242"/>
      <c r="F201" s="243">
        <v>1400.0</v>
      </c>
      <c r="G201" s="244" t="s">
        <v>349</v>
      </c>
      <c r="H201" s="244"/>
      <c r="I201" s="307"/>
    </row>
    <row r="202">
      <c r="A202" s="265"/>
      <c r="B202" s="247"/>
      <c r="C202" s="252"/>
      <c r="D202" s="822"/>
      <c r="F202" s="250">
        <v>2700.0</v>
      </c>
      <c r="G202" s="2" t="s">
        <v>2669</v>
      </c>
      <c r="I202" s="251"/>
    </row>
    <row r="203">
      <c r="A203" s="265"/>
      <c r="B203" s="247"/>
      <c r="C203" s="252"/>
      <c r="D203" s="331"/>
      <c r="F203" s="250"/>
      <c r="H203" s="843"/>
      <c r="I203" s="251"/>
    </row>
    <row r="204">
      <c r="A204" s="265"/>
      <c r="B204" s="247"/>
      <c r="C204" s="248"/>
      <c r="D204" s="331"/>
      <c r="F204" s="250"/>
      <c r="I204" s="251"/>
    </row>
    <row r="205">
      <c r="A205" s="265"/>
      <c r="B205" s="247"/>
      <c r="C205" s="248"/>
      <c r="D205" s="331"/>
      <c r="F205" s="250"/>
      <c r="I205" s="251"/>
    </row>
    <row r="206">
      <c r="A206" s="265"/>
      <c r="B206" s="247"/>
      <c r="C206" s="252"/>
      <c r="D206" s="331"/>
      <c r="F206" s="250"/>
      <c r="I206" s="251"/>
    </row>
    <row r="207">
      <c r="A207" s="265"/>
      <c r="B207" s="247"/>
      <c r="C207" s="252"/>
      <c r="D207" s="822"/>
      <c r="F207" s="250"/>
      <c r="I207" s="251"/>
    </row>
    <row r="208">
      <c r="A208" s="265"/>
      <c r="B208" s="247"/>
      <c r="C208" s="252"/>
      <c r="D208" s="331"/>
      <c r="F208" s="250"/>
      <c r="I208" s="251"/>
    </row>
    <row r="209">
      <c r="A209" s="265"/>
      <c r="B209" s="268"/>
      <c r="C209" s="248"/>
      <c r="D209" s="331"/>
      <c r="F209" s="250"/>
      <c r="I209" s="251"/>
    </row>
    <row r="210">
      <c r="A210" s="265"/>
      <c r="B210" s="268"/>
      <c r="C210" s="248"/>
      <c r="D210" s="822"/>
      <c r="F210" s="250"/>
      <c r="I210" s="251"/>
    </row>
    <row r="211">
      <c r="A211" s="265"/>
      <c r="B211" s="268"/>
      <c r="C211" s="248"/>
      <c r="D211" s="822"/>
      <c r="F211" s="250"/>
      <c r="I211" s="251"/>
    </row>
    <row r="212">
      <c r="A212" s="265"/>
      <c r="B212" s="268"/>
      <c r="C212" s="248"/>
      <c r="D212" s="822"/>
      <c r="F212" s="250"/>
      <c r="H212" s="252"/>
      <c r="I212" s="251"/>
    </row>
    <row r="213">
      <c r="A213" s="265"/>
      <c r="B213" s="278"/>
      <c r="C213" s="252"/>
      <c r="D213" s="822"/>
      <c r="F213" s="250"/>
      <c r="I213" s="251"/>
    </row>
    <row r="214">
      <c r="A214" s="265"/>
      <c r="B214" s="278"/>
      <c r="C214" s="252"/>
      <c r="D214" s="822"/>
      <c r="F214" s="282"/>
      <c r="I214" s="251"/>
    </row>
    <row r="215">
      <c r="A215" s="270"/>
      <c r="B215" s="271"/>
      <c r="C215" s="272"/>
      <c r="D215" s="823"/>
      <c r="E215" s="18"/>
      <c r="F215" s="274"/>
      <c r="G215" s="18"/>
      <c r="H215" s="18"/>
      <c r="I215" s="261"/>
    </row>
    <row r="216">
      <c r="A216" s="262" t="s">
        <v>271</v>
      </c>
      <c r="B216" s="239"/>
      <c r="C216" s="263"/>
      <c r="D216" s="824"/>
      <c r="E216" s="242"/>
      <c r="F216" s="243">
        <v>3833.0</v>
      </c>
      <c r="G216" s="244" t="s">
        <v>103</v>
      </c>
      <c r="H216" s="244"/>
      <c r="I216" s="307"/>
    </row>
    <row r="217">
      <c r="A217" s="265"/>
      <c r="B217" s="247">
        <v>2963.0</v>
      </c>
      <c r="C217" s="248"/>
      <c r="D217" s="331"/>
      <c r="F217" s="250"/>
      <c r="G217" s="2" t="s">
        <v>3199</v>
      </c>
      <c r="I217" s="251"/>
    </row>
    <row r="218">
      <c r="A218" s="265"/>
      <c r="B218" s="247"/>
      <c r="C218" s="252"/>
      <c r="D218" s="822"/>
      <c r="F218" s="250">
        <v>5220.0</v>
      </c>
      <c r="G218" s="2" t="s">
        <v>2849</v>
      </c>
      <c r="I218" s="251"/>
    </row>
    <row r="219">
      <c r="A219" s="265"/>
      <c r="B219" s="247"/>
      <c r="C219" s="248"/>
      <c r="D219" s="331"/>
      <c r="F219" s="250">
        <v>380.0</v>
      </c>
      <c r="G219" s="2" t="s">
        <v>3200</v>
      </c>
      <c r="I219" s="251"/>
    </row>
    <row r="220">
      <c r="A220" s="265"/>
      <c r="B220" s="247"/>
      <c r="C220" s="252"/>
      <c r="D220" s="822"/>
      <c r="F220" s="250">
        <v>330.0</v>
      </c>
      <c r="G220" s="2" t="s">
        <v>228</v>
      </c>
      <c r="I220" s="251"/>
    </row>
    <row r="221">
      <c r="A221" s="265"/>
      <c r="B221" s="247"/>
      <c r="C221" s="252"/>
      <c r="D221" s="822"/>
      <c r="F221" s="250">
        <v>1000.0</v>
      </c>
      <c r="G221" s="2" t="s">
        <v>2534</v>
      </c>
      <c r="I221" s="251"/>
    </row>
    <row r="222">
      <c r="A222" s="265"/>
      <c r="B222" s="268"/>
      <c r="C222" s="252"/>
      <c r="D222" s="822"/>
      <c r="F222" s="250"/>
      <c r="H222" s="252"/>
      <c r="I222" s="251"/>
    </row>
    <row r="223">
      <c r="A223" s="265"/>
      <c r="B223" s="268"/>
      <c r="C223" s="252"/>
      <c r="D223" s="822"/>
      <c r="F223" s="250"/>
      <c r="I223" s="251"/>
    </row>
    <row r="224">
      <c r="A224" s="265"/>
      <c r="B224" s="268"/>
      <c r="C224" s="252"/>
      <c r="D224" s="331"/>
      <c r="F224" s="250"/>
      <c r="I224" s="251"/>
    </row>
    <row r="225">
      <c r="A225" s="265"/>
      <c r="B225" s="278"/>
      <c r="C225" s="252"/>
      <c r="D225" s="822"/>
      <c r="F225" s="250"/>
      <c r="I225" s="251"/>
    </row>
    <row r="226">
      <c r="A226" s="265"/>
      <c r="B226" s="278"/>
      <c r="C226" s="252"/>
      <c r="D226" s="822"/>
      <c r="F226" s="282"/>
      <c r="I226" s="251"/>
    </row>
    <row r="227">
      <c r="A227" s="270"/>
      <c r="B227" s="271"/>
      <c r="C227" s="272"/>
      <c r="D227" s="823"/>
      <c r="E227" s="18"/>
      <c r="F227" s="274"/>
      <c r="G227" s="18"/>
      <c r="H227" s="18"/>
      <c r="I227" s="261"/>
    </row>
    <row r="228">
      <c r="A228" s="262" t="s">
        <v>272</v>
      </c>
      <c r="B228" s="239"/>
      <c r="C228" s="240"/>
      <c r="D228" s="821"/>
      <c r="E228" s="242"/>
      <c r="F228" s="243">
        <v>339.0</v>
      </c>
      <c r="G228" s="244" t="s">
        <v>97</v>
      </c>
      <c r="H228" s="244"/>
      <c r="I228" s="307"/>
    </row>
    <row r="229">
      <c r="A229" s="265"/>
      <c r="B229" s="268"/>
      <c r="C229" s="252"/>
      <c r="D229" s="331"/>
      <c r="F229" s="250">
        <v>11700.0</v>
      </c>
      <c r="G229" s="2" t="s">
        <v>87</v>
      </c>
      <c r="I229" s="251"/>
    </row>
    <row r="230">
      <c r="A230" s="265"/>
      <c r="B230" s="268"/>
      <c r="C230" s="252"/>
      <c r="D230" s="331"/>
      <c r="F230" s="250">
        <v>400.0</v>
      </c>
      <c r="G230" s="2" t="s">
        <v>85</v>
      </c>
      <c r="I230" s="251"/>
    </row>
    <row r="231">
      <c r="A231" s="265"/>
      <c r="B231" s="268"/>
      <c r="C231" s="248"/>
      <c r="D231" s="822"/>
      <c r="F231" s="250">
        <v>1360.0</v>
      </c>
      <c r="G231" s="2" t="s">
        <v>2706</v>
      </c>
      <c r="I231" s="251"/>
    </row>
    <row r="232">
      <c r="A232" s="265"/>
      <c r="B232" s="247">
        <v>10700.0</v>
      </c>
      <c r="C232" s="248"/>
      <c r="D232" s="822"/>
      <c r="F232" s="250"/>
      <c r="G232" s="2" t="s">
        <v>79</v>
      </c>
      <c r="I232" s="251"/>
    </row>
    <row r="233">
      <c r="A233" s="265"/>
      <c r="B233" s="268"/>
      <c r="C233" s="248"/>
      <c r="D233" s="331"/>
      <c r="F233" s="250">
        <v>1278.0</v>
      </c>
      <c r="G233" s="2" t="s">
        <v>3201</v>
      </c>
      <c r="I233" s="251"/>
    </row>
    <row r="234">
      <c r="A234" s="265"/>
      <c r="B234" s="268"/>
      <c r="C234" s="252"/>
      <c r="D234" s="822"/>
      <c r="F234" s="250">
        <v>1000.0</v>
      </c>
      <c r="G234" s="2" t="s">
        <v>2534</v>
      </c>
      <c r="I234" s="251"/>
    </row>
    <row r="235">
      <c r="A235" s="265"/>
      <c r="B235" s="268"/>
      <c r="C235" s="252"/>
      <c r="D235" s="822"/>
      <c r="F235" s="250">
        <v>2000.0</v>
      </c>
      <c r="G235" s="248" t="s">
        <v>1735</v>
      </c>
      <c r="H235" s="252"/>
      <c r="I235" s="251"/>
    </row>
    <row r="236">
      <c r="A236" s="265"/>
      <c r="B236" s="268"/>
      <c r="C236" s="252"/>
      <c r="D236" s="822"/>
      <c r="F236" s="250"/>
      <c r="I236" s="251"/>
    </row>
    <row r="237">
      <c r="A237" s="265"/>
      <c r="B237" s="268"/>
      <c r="C237" s="252"/>
      <c r="D237" s="822"/>
      <c r="F237" s="250"/>
      <c r="I237" s="251"/>
    </row>
    <row r="238">
      <c r="A238" s="270"/>
      <c r="B238" s="271"/>
      <c r="C238" s="272"/>
      <c r="D238" s="823"/>
      <c r="E238" s="18"/>
      <c r="F238" s="274"/>
      <c r="G238" s="18"/>
      <c r="H238" s="18"/>
      <c r="I238" s="261"/>
    </row>
    <row r="239">
      <c r="A239" s="262" t="s">
        <v>274</v>
      </c>
      <c r="B239" s="239">
        <v>4126.63</v>
      </c>
      <c r="C239" s="263"/>
      <c r="D239" s="824"/>
      <c r="E239" s="242"/>
      <c r="F239" s="243"/>
      <c r="G239" s="244" t="s">
        <v>58</v>
      </c>
      <c r="H239" s="244"/>
      <c r="I239" s="307"/>
    </row>
    <row r="240">
      <c r="A240" s="265"/>
      <c r="B240" s="247"/>
      <c r="C240" s="252"/>
      <c r="D240" s="822"/>
      <c r="F240" s="250">
        <v>300.0</v>
      </c>
      <c r="G240" s="2" t="s">
        <v>3202</v>
      </c>
      <c r="I240" s="251"/>
    </row>
    <row r="241">
      <c r="A241" s="265"/>
      <c r="B241" s="247">
        <v>10250.0</v>
      </c>
      <c r="C241" s="252"/>
      <c r="D241" s="822"/>
      <c r="F241" s="250"/>
      <c r="G241" s="2" t="s">
        <v>73</v>
      </c>
      <c r="I241" s="251"/>
    </row>
    <row r="242">
      <c r="A242" s="265"/>
      <c r="B242" s="247">
        <v>8750.0</v>
      </c>
      <c r="C242" s="248"/>
      <c r="D242" s="822"/>
      <c r="F242" s="250"/>
      <c r="G242" s="2" t="s">
        <v>3203</v>
      </c>
      <c r="I242" s="251"/>
    </row>
    <row r="243">
      <c r="A243" s="265"/>
      <c r="B243" s="268"/>
      <c r="C243" s="252"/>
      <c r="D243" s="822"/>
      <c r="F243" s="250">
        <v>6100.0</v>
      </c>
      <c r="G243" s="2" t="s">
        <v>3003</v>
      </c>
      <c r="H243" s="252"/>
      <c r="I243" s="267" t="s">
        <v>3204</v>
      </c>
    </row>
    <row r="244">
      <c r="A244" s="265"/>
      <c r="B244" s="268"/>
      <c r="C244" s="248"/>
      <c r="D244" s="822"/>
      <c r="F244" s="250">
        <v>580.0</v>
      </c>
      <c r="G244" s="2" t="s">
        <v>3205</v>
      </c>
      <c r="I244" s="251"/>
    </row>
    <row r="245">
      <c r="A245" s="265"/>
      <c r="B245" s="268"/>
      <c r="C245" s="248"/>
      <c r="D245" s="822"/>
      <c r="F245" s="250">
        <v>4100.0</v>
      </c>
      <c r="G245" s="2" t="s">
        <v>76</v>
      </c>
      <c r="I245" s="251"/>
    </row>
    <row r="246">
      <c r="A246" s="265"/>
      <c r="B246" s="268"/>
      <c r="C246" s="252"/>
      <c r="D246" s="822"/>
      <c r="F246" s="250">
        <v>380.0</v>
      </c>
      <c r="G246" s="2" t="s">
        <v>3206</v>
      </c>
      <c r="I246" s="251"/>
    </row>
    <row r="247">
      <c r="A247" s="265"/>
      <c r="B247" s="268"/>
      <c r="C247" s="252"/>
      <c r="D247" s="822"/>
      <c r="F247" s="250">
        <v>2000.0</v>
      </c>
      <c r="G247" s="248" t="s">
        <v>1105</v>
      </c>
      <c r="H247" s="252"/>
      <c r="I247" s="251"/>
    </row>
    <row r="248">
      <c r="A248" s="265"/>
      <c r="B248" s="268"/>
      <c r="C248" s="252"/>
      <c r="D248" s="822"/>
      <c r="F248" s="250">
        <v>1000.0</v>
      </c>
      <c r="G248" s="2" t="s">
        <v>2534</v>
      </c>
      <c r="I248" s="251"/>
    </row>
    <row r="249">
      <c r="A249" s="265"/>
      <c r="B249" s="278"/>
      <c r="C249" s="252"/>
      <c r="D249" s="822"/>
      <c r="F249" s="250">
        <v>600.0</v>
      </c>
      <c r="G249" s="2" t="s">
        <v>653</v>
      </c>
      <c r="I249" s="251"/>
    </row>
    <row r="250">
      <c r="A250" s="265"/>
      <c r="B250" s="278"/>
      <c r="C250" s="252"/>
      <c r="D250" s="822"/>
      <c r="F250" s="250"/>
      <c r="I250" s="251"/>
    </row>
    <row r="251">
      <c r="A251" s="265"/>
      <c r="B251" s="278"/>
      <c r="C251" s="252"/>
      <c r="D251" s="822"/>
      <c r="F251" s="250">
        <v>685.0</v>
      </c>
      <c r="G251" s="2" t="s">
        <v>1735</v>
      </c>
      <c r="I251" s="251"/>
    </row>
    <row r="252">
      <c r="A252" s="270"/>
      <c r="B252" s="271"/>
      <c r="C252" s="272"/>
      <c r="D252" s="823"/>
      <c r="E252" s="18"/>
      <c r="F252" s="274"/>
      <c r="G252" s="18"/>
      <c r="H252" s="18"/>
      <c r="I252" s="261"/>
    </row>
    <row r="253">
      <c r="A253" s="262" t="s">
        <v>279</v>
      </c>
      <c r="B253" s="239"/>
      <c r="C253" s="240"/>
      <c r="D253" s="824"/>
      <c r="E253" s="242"/>
      <c r="F253" s="243">
        <v>200.0</v>
      </c>
      <c r="G253" s="244" t="s">
        <v>97</v>
      </c>
      <c r="H253" s="244"/>
      <c r="I253" s="307"/>
    </row>
    <row r="254">
      <c r="A254" s="265"/>
      <c r="B254" s="247">
        <v>3700.0</v>
      </c>
      <c r="C254" s="248"/>
      <c r="D254" s="822"/>
      <c r="F254" s="250"/>
      <c r="G254" s="2" t="s">
        <v>3120</v>
      </c>
      <c r="I254" s="251"/>
    </row>
    <row r="255">
      <c r="A255" s="265"/>
      <c r="B255" s="247"/>
      <c r="C255" s="252"/>
      <c r="D255" s="822"/>
      <c r="F255" s="250">
        <v>6200.0</v>
      </c>
      <c r="G255" s="2" t="s">
        <v>344</v>
      </c>
      <c r="I255" s="251"/>
    </row>
    <row r="256">
      <c r="A256" s="265"/>
      <c r="B256" s="268"/>
      <c r="C256" s="248">
        <v>16456.0</v>
      </c>
      <c r="D256" s="822"/>
      <c r="F256" s="250"/>
      <c r="G256" s="2" t="s">
        <v>84</v>
      </c>
      <c r="I256" s="251"/>
    </row>
    <row r="257">
      <c r="A257" s="265"/>
      <c r="B257" s="247"/>
      <c r="C257" s="248">
        <v>9201.2</v>
      </c>
      <c r="D257" s="822"/>
      <c r="F257" s="250"/>
      <c r="G257" s="2" t="s">
        <v>71</v>
      </c>
      <c r="I257" s="251"/>
    </row>
    <row r="258">
      <c r="A258" s="265"/>
      <c r="B258" s="247"/>
      <c r="C258" s="248"/>
      <c r="D258" s="331"/>
      <c r="F258" s="250">
        <v>4900.0</v>
      </c>
      <c r="G258" s="2" t="s">
        <v>3130</v>
      </c>
      <c r="I258" s="251"/>
    </row>
    <row r="259">
      <c r="A259" s="265"/>
      <c r="B259" s="268"/>
      <c r="C259" s="252"/>
      <c r="D259" s="331"/>
      <c r="F259" s="250">
        <v>1000.0</v>
      </c>
      <c r="G259" s="2" t="s">
        <v>3032</v>
      </c>
      <c r="I259" s="251"/>
    </row>
    <row r="260">
      <c r="A260" s="265"/>
      <c r="B260" s="268"/>
      <c r="C260" s="252"/>
      <c r="D260" s="822"/>
      <c r="F260" s="250">
        <v>5600.0</v>
      </c>
      <c r="G260" s="2" t="s">
        <v>128</v>
      </c>
      <c r="I260" s="251"/>
    </row>
    <row r="261">
      <c r="A261" s="265"/>
      <c r="B261" s="268"/>
      <c r="C261" s="252"/>
      <c r="D261" s="822"/>
      <c r="F261" s="250">
        <v>17500.0</v>
      </c>
      <c r="G261" s="2" t="s">
        <v>3207</v>
      </c>
      <c r="I261" s="251"/>
    </row>
    <row r="262">
      <c r="A262" s="265"/>
      <c r="B262" s="268"/>
      <c r="C262" s="252"/>
      <c r="D262" s="822"/>
      <c r="F262" s="250">
        <v>5400.0</v>
      </c>
      <c r="G262" s="2" t="s">
        <v>2669</v>
      </c>
      <c r="I262" s="251"/>
    </row>
    <row r="263">
      <c r="A263" s="265"/>
      <c r="B263" s="268"/>
      <c r="C263" s="252"/>
      <c r="D263" s="822"/>
      <c r="F263" s="250">
        <v>1330.0</v>
      </c>
      <c r="G263" s="845" t="s">
        <v>3208</v>
      </c>
      <c r="H263" s="846"/>
      <c r="I263" s="267" t="s">
        <v>3209</v>
      </c>
    </row>
    <row r="264">
      <c r="A264" s="265"/>
      <c r="B264" s="268"/>
      <c r="C264" s="252"/>
      <c r="D264" s="822"/>
      <c r="F264" s="250">
        <f>SUM(F228:F263)</f>
        <v>75952</v>
      </c>
      <c r="I264" s="251"/>
    </row>
    <row r="265">
      <c r="A265" s="265"/>
      <c r="B265" s="268"/>
      <c r="C265" s="252"/>
      <c r="D265" s="822"/>
      <c r="F265" s="250"/>
      <c r="I265" s="251"/>
    </row>
    <row r="266">
      <c r="A266" s="270"/>
      <c r="B266" s="271"/>
      <c r="C266" s="272"/>
      <c r="D266" s="823"/>
      <c r="E266" s="18"/>
      <c r="F266" s="274"/>
      <c r="G266" s="18"/>
      <c r="H266" s="18"/>
      <c r="I266" s="261"/>
    </row>
    <row r="267">
      <c r="A267" s="262" t="s">
        <v>281</v>
      </c>
      <c r="B267" s="239"/>
      <c r="C267" s="263"/>
      <c r="D267" s="821"/>
      <c r="E267" s="242"/>
      <c r="F267" s="243">
        <v>790.0</v>
      </c>
      <c r="G267" s="244" t="s">
        <v>97</v>
      </c>
      <c r="H267" s="244"/>
      <c r="I267" s="307"/>
    </row>
    <row r="268">
      <c r="A268" s="265"/>
      <c r="B268" s="247">
        <v>3917.39</v>
      </c>
      <c r="C268" s="252"/>
      <c r="D268" s="822"/>
      <c r="F268" s="250"/>
      <c r="G268" s="2" t="s">
        <v>82</v>
      </c>
      <c r="I268" s="251"/>
    </row>
    <row r="269">
      <c r="A269" s="265"/>
      <c r="B269" s="268"/>
      <c r="C269" s="252"/>
      <c r="D269" s="331"/>
      <c r="F269" s="250">
        <v>2000.0</v>
      </c>
      <c r="G269" s="2" t="s">
        <v>3210</v>
      </c>
      <c r="I269" s="251"/>
    </row>
    <row r="270">
      <c r="A270" s="265"/>
      <c r="B270" s="247"/>
      <c r="C270" s="252"/>
      <c r="D270" s="822"/>
      <c r="F270" s="250">
        <v>5800.0</v>
      </c>
      <c r="G270" s="2" t="s">
        <v>87</v>
      </c>
      <c r="I270" s="251"/>
    </row>
    <row r="271">
      <c r="A271" s="265"/>
      <c r="B271" s="247"/>
      <c r="C271" s="252"/>
      <c r="D271" s="822"/>
      <c r="F271" s="250">
        <v>1500.0</v>
      </c>
      <c r="G271" s="2" t="s">
        <v>2534</v>
      </c>
      <c r="I271" s="251"/>
    </row>
    <row r="272">
      <c r="A272" s="265"/>
      <c r="B272" s="247">
        <v>2280.0</v>
      </c>
      <c r="C272" s="252"/>
      <c r="D272" s="822"/>
      <c r="F272" s="250"/>
      <c r="G272" s="2" t="s">
        <v>2649</v>
      </c>
      <c r="I272" s="251"/>
    </row>
    <row r="273">
      <c r="A273" s="265"/>
      <c r="B273" s="247">
        <v>32367.5</v>
      </c>
      <c r="C273" s="252"/>
      <c r="D273" s="822"/>
      <c r="F273" s="250"/>
      <c r="G273" s="2" t="s">
        <v>167</v>
      </c>
      <c r="I273" s="251"/>
    </row>
    <row r="274">
      <c r="A274" s="265"/>
      <c r="B274" s="268"/>
      <c r="C274" s="252"/>
      <c r="D274" s="822"/>
      <c r="F274" s="250">
        <v>180.0</v>
      </c>
      <c r="G274" s="2" t="s">
        <v>3211</v>
      </c>
      <c r="I274" s="251"/>
    </row>
    <row r="275">
      <c r="A275" s="265"/>
      <c r="B275" s="268"/>
      <c r="C275" s="252"/>
      <c r="D275" s="822"/>
      <c r="F275" s="250">
        <v>2580.0</v>
      </c>
      <c r="G275" s="2" t="s">
        <v>275</v>
      </c>
      <c r="I275" s="251"/>
    </row>
    <row r="276">
      <c r="A276" s="265"/>
      <c r="B276" s="268"/>
      <c r="C276" s="252"/>
      <c r="D276" s="822"/>
      <c r="F276" s="250">
        <v>8720.0</v>
      </c>
      <c r="G276" s="2" t="s">
        <v>3212</v>
      </c>
      <c r="I276" s="251"/>
    </row>
    <row r="277">
      <c r="A277" s="265"/>
      <c r="B277" s="268"/>
      <c r="C277" s="252"/>
      <c r="D277" s="822"/>
      <c r="F277" s="250"/>
      <c r="I277" s="251"/>
    </row>
    <row r="278">
      <c r="A278" s="265"/>
      <c r="B278" s="268"/>
      <c r="C278" s="252"/>
      <c r="D278" s="822"/>
      <c r="F278" s="250"/>
      <c r="I278" s="251"/>
    </row>
    <row r="279">
      <c r="A279" s="270"/>
      <c r="B279" s="271"/>
      <c r="C279" s="272"/>
      <c r="D279" s="823"/>
      <c r="E279" s="18"/>
      <c r="F279" s="274">
        <f>SUM(F267:F278)</f>
        <v>21570</v>
      </c>
      <c r="G279" s="18"/>
      <c r="H279" s="18"/>
      <c r="I279" s="261"/>
    </row>
    <row r="280">
      <c r="A280" s="262" t="s">
        <v>284</v>
      </c>
      <c r="B280" s="239"/>
      <c r="C280" s="263"/>
      <c r="D280" s="824"/>
      <c r="E280" s="242"/>
      <c r="F280" s="243">
        <v>1500.0</v>
      </c>
      <c r="G280" s="244" t="s">
        <v>105</v>
      </c>
      <c r="H280" s="244"/>
      <c r="I280" s="307"/>
    </row>
    <row r="281">
      <c r="A281" s="265"/>
      <c r="B281" s="247"/>
      <c r="C281" s="252"/>
      <c r="D281" s="822"/>
      <c r="F281" s="250">
        <v>90.0</v>
      </c>
      <c r="G281" s="2" t="s">
        <v>3213</v>
      </c>
      <c r="I281" s="251"/>
    </row>
    <row r="282">
      <c r="A282" s="265"/>
      <c r="B282" s="247">
        <v>7850.0</v>
      </c>
      <c r="C282" s="252"/>
      <c r="D282" s="822"/>
      <c r="F282" s="250"/>
      <c r="G282" s="2" t="s">
        <v>150</v>
      </c>
      <c r="I282" s="251"/>
    </row>
    <row r="283">
      <c r="A283" s="265"/>
      <c r="B283" s="268"/>
      <c r="C283" s="248"/>
      <c r="D283" s="822"/>
      <c r="F283" s="250">
        <v>8000.0</v>
      </c>
      <c r="G283" s="2" t="s">
        <v>453</v>
      </c>
      <c r="I283" s="251"/>
    </row>
    <row r="284">
      <c r="A284" s="265"/>
      <c r="B284" s="247"/>
      <c r="C284" s="252"/>
      <c r="D284" s="822"/>
      <c r="F284" s="250"/>
      <c r="I284" s="251"/>
    </row>
    <row r="285">
      <c r="A285" s="265"/>
      <c r="B285" s="268"/>
      <c r="C285" s="248"/>
      <c r="D285" s="331"/>
      <c r="F285" s="250"/>
      <c r="I285" s="251"/>
    </row>
    <row r="286">
      <c r="A286" s="265"/>
      <c r="B286" s="247"/>
      <c r="C286" s="252"/>
      <c r="D286" s="331"/>
      <c r="F286" s="250"/>
      <c r="I286" s="251"/>
    </row>
    <row r="287">
      <c r="A287" s="265"/>
      <c r="B287" s="247"/>
      <c r="C287" s="248"/>
      <c r="D287" s="822"/>
      <c r="F287" s="250"/>
      <c r="I287" s="251"/>
    </row>
    <row r="288">
      <c r="A288" s="265"/>
      <c r="B288" s="268"/>
      <c r="C288" s="252"/>
      <c r="D288" s="331"/>
      <c r="F288" s="250"/>
      <c r="I288" s="251"/>
    </row>
    <row r="289">
      <c r="A289" s="265"/>
      <c r="B289" s="268"/>
      <c r="C289" s="252"/>
      <c r="D289" s="331"/>
      <c r="F289" s="250"/>
      <c r="I289" s="251"/>
    </row>
    <row r="290">
      <c r="A290" s="265"/>
      <c r="B290" s="268"/>
      <c r="C290" s="252"/>
      <c r="D290" s="822"/>
      <c r="F290" s="250"/>
      <c r="I290" s="251"/>
    </row>
    <row r="291">
      <c r="A291" s="265"/>
      <c r="B291" s="268"/>
      <c r="C291" s="252"/>
      <c r="D291" s="822"/>
      <c r="F291" s="250"/>
      <c r="I291" s="251"/>
    </row>
    <row r="292">
      <c r="A292" s="265"/>
      <c r="B292" s="268"/>
      <c r="C292" s="252"/>
      <c r="D292" s="822"/>
      <c r="F292" s="250"/>
      <c r="I292" s="251"/>
    </row>
    <row r="293">
      <c r="A293" s="270"/>
      <c r="B293" s="271"/>
      <c r="C293" s="272"/>
      <c r="D293" s="823"/>
      <c r="E293" s="18"/>
      <c r="F293" s="274"/>
      <c r="G293" s="18"/>
      <c r="H293" s="18"/>
      <c r="I293" s="261"/>
    </row>
    <row r="294">
      <c r="A294" s="262" t="s">
        <v>290</v>
      </c>
      <c r="B294" s="306"/>
      <c r="C294" s="263">
        <v>31379.79</v>
      </c>
      <c r="D294" s="824"/>
      <c r="E294" s="242"/>
      <c r="F294" s="243"/>
      <c r="G294" s="244" t="s">
        <v>71</v>
      </c>
      <c r="H294" s="244"/>
      <c r="I294" s="307"/>
    </row>
    <row r="295">
      <c r="A295" s="265"/>
      <c r="B295" s="247">
        <v>4095.29</v>
      </c>
      <c r="C295" s="248"/>
      <c r="D295" s="822"/>
      <c r="F295" s="250"/>
      <c r="G295" s="2" t="s">
        <v>82</v>
      </c>
      <c r="I295" s="251"/>
    </row>
    <row r="296">
      <c r="A296" s="265"/>
      <c r="B296" s="247"/>
      <c r="C296" s="248"/>
      <c r="D296" s="822"/>
      <c r="F296" s="250">
        <v>11700.0</v>
      </c>
      <c r="G296" s="2" t="s">
        <v>87</v>
      </c>
      <c r="I296" s="251"/>
    </row>
    <row r="297">
      <c r="A297" s="265"/>
      <c r="B297" s="247"/>
      <c r="C297" s="248"/>
      <c r="D297" s="822"/>
      <c r="F297" s="250"/>
      <c r="G297" s="2" t="s">
        <v>690</v>
      </c>
      <c r="I297" s="251"/>
    </row>
    <row r="298">
      <c r="A298" s="265"/>
      <c r="B298" s="268"/>
      <c r="C298" s="252"/>
      <c r="D298" s="822"/>
      <c r="F298" s="250">
        <v>4780.0</v>
      </c>
      <c r="G298" s="2" t="s">
        <v>3212</v>
      </c>
      <c r="I298" s="251"/>
    </row>
    <row r="299">
      <c r="A299" s="265"/>
      <c r="B299" s="268"/>
      <c r="C299" s="252"/>
      <c r="D299" s="822"/>
      <c r="F299" s="250">
        <v>272.0</v>
      </c>
      <c r="G299" s="2" t="s">
        <v>3202</v>
      </c>
      <c r="I299" s="251"/>
    </row>
    <row r="300">
      <c r="A300" s="265"/>
      <c r="B300" s="268"/>
      <c r="C300" s="248"/>
      <c r="D300" s="822"/>
      <c r="F300" s="250">
        <v>1000.0</v>
      </c>
      <c r="G300" s="2" t="s">
        <v>3118</v>
      </c>
      <c r="H300" s="2"/>
      <c r="I300" s="251"/>
    </row>
    <row r="301">
      <c r="A301" s="265"/>
      <c r="B301" s="247">
        <v>2200.0</v>
      </c>
      <c r="C301" s="252"/>
      <c r="D301" s="822"/>
      <c r="F301" s="250"/>
      <c r="G301" s="2" t="s">
        <v>228</v>
      </c>
      <c r="I301" s="251"/>
    </row>
    <row r="302">
      <c r="A302" s="265"/>
      <c r="B302" s="247"/>
      <c r="C302" s="252"/>
      <c r="D302" s="822"/>
      <c r="F302" s="250"/>
      <c r="H302" s="252"/>
      <c r="I302" s="251"/>
    </row>
    <row r="303">
      <c r="A303" s="265"/>
      <c r="B303" s="268"/>
      <c r="C303" s="252"/>
      <c r="D303" s="822"/>
      <c r="F303" s="250"/>
      <c r="I303" s="251"/>
    </row>
    <row r="304">
      <c r="A304" s="265"/>
      <c r="B304" s="268"/>
      <c r="C304" s="252"/>
      <c r="D304" s="822"/>
      <c r="F304" s="250"/>
      <c r="I304" s="251"/>
    </row>
    <row r="305">
      <c r="A305" s="265"/>
      <c r="B305" s="268"/>
      <c r="C305" s="252"/>
      <c r="D305" s="822"/>
      <c r="F305" s="250"/>
      <c r="I305" s="251"/>
    </row>
    <row r="306">
      <c r="A306" s="265"/>
      <c r="B306" s="268"/>
      <c r="C306" s="252"/>
      <c r="D306" s="822"/>
      <c r="F306" s="250"/>
      <c r="I306" s="251"/>
    </row>
    <row r="307">
      <c r="A307" s="265"/>
      <c r="B307" s="268"/>
      <c r="C307" s="252"/>
      <c r="D307" s="822"/>
      <c r="F307" s="250"/>
      <c r="I307" s="251"/>
    </row>
    <row r="308">
      <c r="A308" s="270"/>
      <c r="B308" s="271"/>
      <c r="C308" s="272"/>
      <c r="D308" s="823"/>
      <c r="E308" s="18"/>
      <c r="F308" s="274"/>
      <c r="G308" s="18"/>
      <c r="H308" s="18"/>
      <c r="I308" s="261"/>
    </row>
    <row r="309">
      <c r="A309" s="262" t="s">
        <v>298</v>
      </c>
      <c r="B309" s="239"/>
      <c r="C309" s="240"/>
      <c r="D309" s="821"/>
      <c r="E309" s="242"/>
      <c r="F309" s="250">
        <v>4120.0</v>
      </c>
      <c r="G309" s="2" t="s">
        <v>3214</v>
      </c>
      <c r="I309" s="307"/>
    </row>
    <row r="310">
      <c r="A310" s="265"/>
      <c r="B310" s="268"/>
      <c r="C310" s="252"/>
      <c r="D310" s="822"/>
      <c r="F310" s="250">
        <v>3900.0</v>
      </c>
      <c r="G310" s="2" t="s">
        <v>76</v>
      </c>
      <c r="I310" s="251"/>
    </row>
    <row r="311">
      <c r="A311" s="265"/>
      <c r="B311" s="268"/>
      <c r="C311" s="252"/>
      <c r="D311" s="331"/>
      <c r="F311" s="250">
        <v>323.0</v>
      </c>
      <c r="G311" s="2" t="s">
        <v>97</v>
      </c>
      <c r="I311" s="251"/>
    </row>
    <row r="312">
      <c r="A312" s="265"/>
      <c r="B312" s="247">
        <v>8730.97</v>
      </c>
      <c r="C312" s="248"/>
      <c r="D312" s="822"/>
      <c r="F312" s="250"/>
      <c r="G312" s="2" t="s">
        <v>74</v>
      </c>
      <c r="I312" s="251"/>
    </row>
    <row r="313">
      <c r="A313" s="265"/>
      <c r="B313" s="247">
        <v>2783.41</v>
      </c>
      <c r="C313" s="252"/>
      <c r="D313" s="822"/>
      <c r="F313" s="250"/>
      <c r="G313" s="2" t="s">
        <v>73</v>
      </c>
      <c r="I313" s="251"/>
    </row>
    <row r="314">
      <c r="A314" s="265"/>
      <c r="B314" s="247"/>
      <c r="C314" s="252"/>
      <c r="D314" s="822"/>
      <c r="F314" s="250">
        <v>1000.0</v>
      </c>
      <c r="G314" s="2" t="s">
        <v>2534</v>
      </c>
      <c r="I314" s="251"/>
    </row>
    <row r="315">
      <c r="A315" s="265"/>
      <c r="B315" s="268"/>
      <c r="C315" s="252"/>
      <c r="D315" s="331"/>
      <c r="F315" s="250"/>
      <c r="I315" s="251"/>
    </row>
    <row r="316">
      <c r="A316" s="265"/>
      <c r="B316" s="268"/>
      <c r="C316" s="252"/>
      <c r="D316" s="822"/>
      <c r="F316" s="250"/>
      <c r="I316" s="251"/>
    </row>
    <row r="317">
      <c r="A317" s="265"/>
      <c r="B317" s="268"/>
      <c r="C317" s="252"/>
      <c r="D317" s="822"/>
      <c r="F317" s="250"/>
      <c r="I317" s="251"/>
    </row>
    <row r="318">
      <c r="A318" s="265"/>
      <c r="B318" s="268"/>
      <c r="C318" s="252"/>
      <c r="D318" s="822"/>
      <c r="F318" s="250"/>
      <c r="I318" s="251"/>
    </row>
    <row r="319">
      <c r="A319" s="270"/>
      <c r="B319" s="271"/>
      <c r="C319" s="272"/>
      <c r="D319" s="823"/>
      <c r="E319" s="18"/>
      <c r="F319" s="274"/>
      <c r="G319" s="18"/>
      <c r="H319" s="18"/>
      <c r="I319" s="261"/>
    </row>
    <row r="320">
      <c r="A320" s="262" t="s">
        <v>354</v>
      </c>
      <c r="B320" s="239"/>
      <c r="C320" s="263"/>
      <c r="D320" s="824"/>
      <c r="E320" s="242"/>
      <c r="F320" s="243">
        <f>340+195</f>
        <v>535</v>
      </c>
      <c r="G320" s="244" t="s">
        <v>1750</v>
      </c>
      <c r="H320" s="244"/>
      <c r="I320" s="307"/>
    </row>
    <row r="321">
      <c r="A321" s="265"/>
      <c r="B321" s="247"/>
      <c r="C321" s="248"/>
      <c r="D321" s="822"/>
      <c r="F321" s="250">
        <v>1000.0</v>
      </c>
      <c r="G321" s="2" t="s">
        <v>3118</v>
      </c>
      <c r="I321" s="251"/>
    </row>
    <row r="322">
      <c r="A322" s="265"/>
      <c r="B322" s="268"/>
      <c r="C322" s="248"/>
      <c r="D322" s="822"/>
      <c r="F322" s="250">
        <v>1000.0</v>
      </c>
      <c r="G322" s="2" t="s">
        <v>2534</v>
      </c>
      <c r="I322" s="251"/>
    </row>
    <row r="323">
      <c r="A323" s="265"/>
      <c r="B323" s="268"/>
      <c r="C323" s="252"/>
      <c r="D323" s="822"/>
      <c r="F323" s="250"/>
      <c r="I323" s="251"/>
    </row>
    <row r="324">
      <c r="A324" s="265"/>
      <c r="B324" s="247"/>
      <c r="C324" s="248"/>
      <c r="D324" s="331"/>
      <c r="F324" s="250"/>
      <c r="I324" s="251"/>
    </row>
    <row r="325">
      <c r="A325" s="265"/>
      <c r="B325" s="247"/>
      <c r="C325" s="252"/>
      <c r="D325" s="822"/>
      <c r="F325" s="250"/>
      <c r="I325" s="251"/>
    </row>
    <row r="326">
      <c r="A326" s="265"/>
      <c r="B326" s="247"/>
      <c r="C326" s="252"/>
      <c r="D326" s="822"/>
      <c r="F326" s="250"/>
      <c r="I326" s="251"/>
    </row>
    <row r="327">
      <c r="A327" s="265"/>
      <c r="B327" s="268"/>
      <c r="C327" s="252"/>
      <c r="D327" s="822"/>
      <c r="F327" s="250"/>
      <c r="I327" s="251"/>
    </row>
    <row r="328">
      <c r="A328" s="265"/>
      <c r="B328" s="268"/>
      <c r="C328" s="252"/>
      <c r="D328" s="822"/>
      <c r="F328" s="250"/>
      <c r="I328" s="251"/>
    </row>
    <row r="329">
      <c r="A329" s="265"/>
      <c r="B329" s="247"/>
      <c r="C329" s="252"/>
      <c r="D329" s="822"/>
      <c r="F329" s="250"/>
      <c r="I329" s="251"/>
    </row>
    <row r="330">
      <c r="A330" s="270"/>
      <c r="B330" s="271"/>
      <c r="C330" s="272"/>
      <c r="D330" s="823"/>
      <c r="E330" s="18"/>
      <c r="F330" s="274"/>
      <c r="G330" s="18"/>
      <c r="H330" s="18"/>
      <c r="I330" s="261"/>
    </row>
    <row r="331">
      <c r="A331" s="262" t="s">
        <v>355</v>
      </c>
      <c r="B331" s="306"/>
      <c r="C331" s="240"/>
      <c r="D331" s="824"/>
      <c r="E331" s="242"/>
      <c r="F331" s="243">
        <v>5850.0</v>
      </c>
      <c r="G331" s="244" t="s">
        <v>87</v>
      </c>
      <c r="H331" s="244"/>
      <c r="I331" s="307"/>
    </row>
    <row r="332">
      <c r="A332" s="265"/>
      <c r="B332" s="247"/>
      <c r="C332" s="252"/>
      <c r="D332" s="822"/>
      <c r="F332" s="250">
        <v>5910.0</v>
      </c>
      <c r="G332" s="2" t="s">
        <v>3215</v>
      </c>
      <c r="I332" s="251"/>
    </row>
    <row r="333">
      <c r="A333" s="265"/>
      <c r="B333" s="247"/>
      <c r="C333" s="252"/>
      <c r="D333" s="822"/>
      <c r="F333" s="250">
        <v>108.0</v>
      </c>
      <c r="G333" s="2" t="s">
        <v>3216</v>
      </c>
      <c r="I333" s="251"/>
    </row>
    <row r="334">
      <c r="A334" s="265"/>
      <c r="B334" s="247"/>
      <c r="C334" s="248">
        <v>7334.0</v>
      </c>
      <c r="D334" s="331"/>
      <c r="F334" s="250"/>
      <c r="G334" s="2" t="s">
        <v>3217</v>
      </c>
      <c r="I334" s="251"/>
    </row>
    <row r="335">
      <c r="A335" s="265"/>
      <c r="B335" s="247">
        <v>14500.0</v>
      </c>
      <c r="C335" s="252"/>
      <c r="D335" s="822"/>
      <c r="F335" s="250"/>
      <c r="G335" s="2" t="s">
        <v>3218</v>
      </c>
      <c r="I335" s="251"/>
    </row>
    <row r="336">
      <c r="A336" s="265"/>
      <c r="B336" s="268"/>
      <c r="C336" s="252"/>
      <c r="D336" s="822"/>
      <c r="F336" s="250">
        <v>1000.0</v>
      </c>
      <c r="G336" s="2" t="s">
        <v>3006</v>
      </c>
      <c r="I336" s="251"/>
    </row>
    <row r="337">
      <c r="A337" s="265"/>
      <c r="B337" s="247"/>
      <c r="C337" s="252"/>
      <c r="D337" s="822"/>
      <c r="F337" s="250">
        <v>285.0</v>
      </c>
      <c r="G337" s="2" t="s">
        <v>1750</v>
      </c>
      <c r="H337" s="318"/>
      <c r="I337" s="251"/>
    </row>
    <row r="338">
      <c r="A338" s="265"/>
      <c r="B338" s="268"/>
      <c r="C338" s="252"/>
      <c r="D338" s="331"/>
      <c r="F338" s="250"/>
      <c r="I338" s="251"/>
    </row>
    <row r="339">
      <c r="A339" s="265"/>
      <c r="B339" s="268"/>
      <c r="C339" s="252"/>
      <c r="D339" s="822"/>
      <c r="F339" s="250"/>
      <c r="I339" s="251"/>
    </row>
    <row r="340">
      <c r="A340" s="265"/>
      <c r="B340" s="268"/>
      <c r="C340" s="252"/>
      <c r="D340" s="822"/>
      <c r="F340" s="250"/>
      <c r="I340" s="251"/>
    </row>
    <row r="341">
      <c r="A341" s="265"/>
      <c r="B341" s="268"/>
      <c r="C341" s="252"/>
      <c r="D341" s="822"/>
      <c r="F341" s="250"/>
      <c r="I341" s="251"/>
    </row>
    <row r="342">
      <c r="A342" s="265"/>
      <c r="B342" s="268"/>
      <c r="C342" s="252"/>
      <c r="D342" s="822"/>
      <c r="F342" s="250"/>
      <c r="I342" s="251"/>
    </row>
    <row r="343">
      <c r="A343" s="265"/>
      <c r="B343" s="268"/>
      <c r="C343" s="252"/>
      <c r="D343" s="822"/>
      <c r="F343" s="250"/>
      <c r="I343" s="251"/>
    </row>
    <row r="344">
      <c r="A344" s="265"/>
      <c r="B344" s="268"/>
      <c r="C344" s="252"/>
      <c r="D344" s="822"/>
      <c r="F344" s="250"/>
      <c r="I344" s="251"/>
    </row>
    <row r="345">
      <c r="A345" s="265"/>
      <c r="B345" s="268"/>
      <c r="C345" s="252"/>
      <c r="D345" s="822"/>
      <c r="F345" s="250"/>
      <c r="I345" s="251"/>
    </row>
    <row r="346">
      <c r="A346" s="265"/>
      <c r="B346" s="268"/>
      <c r="C346" s="252"/>
      <c r="D346" s="822"/>
      <c r="F346" s="250"/>
      <c r="I346" s="251"/>
    </row>
    <row r="347">
      <c r="A347" s="265"/>
      <c r="B347" s="268"/>
      <c r="C347" s="252"/>
      <c r="D347" s="822"/>
      <c r="F347" s="250"/>
      <c r="I347" s="251"/>
    </row>
    <row r="348">
      <c r="A348" s="270"/>
      <c r="B348" s="271"/>
      <c r="C348" s="272"/>
      <c r="D348" s="823"/>
      <c r="E348" s="18"/>
      <c r="F348" s="274"/>
      <c r="G348" s="18"/>
      <c r="H348" s="293" t="s">
        <v>2817</v>
      </c>
      <c r="I348" s="261"/>
    </row>
    <row r="349">
      <c r="A349" s="262" t="s">
        <v>187</v>
      </c>
      <c r="B349" s="239">
        <v>25687.7</v>
      </c>
      <c r="C349" s="240"/>
      <c r="D349" s="824"/>
      <c r="E349" s="242"/>
      <c r="F349" s="243"/>
      <c r="G349" s="2" t="s">
        <v>188</v>
      </c>
      <c r="H349" s="2" t="s">
        <v>3219</v>
      </c>
      <c r="I349" s="307"/>
    </row>
    <row r="350">
      <c r="A350" s="265"/>
      <c r="B350" s="247">
        <v>9237.0</v>
      </c>
      <c r="C350" s="248"/>
      <c r="D350" s="822"/>
      <c r="F350" s="250"/>
      <c r="G350" s="2" t="s">
        <v>2819</v>
      </c>
      <c r="H350" s="2" t="s">
        <v>3219</v>
      </c>
      <c r="I350" s="251"/>
    </row>
    <row r="351">
      <c r="A351" s="265"/>
      <c r="B351" s="268"/>
      <c r="C351" s="248"/>
      <c r="D351" s="331">
        <v>1724.0</v>
      </c>
      <c r="F351" s="250"/>
      <c r="G351" s="2" t="s">
        <v>2284</v>
      </c>
      <c r="H351" s="2" t="s">
        <v>3220</v>
      </c>
      <c r="I351" s="251"/>
    </row>
    <row r="352">
      <c r="A352" s="265"/>
      <c r="B352" s="268"/>
      <c r="C352" s="252"/>
      <c r="D352" s="331">
        <v>18150.0</v>
      </c>
      <c r="F352" s="250"/>
      <c r="G352" s="2" t="s">
        <v>192</v>
      </c>
      <c r="H352" s="2" t="s">
        <v>3220</v>
      </c>
      <c r="I352" s="251"/>
    </row>
    <row r="353">
      <c r="A353" s="265"/>
      <c r="B353" s="268"/>
      <c r="C353" s="252"/>
      <c r="D353" s="822"/>
      <c r="F353" s="250">
        <v>35000.0</v>
      </c>
      <c r="G353" s="2" t="s">
        <v>193</v>
      </c>
      <c r="H353" s="2" t="s">
        <v>3221</v>
      </c>
      <c r="I353" s="251"/>
    </row>
    <row r="354">
      <c r="A354" s="265"/>
      <c r="B354" s="268"/>
      <c r="C354" s="252"/>
      <c r="D354" s="822"/>
      <c r="F354" s="250"/>
      <c r="G354" s="2" t="s">
        <v>194</v>
      </c>
      <c r="I354" s="251"/>
    </row>
    <row r="355">
      <c r="A355" s="265"/>
      <c r="B355" s="268"/>
      <c r="C355" s="252"/>
      <c r="D355" s="822"/>
      <c r="F355" s="250"/>
      <c r="I355" s="251"/>
    </row>
    <row r="356">
      <c r="A356" s="265"/>
      <c r="B356" s="268"/>
      <c r="C356" s="252"/>
      <c r="D356" s="822"/>
      <c r="F356" s="250"/>
      <c r="G356" s="2" t="s">
        <v>2285</v>
      </c>
      <c r="H356" s="2" t="s">
        <v>2821</v>
      </c>
      <c r="I356" s="251"/>
    </row>
    <row r="357">
      <c r="A357" s="265"/>
      <c r="B357" s="268"/>
      <c r="C357" s="252"/>
      <c r="D357" s="822"/>
      <c r="F357" s="250"/>
      <c r="G357" s="2" t="s">
        <v>199</v>
      </c>
      <c r="H357" s="2" t="s">
        <v>2821</v>
      </c>
      <c r="I357" s="251"/>
    </row>
    <row r="358">
      <c r="A358" s="265"/>
      <c r="B358" s="268"/>
      <c r="C358" s="252"/>
      <c r="D358" s="822"/>
      <c r="F358" s="250"/>
      <c r="I358" s="251"/>
    </row>
    <row r="359">
      <c r="A359" s="270"/>
      <c r="B359" s="271"/>
      <c r="C359" s="272"/>
      <c r="D359" s="823"/>
      <c r="E359" s="18"/>
      <c r="F359" s="274"/>
      <c r="G359" s="18"/>
      <c r="H359" s="18"/>
      <c r="I359" s="261"/>
    </row>
    <row r="360">
      <c r="A360" s="262"/>
      <c r="B360" s="306"/>
      <c r="C360" s="240"/>
      <c r="D360" s="824"/>
      <c r="E360" s="242"/>
      <c r="F360" s="243"/>
      <c r="G360" s="244"/>
      <c r="H360" s="244"/>
      <c r="I360" s="307"/>
    </row>
    <row r="361">
      <c r="A361" s="265"/>
      <c r="B361" s="268"/>
      <c r="C361" s="248"/>
      <c r="D361" s="331"/>
      <c r="F361" s="250"/>
      <c r="I361" s="251"/>
    </row>
    <row r="362">
      <c r="A362" s="265"/>
      <c r="B362" s="268"/>
      <c r="C362" s="252"/>
      <c r="D362" s="331"/>
      <c r="F362" s="250"/>
      <c r="I362" s="251"/>
    </row>
    <row r="363">
      <c r="A363" s="265"/>
      <c r="B363" s="268"/>
      <c r="C363" s="252"/>
      <c r="D363" s="822"/>
      <c r="F363" s="250"/>
      <c r="I363" s="251"/>
    </row>
    <row r="364">
      <c r="A364" s="265"/>
      <c r="B364" s="268"/>
      <c r="C364" s="248"/>
      <c r="D364" s="331"/>
      <c r="F364" s="250"/>
      <c r="I364" s="251"/>
    </row>
    <row r="365">
      <c r="A365" s="265"/>
      <c r="B365" s="268"/>
      <c r="C365" s="252"/>
      <c r="D365" s="331"/>
      <c r="F365" s="250"/>
      <c r="I365" s="251"/>
    </row>
    <row r="366">
      <c r="A366" s="265"/>
      <c r="B366" s="268"/>
      <c r="C366" s="252"/>
      <c r="D366" s="822"/>
      <c r="F366" s="250"/>
      <c r="I366" s="251"/>
    </row>
    <row r="367">
      <c r="A367" s="265"/>
      <c r="B367" s="268"/>
      <c r="C367" s="252"/>
      <c r="D367" s="331"/>
      <c r="F367" s="250"/>
      <c r="I367" s="251"/>
    </row>
    <row r="368">
      <c r="A368" s="265"/>
      <c r="B368" s="268"/>
      <c r="C368" s="252"/>
      <c r="D368" s="822"/>
      <c r="F368" s="250"/>
      <c r="I368" s="251"/>
    </row>
    <row r="369">
      <c r="A369" s="265"/>
      <c r="B369" s="268"/>
      <c r="C369" s="252"/>
      <c r="D369" s="822"/>
      <c r="F369" s="250"/>
      <c r="I369" s="251"/>
    </row>
    <row r="370">
      <c r="A370" s="265"/>
      <c r="B370" s="268"/>
      <c r="C370" s="252"/>
      <c r="D370" s="331"/>
      <c r="F370" s="250"/>
      <c r="I370" s="251"/>
    </row>
    <row r="371">
      <c r="A371" s="265"/>
      <c r="B371" s="268"/>
      <c r="C371" s="252"/>
      <c r="D371" s="822"/>
      <c r="F371" s="250"/>
      <c r="I371" s="251"/>
    </row>
    <row r="372">
      <c r="A372" s="270"/>
      <c r="B372" s="271"/>
      <c r="C372" s="272"/>
      <c r="D372" s="823"/>
      <c r="E372" s="18"/>
      <c r="F372" s="274"/>
      <c r="G372" s="18"/>
      <c r="H372" s="18"/>
      <c r="I372" s="261"/>
    </row>
    <row r="373">
      <c r="A373" s="262"/>
      <c r="B373" s="306"/>
      <c r="C373" s="263"/>
      <c r="D373" s="824"/>
      <c r="E373" s="242"/>
      <c r="F373" s="243"/>
      <c r="G373" s="244"/>
      <c r="H373" s="244"/>
      <c r="I373" s="307"/>
    </row>
    <row r="374">
      <c r="A374" s="265"/>
      <c r="B374" s="268"/>
      <c r="C374" s="248"/>
      <c r="D374" s="331"/>
      <c r="F374" s="250"/>
      <c r="I374" s="251"/>
    </row>
    <row r="375">
      <c r="A375" s="265"/>
      <c r="B375" s="268"/>
      <c r="C375" s="252"/>
      <c r="D375" s="822"/>
      <c r="F375" s="250"/>
      <c r="I375" s="251"/>
    </row>
    <row r="376">
      <c r="A376" s="265"/>
      <c r="B376" s="268"/>
      <c r="C376" s="252"/>
      <c r="D376" s="822"/>
      <c r="F376" s="250"/>
      <c r="I376" s="251"/>
    </row>
    <row r="377">
      <c r="A377" s="265"/>
      <c r="B377" s="268"/>
      <c r="C377" s="252"/>
      <c r="D377" s="331"/>
      <c r="F377" s="250"/>
      <c r="I377" s="251"/>
    </row>
    <row r="378">
      <c r="A378" s="265"/>
      <c r="B378" s="268"/>
      <c r="C378" s="252"/>
      <c r="D378" s="822"/>
      <c r="F378" s="250"/>
      <c r="I378" s="251"/>
    </row>
    <row r="379">
      <c r="A379" s="265"/>
      <c r="B379" s="268"/>
      <c r="C379" s="252"/>
      <c r="D379" s="822"/>
      <c r="F379" s="250"/>
      <c r="I379" s="251"/>
    </row>
    <row r="380">
      <c r="A380" s="265"/>
      <c r="B380" s="268"/>
      <c r="C380" s="252"/>
      <c r="D380" s="822"/>
      <c r="F380" s="250"/>
      <c r="I380" s="251"/>
    </row>
    <row r="381">
      <c r="A381" s="265"/>
      <c r="B381" s="268"/>
      <c r="C381" s="252"/>
      <c r="D381" s="822"/>
      <c r="F381" s="250"/>
      <c r="I381" s="251"/>
    </row>
    <row r="382">
      <c r="A382" s="265"/>
      <c r="B382" s="278"/>
      <c r="C382" s="252"/>
      <c r="D382" s="822"/>
      <c r="F382" s="282"/>
      <c r="I382" s="251"/>
    </row>
    <row r="383">
      <c r="A383" s="265"/>
      <c r="B383" s="278"/>
      <c r="C383" s="252"/>
      <c r="D383" s="822"/>
      <c r="F383" s="282"/>
      <c r="I383" s="251"/>
    </row>
    <row r="384">
      <c r="A384" s="270"/>
      <c r="B384" s="271"/>
      <c r="C384" s="272"/>
      <c r="D384" s="823"/>
      <c r="E384" s="18"/>
      <c r="F384" s="274"/>
      <c r="G384" s="18"/>
      <c r="H384" s="18"/>
      <c r="I384" s="261"/>
    </row>
    <row r="385">
      <c r="A385" s="305"/>
      <c r="B385" s="306"/>
      <c r="C385" s="240"/>
      <c r="D385" s="824"/>
      <c r="E385" s="242"/>
      <c r="F385" s="243"/>
      <c r="G385" s="244"/>
      <c r="H385" s="244"/>
      <c r="I385" s="307"/>
    </row>
    <row r="386">
      <c r="A386" s="265"/>
      <c r="B386" s="268"/>
      <c r="C386" s="252"/>
      <c r="D386" s="331"/>
      <c r="F386" s="250"/>
      <c r="I386" s="251"/>
    </row>
    <row r="387">
      <c r="A387" s="265"/>
      <c r="B387" s="268"/>
      <c r="C387" s="252"/>
      <c r="D387" s="822"/>
      <c r="F387" s="250"/>
      <c r="I387" s="251"/>
    </row>
    <row r="388">
      <c r="A388" s="265"/>
      <c r="B388" s="268"/>
      <c r="C388" s="252"/>
      <c r="D388" s="331"/>
      <c r="F388" s="250"/>
      <c r="I388" s="251"/>
    </row>
    <row r="389">
      <c r="A389" s="265"/>
      <c r="B389" s="268"/>
      <c r="C389" s="252"/>
      <c r="D389" s="822"/>
      <c r="F389" s="250"/>
      <c r="I389" s="251"/>
    </row>
    <row r="390">
      <c r="A390" s="265"/>
      <c r="B390" s="268"/>
      <c r="C390" s="252"/>
      <c r="D390" s="331"/>
      <c r="F390" s="250"/>
      <c r="I390" s="251"/>
    </row>
    <row r="391">
      <c r="A391" s="265"/>
      <c r="B391" s="268"/>
      <c r="C391" s="252"/>
      <c r="D391" s="822"/>
      <c r="F391" s="250"/>
      <c r="I391" s="251"/>
    </row>
    <row r="392">
      <c r="A392" s="265"/>
      <c r="B392" s="268"/>
      <c r="C392" s="252"/>
      <c r="D392" s="822"/>
      <c r="F392" s="250"/>
      <c r="I392" s="251"/>
    </row>
    <row r="393">
      <c r="A393" s="265"/>
      <c r="B393" s="268"/>
      <c r="C393" s="252"/>
      <c r="D393" s="822"/>
      <c r="F393" s="250"/>
      <c r="I393" s="251"/>
    </row>
    <row r="394">
      <c r="A394" s="265"/>
      <c r="B394" s="268"/>
      <c r="C394" s="252"/>
      <c r="D394" s="822"/>
      <c r="F394" s="250"/>
      <c r="I394" s="251"/>
    </row>
    <row r="395">
      <c r="A395" s="265"/>
      <c r="B395" s="268"/>
      <c r="C395" s="252"/>
      <c r="D395" s="822"/>
      <c r="F395" s="250"/>
      <c r="I395" s="251"/>
    </row>
    <row r="396">
      <c r="A396" s="270"/>
      <c r="B396" s="271"/>
      <c r="C396" s="272"/>
      <c r="D396" s="823"/>
      <c r="E396" s="18"/>
      <c r="F396" s="274"/>
      <c r="G396" s="18"/>
      <c r="H396" s="18"/>
      <c r="I396" s="261"/>
    </row>
    <row r="397">
      <c r="A397" s="305"/>
      <c r="B397" s="306"/>
      <c r="C397" s="240"/>
      <c r="D397" s="824"/>
      <c r="E397" s="242"/>
      <c r="F397" s="243"/>
      <c r="G397" s="244"/>
      <c r="H397" s="244"/>
      <c r="I397" s="307"/>
    </row>
    <row r="398">
      <c r="A398" s="265"/>
      <c r="B398" s="268"/>
      <c r="C398" s="252"/>
      <c r="D398" s="822"/>
      <c r="F398" s="250"/>
      <c r="H398" s="252"/>
      <c r="I398" s="251"/>
    </row>
    <row r="399">
      <c r="A399" s="265"/>
      <c r="B399" s="268"/>
      <c r="C399" s="252"/>
      <c r="D399" s="822"/>
      <c r="F399" s="250"/>
      <c r="H399" s="252"/>
      <c r="I399" s="251"/>
    </row>
    <row r="400">
      <c r="A400" s="265"/>
      <c r="B400" s="268"/>
      <c r="C400" s="252"/>
      <c r="D400" s="822"/>
      <c r="F400" s="250"/>
      <c r="H400" s="252"/>
      <c r="I400" s="251"/>
    </row>
    <row r="401">
      <c r="A401" s="265"/>
      <c r="B401" s="268"/>
      <c r="C401" s="252"/>
      <c r="D401" s="822"/>
      <c r="F401" s="250"/>
      <c r="H401" s="252"/>
      <c r="I401" s="251"/>
    </row>
    <row r="402">
      <c r="A402" s="265"/>
      <c r="B402" s="268"/>
      <c r="C402" s="252"/>
      <c r="D402" s="822"/>
      <c r="F402" s="250"/>
      <c r="I402" s="251"/>
    </row>
    <row r="403">
      <c r="A403" s="265"/>
      <c r="B403" s="268"/>
      <c r="C403" s="252"/>
      <c r="D403" s="822"/>
      <c r="F403" s="250"/>
      <c r="I403" s="251"/>
    </row>
    <row r="404">
      <c r="A404" s="265"/>
      <c r="B404" s="268"/>
      <c r="C404" s="252"/>
      <c r="D404" s="822"/>
      <c r="F404" s="250"/>
      <c r="I404" s="251"/>
    </row>
    <row r="405">
      <c r="A405" s="265"/>
      <c r="B405" s="268"/>
      <c r="C405" s="252"/>
      <c r="D405" s="822"/>
      <c r="F405" s="250"/>
      <c r="I405" s="251"/>
    </row>
    <row r="406">
      <c r="A406" s="270"/>
      <c r="B406" s="271"/>
      <c r="C406" s="272"/>
      <c r="D406" s="823"/>
      <c r="E406" s="18"/>
      <c r="F406" s="274"/>
      <c r="G406" s="18"/>
      <c r="H406" s="18"/>
      <c r="I406" s="261"/>
    </row>
    <row r="407">
      <c r="A407" s="305"/>
      <c r="B407" s="306"/>
      <c r="C407" s="240"/>
      <c r="D407" s="824"/>
      <c r="E407" s="242"/>
      <c r="F407" s="243"/>
      <c r="G407" s="244"/>
      <c r="H407" s="244"/>
      <c r="I407" s="307"/>
    </row>
    <row r="408">
      <c r="A408" s="265"/>
      <c r="B408" s="268"/>
      <c r="C408" s="252"/>
      <c r="D408" s="822"/>
      <c r="F408" s="250"/>
      <c r="I408" s="251"/>
    </row>
    <row r="409">
      <c r="A409" s="265"/>
      <c r="B409" s="268"/>
      <c r="C409" s="252"/>
      <c r="D409" s="822"/>
      <c r="F409" s="250"/>
      <c r="I409" s="251"/>
    </row>
    <row r="410">
      <c r="A410" s="265"/>
      <c r="B410" s="268"/>
      <c r="C410" s="252"/>
      <c r="D410" s="822"/>
      <c r="F410" s="250"/>
      <c r="I410" s="251"/>
    </row>
    <row r="411">
      <c r="A411" s="265"/>
      <c r="B411" s="268"/>
      <c r="C411" s="252"/>
      <c r="D411" s="822"/>
      <c r="F411" s="250"/>
      <c r="I411" s="251"/>
    </row>
    <row r="412">
      <c r="A412" s="265"/>
      <c r="B412" s="268"/>
      <c r="C412" s="252"/>
      <c r="D412" s="822"/>
      <c r="F412" s="250"/>
      <c r="I412" s="251"/>
    </row>
    <row r="413">
      <c r="A413" s="265"/>
      <c r="B413" s="268"/>
      <c r="C413" s="252"/>
      <c r="D413" s="822"/>
      <c r="F413" s="250"/>
      <c r="I413" s="251"/>
    </row>
    <row r="414">
      <c r="A414" s="265"/>
      <c r="B414" s="268"/>
      <c r="C414" s="252"/>
      <c r="D414" s="822"/>
      <c r="F414" s="250"/>
      <c r="I414" s="251"/>
    </row>
    <row r="415">
      <c r="A415" s="265"/>
      <c r="B415" s="268"/>
      <c r="C415" s="252"/>
      <c r="D415" s="822"/>
      <c r="F415" s="250"/>
      <c r="I415" s="251"/>
    </row>
    <row r="416">
      <c r="A416" s="270"/>
      <c r="B416" s="271"/>
      <c r="C416" s="272"/>
      <c r="D416" s="823"/>
      <c r="E416" s="18"/>
      <c r="F416" s="274"/>
      <c r="G416" s="18"/>
      <c r="H416" s="18"/>
      <c r="I416" s="261"/>
    </row>
    <row r="417">
      <c r="B417" s="306"/>
      <c r="C417" s="240"/>
      <c r="D417" s="824"/>
      <c r="E417" s="242"/>
      <c r="F417" s="243"/>
      <c r="G417" s="244"/>
      <c r="H417" s="244"/>
      <c r="I417" s="307"/>
    </row>
    <row r="418">
      <c r="B418" s="268"/>
      <c r="C418" s="252"/>
      <c r="D418" s="822"/>
      <c r="F418" s="250"/>
      <c r="I418" s="251"/>
    </row>
    <row r="419">
      <c r="B419" s="268"/>
      <c r="C419" s="252"/>
      <c r="D419" s="822"/>
      <c r="F419" s="250"/>
      <c r="I419" s="251"/>
    </row>
    <row r="420">
      <c r="B420" s="308"/>
      <c r="C420" s="252"/>
      <c r="D420" s="822"/>
      <c r="F420" s="309"/>
      <c r="I420" s="302"/>
    </row>
    <row r="421">
      <c r="B421" s="308"/>
      <c r="C421" s="252"/>
      <c r="D421" s="822"/>
      <c r="F421" s="309"/>
      <c r="I421" s="302"/>
    </row>
    <row r="422">
      <c r="B422" s="308"/>
      <c r="C422" s="252"/>
      <c r="D422" s="822"/>
      <c r="F422" s="309"/>
      <c r="I422" s="302"/>
    </row>
    <row r="423">
      <c r="B423" s="308"/>
      <c r="C423" s="252"/>
      <c r="D423" s="822"/>
      <c r="F423" s="309"/>
      <c r="I423" s="302"/>
    </row>
    <row r="424">
      <c r="B424" s="308"/>
      <c r="C424" s="252"/>
      <c r="D424" s="822"/>
      <c r="F424" s="309"/>
      <c r="I424" s="302"/>
    </row>
    <row r="425">
      <c r="B425" s="308"/>
      <c r="C425" s="252"/>
      <c r="D425" s="822"/>
      <c r="F425" s="309"/>
      <c r="I425" s="302"/>
    </row>
    <row r="426">
      <c r="B426" s="308"/>
      <c r="C426" s="252"/>
      <c r="D426" s="822"/>
      <c r="F426" s="309"/>
      <c r="I426" s="302"/>
    </row>
    <row r="427">
      <c r="B427" s="308"/>
      <c r="C427" s="252"/>
      <c r="D427" s="822"/>
      <c r="F427" s="309"/>
      <c r="I427" s="302"/>
    </row>
    <row r="428">
      <c r="B428" s="308"/>
      <c r="C428" s="252"/>
      <c r="D428" s="822"/>
      <c r="F428" s="309"/>
      <c r="I428" s="302"/>
    </row>
    <row r="429">
      <c r="B429" s="308"/>
      <c r="C429" s="252"/>
      <c r="D429" s="822"/>
      <c r="F429" s="309"/>
      <c r="I429" s="302"/>
    </row>
    <row r="430">
      <c r="B430" s="308"/>
      <c r="C430" s="252"/>
      <c r="D430" s="822"/>
      <c r="F430" s="309"/>
      <c r="I430" s="302"/>
    </row>
    <row r="431">
      <c r="B431" s="308"/>
      <c r="C431" s="252"/>
      <c r="D431" s="822"/>
      <c r="F431" s="309"/>
      <c r="I431" s="302"/>
    </row>
    <row r="432">
      <c r="B432" s="308"/>
      <c r="C432" s="252"/>
      <c r="D432" s="822"/>
      <c r="F432" s="309"/>
      <c r="I432" s="302"/>
    </row>
    <row r="433">
      <c r="B433" s="308"/>
      <c r="C433" s="252"/>
      <c r="D433" s="822"/>
      <c r="F433" s="309"/>
      <c r="I433" s="302"/>
    </row>
    <row r="434">
      <c r="B434" s="308"/>
      <c r="C434" s="252"/>
      <c r="D434" s="822"/>
      <c r="F434" s="309"/>
      <c r="I434" s="302"/>
    </row>
    <row r="435">
      <c r="B435" s="308"/>
      <c r="C435" s="252"/>
      <c r="D435" s="822"/>
      <c r="F435" s="309"/>
      <c r="I435" s="302"/>
    </row>
    <row r="436">
      <c r="B436" s="308"/>
      <c r="C436" s="252"/>
      <c r="D436" s="822"/>
      <c r="F436" s="309"/>
      <c r="I436" s="302"/>
    </row>
    <row r="437">
      <c r="B437" s="308"/>
      <c r="C437" s="252"/>
      <c r="D437" s="822"/>
      <c r="F437" s="309"/>
      <c r="I437" s="302"/>
    </row>
    <row r="438">
      <c r="B438" s="308"/>
      <c r="C438" s="252"/>
      <c r="D438" s="822"/>
      <c r="F438" s="309"/>
      <c r="I438" s="302"/>
    </row>
    <row r="439">
      <c r="B439" s="308"/>
      <c r="C439" s="252"/>
      <c r="D439" s="822"/>
      <c r="F439" s="309"/>
      <c r="I439" s="302"/>
    </row>
    <row r="440">
      <c r="B440" s="308"/>
      <c r="C440" s="252"/>
      <c r="D440" s="822"/>
      <c r="F440" s="309"/>
      <c r="I440" s="302"/>
    </row>
    <row r="441">
      <c r="B441" s="308"/>
      <c r="C441" s="252"/>
      <c r="D441" s="822"/>
      <c r="F441" s="309"/>
      <c r="I441" s="302"/>
    </row>
    <row r="442">
      <c r="B442" s="308"/>
      <c r="C442" s="252"/>
      <c r="D442" s="822"/>
      <c r="F442" s="309"/>
      <c r="I442" s="302"/>
    </row>
    <row r="443">
      <c r="B443" s="308"/>
      <c r="C443" s="252"/>
      <c r="D443" s="822"/>
      <c r="F443" s="309"/>
      <c r="I443" s="302"/>
    </row>
    <row r="444">
      <c r="B444" s="308"/>
      <c r="C444" s="252"/>
      <c r="D444" s="822"/>
      <c r="F444" s="309"/>
      <c r="I444" s="302"/>
    </row>
    <row r="445">
      <c r="B445" s="308"/>
      <c r="C445" s="252"/>
      <c r="D445" s="822"/>
      <c r="F445" s="309"/>
      <c r="I445" s="302"/>
    </row>
    <row r="446">
      <c r="B446" s="308"/>
      <c r="C446" s="252"/>
      <c r="D446" s="822"/>
      <c r="F446" s="309"/>
      <c r="I446" s="302"/>
    </row>
    <row r="447">
      <c r="B447" s="308"/>
      <c r="C447" s="252"/>
      <c r="D447" s="822"/>
      <c r="F447" s="309"/>
      <c r="I447" s="302"/>
    </row>
    <row r="448">
      <c r="B448" s="308"/>
      <c r="C448" s="252"/>
      <c r="D448" s="822"/>
      <c r="F448" s="309"/>
      <c r="I448" s="302"/>
    </row>
    <row r="449">
      <c r="B449" s="308"/>
      <c r="C449" s="252"/>
      <c r="D449" s="822"/>
      <c r="F449" s="309"/>
      <c r="I449" s="302"/>
    </row>
    <row r="450">
      <c r="B450" s="308"/>
      <c r="C450" s="252"/>
      <c r="D450" s="822"/>
      <c r="F450" s="309"/>
      <c r="I450" s="302"/>
    </row>
    <row r="451">
      <c r="B451" s="308"/>
      <c r="C451" s="252"/>
      <c r="D451" s="822"/>
      <c r="F451" s="309"/>
      <c r="I451" s="302"/>
    </row>
    <row r="452">
      <c r="B452" s="308"/>
      <c r="C452" s="252"/>
      <c r="D452" s="822"/>
      <c r="F452" s="309"/>
      <c r="I452" s="302"/>
    </row>
    <row r="453">
      <c r="B453" s="308"/>
      <c r="C453" s="252"/>
      <c r="D453" s="822"/>
      <c r="F453" s="309"/>
      <c r="I453" s="302"/>
    </row>
    <row r="454">
      <c r="B454" s="308"/>
      <c r="C454" s="252"/>
      <c r="D454" s="822"/>
      <c r="F454" s="309"/>
      <c r="I454" s="302"/>
    </row>
    <row r="455">
      <c r="B455" s="308"/>
      <c r="C455" s="252"/>
      <c r="D455" s="822"/>
      <c r="F455" s="309"/>
      <c r="I455" s="302"/>
    </row>
    <row r="456">
      <c r="B456" s="308"/>
      <c r="C456" s="252"/>
      <c r="D456" s="822"/>
      <c r="F456" s="309"/>
      <c r="I456" s="302"/>
    </row>
    <row r="457">
      <c r="B457" s="308"/>
      <c r="C457" s="252"/>
      <c r="D457" s="822"/>
      <c r="F457" s="309"/>
      <c r="I457" s="302"/>
    </row>
    <row r="458">
      <c r="B458" s="308"/>
      <c r="C458" s="252"/>
      <c r="D458" s="822"/>
      <c r="F458" s="309"/>
      <c r="I458" s="302"/>
    </row>
    <row r="459">
      <c r="B459" s="308"/>
      <c r="C459" s="252"/>
      <c r="D459" s="822"/>
      <c r="F459" s="309"/>
      <c r="I459" s="302"/>
    </row>
    <row r="460">
      <c r="B460" s="308"/>
      <c r="C460" s="252"/>
      <c r="D460" s="822"/>
      <c r="F460" s="309"/>
      <c r="I460" s="302"/>
    </row>
    <row r="461">
      <c r="B461" s="308"/>
      <c r="C461" s="252"/>
      <c r="D461" s="822"/>
      <c r="F461" s="309"/>
      <c r="I461" s="302"/>
    </row>
    <row r="462">
      <c r="B462" s="308"/>
      <c r="C462" s="252"/>
      <c r="D462" s="822"/>
      <c r="F462" s="309"/>
      <c r="I462" s="302"/>
    </row>
    <row r="463">
      <c r="B463" s="308"/>
      <c r="C463" s="252"/>
      <c r="D463" s="822"/>
      <c r="F463" s="309"/>
      <c r="I463" s="302"/>
    </row>
    <row r="464">
      <c r="B464" s="308"/>
      <c r="C464" s="252"/>
      <c r="D464" s="822"/>
      <c r="F464" s="309"/>
      <c r="I464" s="302"/>
    </row>
    <row r="465">
      <c r="B465" s="308"/>
      <c r="C465" s="252"/>
      <c r="D465" s="822"/>
      <c r="F465" s="309"/>
      <c r="I465" s="302"/>
    </row>
    <row r="466">
      <c r="B466" s="308"/>
      <c r="C466" s="252"/>
      <c r="D466" s="822"/>
      <c r="F466" s="309"/>
      <c r="I466" s="302"/>
    </row>
    <row r="467">
      <c r="B467" s="308"/>
      <c r="C467" s="252"/>
      <c r="D467" s="822"/>
      <c r="F467" s="309"/>
      <c r="I467" s="302"/>
    </row>
    <row r="468">
      <c r="B468" s="308"/>
      <c r="C468" s="252"/>
      <c r="D468" s="822"/>
      <c r="F468" s="309"/>
      <c r="I468" s="302"/>
    </row>
    <row r="469">
      <c r="B469" s="308"/>
      <c r="C469" s="252"/>
      <c r="D469" s="822"/>
      <c r="F469" s="309"/>
      <c r="I469" s="302"/>
    </row>
    <row r="470">
      <c r="B470" s="308"/>
      <c r="C470" s="252"/>
      <c r="D470" s="822"/>
      <c r="F470" s="309"/>
      <c r="I470" s="302"/>
    </row>
    <row r="471">
      <c r="B471" s="308"/>
      <c r="C471" s="252"/>
      <c r="D471" s="822"/>
      <c r="F471" s="309"/>
      <c r="I471" s="302"/>
    </row>
    <row r="472">
      <c r="B472" s="308"/>
      <c r="C472" s="252"/>
      <c r="D472" s="822"/>
      <c r="F472" s="309"/>
      <c r="I472" s="302"/>
    </row>
    <row r="473">
      <c r="B473" s="308"/>
      <c r="C473" s="252"/>
      <c r="D473" s="822"/>
      <c r="F473" s="309"/>
      <c r="I473" s="302"/>
    </row>
    <row r="474">
      <c r="B474" s="308"/>
      <c r="C474" s="252"/>
      <c r="D474" s="822"/>
      <c r="F474" s="309"/>
      <c r="I474" s="302"/>
    </row>
    <row r="475">
      <c r="B475" s="308"/>
      <c r="C475" s="252"/>
      <c r="D475" s="822"/>
      <c r="F475" s="309"/>
      <c r="I475" s="302"/>
    </row>
    <row r="476">
      <c r="B476" s="308"/>
      <c r="C476" s="252"/>
      <c r="D476" s="822"/>
      <c r="F476" s="309"/>
      <c r="I476" s="302"/>
    </row>
    <row r="477">
      <c r="B477" s="308"/>
      <c r="C477" s="252"/>
      <c r="D477" s="822"/>
      <c r="F477" s="309"/>
      <c r="I477" s="302"/>
    </row>
    <row r="478">
      <c r="B478" s="308"/>
      <c r="C478" s="252"/>
      <c r="D478" s="822"/>
      <c r="F478" s="309"/>
      <c r="I478" s="302"/>
    </row>
    <row r="479">
      <c r="B479" s="308"/>
      <c r="C479" s="252"/>
      <c r="D479" s="822"/>
      <c r="F479" s="309"/>
      <c r="I479" s="302"/>
    </row>
    <row r="480">
      <c r="B480" s="308"/>
      <c r="C480" s="252"/>
      <c r="D480" s="822"/>
      <c r="F480" s="309"/>
      <c r="I480" s="302"/>
    </row>
    <row r="481">
      <c r="B481" s="308"/>
      <c r="C481" s="252"/>
      <c r="D481" s="822"/>
      <c r="F481" s="309"/>
      <c r="I481" s="302"/>
    </row>
    <row r="482">
      <c r="B482" s="308"/>
      <c r="C482" s="252"/>
      <c r="D482" s="822"/>
      <c r="F482" s="309"/>
      <c r="I482" s="302"/>
    </row>
    <row r="483">
      <c r="B483" s="308"/>
      <c r="C483" s="252"/>
      <c r="D483" s="822"/>
      <c r="F483" s="309"/>
      <c r="I483" s="302"/>
    </row>
    <row r="484">
      <c r="B484" s="308"/>
      <c r="C484" s="252"/>
      <c r="D484" s="822"/>
      <c r="F484" s="309"/>
      <c r="I484" s="302"/>
    </row>
    <row r="485">
      <c r="B485" s="308"/>
      <c r="C485" s="252"/>
      <c r="D485" s="822"/>
      <c r="F485" s="309"/>
      <c r="I485" s="302"/>
    </row>
    <row r="486">
      <c r="B486" s="308"/>
      <c r="C486" s="252"/>
      <c r="D486" s="822"/>
      <c r="F486" s="309"/>
      <c r="I486" s="302"/>
    </row>
    <row r="487">
      <c r="B487" s="308"/>
      <c r="C487" s="252"/>
      <c r="D487" s="822"/>
      <c r="F487" s="309"/>
      <c r="I487" s="302"/>
    </row>
    <row r="488">
      <c r="B488" s="308"/>
      <c r="C488" s="252"/>
      <c r="D488" s="822"/>
      <c r="F488" s="309"/>
      <c r="I488" s="302"/>
    </row>
    <row r="489">
      <c r="B489" s="308"/>
      <c r="C489" s="252"/>
      <c r="D489" s="822"/>
      <c r="F489" s="309"/>
      <c r="I489" s="302"/>
    </row>
    <row r="490">
      <c r="B490" s="308"/>
      <c r="C490" s="252"/>
      <c r="D490" s="822"/>
      <c r="F490" s="309"/>
      <c r="I490" s="302"/>
    </row>
    <row r="491">
      <c r="B491" s="308"/>
      <c r="C491" s="252"/>
      <c r="D491" s="822"/>
      <c r="F491" s="309"/>
      <c r="I491" s="302"/>
    </row>
    <row r="492">
      <c r="B492" s="308"/>
      <c r="C492" s="252"/>
      <c r="D492" s="822"/>
      <c r="F492" s="309"/>
      <c r="I492" s="302"/>
    </row>
    <row r="493">
      <c r="B493" s="308"/>
      <c r="C493" s="252"/>
      <c r="D493" s="822"/>
      <c r="F493" s="309"/>
      <c r="I493" s="302"/>
    </row>
    <row r="494">
      <c r="B494" s="308"/>
      <c r="C494" s="252"/>
      <c r="D494" s="822"/>
      <c r="F494" s="309"/>
      <c r="I494" s="302"/>
    </row>
    <row r="495">
      <c r="B495" s="308"/>
      <c r="C495" s="252"/>
      <c r="D495" s="822"/>
      <c r="F495" s="309"/>
      <c r="I495" s="302"/>
    </row>
    <row r="496">
      <c r="B496" s="308"/>
      <c r="C496" s="252"/>
      <c r="D496" s="822"/>
      <c r="F496" s="309"/>
      <c r="I496" s="302"/>
    </row>
    <row r="497">
      <c r="B497" s="308"/>
      <c r="C497" s="252"/>
      <c r="D497" s="822"/>
      <c r="F497" s="309"/>
      <c r="I497" s="302"/>
    </row>
    <row r="498">
      <c r="B498" s="308"/>
      <c r="C498" s="252"/>
      <c r="D498" s="822"/>
      <c r="F498" s="309"/>
      <c r="I498" s="302"/>
    </row>
    <row r="499">
      <c r="B499" s="308"/>
      <c r="C499" s="252"/>
      <c r="D499" s="822"/>
      <c r="F499" s="309"/>
      <c r="I499" s="302"/>
    </row>
    <row r="500">
      <c r="B500" s="308"/>
      <c r="C500" s="252"/>
      <c r="D500" s="822"/>
      <c r="F500" s="309"/>
      <c r="I500" s="302"/>
    </row>
    <row r="501">
      <c r="B501" s="308"/>
      <c r="C501" s="252"/>
      <c r="D501" s="822"/>
      <c r="F501" s="309"/>
      <c r="I501" s="302"/>
    </row>
    <row r="502">
      <c r="B502" s="308"/>
      <c r="C502" s="252"/>
      <c r="D502" s="822"/>
      <c r="F502" s="309"/>
      <c r="I502" s="302"/>
    </row>
    <row r="503">
      <c r="B503" s="308"/>
      <c r="C503" s="252"/>
      <c r="D503" s="822"/>
      <c r="F503" s="309"/>
      <c r="I503" s="302"/>
    </row>
    <row r="504">
      <c r="B504" s="308"/>
      <c r="C504" s="252"/>
      <c r="D504" s="822"/>
      <c r="F504" s="309"/>
      <c r="I504" s="302"/>
    </row>
    <row r="505">
      <c r="B505" s="308"/>
      <c r="C505" s="252"/>
      <c r="D505" s="822"/>
      <c r="F505" s="309"/>
      <c r="I505" s="302"/>
    </row>
    <row r="506">
      <c r="B506" s="308"/>
      <c r="C506" s="252"/>
      <c r="D506" s="822"/>
      <c r="F506" s="309"/>
      <c r="I506" s="302"/>
    </row>
    <row r="507">
      <c r="B507" s="308"/>
      <c r="C507" s="252"/>
      <c r="D507" s="822"/>
      <c r="F507" s="309"/>
      <c r="I507" s="302"/>
    </row>
    <row r="508">
      <c r="B508" s="308"/>
      <c r="C508" s="252"/>
      <c r="D508" s="822"/>
      <c r="F508" s="309"/>
      <c r="I508" s="302"/>
    </row>
    <row r="509">
      <c r="B509" s="308"/>
      <c r="C509" s="252"/>
      <c r="D509" s="822"/>
      <c r="F509" s="309"/>
      <c r="I509" s="302"/>
    </row>
    <row r="510">
      <c r="B510" s="308"/>
      <c r="C510" s="252"/>
      <c r="D510" s="822"/>
      <c r="F510" s="309"/>
      <c r="I510" s="302"/>
    </row>
    <row r="511">
      <c r="B511" s="308"/>
      <c r="C511" s="252"/>
      <c r="D511" s="822"/>
      <c r="F511" s="309"/>
      <c r="I511" s="302"/>
    </row>
    <row r="512">
      <c r="B512" s="308"/>
      <c r="C512" s="252"/>
      <c r="D512" s="822"/>
      <c r="F512" s="309"/>
      <c r="I512" s="302"/>
    </row>
    <row r="513">
      <c r="B513" s="308"/>
      <c r="C513" s="252"/>
      <c r="D513" s="822"/>
      <c r="F513" s="309"/>
      <c r="I513" s="302"/>
    </row>
    <row r="514">
      <c r="B514" s="308"/>
      <c r="C514" s="252"/>
      <c r="D514" s="822"/>
      <c r="F514" s="309"/>
      <c r="I514" s="302"/>
    </row>
    <row r="515">
      <c r="B515" s="308"/>
      <c r="C515" s="252"/>
      <c r="D515" s="822"/>
      <c r="F515" s="309"/>
      <c r="I515" s="302"/>
    </row>
    <row r="516">
      <c r="B516" s="308"/>
      <c r="C516" s="252"/>
      <c r="D516" s="822"/>
      <c r="F516" s="309"/>
      <c r="I516" s="302"/>
    </row>
    <row r="517">
      <c r="B517" s="308"/>
      <c r="C517" s="252"/>
      <c r="D517" s="822"/>
      <c r="F517" s="309"/>
      <c r="I517" s="302"/>
    </row>
    <row r="518">
      <c r="B518" s="308"/>
      <c r="C518" s="252"/>
      <c r="D518" s="822"/>
      <c r="F518" s="309"/>
      <c r="I518" s="302"/>
    </row>
    <row r="519">
      <c r="B519" s="308"/>
      <c r="C519" s="252"/>
      <c r="D519" s="822"/>
      <c r="F519" s="309"/>
      <c r="I519" s="302"/>
    </row>
    <row r="520">
      <c r="B520" s="308"/>
      <c r="C520" s="252"/>
      <c r="D520" s="822"/>
      <c r="F520" s="309"/>
      <c r="I520" s="302"/>
    </row>
    <row r="521">
      <c r="B521" s="308"/>
      <c r="C521" s="252"/>
      <c r="D521" s="822"/>
      <c r="F521" s="309"/>
      <c r="I521" s="302"/>
    </row>
    <row r="522">
      <c r="B522" s="308"/>
      <c r="C522" s="252"/>
      <c r="D522" s="822"/>
      <c r="F522" s="309"/>
      <c r="I522" s="302"/>
    </row>
    <row r="523">
      <c r="B523" s="308"/>
      <c r="C523" s="252"/>
      <c r="D523" s="822"/>
      <c r="F523" s="309"/>
      <c r="I523" s="302"/>
    </row>
    <row r="524">
      <c r="B524" s="308"/>
      <c r="C524" s="252"/>
      <c r="D524" s="822"/>
      <c r="F524" s="309"/>
      <c r="I524" s="302"/>
    </row>
    <row r="525">
      <c r="B525" s="308"/>
      <c r="C525" s="252"/>
      <c r="D525" s="822"/>
      <c r="F525" s="309"/>
      <c r="I525" s="302"/>
    </row>
    <row r="526">
      <c r="B526" s="308"/>
      <c r="C526" s="252"/>
      <c r="D526" s="822"/>
      <c r="F526" s="309"/>
      <c r="I526" s="302"/>
    </row>
    <row r="527">
      <c r="B527" s="308"/>
      <c r="C527" s="252"/>
      <c r="D527" s="822"/>
      <c r="F527" s="309"/>
      <c r="I527" s="302"/>
    </row>
    <row r="528">
      <c r="B528" s="308"/>
      <c r="C528" s="252"/>
      <c r="D528" s="822"/>
      <c r="F528" s="309"/>
      <c r="I528" s="302"/>
    </row>
    <row r="529">
      <c r="B529" s="308"/>
      <c r="C529" s="252"/>
      <c r="D529" s="822"/>
      <c r="F529" s="309"/>
      <c r="I529" s="302"/>
    </row>
    <row r="530">
      <c r="B530" s="308"/>
      <c r="C530" s="252"/>
      <c r="D530" s="822"/>
      <c r="F530" s="309"/>
      <c r="I530" s="302"/>
    </row>
    <row r="531">
      <c r="B531" s="308"/>
      <c r="C531" s="252"/>
      <c r="D531" s="822"/>
      <c r="F531" s="309"/>
      <c r="I531" s="302"/>
    </row>
    <row r="532">
      <c r="B532" s="308"/>
      <c r="C532" s="252"/>
      <c r="D532" s="822"/>
      <c r="F532" s="309"/>
      <c r="I532" s="302"/>
    </row>
    <row r="533">
      <c r="B533" s="308"/>
      <c r="C533" s="252"/>
      <c r="D533" s="822"/>
      <c r="F533" s="309"/>
      <c r="I533" s="302"/>
    </row>
    <row r="534">
      <c r="B534" s="308"/>
      <c r="C534" s="252"/>
      <c r="D534" s="822"/>
      <c r="F534" s="309"/>
      <c r="I534" s="302"/>
    </row>
    <row r="535">
      <c r="B535" s="308"/>
      <c r="C535" s="252"/>
      <c r="D535" s="822"/>
      <c r="F535" s="309"/>
      <c r="I535" s="302"/>
    </row>
    <row r="536">
      <c r="B536" s="308"/>
      <c r="C536" s="252"/>
      <c r="D536" s="822"/>
      <c r="F536" s="309"/>
      <c r="I536" s="302"/>
    </row>
    <row r="537">
      <c r="B537" s="308"/>
      <c r="C537" s="252"/>
      <c r="D537" s="822"/>
      <c r="F537" s="309"/>
      <c r="I537" s="302"/>
    </row>
    <row r="538">
      <c r="B538" s="308"/>
      <c r="C538" s="252"/>
      <c r="D538" s="822"/>
      <c r="F538" s="309"/>
      <c r="I538" s="302"/>
    </row>
    <row r="539">
      <c r="B539" s="308"/>
      <c r="C539" s="252"/>
      <c r="D539" s="822"/>
      <c r="F539" s="309"/>
      <c r="I539" s="302"/>
    </row>
    <row r="540">
      <c r="B540" s="308"/>
      <c r="C540" s="252"/>
      <c r="D540" s="822"/>
      <c r="F540" s="309"/>
      <c r="I540" s="302"/>
    </row>
    <row r="541">
      <c r="B541" s="308"/>
      <c r="C541" s="252"/>
      <c r="D541" s="822"/>
      <c r="F541" s="309"/>
      <c r="I541" s="302"/>
    </row>
    <row r="542">
      <c r="B542" s="308"/>
      <c r="C542" s="252"/>
      <c r="D542" s="822"/>
      <c r="F542" s="309"/>
      <c r="I542" s="302"/>
    </row>
    <row r="543">
      <c r="B543" s="308"/>
      <c r="C543" s="252"/>
      <c r="D543" s="822"/>
      <c r="F543" s="309"/>
      <c r="I543" s="302"/>
    </row>
    <row r="544">
      <c r="B544" s="308"/>
      <c r="C544" s="252"/>
      <c r="D544" s="822"/>
      <c r="F544" s="309"/>
      <c r="I544" s="302"/>
    </row>
    <row r="545">
      <c r="B545" s="308"/>
      <c r="C545" s="252"/>
      <c r="D545" s="822"/>
      <c r="F545" s="309"/>
      <c r="I545" s="302"/>
    </row>
    <row r="546">
      <c r="B546" s="308"/>
      <c r="C546" s="252"/>
      <c r="D546" s="822"/>
      <c r="F546" s="309"/>
      <c r="I546" s="302"/>
    </row>
    <row r="547">
      <c r="B547" s="308"/>
      <c r="C547" s="252"/>
      <c r="D547" s="822"/>
      <c r="F547" s="309"/>
      <c r="I547" s="302"/>
    </row>
    <row r="548">
      <c r="B548" s="308"/>
      <c r="C548" s="252"/>
      <c r="D548" s="822"/>
      <c r="F548" s="309"/>
      <c r="I548" s="302"/>
    </row>
    <row r="549">
      <c r="B549" s="308"/>
      <c r="C549" s="252"/>
      <c r="D549" s="822"/>
      <c r="F549" s="309"/>
      <c r="I549" s="302"/>
    </row>
    <row r="550">
      <c r="B550" s="308"/>
      <c r="C550" s="252"/>
      <c r="D550" s="822"/>
      <c r="F550" s="309"/>
      <c r="I550" s="302"/>
    </row>
    <row r="551">
      <c r="B551" s="308"/>
      <c r="C551" s="252"/>
      <c r="D551" s="822"/>
      <c r="F551" s="309"/>
      <c r="I551" s="302"/>
    </row>
    <row r="552">
      <c r="B552" s="308"/>
      <c r="C552" s="252"/>
      <c r="D552" s="822"/>
      <c r="F552" s="309"/>
      <c r="I552" s="302"/>
    </row>
    <row r="553">
      <c r="B553" s="308"/>
      <c r="C553" s="252"/>
      <c r="D553" s="822"/>
      <c r="F553" s="309"/>
      <c r="I553" s="302"/>
    </row>
    <row r="554">
      <c r="B554" s="308"/>
      <c r="C554" s="252"/>
      <c r="D554" s="822"/>
      <c r="F554" s="309"/>
      <c r="I554" s="302"/>
    </row>
    <row r="555">
      <c r="B555" s="308"/>
      <c r="C555" s="252"/>
      <c r="D555" s="822"/>
      <c r="F555" s="309"/>
      <c r="I555" s="302"/>
    </row>
    <row r="556">
      <c r="B556" s="308"/>
      <c r="C556" s="252"/>
      <c r="D556" s="822"/>
      <c r="F556" s="309"/>
      <c r="I556" s="302"/>
    </row>
    <row r="557">
      <c r="B557" s="308"/>
      <c r="C557" s="252"/>
      <c r="D557" s="822"/>
      <c r="F557" s="309"/>
      <c r="I557" s="302"/>
    </row>
    <row r="558">
      <c r="B558" s="308"/>
      <c r="C558" s="252"/>
      <c r="D558" s="822"/>
      <c r="F558" s="309"/>
      <c r="I558" s="302"/>
    </row>
    <row r="559">
      <c r="B559" s="308"/>
      <c r="C559" s="252"/>
      <c r="D559" s="822"/>
      <c r="F559" s="309"/>
      <c r="I559" s="302"/>
    </row>
    <row r="560">
      <c r="B560" s="308"/>
      <c r="C560" s="252"/>
      <c r="D560" s="822"/>
      <c r="F560" s="309"/>
      <c r="I560" s="302"/>
    </row>
    <row r="561">
      <c r="B561" s="308"/>
      <c r="C561" s="252"/>
      <c r="D561" s="822"/>
      <c r="F561" s="309"/>
      <c r="I561" s="302"/>
    </row>
    <row r="562">
      <c r="B562" s="308"/>
      <c r="C562" s="252"/>
      <c r="D562" s="822"/>
      <c r="F562" s="309"/>
      <c r="I562" s="302"/>
    </row>
    <row r="563">
      <c r="B563" s="308"/>
      <c r="C563" s="252"/>
      <c r="D563" s="822"/>
      <c r="F563" s="309"/>
      <c r="I563" s="302"/>
    </row>
    <row r="564">
      <c r="B564" s="308"/>
      <c r="C564" s="252"/>
      <c r="D564" s="822"/>
      <c r="F564" s="309"/>
      <c r="I564" s="302"/>
    </row>
    <row r="565">
      <c r="B565" s="308"/>
      <c r="C565" s="252"/>
      <c r="D565" s="822"/>
      <c r="F565" s="309"/>
      <c r="I565" s="302"/>
    </row>
    <row r="566">
      <c r="B566" s="308"/>
      <c r="C566" s="252"/>
      <c r="D566" s="822"/>
      <c r="F566" s="309"/>
      <c r="I566" s="302"/>
    </row>
    <row r="567">
      <c r="B567" s="308"/>
      <c r="C567" s="252"/>
      <c r="D567" s="822"/>
      <c r="F567" s="309"/>
      <c r="I567" s="302"/>
    </row>
    <row r="568">
      <c r="B568" s="308"/>
      <c r="C568" s="252"/>
      <c r="D568" s="822"/>
      <c r="F568" s="309"/>
      <c r="I568" s="302"/>
    </row>
    <row r="569">
      <c r="B569" s="308"/>
      <c r="C569" s="252"/>
      <c r="D569" s="822"/>
      <c r="F569" s="309"/>
      <c r="I569" s="302"/>
    </row>
    <row r="570">
      <c r="B570" s="308"/>
      <c r="C570" s="252"/>
      <c r="D570" s="822"/>
      <c r="F570" s="309"/>
      <c r="I570" s="302"/>
    </row>
    <row r="571">
      <c r="B571" s="308"/>
      <c r="C571" s="252"/>
      <c r="D571" s="822"/>
      <c r="F571" s="309"/>
      <c r="I571" s="302"/>
    </row>
    <row r="572">
      <c r="B572" s="308"/>
      <c r="C572" s="252"/>
      <c r="D572" s="822"/>
      <c r="F572" s="309"/>
      <c r="I572" s="302"/>
    </row>
    <row r="573">
      <c r="B573" s="308"/>
      <c r="C573" s="252"/>
      <c r="D573" s="822"/>
      <c r="F573" s="309"/>
      <c r="I573" s="302"/>
    </row>
    <row r="574">
      <c r="B574" s="308"/>
      <c r="C574" s="252"/>
      <c r="D574" s="822"/>
      <c r="F574" s="309"/>
      <c r="I574" s="302"/>
    </row>
    <row r="575">
      <c r="B575" s="308"/>
      <c r="C575" s="252"/>
      <c r="D575" s="822"/>
      <c r="F575" s="309"/>
      <c r="I575" s="302"/>
    </row>
    <row r="576">
      <c r="B576" s="308"/>
      <c r="C576" s="252"/>
      <c r="D576" s="822"/>
      <c r="F576" s="309"/>
      <c r="I576" s="302"/>
    </row>
    <row r="577">
      <c r="B577" s="308"/>
      <c r="C577" s="252"/>
      <c r="D577" s="822"/>
      <c r="F577" s="309"/>
      <c r="I577" s="302"/>
    </row>
    <row r="578">
      <c r="B578" s="308"/>
      <c r="C578" s="252"/>
      <c r="D578" s="822"/>
      <c r="F578" s="309"/>
      <c r="I578" s="302"/>
    </row>
    <row r="579">
      <c r="B579" s="308"/>
      <c r="C579" s="252"/>
      <c r="D579" s="822"/>
      <c r="F579" s="309"/>
      <c r="I579" s="302"/>
    </row>
    <row r="580">
      <c r="B580" s="308"/>
      <c r="C580" s="252"/>
      <c r="D580" s="822"/>
      <c r="F580" s="309"/>
      <c r="I580" s="302"/>
    </row>
    <row r="581">
      <c r="B581" s="308"/>
      <c r="C581" s="252"/>
      <c r="D581" s="822"/>
      <c r="F581" s="309"/>
      <c r="I581" s="302"/>
    </row>
    <row r="582">
      <c r="B582" s="308"/>
      <c r="C582" s="252"/>
      <c r="D582" s="822"/>
      <c r="F582" s="309"/>
      <c r="I582" s="302"/>
    </row>
    <row r="583">
      <c r="B583" s="308"/>
      <c r="C583" s="252"/>
      <c r="D583" s="822"/>
      <c r="F583" s="309"/>
      <c r="I583" s="302"/>
    </row>
    <row r="584">
      <c r="B584" s="308"/>
      <c r="C584" s="252"/>
      <c r="D584" s="822"/>
      <c r="F584" s="309"/>
      <c r="I584" s="302"/>
    </row>
    <row r="585">
      <c r="B585" s="308"/>
      <c r="C585" s="252"/>
      <c r="D585" s="822"/>
      <c r="F585" s="309"/>
      <c r="I585" s="302"/>
    </row>
    <row r="586">
      <c r="B586" s="308"/>
      <c r="C586" s="252"/>
      <c r="D586" s="822"/>
      <c r="F586" s="309"/>
      <c r="I586" s="302"/>
    </row>
    <row r="587">
      <c r="B587" s="308"/>
      <c r="C587" s="252"/>
      <c r="D587" s="822"/>
      <c r="F587" s="309"/>
      <c r="I587" s="302"/>
    </row>
    <row r="588">
      <c r="B588" s="308"/>
      <c r="C588" s="252"/>
      <c r="D588" s="822"/>
      <c r="F588" s="309"/>
      <c r="I588" s="302"/>
    </row>
    <row r="589">
      <c r="B589" s="308"/>
      <c r="C589" s="252"/>
      <c r="D589" s="822"/>
      <c r="F589" s="309"/>
      <c r="I589" s="302"/>
    </row>
    <row r="590">
      <c r="B590" s="308"/>
      <c r="C590" s="252"/>
      <c r="D590" s="822"/>
      <c r="F590" s="309"/>
      <c r="I590" s="302"/>
    </row>
    <row r="591">
      <c r="B591" s="308"/>
      <c r="C591" s="252"/>
      <c r="D591" s="822"/>
      <c r="F591" s="309"/>
      <c r="I591" s="302"/>
    </row>
    <row r="592">
      <c r="B592" s="308"/>
      <c r="C592" s="252"/>
      <c r="D592" s="822"/>
      <c r="F592" s="309"/>
      <c r="I592" s="302"/>
    </row>
    <row r="593">
      <c r="B593" s="308"/>
      <c r="C593" s="252"/>
      <c r="D593" s="822"/>
      <c r="F593" s="309"/>
      <c r="I593" s="302"/>
    </row>
    <row r="594">
      <c r="B594" s="308"/>
      <c r="C594" s="252"/>
      <c r="D594" s="822"/>
      <c r="F594" s="309"/>
      <c r="I594" s="302"/>
    </row>
    <row r="595">
      <c r="B595" s="308"/>
      <c r="C595" s="252"/>
      <c r="D595" s="822"/>
      <c r="F595" s="309"/>
      <c r="I595" s="302"/>
    </row>
    <row r="596">
      <c r="B596" s="308"/>
      <c r="C596" s="252"/>
      <c r="D596" s="822"/>
      <c r="F596" s="309"/>
      <c r="I596" s="302"/>
    </row>
    <row r="597">
      <c r="B597" s="308"/>
      <c r="C597" s="252"/>
      <c r="D597" s="822"/>
      <c r="F597" s="309"/>
      <c r="I597" s="302"/>
    </row>
    <row r="598">
      <c r="B598" s="308"/>
      <c r="C598" s="252"/>
      <c r="D598" s="822"/>
      <c r="F598" s="309"/>
      <c r="I598" s="302"/>
    </row>
    <row r="599">
      <c r="B599" s="308"/>
      <c r="C599" s="252"/>
      <c r="D599" s="822"/>
      <c r="F599" s="309"/>
      <c r="I599" s="302"/>
    </row>
    <row r="600">
      <c r="B600" s="308"/>
      <c r="C600" s="252"/>
      <c r="D600" s="822"/>
      <c r="F600" s="309"/>
      <c r="I600" s="302"/>
    </row>
    <row r="601">
      <c r="B601" s="308"/>
      <c r="C601" s="252"/>
      <c r="D601" s="822"/>
      <c r="F601" s="309"/>
      <c r="I601" s="302"/>
    </row>
    <row r="602">
      <c r="B602" s="308"/>
      <c r="C602" s="252"/>
      <c r="D602" s="822"/>
      <c r="F602" s="309"/>
      <c r="I602" s="302"/>
    </row>
    <row r="603">
      <c r="B603" s="308"/>
      <c r="C603" s="252"/>
      <c r="D603" s="822"/>
      <c r="F603" s="309"/>
      <c r="I603" s="302"/>
    </row>
    <row r="604">
      <c r="B604" s="308"/>
      <c r="C604" s="252"/>
      <c r="D604" s="822"/>
      <c r="F604" s="309"/>
      <c r="I604" s="302"/>
    </row>
    <row r="605">
      <c r="B605" s="308"/>
      <c r="C605" s="252"/>
      <c r="D605" s="822"/>
      <c r="F605" s="309"/>
      <c r="I605" s="302"/>
    </row>
    <row r="606">
      <c r="B606" s="308"/>
      <c r="C606" s="252"/>
      <c r="D606" s="822"/>
      <c r="F606" s="309"/>
      <c r="I606" s="302"/>
    </row>
    <row r="607">
      <c r="B607" s="308"/>
      <c r="C607" s="252"/>
      <c r="D607" s="822"/>
      <c r="F607" s="309"/>
      <c r="I607" s="302"/>
    </row>
    <row r="608">
      <c r="B608" s="308"/>
      <c r="C608" s="252"/>
      <c r="D608" s="822"/>
      <c r="F608" s="309"/>
      <c r="I608" s="302"/>
    </row>
    <row r="609">
      <c r="B609" s="308"/>
      <c r="C609" s="252"/>
      <c r="D609" s="822"/>
      <c r="F609" s="309"/>
      <c r="I609" s="302"/>
    </row>
    <row r="610">
      <c r="B610" s="308"/>
      <c r="C610" s="252"/>
      <c r="D610" s="822"/>
      <c r="F610" s="309"/>
      <c r="I610" s="302"/>
    </row>
    <row r="611">
      <c r="B611" s="308"/>
      <c r="C611" s="252"/>
      <c r="D611" s="822"/>
      <c r="F611" s="309"/>
      <c r="I611" s="302"/>
    </row>
    <row r="612">
      <c r="B612" s="308"/>
      <c r="C612" s="252"/>
      <c r="D612" s="822"/>
      <c r="F612" s="309"/>
      <c r="I612" s="302"/>
    </row>
    <row r="613">
      <c r="B613" s="308"/>
      <c r="C613" s="252"/>
      <c r="D613" s="822"/>
      <c r="F613" s="309"/>
      <c r="I613" s="302"/>
    </row>
    <row r="614">
      <c r="B614" s="308"/>
      <c r="C614" s="252"/>
      <c r="D614" s="822"/>
      <c r="F614" s="309"/>
      <c r="I614" s="302"/>
    </row>
    <row r="615">
      <c r="B615" s="308"/>
      <c r="C615" s="252"/>
      <c r="D615" s="822"/>
      <c r="F615" s="309"/>
      <c r="I615" s="302"/>
    </row>
    <row r="616">
      <c r="B616" s="308"/>
      <c r="C616" s="252"/>
      <c r="D616" s="822"/>
      <c r="F616" s="309"/>
      <c r="I616" s="302"/>
    </row>
    <row r="617">
      <c r="B617" s="308"/>
      <c r="C617" s="252"/>
      <c r="D617" s="822"/>
      <c r="F617" s="309"/>
      <c r="I617" s="302"/>
    </row>
    <row r="618">
      <c r="B618" s="308"/>
      <c r="C618" s="252"/>
      <c r="D618" s="822"/>
      <c r="F618" s="309"/>
      <c r="I618" s="302"/>
    </row>
    <row r="619">
      <c r="B619" s="308"/>
      <c r="C619" s="252"/>
      <c r="D619" s="822"/>
      <c r="F619" s="309"/>
      <c r="I619" s="302"/>
    </row>
    <row r="620">
      <c r="B620" s="308"/>
      <c r="C620" s="252"/>
      <c r="D620" s="822"/>
      <c r="F620" s="309"/>
      <c r="I620" s="302"/>
    </row>
    <row r="621">
      <c r="B621" s="308"/>
      <c r="C621" s="252"/>
      <c r="D621" s="822"/>
      <c r="F621" s="309"/>
      <c r="I621" s="302"/>
    </row>
    <row r="622">
      <c r="B622" s="308"/>
      <c r="C622" s="252"/>
      <c r="D622" s="822"/>
      <c r="F622" s="309"/>
      <c r="I622" s="302"/>
    </row>
    <row r="623">
      <c r="B623" s="308"/>
      <c r="C623" s="252"/>
      <c r="D623" s="822"/>
      <c r="F623" s="309"/>
      <c r="I623" s="302"/>
    </row>
    <row r="624">
      <c r="B624" s="308"/>
      <c r="C624" s="252"/>
      <c r="D624" s="822"/>
      <c r="F624" s="309"/>
      <c r="I624" s="302"/>
    </row>
    <row r="625">
      <c r="B625" s="308"/>
      <c r="C625" s="252"/>
      <c r="D625" s="822"/>
      <c r="F625" s="309"/>
      <c r="I625" s="302"/>
    </row>
    <row r="626">
      <c r="B626" s="308"/>
      <c r="C626" s="252"/>
      <c r="D626" s="822"/>
      <c r="F626" s="309"/>
      <c r="I626" s="302"/>
    </row>
    <row r="627">
      <c r="B627" s="308"/>
      <c r="C627" s="252"/>
      <c r="D627" s="822"/>
      <c r="F627" s="309"/>
      <c r="I627" s="302"/>
    </row>
    <row r="628">
      <c r="B628" s="308"/>
      <c r="C628" s="252"/>
      <c r="D628" s="822"/>
      <c r="F628" s="309"/>
      <c r="I628" s="302"/>
    </row>
    <row r="629">
      <c r="B629" s="308"/>
      <c r="C629" s="252"/>
      <c r="D629" s="822"/>
      <c r="F629" s="309"/>
      <c r="I629" s="302"/>
    </row>
    <row r="630">
      <c r="B630" s="308"/>
      <c r="C630" s="252"/>
      <c r="D630" s="822"/>
      <c r="F630" s="309"/>
      <c r="I630" s="302"/>
    </row>
    <row r="631">
      <c r="B631" s="308"/>
      <c r="C631" s="252"/>
      <c r="D631" s="822"/>
      <c r="F631" s="309"/>
      <c r="I631" s="302"/>
    </row>
    <row r="632">
      <c r="B632" s="308"/>
      <c r="C632" s="252"/>
      <c r="D632" s="822"/>
      <c r="F632" s="309"/>
      <c r="I632" s="302"/>
    </row>
    <row r="633">
      <c r="B633" s="308"/>
      <c r="C633" s="252"/>
      <c r="D633" s="822"/>
      <c r="F633" s="309"/>
      <c r="I633" s="302"/>
    </row>
    <row r="634">
      <c r="B634" s="308"/>
      <c r="C634" s="252"/>
      <c r="D634" s="822"/>
      <c r="F634" s="309"/>
      <c r="I634" s="302"/>
    </row>
    <row r="635">
      <c r="B635" s="308"/>
      <c r="C635" s="252"/>
      <c r="D635" s="822"/>
      <c r="F635" s="309"/>
      <c r="I635" s="302"/>
    </row>
    <row r="636">
      <c r="B636" s="308"/>
      <c r="C636" s="252"/>
      <c r="D636" s="822"/>
      <c r="F636" s="309"/>
      <c r="I636" s="302"/>
    </row>
    <row r="637">
      <c r="B637" s="308"/>
      <c r="C637" s="252"/>
      <c r="D637" s="822"/>
      <c r="F637" s="309"/>
      <c r="I637" s="302"/>
    </row>
    <row r="638">
      <c r="B638" s="308"/>
      <c r="C638" s="252"/>
      <c r="D638" s="822"/>
      <c r="F638" s="309"/>
      <c r="I638" s="302"/>
    </row>
    <row r="639">
      <c r="B639" s="308"/>
      <c r="C639" s="252"/>
      <c r="D639" s="822"/>
      <c r="F639" s="309"/>
      <c r="I639" s="302"/>
    </row>
    <row r="640">
      <c r="B640" s="308"/>
      <c r="C640" s="252"/>
      <c r="D640" s="822"/>
      <c r="F640" s="309"/>
      <c r="I640" s="302"/>
    </row>
    <row r="641">
      <c r="B641" s="308"/>
      <c r="C641" s="252"/>
      <c r="D641" s="822"/>
      <c r="F641" s="309"/>
      <c r="I641" s="302"/>
    </row>
    <row r="642">
      <c r="B642" s="308"/>
      <c r="C642" s="252"/>
      <c r="D642" s="822"/>
      <c r="F642" s="309"/>
      <c r="I642" s="302"/>
    </row>
    <row r="643">
      <c r="B643" s="308"/>
      <c r="C643" s="252"/>
      <c r="D643" s="822"/>
      <c r="F643" s="309"/>
      <c r="I643" s="302"/>
    </row>
    <row r="644">
      <c r="B644" s="308"/>
      <c r="C644" s="252"/>
      <c r="D644" s="822"/>
      <c r="F644" s="309"/>
      <c r="I644" s="302"/>
    </row>
    <row r="645">
      <c r="B645" s="308"/>
      <c r="C645" s="252"/>
      <c r="D645" s="822"/>
      <c r="F645" s="309"/>
      <c r="I645" s="302"/>
    </row>
    <row r="646">
      <c r="B646" s="308"/>
      <c r="C646" s="252"/>
      <c r="D646" s="822"/>
      <c r="F646" s="309"/>
      <c r="I646" s="302"/>
    </row>
    <row r="647">
      <c r="B647" s="308"/>
      <c r="C647" s="252"/>
      <c r="D647" s="822"/>
      <c r="F647" s="309"/>
      <c r="I647" s="302"/>
    </row>
    <row r="648">
      <c r="B648" s="308"/>
      <c r="C648" s="252"/>
      <c r="D648" s="822"/>
      <c r="F648" s="309"/>
      <c r="I648" s="302"/>
    </row>
    <row r="649">
      <c r="B649" s="308"/>
      <c r="C649" s="252"/>
      <c r="D649" s="822"/>
      <c r="F649" s="309"/>
      <c r="I649" s="302"/>
    </row>
    <row r="650">
      <c r="B650" s="308"/>
      <c r="C650" s="252"/>
      <c r="D650" s="822"/>
      <c r="F650" s="309"/>
      <c r="I650" s="302"/>
    </row>
    <row r="651">
      <c r="B651" s="308"/>
      <c r="C651" s="252"/>
      <c r="D651" s="822"/>
      <c r="F651" s="309"/>
      <c r="I651" s="302"/>
    </row>
    <row r="652">
      <c r="B652" s="308"/>
      <c r="C652" s="252"/>
      <c r="D652" s="822"/>
      <c r="F652" s="309"/>
      <c r="I652" s="302"/>
    </row>
    <row r="653">
      <c r="B653" s="308"/>
      <c r="C653" s="252"/>
      <c r="D653" s="822"/>
      <c r="F653" s="309"/>
      <c r="I653" s="302"/>
    </row>
    <row r="654">
      <c r="B654" s="308"/>
      <c r="C654" s="252"/>
      <c r="D654" s="822"/>
      <c r="F654" s="309"/>
      <c r="I654" s="302"/>
    </row>
    <row r="655">
      <c r="B655" s="308"/>
      <c r="C655" s="252"/>
      <c r="D655" s="822"/>
      <c r="F655" s="309"/>
      <c r="I655" s="302"/>
    </row>
    <row r="656">
      <c r="B656" s="308"/>
      <c r="C656" s="252"/>
      <c r="D656" s="822"/>
      <c r="F656" s="309"/>
      <c r="I656" s="302"/>
    </row>
    <row r="657">
      <c r="B657" s="308"/>
      <c r="C657" s="252"/>
      <c r="D657" s="822"/>
      <c r="F657" s="309"/>
      <c r="I657" s="302"/>
    </row>
    <row r="658">
      <c r="B658" s="308"/>
      <c r="C658" s="252"/>
      <c r="D658" s="822"/>
      <c r="F658" s="309"/>
      <c r="I658" s="302"/>
    </row>
    <row r="659">
      <c r="B659" s="308"/>
      <c r="C659" s="252"/>
      <c r="D659" s="822"/>
      <c r="F659" s="309"/>
      <c r="I659" s="302"/>
    </row>
    <row r="660">
      <c r="B660" s="308"/>
      <c r="C660" s="252"/>
      <c r="D660" s="822"/>
      <c r="F660" s="309"/>
      <c r="I660" s="302"/>
    </row>
    <row r="661">
      <c r="B661" s="308"/>
      <c r="C661" s="252"/>
      <c r="D661" s="822"/>
      <c r="F661" s="309"/>
      <c r="I661" s="302"/>
    </row>
    <row r="662">
      <c r="B662" s="308"/>
      <c r="C662" s="252"/>
      <c r="D662" s="822"/>
      <c r="F662" s="309"/>
      <c r="I662" s="302"/>
    </row>
    <row r="663">
      <c r="B663" s="308"/>
      <c r="C663" s="252"/>
      <c r="D663" s="822"/>
      <c r="F663" s="309"/>
      <c r="I663" s="302"/>
    </row>
    <row r="664">
      <c r="B664" s="308"/>
      <c r="C664" s="252"/>
      <c r="D664" s="822"/>
      <c r="F664" s="309"/>
      <c r="I664" s="302"/>
    </row>
    <row r="665">
      <c r="B665" s="308"/>
      <c r="C665" s="252"/>
      <c r="D665" s="822"/>
      <c r="F665" s="309"/>
      <c r="I665" s="302"/>
    </row>
    <row r="666">
      <c r="B666" s="308"/>
      <c r="C666" s="252"/>
      <c r="D666" s="822"/>
      <c r="F666" s="309"/>
      <c r="I666" s="302"/>
    </row>
    <row r="667">
      <c r="B667" s="308"/>
      <c r="C667" s="252"/>
      <c r="D667" s="822"/>
      <c r="F667" s="309"/>
      <c r="I667" s="302"/>
    </row>
    <row r="668">
      <c r="B668" s="308"/>
      <c r="C668" s="252"/>
      <c r="D668" s="822"/>
      <c r="F668" s="309"/>
      <c r="I668" s="302"/>
    </row>
    <row r="669">
      <c r="B669" s="308"/>
      <c r="C669" s="252"/>
      <c r="D669" s="822"/>
      <c r="F669" s="309"/>
      <c r="I669" s="302"/>
    </row>
    <row r="670">
      <c r="B670" s="308"/>
      <c r="C670" s="252"/>
      <c r="D670" s="822"/>
      <c r="F670" s="309"/>
      <c r="I670" s="302"/>
    </row>
    <row r="671">
      <c r="B671" s="308"/>
      <c r="C671" s="252"/>
      <c r="D671" s="822"/>
      <c r="F671" s="309"/>
      <c r="I671" s="302"/>
    </row>
    <row r="672">
      <c r="B672" s="308"/>
      <c r="C672" s="252"/>
      <c r="D672" s="822"/>
      <c r="F672" s="309"/>
      <c r="I672" s="302"/>
    </row>
    <row r="673">
      <c r="B673" s="308"/>
      <c r="C673" s="252"/>
      <c r="D673" s="822"/>
      <c r="F673" s="309"/>
      <c r="I673" s="302"/>
    </row>
    <row r="674">
      <c r="B674" s="308"/>
      <c r="C674" s="252"/>
      <c r="D674" s="822"/>
      <c r="F674" s="309"/>
      <c r="I674" s="302"/>
    </row>
    <row r="675">
      <c r="B675" s="308"/>
      <c r="C675" s="252"/>
      <c r="D675" s="822"/>
      <c r="F675" s="309"/>
      <c r="I675" s="302"/>
    </row>
    <row r="676">
      <c r="B676" s="308"/>
      <c r="C676" s="252"/>
      <c r="D676" s="822"/>
      <c r="F676" s="309"/>
      <c r="I676" s="302"/>
    </row>
    <row r="677">
      <c r="B677" s="308"/>
      <c r="C677" s="252"/>
      <c r="D677" s="822"/>
      <c r="F677" s="309"/>
      <c r="I677" s="302"/>
    </row>
    <row r="678">
      <c r="B678" s="308"/>
      <c r="C678" s="252"/>
      <c r="D678" s="822"/>
      <c r="F678" s="309"/>
      <c r="I678" s="302"/>
    </row>
    <row r="679">
      <c r="B679" s="308"/>
      <c r="C679" s="252"/>
      <c r="D679" s="822"/>
      <c r="F679" s="309"/>
      <c r="I679" s="302"/>
    </row>
    <row r="680">
      <c r="B680" s="308"/>
      <c r="C680" s="252"/>
      <c r="D680" s="822"/>
      <c r="F680" s="309"/>
      <c r="I680" s="302"/>
    </row>
    <row r="681">
      <c r="B681" s="308"/>
      <c r="C681" s="252"/>
      <c r="D681" s="822"/>
      <c r="F681" s="309"/>
      <c r="I681" s="302"/>
    </row>
    <row r="682">
      <c r="B682" s="308"/>
      <c r="C682" s="252"/>
      <c r="D682" s="822"/>
      <c r="F682" s="309"/>
      <c r="I682" s="302"/>
    </row>
    <row r="683">
      <c r="B683" s="308"/>
      <c r="C683" s="252"/>
      <c r="D683" s="822"/>
      <c r="F683" s="309"/>
      <c r="I683" s="302"/>
    </row>
    <row r="684">
      <c r="B684" s="308"/>
      <c r="C684" s="252"/>
      <c r="D684" s="822"/>
      <c r="F684" s="309"/>
      <c r="I684" s="302"/>
    </row>
    <row r="685">
      <c r="B685" s="308"/>
      <c r="C685" s="252"/>
      <c r="D685" s="822"/>
      <c r="F685" s="309"/>
      <c r="I685" s="302"/>
    </row>
    <row r="686">
      <c r="B686" s="308"/>
      <c r="C686" s="252"/>
      <c r="D686" s="822"/>
      <c r="F686" s="309"/>
      <c r="I686" s="302"/>
    </row>
    <row r="687">
      <c r="B687" s="308"/>
      <c r="C687" s="252"/>
      <c r="D687" s="822"/>
      <c r="F687" s="309"/>
      <c r="I687" s="302"/>
    </row>
    <row r="688">
      <c r="B688" s="308"/>
      <c r="C688" s="252"/>
      <c r="D688" s="822"/>
      <c r="F688" s="309"/>
      <c r="I688" s="302"/>
    </row>
    <row r="689">
      <c r="B689" s="308"/>
      <c r="C689" s="252"/>
      <c r="D689" s="822"/>
      <c r="F689" s="309"/>
      <c r="I689" s="302"/>
    </row>
    <row r="690">
      <c r="B690" s="308"/>
      <c r="C690" s="252"/>
      <c r="D690" s="822"/>
      <c r="F690" s="309"/>
      <c r="I690" s="302"/>
    </row>
    <row r="691">
      <c r="B691" s="308"/>
      <c r="C691" s="252"/>
      <c r="D691" s="822"/>
      <c r="F691" s="309"/>
      <c r="I691" s="302"/>
    </row>
    <row r="692">
      <c r="B692" s="308"/>
      <c r="C692" s="252"/>
      <c r="D692" s="822"/>
      <c r="F692" s="309"/>
      <c r="I692" s="302"/>
    </row>
    <row r="693">
      <c r="B693" s="308"/>
      <c r="C693" s="252"/>
      <c r="D693" s="822"/>
      <c r="F693" s="309"/>
      <c r="I693" s="302"/>
    </row>
    <row r="694">
      <c r="B694" s="308"/>
      <c r="C694" s="252"/>
      <c r="D694" s="822"/>
      <c r="F694" s="309"/>
      <c r="I694" s="302"/>
    </row>
    <row r="695">
      <c r="B695" s="308"/>
      <c r="C695" s="252"/>
      <c r="D695" s="822"/>
      <c r="F695" s="309"/>
      <c r="I695" s="302"/>
    </row>
    <row r="696">
      <c r="B696" s="308"/>
      <c r="C696" s="252"/>
      <c r="D696" s="822"/>
      <c r="F696" s="309"/>
      <c r="I696" s="302"/>
    </row>
    <row r="697">
      <c r="B697" s="308"/>
      <c r="C697" s="252"/>
      <c r="D697" s="822"/>
      <c r="F697" s="309"/>
      <c r="I697" s="302"/>
    </row>
    <row r="698">
      <c r="B698" s="308"/>
      <c r="C698" s="252"/>
      <c r="D698" s="822"/>
      <c r="F698" s="309"/>
      <c r="I698" s="302"/>
    </row>
    <row r="699">
      <c r="B699" s="308"/>
      <c r="C699" s="252"/>
      <c r="D699" s="822"/>
      <c r="F699" s="309"/>
      <c r="I699" s="302"/>
    </row>
    <row r="700">
      <c r="B700" s="308"/>
      <c r="C700" s="252"/>
      <c r="D700" s="822"/>
      <c r="F700" s="309"/>
      <c r="I700" s="302"/>
    </row>
    <row r="701">
      <c r="B701" s="308"/>
      <c r="C701" s="252"/>
      <c r="D701" s="822"/>
      <c r="F701" s="309"/>
      <c r="I701" s="302"/>
    </row>
    <row r="702">
      <c r="B702" s="308"/>
      <c r="C702" s="252"/>
      <c r="D702" s="822"/>
      <c r="F702" s="309"/>
      <c r="I702" s="302"/>
    </row>
    <row r="703">
      <c r="B703" s="308"/>
      <c r="C703" s="252"/>
      <c r="D703" s="822"/>
      <c r="F703" s="309"/>
      <c r="I703" s="302"/>
    </row>
    <row r="704">
      <c r="B704" s="308"/>
      <c r="C704" s="252"/>
      <c r="D704" s="822"/>
      <c r="F704" s="309"/>
      <c r="I704" s="302"/>
    </row>
    <row r="705">
      <c r="B705" s="308"/>
      <c r="C705" s="252"/>
      <c r="D705" s="822"/>
      <c r="F705" s="309"/>
      <c r="I705" s="302"/>
    </row>
    <row r="706">
      <c r="B706" s="308"/>
      <c r="C706" s="252"/>
      <c r="D706" s="822"/>
      <c r="F706" s="309"/>
      <c r="I706" s="302"/>
    </row>
    <row r="707">
      <c r="B707" s="308"/>
      <c r="C707" s="252"/>
      <c r="D707" s="822"/>
      <c r="F707" s="309"/>
      <c r="I707" s="302"/>
    </row>
    <row r="708">
      <c r="B708" s="308"/>
      <c r="C708" s="252"/>
      <c r="D708" s="822"/>
      <c r="F708" s="309"/>
      <c r="I708" s="302"/>
    </row>
    <row r="709">
      <c r="B709" s="308"/>
      <c r="C709" s="252"/>
      <c r="D709" s="822"/>
      <c r="F709" s="309"/>
      <c r="I709" s="302"/>
    </row>
    <row r="710">
      <c r="B710" s="308"/>
      <c r="C710" s="252"/>
      <c r="D710" s="822"/>
      <c r="F710" s="309"/>
      <c r="I710" s="302"/>
    </row>
    <row r="711">
      <c r="B711" s="308"/>
      <c r="C711" s="252"/>
      <c r="D711" s="822"/>
      <c r="F711" s="309"/>
      <c r="I711" s="302"/>
    </row>
    <row r="712">
      <c r="B712" s="308"/>
      <c r="C712" s="252"/>
      <c r="D712" s="822"/>
      <c r="F712" s="309"/>
      <c r="I712" s="302"/>
    </row>
    <row r="713">
      <c r="B713" s="308"/>
      <c r="C713" s="252"/>
      <c r="D713" s="822"/>
      <c r="F713" s="309"/>
      <c r="I713" s="302"/>
    </row>
    <row r="714">
      <c r="B714" s="308"/>
      <c r="C714" s="252"/>
      <c r="D714" s="822"/>
      <c r="F714" s="309"/>
      <c r="I714" s="302"/>
    </row>
    <row r="715">
      <c r="B715" s="308"/>
      <c r="C715" s="252"/>
      <c r="D715" s="822"/>
      <c r="F715" s="309"/>
      <c r="I715" s="302"/>
    </row>
    <row r="716">
      <c r="B716" s="308"/>
      <c r="C716" s="252"/>
      <c r="D716" s="822"/>
      <c r="F716" s="309"/>
      <c r="I716" s="302"/>
    </row>
    <row r="717">
      <c r="B717" s="308"/>
      <c r="C717" s="252"/>
      <c r="D717" s="822"/>
      <c r="F717" s="309"/>
      <c r="I717" s="302"/>
    </row>
    <row r="718">
      <c r="B718" s="308"/>
      <c r="C718" s="252"/>
      <c r="D718" s="822"/>
      <c r="F718" s="309"/>
      <c r="I718" s="302"/>
    </row>
    <row r="719">
      <c r="B719" s="308"/>
      <c r="C719" s="252"/>
      <c r="D719" s="822"/>
      <c r="F719" s="309"/>
      <c r="I719" s="302"/>
    </row>
    <row r="720">
      <c r="B720" s="308"/>
      <c r="C720" s="252"/>
      <c r="D720" s="822"/>
      <c r="F720" s="309"/>
      <c r="I720" s="302"/>
    </row>
    <row r="721">
      <c r="B721" s="308"/>
      <c r="C721" s="252"/>
      <c r="D721" s="822"/>
      <c r="F721" s="309"/>
      <c r="I721" s="302"/>
    </row>
    <row r="722">
      <c r="B722" s="308"/>
      <c r="C722" s="252"/>
      <c r="D722" s="822"/>
      <c r="F722" s="309"/>
      <c r="I722" s="302"/>
    </row>
    <row r="723">
      <c r="B723" s="308"/>
      <c r="C723" s="252"/>
      <c r="D723" s="822"/>
      <c r="F723" s="309"/>
      <c r="I723" s="302"/>
    </row>
    <row r="724">
      <c r="B724" s="308"/>
      <c r="C724" s="252"/>
      <c r="D724" s="822"/>
      <c r="F724" s="309"/>
      <c r="I724" s="302"/>
    </row>
    <row r="725">
      <c r="B725" s="308"/>
      <c r="C725" s="252"/>
      <c r="D725" s="822"/>
      <c r="F725" s="309"/>
      <c r="I725" s="302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101"/>
    <mergeCell ref="A102:A115"/>
    <mergeCell ref="A116:A131"/>
    <mergeCell ref="A132:A144"/>
    <mergeCell ref="A145:A159"/>
    <mergeCell ref="A160:A169"/>
    <mergeCell ref="A170:A184"/>
    <mergeCell ref="A185:A200"/>
    <mergeCell ref="A201:A215"/>
    <mergeCell ref="A216:A227"/>
    <mergeCell ref="A228:A238"/>
    <mergeCell ref="A239:A252"/>
    <mergeCell ref="A253:A266"/>
    <mergeCell ref="A360:A372"/>
    <mergeCell ref="A373:A384"/>
    <mergeCell ref="A385:A396"/>
    <mergeCell ref="A397:A406"/>
    <mergeCell ref="A407:A416"/>
    <mergeCell ref="A267:A279"/>
    <mergeCell ref="A280:A293"/>
    <mergeCell ref="A294:A308"/>
    <mergeCell ref="A309:A319"/>
    <mergeCell ref="A320:A330"/>
    <mergeCell ref="A331:A348"/>
    <mergeCell ref="A349:A3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60</v>
      </c>
      <c r="B2" s="247"/>
      <c r="C2" s="240"/>
      <c r="D2" s="824"/>
      <c r="E2" s="242"/>
      <c r="F2" s="243">
        <v>6000.0</v>
      </c>
      <c r="G2" s="2" t="s">
        <v>3183</v>
      </c>
      <c r="H2" s="244"/>
      <c r="I2" s="662"/>
    </row>
    <row r="3">
      <c r="A3" s="265"/>
      <c r="B3" s="268"/>
      <c r="C3" s="248">
        <v>11977.93</v>
      </c>
      <c r="D3" s="331"/>
      <c r="F3" s="250"/>
      <c r="G3" s="2" t="s">
        <v>2637</v>
      </c>
      <c r="I3" s="847"/>
    </row>
    <row r="4">
      <c r="A4" s="265"/>
      <c r="B4" s="247">
        <v>2778.31</v>
      </c>
      <c r="C4" s="252"/>
      <c r="D4" s="822"/>
      <c r="F4" s="250"/>
      <c r="G4" s="2" t="s">
        <v>58</v>
      </c>
      <c r="I4" s="847"/>
    </row>
    <row r="5">
      <c r="A5" s="265"/>
      <c r="B5" s="247"/>
      <c r="C5" s="248"/>
      <c r="D5" s="331"/>
      <c r="F5" s="250">
        <f>262+480+950</f>
        <v>1692</v>
      </c>
      <c r="G5" s="2" t="s">
        <v>708</v>
      </c>
      <c r="I5" s="847"/>
    </row>
    <row r="6">
      <c r="A6" s="265"/>
      <c r="B6" s="247"/>
      <c r="C6" s="252"/>
      <c r="D6" s="822"/>
      <c r="F6" s="250"/>
      <c r="H6" s="838"/>
      <c r="I6" s="847"/>
    </row>
    <row r="7">
      <c r="A7" s="265"/>
      <c r="B7" s="247"/>
      <c r="C7" s="252"/>
      <c r="D7" s="822"/>
      <c r="F7" s="250"/>
      <c r="I7" s="847"/>
    </row>
    <row r="8">
      <c r="A8" s="265"/>
      <c r="B8" s="268"/>
      <c r="C8" s="252"/>
      <c r="D8" s="822"/>
      <c r="F8" s="250"/>
      <c r="I8" s="847"/>
    </row>
    <row r="9">
      <c r="A9" s="265"/>
      <c r="B9" s="268"/>
      <c r="C9" s="252"/>
      <c r="D9" s="822"/>
      <c r="F9" s="250"/>
      <c r="I9" s="847"/>
    </row>
    <row r="10">
      <c r="A10" s="265"/>
      <c r="B10" s="268"/>
      <c r="C10" s="252"/>
      <c r="D10" s="822"/>
      <c r="F10" s="250"/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70</v>
      </c>
      <c r="B12" s="247"/>
      <c r="C12" s="263"/>
      <c r="D12" s="821"/>
      <c r="E12" s="242"/>
      <c r="F12" s="243">
        <v>4023.0</v>
      </c>
      <c r="G12" s="244" t="s">
        <v>344</v>
      </c>
      <c r="H12" s="244"/>
      <c r="I12" s="662"/>
    </row>
    <row r="13">
      <c r="A13" s="265"/>
      <c r="B13" s="247"/>
      <c r="C13" s="248"/>
      <c r="D13" s="822"/>
      <c r="F13" s="250">
        <v>5250.0</v>
      </c>
      <c r="G13" s="2" t="s">
        <v>87</v>
      </c>
      <c r="I13" s="847"/>
    </row>
    <row r="14">
      <c r="A14" s="265"/>
      <c r="B14" s="247">
        <v>10344.52</v>
      </c>
      <c r="C14" s="248"/>
      <c r="D14" s="331"/>
      <c r="F14" s="250"/>
      <c r="G14" s="2" t="s">
        <v>73</v>
      </c>
      <c r="I14" s="847"/>
    </row>
    <row r="15">
      <c r="A15" s="265"/>
      <c r="B15" s="247"/>
      <c r="C15" s="252"/>
      <c r="D15" s="331"/>
      <c r="F15" s="250">
        <v>206.0</v>
      </c>
      <c r="G15" s="2" t="s">
        <v>708</v>
      </c>
      <c r="I15" s="847"/>
    </row>
    <row r="16">
      <c r="A16" s="265"/>
      <c r="B16" s="268"/>
      <c r="C16" s="252"/>
      <c r="D16" s="331"/>
      <c r="F16" s="250">
        <v>500.0</v>
      </c>
      <c r="G16" s="2" t="s">
        <v>3118</v>
      </c>
      <c r="I16" s="847"/>
    </row>
    <row r="17">
      <c r="A17" s="265"/>
      <c r="B17" s="247">
        <v>7320.0</v>
      </c>
      <c r="C17" s="252"/>
      <c r="D17" s="331"/>
      <c r="F17" s="250"/>
      <c r="G17" s="2" t="s">
        <v>3120</v>
      </c>
      <c r="I17" s="847"/>
    </row>
    <row r="18">
      <c r="A18" s="265"/>
      <c r="B18" s="247"/>
      <c r="C18" s="252"/>
      <c r="D18" s="822"/>
      <c r="F18" s="250">
        <v>6240.0</v>
      </c>
      <c r="G18" s="2" t="s">
        <v>76</v>
      </c>
      <c r="I18" s="847"/>
    </row>
    <row r="19">
      <c r="A19" s="265"/>
      <c r="B19" s="247">
        <v>26620.0</v>
      </c>
      <c r="C19" s="252"/>
      <c r="D19" s="331"/>
      <c r="F19" s="250"/>
      <c r="G19" s="2" t="s">
        <v>167</v>
      </c>
      <c r="I19" s="847"/>
    </row>
    <row r="20">
      <c r="A20" s="265"/>
      <c r="B20" s="247"/>
      <c r="C20" s="252"/>
      <c r="D20" s="822"/>
      <c r="F20" s="250"/>
      <c r="I20" s="847"/>
    </row>
    <row r="21">
      <c r="A21" s="265"/>
      <c r="B21" s="278"/>
      <c r="C21" s="252"/>
      <c r="D21" s="822"/>
      <c r="F21" s="250"/>
      <c r="I21" s="847"/>
    </row>
    <row r="22">
      <c r="A22" s="265"/>
      <c r="B22" s="278"/>
      <c r="C22" s="252"/>
      <c r="D22" s="822"/>
      <c r="F22" s="250"/>
      <c r="I22" s="847"/>
    </row>
    <row r="23">
      <c r="A23" s="265"/>
      <c r="B23" s="278"/>
      <c r="C23" s="252"/>
      <c r="D23" s="822"/>
      <c r="F23" s="250"/>
      <c r="I23" s="847"/>
    </row>
    <row r="24">
      <c r="A24" s="270"/>
      <c r="B24" s="271"/>
      <c r="C24" s="272"/>
      <c r="D24" s="823"/>
      <c r="E24" s="18"/>
      <c r="F24" s="274"/>
      <c r="G24" s="18"/>
      <c r="H24" s="18"/>
      <c r="I24" s="663"/>
    </row>
    <row r="25">
      <c r="A25" s="262" t="s">
        <v>80</v>
      </c>
      <c r="B25" s="239">
        <v>4167.46</v>
      </c>
      <c r="C25" s="263"/>
      <c r="D25" s="824"/>
      <c r="E25" s="242"/>
      <c r="F25" s="243"/>
      <c r="G25" s="244" t="s">
        <v>82</v>
      </c>
      <c r="H25" s="244"/>
      <c r="I25" s="662"/>
    </row>
    <row r="26">
      <c r="A26" s="265"/>
      <c r="B26" s="268"/>
      <c r="C26" s="248">
        <v>12582.79</v>
      </c>
      <c r="D26" s="822"/>
      <c r="F26" s="250"/>
      <c r="G26" s="2" t="s">
        <v>71</v>
      </c>
      <c r="I26" s="847"/>
    </row>
    <row r="27">
      <c r="A27" s="265"/>
      <c r="B27" s="268"/>
      <c r="C27" s="252"/>
      <c r="D27" s="822"/>
      <c r="F27" s="250">
        <v>968.0</v>
      </c>
      <c r="G27" s="2" t="s">
        <v>708</v>
      </c>
      <c r="I27" s="847"/>
    </row>
    <row r="28">
      <c r="A28" s="265"/>
      <c r="B28" s="247">
        <v>5941.0</v>
      </c>
      <c r="C28" s="252"/>
      <c r="D28" s="822"/>
      <c r="F28" s="250"/>
      <c r="G28" s="2" t="s">
        <v>2717</v>
      </c>
      <c r="I28" s="847"/>
    </row>
    <row r="29">
      <c r="A29" s="265"/>
      <c r="B29" s="268"/>
      <c r="C29" s="248"/>
      <c r="D29" s="822"/>
      <c r="F29" s="250">
        <v>93.99</v>
      </c>
      <c r="G29" s="2" t="s">
        <v>708</v>
      </c>
      <c r="I29" s="847"/>
    </row>
    <row r="30">
      <c r="A30" s="265"/>
      <c r="B30" s="247">
        <v>70836.0</v>
      </c>
      <c r="C30" s="252"/>
      <c r="D30" s="822"/>
      <c r="F30" s="250"/>
      <c r="G30" s="2" t="s">
        <v>3187</v>
      </c>
      <c r="I30" s="847"/>
    </row>
    <row r="31">
      <c r="A31" s="265"/>
      <c r="B31" s="268"/>
      <c r="C31" s="252"/>
      <c r="D31" s="822"/>
      <c r="F31" s="250">
        <v>500.0</v>
      </c>
      <c r="G31" s="2" t="s">
        <v>3118</v>
      </c>
      <c r="I31" s="847"/>
    </row>
    <row r="32">
      <c r="A32" s="265"/>
      <c r="B32" s="268"/>
      <c r="C32" s="252"/>
      <c r="D32" s="331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65"/>
      <c r="B34" s="268"/>
      <c r="C34" s="252"/>
      <c r="D34" s="822"/>
      <c r="F34" s="250"/>
      <c r="I34" s="847"/>
    </row>
    <row r="35">
      <c r="A35" s="265"/>
      <c r="B35" s="268"/>
      <c r="C35" s="252"/>
      <c r="D35" s="822"/>
      <c r="F35" s="250"/>
      <c r="I35" s="847"/>
    </row>
    <row r="36">
      <c r="A36" s="265"/>
      <c r="B36" s="268"/>
      <c r="C36" s="252"/>
      <c r="D36" s="822"/>
      <c r="F36" s="250"/>
      <c r="I36" s="847"/>
    </row>
    <row r="37">
      <c r="A37" s="270"/>
      <c r="B37" s="271"/>
      <c r="C37" s="272"/>
      <c r="D37" s="823"/>
      <c r="E37" s="18"/>
      <c r="F37" s="274"/>
      <c r="G37" s="18"/>
      <c r="H37" s="18"/>
      <c r="I37" s="663"/>
    </row>
    <row r="38">
      <c r="A38" s="262" t="s">
        <v>90</v>
      </c>
      <c r="B38" s="239"/>
      <c r="C38" s="240"/>
      <c r="D38" s="824"/>
      <c r="E38" s="242"/>
      <c r="F38" s="243">
        <v>5250.0</v>
      </c>
      <c r="G38" s="244" t="s">
        <v>64</v>
      </c>
      <c r="H38" s="244"/>
      <c r="I38" s="662"/>
    </row>
    <row r="39">
      <c r="A39" s="265"/>
      <c r="B39" s="247"/>
      <c r="C39" s="252"/>
      <c r="D39" s="822"/>
      <c r="F39" s="250">
        <v>2580.0</v>
      </c>
      <c r="G39" s="2" t="s">
        <v>2673</v>
      </c>
      <c r="I39" s="847"/>
    </row>
    <row r="40">
      <c r="A40" s="265"/>
      <c r="B40" s="268"/>
      <c r="C40" s="248"/>
      <c r="D40" s="822"/>
      <c r="F40" s="250">
        <v>200.0</v>
      </c>
      <c r="G40" s="2" t="s">
        <v>3222</v>
      </c>
      <c r="I40" s="847"/>
    </row>
    <row r="41">
      <c r="A41" s="265"/>
      <c r="B41" s="268"/>
      <c r="C41" s="252"/>
      <c r="D41" s="822"/>
      <c r="F41" s="250">
        <v>420.0</v>
      </c>
      <c r="G41" s="2" t="s">
        <v>3223</v>
      </c>
      <c r="I41" s="847"/>
    </row>
    <row r="42">
      <c r="A42" s="265"/>
      <c r="B42" s="247"/>
      <c r="C42" s="252"/>
      <c r="D42" s="331">
        <v>36239.5</v>
      </c>
      <c r="F42" s="250"/>
      <c r="G42" s="2" t="s">
        <v>167</v>
      </c>
      <c r="I42" s="847"/>
    </row>
    <row r="43">
      <c r="A43" s="265"/>
      <c r="B43" s="247"/>
      <c r="C43" s="252"/>
      <c r="D43" s="822"/>
      <c r="F43" s="250">
        <v>1000.0</v>
      </c>
      <c r="G43" s="2" t="s">
        <v>3118</v>
      </c>
      <c r="I43" s="847"/>
    </row>
    <row r="44">
      <c r="A44" s="265"/>
      <c r="B44" s="268"/>
      <c r="C44" s="248"/>
      <c r="D44" s="822"/>
      <c r="F44" s="250"/>
      <c r="I44" s="847"/>
    </row>
    <row r="45">
      <c r="A45" s="265"/>
      <c r="B45" s="268"/>
      <c r="C45" s="252"/>
      <c r="D45" s="822"/>
      <c r="F45" s="250"/>
      <c r="I45" s="847"/>
    </row>
    <row r="46">
      <c r="A46" s="265"/>
      <c r="B46" s="268"/>
      <c r="C46" s="248"/>
      <c r="D46" s="822"/>
      <c r="F46" s="250"/>
      <c r="I46" s="847"/>
    </row>
    <row r="47">
      <c r="A47" s="265"/>
      <c r="B47" s="278"/>
      <c r="C47" s="252"/>
      <c r="D47" s="822"/>
      <c r="F47" s="250"/>
      <c r="I47" s="847"/>
    </row>
    <row r="48">
      <c r="A48" s="265"/>
      <c r="B48" s="278"/>
      <c r="C48" s="252"/>
      <c r="D48" s="822"/>
      <c r="F48" s="250"/>
      <c r="I48" s="847"/>
    </row>
    <row r="49">
      <c r="A49" s="270"/>
      <c r="B49" s="271"/>
      <c r="C49" s="272"/>
      <c r="D49" s="823"/>
      <c r="E49" s="18"/>
      <c r="F49" s="259"/>
      <c r="G49" s="293"/>
      <c r="H49" s="18"/>
      <c r="I49" s="663"/>
    </row>
    <row r="50">
      <c r="A50" s="437"/>
      <c r="B50" s="278"/>
      <c r="C50" s="252"/>
      <c r="D50" s="822"/>
      <c r="F50" s="250"/>
      <c r="I50" s="847"/>
    </row>
    <row r="51">
      <c r="A51" s="437"/>
      <c r="B51" s="278"/>
      <c r="C51" s="252"/>
      <c r="D51" s="822"/>
      <c r="F51" s="250"/>
      <c r="I51" s="847"/>
    </row>
    <row r="52">
      <c r="A52" s="262" t="s">
        <v>96</v>
      </c>
      <c r="B52" s="306"/>
      <c r="C52" s="263"/>
      <c r="D52" s="824"/>
      <c r="E52" s="242"/>
      <c r="F52" s="243">
        <v>12560.0</v>
      </c>
      <c r="G52" s="244" t="s">
        <v>3224</v>
      </c>
      <c r="H52" s="244"/>
      <c r="I52" s="662"/>
    </row>
    <row r="53">
      <c r="A53" s="265"/>
      <c r="B53" s="268"/>
      <c r="C53" s="252"/>
      <c r="D53" s="822"/>
      <c r="F53" s="250">
        <v>2870.0</v>
      </c>
      <c r="G53" s="2" t="s">
        <v>3130</v>
      </c>
      <c r="I53" s="847"/>
    </row>
    <row r="54">
      <c r="A54" s="265"/>
      <c r="B54" s="247"/>
      <c r="C54" s="248"/>
      <c r="D54" s="331"/>
      <c r="F54" s="250" t="s">
        <v>3225</v>
      </c>
      <c r="G54" s="2" t="s">
        <v>128</v>
      </c>
      <c r="I54" s="847"/>
    </row>
    <row r="55">
      <c r="A55" s="265"/>
      <c r="B55" s="268"/>
      <c r="C55" s="252"/>
      <c r="D55" s="822"/>
      <c r="F55" s="250">
        <v>69.0</v>
      </c>
      <c r="G55" s="2" t="s">
        <v>3031</v>
      </c>
      <c r="I55" s="847"/>
    </row>
    <row r="56">
      <c r="A56" s="265"/>
      <c r="B56" s="247"/>
      <c r="C56" s="252"/>
      <c r="D56" s="331">
        <v>35000.0</v>
      </c>
      <c r="F56" s="250"/>
      <c r="G56" s="2"/>
      <c r="I56" s="847"/>
    </row>
    <row r="57">
      <c r="A57" s="265"/>
      <c r="B57" s="247">
        <v>2696.59</v>
      </c>
      <c r="C57" s="252"/>
      <c r="D57" s="822"/>
      <c r="F57" s="250"/>
      <c r="G57" s="2" t="s">
        <v>82</v>
      </c>
      <c r="I57" s="847"/>
    </row>
    <row r="58">
      <c r="A58" s="265"/>
      <c r="B58" s="247"/>
      <c r="C58" s="248"/>
      <c r="D58" s="822"/>
      <c r="F58" s="250">
        <v>431.0</v>
      </c>
      <c r="G58" s="2" t="s">
        <v>708</v>
      </c>
      <c r="I58" s="847"/>
    </row>
    <row r="59">
      <c r="A59" s="265"/>
      <c r="B59" s="268"/>
      <c r="C59" s="252"/>
      <c r="D59" s="822"/>
      <c r="F59" s="250"/>
      <c r="I59" s="847"/>
    </row>
    <row r="60">
      <c r="A60" s="265"/>
      <c r="B60" s="268"/>
      <c r="C60" s="252"/>
      <c r="D60" s="822"/>
      <c r="F60" s="250"/>
      <c r="I60" s="847"/>
    </row>
    <row r="61">
      <c r="A61" s="270"/>
      <c r="B61" s="271"/>
      <c r="C61" s="272"/>
      <c r="D61" s="823"/>
      <c r="E61" s="18"/>
      <c r="F61" s="274"/>
      <c r="G61" s="18"/>
      <c r="H61" s="18"/>
      <c r="I61" s="663"/>
    </row>
    <row r="62">
      <c r="A62" s="262" t="s">
        <v>106</v>
      </c>
      <c r="B62" s="306"/>
      <c r="C62" s="240"/>
      <c r="D62" s="824"/>
      <c r="E62" s="242"/>
      <c r="F62" s="243">
        <v>800.0</v>
      </c>
      <c r="G62" s="244" t="s">
        <v>314</v>
      </c>
      <c r="H62" s="244"/>
      <c r="I62" s="662"/>
    </row>
    <row r="63">
      <c r="A63" s="265"/>
      <c r="B63" s="247"/>
      <c r="C63" s="252"/>
      <c r="D63" s="822"/>
      <c r="F63" s="250">
        <v>1000.0</v>
      </c>
      <c r="G63" s="2" t="s">
        <v>3118</v>
      </c>
      <c r="I63" s="847"/>
    </row>
    <row r="64">
      <c r="A64" s="265"/>
      <c r="B64" s="247"/>
      <c r="C64" s="252"/>
      <c r="D64" s="822"/>
      <c r="F64" s="250"/>
      <c r="I64" s="847"/>
    </row>
    <row r="65">
      <c r="A65" s="265"/>
      <c r="B65" s="247"/>
      <c r="C65" s="252"/>
      <c r="D65" s="822"/>
      <c r="F65" s="250"/>
      <c r="I65" s="847"/>
    </row>
    <row r="66">
      <c r="A66" s="265"/>
      <c r="B66" s="247"/>
      <c r="C66" s="248"/>
      <c r="D66" s="822"/>
      <c r="F66" s="250"/>
      <c r="I66" s="847"/>
    </row>
    <row r="67">
      <c r="A67" s="265"/>
      <c r="B67" s="247"/>
      <c r="C67" s="252"/>
      <c r="D67" s="822"/>
      <c r="F67" s="250"/>
      <c r="I67" s="847"/>
    </row>
    <row r="68">
      <c r="A68" s="265"/>
      <c r="B68" s="268"/>
      <c r="C68" s="252"/>
      <c r="D68" s="822"/>
      <c r="F68" s="250"/>
      <c r="I68" s="847"/>
    </row>
    <row r="69">
      <c r="A69" s="265"/>
      <c r="B69" s="247"/>
      <c r="C69" s="252"/>
      <c r="D69" s="822"/>
      <c r="F69" s="250"/>
      <c r="I69" s="847"/>
    </row>
    <row r="70">
      <c r="A70" s="265"/>
      <c r="B70" s="268"/>
      <c r="C70" s="248"/>
      <c r="D70" s="822"/>
      <c r="F70" s="250"/>
      <c r="I70" s="847"/>
    </row>
    <row r="71">
      <c r="A71" s="265"/>
      <c r="B71" s="268"/>
      <c r="C71" s="248"/>
      <c r="D71" s="331"/>
      <c r="F71" s="250"/>
      <c r="I71" s="847"/>
    </row>
    <row r="72">
      <c r="A72" s="265"/>
      <c r="B72" s="278"/>
      <c r="C72" s="252"/>
      <c r="D72" s="822"/>
      <c r="F72" s="282"/>
      <c r="I72" s="847"/>
    </row>
    <row r="73">
      <c r="A73" s="270"/>
      <c r="B73" s="271"/>
      <c r="C73" s="272"/>
      <c r="D73" s="823"/>
      <c r="E73" s="18"/>
      <c r="F73" s="274"/>
      <c r="G73" s="18"/>
      <c r="H73" s="18"/>
      <c r="I73" s="663"/>
    </row>
    <row r="74">
      <c r="A74" s="262" t="s">
        <v>113</v>
      </c>
      <c r="B74" s="306"/>
      <c r="C74" s="263">
        <v>23466.12</v>
      </c>
      <c r="D74" s="824"/>
      <c r="E74" s="242"/>
      <c r="F74" s="243"/>
      <c r="G74" s="244" t="s">
        <v>71</v>
      </c>
      <c r="H74" s="244"/>
      <c r="I74" s="662"/>
    </row>
    <row r="75">
      <c r="A75" s="265"/>
      <c r="B75" s="268"/>
      <c r="C75" s="248"/>
      <c r="D75" s="822"/>
      <c r="F75" s="250">
        <v>6000.0</v>
      </c>
      <c r="G75" s="2" t="s">
        <v>3003</v>
      </c>
      <c r="I75" s="847"/>
    </row>
    <row r="76">
      <c r="A76" s="265"/>
      <c r="B76" s="247"/>
      <c r="C76" s="252"/>
      <c r="D76" s="822"/>
      <c r="F76" s="250">
        <v>11700.0</v>
      </c>
      <c r="G76" s="2" t="s">
        <v>87</v>
      </c>
      <c r="H76" s="840"/>
      <c r="I76" s="847"/>
    </row>
    <row r="77">
      <c r="A77" s="265"/>
      <c r="B77" s="247">
        <v>13419.0</v>
      </c>
      <c r="C77" s="252"/>
      <c r="D77" s="822"/>
      <c r="F77" s="250"/>
      <c r="G77" s="2" t="s">
        <v>3226</v>
      </c>
      <c r="I77" s="847"/>
    </row>
    <row r="78">
      <c r="A78" s="265"/>
      <c r="B78" s="268"/>
      <c r="C78" s="248"/>
      <c r="D78" s="822"/>
      <c r="F78" s="250">
        <v>119.0</v>
      </c>
      <c r="G78" s="2" t="s">
        <v>708</v>
      </c>
      <c r="I78" s="847"/>
    </row>
    <row r="79">
      <c r="A79" s="265"/>
      <c r="B79" s="247"/>
      <c r="C79" s="248"/>
      <c r="D79" s="822"/>
      <c r="F79" s="250">
        <v>1680.0</v>
      </c>
      <c r="G79" s="2" t="s">
        <v>228</v>
      </c>
      <c r="I79" s="847"/>
    </row>
    <row r="80">
      <c r="A80" s="265"/>
      <c r="B80" s="268"/>
      <c r="C80" s="252"/>
      <c r="D80" s="822"/>
      <c r="F80" s="250">
        <v>500.0</v>
      </c>
      <c r="G80" s="2" t="s">
        <v>3118</v>
      </c>
      <c r="I80" s="847"/>
    </row>
    <row r="81">
      <c r="A81" s="265"/>
      <c r="B81" s="247">
        <v>1977.0</v>
      </c>
      <c r="C81" s="252"/>
      <c r="D81" s="822"/>
      <c r="F81" s="250"/>
      <c r="G81" s="2" t="s">
        <v>118</v>
      </c>
      <c r="I81" s="847"/>
    </row>
    <row r="82">
      <c r="A82" s="265"/>
      <c r="B82" s="247">
        <v>1956.0</v>
      </c>
      <c r="C82" s="252"/>
      <c r="D82" s="822"/>
      <c r="F82" s="250"/>
      <c r="G82" s="2" t="s">
        <v>693</v>
      </c>
      <c r="I82" s="847"/>
    </row>
    <row r="83">
      <c r="A83" s="265"/>
      <c r="B83" s="278"/>
      <c r="C83" s="252"/>
      <c r="D83" s="822"/>
      <c r="F83" s="250">
        <v>2000.0</v>
      </c>
      <c r="G83" s="2" t="s">
        <v>3227</v>
      </c>
      <c r="I83" s="847"/>
    </row>
    <row r="84">
      <c r="A84" s="265"/>
      <c r="B84" s="278"/>
      <c r="C84" s="252"/>
      <c r="D84" s="822"/>
      <c r="F84" s="250"/>
      <c r="H84" s="838"/>
      <c r="I84" s="847"/>
    </row>
    <row r="85">
      <c r="A85" s="270"/>
      <c r="B85" s="271"/>
      <c r="C85" s="272"/>
      <c r="D85" s="823"/>
      <c r="E85" s="18"/>
      <c r="F85" s="274"/>
      <c r="G85" s="18"/>
      <c r="H85" s="18"/>
      <c r="I85" s="663"/>
    </row>
    <row r="86">
      <c r="A86" s="262" t="s">
        <v>119</v>
      </c>
      <c r="B86" s="239">
        <v>5445.0</v>
      </c>
      <c r="C86" s="263"/>
      <c r="D86" s="824"/>
      <c r="E86" s="242"/>
      <c r="F86" s="243"/>
      <c r="G86" s="244" t="s">
        <v>3228</v>
      </c>
      <c r="H86" s="244"/>
      <c r="I86" s="662"/>
    </row>
    <row r="87">
      <c r="A87" s="265"/>
      <c r="B87" s="247"/>
      <c r="C87" s="248"/>
      <c r="D87" s="822"/>
      <c r="F87" s="250">
        <v>659.0</v>
      </c>
      <c r="G87" s="2" t="s">
        <v>3229</v>
      </c>
      <c r="I87" s="847"/>
    </row>
    <row r="88">
      <c r="A88" s="265"/>
      <c r="B88" s="268"/>
      <c r="C88" s="248"/>
      <c r="D88" s="822"/>
      <c r="F88" s="250">
        <v>4390.0</v>
      </c>
      <c r="G88" s="2" t="s">
        <v>2621</v>
      </c>
      <c r="I88" s="847"/>
    </row>
    <row r="89">
      <c r="A89" s="265"/>
      <c r="B89" s="247">
        <v>4843.0</v>
      </c>
      <c r="C89" s="248"/>
      <c r="D89" s="822"/>
      <c r="F89" s="250"/>
      <c r="G89" s="2" t="s">
        <v>82</v>
      </c>
      <c r="I89" s="847"/>
    </row>
    <row r="90">
      <c r="A90" s="265"/>
      <c r="B90" s="78"/>
      <c r="C90" s="252"/>
      <c r="D90" s="822"/>
      <c r="F90" s="250">
        <v>3450.0</v>
      </c>
      <c r="G90" s="2" t="s">
        <v>3230</v>
      </c>
      <c r="I90" s="847"/>
    </row>
    <row r="91">
      <c r="A91" s="265"/>
      <c r="B91" s="841">
        <v>428066.0</v>
      </c>
      <c r="C91" s="252"/>
      <c r="D91" s="331"/>
      <c r="F91" s="309"/>
      <c r="G91" s="2" t="s">
        <v>73</v>
      </c>
      <c r="I91" s="847"/>
    </row>
    <row r="92">
      <c r="A92" s="265"/>
      <c r="B92" s="841">
        <v>1814252.0</v>
      </c>
      <c r="C92" s="252"/>
      <c r="D92" s="331"/>
      <c r="F92" s="250"/>
      <c r="G92" s="2" t="s">
        <v>74</v>
      </c>
      <c r="I92" s="847"/>
    </row>
    <row r="93">
      <c r="A93" s="265"/>
      <c r="B93" s="247">
        <v>10648.0</v>
      </c>
      <c r="C93" s="252"/>
      <c r="D93" s="331"/>
      <c r="F93" s="250"/>
      <c r="G93" s="2" t="s">
        <v>3231</v>
      </c>
      <c r="I93" s="847"/>
    </row>
    <row r="94">
      <c r="A94" s="265"/>
      <c r="B94" s="247"/>
      <c r="C94" s="252"/>
      <c r="D94" s="822"/>
      <c r="F94" s="250">
        <v>500.0</v>
      </c>
      <c r="G94" s="2" t="s">
        <v>3232</v>
      </c>
      <c r="I94" s="847"/>
    </row>
    <row r="95">
      <c r="A95" s="265"/>
      <c r="B95" s="268"/>
      <c r="C95" s="252"/>
      <c r="D95" s="331">
        <v>35000.0</v>
      </c>
      <c r="F95" s="250"/>
      <c r="G95" s="2" t="s">
        <v>3233</v>
      </c>
      <c r="H95" s="2" t="s">
        <v>3234</v>
      </c>
      <c r="I95" s="847"/>
    </row>
    <row r="96">
      <c r="A96" s="265"/>
      <c r="B96" s="268"/>
      <c r="C96" s="252"/>
      <c r="D96" s="822"/>
      <c r="F96" s="250"/>
      <c r="I96" s="847"/>
    </row>
    <row r="97">
      <c r="A97" s="265"/>
      <c r="B97" s="268"/>
      <c r="C97" s="252"/>
      <c r="D97" s="822"/>
      <c r="F97" s="250"/>
      <c r="I97" s="847"/>
    </row>
    <row r="98">
      <c r="A98" s="270"/>
      <c r="B98" s="271"/>
      <c r="C98" s="272"/>
      <c r="D98" s="823"/>
      <c r="E98" s="18"/>
      <c r="F98" s="274"/>
      <c r="G98" s="18"/>
      <c r="H98" s="18"/>
      <c r="I98" s="663"/>
    </row>
    <row r="99">
      <c r="A99" s="262" t="s">
        <v>123</v>
      </c>
      <c r="B99" s="239">
        <v>1398.35</v>
      </c>
      <c r="C99" s="263"/>
      <c r="D99" s="821"/>
      <c r="E99" s="242"/>
      <c r="F99" s="250"/>
      <c r="G99" s="244" t="s">
        <v>82</v>
      </c>
      <c r="H99" s="244"/>
      <c r="I99" s="662"/>
    </row>
    <row r="100">
      <c r="A100" s="265"/>
      <c r="B100" s="268"/>
      <c r="C100" s="252"/>
      <c r="D100" s="822"/>
      <c r="F100" s="250">
        <v>90.0</v>
      </c>
      <c r="G100" s="2" t="s">
        <v>97</v>
      </c>
      <c r="I100" s="847"/>
    </row>
    <row r="101">
      <c r="A101" s="265"/>
      <c r="B101" s="268"/>
      <c r="C101" s="248"/>
      <c r="D101" s="822"/>
      <c r="F101" s="250">
        <v>2400.0</v>
      </c>
      <c r="G101" s="2" t="s">
        <v>76</v>
      </c>
      <c r="I101" s="847"/>
    </row>
    <row r="102">
      <c r="A102" s="265"/>
      <c r="B102" s="247">
        <v>3556.44</v>
      </c>
      <c r="C102" s="248"/>
      <c r="D102" s="822"/>
      <c r="F102" s="250"/>
      <c r="G102" s="2" t="s">
        <v>776</v>
      </c>
      <c r="I102" s="847"/>
    </row>
    <row r="103">
      <c r="A103" s="265"/>
      <c r="B103" s="247">
        <v>380.0</v>
      </c>
      <c r="C103" s="252"/>
      <c r="D103" s="822"/>
      <c r="F103" s="250"/>
      <c r="G103" s="2" t="s">
        <v>1144</v>
      </c>
      <c r="I103" s="847"/>
    </row>
    <row r="104">
      <c r="A104" s="265"/>
      <c r="B104" s="268"/>
      <c r="C104" s="252"/>
      <c r="D104" s="822"/>
      <c r="F104" s="250">
        <v>6140.0</v>
      </c>
      <c r="G104" s="2" t="s">
        <v>3235</v>
      </c>
      <c r="I104" s="847"/>
    </row>
    <row r="105">
      <c r="A105" s="265"/>
      <c r="B105" s="268"/>
      <c r="C105" s="252"/>
      <c r="D105" s="331"/>
      <c r="F105" s="250">
        <v>380.0</v>
      </c>
      <c r="G105" s="2" t="s">
        <v>3236</v>
      </c>
      <c r="I105" s="847"/>
    </row>
    <row r="106">
      <c r="A106" s="265"/>
      <c r="B106" s="247">
        <v>7580.0</v>
      </c>
      <c r="C106" s="252"/>
      <c r="D106" s="822"/>
      <c r="F106" s="250"/>
      <c r="G106" s="2" t="s">
        <v>955</v>
      </c>
      <c r="I106" s="847"/>
      <c r="J106" s="33">
        <f>sum(F100:F105)</f>
        <v>9010</v>
      </c>
    </row>
    <row r="107">
      <c r="A107" s="265"/>
      <c r="B107" s="247"/>
      <c r="C107" s="252"/>
      <c r="D107" s="822"/>
      <c r="F107" s="250"/>
      <c r="I107" s="847"/>
    </row>
    <row r="108">
      <c r="A108" s="265"/>
      <c r="B108" s="268"/>
      <c r="C108" s="252"/>
      <c r="D108" s="822"/>
      <c r="F108" s="250"/>
      <c r="I108" s="847"/>
    </row>
    <row r="109">
      <c r="A109" s="265"/>
      <c r="B109" s="278"/>
      <c r="C109" s="248"/>
      <c r="D109" s="822"/>
      <c r="F109" s="282"/>
      <c r="I109" s="847"/>
    </row>
    <row r="110">
      <c r="A110" s="265"/>
      <c r="B110" s="278"/>
      <c r="C110" s="252"/>
      <c r="D110" s="822"/>
      <c r="F110" s="250"/>
      <c r="I110" s="847"/>
    </row>
    <row r="111">
      <c r="A111" s="265"/>
      <c r="B111" s="278"/>
      <c r="C111" s="252"/>
      <c r="D111" s="822"/>
      <c r="F111" s="282"/>
      <c r="I111" s="847"/>
    </row>
    <row r="112">
      <c r="A112" s="270"/>
      <c r="B112" s="271"/>
      <c r="C112" s="272"/>
      <c r="D112" s="823"/>
      <c r="E112" s="18"/>
      <c r="F112" s="274"/>
      <c r="G112" s="18"/>
      <c r="H112" s="18"/>
      <c r="I112" s="663"/>
    </row>
    <row r="113">
      <c r="A113" s="262" t="s">
        <v>126</v>
      </c>
      <c r="B113" s="239"/>
      <c r="C113" s="263">
        <v>13650.0</v>
      </c>
      <c r="D113" s="821"/>
      <c r="E113" s="242"/>
      <c r="F113" s="243"/>
      <c r="G113" s="244" t="s">
        <v>71</v>
      </c>
      <c r="H113" s="244"/>
      <c r="I113" s="662"/>
    </row>
    <row r="114">
      <c r="A114" s="265"/>
      <c r="B114" s="247">
        <v>700.0</v>
      </c>
      <c r="C114" s="252"/>
      <c r="D114" s="331"/>
      <c r="F114" s="250"/>
      <c r="G114" s="2" t="s">
        <v>349</v>
      </c>
      <c r="I114" s="847"/>
    </row>
    <row r="115">
      <c r="A115" s="265"/>
      <c r="B115" s="247"/>
      <c r="C115" s="248">
        <v>6866.52</v>
      </c>
      <c r="D115" s="331"/>
      <c r="F115" s="250"/>
      <c r="G115" s="2" t="s">
        <v>84</v>
      </c>
      <c r="I115" s="847"/>
    </row>
    <row r="116">
      <c r="A116" s="265"/>
      <c r="B116" s="268"/>
      <c r="C116" s="248"/>
      <c r="D116" s="331"/>
      <c r="F116" s="250">
        <v>5850.0</v>
      </c>
      <c r="G116" s="2" t="s">
        <v>87</v>
      </c>
      <c r="I116" s="847"/>
    </row>
    <row r="117">
      <c r="A117" s="265"/>
      <c r="B117" s="268"/>
      <c r="C117" s="252"/>
      <c r="D117" s="331"/>
      <c r="F117" s="250">
        <v>2050.0</v>
      </c>
      <c r="G117" s="2" t="s">
        <v>3003</v>
      </c>
      <c r="I117" s="847"/>
    </row>
    <row r="118">
      <c r="A118" s="265"/>
      <c r="B118" s="247"/>
      <c r="C118" s="252"/>
      <c r="D118" s="822"/>
      <c r="F118" s="250">
        <v>1000.0</v>
      </c>
      <c r="G118" s="2" t="s">
        <v>3118</v>
      </c>
      <c r="I118" s="847"/>
    </row>
    <row r="119">
      <c r="A119" s="265"/>
      <c r="B119" s="268"/>
      <c r="C119" s="252"/>
      <c r="D119" s="822"/>
      <c r="F119" s="250">
        <v>9130.0</v>
      </c>
      <c r="G119" s="2" t="s">
        <v>2752</v>
      </c>
      <c r="I119" s="847"/>
    </row>
    <row r="120">
      <c r="A120" s="265"/>
      <c r="B120" s="247"/>
      <c r="C120" s="252"/>
      <c r="D120" s="822"/>
      <c r="F120" s="250"/>
      <c r="I120" s="847"/>
    </row>
    <row r="121">
      <c r="A121" s="265"/>
      <c r="B121" s="247"/>
      <c r="C121" s="252"/>
      <c r="D121" s="331"/>
      <c r="F121" s="250"/>
      <c r="I121" s="847"/>
    </row>
    <row r="122">
      <c r="A122" s="265"/>
      <c r="B122" s="268"/>
      <c r="C122" s="248"/>
      <c r="D122" s="822"/>
      <c r="F122" s="250"/>
      <c r="I122" s="847"/>
    </row>
    <row r="123">
      <c r="A123" s="265"/>
      <c r="B123" s="268"/>
      <c r="C123" s="252"/>
      <c r="D123" s="822"/>
      <c r="F123" s="250"/>
      <c r="I123" s="847"/>
    </row>
    <row r="124">
      <c r="A124" s="265"/>
      <c r="B124" s="268"/>
      <c r="C124" s="252"/>
      <c r="D124" s="822"/>
      <c r="F124" s="250"/>
      <c r="I124" s="847"/>
    </row>
    <row r="125">
      <c r="A125" s="265"/>
      <c r="B125" s="268"/>
      <c r="C125" s="252"/>
      <c r="D125" s="822"/>
      <c r="F125" s="250"/>
      <c r="I125" s="847"/>
    </row>
    <row r="126">
      <c r="A126" s="265"/>
      <c r="B126" s="268"/>
      <c r="C126" s="252"/>
      <c r="D126" s="822"/>
      <c r="F126" s="250"/>
      <c r="I126" s="847"/>
    </row>
    <row r="127">
      <c r="A127" s="265"/>
      <c r="B127" s="268"/>
      <c r="C127" s="252"/>
      <c r="D127" s="822"/>
      <c r="F127" s="250"/>
      <c r="I127" s="847"/>
    </row>
    <row r="128">
      <c r="A128" s="270"/>
      <c r="B128" s="271"/>
      <c r="C128" s="272"/>
      <c r="D128" s="823"/>
      <c r="E128" s="18"/>
      <c r="F128" s="274"/>
      <c r="G128" s="18"/>
      <c r="H128" s="18"/>
      <c r="I128" s="663"/>
    </row>
    <row r="129">
      <c r="A129" s="262" t="s">
        <v>129</v>
      </c>
      <c r="B129" s="239">
        <v>4299.0</v>
      </c>
      <c r="C129" s="263"/>
      <c r="D129" s="824"/>
      <c r="E129" s="242"/>
      <c r="F129" s="243"/>
      <c r="G129" s="244" t="s">
        <v>82</v>
      </c>
      <c r="H129" s="244"/>
      <c r="I129" s="662"/>
    </row>
    <row r="130">
      <c r="A130" s="265"/>
      <c r="B130" s="247"/>
      <c r="C130" s="248"/>
      <c r="D130" s="822"/>
      <c r="F130" s="250">
        <v>110.0</v>
      </c>
      <c r="G130" s="2" t="s">
        <v>708</v>
      </c>
      <c r="I130" s="847"/>
    </row>
    <row r="131">
      <c r="A131" s="265"/>
      <c r="B131" s="247">
        <v>5079.62</v>
      </c>
      <c r="C131" s="248"/>
      <c r="D131" s="822"/>
      <c r="F131" s="250"/>
      <c r="G131" s="2" t="s">
        <v>73</v>
      </c>
      <c r="I131" s="847"/>
    </row>
    <row r="132">
      <c r="A132" s="265"/>
      <c r="B132" s="247">
        <v>3527.25</v>
      </c>
      <c r="C132" s="252"/>
      <c r="D132" s="331"/>
      <c r="F132" s="250"/>
      <c r="G132" s="2" t="s">
        <v>405</v>
      </c>
      <c r="I132" s="847"/>
    </row>
    <row r="133">
      <c r="A133" s="265"/>
      <c r="B133" s="268"/>
      <c r="C133" s="252"/>
      <c r="D133" s="822"/>
      <c r="F133" s="250">
        <v>720.0</v>
      </c>
      <c r="G133" s="2" t="s">
        <v>324</v>
      </c>
      <c r="I133" s="847"/>
    </row>
    <row r="134">
      <c r="A134" s="265"/>
      <c r="B134" s="247">
        <v>8346.0</v>
      </c>
      <c r="C134" s="252"/>
      <c r="D134" s="822"/>
      <c r="F134" s="250"/>
      <c r="G134" s="2" t="s">
        <v>100</v>
      </c>
      <c r="I134" s="847"/>
    </row>
    <row r="135">
      <c r="A135" s="265"/>
      <c r="B135" s="247"/>
      <c r="C135" s="252"/>
      <c r="D135" s="822"/>
      <c r="F135" s="250">
        <v>2000.0</v>
      </c>
      <c r="G135" s="2" t="s">
        <v>3237</v>
      </c>
      <c r="I135" s="847"/>
    </row>
    <row r="136">
      <c r="A136" s="265"/>
      <c r="B136" s="283"/>
      <c r="C136" s="248"/>
      <c r="D136" s="822"/>
      <c r="F136" s="250">
        <v>1000.0</v>
      </c>
      <c r="G136" s="2" t="s">
        <v>3118</v>
      </c>
      <c r="I136" s="847"/>
    </row>
    <row r="137">
      <c r="A137" s="265"/>
      <c r="B137" s="268"/>
      <c r="C137" s="252"/>
      <c r="D137" s="822"/>
      <c r="F137" s="250"/>
      <c r="I137" s="847"/>
    </row>
    <row r="138">
      <c r="A138" s="265"/>
      <c r="B138" s="268"/>
      <c r="C138" s="252"/>
      <c r="D138" s="822"/>
      <c r="F138" s="250"/>
      <c r="I138" s="847"/>
    </row>
    <row r="139">
      <c r="A139" s="265"/>
      <c r="B139" s="268"/>
      <c r="C139" s="252"/>
      <c r="D139" s="822"/>
      <c r="F139" s="250"/>
      <c r="I139" s="847"/>
    </row>
    <row r="140">
      <c r="A140" s="265"/>
      <c r="B140" s="278"/>
      <c r="C140" s="252"/>
      <c r="D140" s="822"/>
      <c r="F140" s="250"/>
      <c r="I140" s="847"/>
    </row>
    <row r="141">
      <c r="A141" s="270"/>
      <c r="B141" s="271"/>
      <c r="C141" s="272"/>
      <c r="D141" s="823"/>
      <c r="E141" s="18"/>
      <c r="F141" s="274"/>
      <c r="G141" s="18"/>
      <c r="H141" s="18"/>
      <c r="I141" s="663"/>
    </row>
    <row r="142">
      <c r="A142" s="262" t="s">
        <v>132</v>
      </c>
      <c r="B142" s="239">
        <v>21000.0</v>
      </c>
      <c r="C142" s="240"/>
      <c r="D142" s="824"/>
      <c r="E142" s="242"/>
      <c r="F142" s="243"/>
      <c r="G142" s="244" t="s">
        <v>3228</v>
      </c>
      <c r="H142" s="244"/>
      <c r="I142" s="662"/>
    </row>
    <row r="143">
      <c r="A143" s="265"/>
      <c r="B143" s="268"/>
      <c r="C143" s="252"/>
      <c r="D143" s="822"/>
      <c r="F143" s="250">
        <v>950.0</v>
      </c>
      <c r="G143" s="2" t="s">
        <v>708</v>
      </c>
      <c r="I143" s="847"/>
    </row>
    <row r="144">
      <c r="A144" s="265"/>
      <c r="B144" s="247"/>
      <c r="C144" s="252"/>
      <c r="D144" s="822"/>
      <c r="F144" s="418">
        <v>1398.35</v>
      </c>
      <c r="G144" s="417" t="s">
        <v>3238</v>
      </c>
      <c r="H144" s="842"/>
      <c r="I144" s="847"/>
    </row>
    <row r="145">
      <c r="A145" s="265"/>
      <c r="B145" s="247"/>
      <c r="C145" s="252"/>
      <c r="D145" s="822"/>
      <c r="F145" s="250">
        <v>1000.0</v>
      </c>
      <c r="G145" s="2" t="s">
        <v>3239</v>
      </c>
      <c r="I145" s="847"/>
      <c r="J145" s="35">
        <f>SUM(F143:F149)</f>
        <v>11066.35</v>
      </c>
    </row>
    <row r="146">
      <c r="A146" s="265"/>
      <c r="B146" s="268"/>
      <c r="C146" s="252"/>
      <c r="D146" s="331"/>
      <c r="F146" s="250">
        <v>2600.0</v>
      </c>
      <c r="G146" s="2" t="s">
        <v>3240</v>
      </c>
      <c r="I146" s="847"/>
    </row>
    <row r="147">
      <c r="A147" s="265"/>
      <c r="B147" s="268"/>
      <c r="C147" s="248"/>
      <c r="D147" s="331"/>
      <c r="F147" s="250">
        <v>3000.0</v>
      </c>
      <c r="G147" s="2" t="s">
        <v>3003</v>
      </c>
      <c r="I147" s="847"/>
    </row>
    <row r="148">
      <c r="A148" s="265"/>
      <c r="B148" s="268"/>
      <c r="C148" s="252"/>
      <c r="D148" s="331"/>
      <c r="F148" s="250">
        <v>1118.0</v>
      </c>
      <c r="G148" s="2" t="s">
        <v>854</v>
      </c>
      <c r="I148" s="847"/>
    </row>
    <row r="149">
      <c r="A149" s="265"/>
      <c r="B149" s="268"/>
      <c r="C149" s="252"/>
      <c r="D149" s="331"/>
      <c r="F149" s="250">
        <v>1000.0</v>
      </c>
      <c r="G149" s="2" t="s">
        <v>3118</v>
      </c>
      <c r="I149" s="847"/>
    </row>
    <row r="150">
      <c r="A150" s="265"/>
      <c r="B150" s="268"/>
      <c r="C150" s="252"/>
      <c r="D150" s="331"/>
      <c r="F150" s="250"/>
      <c r="I150" s="847"/>
    </row>
    <row r="151">
      <c r="A151" s="265"/>
      <c r="B151" s="247"/>
      <c r="C151" s="252"/>
      <c r="D151" s="822"/>
      <c r="F151" s="250"/>
      <c r="I151" s="847"/>
    </row>
    <row r="152">
      <c r="A152" s="265"/>
      <c r="B152" s="268"/>
      <c r="C152" s="252"/>
      <c r="D152" s="822"/>
      <c r="F152" s="250"/>
      <c r="I152" s="847"/>
    </row>
    <row r="153">
      <c r="A153" s="265"/>
      <c r="B153" s="277"/>
      <c r="C153" s="252"/>
      <c r="D153" s="822"/>
      <c r="F153" s="250"/>
      <c r="I153" s="847"/>
    </row>
    <row r="154">
      <c r="A154" s="265"/>
      <c r="B154" s="277"/>
      <c r="C154" s="252"/>
      <c r="D154" s="822"/>
      <c r="F154" s="282"/>
      <c r="I154" s="847"/>
    </row>
    <row r="155">
      <c r="A155" s="265"/>
      <c r="B155" s="278"/>
      <c r="C155" s="252"/>
      <c r="D155" s="822"/>
      <c r="F155" s="250"/>
      <c r="I155" s="847"/>
    </row>
    <row r="156">
      <c r="A156" s="270"/>
      <c r="B156" s="271"/>
      <c r="C156" s="272"/>
      <c r="D156" s="823"/>
      <c r="E156" s="18"/>
      <c r="F156" s="259"/>
      <c r="G156" s="293"/>
      <c r="H156" s="18"/>
      <c r="I156" s="663"/>
    </row>
    <row r="157">
      <c r="A157" s="262" t="s">
        <v>134</v>
      </c>
      <c r="B157" s="239"/>
      <c r="C157" s="263"/>
      <c r="D157" s="821"/>
      <c r="E157" s="242"/>
      <c r="F157" s="243">
        <v>6770.0</v>
      </c>
      <c r="G157" s="244" t="s">
        <v>3241</v>
      </c>
      <c r="H157" s="244"/>
      <c r="I157" s="662"/>
    </row>
    <row r="158">
      <c r="A158" s="265"/>
      <c r="B158" s="268"/>
      <c r="C158" s="252"/>
      <c r="D158" s="822"/>
      <c r="F158" s="250">
        <v>2000.0</v>
      </c>
      <c r="G158" s="2" t="s">
        <v>2957</v>
      </c>
      <c r="I158" s="847"/>
    </row>
    <row r="159">
      <c r="A159" s="265"/>
      <c r="B159" s="268"/>
      <c r="C159" s="248"/>
      <c r="D159" s="331"/>
      <c r="F159" s="250">
        <v>500.0</v>
      </c>
      <c r="G159" s="2" t="s">
        <v>3118</v>
      </c>
      <c r="I159" s="847"/>
    </row>
    <row r="160">
      <c r="A160" s="265"/>
      <c r="B160" s="268"/>
      <c r="C160" s="252"/>
      <c r="D160" s="822"/>
      <c r="F160" s="250"/>
      <c r="I160" s="847"/>
    </row>
    <row r="161">
      <c r="A161" s="265"/>
      <c r="B161" s="268"/>
      <c r="C161" s="252"/>
      <c r="D161" s="822"/>
      <c r="F161" s="250"/>
      <c r="H161" s="252"/>
      <c r="I161" s="847"/>
    </row>
    <row r="162">
      <c r="A162" s="265"/>
      <c r="B162" s="268"/>
      <c r="C162" s="252"/>
      <c r="D162" s="822"/>
      <c r="F162" s="250"/>
      <c r="I162" s="847"/>
    </row>
    <row r="163">
      <c r="A163" s="265"/>
      <c r="B163" s="268"/>
      <c r="C163" s="252"/>
      <c r="D163" s="331"/>
      <c r="F163" s="250"/>
      <c r="I163" s="847"/>
    </row>
    <row r="164">
      <c r="A164" s="265"/>
      <c r="B164" s="268"/>
      <c r="C164" s="252"/>
      <c r="D164" s="822"/>
      <c r="F164" s="250"/>
      <c r="H164" s="252"/>
      <c r="I164" s="847"/>
    </row>
    <row r="165">
      <c r="A165" s="265"/>
      <c r="B165" s="268"/>
      <c r="C165" s="252"/>
      <c r="D165" s="822"/>
      <c r="F165" s="250"/>
      <c r="I165" s="847"/>
    </row>
    <row r="166">
      <c r="A166" s="270"/>
      <c r="B166" s="271"/>
      <c r="C166" s="272"/>
      <c r="D166" s="823"/>
      <c r="E166" s="18"/>
      <c r="F166" s="274"/>
      <c r="G166" s="18"/>
      <c r="H166" s="18"/>
      <c r="I166" s="663"/>
    </row>
    <row r="167">
      <c r="A167" s="262" t="s">
        <v>140</v>
      </c>
      <c r="B167" s="239">
        <f>3373.08+1467.92</f>
        <v>4841</v>
      </c>
      <c r="C167" s="240"/>
      <c r="D167" s="821"/>
      <c r="E167" s="242"/>
      <c r="F167" s="259"/>
      <c r="G167" s="244" t="s">
        <v>58</v>
      </c>
      <c r="H167" s="244"/>
      <c r="I167" s="662"/>
    </row>
    <row r="168">
      <c r="A168" s="265"/>
      <c r="B168" s="247"/>
      <c r="C168" s="252"/>
      <c r="D168" s="331"/>
      <c r="F168" s="250">
        <v>5850.0</v>
      </c>
      <c r="G168" s="2" t="s">
        <v>64</v>
      </c>
      <c r="I168" s="847"/>
    </row>
    <row r="169">
      <c r="A169" s="265"/>
      <c r="B169" s="247"/>
      <c r="C169" s="248">
        <v>19792.98</v>
      </c>
      <c r="D169" s="331"/>
      <c r="F169" s="250"/>
      <c r="G169" s="2" t="s">
        <v>2637</v>
      </c>
      <c r="I169" s="847"/>
    </row>
    <row r="170">
      <c r="A170" s="265"/>
      <c r="B170" s="247">
        <v>26015.0</v>
      </c>
      <c r="C170" s="252"/>
      <c r="D170" s="822"/>
      <c r="F170" s="250"/>
      <c r="G170" s="2" t="s">
        <v>131</v>
      </c>
      <c r="I170" s="847"/>
    </row>
    <row r="171">
      <c r="A171" s="265"/>
      <c r="B171" s="268"/>
      <c r="C171" s="248"/>
      <c r="D171" s="331"/>
      <c r="F171" s="250">
        <v>500.0</v>
      </c>
      <c r="G171" s="2" t="s">
        <v>3232</v>
      </c>
      <c r="I171" s="847"/>
    </row>
    <row r="172">
      <c r="A172" s="265"/>
      <c r="B172" s="268"/>
      <c r="C172" s="252"/>
      <c r="D172" s="822"/>
      <c r="F172" s="250"/>
      <c r="I172" s="847"/>
    </row>
    <row r="173">
      <c r="A173" s="265"/>
      <c r="B173" s="247"/>
      <c r="C173" s="252"/>
      <c r="D173" s="822"/>
      <c r="F173" s="250"/>
      <c r="I173" s="847"/>
    </row>
    <row r="174">
      <c r="A174" s="265"/>
      <c r="B174" s="247"/>
      <c r="C174" s="252"/>
      <c r="D174" s="822"/>
      <c r="F174" s="250"/>
      <c r="I174" s="847"/>
    </row>
    <row r="175">
      <c r="A175" s="265"/>
      <c r="B175" s="268"/>
      <c r="C175" s="252"/>
      <c r="D175" s="822"/>
      <c r="F175" s="250"/>
      <c r="I175" s="847"/>
    </row>
    <row r="176">
      <c r="A176" s="265"/>
      <c r="B176" s="268"/>
      <c r="C176" s="252"/>
      <c r="D176" s="822"/>
      <c r="F176" s="250"/>
      <c r="I176" s="847"/>
    </row>
    <row r="177">
      <c r="A177" s="265"/>
      <c r="B177" s="268"/>
      <c r="C177" s="252"/>
      <c r="D177" s="822"/>
      <c r="F177" s="250"/>
      <c r="I177" s="847"/>
    </row>
    <row r="178">
      <c r="A178" s="265"/>
      <c r="B178" s="268"/>
      <c r="C178" s="252"/>
      <c r="D178" s="822"/>
      <c r="F178" s="250"/>
      <c r="I178" s="847"/>
    </row>
    <row r="179">
      <c r="A179" s="265"/>
      <c r="B179" s="268"/>
      <c r="C179" s="252"/>
      <c r="D179" s="822"/>
      <c r="F179" s="250"/>
      <c r="I179" s="847"/>
    </row>
    <row r="180">
      <c r="A180" s="265"/>
      <c r="B180" s="268"/>
      <c r="C180" s="252"/>
      <c r="D180" s="822"/>
      <c r="F180" s="250"/>
      <c r="I180" s="847"/>
    </row>
    <row r="181">
      <c r="A181" s="270"/>
      <c r="B181" s="271"/>
      <c r="C181" s="272"/>
      <c r="D181" s="823"/>
      <c r="E181" s="18"/>
      <c r="F181" s="259"/>
      <c r="G181" s="293"/>
      <c r="H181" s="18"/>
      <c r="I181" s="663"/>
    </row>
    <row r="182">
      <c r="A182" s="262" t="s">
        <v>141</v>
      </c>
      <c r="B182" s="239">
        <v>1398.35</v>
      </c>
      <c r="C182" s="240"/>
      <c r="D182" s="821"/>
      <c r="E182" s="242"/>
      <c r="F182" s="243"/>
      <c r="G182" s="244" t="s">
        <v>82</v>
      </c>
      <c r="I182" s="244"/>
    </row>
    <row r="183">
      <c r="A183" s="265"/>
      <c r="B183" s="268"/>
      <c r="C183" s="248"/>
      <c r="D183" s="331"/>
      <c r="F183" s="250">
        <v>3450.0</v>
      </c>
      <c r="G183" s="2" t="s">
        <v>79</v>
      </c>
      <c r="I183" s="847"/>
    </row>
    <row r="184">
      <c r="A184" s="265"/>
      <c r="B184" s="268"/>
      <c r="C184" s="252"/>
      <c r="D184" s="822"/>
      <c r="F184" s="250">
        <v>200.0</v>
      </c>
      <c r="G184" s="2" t="s">
        <v>97</v>
      </c>
      <c r="I184" s="847"/>
    </row>
    <row r="185">
      <c r="A185" s="265"/>
      <c r="B185" s="268"/>
      <c r="C185" s="252"/>
      <c r="D185" s="822"/>
      <c r="F185" s="250">
        <v>650.0</v>
      </c>
      <c r="G185" s="2" t="s">
        <v>3242</v>
      </c>
      <c r="I185" s="847"/>
    </row>
    <row r="186">
      <c r="A186" s="265"/>
      <c r="B186" s="268"/>
      <c r="C186" s="248"/>
      <c r="D186" s="331">
        <v>29279.69</v>
      </c>
      <c r="F186" s="250"/>
      <c r="G186" s="2" t="s">
        <v>3243</v>
      </c>
      <c r="I186" s="847"/>
    </row>
    <row r="187">
      <c r="A187" s="265"/>
      <c r="B187" s="247"/>
      <c r="C187" s="248"/>
      <c r="D187" s="331">
        <v>14500.0</v>
      </c>
      <c r="F187" s="250"/>
      <c r="G187" s="2" t="s">
        <v>3244</v>
      </c>
      <c r="I187" s="847"/>
    </row>
    <row r="188">
      <c r="A188" s="265"/>
      <c r="B188" s="268"/>
      <c r="C188" s="252"/>
      <c r="D188" s="331"/>
      <c r="F188" s="250">
        <v>500.0</v>
      </c>
      <c r="G188" s="2" t="s">
        <v>3118</v>
      </c>
      <c r="I188" s="847"/>
    </row>
    <row r="189">
      <c r="A189" s="265"/>
      <c r="B189" s="247"/>
      <c r="C189" s="252"/>
      <c r="D189" s="331"/>
      <c r="F189" s="250">
        <v>950.0</v>
      </c>
      <c r="G189" s="2" t="s">
        <v>255</v>
      </c>
      <c r="I189" s="847"/>
    </row>
    <row r="190">
      <c r="A190" s="265"/>
      <c r="B190" s="247"/>
      <c r="C190" s="252"/>
      <c r="D190" s="822"/>
      <c r="F190" s="250">
        <v>7160.0</v>
      </c>
      <c r="G190" s="2" t="s">
        <v>76</v>
      </c>
      <c r="I190" s="847"/>
    </row>
    <row r="191">
      <c r="A191" s="265"/>
      <c r="B191" s="278"/>
      <c r="C191" s="252"/>
      <c r="D191" s="822"/>
      <c r="F191" s="250">
        <v>95.0</v>
      </c>
      <c r="G191" s="2" t="s">
        <v>3136</v>
      </c>
      <c r="I191" s="847"/>
    </row>
    <row r="192">
      <c r="A192" s="265"/>
      <c r="B192" s="278"/>
      <c r="C192" s="252"/>
      <c r="D192" s="822"/>
      <c r="F192" s="250"/>
      <c r="I192" s="847"/>
    </row>
    <row r="193">
      <c r="A193" s="265"/>
      <c r="B193" s="277"/>
      <c r="C193" s="252"/>
      <c r="D193" s="822"/>
      <c r="F193" s="250"/>
      <c r="I193" s="847"/>
    </row>
    <row r="194">
      <c r="A194" s="265"/>
      <c r="B194" s="278"/>
      <c r="C194" s="252"/>
      <c r="D194" s="822"/>
      <c r="F194" s="250"/>
      <c r="I194" s="847"/>
    </row>
    <row r="195">
      <c r="A195" s="265"/>
      <c r="B195" s="278"/>
      <c r="C195" s="252"/>
      <c r="D195" s="822"/>
      <c r="F195" s="282"/>
      <c r="I195" s="847"/>
    </row>
    <row r="196">
      <c r="A196" s="265"/>
      <c r="B196" s="278"/>
      <c r="C196" s="252"/>
      <c r="D196" s="822"/>
      <c r="F196" s="282"/>
      <c r="I196" s="847"/>
    </row>
    <row r="197">
      <c r="A197" s="270"/>
      <c r="B197" s="271"/>
      <c r="C197" s="272"/>
      <c r="D197" s="823"/>
      <c r="E197" s="18"/>
      <c r="F197" s="274"/>
      <c r="G197" s="18"/>
      <c r="H197" s="18"/>
      <c r="I197" s="663"/>
    </row>
    <row r="198">
      <c r="A198" s="262" t="s">
        <v>3245</v>
      </c>
      <c r="B198" s="239"/>
      <c r="C198" s="263"/>
      <c r="D198" s="824"/>
      <c r="E198" s="242"/>
      <c r="F198" s="243">
        <v>9510.0</v>
      </c>
      <c r="G198" s="244" t="s">
        <v>3246</v>
      </c>
      <c r="H198" s="244"/>
      <c r="I198" s="662"/>
    </row>
    <row r="199">
      <c r="A199" s="265"/>
      <c r="B199" s="247"/>
      <c r="C199" s="252"/>
      <c r="D199" s="822"/>
      <c r="F199" s="250">
        <v>7000.0</v>
      </c>
      <c r="G199" s="2" t="s">
        <v>87</v>
      </c>
      <c r="I199" s="847"/>
    </row>
    <row r="200">
      <c r="A200" s="265"/>
      <c r="B200" s="247"/>
      <c r="C200" s="252"/>
      <c r="D200" s="331"/>
      <c r="F200" s="250">
        <v>1600.0</v>
      </c>
      <c r="G200" s="2" t="s">
        <v>103</v>
      </c>
      <c r="H200" s="843"/>
      <c r="I200" s="847"/>
    </row>
    <row r="201">
      <c r="A201" s="265"/>
      <c r="B201" s="247"/>
      <c r="C201" s="248"/>
      <c r="D201" s="331"/>
      <c r="F201" s="250">
        <v>4950.0</v>
      </c>
      <c r="G201" s="2" t="s">
        <v>3003</v>
      </c>
      <c r="I201" s="847"/>
    </row>
    <row r="202">
      <c r="A202" s="265"/>
      <c r="B202" s="247"/>
      <c r="C202" s="248"/>
      <c r="D202" s="331"/>
      <c r="F202" s="250">
        <v>1000.0</v>
      </c>
      <c r="G202" s="2" t="s">
        <v>3118</v>
      </c>
      <c r="I202" s="847"/>
    </row>
    <row r="203">
      <c r="A203" s="265"/>
      <c r="B203" s="247"/>
      <c r="C203" s="252"/>
      <c r="D203" s="331"/>
      <c r="F203" s="250"/>
      <c r="G203" s="2" t="s">
        <v>79</v>
      </c>
      <c r="I203" s="847"/>
    </row>
    <row r="204">
      <c r="A204" s="265"/>
      <c r="B204" s="247">
        <v>520.0</v>
      </c>
      <c r="C204" s="252"/>
      <c r="D204" s="822"/>
      <c r="F204" s="250"/>
      <c r="G204" s="2" t="s">
        <v>588</v>
      </c>
      <c r="I204" s="847"/>
    </row>
    <row r="205">
      <c r="A205" s="265"/>
      <c r="B205" s="247"/>
      <c r="C205" s="252"/>
      <c r="D205" s="331"/>
      <c r="F205" s="250"/>
      <c r="I205" s="847"/>
    </row>
    <row r="206">
      <c r="A206" s="265"/>
      <c r="B206" s="268"/>
      <c r="C206" s="248"/>
      <c r="D206" s="331"/>
      <c r="F206" s="250"/>
      <c r="I206" s="847"/>
    </row>
    <row r="207">
      <c r="A207" s="265"/>
      <c r="B207" s="268"/>
      <c r="C207" s="248"/>
      <c r="D207" s="822"/>
      <c r="F207" s="250"/>
      <c r="I207" s="847"/>
    </row>
    <row r="208">
      <c r="A208" s="265"/>
      <c r="B208" s="268"/>
      <c r="C208" s="248"/>
      <c r="D208" s="822"/>
      <c r="F208" s="250"/>
      <c r="I208" s="847"/>
    </row>
    <row r="209">
      <c r="A209" s="265"/>
      <c r="B209" s="268"/>
      <c r="C209" s="248"/>
      <c r="D209" s="822"/>
      <c r="F209" s="250"/>
      <c r="H209" s="252"/>
      <c r="I209" s="847"/>
    </row>
    <row r="210">
      <c r="A210" s="265"/>
      <c r="B210" s="278"/>
      <c r="C210" s="252"/>
      <c r="D210" s="822"/>
      <c r="F210" s="250"/>
      <c r="I210" s="847"/>
    </row>
    <row r="211">
      <c r="A211" s="265"/>
      <c r="B211" s="278"/>
      <c r="C211" s="252"/>
      <c r="D211" s="822"/>
      <c r="F211" s="282"/>
      <c r="I211" s="847"/>
    </row>
    <row r="212">
      <c r="A212" s="270"/>
      <c r="B212" s="271"/>
      <c r="C212" s="272"/>
      <c r="D212" s="823"/>
      <c r="E212" s="18"/>
      <c r="F212" s="274"/>
      <c r="G212" s="18"/>
      <c r="H212" s="18"/>
      <c r="I212" s="663"/>
    </row>
    <row r="213">
      <c r="A213" s="262" t="s">
        <v>148</v>
      </c>
      <c r="B213" s="239"/>
      <c r="C213" s="263"/>
      <c r="D213" s="824"/>
      <c r="E213" s="242"/>
      <c r="F213" s="243">
        <v>516.0</v>
      </c>
      <c r="G213" s="244" t="s">
        <v>97</v>
      </c>
      <c r="H213" s="244"/>
      <c r="I213" s="662"/>
    </row>
    <row r="214">
      <c r="A214" s="265"/>
      <c r="B214" s="247">
        <v>4299.06</v>
      </c>
      <c r="C214" s="248"/>
      <c r="D214" s="331"/>
      <c r="F214" s="250"/>
      <c r="G214" s="2" t="s">
        <v>82</v>
      </c>
      <c r="I214" s="847"/>
    </row>
    <row r="215">
      <c r="A215" s="265"/>
      <c r="B215" s="247"/>
      <c r="C215" s="252"/>
      <c r="D215" s="822"/>
      <c r="F215" s="250">
        <v>3800.0</v>
      </c>
      <c r="G215" s="2" t="s">
        <v>79</v>
      </c>
      <c r="I215" s="847"/>
    </row>
    <row r="216">
      <c r="A216" s="265"/>
      <c r="B216" s="247"/>
      <c r="C216" s="248"/>
      <c r="D216" s="331"/>
      <c r="F216" s="250">
        <v>6780.0</v>
      </c>
      <c r="G216" s="2" t="s">
        <v>2517</v>
      </c>
      <c r="I216" s="847"/>
    </row>
    <row r="217">
      <c r="A217" s="265"/>
      <c r="B217" s="247"/>
      <c r="C217" s="252"/>
      <c r="D217" s="822"/>
      <c r="F217" s="250">
        <v>180.0</v>
      </c>
      <c r="G217" s="2" t="s">
        <v>3152</v>
      </c>
      <c r="I217" s="847"/>
    </row>
    <row r="218">
      <c r="A218" s="265"/>
      <c r="B218" s="247"/>
      <c r="C218" s="252"/>
      <c r="D218" s="822"/>
      <c r="F218" s="250">
        <v>1000.0</v>
      </c>
      <c r="G218" s="2" t="s">
        <v>3118</v>
      </c>
      <c r="I218" s="847"/>
    </row>
    <row r="219">
      <c r="A219" s="265"/>
      <c r="B219" s="268"/>
      <c r="C219" s="252"/>
      <c r="D219" s="822"/>
      <c r="F219" s="250"/>
      <c r="H219" s="252"/>
      <c r="I219" s="847"/>
    </row>
    <row r="220">
      <c r="A220" s="265"/>
      <c r="B220" s="268"/>
      <c r="C220" s="252"/>
      <c r="D220" s="822"/>
      <c r="F220" s="250"/>
      <c r="I220" s="847"/>
    </row>
    <row r="221">
      <c r="A221" s="265"/>
      <c r="B221" s="268"/>
      <c r="C221" s="252"/>
      <c r="D221" s="331"/>
      <c r="F221" s="250"/>
      <c r="I221" s="847"/>
    </row>
    <row r="222">
      <c r="A222" s="265"/>
      <c r="B222" s="278"/>
      <c r="C222" s="252"/>
      <c r="D222" s="822"/>
      <c r="F222" s="250"/>
      <c r="I222" s="847"/>
    </row>
    <row r="223">
      <c r="A223" s="265"/>
      <c r="B223" s="278"/>
      <c r="C223" s="252"/>
      <c r="D223" s="822"/>
      <c r="F223" s="282"/>
      <c r="I223" s="847"/>
    </row>
    <row r="224">
      <c r="A224" s="270"/>
      <c r="B224" s="271"/>
      <c r="C224" s="272"/>
      <c r="D224" s="823"/>
      <c r="E224" s="18"/>
      <c r="F224" s="274"/>
      <c r="G224" s="18"/>
      <c r="H224" s="18"/>
      <c r="I224" s="663"/>
    </row>
    <row r="225">
      <c r="A225" s="262" t="s">
        <v>155</v>
      </c>
      <c r="B225" s="239"/>
      <c r="C225" s="240"/>
      <c r="D225" s="821"/>
      <c r="E225" s="242"/>
      <c r="F225" s="243">
        <v>300.0</v>
      </c>
      <c r="G225" s="244" t="s">
        <v>406</v>
      </c>
      <c r="H225" s="244"/>
      <c r="I225" s="662"/>
    </row>
    <row r="226">
      <c r="A226" s="265"/>
      <c r="B226" s="268"/>
      <c r="C226" s="252"/>
      <c r="D226" s="331"/>
      <c r="F226" s="250">
        <v>191.0</v>
      </c>
      <c r="G226" s="2" t="s">
        <v>303</v>
      </c>
      <c r="I226" s="847"/>
    </row>
    <row r="227">
      <c r="A227" s="265"/>
      <c r="B227" s="268"/>
      <c r="C227" s="252"/>
      <c r="D227" s="331"/>
      <c r="F227" s="250">
        <v>1000.0</v>
      </c>
      <c r="G227" s="2" t="s">
        <v>3118</v>
      </c>
      <c r="I227" s="847"/>
    </row>
    <row r="228">
      <c r="A228" s="265"/>
      <c r="B228" s="268"/>
      <c r="C228" s="248"/>
      <c r="D228" s="822"/>
      <c r="F228" s="250">
        <v>5550.0</v>
      </c>
      <c r="G228" s="2" t="s">
        <v>2669</v>
      </c>
      <c r="I228" s="847"/>
    </row>
    <row r="229">
      <c r="A229" s="265"/>
      <c r="B229" s="268"/>
      <c r="C229" s="248"/>
      <c r="D229" s="822"/>
      <c r="F229" s="250"/>
      <c r="I229" s="847"/>
    </row>
    <row r="230">
      <c r="A230" s="265"/>
      <c r="B230" s="268"/>
      <c r="C230" s="248"/>
      <c r="D230" s="331"/>
      <c r="F230" s="250"/>
      <c r="I230" s="847"/>
    </row>
    <row r="231">
      <c r="A231" s="265"/>
      <c r="B231" s="268"/>
      <c r="C231" s="252"/>
      <c r="D231" s="822"/>
      <c r="F231" s="250"/>
      <c r="I231" s="847"/>
    </row>
    <row r="232">
      <c r="A232" s="265"/>
      <c r="B232" s="268"/>
      <c r="C232" s="252"/>
      <c r="D232" s="822"/>
      <c r="F232" s="250"/>
      <c r="I232" s="847"/>
    </row>
    <row r="233">
      <c r="A233" s="265"/>
      <c r="B233" s="268"/>
      <c r="C233" s="252"/>
      <c r="D233" s="822"/>
      <c r="F233" s="250"/>
      <c r="I233" s="847"/>
    </row>
    <row r="234">
      <c r="A234" s="265"/>
      <c r="B234" s="268"/>
      <c r="C234" s="252"/>
      <c r="D234" s="822"/>
      <c r="F234" s="250"/>
      <c r="I234" s="847"/>
    </row>
    <row r="235">
      <c r="A235" s="270"/>
      <c r="B235" s="271"/>
      <c r="C235" s="272"/>
      <c r="D235" s="823"/>
      <c r="E235" s="18"/>
      <c r="F235" s="274"/>
      <c r="G235" s="18"/>
      <c r="H235" s="18"/>
      <c r="I235" s="663"/>
    </row>
    <row r="236">
      <c r="A236" s="262" t="s">
        <v>159</v>
      </c>
      <c r="B236" s="306"/>
      <c r="C236" s="263"/>
      <c r="D236" s="824"/>
      <c r="E236" s="242"/>
      <c r="F236" s="243">
        <v>4800.0</v>
      </c>
      <c r="G236" s="244" t="s">
        <v>3003</v>
      </c>
      <c r="H236" s="244"/>
      <c r="I236" s="662"/>
    </row>
    <row r="237">
      <c r="A237" s="265"/>
      <c r="B237" s="247">
        <v>5781.85</v>
      </c>
      <c r="C237" s="252"/>
      <c r="D237" s="822"/>
      <c r="F237" s="250"/>
      <c r="G237" s="2" t="s">
        <v>82</v>
      </c>
      <c r="I237" s="847"/>
    </row>
    <row r="238">
      <c r="A238" s="265"/>
      <c r="B238" s="268"/>
      <c r="C238" s="252"/>
      <c r="D238" s="822"/>
      <c r="F238" s="250">
        <v>3475.0</v>
      </c>
      <c r="G238" s="2" t="s">
        <v>2621</v>
      </c>
      <c r="I238" s="847"/>
    </row>
    <row r="239">
      <c r="A239" s="265"/>
      <c r="B239" s="268"/>
      <c r="C239" s="248"/>
      <c r="D239" s="822"/>
      <c r="F239" s="250">
        <v>7200.0</v>
      </c>
      <c r="G239" s="2" t="s">
        <v>87</v>
      </c>
      <c r="I239" s="847"/>
    </row>
    <row r="240">
      <c r="A240" s="265"/>
      <c r="B240" s="268"/>
      <c r="C240" s="252"/>
      <c r="D240" s="822"/>
      <c r="F240" s="250"/>
      <c r="G240" s="2" t="s">
        <v>71</v>
      </c>
      <c r="H240" s="252"/>
      <c r="I240" s="847"/>
    </row>
    <row r="241">
      <c r="A241" s="265"/>
      <c r="B241" s="268"/>
      <c r="C241" s="248"/>
      <c r="D241" s="822"/>
      <c r="F241" s="250">
        <v>180.0</v>
      </c>
      <c r="G241" s="2" t="s">
        <v>3247</v>
      </c>
      <c r="I241" s="847"/>
    </row>
    <row r="242">
      <c r="A242" s="265"/>
      <c r="B242" s="268"/>
      <c r="C242" s="248">
        <v>33317.0</v>
      </c>
      <c r="D242" s="822"/>
      <c r="F242" s="250"/>
      <c r="G242" s="2" t="s">
        <v>71</v>
      </c>
      <c r="I242" s="847"/>
    </row>
    <row r="243">
      <c r="A243" s="265"/>
      <c r="B243" s="268"/>
      <c r="C243" s="252"/>
      <c r="D243" s="822"/>
      <c r="F243" s="250">
        <v>500.0</v>
      </c>
      <c r="G243" s="2" t="s">
        <v>3118</v>
      </c>
      <c r="I243" s="847"/>
    </row>
    <row r="244">
      <c r="A244" s="265"/>
      <c r="B244" s="268"/>
      <c r="C244" s="252"/>
      <c r="D244" s="822"/>
      <c r="F244" s="250">
        <v>200.0</v>
      </c>
      <c r="G244" s="2" t="s">
        <v>97</v>
      </c>
      <c r="I244" s="847"/>
    </row>
    <row r="245">
      <c r="A245" s="265"/>
      <c r="B245" s="268"/>
      <c r="C245" s="252"/>
      <c r="D245" s="822"/>
      <c r="F245" s="250">
        <v>2000.0</v>
      </c>
      <c r="G245" s="2" t="s">
        <v>2957</v>
      </c>
      <c r="I245" s="847"/>
    </row>
    <row r="246">
      <c r="A246" s="265"/>
      <c r="B246" s="278"/>
      <c r="C246" s="252"/>
      <c r="D246" s="822"/>
      <c r="F246" s="250">
        <v>3480.0</v>
      </c>
      <c r="G246" s="2" t="s">
        <v>1750</v>
      </c>
      <c r="I246" s="847"/>
    </row>
    <row r="247">
      <c r="A247" s="265"/>
      <c r="B247" s="278"/>
      <c r="C247" s="252"/>
      <c r="D247" s="822"/>
      <c r="F247" s="250">
        <v>1170.0</v>
      </c>
      <c r="G247" s="2" t="s">
        <v>260</v>
      </c>
      <c r="I247" s="847"/>
    </row>
    <row r="248">
      <c r="A248" s="265"/>
      <c r="B248" s="278"/>
      <c r="C248" s="252"/>
      <c r="D248" s="822"/>
      <c r="F248" s="250"/>
      <c r="I248" s="847"/>
    </row>
    <row r="249">
      <c r="A249" s="270"/>
      <c r="B249" s="271"/>
      <c r="C249" s="272"/>
      <c r="D249" s="823"/>
      <c r="E249" s="18"/>
      <c r="F249" s="274"/>
      <c r="G249" s="18"/>
      <c r="H249" s="18"/>
      <c r="I249" s="663"/>
    </row>
    <row r="250">
      <c r="A250" s="262" t="s">
        <v>162</v>
      </c>
      <c r="B250" s="239"/>
      <c r="C250" s="240"/>
      <c r="D250" s="824"/>
      <c r="E250" s="242"/>
      <c r="F250" s="243">
        <v>105.0</v>
      </c>
      <c r="G250" s="244" t="s">
        <v>97</v>
      </c>
      <c r="H250" s="244"/>
      <c r="I250" s="662"/>
    </row>
    <row r="251">
      <c r="A251" s="265"/>
      <c r="B251" s="247">
        <v>13295.59</v>
      </c>
      <c r="C251" s="248"/>
      <c r="D251" s="822"/>
      <c r="F251" s="250"/>
      <c r="G251" s="2" t="s">
        <v>73</v>
      </c>
      <c r="I251" s="847"/>
    </row>
    <row r="252">
      <c r="A252" s="265"/>
      <c r="B252" s="247">
        <v>10018.98</v>
      </c>
      <c r="C252" s="252"/>
      <c r="D252" s="822"/>
      <c r="F252" s="250"/>
      <c r="G252" s="2" t="s">
        <v>74</v>
      </c>
      <c r="I252" s="847"/>
    </row>
    <row r="253">
      <c r="A253" s="265"/>
      <c r="B253" s="268"/>
      <c r="C253" s="252"/>
      <c r="D253" s="822"/>
      <c r="F253" s="250">
        <v>2580.0</v>
      </c>
      <c r="G253" s="2" t="s">
        <v>275</v>
      </c>
      <c r="I253" s="847"/>
    </row>
    <row r="254">
      <c r="A254" s="265"/>
      <c r="B254" s="247"/>
      <c r="C254" s="248"/>
      <c r="D254" s="822"/>
      <c r="F254" s="250">
        <v>962.0</v>
      </c>
      <c r="G254" s="2" t="s">
        <v>97</v>
      </c>
      <c r="I254" s="847"/>
    </row>
    <row r="255">
      <c r="A255" s="265"/>
      <c r="B255" s="247"/>
      <c r="C255" s="248"/>
      <c r="D255" s="331">
        <v>18150.0</v>
      </c>
      <c r="F255" s="250"/>
      <c r="G255" s="2" t="s">
        <v>3248</v>
      </c>
      <c r="I255" s="847"/>
    </row>
    <row r="256">
      <c r="A256" s="265"/>
      <c r="B256" s="268"/>
      <c r="C256" s="252"/>
      <c r="D256" s="331">
        <v>33000.0</v>
      </c>
      <c r="F256" s="250"/>
      <c r="G256" s="2" t="s">
        <v>3102</v>
      </c>
      <c r="I256" s="847"/>
    </row>
    <row r="257">
      <c r="A257" s="265"/>
      <c r="B257" s="268"/>
      <c r="C257" s="252"/>
      <c r="D257" s="822"/>
      <c r="F257" s="250">
        <v>3450.0</v>
      </c>
      <c r="G257" s="2" t="s">
        <v>79</v>
      </c>
      <c r="I257" s="847"/>
    </row>
    <row r="258">
      <c r="A258" s="265"/>
      <c r="B258" s="268"/>
      <c r="C258" s="248"/>
      <c r="D258" s="822"/>
      <c r="F258" s="250"/>
      <c r="I258" s="847"/>
    </row>
    <row r="259">
      <c r="A259" s="265"/>
      <c r="B259" s="268"/>
      <c r="C259" s="252"/>
      <c r="D259" s="822"/>
      <c r="F259" s="250"/>
      <c r="I259" s="847"/>
    </row>
    <row r="260">
      <c r="A260" s="265"/>
      <c r="B260" s="268"/>
      <c r="C260" s="252"/>
      <c r="D260" s="822"/>
      <c r="F260" s="250"/>
      <c r="I260" s="847"/>
    </row>
    <row r="261">
      <c r="A261" s="265"/>
      <c r="B261" s="268"/>
      <c r="C261" s="252"/>
      <c r="D261" s="822"/>
      <c r="F261" s="250"/>
      <c r="I261" s="847"/>
    </row>
    <row r="262">
      <c r="A262" s="265"/>
      <c r="B262" s="268"/>
      <c r="C262" s="252"/>
      <c r="D262" s="822"/>
      <c r="F262" s="250"/>
      <c r="I262" s="847"/>
    </row>
    <row r="263">
      <c r="A263" s="265"/>
      <c r="B263" s="268"/>
      <c r="C263" s="252"/>
      <c r="D263" s="822"/>
      <c r="F263" s="250"/>
      <c r="I263" s="847"/>
    </row>
    <row r="264">
      <c r="A264" s="270"/>
      <c r="B264" s="271"/>
      <c r="C264" s="272"/>
      <c r="D264" s="823"/>
      <c r="E264" s="18"/>
      <c r="F264" s="274"/>
      <c r="G264" s="18"/>
      <c r="H264" s="18"/>
      <c r="I264" s="663"/>
    </row>
    <row r="265">
      <c r="A265" s="262" t="s">
        <v>166</v>
      </c>
      <c r="B265" s="239"/>
      <c r="C265" s="263"/>
      <c r="D265" s="821"/>
      <c r="E265" s="242"/>
      <c r="F265" s="243"/>
      <c r="G265" s="244"/>
      <c r="H265" s="244"/>
      <c r="I265" s="662"/>
    </row>
    <row r="266">
      <c r="A266" s="265"/>
      <c r="B266" s="247"/>
      <c r="C266" s="252"/>
      <c r="D266" s="822"/>
      <c r="F266" s="250"/>
      <c r="I266" s="847"/>
    </row>
    <row r="267">
      <c r="A267" s="265"/>
      <c r="B267" s="268"/>
      <c r="C267" s="252"/>
      <c r="D267" s="331"/>
      <c r="F267" s="250">
        <v>7200.0</v>
      </c>
      <c r="G267" s="2" t="s">
        <v>87</v>
      </c>
      <c r="I267" s="847"/>
    </row>
    <row r="268">
      <c r="A268" s="265"/>
      <c r="B268" s="247">
        <v>2866.0</v>
      </c>
      <c r="C268" s="252"/>
      <c r="D268" s="822"/>
      <c r="F268" s="250"/>
      <c r="G268" s="2" t="s">
        <v>82</v>
      </c>
      <c r="I268" s="847"/>
    </row>
    <row r="269">
      <c r="A269" s="265"/>
      <c r="B269" s="247">
        <v>5096.0</v>
      </c>
      <c r="C269" s="252"/>
      <c r="D269" s="822"/>
      <c r="F269" s="250"/>
      <c r="G269" s="2" t="s">
        <v>3249</v>
      </c>
      <c r="I269" s="847"/>
    </row>
    <row r="270">
      <c r="A270" s="265"/>
      <c r="B270" s="247">
        <v>11379.69</v>
      </c>
      <c r="C270" s="252"/>
      <c r="D270" s="822"/>
      <c r="F270" s="250"/>
      <c r="G270" s="2" t="s">
        <v>3250</v>
      </c>
      <c r="I270" s="847"/>
    </row>
    <row r="271">
      <c r="A271" s="265"/>
      <c r="B271" s="268"/>
      <c r="C271" s="252"/>
      <c r="D271" s="822"/>
      <c r="F271" s="250">
        <v>500.0</v>
      </c>
      <c r="G271" s="2" t="s">
        <v>3118</v>
      </c>
      <c r="I271" s="847"/>
    </row>
    <row r="272">
      <c r="A272" s="265"/>
      <c r="B272" s="268"/>
      <c r="C272" s="252"/>
      <c r="D272" s="822"/>
      <c r="F272" s="250">
        <v>700.0</v>
      </c>
      <c r="G272" s="2" t="s">
        <v>3251</v>
      </c>
      <c r="I272" s="847"/>
    </row>
    <row r="273">
      <c r="A273" s="265"/>
      <c r="B273" s="268"/>
      <c r="C273" s="252"/>
      <c r="D273" s="822"/>
      <c r="F273" s="250"/>
      <c r="I273" s="847"/>
    </row>
    <row r="274">
      <c r="A274" s="265"/>
      <c r="B274" s="268"/>
      <c r="C274" s="252"/>
      <c r="D274" s="822"/>
      <c r="F274" s="250"/>
      <c r="I274" s="847"/>
    </row>
    <row r="275">
      <c r="A275" s="265"/>
      <c r="B275" s="268"/>
      <c r="C275" s="252"/>
      <c r="D275" s="822"/>
      <c r="F275" s="250"/>
      <c r="I275" s="847"/>
    </row>
    <row r="276">
      <c r="A276" s="265"/>
      <c r="B276" s="268"/>
      <c r="C276" s="252"/>
      <c r="D276" s="822"/>
      <c r="F276" s="250"/>
      <c r="I276" s="847"/>
    </row>
    <row r="277">
      <c r="A277" s="270"/>
      <c r="B277" s="271"/>
      <c r="C277" s="272"/>
      <c r="D277" s="823"/>
      <c r="E277" s="18"/>
      <c r="F277" s="274"/>
      <c r="G277" s="18"/>
      <c r="H277" s="18"/>
      <c r="I277" s="663"/>
    </row>
    <row r="278">
      <c r="A278" s="262" t="s">
        <v>173</v>
      </c>
      <c r="B278" s="239"/>
      <c r="C278" s="263"/>
      <c r="D278" s="824"/>
      <c r="E278" s="242"/>
      <c r="F278" s="243">
        <v>5705.0</v>
      </c>
      <c r="G278" s="244" t="s">
        <v>3130</v>
      </c>
      <c r="H278" s="244"/>
      <c r="I278" s="662"/>
    </row>
    <row r="279">
      <c r="A279" s="265"/>
      <c r="B279" s="247"/>
      <c r="C279" s="252"/>
      <c r="D279" s="822"/>
      <c r="F279" s="250">
        <v>5600.0</v>
      </c>
      <c r="G279" s="2" t="s">
        <v>863</v>
      </c>
      <c r="I279" s="847"/>
    </row>
    <row r="280">
      <c r="A280" s="265"/>
      <c r="B280" s="268"/>
      <c r="C280" s="252"/>
      <c r="D280" s="822"/>
      <c r="F280" s="250">
        <v>1500.0</v>
      </c>
      <c r="G280" s="2" t="s">
        <v>3198</v>
      </c>
      <c r="I280" s="847"/>
    </row>
    <row r="281">
      <c r="A281" s="265"/>
      <c r="B281" s="268"/>
      <c r="C281" s="248"/>
      <c r="D281" s="822"/>
      <c r="F281" s="250">
        <v>80.0</v>
      </c>
      <c r="G281" s="2" t="s">
        <v>3252</v>
      </c>
      <c r="I281" s="847"/>
    </row>
    <row r="282">
      <c r="A282" s="265"/>
      <c r="B282" s="247"/>
      <c r="C282" s="252"/>
      <c r="D282" s="822"/>
      <c r="F282" s="250">
        <v>255.0</v>
      </c>
      <c r="G282" s="2" t="s">
        <v>3252</v>
      </c>
      <c r="I282" s="847"/>
    </row>
    <row r="283">
      <c r="A283" s="265"/>
      <c r="B283" s="268"/>
      <c r="C283" s="248"/>
      <c r="D283" s="331"/>
      <c r="F283" s="250">
        <v>5200.0</v>
      </c>
      <c r="G283" s="2" t="s">
        <v>76</v>
      </c>
      <c r="I283" s="847"/>
    </row>
    <row r="284">
      <c r="A284" s="265"/>
      <c r="B284" s="247"/>
      <c r="C284" s="252"/>
      <c r="D284" s="331"/>
      <c r="F284" s="250">
        <v>1026.0</v>
      </c>
      <c r="G284" s="2" t="s">
        <v>91</v>
      </c>
      <c r="I284" s="847"/>
    </row>
    <row r="285">
      <c r="A285" s="265"/>
      <c r="B285" s="247"/>
      <c r="C285" s="248">
        <v>15374.62</v>
      </c>
      <c r="D285" s="822"/>
      <c r="F285" s="250"/>
      <c r="G285" s="2" t="s">
        <v>84</v>
      </c>
      <c r="I285" s="847"/>
    </row>
    <row r="286">
      <c r="A286" s="265"/>
      <c r="B286" s="268"/>
      <c r="C286" s="252"/>
      <c r="D286" s="331"/>
      <c r="F286" s="250">
        <v>3754.63</v>
      </c>
      <c r="G286" s="2" t="s">
        <v>77</v>
      </c>
      <c r="I286" s="847"/>
    </row>
    <row r="287">
      <c r="A287" s="265"/>
      <c r="B287" s="268"/>
      <c r="C287" s="252"/>
      <c r="D287" s="331"/>
      <c r="F287" s="250">
        <v>1700.0</v>
      </c>
      <c r="G287" s="2" t="s">
        <v>3253</v>
      </c>
      <c r="I287" s="847"/>
    </row>
    <row r="288">
      <c r="A288" s="265"/>
      <c r="B288" s="268"/>
      <c r="C288" s="252"/>
      <c r="D288" s="822"/>
      <c r="F288" s="250">
        <v>1000.0</v>
      </c>
      <c r="G288" s="2" t="s">
        <v>3118</v>
      </c>
      <c r="I288" s="847"/>
    </row>
    <row r="289">
      <c r="A289" s="265"/>
      <c r="B289" s="268"/>
      <c r="C289" s="252"/>
      <c r="D289" s="822"/>
      <c r="F289" s="250">
        <v>1500.0</v>
      </c>
      <c r="G289" s="2" t="s">
        <v>3198</v>
      </c>
      <c r="I289" s="847"/>
    </row>
    <row r="290">
      <c r="A290" s="265"/>
      <c r="B290" s="268"/>
      <c r="C290" s="252"/>
      <c r="D290" s="822"/>
      <c r="F290" s="250"/>
      <c r="I290" s="847"/>
    </row>
    <row r="291">
      <c r="A291" s="270"/>
      <c r="B291" s="271"/>
      <c r="C291" s="272"/>
      <c r="D291" s="823"/>
      <c r="E291" s="18"/>
      <c r="F291" s="274"/>
      <c r="G291" s="18"/>
      <c r="H291" s="18"/>
      <c r="I291" s="663"/>
    </row>
    <row r="292">
      <c r="A292" s="262" t="s">
        <v>179</v>
      </c>
      <c r="B292" s="306"/>
      <c r="C292" s="263"/>
      <c r="D292" s="824"/>
      <c r="E292" s="242"/>
      <c r="F292" s="243">
        <v>300.0</v>
      </c>
      <c r="G292" s="244" t="s">
        <v>228</v>
      </c>
      <c r="H292" s="244"/>
      <c r="I292" s="662"/>
    </row>
    <row r="293">
      <c r="A293" s="265"/>
      <c r="B293" s="268"/>
      <c r="C293" s="248"/>
      <c r="D293" s="822"/>
      <c r="F293" s="250">
        <v>4299.0</v>
      </c>
      <c r="G293" s="2" t="s">
        <v>82</v>
      </c>
      <c r="I293" s="847"/>
    </row>
    <row r="294">
      <c r="A294" s="265"/>
      <c r="B294" s="247"/>
      <c r="C294" s="248"/>
      <c r="D294" s="822"/>
      <c r="F294" s="250">
        <v>11490.0</v>
      </c>
      <c r="G294" s="2" t="s">
        <v>1750</v>
      </c>
      <c r="I294" s="847"/>
    </row>
    <row r="295">
      <c r="A295" s="265"/>
      <c r="B295" s="247"/>
      <c r="C295" s="248"/>
      <c r="D295" s="822"/>
      <c r="F295" s="250">
        <v>13500.0</v>
      </c>
      <c r="G295" s="2" t="s">
        <v>1105</v>
      </c>
      <c r="I295" s="847"/>
    </row>
    <row r="296">
      <c r="A296" s="265"/>
      <c r="B296" s="268"/>
      <c r="C296" s="252"/>
      <c r="D296" s="822"/>
      <c r="F296" s="250">
        <v>1000.0</v>
      </c>
      <c r="G296" s="2" t="s">
        <v>3118</v>
      </c>
      <c r="I296" s="847"/>
    </row>
    <row r="297">
      <c r="A297" s="265"/>
      <c r="B297" s="268"/>
      <c r="C297" s="252"/>
      <c r="D297" s="822"/>
      <c r="F297" s="250">
        <v>1500.0</v>
      </c>
      <c r="G297" s="2" t="s">
        <v>3198</v>
      </c>
      <c r="I297" s="847"/>
    </row>
    <row r="298">
      <c r="A298" s="265"/>
      <c r="B298" s="268"/>
      <c r="C298" s="248"/>
      <c r="D298" s="822"/>
      <c r="F298" s="243"/>
      <c r="G298" s="244"/>
      <c r="H298" s="244"/>
      <c r="I298" s="847"/>
    </row>
    <row r="299">
      <c r="A299" s="265"/>
      <c r="B299" s="268"/>
      <c r="C299" s="252"/>
      <c r="D299" s="822"/>
      <c r="F299" s="250"/>
      <c r="I299" s="847"/>
    </row>
    <row r="300">
      <c r="A300" s="265"/>
      <c r="B300" s="247"/>
      <c r="C300" s="252"/>
      <c r="D300" s="822"/>
      <c r="F300" s="250"/>
      <c r="H300" s="252"/>
      <c r="I300" s="847"/>
    </row>
    <row r="301">
      <c r="A301" s="265"/>
      <c r="B301" s="268"/>
      <c r="C301" s="252"/>
      <c r="D301" s="822"/>
      <c r="F301" s="250"/>
      <c r="I301" s="847"/>
    </row>
    <row r="302">
      <c r="A302" s="265"/>
      <c r="B302" s="268"/>
      <c r="C302" s="252"/>
      <c r="D302" s="822"/>
      <c r="F302" s="250"/>
      <c r="I302" s="847"/>
    </row>
    <row r="303">
      <c r="A303" s="265"/>
      <c r="B303" s="268"/>
      <c r="C303" s="252"/>
      <c r="D303" s="822"/>
      <c r="F303" s="250"/>
      <c r="I303" s="847"/>
    </row>
    <row r="304">
      <c r="A304" s="265"/>
      <c r="B304" s="268"/>
      <c r="C304" s="252"/>
      <c r="D304" s="822"/>
      <c r="F304" s="250"/>
      <c r="I304" s="847"/>
    </row>
    <row r="305">
      <c r="A305" s="265"/>
      <c r="B305" s="268"/>
      <c r="C305" s="252"/>
      <c r="D305" s="822"/>
      <c r="F305" s="250"/>
      <c r="I305" s="847"/>
    </row>
    <row r="306">
      <c r="A306" s="270"/>
      <c r="B306" s="271"/>
      <c r="C306" s="272"/>
      <c r="D306" s="823"/>
      <c r="E306" s="18"/>
      <c r="F306" s="274"/>
      <c r="G306" s="18"/>
      <c r="H306" s="18"/>
      <c r="I306" s="663"/>
    </row>
    <row r="307">
      <c r="A307" s="262" t="s">
        <v>182</v>
      </c>
      <c r="B307" s="239"/>
      <c r="C307" s="240"/>
      <c r="D307" s="821"/>
      <c r="E307" s="242"/>
      <c r="F307" s="250">
        <v>1300.0</v>
      </c>
      <c r="G307" s="2" t="s">
        <v>2914</v>
      </c>
      <c r="I307" s="662"/>
    </row>
    <row r="308">
      <c r="A308" s="265"/>
      <c r="B308" s="268"/>
      <c r="C308" s="252"/>
      <c r="D308" s="822"/>
      <c r="F308" s="250">
        <v>280.0</v>
      </c>
      <c r="G308" s="2" t="s">
        <v>85</v>
      </c>
      <c r="I308" s="847"/>
    </row>
    <row r="309">
      <c r="A309" s="265"/>
      <c r="B309" s="268"/>
      <c r="C309" s="252"/>
      <c r="D309" s="331"/>
      <c r="F309" s="250">
        <v>849.0</v>
      </c>
      <c r="G309" s="2" t="s">
        <v>97</v>
      </c>
      <c r="I309" s="847"/>
    </row>
    <row r="310">
      <c r="A310" s="265"/>
      <c r="B310" s="247"/>
      <c r="C310" s="248"/>
      <c r="D310" s="822"/>
      <c r="F310" s="250">
        <v>7200.0</v>
      </c>
      <c r="G310" s="2" t="s">
        <v>87</v>
      </c>
      <c r="I310" s="847"/>
    </row>
    <row r="311">
      <c r="A311" s="265"/>
      <c r="B311" s="247"/>
      <c r="C311" s="252"/>
      <c r="D311" s="822"/>
      <c r="F311" s="250">
        <v>3000.0</v>
      </c>
      <c r="G311" s="2" t="s">
        <v>3254</v>
      </c>
      <c r="I311" s="847"/>
    </row>
    <row r="312">
      <c r="A312" s="265"/>
      <c r="B312" s="247"/>
      <c r="C312" s="252"/>
      <c r="D312" s="822"/>
      <c r="F312" s="250">
        <v>1000.0</v>
      </c>
      <c r="G312" s="2" t="s">
        <v>3118</v>
      </c>
      <c r="I312" s="847"/>
    </row>
    <row r="313">
      <c r="A313" s="265"/>
      <c r="B313" s="268"/>
      <c r="C313" s="252"/>
      <c r="D313" s="331"/>
      <c r="F313" s="250">
        <v>1500.0</v>
      </c>
      <c r="G313" s="2" t="s">
        <v>3198</v>
      </c>
      <c r="I313" s="847"/>
    </row>
    <row r="314">
      <c r="A314" s="265"/>
      <c r="B314" s="268"/>
      <c r="C314" s="252"/>
      <c r="D314" s="822"/>
      <c r="F314" s="250"/>
      <c r="G314" s="2" t="s">
        <v>2669</v>
      </c>
      <c r="I314" s="847"/>
    </row>
    <row r="315">
      <c r="A315" s="265"/>
      <c r="B315" s="268"/>
      <c r="C315" s="252"/>
      <c r="D315" s="822"/>
      <c r="F315" s="250"/>
      <c r="I315" s="847"/>
    </row>
    <row r="316">
      <c r="A316" s="265"/>
      <c r="B316" s="268"/>
      <c r="C316" s="252"/>
      <c r="D316" s="822"/>
      <c r="F316" s="250"/>
      <c r="I316" s="847"/>
    </row>
    <row r="317">
      <c r="A317" s="270"/>
      <c r="B317" s="271"/>
      <c r="C317" s="272"/>
      <c r="D317" s="823"/>
      <c r="E317" s="18"/>
      <c r="F317" s="274"/>
      <c r="G317" s="18"/>
      <c r="H317" s="18"/>
      <c r="I317" s="663"/>
    </row>
    <row r="318">
      <c r="A318" s="262" t="s">
        <v>184</v>
      </c>
      <c r="B318" s="239"/>
      <c r="C318" s="263">
        <v>24254.97</v>
      </c>
      <c r="D318" s="824"/>
      <c r="E318" s="242"/>
      <c r="F318" s="243"/>
      <c r="G318" s="244" t="s">
        <v>71</v>
      </c>
      <c r="H318" s="244"/>
      <c r="I318" s="662"/>
    </row>
    <row r="319">
      <c r="A319" s="265"/>
      <c r="B319" s="247">
        <v>5097.8</v>
      </c>
      <c r="C319" s="248"/>
      <c r="D319" s="822"/>
      <c r="F319" s="250"/>
      <c r="G319" s="2" t="s">
        <v>82</v>
      </c>
      <c r="I319" s="847"/>
    </row>
    <row r="320">
      <c r="A320" s="265"/>
      <c r="B320" s="268"/>
      <c r="C320" s="248"/>
      <c r="D320" s="822"/>
      <c r="F320" s="250">
        <v>3410.0</v>
      </c>
      <c r="G320" s="2" t="s">
        <v>344</v>
      </c>
      <c r="I320" s="847"/>
    </row>
    <row r="321">
      <c r="A321" s="265"/>
      <c r="B321" s="268"/>
      <c r="C321" s="252"/>
      <c r="D321" s="822"/>
      <c r="F321" s="250">
        <v>180.0</v>
      </c>
      <c r="G321" s="2" t="s">
        <v>3255</v>
      </c>
      <c r="I321" s="847"/>
    </row>
    <row r="322">
      <c r="A322" s="265"/>
      <c r="B322" s="247">
        <v>3352.0</v>
      </c>
      <c r="C322" s="248"/>
      <c r="D322" s="331"/>
      <c r="F322" s="250"/>
      <c r="G322" s="2" t="s">
        <v>3038</v>
      </c>
      <c r="I322" s="847"/>
    </row>
    <row r="323">
      <c r="A323" s="265"/>
      <c r="B323" s="247"/>
      <c r="C323" s="252"/>
      <c r="D323" s="822"/>
      <c r="F323" s="250">
        <v>125.0</v>
      </c>
      <c r="G323" s="2" t="s">
        <v>137</v>
      </c>
      <c r="I323" s="847"/>
    </row>
    <row r="324">
      <c r="A324" s="265"/>
      <c r="B324" s="247"/>
      <c r="C324" s="252"/>
      <c r="D324" s="822"/>
      <c r="F324" s="250">
        <v>1500.0</v>
      </c>
      <c r="G324" s="2" t="s">
        <v>1457</v>
      </c>
      <c r="I324" s="847"/>
    </row>
    <row r="325">
      <c r="A325" s="265"/>
      <c r="B325" s="268"/>
      <c r="C325" s="252"/>
      <c r="D325" s="822"/>
      <c r="F325" s="250">
        <v>500.0</v>
      </c>
      <c r="G325" s="2" t="s">
        <v>3256</v>
      </c>
      <c r="I325" s="847"/>
    </row>
    <row r="326">
      <c r="A326" s="265"/>
      <c r="B326" s="268"/>
      <c r="C326" s="252"/>
      <c r="D326" s="822"/>
      <c r="F326" s="250"/>
      <c r="I326" s="847"/>
    </row>
    <row r="327">
      <c r="A327" s="265"/>
      <c r="B327" s="247"/>
      <c r="C327" s="252"/>
      <c r="D327" s="822"/>
      <c r="F327" s="250"/>
      <c r="I327" s="847"/>
    </row>
    <row r="328">
      <c r="A328" s="270"/>
      <c r="B328" s="271"/>
      <c r="C328" s="272"/>
      <c r="D328" s="823"/>
      <c r="E328" s="18"/>
      <c r="F328" s="274"/>
      <c r="G328" s="18"/>
      <c r="H328" s="18"/>
      <c r="I328" s="663"/>
    </row>
    <row r="329">
      <c r="A329" s="262" t="s">
        <v>186</v>
      </c>
      <c r="B329" s="239">
        <v>25687.7</v>
      </c>
      <c r="C329" s="240"/>
      <c r="D329" s="821"/>
      <c r="E329" s="242"/>
      <c r="F329" s="243"/>
      <c r="G329" s="244" t="s">
        <v>3257</v>
      </c>
      <c r="H329" s="244"/>
      <c r="I329" s="662"/>
    </row>
    <row r="330">
      <c r="A330" s="265"/>
      <c r="B330" s="247">
        <v>9237.35</v>
      </c>
      <c r="C330" s="252"/>
      <c r="D330" s="822"/>
      <c r="F330" s="250"/>
      <c r="G330" s="2" t="s">
        <v>3258</v>
      </c>
      <c r="I330" s="847"/>
    </row>
    <row r="331">
      <c r="A331" s="265"/>
      <c r="B331" s="247">
        <v>3450.0</v>
      </c>
      <c r="C331" s="252"/>
      <c r="D331" s="822"/>
      <c r="F331" s="250"/>
      <c r="G331" s="2" t="s">
        <v>79</v>
      </c>
      <c r="I331" s="847"/>
    </row>
    <row r="332">
      <c r="A332" s="265"/>
      <c r="B332" s="247"/>
      <c r="C332" s="252"/>
      <c r="D332" s="331"/>
      <c r="F332" s="250">
        <v>3950.0</v>
      </c>
      <c r="G332" s="2" t="s">
        <v>76</v>
      </c>
      <c r="I332" s="847"/>
    </row>
    <row r="333">
      <c r="A333" s="265"/>
      <c r="B333" s="247"/>
      <c r="C333" s="252"/>
      <c r="D333" s="822"/>
      <c r="F333" s="250">
        <v>5400.0</v>
      </c>
      <c r="G333" s="2" t="s">
        <v>87</v>
      </c>
      <c r="I333" s="847"/>
    </row>
    <row r="334">
      <c r="A334" s="265"/>
      <c r="B334" s="268"/>
      <c r="C334" s="252"/>
      <c r="D334" s="822"/>
      <c r="F334" s="250">
        <v>6743.73</v>
      </c>
      <c r="G334" s="2" t="s">
        <v>3003</v>
      </c>
      <c r="I334" s="847"/>
    </row>
    <row r="335">
      <c r="A335" s="265"/>
      <c r="B335" s="247"/>
      <c r="C335" s="252"/>
      <c r="D335" s="822"/>
      <c r="F335" s="250">
        <v>35000.0</v>
      </c>
      <c r="G335" s="2" t="s">
        <v>3259</v>
      </c>
      <c r="H335" s="318"/>
      <c r="I335" s="847"/>
    </row>
    <row r="336">
      <c r="A336" s="265"/>
      <c r="B336" s="268"/>
      <c r="C336" s="252"/>
      <c r="D336" s="331"/>
      <c r="F336" s="250">
        <f>676+230</f>
        <v>906</v>
      </c>
      <c r="G336" s="2" t="s">
        <v>97</v>
      </c>
      <c r="I336" s="847"/>
    </row>
    <row r="337">
      <c r="A337" s="265"/>
      <c r="B337" s="268"/>
      <c r="C337" s="252"/>
      <c r="D337" s="822"/>
      <c r="F337" s="250">
        <v>500.0</v>
      </c>
      <c r="G337" s="2" t="s">
        <v>3260</v>
      </c>
      <c r="I337" s="847"/>
    </row>
    <row r="338">
      <c r="A338" s="265"/>
      <c r="B338" s="268"/>
      <c r="C338" s="252"/>
      <c r="D338" s="822"/>
      <c r="F338" s="250">
        <v>500.0</v>
      </c>
      <c r="G338" s="2" t="s">
        <v>3118</v>
      </c>
      <c r="I338" s="847"/>
    </row>
    <row r="339">
      <c r="A339" s="265"/>
      <c r="B339" s="268"/>
      <c r="C339" s="252"/>
      <c r="D339" s="822"/>
      <c r="F339" s="250">
        <v>1500.0</v>
      </c>
      <c r="G339" s="2" t="s">
        <v>3251</v>
      </c>
      <c r="I339" s="847"/>
    </row>
    <row r="340">
      <c r="A340" s="265"/>
      <c r="B340" s="247">
        <v>1869.0</v>
      </c>
      <c r="C340" s="252"/>
      <c r="D340" s="822"/>
      <c r="F340" s="250"/>
      <c r="G340" s="2" t="s">
        <v>693</v>
      </c>
      <c r="I340" s="847"/>
    </row>
    <row r="341">
      <c r="A341" s="265"/>
      <c r="B341" s="247">
        <v>1489.0</v>
      </c>
      <c r="C341" s="252"/>
      <c r="D341" s="822"/>
      <c r="F341" s="250"/>
      <c r="G341" s="2" t="s">
        <v>86</v>
      </c>
      <c r="I341" s="847"/>
    </row>
    <row r="342">
      <c r="A342" s="265"/>
      <c r="B342" s="247">
        <v>3108.0</v>
      </c>
      <c r="C342" s="252"/>
      <c r="D342" s="822"/>
      <c r="F342" s="250"/>
      <c r="G342" s="2" t="s">
        <v>3261</v>
      </c>
      <c r="I342" s="847"/>
    </row>
    <row r="343">
      <c r="A343" s="265"/>
      <c r="B343" s="268"/>
      <c r="C343" s="252"/>
      <c r="D343" s="331">
        <v>16890.0</v>
      </c>
      <c r="F343" s="250"/>
      <c r="G343" s="2" t="s">
        <v>3262</v>
      </c>
      <c r="I343" s="847"/>
    </row>
    <row r="344">
      <c r="A344" s="265"/>
      <c r="B344" s="268"/>
      <c r="C344" s="252"/>
      <c r="D344" s="331">
        <v>8728.0</v>
      </c>
      <c r="F344" s="250"/>
      <c r="G344" s="2" t="s">
        <v>3263</v>
      </c>
      <c r="I344" s="847"/>
    </row>
    <row r="345">
      <c r="A345" s="265"/>
      <c r="B345" s="268"/>
      <c r="C345" s="252"/>
      <c r="D345" s="822"/>
      <c r="F345" s="250">
        <v>600.0</v>
      </c>
      <c r="G345" s="2" t="s">
        <v>3178</v>
      </c>
      <c r="I345" s="847"/>
    </row>
    <row r="346">
      <c r="A346" s="270"/>
      <c r="B346" s="271"/>
      <c r="C346" s="272"/>
      <c r="D346" s="823"/>
      <c r="E346" s="18"/>
      <c r="F346" s="274"/>
      <c r="G346" s="18"/>
      <c r="H346" s="18"/>
      <c r="I346" s="663"/>
    </row>
    <row r="347">
      <c r="A347" s="262"/>
      <c r="B347" s="306"/>
      <c r="C347" s="240"/>
      <c r="D347" s="824"/>
      <c r="E347" s="242"/>
      <c r="F347" s="243"/>
      <c r="I347" s="662"/>
    </row>
    <row r="348">
      <c r="A348" s="265"/>
      <c r="B348" s="268"/>
      <c r="C348" s="248"/>
      <c r="D348" s="822"/>
      <c r="F348" s="250"/>
      <c r="I348" s="847"/>
    </row>
    <row r="349">
      <c r="A349" s="265"/>
      <c r="B349" s="268"/>
      <c r="C349" s="248"/>
      <c r="D349" s="822"/>
      <c r="F349" s="250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65"/>
      <c r="B351" s="268"/>
      <c r="C351" s="252"/>
      <c r="D351" s="822"/>
      <c r="F351" s="250"/>
      <c r="I351" s="847"/>
    </row>
    <row r="352">
      <c r="A352" s="265"/>
      <c r="B352" s="268"/>
      <c r="C352" s="252"/>
      <c r="D352" s="822"/>
      <c r="F352" s="250"/>
      <c r="I352" s="847"/>
    </row>
    <row r="353">
      <c r="A353" s="265"/>
      <c r="B353" s="268"/>
      <c r="C353" s="252"/>
      <c r="D353" s="822"/>
      <c r="F353" s="250"/>
      <c r="I353" s="847"/>
    </row>
    <row r="354">
      <c r="A354" s="265"/>
      <c r="B354" s="268"/>
      <c r="C354" s="252"/>
      <c r="D354" s="822"/>
      <c r="F354" s="250"/>
      <c r="I354" s="847"/>
    </row>
    <row r="355">
      <c r="A355" s="265"/>
      <c r="B355" s="268"/>
      <c r="C355" s="252"/>
      <c r="D355" s="822"/>
      <c r="F355" s="250"/>
      <c r="I355" s="847"/>
    </row>
    <row r="356">
      <c r="A356" s="265"/>
      <c r="B356" s="268"/>
      <c r="C356" s="252"/>
      <c r="D356" s="822"/>
      <c r="F356" s="250"/>
      <c r="I356" s="847"/>
    </row>
    <row r="357">
      <c r="A357" s="270"/>
      <c r="B357" s="271"/>
      <c r="C357" s="272"/>
      <c r="D357" s="823"/>
      <c r="E357" s="18"/>
      <c r="F357" s="274"/>
      <c r="G357" s="18"/>
      <c r="H357" s="18"/>
      <c r="I357" s="663"/>
    </row>
    <row r="358">
      <c r="A358" s="262"/>
      <c r="B358" s="306"/>
      <c r="C358" s="240"/>
      <c r="D358" s="824"/>
      <c r="E358" s="242"/>
      <c r="F358" s="243"/>
      <c r="G358" s="244"/>
      <c r="H358" s="244"/>
      <c r="I358" s="662"/>
    </row>
    <row r="359">
      <c r="A359" s="265"/>
      <c r="B359" s="268"/>
      <c r="C359" s="248"/>
      <c r="D359" s="331"/>
      <c r="F359" s="250"/>
      <c r="I359" s="847"/>
    </row>
    <row r="360">
      <c r="A360" s="265"/>
      <c r="B360" s="268"/>
      <c r="C360" s="252"/>
      <c r="D360" s="331"/>
      <c r="F360" s="250"/>
      <c r="I360" s="847"/>
    </row>
    <row r="361">
      <c r="A361" s="265"/>
      <c r="B361" s="268"/>
      <c r="C361" s="252"/>
      <c r="D361" s="822"/>
      <c r="F361" s="250"/>
      <c r="I361" s="847"/>
    </row>
    <row r="362">
      <c r="A362" s="265"/>
      <c r="B362" s="268"/>
      <c r="C362" s="248"/>
      <c r="D362" s="331"/>
      <c r="F362" s="250"/>
      <c r="I362" s="847"/>
    </row>
    <row r="363">
      <c r="A363" s="265"/>
      <c r="B363" s="268"/>
      <c r="C363" s="252"/>
      <c r="D363" s="331"/>
      <c r="F363" s="250"/>
      <c r="I363" s="847"/>
    </row>
    <row r="364">
      <c r="A364" s="265"/>
      <c r="B364" s="268"/>
      <c r="C364" s="252"/>
      <c r="D364" s="822"/>
      <c r="F364" s="250"/>
      <c r="I364" s="847"/>
    </row>
    <row r="365">
      <c r="A365" s="265"/>
      <c r="B365" s="268"/>
      <c r="C365" s="252"/>
      <c r="D365" s="331"/>
      <c r="F365" s="250"/>
      <c r="I365" s="847"/>
    </row>
    <row r="366">
      <c r="A366" s="265"/>
      <c r="B366" s="268"/>
      <c r="C366" s="252"/>
      <c r="D366" s="822"/>
      <c r="F366" s="250"/>
      <c r="I366" s="847"/>
    </row>
    <row r="367">
      <c r="A367" s="265"/>
      <c r="B367" s="268"/>
      <c r="C367" s="252"/>
      <c r="D367" s="822"/>
      <c r="F367" s="250"/>
      <c r="I367" s="847"/>
    </row>
    <row r="368">
      <c r="A368" s="265"/>
      <c r="B368" s="268"/>
      <c r="C368" s="252"/>
      <c r="D368" s="331"/>
      <c r="F368" s="250"/>
      <c r="I368" s="847"/>
    </row>
    <row r="369">
      <c r="A369" s="265"/>
      <c r="B369" s="268"/>
      <c r="C369" s="252"/>
      <c r="D369" s="822"/>
      <c r="F369" s="250"/>
      <c r="I369" s="847"/>
    </row>
    <row r="370">
      <c r="A370" s="270"/>
      <c r="B370" s="271"/>
      <c r="C370" s="272"/>
      <c r="D370" s="823"/>
      <c r="E370" s="18"/>
      <c r="F370" s="274"/>
      <c r="G370" s="18"/>
      <c r="H370" s="18"/>
      <c r="I370" s="663"/>
    </row>
    <row r="371">
      <c r="A371" s="262"/>
      <c r="B371" s="306"/>
      <c r="C371" s="263"/>
      <c r="D371" s="824"/>
      <c r="E371" s="242"/>
      <c r="F371" s="243"/>
      <c r="G371" s="244"/>
      <c r="H371" s="244"/>
      <c r="I371" s="662"/>
    </row>
    <row r="372">
      <c r="A372" s="265"/>
      <c r="B372" s="268"/>
      <c r="C372" s="248"/>
      <c r="D372" s="331"/>
      <c r="F372" s="250"/>
      <c r="I372" s="847"/>
    </row>
    <row r="373">
      <c r="A373" s="265"/>
      <c r="B373" s="268"/>
      <c r="C373" s="252"/>
      <c r="D373" s="822"/>
      <c r="F373" s="250"/>
      <c r="I373" s="847"/>
    </row>
    <row r="374">
      <c r="A374" s="265"/>
      <c r="B374" s="268"/>
      <c r="C374" s="252"/>
      <c r="D374" s="822"/>
      <c r="F374" s="250"/>
      <c r="I374" s="847"/>
    </row>
    <row r="375">
      <c r="A375" s="265"/>
      <c r="B375" s="268"/>
      <c r="C375" s="252"/>
      <c r="D375" s="331"/>
      <c r="F375" s="250"/>
      <c r="I375" s="847"/>
    </row>
    <row r="376">
      <c r="A376" s="265"/>
      <c r="B376" s="268"/>
      <c r="C376" s="252"/>
      <c r="D376" s="822"/>
      <c r="F376" s="250"/>
      <c r="I376" s="847"/>
    </row>
    <row r="377">
      <c r="A377" s="265"/>
      <c r="B377" s="268"/>
      <c r="C377" s="252"/>
      <c r="D377" s="822"/>
      <c r="F377" s="250"/>
      <c r="I377" s="847"/>
    </row>
    <row r="378">
      <c r="A378" s="265"/>
      <c r="B378" s="268"/>
      <c r="C378" s="252"/>
      <c r="D378" s="822"/>
      <c r="F378" s="250"/>
      <c r="I378" s="847"/>
    </row>
    <row r="379">
      <c r="A379" s="265"/>
      <c r="B379" s="268"/>
      <c r="C379" s="252"/>
      <c r="D379" s="822"/>
      <c r="F379" s="250"/>
      <c r="I379" s="847"/>
    </row>
    <row r="380">
      <c r="A380" s="265"/>
      <c r="B380" s="278"/>
      <c r="C380" s="252"/>
      <c r="D380" s="822"/>
      <c r="F380" s="282"/>
      <c r="I380" s="847"/>
    </row>
    <row r="381">
      <c r="A381" s="265"/>
      <c r="B381" s="278"/>
      <c r="C381" s="252"/>
      <c r="D381" s="822"/>
      <c r="F381" s="282"/>
      <c r="I381" s="847"/>
    </row>
    <row r="382">
      <c r="A382" s="270"/>
      <c r="B382" s="271"/>
      <c r="C382" s="272"/>
      <c r="D382" s="823"/>
      <c r="E382" s="18"/>
      <c r="F382" s="274"/>
      <c r="G382" s="18"/>
      <c r="H382" s="18"/>
      <c r="I382" s="663"/>
    </row>
    <row r="383">
      <c r="A383" s="305"/>
      <c r="B383" s="306"/>
      <c r="C383" s="240"/>
      <c r="D383" s="824"/>
      <c r="E383" s="242"/>
      <c r="F383" s="243"/>
      <c r="G383" s="244"/>
      <c r="H383" s="244"/>
      <c r="I383" s="662"/>
    </row>
    <row r="384">
      <c r="A384" s="265"/>
      <c r="B384" s="268"/>
      <c r="C384" s="252"/>
      <c r="D384" s="331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331"/>
      <c r="F386" s="250"/>
      <c r="I386" s="847"/>
    </row>
    <row r="387">
      <c r="A387" s="265"/>
      <c r="B387" s="268"/>
      <c r="C387" s="252"/>
      <c r="D387" s="822"/>
      <c r="F387" s="250"/>
      <c r="I387" s="847"/>
    </row>
    <row r="388">
      <c r="A388" s="265"/>
      <c r="B388" s="268"/>
      <c r="C388" s="252"/>
      <c r="D388" s="331"/>
      <c r="F388" s="250"/>
      <c r="I388" s="847"/>
    </row>
    <row r="389">
      <c r="A389" s="265"/>
      <c r="B389" s="268"/>
      <c r="C389" s="252"/>
      <c r="D389" s="822"/>
      <c r="F389" s="250"/>
      <c r="I389" s="847"/>
    </row>
    <row r="390">
      <c r="A390" s="265"/>
      <c r="B390" s="268"/>
      <c r="C390" s="252"/>
      <c r="D390" s="822"/>
      <c r="F390" s="250"/>
      <c r="I390" s="847"/>
    </row>
    <row r="391">
      <c r="A391" s="265"/>
      <c r="B391" s="268"/>
      <c r="C391" s="252"/>
      <c r="D391" s="822"/>
      <c r="F391" s="250"/>
      <c r="I391" s="847"/>
    </row>
    <row r="392">
      <c r="A392" s="265"/>
      <c r="B392" s="268"/>
      <c r="C392" s="252"/>
      <c r="D392" s="822"/>
      <c r="F392" s="250"/>
      <c r="I392" s="847"/>
    </row>
    <row r="393">
      <c r="A393" s="265"/>
      <c r="B393" s="268"/>
      <c r="C393" s="252"/>
      <c r="D393" s="822"/>
      <c r="F393" s="250"/>
      <c r="I393" s="847"/>
    </row>
    <row r="394">
      <c r="A394" s="270"/>
      <c r="B394" s="271"/>
      <c r="C394" s="272"/>
      <c r="D394" s="823"/>
      <c r="E394" s="18"/>
      <c r="F394" s="274"/>
      <c r="G394" s="18"/>
      <c r="H394" s="18"/>
      <c r="I394" s="663"/>
    </row>
    <row r="395">
      <c r="A395" s="305"/>
      <c r="B395" s="306"/>
      <c r="C395" s="240"/>
      <c r="D395" s="824"/>
      <c r="E395" s="242"/>
      <c r="F395" s="243"/>
      <c r="G395" s="244"/>
      <c r="H395" s="244"/>
      <c r="I395" s="662"/>
    </row>
    <row r="396">
      <c r="A396" s="265"/>
      <c r="B396" s="268"/>
      <c r="C396" s="252"/>
      <c r="D396" s="822"/>
      <c r="F396" s="250"/>
      <c r="H396" s="252"/>
      <c r="I396" s="847"/>
    </row>
    <row r="397">
      <c r="A397" s="265"/>
      <c r="B397" s="268"/>
      <c r="C397" s="252"/>
      <c r="D397" s="822"/>
      <c r="F397" s="250"/>
      <c r="H397" s="252"/>
      <c r="I397" s="847"/>
    </row>
    <row r="398">
      <c r="A398" s="265"/>
      <c r="B398" s="268"/>
      <c r="C398" s="252"/>
      <c r="D398" s="822"/>
      <c r="F398" s="250"/>
      <c r="H398" s="252"/>
      <c r="I398" s="847"/>
    </row>
    <row r="399">
      <c r="A399" s="265"/>
      <c r="B399" s="268"/>
      <c r="C399" s="252"/>
      <c r="D399" s="822"/>
      <c r="F399" s="250"/>
      <c r="H399" s="252"/>
      <c r="I399" s="847"/>
    </row>
    <row r="400">
      <c r="A400" s="265"/>
      <c r="B400" s="268"/>
      <c r="C400" s="252"/>
      <c r="D400" s="822"/>
      <c r="F400" s="250"/>
      <c r="I400" s="847"/>
    </row>
    <row r="401">
      <c r="A401" s="265"/>
      <c r="B401" s="268"/>
      <c r="C401" s="252"/>
      <c r="D401" s="822"/>
      <c r="F401" s="250"/>
      <c r="I401" s="847"/>
    </row>
    <row r="402">
      <c r="A402" s="265"/>
      <c r="B402" s="268"/>
      <c r="C402" s="252"/>
      <c r="D402" s="822"/>
      <c r="F402" s="250"/>
      <c r="I402" s="847"/>
    </row>
    <row r="403">
      <c r="A403" s="265"/>
      <c r="B403" s="268"/>
      <c r="C403" s="252"/>
      <c r="D403" s="822"/>
      <c r="F403" s="250"/>
      <c r="I403" s="847"/>
    </row>
    <row r="404">
      <c r="A404" s="270"/>
      <c r="B404" s="271"/>
      <c r="C404" s="272"/>
      <c r="D404" s="823"/>
      <c r="E404" s="18"/>
      <c r="F404" s="274"/>
      <c r="G404" s="18"/>
      <c r="H404" s="18"/>
      <c r="I404" s="663"/>
    </row>
    <row r="405">
      <c r="A405" s="305"/>
      <c r="B405" s="306"/>
      <c r="C405" s="240"/>
      <c r="D405" s="824"/>
      <c r="E405" s="242"/>
      <c r="F405" s="243"/>
      <c r="G405" s="244"/>
      <c r="H405" s="244"/>
      <c r="I405" s="662"/>
    </row>
    <row r="406">
      <c r="A406" s="265"/>
      <c r="B406" s="268"/>
      <c r="C406" s="252"/>
      <c r="D406" s="822"/>
      <c r="F406" s="250"/>
      <c r="I406" s="847"/>
    </row>
    <row r="407">
      <c r="A407" s="265"/>
      <c r="B407" s="268"/>
      <c r="C407" s="252"/>
      <c r="D407" s="822"/>
      <c r="F407" s="250"/>
      <c r="I407" s="847"/>
    </row>
    <row r="408">
      <c r="A408" s="265"/>
      <c r="B408" s="268"/>
      <c r="C408" s="252"/>
      <c r="D408" s="822"/>
      <c r="F408" s="250"/>
      <c r="I408" s="847"/>
    </row>
    <row r="409">
      <c r="A409" s="265"/>
      <c r="B409" s="268"/>
      <c r="C409" s="252"/>
      <c r="D409" s="822"/>
      <c r="F409" s="250"/>
      <c r="I409" s="847"/>
    </row>
    <row r="410">
      <c r="A410" s="265"/>
      <c r="B410" s="268"/>
      <c r="C410" s="252"/>
      <c r="D410" s="822"/>
      <c r="F410" s="250"/>
      <c r="I410" s="847"/>
    </row>
    <row r="411">
      <c r="A411" s="265"/>
      <c r="B411" s="268"/>
      <c r="C411" s="252"/>
      <c r="D411" s="822"/>
      <c r="F411" s="250"/>
      <c r="I411" s="847"/>
    </row>
    <row r="412">
      <c r="A412" s="265"/>
      <c r="B412" s="268"/>
      <c r="C412" s="252"/>
      <c r="D412" s="822"/>
      <c r="F412" s="250"/>
      <c r="I412" s="847"/>
    </row>
    <row r="413">
      <c r="A413" s="265"/>
      <c r="B413" s="268"/>
      <c r="C413" s="252"/>
      <c r="D413" s="822"/>
      <c r="F413" s="250"/>
      <c r="I413" s="847"/>
    </row>
    <row r="414">
      <c r="A414" s="270"/>
      <c r="B414" s="271"/>
      <c r="C414" s="272"/>
      <c r="D414" s="823"/>
      <c r="E414" s="18"/>
      <c r="F414" s="274"/>
      <c r="G414" s="18"/>
      <c r="H414" s="18"/>
      <c r="I414" s="663"/>
    </row>
    <row r="415">
      <c r="B415" s="306"/>
      <c r="C415" s="240"/>
      <c r="D415" s="824"/>
      <c r="E415" s="242"/>
      <c r="F415" s="243"/>
      <c r="G415" s="244"/>
      <c r="H415" s="244"/>
      <c r="I415" s="662"/>
    </row>
    <row r="416">
      <c r="B416" s="268"/>
      <c r="C416" s="252"/>
      <c r="D416" s="822"/>
      <c r="F416" s="250"/>
      <c r="I416" s="847"/>
    </row>
    <row r="417">
      <c r="B417" s="268"/>
      <c r="C417" s="252"/>
      <c r="D417" s="822"/>
      <c r="F417" s="250"/>
      <c r="I417" s="847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  <row r="697">
      <c r="B697" s="308"/>
      <c r="C697" s="252"/>
      <c r="D697" s="822"/>
      <c r="F697" s="309"/>
    </row>
    <row r="698">
      <c r="B698" s="308"/>
      <c r="C698" s="252"/>
      <c r="D698" s="822"/>
      <c r="F698" s="309"/>
    </row>
    <row r="699">
      <c r="B699" s="308"/>
      <c r="C699" s="252"/>
      <c r="D699" s="822"/>
      <c r="F699" s="309"/>
    </row>
    <row r="700">
      <c r="B700" s="308"/>
      <c r="C700" s="252"/>
      <c r="D700" s="822"/>
      <c r="F700" s="309"/>
    </row>
    <row r="701">
      <c r="B701" s="308"/>
      <c r="C701" s="252"/>
      <c r="D701" s="822"/>
      <c r="F701" s="309"/>
    </row>
    <row r="702">
      <c r="B702" s="308"/>
      <c r="C702" s="252"/>
      <c r="D702" s="822"/>
      <c r="F702" s="309"/>
    </row>
    <row r="703">
      <c r="B703" s="308"/>
      <c r="C703" s="252"/>
      <c r="D703" s="822"/>
      <c r="F703" s="309"/>
    </row>
    <row r="704">
      <c r="B704" s="308"/>
      <c r="C704" s="252"/>
      <c r="D704" s="822"/>
      <c r="F704" s="309"/>
    </row>
    <row r="705">
      <c r="B705" s="308"/>
      <c r="C705" s="252"/>
      <c r="D705" s="822"/>
      <c r="F705" s="309"/>
    </row>
    <row r="706">
      <c r="B706" s="308"/>
      <c r="C706" s="252"/>
      <c r="D706" s="822"/>
      <c r="F706" s="309"/>
    </row>
    <row r="707">
      <c r="B707" s="308"/>
      <c r="C707" s="252"/>
      <c r="D707" s="822"/>
      <c r="F707" s="309"/>
    </row>
    <row r="708">
      <c r="B708" s="308"/>
      <c r="C708" s="252"/>
      <c r="D708" s="822"/>
      <c r="F708" s="309"/>
    </row>
    <row r="709">
      <c r="B709" s="308"/>
      <c r="C709" s="252"/>
      <c r="D709" s="822"/>
      <c r="F709" s="309"/>
    </row>
    <row r="710">
      <c r="B710" s="308"/>
      <c r="C710" s="252"/>
      <c r="D710" s="822"/>
      <c r="F710" s="309"/>
    </row>
    <row r="711">
      <c r="B711" s="308"/>
      <c r="C711" s="252"/>
      <c r="D711" s="822"/>
      <c r="F711" s="309"/>
    </row>
    <row r="712">
      <c r="B712" s="308"/>
      <c r="C712" s="252"/>
      <c r="D712" s="822"/>
      <c r="F712" s="309"/>
    </row>
    <row r="713">
      <c r="B713" s="308"/>
      <c r="C713" s="252"/>
      <c r="D713" s="822"/>
      <c r="F713" s="309"/>
    </row>
    <row r="714">
      <c r="B714" s="308"/>
      <c r="C714" s="252"/>
      <c r="D714" s="822"/>
      <c r="F714" s="309"/>
    </row>
    <row r="715">
      <c r="B715" s="308"/>
      <c r="C715" s="252"/>
      <c r="D715" s="822"/>
      <c r="F715" s="309"/>
    </row>
    <row r="716">
      <c r="B716" s="308"/>
      <c r="C716" s="252"/>
      <c r="D716" s="822"/>
      <c r="F716" s="309"/>
    </row>
    <row r="717">
      <c r="B717" s="308"/>
      <c r="C717" s="252"/>
      <c r="D717" s="822"/>
      <c r="F717" s="309"/>
    </row>
    <row r="718">
      <c r="B718" s="308"/>
      <c r="C718" s="252"/>
      <c r="D718" s="822"/>
      <c r="F718" s="309"/>
    </row>
    <row r="719">
      <c r="B719" s="308"/>
      <c r="C719" s="252"/>
      <c r="D719" s="822"/>
      <c r="F719" s="309"/>
    </row>
    <row r="720">
      <c r="B720" s="308"/>
      <c r="C720" s="252"/>
      <c r="D720" s="822"/>
      <c r="F720" s="309"/>
    </row>
    <row r="721">
      <c r="B721" s="308"/>
      <c r="C721" s="252"/>
      <c r="D721" s="822"/>
      <c r="F721" s="309"/>
    </row>
    <row r="722">
      <c r="B722" s="308"/>
      <c r="C722" s="252"/>
      <c r="D722" s="822"/>
      <c r="F722" s="309"/>
    </row>
    <row r="723">
      <c r="B723" s="308"/>
      <c r="C723" s="252"/>
      <c r="D723" s="822"/>
      <c r="F723" s="309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98"/>
    <mergeCell ref="A99:A112"/>
    <mergeCell ref="A113:A128"/>
    <mergeCell ref="A129:A141"/>
    <mergeCell ref="A142:A156"/>
    <mergeCell ref="A157:A166"/>
    <mergeCell ref="A167:A181"/>
    <mergeCell ref="A182:A197"/>
    <mergeCell ref="A198:A212"/>
    <mergeCell ref="A213:A224"/>
    <mergeCell ref="A225:A235"/>
    <mergeCell ref="A236:A249"/>
    <mergeCell ref="A250:A264"/>
    <mergeCell ref="A358:A370"/>
    <mergeCell ref="A371:A382"/>
    <mergeCell ref="A383:A394"/>
    <mergeCell ref="A395:A404"/>
    <mergeCell ref="A405:A414"/>
    <mergeCell ref="A265:A277"/>
    <mergeCell ref="A278:A291"/>
    <mergeCell ref="A292:A306"/>
    <mergeCell ref="A307:A317"/>
    <mergeCell ref="A318:A328"/>
    <mergeCell ref="A329:A346"/>
    <mergeCell ref="A347:A3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2515</v>
      </c>
      <c r="B2" s="247">
        <v>14500.0</v>
      </c>
      <c r="C2" s="240"/>
      <c r="D2" s="824"/>
      <c r="E2" s="242"/>
      <c r="F2" s="243"/>
      <c r="G2" s="2" t="s">
        <v>3264</v>
      </c>
      <c r="H2" s="244"/>
      <c r="I2" s="662"/>
    </row>
    <row r="3">
      <c r="A3" s="265"/>
      <c r="B3" s="268"/>
      <c r="C3" s="252"/>
      <c r="D3" s="331">
        <v>39917.0</v>
      </c>
      <c r="F3" s="250"/>
      <c r="G3" s="2" t="s">
        <v>199</v>
      </c>
      <c r="I3" s="847"/>
    </row>
    <row r="4">
      <c r="A4" s="265"/>
      <c r="B4" s="268"/>
      <c r="C4" s="252"/>
      <c r="D4" s="822"/>
      <c r="F4" s="250">
        <v>17400.0</v>
      </c>
      <c r="G4" s="2" t="s">
        <v>3033</v>
      </c>
      <c r="I4" s="847"/>
    </row>
    <row r="5">
      <c r="A5" s="265"/>
      <c r="B5" s="247">
        <v>3145.94</v>
      </c>
      <c r="C5" s="248"/>
      <c r="D5" s="331"/>
      <c r="F5" s="250"/>
      <c r="G5" s="2" t="s">
        <v>58</v>
      </c>
      <c r="I5" s="847"/>
    </row>
    <row r="6">
      <c r="A6" s="265"/>
      <c r="B6" s="247"/>
      <c r="C6" s="252"/>
      <c r="D6" s="822"/>
      <c r="F6" s="250">
        <v>500.0</v>
      </c>
      <c r="G6" s="2" t="s">
        <v>3118</v>
      </c>
      <c r="H6" s="838"/>
      <c r="I6" s="847"/>
    </row>
    <row r="7">
      <c r="A7" s="265"/>
      <c r="B7" s="247">
        <v>2796.0</v>
      </c>
      <c r="C7" s="252"/>
      <c r="D7" s="822"/>
      <c r="F7" s="250"/>
      <c r="G7" s="2" t="s">
        <v>3265</v>
      </c>
      <c r="I7" s="847"/>
    </row>
    <row r="8">
      <c r="A8" s="265"/>
      <c r="B8" s="268"/>
      <c r="C8" s="252"/>
      <c r="D8" s="822"/>
      <c r="F8" s="250"/>
      <c r="I8" s="847"/>
    </row>
    <row r="9">
      <c r="A9" s="265"/>
      <c r="B9" s="268"/>
      <c r="C9" s="252"/>
      <c r="D9" s="822"/>
      <c r="F9" s="250"/>
      <c r="I9" s="847"/>
    </row>
    <row r="10">
      <c r="A10" s="265"/>
      <c r="B10" s="268"/>
      <c r="C10" s="252"/>
      <c r="D10" s="822"/>
      <c r="F10" s="250"/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534</v>
      </c>
      <c r="B12" s="247">
        <v>4269.42</v>
      </c>
      <c r="C12" s="263"/>
      <c r="D12" s="821"/>
      <c r="E12" s="242"/>
      <c r="F12" s="243"/>
      <c r="G12" s="244" t="s">
        <v>82</v>
      </c>
      <c r="H12" s="244"/>
      <c r="I12" s="662"/>
    </row>
    <row r="13">
      <c r="A13" s="265"/>
      <c r="B13" s="247"/>
      <c r="C13" s="248"/>
      <c r="D13" s="822"/>
      <c r="F13" s="250">
        <v>7250.0</v>
      </c>
      <c r="G13" s="2" t="s">
        <v>79</v>
      </c>
      <c r="I13" s="847"/>
    </row>
    <row r="14">
      <c r="A14" s="265"/>
      <c r="B14" s="247"/>
      <c r="C14" s="248"/>
      <c r="D14" s="331"/>
      <c r="F14" s="250">
        <v>5215.0</v>
      </c>
      <c r="G14" s="2" t="s">
        <v>87</v>
      </c>
      <c r="I14" s="847"/>
    </row>
    <row r="15">
      <c r="A15" s="265"/>
      <c r="B15" s="247"/>
      <c r="C15" s="252"/>
      <c r="D15" s="331"/>
      <c r="F15" s="250">
        <v>1150.0</v>
      </c>
      <c r="G15" s="2" t="s">
        <v>170</v>
      </c>
      <c r="I15" s="847"/>
    </row>
    <row r="16">
      <c r="A16" s="265"/>
      <c r="B16" s="268"/>
      <c r="C16" s="252"/>
      <c r="D16" s="331"/>
      <c r="F16" s="250">
        <v>80.0</v>
      </c>
      <c r="G16" s="2" t="s">
        <v>3266</v>
      </c>
      <c r="I16" s="847"/>
    </row>
    <row r="17">
      <c r="A17" s="265"/>
      <c r="B17" s="247">
        <v>1050.0</v>
      </c>
      <c r="C17" s="252"/>
      <c r="D17" s="331"/>
      <c r="F17" s="250"/>
      <c r="G17" s="2" t="s">
        <v>3267</v>
      </c>
      <c r="I17" s="847"/>
    </row>
    <row r="18">
      <c r="A18" s="265"/>
      <c r="B18" s="247"/>
      <c r="C18" s="252"/>
      <c r="D18" s="822"/>
      <c r="F18" s="250">
        <v>10000.0</v>
      </c>
      <c r="G18" s="2" t="s">
        <v>3268</v>
      </c>
      <c r="I18" s="847"/>
    </row>
    <row r="19">
      <c r="A19" s="265"/>
      <c r="B19" s="268"/>
      <c r="C19" s="252"/>
      <c r="D19" s="331"/>
      <c r="F19" s="250">
        <v>8000.0</v>
      </c>
      <c r="G19" s="2" t="s">
        <v>3269</v>
      </c>
      <c r="I19" s="847"/>
    </row>
    <row r="20">
      <c r="A20" s="265"/>
      <c r="B20" s="247"/>
      <c r="C20" s="252"/>
      <c r="D20" s="822"/>
      <c r="F20" s="250"/>
      <c r="I20" s="847"/>
    </row>
    <row r="21">
      <c r="A21" s="265"/>
      <c r="B21" s="278"/>
      <c r="C21" s="252"/>
      <c r="D21" s="822"/>
      <c r="F21" s="250"/>
      <c r="I21" s="847"/>
    </row>
    <row r="22">
      <c r="A22" s="265"/>
      <c r="B22" s="278"/>
      <c r="C22" s="252"/>
      <c r="D22" s="822"/>
      <c r="F22" s="250"/>
      <c r="I22" s="847"/>
    </row>
    <row r="23">
      <c r="A23" s="265"/>
      <c r="B23" s="278"/>
      <c r="C23" s="252"/>
      <c r="D23" s="822"/>
      <c r="F23" s="250"/>
      <c r="I23" s="847"/>
    </row>
    <row r="24">
      <c r="A24" s="270"/>
      <c r="B24" s="271"/>
      <c r="C24" s="272"/>
      <c r="D24" s="823"/>
      <c r="E24" s="18"/>
      <c r="F24" s="274"/>
      <c r="G24" s="18"/>
      <c r="H24" s="18"/>
      <c r="I24" s="663"/>
    </row>
    <row r="25">
      <c r="A25" s="262" t="s">
        <v>538</v>
      </c>
      <c r="B25" s="239">
        <v>20700.0</v>
      </c>
      <c r="C25" s="263"/>
      <c r="D25" s="824"/>
      <c r="E25" s="242"/>
      <c r="F25" s="243"/>
      <c r="G25" s="244" t="s">
        <v>3270</v>
      </c>
      <c r="H25" s="244"/>
      <c r="I25" s="662"/>
    </row>
    <row r="26">
      <c r="A26" s="265"/>
      <c r="B26" s="268"/>
      <c r="C26" s="252"/>
      <c r="D26" s="822"/>
      <c r="F26" s="250">
        <v>500.0</v>
      </c>
      <c r="G26" s="2" t="s">
        <v>3118</v>
      </c>
      <c r="I26" s="847"/>
    </row>
    <row r="27">
      <c r="A27" s="265"/>
      <c r="B27" s="268"/>
      <c r="C27" s="252"/>
      <c r="D27" s="822"/>
      <c r="F27" s="250">
        <v>560.0</v>
      </c>
      <c r="G27" s="2" t="s">
        <v>3271</v>
      </c>
      <c r="I27" s="847"/>
    </row>
    <row r="28">
      <c r="A28" s="265"/>
      <c r="B28" s="268"/>
      <c r="C28" s="252"/>
      <c r="D28" s="822"/>
      <c r="F28" s="250"/>
      <c r="I28" s="847"/>
    </row>
    <row r="29">
      <c r="A29" s="265"/>
      <c r="B29" s="268"/>
      <c r="C29" s="248"/>
      <c r="D29" s="822"/>
      <c r="F29" s="250"/>
      <c r="I29" s="847"/>
    </row>
    <row r="30">
      <c r="A30" s="265"/>
      <c r="B30" s="268"/>
      <c r="C30" s="252"/>
      <c r="D30" s="822"/>
      <c r="F30" s="250"/>
      <c r="I30" s="847"/>
    </row>
    <row r="31">
      <c r="A31" s="265"/>
      <c r="B31" s="268"/>
      <c r="C31" s="252"/>
      <c r="D31" s="822"/>
      <c r="F31" s="250"/>
      <c r="I31" s="847"/>
    </row>
    <row r="32">
      <c r="A32" s="265"/>
      <c r="B32" s="268"/>
      <c r="C32" s="252"/>
      <c r="D32" s="331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65"/>
      <c r="B34" s="268"/>
      <c r="C34" s="252"/>
      <c r="D34" s="822"/>
      <c r="F34" s="250"/>
      <c r="I34" s="847"/>
    </row>
    <row r="35">
      <c r="A35" s="265"/>
      <c r="B35" s="268"/>
      <c r="C35" s="252"/>
      <c r="D35" s="822"/>
      <c r="F35" s="250"/>
      <c r="I35" s="847"/>
    </row>
    <row r="36">
      <c r="A36" s="265"/>
      <c r="B36" s="268"/>
      <c r="C36" s="252"/>
      <c r="D36" s="822"/>
      <c r="F36" s="250"/>
      <c r="I36" s="847"/>
    </row>
    <row r="37">
      <c r="A37" s="270"/>
      <c r="B37" s="271"/>
      <c r="C37" s="272"/>
      <c r="D37" s="823"/>
      <c r="E37" s="18"/>
      <c r="F37" s="274"/>
      <c r="G37" s="18"/>
      <c r="H37" s="18"/>
      <c r="I37" s="663"/>
    </row>
    <row r="38">
      <c r="A38" s="262" t="s">
        <v>541</v>
      </c>
      <c r="B38" s="239">
        <v>7155.0</v>
      </c>
      <c r="C38" s="240"/>
      <c r="D38" s="824"/>
      <c r="E38" s="242"/>
      <c r="F38" s="243"/>
      <c r="G38" s="244" t="s">
        <v>3272</v>
      </c>
      <c r="H38" s="244"/>
      <c r="I38" s="662"/>
    </row>
    <row r="39">
      <c r="A39" s="265"/>
      <c r="B39" s="247">
        <v>4133.85</v>
      </c>
      <c r="C39" s="252"/>
      <c r="D39" s="822"/>
      <c r="F39" s="250"/>
      <c r="G39" s="2" t="s">
        <v>82</v>
      </c>
      <c r="I39" s="847"/>
    </row>
    <row r="40">
      <c r="A40" s="265"/>
      <c r="B40" s="268"/>
      <c r="C40" s="248">
        <v>29379.6</v>
      </c>
      <c r="D40" s="822"/>
      <c r="F40" s="250"/>
      <c r="G40" s="2" t="s">
        <v>71</v>
      </c>
      <c r="I40" s="847"/>
    </row>
    <row r="41">
      <c r="A41" s="265"/>
      <c r="B41" s="268"/>
      <c r="C41" s="252"/>
      <c r="D41" s="822"/>
      <c r="F41" s="250">
        <v>3211.8</v>
      </c>
      <c r="G41" s="2" t="s">
        <v>103</v>
      </c>
      <c r="I41" s="847"/>
    </row>
    <row r="42">
      <c r="A42" s="265"/>
      <c r="B42" s="247"/>
      <c r="C42" s="252"/>
      <c r="D42" s="822"/>
      <c r="F42" s="250">
        <v>2208.0</v>
      </c>
      <c r="G42" s="2" t="s">
        <v>708</v>
      </c>
      <c r="I42" s="847"/>
    </row>
    <row r="43">
      <c r="A43" s="265"/>
      <c r="B43" s="247">
        <v>4020.0</v>
      </c>
      <c r="C43" s="252"/>
      <c r="D43" s="822"/>
      <c r="F43" s="250"/>
      <c r="G43" s="2" t="s">
        <v>3273</v>
      </c>
      <c r="I43" s="847"/>
    </row>
    <row r="44">
      <c r="A44" s="265"/>
      <c r="B44" s="268"/>
      <c r="C44" s="248"/>
      <c r="D44" s="822"/>
      <c r="F44" s="250">
        <v>200.0</v>
      </c>
      <c r="G44" s="2" t="s">
        <v>85</v>
      </c>
      <c r="I44" s="847"/>
    </row>
    <row r="45">
      <c r="A45" s="265"/>
      <c r="B45" s="268"/>
      <c r="C45" s="252"/>
      <c r="D45" s="822"/>
      <c r="F45" s="250">
        <v>500.0</v>
      </c>
      <c r="G45" s="2" t="s">
        <v>3118</v>
      </c>
      <c r="I45" s="847"/>
    </row>
    <row r="46">
      <c r="A46" s="265"/>
      <c r="B46" s="268"/>
      <c r="C46" s="248"/>
      <c r="D46" s="822"/>
      <c r="F46" s="250"/>
      <c r="I46" s="847"/>
    </row>
    <row r="47">
      <c r="A47" s="265"/>
      <c r="B47" s="278"/>
      <c r="C47" s="252"/>
      <c r="D47" s="822"/>
      <c r="F47" s="250"/>
      <c r="I47" s="847"/>
    </row>
    <row r="48">
      <c r="A48" s="265"/>
      <c r="B48" s="278"/>
      <c r="C48" s="252"/>
      <c r="D48" s="822"/>
      <c r="F48" s="250"/>
      <c r="I48" s="847"/>
    </row>
    <row r="49">
      <c r="A49" s="270"/>
      <c r="B49" s="271"/>
      <c r="C49" s="272"/>
      <c r="D49" s="823"/>
      <c r="E49" s="18"/>
      <c r="F49" s="259"/>
      <c r="G49" s="293"/>
      <c r="H49" s="18"/>
      <c r="I49" s="663"/>
    </row>
    <row r="50">
      <c r="A50" s="437"/>
      <c r="B50" s="278"/>
      <c r="C50" s="252"/>
      <c r="D50" s="822"/>
      <c r="F50" s="250"/>
      <c r="I50" s="847"/>
    </row>
    <row r="51">
      <c r="A51" s="437"/>
      <c r="B51" s="278"/>
      <c r="C51" s="252"/>
      <c r="D51" s="822"/>
      <c r="F51" s="250"/>
      <c r="I51" s="847"/>
    </row>
    <row r="52">
      <c r="A52" s="262" t="s">
        <v>2521</v>
      </c>
      <c r="B52" s="306"/>
      <c r="C52" s="263"/>
      <c r="D52" s="824"/>
      <c r="E52" s="242"/>
      <c r="F52" s="243">
        <v>1220.0</v>
      </c>
      <c r="G52" s="244" t="s">
        <v>708</v>
      </c>
      <c r="H52" s="244"/>
      <c r="I52" s="662"/>
    </row>
    <row r="53">
      <c r="A53" s="265"/>
      <c r="B53" s="268"/>
      <c r="C53" s="252"/>
      <c r="D53" s="822"/>
      <c r="F53" s="250">
        <v>5250.0</v>
      </c>
      <c r="G53" s="2" t="s">
        <v>87</v>
      </c>
      <c r="I53" s="847"/>
    </row>
    <row r="54">
      <c r="A54" s="265"/>
      <c r="B54" s="247"/>
      <c r="C54" s="248"/>
      <c r="D54" s="331"/>
      <c r="F54" s="250">
        <v>3000.0</v>
      </c>
      <c r="G54" s="2" t="s">
        <v>3003</v>
      </c>
      <c r="I54" s="847"/>
    </row>
    <row r="55">
      <c r="A55" s="265"/>
      <c r="B55" s="268"/>
      <c r="C55" s="252"/>
      <c r="D55" s="822"/>
      <c r="F55" s="250">
        <v>6450.0</v>
      </c>
      <c r="G55" s="2" t="s">
        <v>76</v>
      </c>
      <c r="I55" s="847"/>
    </row>
    <row r="56">
      <c r="A56" s="265"/>
      <c r="B56" s="247">
        <v>10900.0</v>
      </c>
      <c r="C56" s="252"/>
      <c r="D56" s="822"/>
      <c r="F56" s="250"/>
      <c r="G56" s="2" t="s">
        <v>3274</v>
      </c>
      <c r="I56" s="847"/>
    </row>
    <row r="57">
      <c r="A57" s="265"/>
      <c r="B57" s="247"/>
      <c r="C57" s="252"/>
      <c r="D57" s="822"/>
      <c r="F57" s="250">
        <v>35000.0</v>
      </c>
      <c r="G57" s="2" t="s">
        <v>3275</v>
      </c>
      <c r="I57" s="847"/>
    </row>
    <row r="58">
      <c r="A58" s="265"/>
      <c r="B58" s="247"/>
      <c r="C58" s="248"/>
      <c r="D58" s="822"/>
      <c r="F58" s="250">
        <v>500.0</v>
      </c>
      <c r="G58" s="2" t="s">
        <v>3118</v>
      </c>
      <c r="I58" s="847"/>
    </row>
    <row r="59">
      <c r="A59" s="265"/>
      <c r="B59" s="268"/>
      <c r="C59" s="252"/>
      <c r="D59" s="822"/>
      <c r="F59" s="250">
        <v>5000.0</v>
      </c>
      <c r="G59" s="2" t="s">
        <v>128</v>
      </c>
      <c r="I59" s="847"/>
    </row>
    <row r="60">
      <c r="A60" s="265"/>
      <c r="B60" s="268"/>
      <c r="C60" s="252"/>
      <c r="D60" s="822"/>
      <c r="F60" s="250">
        <v>7500.0</v>
      </c>
      <c r="G60" s="2" t="s">
        <v>3276</v>
      </c>
      <c r="I60" s="847"/>
    </row>
    <row r="61">
      <c r="A61" s="270"/>
      <c r="B61" s="271"/>
      <c r="C61" s="272"/>
      <c r="D61" s="823"/>
      <c r="E61" s="18"/>
      <c r="F61" s="274"/>
      <c r="G61" s="18"/>
      <c r="H61" s="18"/>
      <c r="I61" s="663"/>
    </row>
    <row r="62">
      <c r="A62" s="262" t="s">
        <v>550</v>
      </c>
      <c r="B62" s="306"/>
      <c r="C62" s="240"/>
      <c r="D62" s="824"/>
      <c r="E62" s="242"/>
      <c r="F62" s="243">
        <v>3640.0</v>
      </c>
      <c r="G62" s="244" t="s">
        <v>71</v>
      </c>
      <c r="H62" s="244"/>
      <c r="I62" s="662"/>
    </row>
    <row r="63">
      <c r="A63" s="265"/>
      <c r="B63" s="247">
        <v>2778.31</v>
      </c>
      <c r="C63" s="252"/>
      <c r="D63" s="822"/>
      <c r="F63" s="250"/>
      <c r="I63" s="847"/>
    </row>
    <row r="64">
      <c r="A64" s="265"/>
      <c r="B64" s="247"/>
      <c r="C64" s="252"/>
      <c r="D64" s="822"/>
      <c r="F64" s="250">
        <v>520.0</v>
      </c>
      <c r="G64" s="2" t="s">
        <v>708</v>
      </c>
      <c r="I64" s="847"/>
    </row>
    <row r="65">
      <c r="A65" s="265"/>
      <c r="B65" s="247"/>
      <c r="C65" s="252"/>
      <c r="D65" s="822"/>
      <c r="F65" s="250">
        <v>1500.0</v>
      </c>
      <c r="G65" s="2" t="s">
        <v>99</v>
      </c>
      <c r="I65" s="847"/>
    </row>
    <row r="66">
      <c r="A66" s="265"/>
      <c r="B66" s="247"/>
      <c r="C66" s="248"/>
      <c r="D66" s="822"/>
      <c r="F66" s="250">
        <v>9700.0</v>
      </c>
      <c r="G66" s="2" t="s">
        <v>3003</v>
      </c>
      <c r="I66" s="847"/>
    </row>
    <row r="67">
      <c r="A67" s="265"/>
      <c r="B67" s="247"/>
      <c r="C67" s="252"/>
      <c r="D67" s="822"/>
      <c r="F67" s="250">
        <v>1500.0</v>
      </c>
      <c r="G67" s="2" t="s">
        <v>228</v>
      </c>
      <c r="I67" s="847"/>
    </row>
    <row r="68">
      <c r="A68" s="265"/>
      <c r="B68" s="268"/>
      <c r="C68" s="252"/>
      <c r="D68" s="822"/>
      <c r="F68" s="250">
        <v>480.0</v>
      </c>
      <c r="G68" s="2" t="s">
        <v>1169</v>
      </c>
      <c r="I68" s="847"/>
    </row>
    <row r="69">
      <c r="A69" s="265"/>
      <c r="B69" s="247"/>
      <c r="C69" s="252"/>
      <c r="D69" s="822"/>
      <c r="F69" s="250">
        <v>500.0</v>
      </c>
      <c r="G69" s="2" t="s">
        <v>3118</v>
      </c>
      <c r="I69" s="847"/>
    </row>
    <row r="70">
      <c r="A70" s="265"/>
      <c r="B70" s="268"/>
      <c r="C70" s="248"/>
      <c r="D70" s="822"/>
      <c r="F70" s="250">
        <v>6550.0</v>
      </c>
      <c r="G70" s="2" t="s">
        <v>150</v>
      </c>
      <c r="I70" s="847"/>
    </row>
    <row r="71">
      <c r="A71" s="265"/>
      <c r="B71" s="268"/>
      <c r="C71" s="248">
        <v>16525.0</v>
      </c>
      <c r="D71" s="331"/>
      <c r="F71" s="250"/>
      <c r="G71" s="2" t="s">
        <v>631</v>
      </c>
      <c r="I71" s="847"/>
    </row>
    <row r="72">
      <c r="A72" s="265"/>
      <c r="B72" s="278"/>
      <c r="C72" s="252"/>
      <c r="D72" s="822"/>
      <c r="F72" s="282"/>
      <c r="I72" s="847"/>
    </row>
    <row r="73">
      <c r="A73" s="270"/>
      <c r="B73" s="271"/>
      <c r="C73" s="272"/>
      <c r="D73" s="823"/>
      <c r="E73" s="18"/>
      <c r="F73" s="274"/>
      <c r="G73" s="18"/>
      <c r="H73" s="18"/>
      <c r="I73" s="663"/>
    </row>
    <row r="74">
      <c r="A74" s="262" t="s">
        <v>551</v>
      </c>
      <c r="B74" s="306"/>
      <c r="C74" s="263"/>
      <c r="D74" s="824"/>
      <c r="E74" s="242"/>
      <c r="F74" s="243">
        <v>3665.0</v>
      </c>
      <c r="G74" s="244" t="s">
        <v>3277</v>
      </c>
      <c r="H74" s="244"/>
      <c r="I74" s="662"/>
    </row>
    <row r="75">
      <c r="A75" s="265"/>
      <c r="B75" s="268"/>
      <c r="C75" s="248"/>
      <c r="D75" s="822"/>
      <c r="F75" s="250">
        <f>(551.97)+(551.97)</f>
        <v>1103.94</v>
      </c>
      <c r="G75" s="2" t="s">
        <v>3278</v>
      </c>
      <c r="I75" s="847"/>
    </row>
    <row r="76">
      <c r="A76" s="265"/>
      <c r="B76" s="247"/>
      <c r="C76" s="252"/>
      <c r="D76" s="822"/>
      <c r="F76" s="250">
        <v>160.0</v>
      </c>
      <c r="G76" s="2" t="s">
        <v>3279</v>
      </c>
      <c r="H76" s="840"/>
      <c r="I76" s="847"/>
    </row>
    <row r="77">
      <c r="A77" s="265"/>
      <c r="B77" s="268"/>
      <c r="C77" s="252"/>
      <c r="D77" s="822"/>
      <c r="F77" s="250">
        <v>207.0</v>
      </c>
      <c r="G77" s="2" t="s">
        <v>3278</v>
      </c>
      <c r="I77" s="847"/>
    </row>
    <row r="78">
      <c r="A78" s="265"/>
      <c r="B78" s="268"/>
      <c r="C78" s="248"/>
      <c r="D78" s="822"/>
      <c r="F78" s="250">
        <v>690.0</v>
      </c>
      <c r="G78" s="2" t="s">
        <v>3280</v>
      </c>
      <c r="I78" s="847"/>
    </row>
    <row r="79">
      <c r="A79" s="265"/>
      <c r="B79" s="247">
        <v>1582.0</v>
      </c>
      <c r="C79" s="248"/>
      <c r="D79" s="822"/>
      <c r="F79" s="250"/>
      <c r="G79" s="2" t="s">
        <v>3019</v>
      </c>
      <c r="I79" s="847"/>
    </row>
    <row r="80">
      <c r="A80" s="265"/>
      <c r="B80" s="268"/>
      <c r="C80" s="252"/>
      <c r="D80" s="822"/>
      <c r="F80" s="250">
        <v>3462.3</v>
      </c>
      <c r="G80" s="2" t="s">
        <v>3065</v>
      </c>
      <c r="I80" s="847"/>
    </row>
    <row r="81">
      <c r="A81" s="265"/>
      <c r="B81" s="247"/>
      <c r="C81" s="252"/>
      <c r="D81" s="822"/>
      <c r="F81" s="250"/>
      <c r="I81" s="847"/>
    </row>
    <row r="82">
      <c r="A82" s="265"/>
      <c r="B82" s="268"/>
      <c r="C82" s="252"/>
      <c r="D82" s="822"/>
      <c r="F82" s="250"/>
      <c r="I82" s="847"/>
    </row>
    <row r="83">
      <c r="A83" s="265"/>
      <c r="B83" s="278"/>
      <c r="C83" s="252"/>
      <c r="D83" s="822"/>
      <c r="F83" s="250"/>
      <c r="I83" s="847"/>
    </row>
    <row r="84">
      <c r="A84" s="265"/>
      <c r="B84" s="278"/>
      <c r="C84" s="252"/>
      <c r="D84" s="822"/>
      <c r="F84" s="250"/>
      <c r="H84" s="838"/>
      <c r="I84" s="847"/>
    </row>
    <row r="85">
      <c r="A85" s="270"/>
      <c r="B85" s="271"/>
      <c r="C85" s="272"/>
      <c r="D85" s="823"/>
      <c r="E85" s="18"/>
      <c r="F85" s="274"/>
      <c r="G85" s="18"/>
      <c r="H85" s="18"/>
      <c r="I85" s="663"/>
    </row>
    <row r="86">
      <c r="A86" s="262" t="s">
        <v>553</v>
      </c>
      <c r="B86" s="306"/>
      <c r="C86" s="263"/>
      <c r="D86" s="824"/>
      <c r="E86" s="242"/>
      <c r="F86" s="243">
        <v>70.0</v>
      </c>
      <c r="G86" s="244" t="s">
        <v>3281</v>
      </c>
      <c r="H86" s="244"/>
      <c r="I86" s="662"/>
    </row>
    <row r="87">
      <c r="A87" s="265"/>
      <c r="B87" s="247"/>
      <c r="C87" s="248"/>
      <c r="D87" s="822"/>
      <c r="F87" s="250">
        <f>(414+102)</f>
        <v>516</v>
      </c>
      <c r="G87" s="2" t="s">
        <v>3282</v>
      </c>
      <c r="I87" s="847"/>
    </row>
    <row r="88">
      <c r="A88" s="265"/>
      <c r="B88" s="268"/>
      <c r="C88" s="248"/>
      <c r="D88" s="822"/>
      <c r="F88" s="250">
        <v>1000.0</v>
      </c>
      <c r="G88" s="2" t="s">
        <v>3118</v>
      </c>
      <c r="I88" s="847"/>
    </row>
    <row r="89">
      <c r="A89" s="265"/>
      <c r="B89" s="268"/>
      <c r="C89" s="248"/>
      <c r="D89" s="822"/>
      <c r="F89" s="250">
        <v>160.0</v>
      </c>
      <c r="G89" s="2" t="s">
        <v>406</v>
      </c>
      <c r="I89" s="847"/>
    </row>
    <row r="90">
      <c r="A90" s="265"/>
      <c r="B90" s="247"/>
      <c r="C90" s="252"/>
      <c r="D90" s="822"/>
      <c r="F90" s="250"/>
      <c r="I90" s="847"/>
    </row>
    <row r="91">
      <c r="A91" s="265"/>
      <c r="B91" s="247"/>
      <c r="C91" s="252"/>
      <c r="D91" s="331"/>
      <c r="F91" s="250"/>
      <c r="I91" s="847"/>
    </row>
    <row r="92">
      <c r="A92" s="265"/>
      <c r="B92" s="247"/>
      <c r="C92" s="252"/>
      <c r="D92" s="331"/>
      <c r="F92" s="250"/>
      <c r="I92" s="847"/>
    </row>
    <row r="93">
      <c r="A93" s="265"/>
      <c r="B93" s="268"/>
      <c r="C93" s="252"/>
      <c r="D93" s="331"/>
      <c r="F93" s="250"/>
      <c r="I93" s="847"/>
    </row>
    <row r="94">
      <c r="A94" s="265"/>
      <c r="B94" s="247"/>
      <c r="C94" s="252"/>
      <c r="D94" s="822"/>
      <c r="F94" s="250"/>
      <c r="I94" s="847"/>
    </row>
    <row r="95">
      <c r="A95" s="265"/>
      <c r="B95" s="268"/>
      <c r="C95" s="252"/>
      <c r="D95" s="822"/>
      <c r="F95" s="250"/>
      <c r="I95" s="847"/>
    </row>
    <row r="96">
      <c r="A96" s="265"/>
      <c r="B96" s="268"/>
      <c r="C96" s="252"/>
      <c r="D96" s="822"/>
      <c r="F96" s="250"/>
      <c r="I96" s="847"/>
    </row>
    <row r="97">
      <c r="A97" s="265"/>
      <c r="B97" s="268"/>
      <c r="C97" s="252"/>
      <c r="D97" s="822"/>
      <c r="F97" s="250"/>
      <c r="I97" s="847"/>
    </row>
    <row r="98">
      <c r="A98" s="270"/>
      <c r="B98" s="271"/>
      <c r="C98" s="272"/>
      <c r="D98" s="823"/>
      <c r="E98" s="18"/>
      <c r="F98" s="274"/>
      <c r="G98" s="18"/>
      <c r="H98" s="18"/>
      <c r="I98" s="663"/>
    </row>
    <row r="99">
      <c r="A99" s="262" t="s">
        <v>559</v>
      </c>
      <c r="B99" s="306"/>
      <c r="C99" s="263"/>
      <c r="D99" s="821"/>
      <c r="E99" s="242"/>
      <c r="F99" s="250">
        <v>1760.0</v>
      </c>
      <c r="G99" s="244" t="s">
        <v>87</v>
      </c>
      <c r="H99" s="244"/>
      <c r="I99" s="662"/>
    </row>
    <row r="100">
      <c r="A100" s="265"/>
      <c r="B100" s="268"/>
      <c r="C100" s="252"/>
      <c r="D100" s="822"/>
      <c r="F100" s="250">
        <f>(222.5+276+414+104)</f>
        <v>1016.5</v>
      </c>
      <c r="G100" s="2" t="s">
        <v>708</v>
      </c>
      <c r="I100" s="847"/>
    </row>
    <row r="101">
      <c r="A101" s="265"/>
      <c r="B101" s="268"/>
      <c r="C101" s="248"/>
      <c r="D101" s="822"/>
      <c r="F101" s="250">
        <v>500.0</v>
      </c>
      <c r="G101" s="2" t="s">
        <v>3118</v>
      </c>
      <c r="I101" s="847"/>
    </row>
    <row r="102">
      <c r="A102" s="265"/>
      <c r="B102" s="268"/>
      <c r="C102" s="248"/>
      <c r="D102" s="822"/>
      <c r="F102" s="250"/>
      <c r="I102" s="847"/>
    </row>
    <row r="103">
      <c r="A103" s="265"/>
      <c r="B103" s="268"/>
      <c r="C103" s="252"/>
      <c r="D103" s="822"/>
      <c r="F103" s="250"/>
      <c r="I103" s="847"/>
    </row>
    <row r="104">
      <c r="A104" s="265"/>
      <c r="B104" s="268"/>
      <c r="C104" s="252"/>
      <c r="D104" s="822"/>
      <c r="F104" s="250"/>
      <c r="I104" s="847"/>
    </row>
    <row r="105">
      <c r="A105" s="265"/>
      <c r="B105" s="268"/>
      <c r="C105" s="252"/>
      <c r="D105" s="331"/>
      <c r="F105" s="250"/>
      <c r="I105" s="847"/>
    </row>
    <row r="106">
      <c r="A106" s="265"/>
      <c r="B106" s="247"/>
      <c r="C106" s="252"/>
      <c r="D106" s="822"/>
      <c r="F106" s="250"/>
      <c r="I106" s="847"/>
    </row>
    <row r="107">
      <c r="A107" s="265"/>
      <c r="B107" s="247"/>
      <c r="C107" s="252"/>
      <c r="D107" s="822"/>
      <c r="F107" s="250"/>
      <c r="I107" s="847"/>
    </row>
    <row r="108">
      <c r="A108" s="265"/>
      <c r="B108" s="268"/>
      <c r="C108" s="252"/>
      <c r="D108" s="822"/>
      <c r="F108" s="250"/>
      <c r="I108" s="847"/>
    </row>
    <row r="109">
      <c r="A109" s="265"/>
      <c r="B109" s="278"/>
      <c r="C109" s="248"/>
      <c r="D109" s="822"/>
      <c r="F109" s="282"/>
      <c r="I109" s="847"/>
    </row>
    <row r="110">
      <c r="A110" s="265"/>
      <c r="B110" s="278"/>
      <c r="C110" s="252"/>
      <c r="D110" s="822"/>
      <c r="F110" s="250"/>
      <c r="I110" s="847"/>
    </row>
    <row r="111">
      <c r="A111" s="265"/>
      <c r="B111" s="278"/>
      <c r="C111" s="252"/>
      <c r="D111" s="822"/>
      <c r="F111" s="282"/>
      <c r="I111" s="847"/>
    </row>
    <row r="112">
      <c r="A112" s="270"/>
      <c r="B112" s="271"/>
      <c r="C112" s="272"/>
      <c r="D112" s="823"/>
      <c r="E112" s="18"/>
      <c r="F112" s="274"/>
      <c r="G112" s="18"/>
      <c r="H112" s="18"/>
      <c r="I112" s="663"/>
    </row>
    <row r="113">
      <c r="A113" s="262"/>
      <c r="B113" s="239"/>
      <c r="C113" s="263"/>
      <c r="D113" s="821"/>
      <c r="E113" s="242"/>
      <c r="F113" s="243">
        <v>5177.0</v>
      </c>
      <c r="G113" s="244" t="s">
        <v>3283</v>
      </c>
      <c r="H113" s="244"/>
      <c r="I113" s="662"/>
    </row>
    <row r="114">
      <c r="A114" s="265"/>
      <c r="B114" s="247"/>
      <c r="C114" s="252"/>
      <c r="D114" s="331"/>
      <c r="F114" s="250">
        <v>3432.0</v>
      </c>
      <c r="G114" s="2" t="s">
        <v>3003</v>
      </c>
      <c r="I114" s="847"/>
    </row>
    <row r="115">
      <c r="A115" s="265"/>
      <c r="B115" s="247">
        <v>6897.0</v>
      </c>
      <c r="C115" s="252"/>
      <c r="D115" s="331"/>
      <c r="F115" s="250"/>
      <c r="G115" s="2" t="s">
        <v>3197</v>
      </c>
      <c r="I115" s="847"/>
    </row>
    <row r="116">
      <c r="A116" s="265"/>
      <c r="B116" s="268"/>
      <c r="C116" s="248"/>
      <c r="D116" s="331">
        <v>10000.0</v>
      </c>
      <c r="F116" s="250"/>
      <c r="G116" s="2" t="s">
        <v>3284</v>
      </c>
      <c r="I116" s="847"/>
    </row>
    <row r="117">
      <c r="A117" s="265"/>
      <c r="B117" s="268"/>
      <c r="C117" s="252"/>
      <c r="D117" s="331">
        <v>10400.0</v>
      </c>
      <c r="F117" s="250"/>
      <c r="G117" s="2" t="s">
        <v>3285</v>
      </c>
      <c r="I117" s="847"/>
    </row>
    <row r="118">
      <c r="A118" s="265"/>
      <c r="B118" s="247"/>
      <c r="C118" s="252"/>
      <c r="D118" s="822"/>
      <c r="F118" s="250">
        <v>880.0</v>
      </c>
      <c r="G118" s="2" t="s">
        <v>87</v>
      </c>
      <c r="I118" s="847"/>
    </row>
    <row r="119">
      <c r="A119" s="265"/>
      <c r="B119" s="268"/>
      <c r="C119" s="252"/>
      <c r="D119" s="822"/>
      <c r="F119" s="250">
        <v>5250.0</v>
      </c>
      <c r="G119" s="2" t="s">
        <v>87</v>
      </c>
      <c r="I119" s="847"/>
    </row>
    <row r="120">
      <c r="A120" s="265"/>
      <c r="B120" s="247">
        <v>2778.3</v>
      </c>
      <c r="C120" s="252"/>
      <c r="D120" s="822"/>
      <c r="F120" s="250"/>
      <c r="G120" s="2" t="s">
        <v>82</v>
      </c>
      <c r="I120" s="847"/>
    </row>
    <row r="121">
      <c r="A121" s="265"/>
      <c r="B121" s="247">
        <v>22748.0</v>
      </c>
      <c r="C121" s="252"/>
      <c r="D121" s="331"/>
      <c r="F121" s="250"/>
      <c r="G121" s="2" t="s">
        <v>167</v>
      </c>
      <c r="I121" s="847"/>
    </row>
    <row r="122">
      <c r="A122" s="265"/>
      <c r="B122" s="268"/>
      <c r="C122" s="248"/>
      <c r="D122" s="822"/>
      <c r="F122" s="250">
        <v>500.0</v>
      </c>
      <c r="G122" s="2" t="s">
        <v>3118</v>
      </c>
      <c r="I122" s="847"/>
    </row>
    <row r="123">
      <c r="A123" s="265"/>
      <c r="B123" s="268"/>
      <c r="C123" s="252"/>
      <c r="D123" s="822"/>
      <c r="F123" s="250">
        <v>1400.0</v>
      </c>
      <c r="G123" s="2" t="s">
        <v>2919</v>
      </c>
      <c r="I123" s="847"/>
    </row>
    <row r="124">
      <c r="A124" s="265"/>
      <c r="B124" s="268"/>
      <c r="C124" s="252"/>
      <c r="D124" s="822"/>
      <c r="F124" s="250">
        <v>4000.0</v>
      </c>
      <c r="G124" s="2" t="s">
        <v>3237</v>
      </c>
      <c r="I124" s="847"/>
    </row>
    <row r="125">
      <c r="A125" s="265"/>
      <c r="B125" s="268"/>
      <c r="C125" s="252"/>
      <c r="D125" s="822"/>
      <c r="F125" s="250">
        <v>1500.0</v>
      </c>
      <c r="G125" s="2" t="s">
        <v>3286</v>
      </c>
      <c r="I125" s="847"/>
    </row>
    <row r="126">
      <c r="A126" s="265"/>
      <c r="B126" s="268"/>
      <c r="C126" s="252"/>
      <c r="D126" s="822"/>
      <c r="F126" s="250"/>
      <c r="I126" s="847"/>
    </row>
    <row r="127">
      <c r="A127" s="265"/>
      <c r="B127" s="268"/>
      <c r="C127" s="252"/>
      <c r="D127" s="822"/>
      <c r="F127" s="250"/>
      <c r="I127" s="847"/>
    </row>
    <row r="128">
      <c r="A128" s="270"/>
      <c r="B128" s="271"/>
      <c r="C128" s="272"/>
      <c r="D128" s="823"/>
      <c r="E128" s="18"/>
      <c r="F128" s="274"/>
      <c r="G128" s="18"/>
      <c r="H128" s="18"/>
      <c r="I128" s="663"/>
    </row>
    <row r="129">
      <c r="A129" s="262" t="s">
        <v>563</v>
      </c>
      <c r="B129" s="306"/>
      <c r="C129" s="263">
        <v>16327.8</v>
      </c>
      <c r="D129" s="824"/>
      <c r="E129" s="242"/>
      <c r="F129" s="243"/>
      <c r="G129" s="244" t="s">
        <v>71</v>
      </c>
      <c r="H129" s="244"/>
      <c r="I129" s="662"/>
    </row>
    <row r="130">
      <c r="A130" s="265"/>
      <c r="B130" s="247"/>
      <c r="C130" s="248">
        <v>9485.88</v>
      </c>
      <c r="D130" s="822"/>
      <c r="F130" s="250"/>
      <c r="G130" s="2" t="s">
        <v>71</v>
      </c>
      <c r="I130" s="847"/>
    </row>
    <row r="131">
      <c r="A131" s="265"/>
      <c r="B131" s="268"/>
      <c r="C131" s="248"/>
      <c r="D131" s="822"/>
      <c r="F131" s="250">
        <v>375.77</v>
      </c>
      <c r="G131" s="2" t="s">
        <v>368</v>
      </c>
      <c r="I131" s="847"/>
    </row>
    <row r="132">
      <c r="A132" s="265"/>
      <c r="B132" s="247">
        <v>1800.0</v>
      </c>
      <c r="C132" s="252"/>
      <c r="D132" s="331"/>
      <c r="F132" s="250"/>
      <c r="G132" s="2" t="s">
        <v>434</v>
      </c>
      <c r="I132" s="847"/>
    </row>
    <row r="133">
      <c r="A133" s="265"/>
      <c r="B133" s="268"/>
      <c r="C133" s="252"/>
      <c r="D133" s="822"/>
      <c r="F133" s="250">
        <v>313.0</v>
      </c>
      <c r="G133" s="2" t="s">
        <v>288</v>
      </c>
      <c r="I133" s="847"/>
    </row>
    <row r="134">
      <c r="A134" s="265"/>
      <c r="B134" s="247"/>
      <c r="C134" s="252"/>
      <c r="D134" s="822"/>
      <c r="F134" s="250">
        <v>2310.0</v>
      </c>
      <c r="G134" s="2" t="s">
        <v>3287</v>
      </c>
      <c r="I134" s="847"/>
    </row>
    <row r="135">
      <c r="A135" s="265"/>
      <c r="B135" s="247"/>
      <c r="C135" s="252"/>
      <c r="D135" s="822"/>
      <c r="F135" s="250">
        <v>100.0</v>
      </c>
      <c r="G135" s="2" t="s">
        <v>313</v>
      </c>
      <c r="I135" s="847"/>
    </row>
    <row r="136">
      <c r="A136" s="265"/>
      <c r="B136" s="283"/>
      <c r="C136" s="248"/>
      <c r="D136" s="822"/>
      <c r="F136" s="250">
        <f>148+143</f>
        <v>291</v>
      </c>
      <c r="G136" s="2" t="s">
        <v>708</v>
      </c>
      <c r="I136" s="847"/>
    </row>
    <row r="137">
      <c r="A137" s="265"/>
      <c r="B137" s="268"/>
      <c r="C137" s="252"/>
      <c r="D137" s="822"/>
      <c r="F137" s="250">
        <v>1100.0</v>
      </c>
      <c r="G137" s="2" t="s">
        <v>260</v>
      </c>
      <c r="I137" s="847"/>
    </row>
    <row r="138">
      <c r="A138" s="265"/>
      <c r="B138" s="268"/>
      <c r="C138" s="252"/>
      <c r="D138" s="822"/>
      <c r="F138" s="250">
        <v>500.0</v>
      </c>
      <c r="G138" s="2" t="s">
        <v>3118</v>
      </c>
      <c r="I138" s="847"/>
    </row>
    <row r="139">
      <c r="A139" s="265"/>
      <c r="B139" s="268"/>
      <c r="C139" s="252"/>
      <c r="D139" s="822"/>
      <c r="F139" s="250">
        <v>3450.0</v>
      </c>
      <c r="G139" s="2" t="s">
        <v>79</v>
      </c>
      <c r="I139" s="847"/>
    </row>
    <row r="140">
      <c r="A140" s="265"/>
      <c r="B140" s="278"/>
      <c r="C140" s="252"/>
      <c r="D140" s="822"/>
      <c r="F140" s="250">
        <v>1500.0</v>
      </c>
      <c r="G140" s="2" t="s">
        <v>3286</v>
      </c>
      <c r="I140" s="847"/>
    </row>
    <row r="141">
      <c r="A141" s="270"/>
      <c r="B141" s="271"/>
      <c r="C141" s="272"/>
      <c r="D141" s="823"/>
      <c r="E141" s="18"/>
      <c r="F141" s="274"/>
      <c r="G141" s="18"/>
      <c r="H141" s="18"/>
      <c r="I141" s="663"/>
    </row>
    <row r="142">
      <c r="A142" s="262" t="s">
        <v>3288</v>
      </c>
      <c r="B142" s="306"/>
      <c r="C142" s="240"/>
      <c r="D142" s="824"/>
      <c r="E142" s="242"/>
      <c r="F142" s="243">
        <v>3900.0</v>
      </c>
      <c r="G142" s="244" t="s">
        <v>3003</v>
      </c>
      <c r="H142" s="244"/>
      <c r="I142" s="662"/>
    </row>
    <row r="143">
      <c r="A143" s="265"/>
      <c r="B143" s="268"/>
      <c r="C143" s="252"/>
      <c r="D143" s="822"/>
      <c r="F143" s="250">
        <v>5250.0</v>
      </c>
      <c r="G143" s="2" t="s">
        <v>87</v>
      </c>
      <c r="I143" s="847"/>
    </row>
    <row r="144">
      <c r="A144" s="265"/>
      <c r="B144" s="247">
        <v>4861.26</v>
      </c>
      <c r="C144" s="252"/>
      <c r="D144" s="822"/>
      <c r="F144" s="250"/>
      <c r="G144" s="2" t="s">
        <v>82</v>
      </c>
      <c r="I144" s="847"/>
    </row>
    <row r="145">
      <c r="A145" s="265"/>
      <c r="B145" s="247">
        <v>19005.19</v>
      </c>
      <c r="C145" s="252"/>
      <c r="D145" s="822"/>
      <c r="F145" s="250"/>
      <c r="G145" s="2" t="s">
        <v>405</v>
      </c>
      <c r="I145" s="847"/>
    </row>
    <row r="146">
      <c r="A146" s="265"/>
      <c r="B146" s="268"/>
      <c r="C146" s="252"/>
      <c r="D146" s="331">
        <v>11460.0</v>
      </c>
      <c r="F146" s="250"/>
      <c r="G146" s="2" t="s">
        <v>188</v>
      </c>
      <c r="I146" s="847"/>
    </row>
    <row r="147">
      <c r="A147" s="265"/>
      <c r="B147" s="268"/>
      <c r="C147" s="248"/>
      <c r="D147" s="331">
        <v>1529.0</v>
      </c>
      <c r="F147" s="250"/>
      <c r="G147" s="2" t="s">
        <v>2284</v>
      </c>
      <c r="I147" s="847"/>
    </row>
    <row r="148">
      <c r="A148" s="265"/>
      <c r="B148" s="268"/>
      <c r="C148" s="252"/>
      <c r="D148" s="331">
        <v>2388.85</v>
      </c>
      <c r="F148" s="250"/>
      <c r="G148" s="2" t="s">
        <v>3289</v>
      </c>
      <c r="I148" s="847"/>
    </row>
    <row r="149">
      <c r="A149" s="265"/>
      <c r="B149" s="268"/>
      <c r="C149" s="252"/>
      <c r="D149" s="331">
        <v>8525.96</v>
      </c>
      <c r="F149" s="250"/>
      <c r="G149" s="2" t="s">
        <v>2819</v>
      </c>
      <c r="I149" s="847"/>
    </row>
    <row r="150">
      <c r="A150" s="265"/>
      <c r="B150" s="268"/>
      <c r="C150" s="252"/>
      <c r="D150" s="331">
        <v>18150.0</v>
      </c>
      <c r="F150" s="250"/>
      <c r="G150" s="2" t="s">
        <v>3290</v>
      </c>
      <c r="I150" s="847"/>
    </row>
    <row r="151">
      <c r="A151" s="265"/>
      <c r="B151" s="247">
        <v>10820.0</v>
      </c>
      <c r="C151" s="252"/>
      <c r="D151" s="822"/>
      <c r="F151" s="250"/>
      <c r="G151" s="2" t="s">
        <v>3291</v>
      </c>
      <c r="I151" s="847"/>
    </row>
    <row r="152">
      <c r="A152" s="265"/>
      <c r="B152" s="268"/>
      <c r="C152" s="252"/>
      <c r="D152" s="822"/>
      <c r="F152" s="250">
        <v>373.0</v>
      </c>
      <c r="G152" s="2" t="s">
        <v>708</v>
      </c>
      <c r="I152" s="847"/>
    </row>
    <row r="153">
      <c r="A153" s="265"/>
      <c r="B153" s="277">
        <v>2661.0</v>
      </c>
      <c r="C153" s="252"/>
      <c r="D153" s="822"/>
      <c r="F153" s="250">
        <v>5956.0</v>
      </c>
      <c r="G153" s="2" t="s">
        <v>392</v>
      </c>
      <c r="I153" s="847"/>
    </row>
    <row r="154">
      <c r="A154" s="265"/>
      <c r="B154" s="277">
        <v>5810.0</v>
      </c>
      <c r="C154" s="252"/>
      <c r="D154" s="822"/>
      <c r="F154" s="282"/>
      <c r="G154" s="2" t="s">
        <v>2884</v>
      </c>
      <c r="I154" s="847"/>
    </row>
    <row r="155">
      <c r="A155" s="265"/>
      <c r="B155" s="278"/>
      <c r="C155" s="252"/>
      <c r="D155" s="822"/>
      <c r="F155" s="250">
        <v>538.0</v>
      </c>
      <c r="G155" s="2" t="s">
        <v>3212</v>
      </c>
      <c r="I155" s="847"/>
    </row>
    <row r="156">
      <c r="A156" s="270"/>
      <c r="B156" s="271"/>
      <c r="C156" s="272"/>
      <c r="D156" s="823"/>
      <c r="E156" s="18"/>
      <c r="F156" s="259"/>
      <c r="G156" s="293"/>
      <c r="H156" s="18"/>
      <c r="I156" s="663"/>
    </row>
    <row r="157">
      <c r="A157" s="262" t="s">
        <v>2542</v>
      </c>
      <c r="B157" s="239">
        <v>14200.0</v>
      </c>
      <c r="C157" s="263"/>
      <c r="D157" s="821"/>
      <c r="E157" s="242"/>
      <c r="F157" s="243"/>
      <c r="G157" s="244" t="s">
        <v>84</v>
      </c>
      <c r="H157" s="244"/>
      <c r="I157" s="662"/>
    </row>
    <row r="158">
      <c r="A158" s="265"/>
      <c r="B158" s="268"/>
      <c r="C158" s="252"/>
      <c r="D158" s="822"/>
      <c r="F158" s="250">
        <f>190+170</f>
        <v>360</v>
      </c>
      <c r="G158" s="2" t="s">
        <v>708</v>
      </c>
      <c r="I158" s="847"/>
    </row>
    <row r="159">
      <c r="A159" s="265"/>
      <c r="B159" s="268"/>
      <c r="C159" s="248"/>
      <c r="D159" s="331"/>
      <c r="F159" s="250">
        <v>1040.0</v>
      </c>
      <c r="G159" s="2" t="s">
        <v>3137</v>
      </c>
      <c r="I159" s="847"/>
    </row>
    <row r="160">
      <c r="A160" s="265"/>
      <c r="B160" s="268"/>
      <c r="C160" s="252"/>
      <c r="D160" s="822"/>
      <c r="F160" s="250">
        <v>500.0</v>
      </c>
      <c r="G160" s="2" t="s">
        <v>1109</v>
      </c>
      <c r="I160" s="847"/>
    </row>
    <row r="161">
      <c r="A161" s="265"/>
      <c r="B161" s="268"/>
      <c r="C161" s="252"/>
      <c r="D161" s="822"/>
      <c r="F161" s="250"/>
      <c r="H161" s="252"/>
      <c r="I161" s="847"/>
    </row>
    <row r="162">
      <c r="A162" s="265"/>
      <c r="B162" s="268"/>
      <c r="C162" s="252"/>
      <c r="D162" s="822"/>
      <c r="F162" s="250"/>
      <c r="I162" s="847"/>
    </row>
    <row r="163">
      <c r="A163" s="265"/>
      <c r="B163" s="268"/>
      <c r="C163" s="252"/>
      <c r="D163" s="331"/>
      <c r="F163" s="250"/>
      <c r="I163" s="847"/>
    </row>
    <row r="164">
      <c r="A164" s="265"/>
      <c r="B164" s="268"/>
      <c r="C164" s="252"/>
      <c r="D164" s="822"/>
      <c r="F164" s="250"/>
      <c r="H164" s="252"/>
      <c r="I164" s="847"/>
    </row>
    <row r="165">
      <c r="A165" s="265"/>
      <c r="B165" s="268"/>
      <c r="C165" s="252"/>
      <c r="D165" s="822"/>
      <c r="F165" s="250"/>
      <c r="I165" s="847"/>
    </row>
    <row r="166">
      <c r="A166" s="270"/>
      <c r="B166" s="271"/>
      <c r="C166" s="272"/>
      <c r="D166" s="823"/>
      <c r="E166" s="18"/>
      <c r="F166" s="274"/>
      <c r="G166" s="18"/>
      <c r="H166" s="18"/>
      <c r="I166" s="663"/>
    </row>
    <row r="167">
      <c r="A167" s="262" t="s">
        <v>2544</v>
      </c>
      <c r="B167" s="239">
        <v>4167.0</v>
      </c>
      <c r="C167" s="240"/>
      <c r="D167" s="821"/>
      <c r="E167" s="242"/>
      <c r="F167" s="259"/>
      <c r="G167" s="244" t="s">
        <v>82</v>
      </c>
      <c r="H167" s="244"/>
      <c r="I167" s="662"/>
    </row>
    <row r="168">
      <c r="A168" s="265"/>
      <c r="B168" s="247"/>
      <c r="C168" s="252"/>
      <c r="D168" s="331"/>
      <c r="F168" s="250">
        <v>8349.0</v>
      </c>
      <c r="G168" s="2" t="s">
        <v>71</v>
      </c>
      <c r="I168" s="847"/>
    </row>
    <row r="169">
      <c r="A169" s="265"/>
      <c r="B169" s="247"/>
      <c r="C169" s="248"/>
      <c r="D169" s="331"/>
      <c r="F169" s="250">
        <v>3000.0</v>
      </c>
      <c r="G169" s="2" t="s">
        <v>3253</v>
      </c>
      <c r="I169" s="847"/>
    </row>
    <row r="170">
      <c r="A170" s="265"/>
      <c r="B170" s="268"/>
      <c r="C170" s="252"/>
      <c r="D170" s="822"/>
      <c r="F170" s="250">
        <v>7600.0</v>
      </c>
      <c r="G170" s="2" t="s">
        <v>421</v>
      </c>
      <c r="I170" s="847"/>
    </row>
    <row r="171">
      <c r="A171" s="265"/>
      <c r="B171" s="268"/>
      <c r="C171" s="248"/>
      <c r="D171" s="331"/>
      <c r="F171" s="250">
        <v>1300.0</v>
      </c>
      <c r="G171" s="2" t="s">
        <v>68</v>
      </c>
      <c r="I171" s="847"/>
    </row>
    <row r="172">
      <c r="A172" s="265"/>
      <c r="B172" s="268"/>
      <c r="C172" s="252"/>
      <c r="D172" s="822"/>
      <c r="F172" s="250">
        <v>6900.0</v>
      </c>
      <c r="G172" s="2" t="s">
        <v>79</v>
      </c>
      <c r="I172" s="847"/>
    </row>
    <row r="173">
      <c r="A173" s="265"/>
      <c r="B173" s="247"/>
      <c r="C173" s="252"/>
      <c r="D173" s="822"/>
      <c r="F173" s="250">
        <v>500.0</v>
      </c>
      <c r="G173" s="2" t="s">
        <v>3118</v>
      </c>
      <c r="I173" s="847"/>
    </row>
    <row r="174">
      <c r="A174" s="265"/>
      <c r="B174" s="247"/>
      <c r="C174" s="252"/>
      <c r="D174" s="822"/>
      <c r="F174" s="250"/>
      <c r="I174" s="847"/>
    </row>
    <row r="175">
      <c r="A175" s="265"/>
      <c r="B175" s="268"/>
      <c r="C175" s="252"/>
      <c r="D175" s="822"/>
      <c r="F175" s="250"/>
      <c r="I175" s="847"/>
    </row>
    <row r="176">
      <c r="A176" s="265"/>
      <c r="B176" s="268"/>
      <c r="C176" s="252"/>
      <c r="D176" s="822"/>
      <c r="F176" s="250"/>
      <c r="I176" s="847"/>
    </row>
    <row r="177">
      <c r="A177" s="265"/>
      <c r="B177" s="268"/>
      <c r="C177" s="252"/>
      <c r="D177" s="822"/>
      <c r="F177" s="250"/>
      <c r="I177" s="847"/>
    </row>
    <row r="178">
      <c r="A178" s="265"/>
      <c r="B178" s="268"/>
      <c r="C178" s="252"/>
      <c r="D178" s="822"/>
      <c r="F178" s="250"/>
      <c r="I178" s="847"/>
    </row>
    <row r="179">
      <c r="A179" s="265"/>
      <c r="B179" s="268"/>
      <c r="C179" s="252"/>
      <c r="D179" s="822"/>
      <c r="F179" s="250"/>
      <c r="I179" s="847"/>
    </row>
    <row r="180">
      <c r="A180" s="265"/>
      <c r="B180" s="268"/>
      <c r="C180" s="252"/>
      <c r="D180" s="822"/>
      <c r="F180" s="250"/>
      <c r="I180" s="847"/>
    </row>
    <row r="181">
      <c r="A181" s="270"/>
      <c r="B181" s="271"/>
      <c r="C181" s="272"/>
      <c r="D181" s="823"/>
      <c r="E181" s="18"/>
      <c r="F181" s="259"/>
      <c r="G181" s="293"/>
      <c r="H181" s="18"/>
      <c r="I181" s="663"/>
    </row>
    <row r="182">
      <c r="A182" s="262" t="s">
        <v>2546</v>
      </c>
      <c r="B182" s="306"/>
      <c r="C182" s="240"/>
      <c r="D182" s="821"/>
      <c r="E182" s="242"/>
      <c r="F182" s="243">
        <v>600.0</v>
      </c>
      <c r="G182" s="244" t="s">
        <v>3118</v>
      </c>
      <c r="I182" s="244"/>
    </row>
    <row r="183">
      <c r="A183" s="265"/>
      <c r="B183" s="268"/>
      <c r="C183" s="248"/>
      <c r="D183" s="331"/>
      <c r="F183" s="250">
        <v>5160.0</v>
      </c>
      <c r="G183" s="2" t="s">
        <v>76</v>
      </c>
      <c r="I183" s="847"/>
    </row>
    <row r="184">
      <c r="A184" s="265"/>
      <c r="B184" s="268"/>
      <c r="C184" s="252"/>
      <c r="D184" s="822"/>
      <c r="F184" s="250"/>
      <c r="I184" s="847"/>
    </row>
    <row r="185">
      <c r="A185" s="265"/>
      <c r="B185" s="268"/>
      <c r="C185" s="252"/>
      <c r="D185" s="822"/>
      <c r="F185" s="250"/>
      <c r="I185" s="847"/>
    </row>
    <row r="186">
      <c r="A186" s="265"/>
      <c r="B186" s="268"/>
      <c r="C186" s="248"/>
      <c r="D186" s="822"/>
      <c r="F186" s="250"/>
      <c r="I186" s="847"/>
    </row>
    <row r="187">
      <c r="A187" s="265"/>
      <c r="B187" s="247"/>
      <c r="C187" s="248"/>
      <c r="D187" s="822"/>
      <c r="F187" s="250"/>
      <c r="I187" s="847"/>
    </row>
    <row r="188">
      <c r="A188" s="265"/>
      <c r="B188" s="268"/>
      <c r="C188" s="252"/>
      <c r="D188" s="331"/>
      <c r="F188" s="250"/>
      <c r="I188" s="847"/>
    </row>
    <row r="189">
      <c r="A189" s="265"/>
      <c r="B189" s="247"/>
      <c r="C189" s="252"/>
      <c r="D189" s="331"/>
      <c r="F189" s="250"/>
      <c r="I189" s="847"/>
    </row>
    <row r="190">
      <c r="A190" s="265"/>
      <c r="B190" s="247"/>
      <c r="C190" s="252"/>
      <c r="D190" s="822"/>
      <c r="F190" s="250"/>
      <c r="I190" s="847"/>
    </row>
    <row r="191">
      <c r="A191" s="265"/>
      <c r="B191" s="278"/>
      <c r="C191" s="252"/>
      <c r="D191" s="822"/>
      <c r="F191" s="250"/>
      <c r="I191" s="847"/>
    </row>
    <row r="192">
      <c r="A192" s="265"/>
      <c r="B192" s="278"/>
      <c r="C192" s="252"/>
      <c r="D192" s="822"/>
      <c r="F192" s="250"/>
      <c r="I192" s="847"/>
    </row>
    <row r="193">
      <c r="A193" s="265"/>
      <c r="B193" s="277"/>
      <c r="C193" s="252"/>
      <c r="D193" s="822"/>
      <c r="F193" s="250"/>
      <c r="I193" s="847"/>
    </row>
    <row r="194">
      <c r="A194" s="265"/>
      <c r="B194" s="278"/>
      <c r="C194" s="252"/>
      <c r="D194" s="822"/>
      <c r="F194" s="250"/>
      <c r="I194" s="847"/>
    </row>
    <row r="195">
      <c r="A195" s="265"/>
      <c r="B195" s="278"/>
      <c r="C195" s="252"/>
      <c r="D195" s="822"/>
      <c r="F195" s="282"/>
      <c r="I195" s="847"/>
    </row>
    <row r="196">
      <c r="A196" s="265"/>
      <c r="B196" s="278"/>
      <c r="C196" s="252"/>
      <c r="D196" s="822"/>
      <c r="F196" s="282"/>
      <c r="I196" s="847"/>
    </row>
    <row r="197">
      <c r="A197" s="270"/>
      <c r="B197" s="271"/>
      <c r="C197" s="272"/>
      <c r="D197" s="823"/>
      <c r="E197" s="18"/>
      <c r="F197" s="274"/>
      <c r="G197" s="18"/>
      <c r="H197" s="18"/>
      <c r="I197" s="663"/>
    </row>
    <row r="198">
      <c r="A198" s="262" t="s">
        <v>2547</v>
      </c>
      <c r="B198" s="239">
        <v>5450.0</v>
      </c>
      <c r="C198" s="263"/>
      <c r="D198" s="824"/>
      <c r="E198" s="242"/>
      <c r="F198" s="243"/>
      <c r="G198" s="244" t="s">
        <v>3292</v>
      </c>
      <c r="H198" s="244"/>
      <c r="I198" s="662"/>
    </row>
    <row r="199">
      <c r="A199" s="265"/>
      <c r="B199" s="247">
        <v>4167.0</v>
      </c>
      <c r="C199" s="252"/>
      <c r="D199" s="822"/>
      <c r="F199" s="250"/>
      <c r="G199" s="2" t="s">
        <v>82</v>
      </c>
      <c r="I199" s="847"/>
    </row>
    <row r="200">
      <c r="A200" s="265"/>
      <c r="B200" s="247"/>
      <c r="C200" s="252"/>
      <c r="D200" s="331"/>
      <c r="F200" s="250">
        <v>5250.0</v>
      </c>
      <c r="G200" s="2" t="s">
        <v>87</v>
      </c>
      <c r="H200" s="843"/>
      <c r="I200" s="847"/>
    </row>
    <row r="201">
      <c r="A201" s="265"/>
      <c r="B201" s="247"/>
      <c r="C201" s="248">
        <v>34143.0</v>
      </c>
      <c r="D201" s="331"/>
      <c r="F201" s="250"/>
      <c r="G201" s="2" t="s">
        <v>71</v>
      </c>
      <c r="I201" s="847"/>
    </row>
    <row r="202">
      <c r="A202" s="265"/>
      <c r="B202" s="247"/>
      <c r="C202" s="248"/>
      <c r="D202" s="331"/>
      <c r="F202" s="250">
        <v>565.0</v>
      </c>
      <c r="G202" s="2" t="s">
        <v>708</v>
      </c>
      <c r="I202" s="847"/>
    </row>
    <row r="203">
      <c r="A203" s="265"/>
      <c r="B203" s="247"/>
      <c r="C203" s="252"/>
      <c r="D203" s="331"/>
      <c r="F203" s="250">
        <v>500.0</v>
      </c>
      <c r="G203" s="2" t="s">
        <v>3118</v>
      </c>
      <c r="I203" s="847"/>
    </row>
    <row r="204">
      <c r="A204" s="265"/>
      <c r="B204" s="247">
        <v>6100.0</v>
      </c>
      <c r="C204" s="252"/>
      <c r="D204" s="822"/>
      <c r="F204" s="250"/>
      <c r="G204" s="2" t="s">
        <v>3293</v>
      </c>
      <c r="I204" s="847"/>
    </row>
    <row r="205">
      <c r="A205" s="265"/>
      <c r="B205" s="247">
        <v>22495.0</v>
      </c>
      <c r="C205" s="252"/>
      <c r="D205" s="331"/>
      <c r="F205" s="250"/>
      <c r="G205" s="2" t="s">
        <v>3102</v>
      </c>
      <c r="I205" s="847"/>
    </row>
    <row r="206">
      <c r="A206" s="265"/>
      <c r="B206" s="268"/>
      <c r="C206" s="248"/>
      <c r="D206" s="331"/>
      <c r="F206" s="250"/>
      <c r="I206" s="847"/>
    </row>
    <row r="207">
      <c r="A207" s="265"/>
      <c r="B207" s="268"/>
      <c r="C207" s="248"/>
      <c r="D207" s="822"/>
      <c r="F207" s="250"/>
      <c r="I207" s="847"/>
    </row>
    <row r="208">
      <c r="A208" s="265"/>
      <c r="B208" s="268"/>
      <c r="C208" s="248"/>
      <c r="D208" s="822"/>
      <c r="F208" s="250"/>
      <c r="I208" s="847"/>
    </row>
    <row r="209">
      <c r="A209" s="265"/>
      <c r="B209" s="268"/>
      <c r="C209" s="248"/>
      <c r="D209" s="822"/>
      <c r="F209" s="250"/>
      <c r="H209" s="252"/>
      <c r="I209" s="847"/>
    </row>
    <row r="210">
      <c r="A210" s="265"/>
      <c r="B210" s="278"/>
      <c r="C210" s="252"/>
      <c r="D210" s="822"/>
      <c r="F210" s="250"/>
      <c r="I210" s="847"/>
    </row>
    <row r="211">
      <c r="A211" s="265"/>
      <c r="B211" s="278"/>
      <c r="C211" s="252"/>
      <c r="D211" s="822"/>
      <c r="F211" s="282"/>
      <c r="I211" s="847"/>
    </row>
    <row r="212">
      <c r="A212" s="270"/>
      <c r="B212" s="271"/>
      <c r="C212" s="272"/>
      <c r="D212" s="823"/>
      <c r="E212" s="18"/>
      <c r="F212" s="274"/>
      <c r="G212" s="18"/>
      <c r="H212" s="18"/>
      <c r="I212" s="663"/>
    </row>
    <row r="213">
      <c r="A213" s="262" t="s">
        <v>2549</v>
      </c>
      <c r="B213" s="239"/>
      <c r="C213" s="263"/>
      <c r="D213" s="824"/>
      <c r="E213" s="242"/>
      <c r="F213" s="243">
        <v>8261.0</v>
      </c>
      <c r="G213" s="244" t="s">
        <v>3003</v>
      </c>
      <c r="H213" s="244"/>
      <c r="I213" s="662"/>
    </row>
    <row r="214">
      <c r="A214" s="265"/>
      <c r="B214" s="268"/>
      <c r="C214" s="248"/>
      <c r="D214" s="331"/>
      <c r="F214" s="250">
        <v>12803.0</v>
      </c>
      <c r="G214" s="2" t="s">
        <v>91</v>
      </c>
      <c r="I214" s="847"/>
    </row>
    <row r="215">
      <c r="A215" s="265"/>
      <c r="B215" s="247">
        <v>5877.56</v>
      </c>
      <c r="C215" s="252"/>
      <c r="D215" s="822"/>
      <c r="F215" s="250"/>
      <c r="G215" s="2" t="s">
        <v>74</v>
      </c>
      <c r="I215" s="847"/>
    </row>
    <row r="216">
      <c r="A216" s="265"/>
      <c r="B216" s="247">
        <v>17009.61</v>
      </c>
      <c r="C216" s="248"/>
      <c r="D216" s="331"/>
      <c r="F216" s="250"/>
      <c r="G216" s="2" t="s">
        <v>73</v>
      </c>
      <c r="I216" s="847"/>
    </row>
    <row r="217">
      <c r="A217" s="265"/>
      <c r="B217" s="247">
        <v>13201.0</v>
      </c>
      <c r="C217" s="252"/>
      <c r="D217" s="822"/>
      <c r="F217" s="250"/>
      <c r="G217" s="2" t="s">
        <v>100</v>
      </c>
      <c r="I217" s="847"/>
    </row>
    <row r="218">
      <c r="A218" s="265"/>
      <c r="B218" s="247">
        <v>5265.0</v>
      </c>
      <c r="C218" s="252"/>
      <c r="D218" s="822"/>
      <c r="F218" s="250"/>
      <c r="G218" s="2" t="s">
        <v>3294</v>
      </c>
      <c r="I218" s="847"/>
    </row>
    <row r="219">
      <c r="A219" s="265"/>
      <c r="B219" s="268"/>
      <c r="C219" s="252"/>
      <c r="D219" s="822"/>
      <c r="F219" s="250">
        <f>214+950+328</f>
        <v>1492</v>
      </c>
      <c r="G219" s="2" t="s">
        <v>708</v>
      </c>
      <c r="H219" s="252"/>
      <c r="I219" s="847"/>
    </row>
    <row r="220">
      <c r="A220" s="265"/>
      <c r="B220" s="268"/>
      <c r="C220" s="252"/>
      <c r="D220" s="822"/>
      <c r="F220" s="250">
        <v>2350.0</v>
      </c>
      <c r="G220" s="2" t="s">
        <v>275</v>
      </c>
      <c r="I220" s="847"/>
    </row>
    <row r="221">
      <c r="A221" s="265"/>
      <c r="B221" s="268"/>
      <c r="C221" s="252"/>
      <c r="D221" s="331">
        <v>15255.0</v>
      </c>
      <c r="F221" s="250"/>
      <c r="G221" s="2" t="s">
        <v>3295</v>
      </c>
      <c r="I221" s="847"/>
    </row>
    <row r="222">
      <c r="A222" s="265"/>
      <c r="B222" s="278"/>
      <c r="C222" s="252"/>
      <c r="D222" s="822"/>
      <c r="F222" s="250"/>
      <c r="I222" s="847"/>
    </row>
    <row r="223">
      <c r="A223" s="265"/>
      <c r="B223" s="278"/>
      <c r="C223" s="252"/>
      <c r="D223" s="822"/>
      <c r="F223" s="282"/>
      <c r="I223" s="847"/>
    </row>
    <row r="224">
      <c r="A224" s="270"/>
      <c r="B224" s="271"/>
      <c r="C224" s="272"/>
      <c r="D224" s="823"/>
      <c r="E224" s="18"/>
      <c r="F224" s="274"/>
      <c r="G224" s="18"/>
      <c r="H224" s="18"/>
      <c r="I224" s="663"/>
    </row>
    <row r="225">
      <c r="A225" s="262" t="s">
        <v>2550</v>
      </c>
      <c r="B225" s="239"/>
      <c r="C225" s="240"/>
      <c r="D225" s="821"/>
      <c r="E225" s="242"/>
      <c r="F225" s="243">
        <v>5031.0</v>
      </c>
      <c r="G225" s="244" t="s">
        <v>82</v>
      </c>
      <c r="H225" s="244"/>
      <c r="I225" s="662"/>
    </row>
    <row r="226">
      <c r="A226" s="265"/>
      <c r="B226" s="268"/>
      <c r="C226" s="252"/>
      <c r="D226" s="331"/>
      <c r="F226" s="250">
        <f>2079</f>
        <v>2079</v>
      </c>
      <c r="G226" s="2" t="s">
        <v>708</v>
      </c>
      <c r="I226" s="847"/>
    </row>
    <row r="227">
      <c r="A227" s="265"/>
      <c r="B227" s="268"/>
      <c r="C227" s="252"/>
      <c r="D227" s="331">
        <v>9400.0</v>
      </c>
      <c r="F227" s="250"/>
      <c r="G227" s="2" t="s">
        <v>75</v>
      </c>
      <c r="I227" s="847"/>
    </row>
    <row r="228">
      <c r="A228" s="265"/>
      <c r="B228" s="268"/>
      <c r="C228" s="248"/>
      <c r="D228" s="822"/>
      <c r="F228" s="250">
        <v>950.0</v>
      </c>
      <c r="G228" s="2" t="s">
        <v>228</v>
      </c>
      <c r="I228" s="847"/>
    </row>
    <row r="229">
      <c r="A229" s="265"/>
      <c r="B229" s="268"/>
      <c r="C229" s="248"/>
      <c r="D229" s="822"/>
      <c r="F229" s="250"/>
      <c r="I229" s="847"/>
    </row>
    <row r="230">
      <c r="A230" s="265"/>
      <c r="B230" s="268"/>
      <c r="C230" s="248"/>
      <c r="D230" s="331"/>
      <c r="F230" s="250"/>
      <c r="I230" s="847"/>
    </row>
    <row r="231">
      <c r="A231" s="265"/>
      <c r="B231" s="268"/>
      <c r="C231" s="252"/>
      <c r="D231" s="822"/>
      <c r="F231" s="250"/>
      <c r="I231" s="847"/>
    </row>
    <row r="232">
      <c r="A232" s="265"/>
      <c r="B232" s="268"/>
      <c r="C232" s="252"/>
      <c r="D232" s="822"/>
      <c r="F232" s="250"/>
      <c r="I232" s="847"/>
    </row>
    <row r="233">
      <c r="A233" s="265"/>
      <c r="B233" s="268"/>
      <c r="C233" s="252"/>
      <c r="D233" s="822"/>
      <c r="F233" s="250"/>
      <c r="I233" s="847"/>
    </row>
    <row r="234">
      <c r="A234" s="265"/>
      <c r="B234" s="268"/>
      <c r="C234" s="252"/>
      <c r="D234" s="822"/>
      <c r="F234" s="250"/>
      <c r="I234" s="847"/>
    </row>
    <row r="235">
      <c r="A235" s="270"/>
      <c r="B235" s="271"/>
      <c r="C235" s="272"/>
      <c r="D235" s="823"/>
      <c r="E235" s="18"/>
      <c r="F235" s="274"/>
      <c r="G235" s="18"/>
      <c r="H235" s="18"/>
      <c r="I235" s="663"/>
    </row>
    <row r="236">
      <c r="A236" s="262" t="s">
        <v>2552</v>
      </c>
      <c r="B236" s="306"/>
      <c r="C236" s="263">
        <v>48317.88</v>
      </c>
      <c r="D236" s="824"/>
      <c r="E236" s="242"/>
      <c r="F236" s="243"/>
      <c r="G236" s="244" t="s">
        <v>84</v>
      </c>
      <c r="H236" s="244"/>
      <c r="I236" s="662"/>
    </row>
    <row r="237">
      <c r="A237" s="265"/>
      <c r="B237" s="247"/>
      <c r="C237" s="252"/>
      <c r="D237" s="822"/>
      <c r="F237" s="250">
        <v>3600.0</v>
      </c>
      <c r="G237" s="2" t="s">
        <v>76</v>
      </c>
      <c r="I237" s="847"/>
    </row>
    <row r="238">
      <c r="A238" s="265"/>
      <c r="B238" s="268"/>
      <c r="C238" s="252"/>
      <c r="D238" s="822"/>
      <c r="F238" s="250">
        <v>2876.35</v>
      </c>
      <c r="G238" s="2" t="s">
        <v>103</v>
      </c>
      <c r="I238" s="847"/>
    </row>
    <row r="239">
      <c r="A239" s="265"/>
      <c r="B239" s="268"/>
      <c r="C239" s="248"/>
      <c r="D239" s="822"/>
      <c r="F239" s="250">
        <v>8425.0</v>
      </c>
      <c r="G239" s="2" t="s">
        <v>3296</v>
      </c>
      <c r="I239" s="847"/>
    </row>
    <row r="240">
      <c r="A240" s="265"/>
      <c r="B240" s="268"/>
      <c r="C240" s="252"/>
      <c r="D240" s="822"/>
      <c r="F240" s="250">
        <v>200.0</v>
      </c>
      <c r="G240" s="2" t="s">
        <v>228</v>
      </c>
      <c r="H240" s="252"/>
      <c r="I240" s="847"/>
    </row>
    <row r="241">
      <c r="A241" s="265"/>
      <c r="B241" s="268"/>
      <c r="C241" s="248"/>
      <c r="D241" s="822"/>
      <c r="F241" s="250">
        <v>1000.0</v>
      </c>
      <c r="G241" s="2" t="s">
        <v>3118</v>
      </c>
      <c r="I241" s="847"/>
    </row>
    <row r="242">
      <c r="A242" s="265"/>
      <c r="B242" s="268"/>
      <c r="C242" s="252"/>
      <c r="D242" s="822"/>
      <c r="F242" s="250"/>
      <c r="I242" s="847"/>
    </row>
    <row r="243">
      <c r="A243" s="265"/>
      <c r="B243" s="268"/>
      <c r="C243" s="252"/>
      <c r="D243" s="822"/>
      <c r="F243" s="250"/>
      <c r="I243" s="847"/>
    </row>
    <row r="244">
      <c r="A244" s="265"/>
      <c r="B244" s="268"/>
      <c r="C244" s="252"/>
      <c r="D244" s="822"/>
      <c r="F244" s="250"/>
      <c r="I244" s="847"/>
    </row>
    <row r="245">
      <c r="A245" s="265"/>
      <c r="B245" s="268"/>
      <c r="C245" s="252"/>
      <c r="D245" s="822"/>
      <c r="F245" s="250"/>
      <c r="I245" s="847"/>
    </row>
    <row r="246">
      <c r="A246" s="265"/>
      <c r="B246" s="278"/>
      <c r="C246" s="252"/>
      <c r="D246" s="822"/>
      <c r="F246" s="250"/>
      <c r="I246" s="847"/>
    </row>
    <row r="247">
      <c r="A247" s="265"/>
      <c r="B247" s="278"/>
      <c r="C247" s="252"/>
      <c r="D247" s="822"/>
      <c r="F247" s="250"/>
      <c r="I247" s="847"/>
    </row>
    <row r="248">
      <c r="A248" s="265"/>
      <c r="B248" s="278"/>
      <c r="C248" s="252"/>
      <c r="D248" s="822"/>
      <c r="F248" s="250"/>
      <c r="I248" s="847"/>
    </row>
    <row r="249">
      <c r="A249" s="270"/>
      <c r="B249" s="271"/>
      <c r="C249" s="272"/>
      <c r="D249" s="823"/>
      <c r="E249" s="18"/>
      <c r="F249" s="274"/>
      <c r="G249" s="18"/>
      <c r="H249" s="18"/>
      <c r="I249" s="663"/>
    </row>
    <row r="250">
      <c r="A250" s="262" t="s">
        <v>2553</v>
      </c>
      <c r="B250" s="239"/>
      <c r="C250" s="240"/>
      <c r="D250" s="824"/>
      <c r="E250" s="242"/>
      <c r="F250" s="243"/>
      <c r="G250" s="244" t="s">
        <v>87</v>
      </c>
      <c r="H250" s="244"/>
      <c r="I250" s="662"/>
    </row>
    <row r="251">
      <c r="A251" s="265"/>
      <c r="B251" s="268"/>
      <c r="C251" s="248"/>
      <c r="D251" s="822"/>
      <c r="F251" s="250"/>
      <c r="I251" s="847"/>
    </row>
    <row r="252">
      <c r="A252" s="265"/>
      <c r="B252" s="247"/>
      <c r="C252" s="252"/>
      <c r="D252" s="822"/>
      <c r="F252" s="250"/>
      <c r="I252" s="847"/>
    </row>
    <row r="253">
      <c r="A253" s="265"/>
      <c r="B253" s="268"/>
      <c r="C253" s="252"/>
      <c r="D253" s="822"/>
      <c r="F253" s="250"/>
      <c r="I253" s="847"/>
    </row>
    <row r="254">
      <c r="A254" s="265"/>
      <c r="B254" s="247"/>
      <c r="C254" s="248"/>
      <c r="D254" s="822"/>
      <c r="F254" s="250"/>
      <c r="I254" s="847"/>
    </row>
    <row r="255">
      <c r="A255" s="265"/>
      <c r="B255" s="247"/>
      <c r="C255" s="248"/>
      <c r="D255" s="822"/>
      <c r="F255" s="250"/>
      <c r="I255" s="847"/>
    </row>
    <row r="256">
      <c r="A256" s="265"/>
      <c r="B256" s="268"/>
      <c r="C256" s="252"/>
      <c r="D256" s="822"/>
      <c r="F256" s="250"/>
      <c r="I256" s="847"/>
    </row>
    <row r="257">
      <c r="A257" s="265"/>
      <c r="B257" s="268"/>
      <c r="C257" s="252"/>
      <c r="D257" s="822"/>
      <c r="F257" s="250"/>
      <c r="I257" s="847"/>
    </row>
    <row r="258">
      <c r="A258" s="265"/>
      <c r="B258" s="268"/>
      <c r="C258" s="248"/>
      <c r="D258" s="822"/>
      <c r="F258" s="250"/>
      <c r="I258" s="847"/>
    </row>
    <row r="259">
      <c r="A259" s="265"/>
      <c r="B259" s="268"/>
      <c r="C259" s="252"/>
      <c r="D259" s="822"/>
      <c r="F259" s="250"/>
      <c r="I259" s="847"/>
    </row>
    <row r="260">
      <c r="A260" s="265"/>
      <c r="B260" s="268"/>
      <c r="C260" s="252"/>
      <c r="D260" s="822"/>
      <c r="F260" s="250"/>
      <c r="I260" s="847"/>
    </row>
    <row r="261">
      <c r="A261" s="265"/>
      <c r="B261" s="268"/>
      <c r="C261" s="252"/>
      <c r="D261" s="822"/>
      <c r="F261" s="250"/>
      <c r="I261" s="847"/>
    </row>
    <row r="262">
      <c r="A262" s="265"/>
      <c r="B262" s="268"/>
      <c r="C262" s="252"/>
      <c r="D262" s="822"/>
      <c r="F262" s="250"/>
      <c r="I262" s="847"/>
    </row>
    <row r="263">
      <c r="A263" s="265"/>
      <c r="B263" s="268"/>
      <c r="C263" s="252"/>
      <c r="D263" s="822"/>
      <c r="F263" s="250"/>
      <c r="I263" s="847"/>
    </row>
    <row r="264">
      <c r="A264" s="270"/>
      <c r="B264" s="271"/>
      <c r="C264" s="272"/>
      <c r="D264" s="823"/>
      <c r="E264" s="18"/>
      <c r="F264" s="274"/>
      <c r="G264" s="18"/>
      <c r="H264" s="18"/>
      <c r="I264" s="663"/>
    </row>
    <row r="265">
      <c r="A265" s="262" t="s">
        <v>2555</v>
      </c>
      <c r="B265" s="239"/>
      <c r="C265" s="263"/>
      <c r="D265" s="821"/>
      <c r="E265" s="242"/>
      <c r="F265" s="243">
        <f>234+244</f>
        <v>478</v>
      </c>
      <c r="G265" s="244" t="s">
        <v>3297</v>
      </c>
      <c r="H265" s="244"/>
      <c r="I265" s="662"/>
    </row>
    <row r="266">
      <c r="A266" s="265"/>
      <c r="B266" s="247"/>
      <c r="C266" s="252"/>
      <c r="D266" s="822"/>
      <c r="F266" s="250">
        <v>400.0</v>
      </c>
      <c r="G266" s="2" t="s">
        <v>3298</v>
      </c>
      <c r="I266" s="847"/>
    </row>
    <row r="267">
      <c r="A267" s="265"/>
      <c r="B267" s="268"/>
      <c r="C267" s="252"/>
      <c r="D267" s="331"/>
      <c r="F267" s="250">
        <v>1000.0</v>
      </c>
      <c r="G267" s="2" t="s">
        <v>3118</v>
      </c>
      <c r="I267" s="847"/>
    </row>
    <row r="268">
      <c r="A268" s="265"/>
      <c r="B268" s="268"/>
      <c r="C268" s="252"/>
      <c r="D268" s="822"/>
      <c r="F268" s="250">
        <v>1000.0</v>
      </c>
      <c r="G268" s="2" t="s">
        <v>3018</v>
      </c>
      <c r="I268" s="847"/>
    </row>
    <row r="269">
      <c r="A269" s="265"/>
      <c r="B269" s="268"/>
      <c r="C269" s="252"/>
      <c r="D269" s="822"/>
      <c r="F269" s="250"/>
      <c r="I269" s="847"/>
    </row>
    <row r="270">
      <c r="A270" s="265"/>
      <c r="B270" s="268"/>
      <c r="C270" s="252"/>
      <c r="D270" s="822"/>
      <c r="F270" s="250"/>
      <c r="I270" s="847"/>
    </row>
    <row r="271">
      <c r="A271" s="265"/>
      <c r="B271" s="268"/>
      <c r="C271" s="252"/>
      <c r="D271" s="822"/>
      <c r="F271" s="250"/>
      <c r="I271" s="847"/>
    </row>
    <row r="272">
      <c r="A272" s="265"/>
      <c r="B272" s="268"/>
      <c r="C272" s="252"/>
      <c r="D272" s="822"/>
      <c r="F272" s="250"/>
      <c r="I272" s="847"/>
    </row>
    <row r="273">
      <c r="A273" s="265"/>
      <c r="B273" s="268"/>
      <c r="C273" s="252"/>
      <c r="D273" s="822"/>
      <c r="F273" s="250"/>
      <c r="I273" s="847"/>
    </row>
    <row r="274">
      <c r="A274" s="265"/>
      <c r="B274" s="268"/>
      <c r="C274" s="252"/>
      <c r="D274" s="822"/>
      <c r="F274" s="250"/>
      <c r="I274" s="847"/>
    </row>
    <row r="275">
      <c r="A275" s="265"/>
      <c r="B275" s="268"/>
      <c r="C275" s="252"/>
      <c r="D275" s="822"/>
      <c r="F275" s="250"/>
      <c r="I275" s="847"/>
    </row>
    <row r="276">
      <c r="A276" s="265"/>
      <c r="B276" s="268"/>
      <c r="C276" s="252"/>
      <c r="D276" s="822"/>
      <c r="F276" s="250"/>
      <c r="I276" s="847"/>
    </row>
    <row r="277">
      <c r="A277" s="270"/>
      <c r="B277" s="271"/>
      <c r="C277" s="272"/>
      <c r="D277" s="823"/>
      <c r="E277" s="18"/>
      <c r="F277" s="274"/>
      <c r="G277" s="18"/>
      <c r="H277" s="18"/>
      <c r="I277" s="663"/>
    </row>
    <row r="278">
      <c r="A278" s="262" t="s">
        <v>2557</v>
      </c>
      <c r="B278" s="239"/>
      <c r="C278" s="263">
        <v>32768.81</v>
      </c>
      <c r="D278" s="824"/>
      <c r="E278" s="242"/>
      <c r="F278" s="243"/>
      <c r="G278" s="244" t="s">
        <v>2637</v>
      </c>
      <c r="H278" s="244"/>
      <c r="I278" s="662"/>
    </row>
    <row r="279">
      <c r="A279" s="265"/>
      <c r="B279" s="247">
        <v>4133.85</v>
      </c>
      <c r="C279" s="252"/>
      <c r="D279" s="822"/>
      <c r="F279" s="250"/>
      <c r="G279" s="2" t="s">
        <v>58</v>
      </c>
      <c r="I279" s="847"/>
    </row>
    <row r="280">
      <c r="A280" s="265"/>
      <c r="B280" s="268"/>
      <c r="C280" s="252"/>
      <c r="D280" s="822"/>
      <c r="F280" s="250">
        <v>6000.0</v>
      </c>
      <c r="G280" s="2" t="s">
        <v>3183</v>
      </c>
      <c r="I280" s="847"/>
    </row>
    <row r="281">
      <c r="A281" s="265"/>
      <c r="B281" s="268"/>
      <c r="C281" s="248"/>
      <c r="D281" s="822"/>
      <c r="F281" s="250">
        <v>500.0</v>
      </c>
      <c r="G281" s="2" t="s">
        <v>3232</v>
      </c>
      <c r="I281" s="847"/>
    </row>
    <row r="282">
      <c r="A282" s="265"/>
      <c r="B282" s="247"/>
      <c r="C282" s="252"/>
      <c r="D282" s="822"/>
      <c r="F282" s="250">
        <v>654.7</v>
      </c>
      <c r="G282" s="2" t="s">
        <v>63</v>
      </c>
      <c r="I282" s="847"/>
    </row>
    <row r="283">
      <c r="A283" s="265"/>
      <c r="B283" s="268"/>
      <c r="C283" s="248"/>
      <c r="D283" s="331"/>
      <c r="F283" s="250">
        <v>3660.0</v>
      </c>
      <c r="G283" s="2" t="s">
        <v>2621</v>
      </c>
      <c r="I283" s="847"/>
    </row>
    <row r="284">
      <c r="A284" s="265"/>
      <c r="B284" s="247">
        <v>29869.91</v>
      </c>
      <c r="C284" s="252"/>
      <c r="D284" s="331"/>
      <c r="F284" s="250"/>
      <c r="G284" s="2" t="s">
        <v>877</v>
      </c>
      <c r="I284" s="847"/>
    </row>
    <row r="285">
      <c r="A285" s="265"/>
      <c r="B285" s="247">
        <v>2200.0</v>
      </c>
      <c r="C285" s="252"/>
      <c r="D285" s="822"/>
      <c r="F285" s="250"/>
      <c r="G285" s="2" t="s">
        <v>552</v>
      </c>
      <c r="I285" s="847"/>
    </row>
    <row r="286">
      <c r="A286" s="265"/>
      <c r="B286" s="268"/>
      <c r="C286" s="252"/>
      <c r="D286" s="331"/>
      <c r="F286" s="250"/>
      <c r="I286" s="847"/>
    </row>
    <row r="287">
      <c r="A287" s="265"/>
      <c r="B287" s="268"/>
      <c r="C287" s="252"/>
      <c r="D287" s="331"/>
      <c r="F287" s="250"/>
      <c r="I287" s="847"/>
    </row>
    <row r="288">
      <c r="A288" s="265"/>
      <c r="B288" s="268"/>
      <c r="C288" s="252"/>
      <c r="D288" s="822"/>
      <c r="F288" s="250"/>
      <c r="I288" s="847"/>
    </row>
    <row r="289">
      <c r="A289" s="265"/>
      <c r="B289" s="268"/>
      <c r="C289" s="252"/>
      <c r="D289" s="822"/>
      <c r="F289" s="250"/>
      <c r="I289" s="847"/>
    </row>
    <row r="290">
      <c r="A290" s="265"/>
      <c r="B290" s="268"/>
      <c r="C290" s="252"/>
      <c r="D290" s="822"/>
      <c r="F290" s="250"/>
      <c r="I290" s="847"/>
    </row>
    <row r="291">
      <c r="A291" s="270"/>
      <c r="B291" s="271"/>
      <c r="C291" s="272"/>
      <c r="D291" s="823"/>
      <c r="E291" s="18"/>
      <c r="F291" s="274"/>
      <c r="G291" s="18"/>
      <c r="H291" s="18"/>
      <c r="I291" s="663"/>
    </row>
    <row r="292">
      <c r="A292" s="262" t="s">
        <v>2562</v>
      </c>
      <c r="B292" s="306"/>
      <c r="C292" s="263"/>
      <c r="D292" s="824"/>
      <c r="E292" s="242"/>
      <c r="F292" s="243">
        <v>7600.0</v>
      </c>
      <c r="G292" s="244" t="s">
        <v>87</v>
      </c>
      <c r="H292" s="244"/>
      <c r="I292" s="662"/>
    </row>
    <row r="293">
      <c r="A293" s="265"/>
      <c r="B293" s="268"/>
      <c r="C293" s="248"/>
      <c r="D293" s="822"/>
      <c r="F293" s="250">
        <v>5480.0</v>
      </c>
      <c r="G293" s="2" t="s">
        <v>76</v>
      </c>
      <c r="I293" s="847"/>
    </row>
    <row r="294">
      <c r="A294" s="265"/>
      <c r="B294" s="247">
        <v>5669.4</v>
      </c>
      <c r="C294" s="248"/>
      <c r="D294" s="822"/>
      <c r="F294" s="250"/>
      <c r="G294" s="2" t="s">
        <v>73</v>
      </c>
      <c r="I294" s="847"/>
    </row>
    <row r="295">
      <c r="A295" s="265"/>
      <c r="B295" s="247">
        <v>11183.91</v>
      </c>
      <c r="C295" s="248"/>
      <c r="D295" s="822"/>
      <c r="F295" s="250"/>
      <c r="G295" s="2" t="s">
        <v>74</v>
      </c>
      <c r="I295" s="847"/>
    </row>
    <row r="296">
      <c r="A296" s="265"/>
      <c r="B296" s="268"/>
      <c r="C296" s="252"/>
      <c r="D296" s="822"/>
      <c r="F296" s="250">
        <v>500.0</v>
      </c>
      <c r="G296" s="2" t="s">
        <v>3232</v>
      </c>
      <c r="I296" s="847"/>
    </row>
    <row r="297">
      <c r="A297" s="265"/>
      <c r="B297" s="268"/>
      <c r="C297" s="252"/>
      <c r="D297" s="822"/>
      <c r="F297" s="250">
        <v>220.0</v>
      </c>
      <c r="G297" s="2" t="s">
        <v>1732</v>
      </c>
      <c r="I297" s="847"/>
    </row>
    <row r="298">
      <c r="A298" s="265"/>
      <c r="B298" s="268"/>
      <c r="C298" s="248"/>
      <c r="D298" s="822"/>
      <c r="F298" s="243">
        <v>220.0</v>
      </c>
      <c r="G298" s="244" t="s">
        <v>346</v>
      </c>
      <c r="H298" s="244"/>
      <c r="I298" s="847"/>
    </row>
    <row r="299">
      <c r="A299" s="265"/>
      <c r="B299" s="268"/>
      <c r="C299" s="252"/>
      <c r="D299" s="822"/>
      <c r="F299" s="250"/>
      <c r="I299" s="847"/>
    </row>
    <row r="300">
      <c r="A300" s="265"/>
      <c r="B300" s="247"/>
      <c r="C300" s="252"/>
      <c r="D300" s="822"/>
      <c r="F300" s="250"/>
      <c r="H300" s="252"/>
      <c r="I300" s="847"/>
    </row>
    <row r="301">
      <c r="A301" s="265"/>
      <c r="B301" s="268"/>
      <c r="C301" s="252"/>
      <c r="D301" s="822"/>
      <c r="F301" s="250"/>
      <c r="I301" s="847"/>
    </row>
    <row r="302">
      <c r="A302" s="265"/>
      <c r="B302" s="268"/>
      <c r="C302" s="252"/>
      <c r="D302" s="822"/>
      <c r="F302" s="250"/>
      <c r="I302" s="847"/>
    </row>
    <row r="303">
      <c r="A303" s="265"/>
      <c r="B303" s="268"/>
      <c r="C303" s="252"/>
      <c r="D303" s="822"/>
      <c r="F303" s="250"/>
      <c r="I303" s="847"/>
    </row>
    <row r="304">
      <c r="A304" s="265"/>
      <c r="B304" s="268"/>
      <c r="C304" s="252"/>
      <c r="D304" s="822"/>
      <c r="F304" s="250"/>
      <c r="I304" s="847"/>
    </row>
    <row r="305">
      <c r="A305" s="265"/>
      <c r="B305" s="268"/>
      <c r="C305" s="252"/>
      <c r="D305" s="822"/>
      <c r="F305" s="250"/>
      <c r="I305" s="847"/>
    </row>
    <row r="306">
      <c r="A306" s="270"/>
      <c r="B306" s="271"/>
      <c r="C306" s="272"/>
      <c r="D306" s="823"/>
      <c r="E306" s="18"/>
      <c r="F306" s="274"/>
      <c r="G306" s="18"/>
      <c r="H306" s="18"/>
      <c r="I306" s="663"/>
    </row>
    <row r="307">
      <c r="A307" s="262" t="s">
        <v>2564</v>
      </c>
      <c r="B307" s="239"/>
      <c r="C307" s="240"/>
      <c r="D307" s="821"/>
      <c r="E307" s="242"/>
      <c r="F307" s="250">
        <v>3397.0</v>
      </c>
      <c r="G307" s="2" t="s">
        <v>3019</v>
      </c>
      <c r="I307" s="662"/>
    </row>
    <row r="308">
      <c r="A308" s="265"/>
      <c r="B308" s="268"/>
      <c r="C308" s="252"/>
      <c r="D308" s="822"/>
      <c r="F308" s="250">
        <v>161.0</v>
      </c>
      <c r="G308" s="2" t="s">
        <v>1132</v>
      </c>
      <c r="I308" s="847"/>
    </row>
    <row r="309">
      <c r="A309" s="265"/>
      <c r="B309" s="268"/>
      <c r="C309" s="252"/>
      <c r="D309" s="331">
        <v>14500.0</v>
      </c>
      <c r="F309" s="250"/>
      <c r="G309" s="2" t="s">
        <v>3299</v>
      </c>
      <c r="I309" s="847"/>
    </row>
    <row r="310">
      <c r="A310" s="265"/>
      <c r="B310" s="247">
        <v>12000.0</v>
      </c>
      <c r="C310" s="248"/>
      <c r="D310" s="822"/>
      <c r="F310" s="250"/>
      <c r="G310" s="2" t="s">
        <v>3300</v>
      </c>
      <c r="I310" s="847"/>
    </row>
    <row r="311">
      <c r="A311" s="265"/>
      <c r="B311" s="247"/>
      <c r="C311" s="252"/>
      <c r="D311" s="822"/>
      <c r="F311" s="250"/>
      <c r="I311" s="847"/>
    </row>
    <row r="312">
      <c r="A312" s="265"/>
      <c r="B312" s="247"/>
      <c r="C312" s="252"/>
      <c r="D312" s="822"/>
      <c r="F312" s="250"/>
      <c r="I312" s="847"/>
    </row>
    <row r="313">
      <c r="A313" s="265"/>
      <c r="B313" s="268"/>
      <c r="C313" s="252"/>
      <c r="D313" s="331"/>
      <c r="F313" s="250"/>
      <c r="I313" s="847"/>
    </row>
    <row r="314">
      <c r="A314" s="265"/>
      <c r="B314" s="268"/>
      <c r="C314" s="252"/>
      <c r="D314" s="822"/>
      <c r="F314" s="250"/>
      <c r="I314" s="847"/>
    </row>
    <row r="315">
      <c r="A315" s="265"/>
      <c r="B315" s="268"/>
      <c r="C315" s="252"/>
      <c r="D315" s="822"/>
      <c r="F315" s="250"/>
      <c r="I315" s="847"/>
    </row>
    <row r="316">
      <c r="A316" s="265"/>
      <c r="B316" s="268"/>
      <c r="C316" s="252"/>
      <c r="D316" s="822"/>
      <c r="F316" s="250"/>
      <c r="I316" s="847"/>
    </row>
    <row r="317">
      <c r="A317" s="270"/>
      <c r="B317" s="271"/>
      <c r="C317" s="272"/>
      <c r="D317" s="823"/>
      <c r="E317" s="18"/>
      <c r="F317" s="274"/>
      <c r="G317" s="18"/>
      <c r="H317" s="18"/>
      <c r="I317" s="663"/>
    </row>
    <row r="318">
      <c r="A318" s="262" t="s">
        <v>2565</v>
      </c>
      <c r="B318" s="239"/>
      <c r="C318" s="240"/>
      <c r="D318" s="824"/>
      <c r="E318" s="242"/>
      <c r="F318" s="243">
        <v>4200.0</v>
      </c>
      <c r="G318" s="244" t="s">
        <v>2986</v>
      </c>
      <c r="H318" s="244"/>
      <c r="I318" s="662"/>
    </row>
    <row r="319">
      <c r="A319" s="265"/>
      <c r="B319" s="247"/>
      <c r="C319" s="248"/>
      <c r="D319" s="822"/>
      <c r="F319" s="250"/>
      <c r="I319" s="847"/>
    </row>
    <row r="320">
      <c r="A320" s="265"/>
      <c r="B320" s="268"/>
      <c r="C320" s="248"/>
      <c r="D320" s="822"/>
      <c r="F320" s="250">
        <v>380.0</v>
      </c>
      <c r="G320" s="2" t="s">
        <v>547</v>
      </c>
      <c r="I320" s="847"/>
    </row>
    <row r="321">
      <c r="A321" s="265"/>
      <c r="B321" s="268"/>
      <c r="C321" s="252"/>
      <c r="D321" s="822"/>
      <c r="F321" s="250">
        <v>7250.0</v>
      </c>
      <c r="G321" s="2" t="s">
        <v>79</v>
      </c>
      <c r="I321" s="847"/>
    </row>
    <row r="322">
      <c r="A322" s="265"/>
      <c r="B322" s="268"/>
      <c r="C322" s="248"/>
      <c r="D322" s="331"/>
      <c r="F322" s="250">
        <v>1000.0</v>
      </c>
      <c r="G322" s="2" t="s">
        <v>3118</v>
      </c>
      <c r="I322" s="847"/>
    </row>
    <row r="323">
      <c r="A323" s="265"/>
      <c r="B323" s="247"/>
      <c r="C323" s="252"/>
      <c r="D323" s="822"/>
      <c r="F323" s="250"/>
      <c r="I323" s="847"/>
    </row>
    <row r="324">
      <c r="A324" s="265"/>
      <c r="B324" s="247"/>
      <c r="C324" s="252"/>
      <c r="D324" s="822"/>
      <c r="F324" s="250"/>
      <c r="I324" s="847"/>
    </row>
    <row r="325">
      <c r="A325" s="265"/>
      <c r="B325" s="268"/>
      <c r="C325" s="252"/>
      <c r="D325" s="822"/>
      <c r="F325" s="250"/>
      <c r="I325" s="847"/>
    </row>
    <row r="326">
      <c r="A326" s="265"/>
      <c r="B326" s="268"/>
      <c r="C326" s="252"/>
      <c r="D326" s="822"/>
      <c r="F326" s="250"/>
      <c r="I326" s="847"/>
    </row>
    <row r="327">
      <c r="A327" s="265"/>
      <c r="B327" s="247"/>
      <c r="C327" s="252"/>
      <c r="D327" s="822"/>
      <c r="F327" s="250"/>
      <c r="I327" s="847"/>
    </row>
    <row r="328">
      <c r="A328" s="270"/>
      <c r="B328" s="271"/>
      <c r="C328" s="272"/>
      <c r="D328" s="823"/>
      <c r="E328" s="18"/>
      <c r="F328" s="274"/>
      <c r="G328" s="18"/>
      <c r="H328" s="18"/>
      <c r="I328" s="663"/>
    </row>
    <row r="329">
      <c r="A329" s="262" t="s">
        <v>2569</v>
      </c>
      <c r="B329" s="306"/>
      <c r="C329" s="240"/>
      <c r="D329" s="824"/>
      <c r="E329" s="242"/>
      <c r="F329" s="243">
        <v>360.0</v>
      </c>
      <c r="G329" s="244" t="s">
        <v>588</v>
      </c>
      <c r="H329" s="244"/>
      <c r="I329" s="662"/>
    </row>
    <row r="330">
      <c r="A330" s="265"/>
      <c r="B330" s="247">
        <v>3165.0</v>
      </c>
      <c r="C330" s="252"/>
      <c r="D330" s="822"/>
      <c r="F330" s="250"/>
      <c r="G330" s="2" t="s">
        <v>82</v>
      </c>
      <c r="I330" s="847"/>
    </row>
    <row r="331">
      <c r="A331" s="265"/>
      <c r="B331" s="247"/>
      <c r="C331" s="252"/>
      <c r="D331" s="822"/>
      <c r="F331" s="250">
        <v>5250.0</v>
      </c>
      <c r="G331" s="2" t="s">
        <v>87</v>
      </c>
      <c r="I331" s="847"/>
    </row>
    <row r="332">
      <c r="A332" s="265"/>
      <c r="B332" s="247">
        <v>3188.0</v>
      </c>
      <c r="C332" s="252"/>
      <c r="D332" s="331"/>
      <c r="F332" s="250"/>
      <c r="G332" s="2" t="s">
        <v>447</v>
      </c>
      <c r="I332" s="847"/>
    </row>
    <row r="333">
      <c r="A333" s="265"/>
      <c r="B333" s="247"/>
      <c r="C333" s="252"/>
      <c r="D333" s="822"/>
      <c r="F333" s="250">
        <v>800.0</v>
      </c>
      <c r="G333" s="2" t="s">
        <v>3118</v>
      </c>
      <c r="I333" s="847"/>
    </row>
    <row r="334">
      <c r="A334" s="265"/>
      <c r="B334" s="268"/>
      <c r="C334" s="252"/>
      <c r="D334" s="822"/>
      <c r="F334" s="250">
        <v>3150.0</v>
      </c>
      <c r="G334" s="2" t="s">
        <v>426</v>
      </c>
      <c r="I334" s="847"/>
    </row>
    <row r="335">
      <c r="A335" s="265"/>
      <c r="B335" s="247"/>
      <c r="C335" s="252"/>
      <c r="D335" s="822"/>
      <c r="F335" s="250"/>
      <c r="H335" s="318"/>
      <c r="I335" s="847"/>
    </row>
    <row r="336">
      <c r="A336" s="265"/>
      <c r="B336" s="268"/>
      <c r="C336" s="252"/>
      <c r="D336" s="331"/>
      <c r="F336" s="250"/>
      <c r="I336" s="847"/>
    </row>
    <row r="337">
      <c r="A337" s="265"/>
      <c r="B337" s="268"/>
      <c r="C337" s="252"/>
      <c r="D337" s="822"/>
      <c r="F337" s="250"/>
      <c r="I337" s="847"/>
    </row>
    <row r="338">
      <c r="A338" s="265"/>
      <c r="B338" s="268"/>
      <c r="C338" s="252"/>
      <c r="D338" s="822"/>
      <c r="F338" s="250"/>
      <c r="I338" s="847"/>
    </row>
    <row r="339">
      <c r="A339" s="265"/>
      <c r="B339" s="268"/>
      <c r="C339" s="252"/>
      <c r="D339" s="822"/>
      <c r="F339" s="250"/>
      <c r="I339" s="847"/>
    </row>
    <row r="340">
      <c r="A340" s="265"/>
      <c r="B340" s="268"/>
      <c r="C340" s="252"/>
      <c r="D340" s="822"/>
      <c r="F340" s="250"/>
      <c r="I340" s="847"/>
    </row>
    <row r="341">
      <c r="A341" s="265"/>
      <c r="B341" s="268"/>
      <c r="C341" s="252"/>
      <c r="D341" s="822"/>
      <c r="F341" s="250"/>
      <c r="I341" s="847"/>
    </row>
    <row r="342">
      <c r="A342" s="265"/>
      <c r="B342" s="268"/>
      <c r="C342" s="252"/>
      <c r="D342" s="822"/>
      <c r="F342" s="250"/>
      <c r="I342" s="847"/>
    </row>
    <row r="343">
      <c r="A343" s="265"/>
      <c r="B343" s="268"/>
      <c r="C343" s="252"/>
      <c r="D343" s="822"/>
      <c r="F343" s="250"/>
      <c r="I343" s="847"/>
    </row>
    <row r="344">
      <c r="A344" s="265"/>
      <c r="B344" s="268"/>
      <c r="C344" s="252"/>
      <c r="D344" s="822"/>
      <c r="F344" s="250"/>
      <c r="I344" s="847"/>
    </row>
    <row r="345">
      <c r="A345" s="265"/>
      <c r="B345" s="268"/>
      <c r="C345" s="252"/>
      <c r="D345" s="822"/>
      <c r="F345" s="250"/>
      <c r="I345" s="847"/>
    </row>
    <row r="346">
      <c r="A346" s="270"/>
      <c r="B346" s="271"/>
      <c r="C346" s="272"/>
      <c r="D346" s="823"/>
      <c r="E346" s="18"/>
      <c r="F346" s="274"/>
      <c r="G346" s="18"/>
      <c r="H346" s="18"/>
      <c r="I346" s="663"/>
    </row>
    <row r="347">
      <c r="A347" s="262" t="s">
        <v>3301</v>
      </c>
      <c r="B347" s="306"/>
      <c r="C347" s="240"/>
      <c r="D347" s="824"/>
      <c r="E347" s="242"/>
      <c r="F347" s="243">
        <v>1000.0</v>
      </c>
      <c r="G347" s="2" t="s">
        <v>3118</v>
      </c>
      <c r="I347" s="662"/>
    </row>
    <row r="348">
      <c r="A348" s="265"/>
      <c r="B348" s="268"/>
      <c r="C348" s="248"/>
      <c r="D348" s="822"/>
      <c r="F348" s="250"/>
      <c r="I348" s="847"/>
    </row>
    <row r="349">
      <c r="A349" s="265"/>
      <c r="B349" s="268"/>
      <c r="C349" s="248"/>
      <c r="D349" s="822"/>
      <c r="F349" s="250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65"/>
      <c r="B351" s="268"/>
      <c r="C351" s="252"/>
      <c r="D351" s="822"/>
      <c r="F351" s="250"/>
      <c r="I351" s="847"/>
    </row>
    <row r="352">
      <c r="A352" s="265"/>
      <c r="B352" s="268"/>
      <c r="C352" s="252"/>
      <c r="D352" s="822"/>
      <c r="F352" s="250"/>
      <c r="I352" s="847"/>
    </row>
    <row r="353">
      <c r="A353" s="265"/>
      <c r="B353" s="268"/>
      <c r="C353" s="252"/>
      <c r="D353" s="822"/>
      <c r="F353" s="250"/>
      <c r="I353" s="847"/>
    </row>
    <row r="354">
      <c r="A354" s="265"/>
      <c r="B354" s="268"/>
      <c r="C354" s="252"/>
      <c r="D354" s="822"/>
      <c r="F354" s="250"/>
      <c r="I354" s="847"/>
    </row>
    <row r="355">
      <c r="A355" s="265"/>
      <c r="B355" s="268"/>
      <c r="C355" s="252"/>
      <c r="D355" s="822"/>
      <c r="F355" s="250"/>
      <c r="I355" s="847"/>
    </row>
    <row r="356">
      <c r="A356" s="265"/>
      <c r="B356" s="268"/>
      <c r="C356" s="252"/>
      <c r="D356" s="822"/>
      <c r="F356" s="250"/>
      <c r="I356" s="847"/>
    </row>
    <row r="357">
      <c r="A357" s="270"/>
      <c r="B357" s="271"/>
      <c r="C357" s="272"/>
      <c r="D357" s="823"/>
      <c r="E357" s="18"/>
      <c r="F357" s="274"/>
      <c r="G357" s="18"/>
      <c r="H357" s="18"/>
      <c r="I357" s="663"/>
    </row>
    <row r="358">
      <c r="A358" s="262"/>
      <c r="B358" s="306"/>
      <c r="C358" s="240"/>
      <c r="D358" s="824"/>
      <c r="E358" s="242"/>
      <c r="F358" s="243"/>
      <c r="G358" s="244"/>
      <c r="H358" s="244"/>
      <c r="I358" s="662"/>
    </row>
    <row r="359">
      <c r="A359" s="265"/>
      <c r="B359" s="268"/>
      <c r="C359" s="248"/>
      <c r="D359" s="331"/>
      <c r="F359" s="250"/>
      <c r="I359" s="847"/>
    </row>
    <row r="360">
      <c r="A360" s="265"/>
      <c r="B360" s="268"/>
      <c r="C360" s="252"/>
      <c r="D360" s="331"/>
      <c r="F360" s="250"/>
      <c r="I360" s="847"/>
    </row>
    <row r="361">
      <c r="A361" s="265"/>
      <c r="B361" s="268"/>
      <c r="C361" s="252"/>
      <c r="D361" s="822"/>
      <c r="F361" s="250"/>
      <c r="I361" s="847"/>
    </row>
    <row r="362">
      <c r="A362" s="265"/>
      <c r="B362" s="268"/>
      <c r="C362" s="248"/>
      <c r="D362" s="331"/>
      <c r="F362" s="250"/>
      <c r="I362" s="847"/>
    </row>
    <row r="363">
      <c r="A363" s="265"/>
      <c r="B363" s="268"/>
      <c r="C363" s="252"/>
      <c r="D363" s="331"/>
      <c r="F363" s="250"/>
      <c r="I363" s="847"/>
    </row>
    <row r="364">
      <c r="A364" s="265"/>
      <c r="B364" s="268"/>
      <c r="C364" s="252"/>
      <c r="D364" s="822"/>
      <c r="F364" s="250"/>
      <c r="I364" s="847"/>
    </row>
    <row r="365">
      <c r="A365" s="265"/>
      <c r="B365" s="268"/>
      <c r="C365" s="252"/>
      <c r="D365" s="331"/>
      <c r="F365" s="250"/>
      <c r="I365" s="847"/>
    </row>
    <row r="366">
      <c r="A366" s="265"/>
      <c r="B366" s="268"/>
      <c r="C366" s="252"/>
      <c r="D366" s="822"/>
      <c r="F366" s="250"/>
      <c r="I366" s="847"/>
    </row>
    <row r="367">
      <c r="A367" s="265"/>
      <c r="B367" s="268"/>
      <c r="C367" s="252"/>
      <c r="D367" s="822"/>
      <c r="F367" s="250"/>
      <c r="I367" s="847"/>
    </row>
    <row r="368">
      <c r="A368" s="265"/>
      <c r="B368" s="268"/>
      <c r="C368" s="252"/>
      <c r="D368" s="331"/>
      <c r="F368" s="250"/>
      <c r="I368" s="847"/>
    </row>
    <row r="369">
      <c r="A369" s="265"/>
      <c r="B369" s="268"/>
      <c r="C369" s="252"/>
      <c r="D369" s="822"/>
      <c r="F369" s="250"/>
      <c r="I369" s="847"/>
    </row>
    <row r="370">
      <c r="A370" s="270"/>
      <c r="B370" s="271"/>
      <c r="C370" s="272"/>
      <c r="D370" s="823"/>
      <c r="E370" s="18"/>
      <c r="F370" s="274"/>
      <c r="G370" s="18"/>
      <c r="H370" s="18"/>
      <c r="I370" s="663"/>
    </row>
    <row r="371">
      <c r="A371" s="262"/>
      <c r="B371" s="306"/>
      <c r="C371" s="263"/>
      <c r="D371" s="824"/>
      <c r="E371" s="242"/>
      <c r="F371" s="243"/>
      <c r="G371" s="244"/>
      <c r="H371" s="244"/>
      <c r="I371" s="662"/>
    </row>
    <row r="372">
      <c r="A372" s="265"/>
      <c r="B372" s="268"/>
      <c r="C372" s="248"/>
      <c r="D372" s="331"/>
      <c r="F372" s="250"/>
      <c r="I372" s="847"/>
    </row>
    <row r="373">
      <c r="A373" s="265"/>
      <c r="B373" s="268"/>
      <c r="C373" s="252"/>
      <c r="D373" s="822"/>
      <c r="F373" s="250"/>
      <c r="I373" s="847"/>
    </row>
    <row r="374">
      <c r="A374" s="265"/>
      <c r="B374" s="268"/>
      <c r="C374" s="252"/>
      <c r="D374" s="822"/>
      <c r="F374" s="250"/>
      <c r="I374" s="847"/>
    </row>
    <row r="375">
      <c r="A375" s="265"/>
      <c r="B375" s="268"/>
      <c r="C375" s="252"/>
      <c r="D375" s="331"/>
      <c r="F375" s="250"/>
      <c r="I375" s="847"/>
    </row>
    <row r="376">
      <c r="A376" s="265"/>
      <c r="B376" s="268"/>
      <c r="C376" s="252"/>
      <c r="D376" s="822"/>
      <c r="F376" s="250"/>
      <c r="I376" s="847"/>
    </row>
    <row r="377">
      <c r="A377" s="265"/>
      <c r="B377" s="268"/>
      <c r="C377" s="252"/>
      <c r="D377" s="822"/>
      <c r="F377" s="250"/>
      <c r="I377" s="847"/>
    </row>
    <row r="378">
      <c r="A378" s="265"/>
      <c r="B378" s="268"/>
      <c r="C378" s="252"/>
      <c r="D378" s="822"/>
      <c r="F378" s="250"/>
      <c r="I378" s="847"/>
    </row>
    <row r="379">
      <c r="A379" s="265"/>
      <c r="B379" s="268"/>
      <c r="C379" s="252"/>
      <c r="D379" s="822"/>
      <c r="F379" s="250"/>
      <c r="I379" s="847"/>
    </row>
    <row r="380">
      <c r="A380" s="265"/>
      <c r="B380" s="278"/>
      <c r="C380" s="252"/>
      <c r="D380" s="822"/>
      <c r="F380" s="282"/>
      <c r="I380" s="847"/>
    </row>
    <row r="381">
      <c r="A381" s="265"/>
      <c r="B381" s="278"/>
      <c r="C381" s="252"/>
      <c r="D381" s="822"/>
      <c r="F381" s="282"/>
      <c r="I381" s="847"/>
    </row>
    <row r="382">
      <c r="A382" s="270"/>
      <c r="B382" s="271"/>
      <c r="C382" s="272"/>
      <c r="D382" s="823"/>
      <c r="E382" s="18"/>
      <c r="F382" s="274"/>
      <c r="G382" s="18"/>
      <c r="H382" s="18"/>
      <c r="I382" s="663"/>
    </row>
    <row r="383">
      <c r="A383" s="305"/>
      <c r="B383" s="306"/>
      <c r="C383" s="240"/>
      <c r="D383" s="824"/>
      <c r="E383" s="242"/>
      <c r="F383" s="243"/>
      <c r="G383" s="244"/>
      <c r="H383" s="244"/>
      <c r="I383" s="662"/>
    </row>
    <row r="384">
      <c r="A384" s="265"/>
      <c r="B384" s="268"/>
      <c r="C384" s="252"/>
      <c r="D384" s="331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331"/>
      <c r="F386" s="250"/>
      <c r="I386" s="847"/>
    </row>
    <row r="387">
      <c r="A387" s="265"/>
      <c r="B387" s="268"/>
      <c r="C387" s="252"/>
      <c r="D387" s="822"/>
      <c r="F387" s="250"/>
      <c r="I387" s="847"/>
    </row>
    <row r="388">
      <c r="A388" s="265"/>
      <c r="B388" s="268"/>
      <c r="C388" s="252"/>
      <c r="D388" s="331"/>
      <c r="F388" s="250"/>
      <c r="I388" s="847"/>
    </row>
    <row r="389">
      <c r="A389" s="265"/>
      <c r="B389" s="268"/>
      <c r="C389" s="252"/>
      <c r="D389" s="822"/>
      <c r="F389" s="250"/>
      <c r="I389" s="847"/>
    </row>
    <row r="390">
      <c r="A390" s="265"/>
      <c r="B390" s="268"/>
      <c r="C390" s="252"/>
      <c r="D390" s="822"/>
      <c r="F390" s="250"/>
      <c r="I390" s="847"/>
    </row>
    <row r="391">
      <c r="A391" s="265"/>
      <c r="B391" s="268"/>
      <c r="C391" s="252"/>
      <c r="D391" s="822"/>
      <c r="F391" s="250"/>
      <c r="I391" s="847"/>
    </row>
    <row r="392">
      <c r="A392" s="265"/>
      <c r="B392" s="268"/>
      <c r="C392" s="252"/>
      <c r="D392" s="822"/>
      <c r="F392" s="250"/>
      <c r="I392" s="847"/>
    </row>
    <row r="393">
      <c r="A393" s="265"/>
      <c r="B393" s="268"/>
      <c r="C393" s="252"/>
      <c r="D393" s="822"/>
      <c r="F393" s="250"/>
      <c r="I393" s="847"/>
    </row>
    <row r="394">
      <c r="A394" s="270"/>
      <c r="B394" s="271"/>
      <c r="C394" s="272"/>
      <c r="D394" s="823"/>
      <c r="E394" s="18"/>
      <c r="F394" s="274"/>
      <c r="G394" s="18"/>
      <c r="H394" s="18"/>
      <c r="I394" s="663"/>
    </row>
    <row r="395">
      <c r="A395" s="305"/>
      <c r="B395" s="306"/>
      <c r="C395" s="240"/>
      <c r="D395" s="824"/>
      <c r="E395" s="242"/>
      <c r="F395" s="243"/>
      <c r="G395" s="244"/>
      <c r="H395" s="244"/>
      <c r="I395" s="662"/>
    </row>
    <row r="396">
      <c r="A396" s="265"/>
      <c r="B396" s="268"/>
      <c r="C396" s="252"/>
      <c r="D396" s="822"/>
      <c r="F396" s="250"/>
      <c r="H396" s="252"/>
      <c r="I396" s="847"/>
    </row>
    <row r="397">
      <c r="A397" s="265"/>
      <c r="B397" s="268"/>
      <c r="C397" s="252"/>
      <c r="D397" s="822"/>
      <c r="F397" s="250"/>
      <c r="H397" s="252"/>
      <c r="I397" s="847"/>
    </row>
    <row r="398">
      <c r="A398" s="265"/>
      <c r="B398" s="268"/>
      <c r="C398" s="252"/>
      <c r="D398" s="822"/>
      <c r="F398" s="250"/>
      <c r="H398" s="252"/>
      <c r="I398" s="847"/>
    </row>
    <row r="399">
      <c r="A399" s="265"/>
      <c r="B399" s="268"/>
      <c r="C399" s="252"/>
      <c r="D399" s="822"/>
      <c r="F399" s="250"/>
      <c r="H399" s="252"/>
      <c r="I399" s="847"/>
    </row>
    <row r="400">
      <c r="A400" s="265"/>
      <c r="B400" s="268"/>
      <c r="C400" s="252"/>
      <c r="D400" s="822"/>
      <c r="F400" s="250"/>
      <c r="I400" s="847"/>
    </row>
    <row r="401">
      <c r="A401" s="265"/>
      <c r="B401" s="268"/>
      <c r="C401" s="252"/>
      <c r="D401" s="822"/>
      <c r="F401" s="250"/>
      <c r="I401" s="847"/>
    </row>
    <row r="402">
      <c r="A402" s="265"/>
      <c r="B402" s="268"/>
      <c r="C402" s="252"/>
      <c r="D402" s="822"/>
      <c r="F402" s="250"/>
      <c r="I402" s="847"/>
    </row>
    <row r="403">
      <c r="A403" s="265"/>
      <c r="B403" s="268"/>
      <c r="C403" s="252"/>
      <c r="D403" s="822"/>
      <c r="F403" s="250"/>
      <c r="I403" s="847"/>
    </row>
    <row r="404">
      <c r="A404" s="270"/>
      <c r="B404" s="271"/>
      <c r="C404" s="272"/>
      <c r="D404" s="823"/>
      <c r="E404" s="18"/>
      <c r="F404" s="274"/>
      <c r="G404" s="18"/>
      <c r="H404" s="18"/>
      <c r="I404" s="663"/>
    </row>
    <row r="405">
      <c r="A405" s="305"/>
      <c r="B405" s="306"/>
      <c r="C405" s="240"/>
      <c r="D405" s="824"/>
      <c r="E405" s="242"/>
      <c r="F405" s="243"/>
      <c r="G405" s="244"/>
      <c r="H405" s="244"/>
      <c r="I405" s="662"/>
    </row>
    <row r="406">
      <c r="A406" s="265"/>
      <c r="B406" s="268"/>
      <c r="C406" s="252"/>
      <c r="D406" s="822"/>
      <c r="F406" s="250"/>
      <c r="I406" s="847"/>
    </row>
    <row r="407">
      <c r="A407" s="265"/>
      <c r="B407" s="268"/>
      <c r="C407" s="252"/>
      <c r="D407" s="822"/>
      <c r="F407" s="250"/>
      <c r="I407" s="847"/>
    </row>
    <row r="408">
      <c r="A408" s="265"/>
      <c r="B408" s="268"/>
      <c r="C408" s="252"/>
      <c r="D408" s="822"/>
      <c r="F408" s="250"/>
      <c r="I408" s="847"/>
    </row>
    <row r="409">
      <c r="A409" s="265"/>
      <c r="B409" s="268"/>
      <c r="C409" s="252"/>
      <c r="D409" s="822"/>
      <c r="F409" s="250"/>
      <c r="I409" s="847"/>
    </row>
    <row r="410">
      <c r="A410" s="265"/>
      <c r="B410" s="268"/>
      <c r="C410" s="252"/>
      <c r="D410" s="822"/>
      <c r="F410" s="250"/>
      <c r="I410" s="847"/>
    </row>
    <row r="411">
      <c r="A411" s="265"/>
      <c r="B411" s="268"/>
      <c r="C411" s="252"/>
      <c r="D411" s="822"/>
      <c r="F411" s="250"/>
      <c r="I411" s="847"/>
    </row>
    <row r="412">
      <c r="A412" s="265"/>
      <c r="B412" s="268"/>
      <c r="C412" s="252"/>
      <c r="D412" s="822"/>
      <c r="F412" s="250"/>
      <c r="I412" s="847"/>
    </row>
    <row r="413">
      <c r="A413" s="265"/>
      <c r="B413" s="268"/>
      <c r="C413" s="252"/>
      <c r="D413" s="822"/>
      <c r="F413" s="250"/>
      <c r="I413" s="847"/>
    </row>
    <row r="414">
      <c r="A414" s="270"/>
      <c r="B414" s="271"/>
      <c r="C414" s="272"/>
      <c r="D414" s="823"/>
      <c r="E414" s="18"/>
      <c r="F414" s="274"/>
      <c r="G414" s="18"/>
      <c r="H414" s="18"/>
      <c r="I414" s="663"/>
    </row>
    <row r="415">
      <c r="B415" s="306"/>
      <c r="C415" s="240"/>
      <c r="D415" s="824"/>
      <c r="E415" s="242"/>
      <c r="F415" s="243"/>
      <c r="G415" s="244"/>
      <c r="H415" s="244"/>
      <c r="I415" s="662"/>
    </row>
    <row r="416">
      <c r="B416" s="268"/>
      <c r="C416" s="252"/>
      <c r="D416" s="822"/>
      <c r="F416" s="250"/>
      <c r="I416" s="847"/>
    </row>
    <row r="417">
      <c r="B417" s="268"/>
      <c r="C417" s="252"/>
      <c r="D417" s="822"/>
      <c r="F417" s="250"/>
      <c r="I417" s="847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  <row r="697">
      <c r="B697" s="308"/>
      <c r="C697" s="252"/>
      <c r="D697" s="822"/>
      <c r="F697" s="309"/>
    </row>
    <row r="698">
      <c r="B698" s="308"/>
      <c r="C698" s="252"/>
      <c r="D698" s="822"/>
      <c r="F698" s="309"/>
    </row>
    <row r="699">
      <c r="B699" s="308"/>
      <c r="C699" s="252"/>
      <c r="D699" s="822"/>
      <c r="F699" s="309"/>
    </row>
    <row r="700">
      <c r="B700" s="308"/>
      <c r="C700" s="252"/>
      <c r="D700" s="822"/>
      <c r="F700" s="309"/>
    </row>
    <row r="701">
      <c r="B701" s="308"/>
      <c r="C701" s="252"/>
      <c r="D701" s="822"/>
      <c r="F701" s="309"/>
    </row>
    <row r="702">
      <c r="B702" s="308"/>
      <c r="C702" s="252"/>
      <c r="D702" s="822"/>
      <c r="F702" s="309"/>
    </row>
    <row r="703">
      <c r="B703" s="308"/>
      <c r="C703" s="252"/>
      <c r="D703" s="822"/>
      <c r="F703" s="309"/>
    </row>
    <row r="704">
      <c r="B704" s="308"/>
      <c r="C704" s="252"/>
      <c r="D704" s="822"/>
      <c r="F704" s="309"/>
    </row>
    <row r="705">
      <c r="B705" s="308"/>
      <c r="C705" s="252"/>
      <c r="D705" s="822"/>
      <c r="F705" s="309"/>
    </row>
    <row r="706">
      <c r="B706" s="308"/>
      <c r="C706" s="252"/>
      <c r="D706" s="822"/>
      <c r="F706" s="309"/>
    </row>
    <row r="707">
      <c r="B707" s="308"/>
      <c r="C707" s="252"/>
      <c r="D707" s="822"/>
      <c r="F707" s="309"/>
    </row>
    <row r="708">
      <c r="B708" s="308"/>
      <c r="C708" s="252"/>
      <c r="D708" s="822"/>
      <c r="F708" s="309"/>
    </row>
    <row r="709">
      <c r="B709" s="308"/>
      <c r="C709" s="252"/>
      <c r="D709" s="822"/>
      <c r="F709" s="309"/>
    </row>
    <row r="710">
      <c r="B710" s="308"/>
      <c r="C710" s="252"/>
      <c r="D710" s="822"/>
      <c r="F710" s="309"/>
    </row>
    <row r="711">
      <c r="B711" s="308"/>
      <c r="C711" s="252"/>
      <c r="D711" s="822"/>
      <c r="F711" s="309"/>
    </row>
    <row r="712">
      <c r="B712" s="308"/>
      <c r="C712" s="252"/>
      <c r="D712" s="822"/>
      <c r="F712" s="309"/>
    </row>
    <row r="713">
      <c r="B713" s="308"/>
      <c r="C713" s="252"/>
      <c r="D713" s="822"/>
      <c r="F713" s="309"/>
    </row>
    <row r="714">
      <c r="B714" s="308"/>
      <c r="C714" s="252"/>
      <c r="D714" s="822"/>
      <c r="F714" s="309"/>
    </row>
    <row r="715">
      <c r="B715" s="308"/>
      <c r="C715" s="252"/>
      <c r="D715" s="822"/>
      <c r="F715" s="309"/>
    </row>
    <row r="716">
      <c r="B716" s="308"/>
      <c r="C716" s="252"/>
      <c r="D716" s="822"/>
      <c r="F716" s="309"/>
    </row>
    <row r="717">
      <c r="B717" s="308"/>
      <c r="C717" s="252"/>
      <c r="D717" s="822"/>
      <c r="F717" s="309"/>
    </row>
    <row r="718">
      <c r="B718" s="308"/>
      <c r="C718" s="252"/>
      <c r="D718" s="822"/>
      <c r="F718" s="309"/>
    </row>
    <row r="719">
      <c r="B719" s="308"/>
      <c r="C719" s="252"/>
      <c r="D719" s="822"/>
      <c r="F719" s="309"/>
    </row>
    <row r="720">
      <c r="B720" s="308"/>
      <c r="C720" s="252"/>
      <c r="D720" s="822"/>
      <c r="F720" s="309"/>
    </row>
    <row r="721">
      <c r="B721" s="308"/>
      <c r="C721" s="252"/>
      <c r="D721" s="822"/>
      <c r="F721" s="309"/>
    </row>
    <row r="722">
      <c r="B722" s="308"/>
      <c r="C722" s="252"/>
      <c r="D722" s="822"/>
      <c r="F722" s="309"/>
    </row>
    <row r="723">
      <c r="B723" s="308"/>
      <c r="C723" s="252"/>
      <c r="D723" s="822"/>
      <c r="F723" s="309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98"/>
    <mergeCell ref="A99:A112"/>
    <mergeCell ref="A113:A128"/>
    <mergeCell ref="A129:A141"/>
    <mergeCell ref="A142:A156"/>
    <mergeCell ref="A157:A166"/>
    <mergeCell ref="A167:A181"/>
    <mergeCell ref="A182:A197"/>
    <mergeCell ref="A198:A212"/>
    <mergeCell ref="A213:A224"/>
    <mergeCell ref="A225:A235"/>
    <mergeCell ref="A236:A249"/>
    <mergeCell ref="A250:A264"/>
    <mergeCell ref="A358:A370"/>
    <mergeCell ref="A371:A382"/>
    <mergeCell ref="A383:A394"/>
    <mergeCell ref="A395:A404"/>
    <mergeCell ref="A405:A414"/>
    <mergeCell ref="A265:A277"/>
    <mergeCell ref="A278:A291"/>
    <mergeCell ref="A292:A306"/>
    <mergeCell ref="A307:A317"/>
    <mergeCell ref="A318:A328"/>
    <mergeCell ref="A329:A346"/>
    <mergeCell ref="A347:A3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668</v>
      </c>
      <c r="B2" s="268"/>
      <c r="C2" s="240"/>
      <c r="D2" s="824"/>
      <c r="E2" s="242"/>
      <c r="F2" s="243">
        <v>7600.0</v>
      </c>
      <c r="G2" s="2" t="s">
        <v>87</v>
      </c>
      <c r="H2" s="244"/>
      <c r="I2" s="662"/>
    </row>
    <row r="3">
      <c r="A3" s="265"/>
      <c r="B3" s="268"/>
      <c r="C3" s="252"/>
      <c r="D3" s="822"/>
      <c r="F3" s="250">
        <v>11337.0</v>
      </c>
      <c r="G3" s="2" t="s">
        <v>100</v>
      </c>
      <c r="I3" s="847"/>
    </row>
    <row r="4">
      <c r="A4" s="265"/>
      <c r="B4" s="268"/>
      <c r="C4" s="252"/>
      <c r="D4" s="822"/>
      <c r="F4" s="250">
        <v>1789.0</v>
      </c>
      <c r="G4" s="2" t="s">
        <v>708</v>
      </c>
      <c r="I4" s="847"/>
    </row>
    <row r="5">
      <c r="A5" s="265"/>
      <c r="B5" s="247"/>
      <c r="C5" s="248"/>
      <c r="D5" s="331"/>
      <c r="F5" s="250">
        <v>500.0</v>
      </c>
      <c r="G5" s="2" t="s">
        <v>3302</v>
      </c>
      <c r="I5" s="847"/>
    </row>
    <row r="6">
      <c r="A6" s="265"/>
      <c r="B6" s="247"/>
      <c r="C6" s="252"/>
      <c r="D6" s="822"/>
      <c r="F6" s="250">
        <v>360.0</v>
      </c>
      <c r="G6" s="2" t="s">
        <v>3303</v>
      </c>
      <c r="H6" s="838"/>
      <c r="I6" s="847"/>
    </row>
    <row r="7">
      <c r="A7" s="265"/>
      <c r="B7" s="247"/>
      <c r="C7" s="252"/>
      <c r="D7" s="822"/>
      <c r="F7" s="250"/>
      <c r="I7" s="847"/>
    </row>
    <row r="8">
      <c r="A8" s="265"/>
      <c r="B8" s="268"/>
      <c r="C8" s="252"/>
      <c r="D8" s="822"/>
      <c r="F8" s="250"/>
      <c r="I8" s="847"/>
    </row>
    <row r="9">
      <c r="A9" s="265"/>
      <c r="B9" s="268"/>
      <c r="C9" s="252"/>
      <c r="D9" s="822"/>
      <c r="F9" s="250"/>
      <c r="I9" s="847"/>
    </row>
    <row r="10">
      <c r="A10" s="265"/>
      <c r="B10" s="268"/>
      <c r="C10" s="252"/>
      <c r="D10" s="822"/>
      <c r="F10" s="250"/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673</v>
      </c>
      <c r="B12" s="268"/>
      <c r="C12" s="263"/>
      <c r="D12" s="821"/>
      <c r="E12" s="242"/>
      <c r="F12" s="243">
        <v>9625.68</v>
      </c>
      <c r="G12" s="244" t="s">
        <v>3183</v>
      </c>
      <c r="H12" s="244"/>
      <c r="I12" s="662"/>
    </row>
    <row r="13">
      <c r="A13" s="265"/>
      <c r="B13" s="247">
        <v>3498.87</v>
      </c>
      <c r="C13" s="248"/>
      <c r="D13" s="822"/>
      <c r="F13" s="250"/>
      <c r="G13" s="2" t="s">
        <v>82</v>
      </c>
      <c r="I13" s="847"/>
    </row>
    <row r="14">
      <c r="A14" s="265"/>
      <c r="B14" s="247">
        <v>20100.0</v>
      </c>
      <c r="C14" s="248"/>
      <c r="D14" s="331"/>
      <c r="F14" s="250"/>
      <c r="G14" s="2" t="s">
        <v>167</v>
      </c>
      <c r="I14" s="847"/>
    </row>
    <row r="15">
      <c r="A15" s="265"/>
      <c r="B15" s="247">
        <v>16000.0</v>
      </c>
      <c r="C15" s="252"/>
      <c r="D15" s="331"/>
      <c r="F15" s="250"/>
      <c r="G15" s="2" t="s">
        <v>3304</v>
      </c>
      <c r="I15" s="847"/>
    </row>
    <row r="16">
      <c r="A16" s="265"/>
      <c r="B16" s="268"/>
      <c r="C16" s="252"/>
      <c r="D16" s="331"/>
      <c r="F16" s="250">
        <v>500.0</v>
      </c>
      <c r="G16" s="2" t="s">
        <v>3305</v>
      </c>
      <c r="I16" s="847"/>
    </row>
    <row r="17">
      <c r="A17" s="265"/>
      <c r="B17" s="268"/>
      <c r="C17" s="252"/>
      <c r="D17" s="331"/>
      <c r="F17" s="250"/>
      <c r="I17" s="847"/>
    </row>
    <row r="18">
      <c r="A18" s="265"/>
      <c r="B18" s="247"/>
      <c r="C18" s="252"/>
      <c r="D18" s="822"/>
      <c r="F18" s="250"/>
      <c r="I18" s="847"/>
    </row>
    <row r="19">
      <c r="A19" s="265"/>
      <c r="B19" s="268"/>
      <c r="C19" s="252"/>
      <c r="D19" s="331"/>
      <c r="F19" s="250"/>
      <c r="I19" s="847"/>
    </row>
    <row r="20">
      <c r="A20" s="265"/>
      <c r="B20" s="247"/>
      <c r="C20" s="252"/>
      <c r="D20" s="822"/>
      <c r="F20" s="250"/>
      <c r="I20" s="847"/>
    </row>
    <row r="21">
      <c r="A21" s="265"/>
      <c r="B21" s="278"/>
      <c r="C21" s="252"/>
      <c r="D21" s="822"/>
      <c r="F21" s="250"/>
      <c r="I21" s="847"/>
    </row>
    <row r="22">
      <c r="A22" s="265"/>
      <c r="B22" s="278"/>
      <c r="C22" s="252"/>
      <c r="D22" s="822"/>
      <c r="F22" s="250"/>
      <c r="I22" s="847"/>
    </row>
    <row r="23">
      <c r="A23" s="265"/>
      <c r="B23" s="278"/>
      <c r="C23" s="252"/>
      <c r="D23" s="822"/>
      <c r="F23" s="250"/>
      <c r="I23" s="847"/>
    </row>
    <row r="24">
      <c r="A24" s="270"/>
      <c r="B24" s="271"/>
      <c r="C24" s="272"/>
      <c r="D24" s="823"/>
      <c r="E24" s="18"/>
      <c r="F24" s="274"/>
      <c r="G24" s="18"/>
      <c r="H24" s="18"/>
      <c r="I24" s="663"/>
    </row>
    <row r="25">
      <c r="A25" s="262" t="s">
        <v>675</v>
      </c>
      <c r="B25" s="306"/>
      <c r="C25" s="263"/>
      <c r="D25" s="824"/>
      <c r="E25" s="242"/>
      <c r="F25" s="243">
        <v>10705.0</v>
      </c>
      <c r="G25" s="244" t="s">
        <v>74</v>
      </c>
      <c r="H25" s="244"/>
      <c r="I25" s="662"/>
    </row>
    <row r="26">
      <c r="A26" s="265"/>
      <c r="B26" s="268"/>
      <c r="C26" s="252"/>
      <c r="D26" s="822"/>
      <c r="F26" s="250">
        <v>360.0</v>
      </c>
      <c r="G26" s="2" t="s">
        <v>530</v>
      </c>
      <c r="I26" s="847"/>
    </row>
    <row r="27">
      <c r="A27" s="265"/>
      <c r="B27" s="268"/>
      <c r="C27" s="252"/>
      <c r="D27" s="822"/>
      <c r="F27" s="250">
        <v>790.0</v>
      </c>
      <c r="G27" s="2" t="s">
        <v>215</v>
      </c>
      <c r="I27" s="847"/>
    </row>
    <row r="28">
      <c r="A28" s="265"/>
      <c r="B28" s="268"/>
      <c r="C28" s="252"/>
      <c r="D28" s="822"/>
      <c r="F28" s="250">
        <v>460.0</v>
      </c>
      <c r="G28" s="2" t="s">
        <v>3306</v>
      </c>
      <c r="I28" s="847"/>
    </row>
    <row r="29">
      <c r="A29" s="265"/>
      <c r="B29" s="268"/>
      <c r="C29" s="248"/>
      <c r="D29" s="822"/>
      <c r="F29" s="250">
        <v>500.0</v>
      </c>
      <c r="G29" s="2" t="s">
        <v>3305</v>
      </c>
      <c r="I29" s="847"/>
    </row>
    <row r="30">
      <c r="A30" s="265"/>
      <c r="B30" s="268"/>
      <c r="C30" s="252"/>
      <c r="D30" s="822"/>
      <c r="F30" s="250"/>
      <c r="I30" s="847"/>
    </row>
    <row r="31">
      <c r="A31" s="265"/>
      <c r="B31" s="268"/>
      <c r="C31" s="252"/>
      <c r="D31" s="822"/>
      <c r="F31" s="250"/>
      <c r="I31" s="847"/>
    </row>
    <row r="32">
      <c r="A32" s="265"/>
      <c r="B32" s="268"/>
      <c r="C32" s="252"/>
      <c r="D32" s="331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65"/>
      <c r="B34" s="268"/>
      <c r="C34" s="252"/>
      <c r="D34" s="822"/>
      <c r="F34" s="250"/>
      <c r="I34" s="847"/>
    </row>
    <row r="35">
      <c r="A35" s="265"/>
      <c r="B35" s="268"/>
      <c r="C35" s="252"/>
      <c r="D35" s="822"/>
      <c r="F35" s="250"/>
      <c r="I35" s="847"/>
    </row>
    <row r="36">
      <c r="A36" s="265"/>
      <c r="B36" s="268"/>
      <c r="C36" s="252"/>
      <c r="D36" s="822"/>
      <c r="F36" s="250"/>
      <c r="I36" s="847"/>
    </row>
    <row r="37">
      <c r="A37" s="270"/>
      <c r="B37" s="271"/>
      <c r="C37" s="272"/>
      <c r="D37" s="823"/>
      <c r="E37" s="18"/>
      <c r="F37" s="274"/>
      <c r="G37" s="18"/>
      <c r="H37" s="18"/>
      <c r="I37" s="663"/>
    </row>
    <row r="38">
      <c r="A38" s="262" t="s">
        <v>676</v>
      </c>
      <c r="B38" s="239">
        <v>3974.94</v>
      </c>
      <c r="C38" s="240"/>
      <c r="D38" s="824"/>
      <c r="E38" s="242"/>
      <c r="F38" s="243"/>
      <c r="G38" s="244" t="s">
        <v>82</v>
      </c>
      <c r="H38" s="244"/>
      <c r="I38" s="662"/>
    </row>
    <row r="39">
      <c r="A39" s="265"/>
      <c r="B39" s="268"/>
      <c r="C39" s="252"/>
      <c r="D39" s="822"/>
      <c r="F39" s="250">
        <v>5250.0</v>
      </c>
      <c r="G39" s="2" t="s">
        <v>87</v>
      </c>
      <c r="I39" s="847"/>
    </row>
    <row r="40">
      <c r="A40" s="265"/>
      <c r="B40" s="268"/>
      <c r="C40" s="248"/>
      <c r="D40" s="822"/>
      <c r="F40" s="250">
        <v>1868.0</v>
      </c>
      <c r="G40" s="2" t="s">
        <v>215</v>
      </c>
      <c r="I40" s="847"/>
    </row>
    <row r="41">
      <c r="A41" s="265"/>
      <c r="B41" s="268"/>
      <c r="C41" s="252"/>
      <c r="D41" s="822"/>
      <c r="F41" s="250">
        <v>3915.0</v>
      </c>
      <c r="G41" s="2" t="s">
        <v>3130</v>
      </c>
      <c r="I41" s="847"/>
    </row>
    <row r="42">
      <c r="A42" s="265"/>
      <c r="B42" s="247"/>
      <c r="C42" s="252"/>
      <c r="D42" s="822"/>
      <c r="F42" s="250">
        <v>7400.0</v>
      </c>
      <c r="G42" s="2" t="s">
        <v>3307</v>
      </c>
      <c r="H42" s="252"/>
      <c r="I42" s="847"/>
    </row>
    <row r="43">
      <c r="A43" s="265"/>
      <c r="B43" s="268"/>
      <c r="C43" s="252"/>
      <c r="D43" s="822"/>
      <c r="F43" s="250">
        <v>82.0</v>
      </c>
      <c r="G43" s="2" t="s">
        <v>3308</v>
      </c>
      <c r="I43" s="847"/>
    </row>
    <row r="44">
      <c r="A44" s="265"/>
      <c r="B44" s="268"/>
      <c r="C44" s="248"/>
      <c r="D44" s="822"/>
      <c r="F44" s="250"/>
      <c r="I44" s="847"/>
    </row>
    <row r="45">
      <c r="A45" s="265"/>
      <c r="B45" s="268"/>
      <c r="C45" s="252"/>
      <c r="D45" s="822"/>
      <c r="F45" s="250"/>
      <c r="I45" s="847"/>
    </row>
    <row r="46">
      <c r="A46" s="265"/>
      <c r="B46" s="268"/>
      <c r="C46" s="248"/>
      <c r="D46" s="822"/>
      <c r="F46" s="250"/>
      <c r="I46" s="847"/>
    </row>
    <row r="47">
      <c r="A47" s="265"/>
      <c r="B47" s="278"/>
      <c r="C47" s="252"/>
      <c r="D47" s="822"/>
      <c r="F47" s="250"/>
      <c r="I47" s="847"/>
    </row>
    <row r="48">
      <c r="A48" s="265"/>
      <c r="B48" s="278"/>
      <c r="C48" s="252"/>
      <c r="D48" s="822"/>
      <c r="F48" s="250"/>
      <c r="I48" s="847"/>
    </row>
    <row r="49">
      <c r="A49" s="270"/>
      <c r="B49" s="271"/>
      <c r="C49" s="272"/>
      <c r="D49" s="823"/>
      <c r="E49" s="18"/>
      <c r="F49" s="259"/>
      <c r="G49" s="293"/>
      <c r="H49" s="18"/>
      <c r="I49" s="663"/>
    </row>
    <row r="50">
      <c r="A50" s="437"/>
      <c r="B50" s="278"/>
      <c r="C50" s="252"/>
      <c r="D50" s="822"/>
      <c r="F50" s="250"/>
      <c r="I50" s="847"/>
    </row>
    <row r="51">
      <c r="A51" s="437"/>
      <c r="B51" s="278"/>
      <c r="C51" s="252"/>
      <c r="D51" s="822"/>
      <c r="F51" s="250"/>
      <c r="I51" s="847"/>
    </row>
    <row r="52">
      <c r="A52" s="262" t="s">
        <v>679</v>
      </c>
      <c r="B52" s="306"/>
      <c r="C52" s="263"/>
      <c r="D52" s="824"/>
      <c r="E52" s="242"/>
      <c r="F52" s="243">
        <v>478.0</v>
      </c>
      <c r="G52" s="244"/>
      <c r="H52" s="244"/>
      <c r="I52" s="662"/>
    </row>
    <row r="53">
      <c r="A53" s="265"/>
      <c r="B53" s="268"/>
      <c r="C53" s="252"/>
      <c r="D53" s="822"/>
      <c r="F53" s="250">
        <v>500.0</v>
      </c>
      <c r="G53" s="2" t="s">
        <v>3305</v>
      </c>
      <c r="I53" s="847"/>
    </row>
    <row r="54">
      <c r="A54" s="265"/>
      <c r="B54" s="247"/>
      <c r="C54" s="248"/>
      <c r="D54" s="331"/>
      <c r="F54" s="250"/>
      <c r="I54" s="847"/>
    </row>
    <row r="55">
      <c r="A55" s="265"/>
      <c r="B55" s="268"/>
      <c r="C55" s="252"/>
      <c r="D55" s="822"/>
      <c r="F55" s="250"/>
      <c r="I55" s="847"/>
    </row>
    <row r="56">
      <c r="A56" s="265"/>
      <c r="B56" s="247"/>
      <c r="C56" s="252"/>
      <c r="D56" s="822"/>
      <c r="F56" s="250"/>
      <c r="I56" s="847"/>
    </row>
    <row r="57">
      <c r="A57" s="265"/>
      <c r="B57" s="247"/>
      <c r="C57" s="252"/>
      <c r="D57" s="822"/>
      <c r="F57" s="250"/>
      <c r="I57" s="847"/>
    </row>
    <row r="58">
      <c r="A58" s="265"/>
      <c r="B58" s="247"/>
      <c r="C58" s="248"/>
      <c r="D58" s="822"/>
      <c r="F58" s="250"/>
      <c r="I58" s="847"/>
    </row>
    <row r="59">
      <c r="A59" s="265"/>
      <c r="B59" s="268"/>
      <c r="C59" s="252"/>
      <c r="D59" s="822"/>
      <c r="F59" s="250"/>
      <c r="I59" s="847"/>
    </row>
    <row r="60">
      <c r="A60" s="265"/>
      <c r="B60" s="268"/>
      <c r="C60" s="252"/>
      <c r="D60" s="822"/>
      <c r="F60" s="250"/>
      <c r="I60" s="847"/>
    </row>
    <row r="61">
      <c r="A61" s="270"/>
      <c r="B61" s="271"/>
      <c r="C61" s="272"/>
      <c r="D61" s="823"/>
      <c r="E61" s="18"/>
      <c r="F61" s="274"/>
      <c r="G61" s="18"/>
      <c r="H61" s="18"/>
      <c r="I61" s="663"/>
    </row>
    <row r="62">
      <c r="A62" s="262" t="s">
        <v>680</v>
      </c>
      <c r="B62" s="306"/>
      <c r="C62" s="240"/>
      <c r="D62" s="824"/>
      <c r="E62" s="242"/>
      <c r="F62" s="243">
        <v>780.0</v>
      </c>
      <c r="G62" s="244" t="s">
        <v>3271</v>
      </c>
      <c r="H62" s="244"/>
      <c r="I62" s="662"/>
    </row>
    <row r="63">
      <c r="A63" s="265"/>
      <c r="B63" s="268"/>
      <c r="C63" s="252"/>
      <c r="D63" s="822"/>
      <c r="F63" s="250">
        <v>1350.0</v>
      </c>
      <c r="G63" s="2" t="s">
        <v>708</v>
      </c>
      <c r="I63" s="847"/>
    </row>
    <row r="64">
      <c r="A64" s="265"/>
      <c r="B64" s="247">
        <v>2820.0</v>
      </c>
      <c r="C64" s="252"/>
      <c r="D64" s="822"/>
      <c r="F64" s="250"/>
      <c r="G64" s="2" t="s">
        <v>82</v>
      </c>
      <c r="I64" s="847"/>
    </row>
    <row r="65">
      <c r="A65" s="265"/>
      <c r="B65" s="247"/>
      <c r="C65" s="252"/>
      <c r="D65" s="822"/>
      <c r="F65" s="250">
        <v>3800.0</v>
      </c>
      <c r="G65" s="2" t="s">
        <v>87</v>
      </c>
      <c r="I65" s="847"/>
    </row>
    <row r="66">
      <c r="A66" s="265"/>
      <c r="B66" s="247"/>
      <c r="C66" s="248"/>
      <c r="D66" s="822"/>
      <c r="F66" s="250">
        <v>3200.0</v>
      </c>
      <c r="G66" s="2" t="s">
        <v>3003</v>
      </c>
      <c r="I66" s="847"/>
    </row>
    <row r="67">
      <c r="A67" s="265"/>
      <c r="B67" s="247">
        <v>1800.0</v>
      </c>
      <c r="C67" s="252"/>
      <c r="D67" s="822"/>
      <c r="F67" s="250"/>
      <c r="G67" s="2" t="s">
        <v>352</v>
      </c>
      <c r="I67" s="847"/>
    </row>
    <row r="68">
      <c r="A68" s="265"/>
      <c r="B68" s="268"/>
      <c r="C68" s="252"/>
      <c r="D68" s="822"/>
      <c r="F68" s="250">
        <v>2427.0</v>
      </c>
      <c r="G68" s="2" t="s">
        <v>103</v>
      </c>
      <c r="I68" s="847"/>
    </row>
    <row r="69">
      <c r="A69" s="265"/>
      <c r="B69" s="247">
        <v>1330.0</v>
      </c>
      <c r="C69" s="252"/>
      <c r="D69" s="822"/>
      <c r="F69" s="250"/>
      <c r="G69" s="2" t="s">
        <v>3014</v>
      </c>
      <c r="I69" s="847"/>
    </row>
    <row r="70">
      <c r="A70" s="265"/>
      <c r="B70" s="268"/>
      <c r="C70" s="248"/>
      <c r="D70" s="822"/>
      <c r="F70" s="250">
        <v>500.0</v>
      </c>
      <c r="G70" s="2" t="s">
        <v>3305</v>
      </c>
      <c r="I70" s="847"/>
    </row>
    <row r="71">
      <c r="A71" s="265"/>
      <c r="B71" s="268"/>
      <c r="C71" s="252"/>
      <c r="D71" s="331"/>
      <c r="F71" s="250"/>
      <c r="I71" s="847"/>
    </row>
    <row r="72">
      <c r="A72" s="265"/>
      <c r="B72" s="278"/>
      <c r="C72" s="252"/>
      <c r="D72" s="822"/>
      <c r="F72" s="282"/>
      <c r="I72" s="847"/>
    </row>
    <row r="73">
      <c r="A73" s="270"/>
      <c r="B73" s="271"/>
      <c r="C73" s="272"/>
      <c r="D73" s="823"/>
      <c r="E73" s="18"/>
      <c r="F73" s="274"/>
      <c r="G73" s="18"/>
      <c r="H73" s="18"/>
      <c r="I73" s="663"/>
    </row>
    <row r="74">
      <c r="A74" s="262" t="s">
        <v>686</v>
      </c>
      <c r="B74" s="306"/>
      <c r="C74" s="263"/>
      <c r="D74" s="824"/>
      <c r="E74" s="242"/>
      <c r="F74" s="243">
        <v>10785.0</v>
      </c>
      <c r="G74" s="244" t="s">
        <v>3309</v>
      </c>
      <c r="H74" s="244"/>
      <c r="I74" s="662"/>
    </row>
    <row r="75">
      <c r="A75" s="265"/>
      <c r="B75" s="268"/>
      <c r="C75" s="248"/>
      <c r="D75" s="822"/>
      <c r="F75" s="250">
        <v>828.0</v>
      </c>
      <c r="G75" s="2" t="s">
        <v>314</v>
      </c>
      <c r="I75" s="847"/>
    </row>
    <row r="76">
      <c r="A76" s="265"/>
      <c r="B76" s="247"/>
      <c r="C76" s="252"/>
      <c r="D76" s="822"/>
      <c r="F76" s="250">
        <v>180.0</v>
      </c>
      <c r="G76" s="2" t="s">
        <v>3310</v>
      </c>
      <c r="H76" s="840"/>
      <c r="I76" s="847"/>
    </row>
    <row r="77">
      <c r="A77" s="265"/>
      <c r="B77" s="268"/>
      <c r="C77" s="252"/>
      <c r="D77" s="822"/>
      <c r="F77" s="250">
        <v>300.0</v>
      </c>
      <c r="G77" s="2" t="s">
        <v>3311</v>
      </c>
      <c r="I77" s="847"/>
    </row>
    <row r="78">
      <c r="A78" s="265"/>
      <c r="B78" s="268"/>
      <c r="C78" s="248">
        <v>34221.87</v>
      </c>
      <c r="D78" s="822"/>
      <c r="F78" s="250"/>
      <c r="G78" s="2" t="s">
        <v>2637</v>
      </c>
      <c r="I78" s="847"/>
    </row>
    <row r="79">
      <c r="A79" s="265"/>
      <c r="B79" s="268"/>
      <c r="C79" s="248"/>
      <c r="D79" s="822"/>
      <c r="F79" s="250">
        <v>2350.0</v>
      </c>
      <c r="G79" s="2" t="s">
        <v>275</v>
      </c>
      <c r="I79" s="847"/>
    </row>
    <row r="80">
      <c r="A80" s="265"/>
      <c r="B80" s="268"/>
      <c r="C80" s="252"/>
      <c r="D80" s="822"/>
      <c r="F80" s="250">
        <v>6560.0</v>
      </c>
      <c r="G80" s="2" t="s">
        <v>76</v>
      </c>
      <c r="I80" s="847"/>
    </row>
    <row r="81">
      <c r="A81" s="265"/>
      <c r="B81" s="247"/>
      <c r="C81" s="252"/>
      <c r="D81" s="822"/>
      <c r="F81" s="250">
        <v>8400.0</v>
      </c>
      <c r="G81" s="2" t="s">
        <v>3312</v>
      </c>
      <c r="I81" s="847"/>
    </row>
    <row r="82">
      <c r="A82" s="265"/>
      <c r="B82" s="268"/>
      <c r="C82" s="252"/>
      <c r="D82" s="822"/>
      <c r="F82" s="250">
        <v>500.0</v>
      </c>
      <c r="G82" s="2" t="s">
        <v>3305</v>
      </c>
      <c r="I82" s="847"/>
    </row>
    <row r="83">
      <c r="A83" s="265"/>
      <c r="B83" s="278"/>
      <c r="C83" s="252"/>
      <c r="D83" s="822"/>
      <c r="F83" s="250"/>
      <c r="I83" s="847"/>
    </row>
    <row r="84">
      <c r="A84" s="265"/>
      <c r="B84" s="278"/>
      <c r="C84" s="252"/>
      <c r="D84" s="822"/>
      <c r="F84" s="250"/>
      <c r="H84" s="838"/>
      <c r="I84" s="847"/>
    </row>
    <row r="85">
      <c r="A85" s="270"/>
      <c r="B85" s="271"/>
      <c r="C85" s="272"/>
      <c r="D85" s="823"/>
      <c r="E85" s="18"/>
      <c r="F85" s="274"/>
      <c r="G85" s="18"/>
      <c r="H85" s="18"/>
      <c r="I85" s="663"/>
    </row>
    <row r="86">
      <c r="A86" s="262" t="s">
        <v>688</v>
      </c>
      <c r="B86" s="306"/>
      <c r="C86" s="263"/>
      <c r="D86" s="824"/>
      <c r="E86" s="242"/>
      <c r="F86" s="243">
        <v>6464.0</v>
      </c>
      <c r="G86" s="244" t="s">
        <v>3183</v>
      </c>
      <c r="H86" s="244"/>
      <c r="I86" s="662"/>
    </row>
    <row r="87">
      <c r="A87" s="265"/>
      <c r="B87" s="247">
        <v>2671.0</v>
      </c>
      <c r="C87" s="248"/>
      <c r="D87" s="822"/>
      <c r="F87" s="250"/>
      <c r="G87" s="2" t="s">
        <v>58</v>
      </c>
      <c r="I87" s="847"/>
    </row>
    <row r="88">
      <c r="A88" s="265"/>
      <c r="B88" s="268"/>
      <c r="C88" s="248"/>
      <c r="D88" s="822"/>
      <c r="F88" s="250">
        <v>7600.0</v>
      </c>
      <c r="G88" s="2" t="s">
        <v>87</v>
      </c>
      <c r="I88" s="847"/>
    </row>
    <row r="89">
      <c r="A89" s="265"/>
      <c r="B89" s="268"/>
      <c r="C89" s="248"/>
      <c r="D89" s="822"/>
      <c r="F89" s="250">
        <v>588.0</v>
      </c>
      <c r="G89" s="2" t="s">
        <v>215</v>
      </c>
      <c r="I89" s="847"/>
    </row>
    <row r="90">
      <c r="A90" s="265"/>
      <c r="B90" s="247">
        <v>2260.0</v>
      </c>
      <c r="C90" s="252"/>
      <c r="D90" s="822"/>
      <c r="F90" s="250"/>
      <c r="G90" s="2" t="s">
        <v>3313</v>
      </c>
      <c r="I90" s="847"/>
    </row>
    <row r="91">
      <c r="A91" s="265"/>
      <c r="B91" s="247">
        <v>1428.5</v>
      </c>
      <c r="C91" s="252"/>
      <c r="D91" s="331"/>
      <c r="F91" s="250"/>
      <c r="G91" s="2" t="s">
        <v>3314</v>
      </c>
      <c r="I91" s="847"/>
    </row>
    <row r="92">
      <c r="A92" s="265"/>
      <c r="B92" s="247"/>
      <c r="C92" s="252"/>
      <c r="D92" s="331">
        <v>17924.9</v>
      </c>
      <c r="F92" s="250"/>
      <c r="G92" s="2" t="s">
        <v>188</v>
      </c>
      <c r="I92" s="847"/>
    </row>
    <row r="93">
      <c r="A93" s="265"/>
      <c r="B93" s="268"/>
      <c r="C93" s="252"/>
      <c r="D93" s="331">
        <v>8121.7</v>
      </c>
      <c r="F93" s="250"/>
      <c r="G93" s="2" t="s">
        <v>2819</v>
      </c>
      <c r="I93" s="847"/>
    </row>
    <row r="94">
      <c r="A94" s="265"/>
      <c r="B94" s="247"/>
      <c r="C94" s="252"/>
      <c r="D94" s="822"/>
      <c r="F94" s="250"/>
      <c r="I94" s="847"/>
    </row>
    <row r="95">
      <c r="A95" s="265"/>
      <c r="B95" s="268"/>
      <c r="C95" s="252"/>
      <c r="D95" s="822"/>
      <c r="F95" s="250"/>
      <c r="I95" s="847"/>
    </row>
    <row r="96">
      <c r="A96" s="265"/>
      <c r="B96" s="268"/>
      <c r="C96" s="252"/>
      <c r="D96" s="822"/>
      <c r="F96" s="250"/>
      <c r="I96" s="847"/>
    </row>
    <row r="97">
      <c r="A97" s="265"/>
      <c r="B97" s="268"/>
      <c r="C97" s="252"/>
      <c r="D97" s="822"/>
      <c r="F97" s="250"/>
      <c r="I97" s="847"/>
    </row>
    <row r="98">
      <c r="A98" s="270"/>
      <c r="B98" s="271"/>
      <c r="C98" s="272"/>
      <c r="D98" s="823"/>
      <c r="E98" s="18"/>
      <c r="F98" s="274"/>
      <c r="G98" s="18"/>
      <c r="H98" s="18"/>
      <c r="I98" s="663"/>
    </row>
    <row r="99">
      <c r="A99" s="262" t="s">
        <v>692</v>
      </c>
      <c r="B99" s="306"/>
      <c r="C99" s="263"/>
      <c r="D99" s="821"/>
      <c r="E99" s="242"/>
      <c r="F99" s="250">
        <v>11416.0</v>
      </c>
      <c r="G99" s="244" t="s">
        <v>91</v>
      </c>
      <c r="H99" s="244"/>
      <c r="I99" s="662"/>
    </row>
    <row r="100">
      <c r="A100" s="265"/>
      <c r="B100" s="268"/>
      <c r="C100" s="252"/>
      <c r="D100" s="822"/>
      <c r="F100" s="250">
        <v>1600.0</v>
      </c>
      <c r="G100" s="2" t="s">
        <v>344</v>
      </c>
      <c r="I100" s="847"/>
    </row>
    <row r="101">
      <c r="A101" s="265"/>
      <c r="B101" s="268"/>
      <c r="C101" s="248">
        <v>11784.63</v>
      </c>
      <c r="D101" s="822"/>
      <c r="F101" s="250"/>
      <c r="G101" s="2" t="s">
        <v>84</v>
      </c>
      <c r="I101" s="847"/>
    </row>
    <row r="102">
      <c r="A102" s="265"/>
      <c r="B102" s="268"/>
      <c r="C102" s="248"/>
      <c r="D102" s="822"/>
      <c r="F102" s="250"/>
      <c r="G102" s="2" t="s">
        <v>228</v>
      </c>
      <c r="I102" s="847"/>
    </row>
    <row r="103">
      <c r="A103" s="265"/>
      <c r="B103" s="268"/>
      <c r="C103" s="252"/>
      <c r="D103" s="822"/>
      <c r="F103" s="250"/>
      <c r="I103" s="847"/>
    </row>
    <row r="104">
      <c r="A104" s="265"/>
      <c r="B104" s="268"/>
      <c r="C104" s="252"/>
      <c r="D104" s="822"/>
      <c r="F104" s="250"/>
      <c r="I104" s="847"/>
    </row>
    <row r="105">
      <c r="A105" s="265"/>
      <c r="B105" s="268"/>
      <c r="C105" s="252"/>
      <c r="D105" s="331"/>
      <c r="F105" s="250"/>
      <c r="I105" s="847"/>
    </row>
    <row r="106">
      <c r="A106" s="265"/>
      <c r="B106" s="247"/>
      <c r="C106" s="252"/>
      <c r="D106" s="822"/>
      <c r="F106" s="250"/>
      <c r="I106" s="847"/>
    </row>
    <row r="107">
      <c r="A107" s="265"/>
      <c r="B107" s="247"/>
      <c r="C107" s="252"/>
      <c r="D107" s="822"/>
      <c r="F107" s="250"/>
      <c r="I107" s="847"/>
    </row>
    <row r="108">
      <c r="A108" s="265"/>
      <c r="B108" s="268"/>
      <c r="C108" s="252"/>
      <c r="D108" s="822"/>
      <c r="F108" s="250"/>
      <c r="I108" s="847"/>
    </row>
    <row r="109">
      <c r="A109" s="265"/>
      <c r="B109" s="278"/>
      <c r="C109" s="248"/>
      <c r="D109" s="822"/>
      <c r="F109" s="282"/>
      <c r="I109" s="847"/>
    </row>
    <row r="110">
      <c r="A110" s="265"/>
      <c r="B110" s="278"/>
      <c r="C110" s="252"/>
      <c r="D110" s="822"/>
      <c r="F110" s="250"/>
      <c r="I110" s="847"/>
    </row>
    <row r="111">
      <c r="A111" s="265"/>
      <c r="B111" s="278"/>
      <c r="C111" s="252"/>
      <c r="D111" s="822"/>
      <c r="F111" s="282"/>
      <c r="I111" s="847"/>
    </row>
    <row r="112">
      <c r="A112" s="270"/>
      <c r="B112" s="271"/>
      <c r="C112" s="272"/>
      <c r="D112" s="823"/>
      <c r="E112" s="18"/>
      <c r="F112" s="274"/>
      <c r="G112" s="18"/>
      <c r="H112" s="18"/>
      <c r="I112" s="663"/>
    </row>
    <row r="113">
      <c r="A113" s="262" t="s">
        <v>697</v>
      </c>
      <c r="B113" s="239">
        <v>3785.0</v>
      </c>
      <c r="C113" s="263"/>
      <c r="D113" s="821"/>
      <c r="E113" s="242"/>
      <c r="F113" s="243"/>
      <c r="G113" s="244" t="s">
        <v>82</v>
      </c>
      <c r="H113" s="244"/>
      <c r="I113" s="662"/>
    </row>
    <row r="114">
      <c r="A114" s="265"/>
      <c r="B114" s="247"/>
      <c r="C114" s="252"/>
      <c r="D114" s="331"/>
      <c r="F114" s="250">
        <v>226.0</v>
      </c>
      <c r="G114" s="2" t="s">
        <v>3315</v>
      </c>
      <c r="I114" s="847"/>
    </row>
    <row r="115">
      <c r="A115" s="265"/>
      <c r="B115" s="247"/>
      <c r="C115" s="252"/>
      <c r="D115" s="331"/>
      <c r="F115" s="250">
        <v>1500.0</v>
      </c>
      <c r="G115" s="2" t="s">
        <v>3316</v>
      </c>
      <c r="I115" s="847"/>
    </row>
    <row r="116">
      <c r="A116" s="265"/>
      <c r="B116" s="268"/>
      <c r="C116" s="248">
        <v>5182.9</v>
      </c>
      <c r="D116" s="822"/>
      <c r="F116" s="250"/>
      <c r="G116" s="2" t="s">
        <v>71</v>
      </c>
      <c r="I116" s="847"/>
    </row>
    <row r="117">
      <c r="A117" s="265"/>
      <c r="B117" s="268"/>
      <c r="C117" s="252"/>
      <c r="D117" s="331"/>
      <c r="F117" s="250">
        <v>500.0</v>
      </c>
      <c r="G117" s="2" t="s">
        <v>3305</v>
      </c>
      <c r="I117" s="847"/>
    </row>
    <row r="118">
      <c r="A118" s="265"/>
      <c r="B118" s="247">
        <v>2750.0</v>
      </c>
      <c r="C118" s="252"/>
      <c r="D118" s="822"/>
      <c r="F118" s="250"/>
      <c r="G118" s="2" t="s">
        <v>3317</v>
      </c>
      <c r="I118" s="847"/>
    </row>
    <row r="119">
      <c r="A119" s="265"/>
      <c r="B119" s="268"/>
      <c r="C119" s="252"/>
      <c r="D119" s="822"/>
      <c r="F119" s="250">
        <v>1400.0</v>
      </c>
      <c r="G119" s="2" t="s">
        <v>150</v>
      </c>
      <c r="I119" s="847"/>
    </row>
    <row r="120">
      <c r="A120" s="265"/>
      <c r="B120" s="268"/>
      <c r="C120" s="252"/>
      <c r="D120" s="822"/>
      <c r="F120" s="250">
        <v>356.0</v>
      </c>
      <c r="G120" s="2" t="s">
        <v>724</v>
      </c>
      <c r="I120" s="847"/>
    </row>
    <row r="121">
      <c r="A121" s="265"/>
      <c r="B121" s="268"/>
      <c r="C121" s="252"/>
      <c r="D121" s="331"/>
      <c r="F121" s="250">
        <v>3270.0</v>
      </c>
      <c r="G121" s="2" t="s">
        <v>150</v>
      </c>
      <c r="I121" s="847"/>
    </row>
    <row r="122">
      <c r="A122" s="265"/>
      <c r="B122" s="268"/>
      <c r="C122" s="248">
        <v>5182.9</v>
      </c>
      <c r="D122" s="822"/>
      <c r="F122" s="250"/>
      <c r="G122" s="2" t="s">
        <v>71</v>
      </c>
      <c r="I122" s="847"/>
    </row>
    <row r="123">
      <c r="A123" s="265"/>
      <c r="B123" s="268"/>
      <c r="C123" s="252"/>
      <c r="D123" s="822"/>
      <c r="F123" s="250"/>
      <c r="I123" s="847"/>
    </row>
    <row r="124">
      <c r="A124" s="265"/>
      <c r="B124" s="268"/>
      <c r="C124" s="252"/>
      <c r="D124" s="822"/>
      <c r="F124" s="250"/>
      <c r="I124" s="847"/>
    </row>
    <row r="125">
      <c r="A125" s="265"/>
      <c r="B125" s="268"/>
      <c r="C125" s="252"/>
      <c r="D125" s="822"/>
      <c r="F125" s="250"/>
      <c r="I125" s="847"/>
    </row>
    <row r="126">
      <c r="A126" s="265"/>
      <c r="B126" s="268"/>
      <c r="C126" s="252"/>
      <c r="D126" s="822"/>
      <c r="F126" s="250"/>
      <c r="I126" s="847"/>
    </row>
    <row r="127">
      <c r="A127" s="265"/>
      <c r="B127" s="268"/>
      <c r="C127" s="252"/>
      <c r="D127" s="822"/>
      <c r="F127" s="250"/>
      <c r="I127" s="847"/>
    </row>
    <row r="128">
      <c r="A128" s="270"/>
      <c r="B128" s="271"/>
      <c r="C128" s="272"/>
      <c r="D128" s="823"/>
      <c r="E128" s="18"/>
      <c r="F128" s="274"/>
      <c r="G128" s="18"/>
      <c r="H128" s="18"/>
      <c r="I128" s="663"/>
    </row>
    <row r="129">
      <c r="A129" s="262" t="s">
        <v>699</v>
      </c>
      <c r="B129" s="306"/>
      <c r="C129" s="240"/>
      <c r="D129" s="824"/>
      <c r="E129" s="242"/>
      <c r="F129" s="243">
        <v>275.0</v>
      </c>
      <c r="G129" s="244" t="s">
        <v>708</v>
      </c>
      <c r="H129" s="244"/>
      <c r="I129" s="662"/>
    </row>
    <row r="130">
      <c r="A130" s="265"/>
      <c r="B130" s="247"/>
      <c r="C130" s="252"/>
      <c r="D130" s="822"/>
      <c r="F130" s="250">
        <v>500.0</v>
      </c>
      <c r="G130" s="2" t="s">
        <v>3305</v>
      </c>
      <c r="I130" s="847"/>
    </row>
    <row r="131">
      <c r="A131" s="265"/>
      <c r="B131" s="268"/>
      <c r="C131" s="248"/>
      <c r="D131" s="822"/>
      <c r="F131" s="250"/>
      <c r="I131" s="847"/>
    </row>
    <row r="132">
      <c r="A132" s="265"/>
      <c r="B132" s="247"/>
      <c r="C132" s="252"/>
      <c r="D132" s="331"/>
      <c r="F132" s="250"/>
      <c r="I132" s="847"/>
    </row>
    <row r="133">
      <c r="A133" s="265"/>
      <c r="B133" s="268"/>
      <c r="C133" s="252"/>
      <c r="D133" s="822"/>
      <c r="F133" s="250"/>
      <c r="I133" s="847"/>
    </row>
    <row r="134">
      <c r="A134" s="265"/>
      <c r="B134" s="247"/>
      <c r="C134" s="252"/>
      <c r="D134" s="822"/>
      <c r="F134" s="250"/>
      <c r="I134" s="847"/>
    </row>
    <row r="135">
      <c r="A135" s="265"/>
      <c r="B135" s="247"/>
      <c r="C135" s="252"/>
      <c r="D135" s="822"/>
      <c r="F135" s="250"/>
      <c r="I135" s="847"/>
    </row>
    <row r="136">
      <c r="A136" s="265"/>
      <c r="B136" s="283"/>
      <c r="C136" s="248"/>
      <c r="D136" s="822"/>
      <c r="F136" s="250"/>
      <c r="I136" s="847"/>
    </row>
    <row r="137">
      <c r="A137" s="265"/>
      <c r="B137" s="268"/>
      <c r="C137" s="252"/>
      <c r="D137" s="822"/>
      <c r="F137" s="250"/>
      <c r="I137" s="847"/>
    </row>
    <row r="138">
      <c r="A138" s="265"/>
      <c r="B138" s="268"/>
      <c r="C138" s="252"/>
      <c r="D138" s="822"/>
      <c r="F138" s="250"/>
      <c r="I138" s="847"/>
    </row>
    <row r="139">
      <c r="A139" s="265"/>
      <c r="B139" s="268"/>
      <c r="C139" s="252"/>
      <c r="D139" s="822"/>
      <c r="F139" s="250"/>
      <c r="I139" s="847"/>
    </row>
    <row r="140">
      <c r="A140" s="270"/>
      <c r="B140" s="271"/>
      <c r="C140" s="272"/>
      <c r="D140" s="823"/>
      <c r="E140" s="18"/>
      <c r="F140" s="274"/>
      <c r="G140" s="18"/>
      <c r="H140" s="18"/>
      <c r="I140" s="663"/>
    </row>
    <row r="141">
      <c r="A141" s="262" t="s">
        <v>700</v>
      </c>
      <c r="B141" s="306"/>
      <c r="C141" s="240"/>
      <c r="D141" s="824"/>
      <c r="E141" s="242"/>
      <c r="F141" s="243">
        <v>3200.0</v>
      </c>
      <c r="G141" s="244" t="s">
        <v>3003</v>
      </c>
      <c r="H141" s="244"/>
      <c r="I141" s="662"/>
    </row>
    <row r="142">
      <c r="A142" s="265"/>
      <c r="B142" s="268"/>
      <c r="C142" s="252"/>
      <c r="D142" s="822"/>
      <c r="F142" s="250">
        <v>5250.0</v>
      </c>
      <c r="G142" s="2" t="s">
        <v>87</v>
      </c>
      <c r="I142" s="847"/>
    </row>
    <row r="143">
      <c r="A143" s="265"/>
      <c r="B143" s="247">
        <v>3076.0</v>
      </c>
      <c r="C143" s="252"/>
      <c r="D143" s="822"/>
      <c r="F143" s="250"/>
      <c r="G143" s="2" t="s">
        <v>82</v>
      </c>
      <c r="I143" s="847"/>
    </row>
    <row r="144">
      <c r="A144" s="265"/>
      <c r="B144" s="247"/>
      <c r="C144" s="252"/>
      <c r="D144" s="822"/>
      <c r="F144" s="250">
        <v>152.0</v>
      </c>
      <c r="G144" s="2" t="s">
        <v>94</v>
      </c>
      <c r="I144" s="847"/>
    </row>
    <row r="145">
      <c r="A145" s="265"/>
      <c r="B145" s="268"/>
      <c r="C145" s="252"/>
      <c r="D145" s="822"/>
      <c r="F145" s="250"/>
      <c r="I145" s="847"/>
    </row>
    <row r="146">
      <c r="A146" s="265"/>
      <c r="B146" s="268"/>
      <c r="C146" s="248"/>
      <c r="D146" s="822"/>
      <c r="F146" s="250"/>
      <c r="I146" s="847"/>
    </row>
    <row r="147">
      <c r="A147" s="265"/>
      <c r="B147" s="268"/>
      <c r="C147" s="252"/>
      <c r="D147" s="822"/>
      <c r="F147" s="250"/>
      <c r="I147" s="847"/>
    </row>
    <row r="148">
      <c r="A148" s="265"/>
      <c r="B148" s="268"/>
      <c r="C148" s="252"/>
      <c r="D148" s="822"/>
      <c r="F148" s="250"/>
      <c r="I148" s="847"/>
    </row>
    <row r="149">
      <c r="A149" s="265"/>
      <c r="B149" s="268"/>
      <c r="C149" s="252"/>
      <c r="D149" s="822"/>
      <c r="F149" s="250"/>
      <c r="I149" s="847"/>
    </row>
    <row r="150">
      <c r="A150" s="270"/>
      <c r="B150" s="271"/>
      <c r="C150" s="272"/>
      <c r="D150" s="823"/>
      <c r="E150" s="18"/>
      <c r="F150" s="274"/>
      <c r="G150" s="18"/>
      <c r="H150" s="18"/>
      <c r="I150" s="663"/>
    </row>
    <row r="151">
      <c r="A151" s="262" t="s">
        <v>702</v>
      </c>
      <c r="B151" s="306"/>
      <c r="C151" s="263"/>
      <c r="D151" s="821"/>
      <c r="E151" s="242"/>
      <c r="F151" s="243">
        <v>2488.0</v>
      </c>
      <c r="G151" s="244" t="s">
        <v>708</v>
      </c>
      <c r="H151" s="244"/>
      <c r="I151" s="662"/>
    </row>
    <row r="152">
      <c r="A152" s="265"/>
      <c r="B152" s="268"/>
      <c r="C152" s="252"/>
      <c r="D152" s="822"/>
      <c r="F152" s="250">
        <v>4430.0</v>
      </c>
      <c r="G152" s="2" t="s">
        <v>1195</v>
      </c>
      <c r="I152" s="847"/>
    </row>
    <row r="153">
      <c r="A153" s="265"/>
      <c r="B153" s="268"/>
      <c r="C153" s="248"/>
      <c r="D153" s="331">
        <v>18150.0</v>
      </c>
      <c r="F153" s="250"/>
      <c r="G153" s="2" t="s">
        <v>3318</v>
      </c>
      <c r="I153" s="847"/>
    </row>
    <row r="154">
      <c r="A154" s="265"/>
      <c r="B154" s="268"/>
      <c r="C154" s="252"/>
      <c r="D154" s="822"/>
      <c r="F154" s="250"/>
      <c r="I154" s="847"/>
    </row>
    <row r="155">
      <c r="A155" s="265"/>
      <c r="B155" s="268"/>
      <c r="C155" s="252"/>
      <c r="D155" s="822"/>
      <c r="F155" s="250"/>
      <c r="H155" s="252"/>
      <c r="I155" s="847"/>
    </row>
    <row r="156">
      <c r="A156" s="265"/>
      <c r="B156" s="268"/>
      <c r="C156" s="252"/>
      <c r="D156" s="822"/>
      <c r="F156" s="250"/>
      <c r="I156" s="847"/>
    </row>
    <row r="157">
      <c r="A157" s="265"/>
      <c r="B157" s="268"/>
      <c r="C157" s="252"/>
      <c r="D157" s="331"/>
      <c r="F157" s="250"/>
      <c r="I157" s="847"/>
    </row>
    <row r="158">
      <c r="A158" s="265"/>
      <c r="B158" s="268"/>
      <c r="C158" s="252"/>
      <c r="D158" s="822"/>
      <c r="F158" s="250"/>
      <c r="H158" s="252"/>
      <c r="I158" s="847"/>
    </row>
    <row r="159">
      <c r="A159" s="265"/>
      <c r="B159" s="268"/>
      <c r="C159" s="252"/>
      <c r="D159" s="822"/>
      <c r="F159" s="250"/>
      <c r="I159" s="847"/>
    </row>
    <row r="160">
      <c r="A160" s="270"/>
      <c r="B160" s="271"/>
      <c r="C160" s="272"/>
      <c r="D160" s="823"/>
      <c r="E160" s="18"/>
      <c r="F160" s="274"/>
      <c r="G160" s="18"/>
      <c r="H160" s="18"/>
      <c r="I160" s="663"/>
    </row>
    <row r="161">
      <c r="A161" s="262" t="s">
        <v>703</v>
      </c>
      <c r="B161" s="306"/>
      <c r="C161" s="240"/>
      <c r="D161" s="821"/>
      <c r="E161" s="242"/>
      <c r="F161" s="259">
        <v>5160.0</v>
      </c>
      <c r="G161" s="244" t="s">
        <v>76</v>
      </c>
      <c r="H161" s="244"/>
      <c r="I161" s="662"/>
    </row>
    <row r="162">
      <c r="A162" s="265"/>
      <c r="B162" s="247">
        <v>3013.0</v>
      </c>
      <c r="C162" s="252"/>
      <c r="D162" s="331"/>
      <c r="F162" s="250"/>
      <c r="G162" s="2" t="s">
        <v>82</v>
      </c>
      <c r="I162" s="847"/>
    </row>
    <row r="163">
      <c r="A163" s="265"/>
      <c r="B163" s="247">
        <v>1428.0</v>
      </c>
      <c r="C163" s="248"/>
      <c r="D163" s="331"/>
      <c r="F163" s="250"/>
      <c r="G163" s="2" t="s">
        <v>1741</v>
      </c>
      <c r="I163" s="847"/>
    </row>
    <row r="164">
      <c r="A164" s="265"/>
      <c r="B164" s="268"/>
      <c r="C164" s="252"/>
      <c r="D164" s="822"/>
      <c r="F164" s="250">
        <v>1200.0</v>
      </c>
      <c r="G164" s="2" t="s">
        <v>3319</v>
      </c>
      <c r="I164" s="847"/>
    </row>
    <row r="165">
      <c r="A165" s="265"/>
      <c r="B165" s="268"/>
      <c r="C165" s="248">
        <v>20232.0</v>
      </c>
      <c r="D165" s="331"/>
      <c r="F165" s="250"/>
      <c r="G165" s="2" t="s">
        <v>1189</v>
      </c>
      <c r="I165" s="847"/>
    </row>
    <row r="166">
      <c r="A166" s="265"/>
      <c r="B166" s="268"/>
      <c r="C166" s="252"/>
      <c r="D166" s="822"/>
      <c r="F166" s="250"/>
      <c r="I166" s="847"/>
    </row>
    <row r="167">
      <c r="A167" s="265"/>
      <c r="B167" s="247"/>
      <c r="C167" s="252"/>
      <c r="D167" s="822"/>
      <c r="F167" s="250"/>
      <c r="I167" s="847"/>
    </row>
    <row r="168">
      <c r="A168" s="265"/>
      <c r="B168" s="247"/>
      <c r="C168" s="252"/>
      <c r="D168" s="822"/>
      <c r="F168" s="250"/>
      <c r="I168" s="847"/>
    </row>
    <row r="169">
      <c r="A169" s="265"/>
      <c r="B169" s="268"/>
      <c r="C169" s="252"/>
      <c r="D169" s="822"/>
      <c r="F169" s="250"/>
      <c r="I169" s="847"/>
    </row>
    <row r="170">
      <c r="A170" s="265"/>
      <c r="B170" s="268"/>
      <c r="C170" s="252"/>
      <c r="D170" s="822"/>
      <c r="F170" s="250"/>
      <c r="I170" s="847"/>
    </row>
    <row r="171">
      <c r="A171" s="265"/>
      <c r="B171" s="268"/>
      <c r="C171" s="252"/>
      <c r="D171" s="822"/>
      <c r="F171" s="250"/>
      <c r="I171" s="847"/>
    </row>
    <row r="172">
      <c r="A172" s="265"/>
      <c r="B172" s="268"/>
      <c r="C172" s="252"/>
      <c r="D172" s="822"/>
      <c r="F172" s="250"/>
      <c r="I172" s="847"/>
    </row>
    <row r="173">
      <c r="A173" s="265"/>
      <c r="B173" s="268"/>
      <c r="C173" s="252"/>
      <c r="D173" s="822"/>
      <c r="F173" s="250"/>
      <c r="I173" s="847"/>
    </row>
    <row r="174">
      <c r="A174" s="265"/>
      <c r="B174" s="268"/>
      <c r="C174" s="252"/>
      <c r="D174" s="822"/>
      <c r="F174" s="250"/>
      <c r="I174" s="847"/>
    </row>
    <row r="175">
      <c r="A175" s="270"/>
      <c r="B175" s="271"/>
      <c r="C175" s="272"/>
      <c r="D175" s="823"/>
      <c r="E175" s="18"/>
      <c r="F175" s="259"/>
      <c r="G175" s="293"/>
      <c r="H175" s="18"/>
      <c r="I175" s="663"/>
    </row>
    <row r="176">
      <c r="A176" s="262" t="s">
        <v>707</v>
      </c>
      <c r="B176" s="306"/>
      <c r="C176" s="240"/>
      <c r="D176" s="821"/>
      <c r="E176" s="242"/>
      <c r="F176" s="243">
        <v>780.0</v>
      </c>
      <c r="G176" s="244" t="s">
        <v>3320</v>
      </c>
      <c r="I176" s="244"/>
    </row>
    <row r="177">
      <c r="A177" s="265"/>
      <c r="B177" s="268"/>
      <c r="C177" s="248"/>
      <c r="D177" s="331"/>
      <c r="F177" s="250">
        <v>4898.0</v>
      </c>
      <c r="G177" s="2" t="s">
        <v>3003</v>
      </c>
      <c r="I177" s="847"/>
    </row>
    <row r="178">
      <c r="A178" s="265"/>
      <c r="B178" s="268"/>
      <c r="C178" s="252"/>
      <c r="D178" s="822"/>
      <c r="F178" s="250">
        <v>7245.0</v>
      </c>
      <c r="G178" s="2" t="s">
        <v>87</v>
      </c>
      <c r="I178" s="847"/>
    </row>
    <row r="179">
      <c r="A179" s="265"/>
      <c r="B179" s="268"/>
      <c r="C179" s="252"/>
      <c r="D179" s="822"/>
      <c r="F179" s="250">
        <v>9034.0</v>
      </c>
      <c r="G179" s="2" t="s">
        <v>74</v>
      </c>
      <c r="I179" s="847"/>
    </row>
    <row r="180">
      <c r="A180" s="265"/>
      <c r="B180" s="268"/>
      <c r="C180" s="248"/>
      <c r="D180" s="822"/>
      <c r="F180" s="250">
        <v>3000.0</v>
      </c>
      <c r="G180" s="2" t="s">
        <v>3321</v>
      </c>
      <c r="I180" s="847"/>
    </row>
    <row r="181">
      <c r="A181" s="265"/>
      <c r="B181" s="247"/>
      <c r="C181" s="248"/>
      <c r="D181" s="822"/>
      <c r="F181" s="250">
        <v>1560.0</v>
      </c>
      <c r="G181" s="2" t="s">
        <v>215</v>
      </c>
      <c r="I181" s="847"/>
    </row>
    <row r="182">
      <c r="A182" s="265"/>
      <c r="B182" s="268"/>
      <c r="C182" s="252"/>
      <c r="D182" s="331"/>
      <c r="F182" s="250">
        <v>500.0</v>
      </c>
      <c r="G182" s="2" t="s">
        <v>3118</v>
      </c>
      <c r="I182" s="847"/>
    </row>
    <row r="183">
      <c r="A183" s="265"/>
      <c r="B183" s="247"/>
      <c r="C183" s="252"/>
      <c r="D183" s="331">
        <v>29280.0</v>
      </c>
      <c r="F183" s="250"/>
      <c r="G183" s="2" t="s">
        <v>3322</v>
      </c>
      <c r="I183" s="847"/>
    </row>
    <row r="184">
      <c r="A184" s="265"/>
      <c r="B184" s="247">
        <v>28000.0</v>
      </c>
      <c r="C184" s="252"/>
      <c r="D184" s="822"/>
      <c r="F184" s="250"/>
      <c r="G184" s="2" t="s">
        <v>3323</v>
      </c>
      <c r="I184" s="847"/>
    </row>
    <row r="185">
      <c r="A185" s="265"/>
      <c r="B185" s="278"/>
      <c r="C185" s="252"/>
      <c r="D185" s="822"/>
      <c r="F185" s="250">
        <v>1600.0</v>
      </c>
      <c r="G185" s="2" t="s">
        <v>3120</v>
      </c>
      <c r="I185" s="847"/>
    </row>
    <row r="186">
      <c r="A186" s="265"/>
      <c r="B186" s="278"/>
      <c r="C186" s="252"/>
      <c r="D186" s="822"/>
      <c r="F186" s="250"/>
      <c r="I186" s="847"/>
    </row>
    <row r="187">
      <c r="A187" s="265"/>
      <c r="B187" s="277"/>
      <c r="C187" s="252"/>
      <c r="D187" s="822"/>
      <c r="F187" s="250"/>
      <c r="I187" s="847"/>
    </row>
    <row r="188">
      <c r="A188" s="265"/>
      <c r="B188" s="278"/>
      <c r="C188" s="252"/>
      <c r="D188" s="822"/>
      <c r="F188" s="250"/>
      <c r="I188" s="847"/>
    </row>
    <row r="189">
      <c r="A189" s="265"/>
      <c r="B189" s="278"/>
      <c r="C189" s="252"/>
      <c r="D189" s="822"/>
      <c r="F189" s="282"/>
      <c r="I189" s="847"/>
    </row>
    <row r="190">
      <c r="A190" s="265"/>
      <c r="B190" s="278"/>
      <c r="C190" s="252"/>
      <c r="D190" s="822"/>
      <c r="F190" s="282"/>
      <c r="I190" s="847"/>
    </row>
    <row r="191">
      <c r="A191" s="270"/>
      <c r="B191" s="271"/>
      <c r="C191" s="272"/>
      <c r="D191" s="823"/>
      <c r="E191" s="18"/>
      <c r="F191" s="274"/>
      <c r="G191" s="18"/>
      <c r="H191" s="18"/>
      <c r="I191" s="663"/>
    </row>
    <row r="192">
      <c r="A192" s="262" t="s">
        <v>709</v>
      </c>
      <c r="B192" s="306"/>
      <c r="C192" s="263"/>
      <c r="D192" s="824"/>
      <c r="E192" s="242"/>
      <c r="F192" s="243">
        <v>725.0</v>
      </c>
      <c r="G192" s="244" t="s">
        <v>708</v>
      </c>
      <c r="H192" s="244"/>
      <c r="I192" s="662"/>
    </row>
    <row r="193">
      <c r="A193" s="265"/>
      <c r="B193" s="247">
        <v>9270.0</v>
      </c>
      <c r="C193" s="252"/>
      <c r="D193" s="822"/>
      <c r="F193" s="250"/>
      <c r="G193" s="2" t="s">
        <v>3027</v>
      </c>
      <c r="I193" s="847"/>
    </row>
    <row r="194">
      <c r="A194" s="265"/>
      <c r="B194" s="247">
        <v>2192.0</v>
      </c>
      <c r="C194" s="252"/>
      <c r="D194" s="331"/>
      <c r="F194" s="250"/>
      <c r="G194" s="2" t="s">
        <v>260</v>
      </c>
      <c r="H194" s="843"/>
      <c r="I194" s="847"/>
    </row>
    <row r="195">
      <c r="A195" s="265"/>
      <c r="B195" s="247">
        <v>2778.0</v>
      </c>
      <c r="C195" s="252"/>
      <c r="D195" s="331"/>
      <c r="F195" s="250"/>
      <c r="G195" s="2" t="s">
        <v>82</v>
      </c>
      <c r="I195" s="847"/>
    </row>
    <row r="196">
      <c r="A196" s="265"/>
      <c r="B196" s="247"/>
      <c r="C196" s="248"/>
      <c r="D196" s="331"/>
      <c r="F196" s="250">
        <v>400.0</v>
      </c>
      <c r="G196" s="2" t="s">
        <v>3324</v>
      </c>
      <c r="I196" s="847"/>
    </row>
    <row r="197">
      <c r="A197" s="265"/>
      <c r="B197" s="247">
        <v>33970.0</v>
      </c>
      <c r="C197" s="252"/>
      <c r="D197" s="331"/>
      <c r="F197" s="250"/>
      <c r="G197" s="2" t="s">
        <v>3102</v>
      </c>
      <c r="I197" s="847"/>
    </row>
    <row r="198">
      <c r="A198" s="265"/>
      <c r="B198" s="268"/>
      <c r="C198" s="252"/>
      <c r="D198" s="822"/>
      <c r="F198" s="250"/>
      <c r="I198" s="847"/>
    </row>
    <row r="199">
      <c r="A199" s="265"/>
      <c r="B199" s="247"/>
      <c r="C199" s="252"/>
      <c r="D199" s="331"/>
      <c r="F199" s="250"/>
      <c r="I199" s="847"/>
    </row>
    <row r="200">
      <c r="A200" s="265"/>
      <c r="B200" s="268"/>
      <c r="C200" s="248"/>
      <c r="D200" s="331"/>
      <c r="F200" s="250"/>
      <c r="I200" s="847"/>
    </row>
    <row r="201">
      <c r="A201" s="265"/>
      <c r="B201" s="268"/>
      <c r="C201" s="248"/>
      <c r="D201" s="822"/>
      <c r="F201" s="250"/>
      <c r="I201" s="847"/>
    </row>
    <row r="202">
      <c r="A202" s="265"/>
      <c r="B202" s="268"/>
      <c r="C202" s="248"/>
      <c r="D202" s="822"/>
      <c r="F202" s="250"/>
      <c r="I202" s="847"/>
    </row>
    <row r="203">
      <c r="A203" s="265"/>
      <c r="B203" s="268"/>
      <c r="C203" s="248"/>
      <c r="D203" s="822"/>
      <c r="F203" s="250"/>
      <c r="H203" s="252"/>
      <c r="I203" s="847"/>
    </row>
    <row r="204">
      <c r="A204" s="265"/>
      <c r="B204" s="278"/>
      <c r="C204" s="252"/>
      <c r="D204" s="822"/>
      <c r="F204" s="250"/>
      <c r="I204" s="847"/>
    </row>
    <row r="205">
      <c r="A205" s="265"/>
      <c r="B205" s="278"/>
      <c r="C205" s="252"/>
      <c r="D205" s="822"/>
      <c r="F205" s="282"/>
      <c r="I205" s="847"/>
    </row>
    <row r="206">
      <c r="A206" s="270"/>
      <c r="B206" s="271"/>
      <c r="C206" s="272"/>
      <c r="D206" s="823"/>
      <c r="E206" s="18"/>
      <c r="F206" s="274"/>
      <c r="G206" s="18"/>
      <c r="H206" s="18"/>
      <c r="I206" s="663"/>
    </row>
    <row r="207">
      <c r="A207" s="262" t="s">
        <v>712</v>
      </c>
      <c r="B207" s="239">
        <v>3463.0</v>
      </c>
      <c r="C207" s="263"/>
      <c r="D207" s="824"/>
      <c r="E207" s="242"/>
      <c r="F207" s="243"/>
      <c r="G207" s="244" t="s">
        <v>82</v>
      </c>
      <c r="H207" s="244"/>
      <c r="I207" s="662"/>
    </row>
    <row r="208">
      <c r="A208" s="265"/>
      <c r="B208" s="268"/>
      <c r="C208" s="248"/>
      <c r="D208" s="331"/>
      <c r="F208" s="250">
        <v>645.0</v>
      </c>
      <c r="G208" s="2" t="s">
        <v>3325</v>
      </c>
      <c r="I208" s="847"/>
    </row>
    <row r="209">
      <c r="A209" s="265"/>
      <c r="B209" s="268"/>
      <c r="C209" s="252"/>
      <c r="D209" s="822"/>
      <c r="F209" s="250">
        <v>8500.0</v>
      </c>
      <c r="G209" s="2" t="s">
        <v>453</v>
      </c>
      <c r="I209" s="847"/>
    </row>
    <row r="210">
      <c r="A210" s="265"/>
      <c r="B210" s="268"/>
      <c r="C210" s="248"/>
      <c r="D210" s="331"/>
      <c r="F210" s="250">
        <v>233.0</v>
      </c>
      <c r="G210" s="2" t="s">
        <v>708</v>
      </c>
      <c r="I210" s="847"/>
    </row>
    <row r="211">
      <c r="A211" s="265"/>
      <c r="B211" s="268"/>
      <c r="C211" s="252"/>
      <c r="D211" s="822"/>
      <c r="F211" s="250"/>
      <c r="I211" s="847"/>
    </row>
    <row r="212">
      <c r="A212" s="265"/>
      <c r="B212" s="268"/>
      <c r="C212" s="252"/>
      <c r="D212" s="822"/>
      <c r="F212" s="250"/>
      <c r="I212" s="847"/>
    </row>
    <row r="213">
      <c r="A213" s="265"/>
      <c r="B213" s="268"/>
      <c r="C213" s="252"/>
      <c r="D213" s="822"/>
      <c r="F213" s="250"/>
      <c r="H213" s="252"/>
      <c r="I213" s="847"/>
    </row>
    <row r="214">
      <c r="A214" s="265"/>
      <c r="B214" s="268"/>
      <c r="C214" s="252"/>
      <c r="D214" s="822"/>
      <c r="F214" s="250"/>
      <c r="I214" s="847"/>
    </row>
    <row r="215">
      <c r="A215" s="265"/>
      <c r="B215" s="268"/>
      <c r="C215" s="252"/>
      <c r="D215" s="822"/>
      <c r="F215" s="250"/>
      <c r="I215" s="847"/>
    </row>
    <row r="216">
      <c r="A216" s="265"/>
      <c r="B216" s="278"/>
      <c r="C216" s="252"/>
      <c r="D216" s="822"/>
      <c r="F216" s="250"/>
      <c r="I216" s="847"/>
    </row>
    <row r="217">
      <c r="A217" s="265"/>
      <c r="B217" s="278"/>
      <c r="C217" s="252"/>
      <c r="D217" s="822"/>
      <c r="F217" s="282"/>
      <c r="I217" s="847"/>
    </row>
    <row r="218">
      <c r="A218" s="270"/>
      <c r="B218" s="271"/>
      <c r="C218" s="272"/>
      <c r="D218" s="823"/>
      <c r="E218" s="18"/>
      <c r="F218" s="274"/>
      <c r="G218" s="18"/>
      <c r="H218" s="18"/>
      <c r="I218" s="663"/>
    </row>
    <row r="219">
      <c r="A219" s="262" t="s">
        <v>713</v>
      </c>
      <c r="B219" s="239"/>
      <c r="C219" s="240"/>
      <c r="D219" s="821"/>
      <c r="E219" s="242"/>
      <c r="F219" s="243"/>
      <c r="G219" s="244"/>
      <c r="H219" s="244"/>
      <c r="I219" s="662"/>
    </row>
    <row r="220">
      <c r="A220" s="265"/>
      <c r="B220" s="268"/>
      <c r="C220" s="252"/>
      <c r="D220" s="331"/>
      <c r="F220" s="250"/>
      <c r="I220" s="847"/>
    </row>
    <row r="221">
      <c r="A221" s="265"/>
      <c r="B221" s="268"/>
      <c r="C221" s="252"/>
      <c r="D221" s="822"/>
      <c r="F221" s="250"/>
      <c r="I221" s="847"/>
    </row>
    <row r="222">
      <c r="A222" s="265"/>
      <c r="B222" s="268"/>
      <c r="C222" s="248"/>
      <c r="D222" s="822"/>
      <c r="F222" s="250"/>
      <c r="I222" s="847"/>
    </row>
    <row r="223">
      <c r="A223" s="265"/>
      <c r="B223" s="268"/>
      <c r="C223" s="248"/>
      <c r="D223" s="822"/>
      <c r="F223" s="250"/>
      <c r="I223" s="847"/>
    </row>
    <row r="224">
      <c r="A224" s="265"/>
      <c r="B224" s="268"/>
      <c r="C224" s="248"/>
      <c r="D224" s="331"/>
      <c r="F224" s="250"/>
      <c r="I224" s="847"/>
    </row>
    <row r="225">
      <c r="A225" s="265"/>
      <c r="B225" s="268"/>
      <c r="C225" s="252"/>
      <c r="D225" s="822"/>
      <c r="F225" s="250"/>
      <c r="I225" s="847"/>
    </row>
    <row r="226">
      <c r="A226" s="265"/>
      <c r="B226" s="268"/>
      <c r="C226" s="252"/>
      <c r="D226" s="822"/>
      <c r="F226" s="250"/>
      <c r="I226" s="847"/>
    </row>
    <row r="227">
      <c r="A227" s="265"/>
      <c r="B227" s="268"/>
      <c r="C227" s="252"/>
      <c r="D227" s="822"/>
      <c r="F227" s="250"/>
      <c r="I227" s="847"/>
    </row>
    <row r="228">
      <c r="A228" s="265"/>
      <c r="B228" s="268"/>
      <c r="C228" s="252"/>
      <c r="D228" s="822"/>
      <c r="F228" s="250"/>
      <c r="I228" s="847"/>
    </row>
    <row r="229">
      <c r="A229" s="270"/>
      <c r="B229" s="271"/>
      <c r="C229" s="272"/>
      <c r="D229" s="823"/>
      <c r="E229" s="18"/>
      <c r="F229" s="274"/>
      <c r="G229" s="18"/>
      <c r="H229" s="18"/>
      <c r="I229" s="663"/>
    </row>
    <row r="230">
      <c r="A230" s="262" t="s">
        <v>715</v>
      </c>
      <c r="B230" s="306"/>
      <c r="C230" s="240"/>
      <c r="D230" s="824"/>
      <c r="E230" s="242"/>
      <c r="F230" s="243">
        <v>5250.0</v>
      </c>
      <c r="G230" s="244" t="s">
        <v>64</v>
      </c>
      <c r="H230" s="244"/>
      <c r="I230" s="662"/>
    </row>
    <row r="231">
      <c r="A231" s="265"/>
      <c r="B231" s="247"/>
      <c r="C231" s="252"/>
      <c r="D231" s="822"/>
      <c r="F231" s="250">
        <v>980.0</v>
      </c>
      <c r="G231" s="2" t="s">
        <v>314</v>
      </c>
      <c r="I231" s="847"/>
    </row>
    <row r="232">
      <c r="A232" s="265"/>
      <c r="B232" s="268"/>
      <c r="C232" s="252"/>
      <c r="D232" s="822"/>
      <c r="F232" s="250">
        <v>699.0</v>
      </c>
      <c r="G232" s="2" t="s">
        <v>314</v>
      </c>
      <c r="I232" s="847"/>
    </row>
    <row r="233">
      <c r="A233" s="265"/>
      <c r="B233" s="268"/>
      <c r="C233" s="248">
        <v>9185.82</v>
      </c>
      <c r="D233" s="822"/>
      <c r="F233" s="250"/>
      <c r="G233" s="2" t="s">
        <v>3326</v>
      </c>
      <c r="I233" s="847"/>
    </row>
    <row r="234">
      <c r="A234" s="265"/>
      <c r="B234" s="268"/>
      <c r="C234" s="252"/>
      <c r="D234" s="822"/>
      <c r="F234" s="250">
        <v>3250.0</v>
      </c>
      <c r="G234" s="2" t="s">
        <v>3183</v>
      </c>
      <c r="H234" s="252"/>
      <c r="I234" s="847"/>
    </row>
    <row r="235">
      <c r="A235" s="265"/>
      <c r="B235" s="268"/>
      <c r="C235" s="248">
        <v>36017.41</v>
      </c>
      <c r="D235" s="822"/>
      <c r="F235" s="250"/>
      <c r="G235" s="2" t="s">
        <v>2637</v>
      </c>
      <c r="I235" s="847"/>
    </row>
    <row r="236">
      <c r="A236" s="265"/>
      <c r="B236" s="268"/>
      <c r="C236" s="252"/>
      <c r="D236" s="822"/>
      <c r="F236" s="250"/>
      <c r="I236" s="847"/>
    </row>
    <row r="237">
      <c r="A237" s="265"/>
      <c r="B237" s="268"/>
      <c r="C237" s="252"/>
      <c r="D237" s="822"/>
      <c r="F237" s="250"/>
      <c r="I237" s="847"/>
    </row>
    <row r="238">
      <c r="A238" s="265"/>
      <c r="B238" s="268"/>
      <c r="C238" s="252"/>
      <c r="D238" s="822"/>
      <c r="F238" s="250"/>
      <c r="I238" s="847"/>
    </row>
    <row r="239">
      <c r="A239" s="265"/>
      <c r="B239" s="268"/>
      <c r="C239" s="252"/>
      <c r="D239" s="822"/>
      <c r="F239" s="250"/>
      <c r="I239" s="847"/>
    </row>
    <row r="240">
      <c r="A240" s="265"/>
      <c r="B240" s="278"/>
      <c r="C240" s="252"/>
      <c r="D240" s="822"/>
      <c r="F240" s="250"/>
      <c r="I240" s="847"/>
    </row>
    <row r="241">
      <c r="A241" s="265"/>
      <c r="B241" s="278"/>
      <c r="C241" s="252"/>
      <c r="D241" s="822"/>
      <c r="F241" s="250"/>
      <c r="I241" s="847"/>
    </row>
    <row r="242">
      <c r="A242" s="265"/>
      <c r="B242" s="278"/>
      <c r="C242" s="252"/>
      <c r="D242" s="822"/>
      <c r="F242" s="250"/>
      <c r="I242" s="847"/>
    </row>
    <row r="243">
      <c r="A243" s="270"/>
      <c r="B243" s="271"/>
      <c r="C243" s="272"/>
      <c r="D243" s="823"/>
      <c r="E243" s="18"/>
      <c r="F243" s="274"/>
      <c r="G243" s="18"/>
      <c r="H243" s="18"/>
      <c r="I243" s="663"/>
    </row>
    <row r="244">
      <c r="A244" s="262" t="s">
        <v>718</v>
      </c>
      <c r="B244" s="239"/>
      <c r="C244" s="240"/>
      <c r="D244" s="824"/>
      <c r="E244" s="242"/>
      <c r="F244" s="243">
        <v>1042.0</v>
      </c>
      <c r="G244" s="244" t="s">
        <v>314</v>
      </c>
      <c r="H244" s="244"/>
      <c r="I244" s="662"/>
    </row>
    <row r="245">
      <c r="A245" s="265"/>
      <c r="B245" s="268"/>
      <c r="C245" s="248"/>
      <c r="D245" s="822"/>
      <c r="F245" s="250">
        <v>3870.0</v>
      </c>
      <c r="G245" s="2" t="s">
        <v>612</v>
      </c>
      <c r="I245" s="847"/>
    </row>
    <row r="246">
      <c r="A246" s="265"/>
      <c r="B246" s="247"/>
      <c r="C246" s="252"/>
      <c r="D246" s="822"/>
      <c r="F246" s="250">
        <v>2778.0</v>
      </c>
      <c r="G246" s="2" t="s">
        <v>58</v>
      </c>
      <c r="I246" s="847"/>
    </row>
    <row r="247">
      <c r="A247" s="265"/>
      <c r="B247" s="268"/>
      <c r="C247" s="252"/>
      <c r="D247" s="822"/>
      <c r="F247" s="250">
        <v>8423.26</v>
      </c>
      <c r="G247" s="2" t="s">
        <v>2456</v>
      </c>
      <c r="I247" s="847"/>
    </row>
    <row r="248">
      <c r="A248" s="265"/>
      <c r="B248" s="247"/>
      <c r="C248" s="248">
        <v>27553.54</v>
      </c>
      <c r="D248" s="822"/>
      <c r="F248" s="250"/>
      <c r="G248" s="2" t="s">
        <v>951</v>
      </c>
      <c r="I248" s="847"/>
    </row>
    <row r="249">
      <c r="A249" s="265"/>
      <c r="B249" s="247"/>
      <c r="C249" s="248"/>
      <c r="D249" s="822"/>
      <c r="F249" s="250"/>
      <c r="I249" s="847"/>
    </row>
    <row r="250">
      <c r="A250" s="265"/>
      <c r="B250" s="268"/>
      <c r="C250" s="252"/>
      <c r="D250" s="822"/>
      <c r="F250" s="250"/>
      <c r="I250" s="847"/>
    </row>
    <row r="251">
      <c r="A251" s="265"/>
      <c r="B251" s="268"/>
      <c r="C251" s="252"/>
      <c r="D251" s="822"/>
      <c r="F251" s="250"/>
      <c r="I251" s="847"/>
    </row>
    <row r="252">
      <c r="A252" s="265"/>
      <c r="B252" s="268"/>
      <c r="C252" s="248"/>
      <c r="D252" s="822"/>
      <c r="F252" s="250"/>
      <c r="I252" s="847"/>
    </row>
    <row r="253">
      <c r="A253" s="265"/>
      <c r="B253" s="268"/>
      <c r="C253" s="252"/>
      <c r="D253" s="822"/>
      <c r="F253" s="250"/>
      <c r="I253" s="847"/>
    </row>
    <row r="254">
      <c r="A254" s="265"/>
      <c r="B254" s="268"/>
      <c r="C254" s="252"/>
      <c r="D254" s="822"/>
      <c r="F254" s="250"/>
      <c r="I254" s="847"/>
    </row>
    <row r="255">
      <c r="A255" s="265"/>
      <c r="B255" s="268"/>
      <c r="C255" s="252"/>
      <c r="D255" s="822"/>
      <c r="F255" s="250"/>
      <c r="I255" s="847"/>
    </row>
    <row r="256">
      <c r="A256" s="265"/>
      <c r="B256" s="268"/>
      <c r="C256" s="252"/>
      <c r="D256" s="822"/>
      <c r="F256" s="250"/>
      <c r="I256" s="847"/>
    </row>
    <row r="257">
      <c r="A257" s="265"/>
      <c r="B257" s="268"/>
      <c r="C257" s="252"/>
      <c r="D257" s="822"/>
      <c r="F257" s="250"/>
      <c r="I257" s="847"/>
    </row>
    <row r="258">
      <c r="A258" s="270"/>
      <c r="B258" s="271"/>
      <c r="C258" s="272"/>
      <c r="D258" s="823"/>
      <c r="E258" s="18"/>
      <c r="F258" s="274"/>
      <c r="G258" s="18"/>
      <c r="H258" s="18"/>
      <c r="I258" s="663"/>
    </row>
    <row r="259">
      <c r="A259" s="262" t="s">
        <v>719</v>
      </c>
      <c r="B259" s="239">
        <v>9270.0</v>
      </c>
      <c r="C259" s="263"/>
      <c r="D259" s="821"/>
      <c r="E259" s="242"/>
      <c r="F259" s="243"/>
      <c r="G259" s="244" t="s">
        <v>3327</v>
      </c>
      <c r="H259" s="244"/>
      <c r="I259" s="662"/>
    </row>
    <row r="260">
      <c r="A260" s="265"/>
      <c r="B260" s="247">
        <v>5262.0</v>
      </c>
      <c r="C260" s="252"/>
      <c r="D260" s="822"/>
      <c r="F260" s="250"/>
      <c r="G260" s="2" t="s">
        <v>3328</v>
      </c>
      <c r="I260" s="847"/>
    </row>
    <row r="261">
      <c r="A261" s="265"/>
      <c r="B261" s="268"/>
      <c r="C261" s="252"/>
      <c r="D261" s="331"/>
      <c r="F261" s="250">
        <v>1374.0</v>
      </c>
      <c r="G261" s="2" t="s">
        <v>314</v>
      </c>
      <c r="I261" s="847"/>
    </row>
    <row r="262">
      <c r="A262" s="265"/>
      <c r="B262" s="268"/>
      <c r="C262" s="252"/>
      <c r="D262" s="822"/>
      <c r="F262" s="250">
        <v>5009.0</v>
      </c>
      <c r="G262" s="2" t="s">
        <v>3183</v>
      </c>
      <c r="I262" s="847"/>
    </row>
    <row r="263">
      <c r="A263" s="265"/>
      <c r="B263" s="268"/>
      <c r="C263" s="252"/>
      <c r="D263" s="822"/>
      <c r="F263" s="250">
        <v>2350.0</v>
      </c>
      <c r="G263" s="2" t="s">
        <v>2673</v>
      </c>
      <c r="I263" s="847"/>
    </row>
    <row r="264">
      <c r="A264" s="265"/>
      <c r="B264" s="268"/>
      <c r="C264" s="252"/>
      <c r="D264" s="822"/>
      <c r="F264" s="250">
        <v>523.0</v>
      </c>
      <c r="G264" s="2" t="s">
        <v>547</v>
      </c>
      <c r="I264" s="847"/>
    </row>
    <row r="265">
      <c r="A265" s="265"/>
      <c r="B265" s="268"/>
      <c r="C265" s="252"/>
      <c r="D265" s="822"/>
      <c r="F265" s="250"/>
      <c r="I265" s="847"/>
    </row>
    <row r="266">
      <c r="A266" s="265"/>
      <c r="B266" s="268"/>
      <c r="C266" s="252"/>
      <c r="D266" s="822"/>
      <c r="F266" s="250"/>
      <c r="I266" s="847"/>
    </row>
    <row r="267">
      <c r="A267" s="265"/>
      <c r="B267" s="268"/>
      <c r="C267" s="252"/>
      <c r="D267" s="822"/>
      <c r="F267" s="250"/>
      <c r="I267" s="847"/>
    </row>
    <row r="268">
      <c r="A268" s="265"/>
      <c r="B268" s="268"/>
      <c r="C268" s="252"/>
      <c r="D268" s="822"/>
      <c r="F268" s="250"/>
      <c r="I268" s="847"/>
    </row>
    <row r="269">
      <c r="A269" s="265"/>
      <c r="B269" s="268"/>
      <c r="C269" s="252"/>
      <c r="D269" s="822"/>
      <c r="F269" s="250"/>
      <c r="I269" s="847"/>
    </row>
    <row r="270">
      <c r="A270" s="265"/>
      <c r="B270" s="268"/>
      <c r="C270" s="252"/>
      <c r="D270" s="822"/>
      <c r="F270" s="250"/>
      <c r="I270" s="847"/>
    </row>
    <row r="271">
      <c r="A271" s="270"/>
      <c r="B271" s="271"/>
      <c r="C271" s="272"/>
      <c r="D271" s="823"/>
      <c r="E271" s="18"/>
      <c r="F271" s="274"/>
      <c r="G271" s="18"/>
      <c r="H271" s="18"/>
      <c r="I271" s="663"/>
    </row>
    <row r="272">
      <c r="A272" s="262" t="s">
        <v>721</v>
      </c>
      <c r="B272" s="239"/>
      <c r="C272" s="263"/>
      <c r="D272" s="824"/>
      <c r="E272" s="242"/>
      <c r="F272" s="243">
        <v>3250.0</v>
      </c>
      <c r="G272" s="244" t="s">
        <v>3329</v>
      </c>
      <c r="H272" s="244"/>
      <c r="I272" s="662"/>
    </row>
    <row r="273">
      <c r="A273" s="265"/>
      <c r="B273" s="247">
        <v>2778.0</v>
      </c>
      <c r="C273" s="252"/>
      <c r="D273" s="822"/>
      <c r="F273" s="250"/>
      <c r="G273" s="2" t="s">
        <v>58</v>
      </c>
      <c r="I273" s="847"/>
    </row>
    <row r="274">
      <c r="A274" s="265"/>
      <c r="B274" s="268"/>
      <c r="C274" s="252"/>
      <c r="D274" s="822"/>
      <c r="F274" s="250">
        <v>5250.0</v>
      </c>
      <c r="G274" s="2" t="s">
        <v>87</v>
      </c>
      <c r="I274" s="847"/>
    </row>
    <row r="275">
      <c r="A275" s="265"/>
      <c r="B275" s="268"/>
      <c r="C275" s="248"/>
      <c r="D275" s="822"/>
      <c r="F275" s="250"/>
      <c r="I275" s="847"/>
    </row>
    <row r="276">
      <c r="A276" s="265"/>
      <c r="B276" s="247"/>
      <c r="C276" s="252"/>
      <c r="D276" s="822"/>
      <c r="F276" s="250"/>
      <c r="I276" s="847"/>
    </row>
    <row r="277">
      <c r="A277" s="265"/>
      <c r="B277" s="268"/>
      <c r="C277" s="248"/>
      <c r="D277" s="331"/>
      <c r="F277" s="250"/>
      <c r="I277" s="847"/>
    </row>
    <row r="278">
      <c r="A278" s="265"/>
      <c r="B278" s="268"/>
      <c r="C278" s="252"/>
      <c r="D278" s="331"/>
      <c r="F278" s="250"/>
      <c r="I278" s="847"/>
    </row>
    <row r="279">
      <c r="A279" s="265"/>
      <c r="B279" s="268"/>
      <c r="C279" s="252"/>
      <c r="D279" s="822"/>
      <c r="F279" s="250"/>
      <c r="I279" s="847"/>
    </row>
    <row r="280">
      <c r="A280" s="265"/>
      <c r="B280" s="268"/>
      <c r="C280" s="252"/>
      <c r="D280" s="331"/>
      <c r="F280" s="250"/>
      <c r="I280" s="847"/>
    </row>
    <row r="281">
      <c r="A281" s="265"/>
      <c r="B281" s="268"/>
      <c r="C281" s="252"/>
      <c r="D281" s="331"/>
      <c r="F281" s="250"/>
      <c r="I281" s="847"/>
    </row>
    <row r="282">
      <c r="A282" s="265"/>
      <c r="B282" s="268"/>
      <c r="C282" s="252"/>
      <c r="D282" s="822"/>
      <c r="F282" s="250"/>
      <c r="I282" s="847"/>
    </row>
    <row r="283">
      <c r="A283" s="265"/>
      <c r="B283" s="268"/>
      <c r="C283" s="252"/>
      <c r="D283" s="822"/>
      <c r="F283" s="250"/>
      <c r="I283" s="847"/>
    </row>
    <row r="284">
      <c r="A284" s="265"/>
      <c r="B284" s="268"/>
      <c r="C284" s="252"/>
      <c r="D284" s="822"/>
      <c r="F284" s="250"/>
      <c r="I284" s="847"/>
    </row>
    <row r="285">
      <c r="A285" s="270"/>
      <c r="B285" s="271"/>
      <c r="C285" s="272"/>
      <c r="D285" s="823"/>
      <c r="E285" s="18"/>
      <c r="F285" s="274"/>
      <c r="G285" s="18"/>
      <c r="H285" s="18"/>
      <c r="I285" s="663"/>
    </row>
    <row r="286">
      <c r="A286" s="262" t="s">
        <v>723</v>
      </c>
      <c r="B286" s="306"/>
      <c r="C286" s="263"/>
      <c r="D286" s="824"/>
      <c r="E286" s="242"/>
      <c r="F286" s="243">
        <v>3000.0</v>
      </c>
      <c r="G286" s="244" t="s">
        <v>3330</v>
      </c>
      <c r="H286" s="244"/>
      <c r="I286" s="662"/>
    </row>
    <row r="287">
      <c r="A287" s="265"/>
      <c r="B287" s="268"/>
      <c r="C287" s="248"/>
      <c r="D287" s="822"/>
      <c r="F287" s="250">
        <v>4680.0</v>
      </c>
      <c r="G287" s="2" t="s">
        <v>480</v>
      </c>
      <c r="I287" s="847"/>
    </row>
    <row r="288">
      <c r="A288" s="265"/>
      <c r="B288" s="268"/>
      <c r="C288" s="248"/>
      <c r="D288" s="822"/>
      <c r="F288" s="250">
        <v>558.0</v>
      </c>
      <c r="G288" s="2" t="s">
        <v>480</v>
      </c>
      <c r="I288" s="847"/>
    </row>
    <row r="289">
      <c r="A289" s="265"/>
      <c r="B289" s="268"/>
      <c r="C289" s="248"/>
      <c r="D289" s="822"/>
      <c r="F289" s="250">
        <v>250.0</v>
      </c>
      <c r="G289" s="2" t="s">
        <v>228</v>
      </c>
      <c r="I289" s="847"/>
    </row>
    <row r="290">
      <c r="A290" s="265"/>
      <c r="B290" s="268"/>
      <c r="C290" s="252"/>
      <c r="D290" s="822"/>
      <c r="F290" s="250">
        <v>500.0</v>
      </c>
      <c r="G290" s="2" t="s">
        <v>3305</v>
      </c>
      <c r="I290" s="847"/>
    </row>
    <row r="291">
      <c r="A291" s="265"/>
      <c r="B291" s="268"/>
      <c r="C291" s="252"/>
      <c r="D291" s="822"/>
      <c r="F291" s="250"/>
      <c r="I291" s="847"/>
    </row>
    <row r="292">
      <c r="A292" s="265"/>
      <c r="B292" s="268"/>
      <c r="C292" s="248"/>
      <c r="D292" s="822"/>
      <c r="F292" s="243"/>
      <c r="G292" s="244"/>
      <c r="H292" s="244"/>
      <c r="I292" s="847"/>
    </row>
    <row r="293">
      <c r="A293" s="265"/>
      <c r="B293" s="268"/>
      <c r="C293" s="252"/>
      <c r="D293" s="822"/>
      <c r="F293" s="250"/>
      <c r="I293" s="847"/>
    </row>
    <row r="294">
      <c r="A294" s="265"/>
      <c r="B294" s="247"/>
      <c r="C294" s="252"/>
      <c r="D294" s="822"/>
      <c r="F294" s="250"/>
      <c r="H294" s="252"/>
      <c r="I294" s="847"/>
    </row>
    <row r="295">
      <c r="A295" s="265"/>
      <c r="B295" s="268"/>
      <c r="C295" s="252"/>
      <c r="D295" s="822"/>
      <c r="F295" s="250"/>
      <c r="I295" s="847"/>
    </row>
    <row r="296">
      <c r="A296" s="265"/>
      <c r="B296" s="268"/>
      <c r="C296" s="252"/>
      <c r="D296" s="822"/>
      <c r="F296" s="250"/>
      <c r="I296" s="847"/>
    </row>
    <row r="297">
      <c r="A297" s="265"/>
      <c r="B297" s="268"/>
      <c r="C297" s="252"/>
      <c r="D297" s="822"/>
      <c r="F297" s="250"/>
      <c r="I297" s="847"/>
    </row>
    <row r="298">
      <c r="A298" s="265"/>
      <c r="B298" s="268"/>
      <c r="C298" s="252"/>
      <c r="D298" s="822"/>
      <c r="F298" s="250"/>
      <c r="I298" s="847"/>
    </row>
    <row r="299">
      <c r="A299" s="265"/>
      <c r="B299" s="268"/>
      <c r="C299" s="252"/>
      <c r="D299" s="822"/>
      <c r="F299" s="250"/>
      <c r="I299" s="847"/>
    </row>
    <row r="300">
      <c r="A300" s="270"/>
      <c r="B300" s="271"/>
      <c r="C300" s="272"/>
      <c r="D300" s="823"/>
      <c r="E300" s="18"/>
      <c r="F300" s="274"/>
      <c r="G300" s="18"/>
      <c r="H300" s="18"/>
      <c r="I300" s="663"/>
    </row>
    <row r="301">
      <c r="A301" s="262" t="s">
        <v>727</v>
      </c>
      <c r="B301" s="239">
        <v>2778.0</v>
      </c>
      <c r="C301" s="240"/>
      <c r="D301" s="821"/>
      <c r="E301" s="242"/>
      <c r="F301" s="250"/>
      <c r="G301" s="2" t="s">
        <v>82</v>
      </c>
      <c r="I301" s="662"/>
    </row>
    <row r="302">
      <c r="A302" s="265"/>
      <c r="B302" s="268"/>
      <c r="C302" s="252"/>
      <c r="D302" s="822"/>
      <c r="F302" s="250">
        <v>142.0</v>
      </c>
      <c r="G302" s="2" t="s">
        <v>708</v>
      </c>
      <c r="I302" s="847"/>
    </row>
    <row r="303">
      <c r="A303" s="265"/>
      <c r="B303" s="268"/>
      <c r="C303" s="252"/>
      <c r="D303" s="822"/>
      <c r="F303" s="250">
        <v>492.0</v>
      </c>
      <c r="G303" s="2" t="s">
        <v>708</v>
      </c>
      <c r="I303" s="847"/>
    </row>
    <row r="304">
      <c r="A304" s="265"/>
      <c r="B304" s="268"/>
      <c r="C304" s="248"/>
      <c r="D304" s="822"/>
      <c r="F304" s="250">
        <v>500.0</v>
      </c>
      <c r="G304" s="2" t="s">
        <v>3118</v>
      </c>
      <c r="I304" s="847"/>
    </row>
    <row r="305">
      <c r="A305" s="265"/>
      <c r="B305" s="247"/>
      <c r="C305" s="252"/>
      <c r="D305" s="822"/>
      <c r="F305" s="250"/>
      <c r="I305" s="847"/>
    </row>
    <row r="306">
      <c r="A306" s="265"/>
      <c r="B306" s="247"/>
      <c r="C306" s="252"/>
      <c r="D306" s="822"/>
      <c r="F306" s="250"/>
      <c r="I306" s="847"/>
    </row>
    <row r="307">
      <c r="A307" s="265"/>
      <c r="B307" s="268"/>
      <c r="C307" s="252"/>
      <c r="D307" s="331"/>
      <c r="F307" s="250"/>
      <c r="I307" s="847"/>
    </row>
    <row r="308">
      <c r="A308" s="265"/>
      <c r="B308" s="268"/>
      <c r="C308" s="252"/>
      <c r="D308" s="822"/>
      <c r="F308" s="250"/>
      <c r="I308" s="847"/>
    </row>
    <row r="309">
      <c r="A309" s="265"/>
      <c r="B309" s="268"/>
      <c r="C309" s="252"/>
      <c r="D309" s="822"/>
      <c r="F309" s="250"/>
      <c r="I309" s="847"/>
    </row>
    <row r="310">
      <c r="A310" s="265"/>
      <c r="B310" s="268"/>
      <c r="C310" s="252"/>
      <c r="D310" s="822"/>
      <c r="F310" s="250"/>
      <c r="I310" s="847"/>
    </row>
    <row r="311">
      <c r="A311" s="270"/>
      <c r="B311" s="271"/>
      <c r="C311" s="272"/>
      <c r="D311" s="823"/>
      <c r="E311" s="18"/>
      <c r="F311" s="274"/>
      <c r="G311" s="18"/>
      <c r="H311" s="18"/>
      <c r="I311" s="663"/>
    </row>
    <row r="312">
      <c r="A312" s="262" t="s">
        <v>728</v>
      </c>
      <c r="B312" s="239">
        <v>1047.84</v>
      </c>
      <c r="C312" s="240"/>
      <c r="D312" s="824"/>
      <c r="E312" s="242"/>
      <c r="F312" s="243"/>
      <c r="G312" s="244" t="s">
        <v>405</v>
      </c>
      <c r="H312" s="244"/>
      <c r="I312" s="662"/>
    </row>
    <row r="313">
      <c r="A313" s="265"/>
      <c r="B313" s="247">
        <v>6754.52</v>
      </c>
      <c r="C313" s="248"/>
      <c r="D313" s="822"/>
      <c r="F313" s="250"/>
      <c r="G313" s="2" t="s">
        <v>405</v>
      </c>
      <c r="I313" s="847"/>
    </row>
    <row r="314">
      <c r="A314" s="265"/>
      <c r="B314" s="268"/>
      <c r="C314" s="248"/>
      <c r="D314" s="822"/>
      <c r="F314" s="250">
        <v>6500.0</v>
      </c>
      <c r="G314" s="2" t="s">
        <v>3003</v>
      </c>
      <c r="I314" s="847"/>
    </row>
    <row r="315">
      <c r="A315" s="265"/>
      <c r="B315" s="268"/>
      <c r="C315" s="252"/>
      <c r="D315" s="822"/>
      <c r="F315" s="250">
        <v>5250.0</v>
      </c>
      <c r="G315" s="2" t="s">
        <v>87</v>
      </c>
      <c r="I315" s="847"/>
    </row>
    <row r="316">
      <c r="A316" s="265"/>
      <c r="B316" s="268"/>
      <c r="C316" s="248">
        <v>16254.23</v>
      </c>
      <c r="D316" s="331"/>
      <c r="F316" s="250"/>
      <c r="G316" s="2" t="s">
        <v>71</v>
      </c>
      <c r="I316" s="847"/>
    </row>
    <row r="317">
      <c r="A317" s="265"/>
      <c r="B317" s="247"/>
      <c r="C317" s="252"/>
      <c r="D317" s="822"/>
      <c r="F317" s="250">
        <v>2926.0</v>
      </c>
      <c r="G317" s="2" t="s">
        <v>215</v>
      </c>
      <c r="I317" s="847"/>
    </row>
    <row r="318">
      <c r="A318" s="265"/>
      <c r="B318" s="247"/>
      <c r="C318" s="252"/>
      <c r="D318" s="822"/>
      <c r="F318" s="250">
        <v>500.0</v>
      </c>
      <c r="G318" s="2" t="s">
        <v>3118</v>
      </c>
      <c r="I318" s="847"/>
    </row>
    <row r="319">
      <c r="A319" s="265"/>
      <c r="B319" s="268"/>
      <c r="C319" s="252"/>
      <c r="D319" s="822"/>
      <c r="F319" s="250">
        <v>80.0</v>
      </c>
      <c r="G319" s="2" t="s">
        <v>1169</v>
      </c>
      <c r="I319" s="847"/>
    </row>
    <row r="320">
      <c r="A320" s="265"/>
      <c r="B320" s="268"/>
      <c r="C320" s="252"/>
      <c r="D320" s="822"/>
      <c r="F320" s="250">
        <v>637.0</v>
      </c>
      <c r="G320" s="2" t="s">
        <v>708</v>
      </c>
      <c r="I320" s="847"/>
    </row>
    <row r="321">
      <c r="A321" s="265"/>
      <c r="B321" s="247">
        <v>5140.0</v>
      </c>
      <c r="C321" s="252"/>
      <c r="D321" s="822"/>
      <c r="F321" s="250"/>
      <c r="G321" s="2" t="s">
        <v>3331</v>
      </c>
      <c r="I321" s="847"/>
    </row>
    <row r="322">
      <c r="A322" s="270"/>
      <c r="B322" s="271"/>
      <c r="C322" s="272"/>
      <c r="D322" s="823"/>
      <c r="E322" s="18"/>
      <c r="F322" s="274"/>
      <c r="G322" s="18"/>
      <c r="H322" s="18"/>
      <c r="I322" s="663"/>
    </row>
    <row r="323">
      <c r="A323" s="262" t="s">
        <v>729</v>
      </c>
      <c r="B323" s="306"/>
      <c r="C323" s="240"/>
      <c r="D323" s="824"/>
      <c r="E323" s="242"/>
      <c r="F323" s="243"/>
      <c r="G323" s="244" t="s">
        <v>3332</v>
      </c>
      <c r="H323" s="244"/>
      <c r="I323" s="662"/>
    </row>
    <row r="324">
      <c r="A324" s="265"/>
      <c r="B324" s="268"/>
      <c r="C324" s="252"/>
      <c r="D324" s="822"/>
      <c r="F324" s="250">
        <v>4970.0</v>
      </c>
      <c r="G324" s="2" t="s">
        <v>76</v>
      </c>
      <c r="I324" s="847"/>
    </row>
    <row r="325">
      <c r="A325" s="265"/>
      <c r="B325" s="247"/>
      <c r="C325" s="252"/>
      <c r="D325" s="822"/>
      <c r="F325" s="250">
        <v>289.0</v>
      </c>
      <c r="G325" s="2" t="s">
        <v>708</v>
      </c>
      <c r="I325" s="847"/>
    </row>
    <row r="326">
      <c r="A326" s="265"/>
      <c r="B326" s="268"/>
      <c r="C326" s="252"/>
      <c r="D326" s="331"/>
      <c r="F326" s="250">
        <v>280.0</v>
      </c>
      <c r="G326" s="2" t="s">
        <v>227</v>
      </c>
      <c r="I326" s="847"/>
    </row>
    <row r="327">
      <c r="A327" s="265"/>
      <c r="B327" s="247">
        <v>2507.22</v>
      </c>
      <c r="C327" s="252"/>
      <c r="D327" s="822"/>
      <c r="F327" s="250"/>
      <c r="G327" s="2" t="s">
        <v>82</v>
      </c>
      <c r="I327" s="847"/>
    </row>
    <row r="328">
      <c r="A328" s="265"/>
      <c r="B328" s="268"/>
      <c r="C328" s="252"/>
      <c r="D328" s="822"/>
      <c r="F328" s="250">
        <v>1500.0</v>
      </c>
      <c r="G328" s="2" t="s">
        <v>3319</v>
      </c>
      <c r="I328" s="847"/>
    </row>
    <row r="329">
      <c r="A329" s="265"/>
      <c r="B329" s="247">
        <v>7248.0</v>
      </c>
      <c r="C329" s="252"/>
      <c r="D329" s="822"/>
      <c r="F329" s="250"/>
      <c r="G329" s="2" t="s">
        <v>100</v>
      </c>
      <c r="H329" s="318"/>
      <c r="I329" s="847"/>
    </row>
    <row r="330">
      <c r="A330" s="265"/>
      <c r="B330" s="268"/>
      <c r="C330" s="252"/>
      <c r="D330" s="331"/>
      <c r="F330" s="250">
        <v>500.0</v>
      </c>
      <c r="G330" s="2" t="s">
        <v>3118</v>
      </c>
      <c r="I330" s="847"/>
    </row>
    <row r="331">
      <c r="A331" s="265"/>
      <c r="B331" s="268"/>
      <c r="C331" s="252"/>
      <c r="D331" s="822"/>
      <c r="F331" s="250">
        <v>200.0</v>
      </c>
      <c r="G331" s="2" t="s">
        <v>696</v>
      </c>
      <c r="I331" s="847"/>
    </row>
    <row r="332">
      <c r="A332" s="265"/>
      <c r="B332" s="268"/>
      <c r="C332" s="252"/>
      <c r="D332" s="822"/>
      <c r="F332" s="250"/>
      <c r="I332" s="847"/>
    </row>
    <row r="333">
      <c r="A333" s="265"/>
      <c r="B333" s="268"/>
      <c r="C333" s="252"/>
      <c r="D333" s="822"/>
      <c r="F333" s="250"/>
      <c r="I333" s="847"/>
    </row>
    <row r="334">
      <c r="A334" s="265"/>
      <c r="B334" s="268"/>
      <c r="C334" s="252"/>
      <c r="D334" s="822"/>
      <c r="F334" s="250"/>
      <c r="I334" s="847"/>
    </row>
    <row r="335">
      <c r="A335" s="265"/>
      <c r="B335" s="268"/>
      <c r="C335" s="252"/>
      <c r="D335" s="822"/>
      <c r="F335" s="250"/>
      <c r="I335" s="847"/>
    </row>
    <row r="336">
      <c r="A336" s="265"/>
      <c r="B336" s="268"/>
      <c r="C336" s="252"/>
      <c r="D336" s="822"/>
      <c r="F336" s="250"/>
      <c r="I336" s="847"/>
    </row>
    <row r="337">
      <c r="A337" s="265"/>
      <c r="B337" s="268"/>
      <c r="C337" s="252"/>
      <c r="D337" s="822"/>
      <c r="F337" s="250"/>
      <c r="I337" s="847"/>
    </row>
    <row r="338">
      <c r="A338" s="265"/>
      <c r="B338" s="268"/>
      <c r="C338" s="252"/>
      <c r="D338" s="822"/>
      <c r="F338" s="250"/>
      <c r="I338" s="847"/>
    </row>
    <row r="339">
      <c r="A339" s="265"/>
      <c r="B339" s="268"/>
      <c r="C339" s="252"/>
      <c r="D339" s="822"/>
      <c r="F339" s="250"/>
      <c r="I339" s="847"/>
    </row>
    <row r="340">
      <c r="A340" s="270"/>
      <c r="B340" s="271"/>
      <c r="C340" s="272"/>
      <c r="D340" s="823"/>
      <c r="E340" s="18"/>
      <c r="F340" s="274"/>
      <c r="G340" s="18"/>
      <c r="H340" s="18"/>
      <c r="I340" s="663"/>
    </row>
    <row r="341">
      <c r="A341" s="262"/>
      <c r="B341" s="306"/>
      <c r="C341" s="240"/>
      <c r="D341" s="824"/>
      <c r="E341" s="242"/>
      <c r="F341" s="243"/>
      <c r="I341" s="662"/>
    </row>
    <row r="342">
      <c r="A342" s="265"/>
      <c r="B342" s="268"/>
      <c r="C342" s="248"/>
      <c r="D342" s="822"/>
      <c r="F342" s="250"/>
      <c r="I342" s="847"/>
    </row>
    <row r="343">
      <c r="A343" s="265"/>
      <c r="B343" s="268"/>
      <c r="C343" s="248"/>
      <c r="D343" s="822"/>
      <c r="F343" s="250"/>
      <c r="I343" s="847"/>
    </row>
    <row r="344">
      <c r="A344" s="265"/>
      <c r="B344" s="268"/>
      <c r="C344" s="252"/>
      <c r="D344" s="822"/>
      <c r="F344" s="250"/>
      <c r="I344" s="847"/>
    </row>
    <row r="345">
      <c r="A345" s="265"/>
      <c r="B345" s="268"/>
      <c r="C345" s="252"/>
      <c r="D345" s="822"/>
      <c r="F345" s="250"/>
      <c r="I345" s="847"/>
    </row>
    <row r="346">
      <c r="A346" s="265"/>
      <c r="B346" s="268"/>
      <c r="C346" s="252"/>
      <c r="D346" s="822"/>
      <c r="F346" s="250"/>
      <c r="I346" s="847"/>
    </row>
    <row r="347">
      <c r="A347" s="265"/>
      <c r="B347" s="268"/>
      <c r="C347" s="252"/>
      <c r="D347" s="822"/>
      <c r="F347" s="250"/>
      <c r="I347" s="847"/>
    </row>
    <row r="348">
      <c r="A348" s="265"/>
      <c r="B348" s="268"/>
      <c r="C348" s="252"/>
      <c r="D348" s="822"/>
      <c r="F348" s="250"/>
      <c r="I348" s="847"/>
    </row>
    <row r="349">
      <c r="A349" s="265"/>
      <c r="B349" s="268"/>
      <c r="C349" s="252"/>
      <c r="D349" s="822"/>
      <c r="F349" s="250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70"/>
      <c r="B351" s="271"/>
      <c r="C351" s="272"/>
      <c r="D351" s="823"/>
      <c r="E351" s="18"/>
      <c r="F351" s="274"/>
      <c r="G351" s="18"/>
      <c r="H351" s="18"/>
      <c r="I351" s="663"/>
    </row>
    <row r="352">
      <c r="A352" s="262"/>
      <c r="B352" s="306"/>
      <c r="C352" s="240"/>
      <c r="D352" s="824"/>
      <c r="E352" s="242"/>
      <c r="F352" s="243"/>
      <c r="G352" s="244"/>
      <c r="H352" s="244"/>
      <c r="I352" s="662"/>
    </row>
    <row r="353">
      <c r="A353" s="265"/>
      <c r="B353" s="268"/>
      <c r="C353" s="248"/>
      <c r="D353" s="331"/>
      <c r="F353" s="250"/>
      <c r="I353" s="847"/>
    </row>
    <row r="354">
      <c r="A354" s="265"/>
      <c r="B354" s="268"/>
      <c r="C354" s="252"/>
      <c r="D354" s="331"/>
      <c r="F354" s="250"/>
      <c r="I354" s="847"/>
    </row>
    <row r="355">
      <c r="A355" s="265"/>
      <c r="B355" s="268"/>
      <c r="C355" s="252"/>
      <c r="D355" s="822"/>
      <c r="F355" s="250"/>
      <c r="I355" s="847"/>
    </row>
    <row r="356">
      <c r="A356" s="265"/>
      <c r="B356" s="268"/>
      <c r="C356" s="248"/>
      <c r="D356" s="331"/>
      <c r="F356" s="250"/>
      <c r="I356" s="847"/>
    </row>
    <row r="357">
      <c r="A357" s="265"/>
      <c r="B357" s="268"/>
      <c r="C357" s="252"/>
      <c r="D357" s="331"/>
      <c r="F357" s="250"/>
      <c r="I357" s="847"/>
    </row>
    <row r="358">
      <c r="A358" s="265"/>
      <c r="B358" s="268"/>
      <c r="C358" s="252"/>
      <c r="D358" s="822"/>
      <c r="F358" s="250"/>
      <c r="I358" s="847"/>
    </row>
    <row r="359">
      <c r="A359" s="265"/>
      <c r="B359" s="268"/>
      <c r="C359" s="252"/>
      <c r="D359" s="331"/>
      <c r="F359" s="250"/>
      <c r="I359" s="847"/>
    </row>
    <row r="360">
      <c r="A360" s="265"/>
      <c r="B360" s="268"/>
      <c r="C360" s="252"/>
      <c r="D360" s="822"/>
      <c r="F360" s="250"/>
      <c r="I360" s="847"/>
    </row>
    <row r="361">
      <c r="A361" s="265"/>
      <c r="B361" s="268"/>
      <c r="C361" s="252"/>
      <c r="D361" s="822"/>
      <c r="F361" s="250"/>
      <c r="I361" s="847"/>
    </row>
    <row r="362">
      <c r="A362" s="265"/>
      <c r="B362" s="268"/>
      <c r="C362" s="252"/>
      <c r="D362" s="331"/>
      <c r="F362" s="250"/>
      <c r="I362" s="847"/>
    </row>
    <row r="363">
      <c r="A363" s="265"/>
      <c r="B363" s="268"/>
      <c r="C363" s="252"/>
      <c r="D363" s="822"/>
      <c r="F363" s="250"/>
      <c r="I363" s="847"/>
    </row>
    <row r="364">
      <c r="A364" s="270"/>
      <c r="B364" s="271"/>
      <c r="C364" s="272"/>
      <c r="D364" s="823"/>
      <c r="E364" s="18"/>
      <c r="F364" s="274"/>
      <c r="G364" s="18"/>
      <c r="H364" s="18"/>
      <c r="I364" s="663"/>
    </row>
    <row r="365">
      <c r="A365" s="262"/>
      <c r="B365" s="306"/>
      <c r="C365" s="263"/>
      <c r="D365" s="824"/>
      <c r="E365" s="242"/>
      <c r="F365" s="243"/>
      <c r="G365" s="244"/>
      <c r="H365" s="244"/>
      <c r="I365" s="662"/>
    </row>
    <row r="366">
      <c r="A366" s="265"/>
      <c r="B366" s="268"/>
      <c r="C366" s="248"/>
      <c r="D366" s="331"/>
      <c r="F366" s="250"/>
      <c r="I366" s="847"/>
    </row>
    <row r="367">
      <c r="A367" s="265"/>
      <c r="B367" s="268"/>
      <c r="C367" s="252"/>
      <c r="D367" s="822"/>
      <c r="F367" s="250"/>
      <c r="I367" s="847"/>
    </row>
    <row r="368">
      <c r="A368" s="265"/>
      <c r="B368" s="268"/>
      <c r="C368" s="252"/>
      <c r="D368" s="822"/>
      <c r="F368" s="250"/>
      <c r="I368" s="847"/>
    </row>
    <row r="369">
      <c r="A369" s="265"/>
      <c r="B369" s="268"/>
      <c r="C369" s="252"/>
      <c r="D369" s="331"/>
      <c r="F369" s="250"/>
      <c r="I369" s="847"/>
    </row>
    <row r="370">
      <c r="A370" s="265"/>
      <c r="B370" s="268"/>
      <c r="C370" s="252"/>
      <c r="D370" s="822"/>
      <c r="F370" s="250"/>
      <c r="I370" s="847"/>
    </row>
    <row r="371">
      <c r="A371" s="265"/>
      <c r="B371" s="268"/>
      <c r="C371" s="252"/>
      <c r="D371" s="822"/>
      <c r="F371" s="250"/>
      <c r="I371" s="847"/>
    </row>
    <row r="372">
      <c r="A372" s="265"/>
      <c r="B372" s="268"/>
      <c r="C372" s="252"/>
      <c r="D372" s="822"/>
      <c r="F372" s="250"/>
      <c r="I372" s="847"/>
    </row>
    <row r="373">
      <c r="A373" s="265"/>
      <c r="B373" s="268"/>
      <c r="C373" s="252"/>
      <c r="D373" s="822"/>
      <c r="F373" s="250"/>
      <c r="I373" s="847"/>
    </row>
    <row r="374">
      <c r="A374" s="265"/>
      <c r="B374" s="278"/>
      <c r="C374" s="252"/>
      <c r="D374" s="822"/>
      <c r="F374" s="282"/>
      <c r="I374" s="847"/>
    </row>
    <row r="375">
      <c r="A375" s="265"/>
      <c r="B375" s="278"/>
      <c r="C375" s="252"/>
      <c r="D375" s="822"/>
      <c r="F375" s="282"/>
      <c r="I375" s="847"/>
    </row>
    <row r="376">
      <c r="A376" s="270"/>
      <c r="B376" s="271"/>
      <c r="C376" s="272"/>
      <c r="D376" s="823"/>
      <c r="E376" s="18"/>
      <c r="F376" s="274"/>
      <c r="G376" s="18"/>
      <c r="H376" s="18"/>
      <c r="I376" s="663"/>
    </row>
    <row r="377">
      <c r="A377" s="305"/>
      <c r="B377" s="306"/>
      <c r="C377" s="240"/>
      <c r="D377" s="824"/>
      <c r="E377" s="242"/>
      <c r="F377" s="243"/>
      <c r="G377" s="244"/>
      <c r="H377" s="244"/>
      <c r="I377" s="662"/>
    </row>
    <row r="378">
      <c r="A378" s="265"/>
      <c r="B378" s="268"/>
      <c r="C378" s="252"/>
      <c r="D378" s="331"/>
      <c r="F378" s="250"/>
      <c r="I378" s="847"/>
    </row>
    <row r="379">
      <c r="A379" s="265"/>
      <c r="B379" s="268"/>
      <c r="C379" s="252"/>
      <c r="D379" s="822"/>
      <c r="F379" s="250"/>
      <c r="I379" s="847"/>
    </row>
    <row r="380">
      <c r="A380" s="265"/>
      <c r="B380" s="268"/>
      <c r="C380" s="252"/>
      <c r="D380" s="331"/>
      <c r="F380" s="250"/>
      <c r="I380" s="847"/>
    </row>
    <row r="381">
      <c r="A381" s="265"/>
      <c r="B381" s="268"/>
      <c r="C381" s="252"/>
      <c r="D381" s="822"/>
      <c r="F381" s="250"/>
      <c r="I381" s="847"/>
    </row>
    <row r="382">
      <c r="A382" s="265"/>
      <c r="B382" s="268"/>
      <c r="C382" s="252"/>
      <c r="D382" s="331"/>
      <c r="F382" s="250"/>
      <c r="I382" s="847"/>
    </row>
    <row r="383">
      <c r="A383" s="265"/>
      <c r="B383" s="268"/>
      <c r="C383" s="252"/>
      <c r="D383" s="822"/>
      <c r="F383" s="250"/>
      <c r="I383" s="847"/>
    </row>
    <row r="384">
      <c r="A384" s="265"/>
      <c r="B384" s="268"/>
      <c r="C384" s="252"/>
      <c r="D384" s="822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822"/>
      <c r="F386" s="250"/>
      <c r="I386" s="847"/>
    </row>
    <row r="387">
      <c r="A387" s="265"/>
      <c r="B387" s="268"/>
      <c r="C387" s="252"/>
      <c r="D387" s="822"/>
      <c r="F387" s="250"/>
      <c r="I387" s="847"/>
    </row>
    <row r="388">
      <c r="A388" s="270"/>
      <c r="B388" s="271"/>
      <c r="C388" s="272"/>
      <c r="D388" s="823"/>
      <c r="E388" s="18"/>
      <c r="F388" s="274"/>
      <c r="G388" s="18"/>
      <c r="H388" s="18"/>
      <c r="I388" s="663"/>
    </row>
    <row r="389">
      <c r="A389" s="305"/>
      <c r="B389" s="306"/>
      <c r="C389" s="240"/>
      <c r="D389" s="824"/>
      <c r="E389" s="242"/>
      <c r="F389" s="243"/>
      <c r="G389" s="244"/>
      <c r="H389" s="244"/>
      <c r="I389" s="662"/>
    </row>
    <row r="390">
      <c r="A390" s="265"/>
      <c r="B390" s="268"/>
      <c r="C390" s="252"/>
      <c r="D390" s="822"/>
      <c r="F390" s="250"/>
      <c r="H390" s="252"/>
      <c r="I390" s="847"/>
    </row>
    <row r="391">
      <c r="A391" s="265"/>
      <c r="B391" s="268"/>
      <c r="C391" s="252"/>
      <c r="D391" s="822"/>
      <c r="F391" s="250"/>
      <c r="H391" s="252"/>
      <c r="I391" s="847"/>
    </row>
    <row r="392">
      <c r="A392" s="265"/>
      <c r="B392" s="268"/>
      <c r="C392" s="252"/>
      <c r="D392" s="822"/>
      <c r="F392" s="250"/>
      <c r="H392" s="252"/>
      <c r="I392" s="847"/>
    </row>
    <row r="393">
      <c r="A393" s="265"/>
      <c r="B393" s="268"/>
      <c r="C393" s="252"/>
      <c r="D393" s="822"/>
      <c r="F393" s="250"/>
      <c r="H393" s="252"/>
      <c r="I393" s="847"/>
    </row>
    <row r="394">
      <c r="A394" s="265"/>
      <c r="B394" s="268"/>
      <c r="C394" s="252"/>
      <c r="D394" s="822"/>
      <c r="F394" s="250"/>
      <c r="I394" s="847"/>
    </row>
    <row r="395">
      <c r="A395" s="265"/>
      <c r="B395" s="268"/>
      <c r="C395" s="252"/>
      <c r="D395" s="822"/>
      <c r="F395" s="250"/>
      <c r="I395" s="847"/>
    </row>
    <row r="396">
      <c r="A396" s="265"/>
      <c r="B396" s="268"/>
      <c r="C396" s="252"/>
      <c r="D396" s="822"/>
      <c r="F396" s="250"/>
      <c r="I396" s="847"/>
    </row>
    <row r="397">
      <c r="A397" s="265"/>
      <c r="B397" s="268"/>
      <c r="C397" s="252"/>
      <c r="D397" s="822"/>
      <c r="F397" s="250"/>
      <c r="I397" s="847"/>
    </row>
    <row r="398">
      <c r="A398" s="270"/>
      <c r="B398" s="271"/>
      <c r="C398" s="272"/>
      <c r="D398" s="823"/>
      <c r="E398" s="18"/>
      <c r="F398" s="274"/>
      <c r="G398" s="18"/>
      <c r="H398" s="18"/>
      <c r="I398" s="663"/>
    </row>
    <row r="399">
      <c r="A399" s="305"/>
      <c r="B399" s="306"/>
      <c r="C399" s="240"/>
      <c r="D399" s="824"/>
      <c r="E399" s="242"/>
      <c r="F399" s="243"/>
      <c r="G399" s="244"/>
      <c r="H399" s="244"/>
      <c r="I399" s="662"/>
    </row>
    <row r="400">
      <c r="A400" s="265"/>
      <c r="B400" s="268"/>
      <c r="C400" s="252"/>
      <c r="D400" s="822"/>
      <c r="F400" s="250"/>
      <c r="I400" s="847"/>
    </row>
    <row r="401">
      <c r="A401" s="265"/>
      <c r="B401" s="268"/>
      <c r="C401" s="252"/>
      <c r="D401" s="822"/>
      <c r="F401" s="250"/>
      <c r="I401" s="847"/>
    </row>
    <row r="402">
      <c r="A402" s="265"/>
      <c r="B402" s="268"/>
      <c r="C402" s="252"/>
      <c r="D402" s="822"/>
      <c r="F402" s="250"/>
      <c r="I402" s="847"/>
    </row>
    <row r="403">
      <c r="A403" s="265"/>
      <c r="B403" s="268"/>
      <c r="C403" s="252"/>
      <c r="D403" s="822"/>
      <c r="F403" s="250"/>
      <c r="I403" s="847"/>
    </row>
    <row r="404">
      <c r="A404" s="265"/>
      <c r="B404" s="268"/>
      <c r="C404" s="252"/>
      <c r="D404" s="822"/>
      <c r="F404" s="250"/>
      <c r="I404" s="847"/>
    </row>
    <row r="405">
      <c r="A405" s="265"/>
      <c r="B405" s="268"/>
      <c r="C405" s="252"/>
      <c r="D405" s="822"/>
      <c r="F405" s="250"/>
      <c r="I405" s="847"/>
    </row>
    <row r="406">
      <c r="A406" s="265"/>
      <c r="B406" s="268"/>
      <c r="C406" s="252"/>
      <c r="D406" s="822"/>
      <c r="F406" s="250"/>
      <c r="I406" s="847"/>
    </row>
    <row r="407">
      <c r="A407" s="265"/>
      <c r="B407" s="268"/>
      <c r="C407" s="252"/>
      <c r="D407" s="822"/>
      <c r="F407" s="250"/>
      <c r="I407" s="847"/>
    </row>
    <row r="408">
      <c r="A408" s="270"/>
      <c r="B408" s="271"/>
      <c r="C408" s="272"/>
      <c r="D408" s="823"/>
      <c r="E408" s="18"/>
      <c r="F408" s="274"/>
      <c r="G408" s="18"/>
      <c r="H408" s="18"/>
      <c r="I408" s="663"/>
    </row>
    <row r="409">
      <c r="B409" s="306"/>
      <c r="C409" s="240"/>
      <c r="D409" s="824"/>
      <c r="E409" s="242"/>
      <c r="F409" s="243"/>
      <c r="G409" s="244"/>
      <c r="H409" s="244"/>
      <c r="I409" s="662"/>
    </row>
    <row r="410">
      <c r="B410" s="268"/>
      <c r="C410" s="252"/>
      <c r="D410" s="822"/>
      <c r="F410" s="250"/>
      <c r="I410" s="847"/>
    </row>
    <row r="411">
      <c r="B411" s="268"/>
      <c r="C411" s="252"/>
      <c r="D411" s="822"/>
      <c r="F411" s="250"/>
      <c r="I411" s="847"/>
    </row>
    <row r="412">
      <c r="B412" s="308"/>
      <c r="C412" s="252"/>
      <c r="D412" s="822"/>
      <c r="F412" s="309"/>
    </row>
    <row r="413">
      <c r="B413" s="308"/>
      <c r="C413" s="252"/>
      <c r="D413" s="822"/>
      <c r="F413" s="309"/>
    </row>
    <row r="414">
      <c r="B414" s="308"/>
      <c r="C414" s="252"/>
      <c r="D414" s="822"/>
      <c r="F414" s="309"/>
    </row>
    <row r="415">
      <c r="B415" s="308"/>
      <c r="C415" s="252"/>
      <c r="D415" s="822"/>
      <c r="F415" s="309"/>
    </row>
    <row r="416">
      <c r="B416" s="308"/>
      <c r="C416" s="252"/>
      <c r="D416" s="822"/>
      <c r="F416" s="309"/>
    </row>
    <row r="417">
      <c r="B417" s="308"/>
      <c r="C417" s="252"/>
      <c r="D417" s="822"/>
      <c r="F417" s="309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  <row r="697">
      <c r="B697" s="308"/>
      <c r="C697" s="252"/>
      <c r="D697" s="822"/>
      <c r="F697" s="309"/>
    </row>
    <row r="698">
      <c r="B698" s="308"/>
      <c r="C698" s="252"/>
      <c r="D698" s="822"/>
      <c r="F698" s="309"/>
    </row>
    <row r="699">
      <c r="B699" s="308"/>
      <c r="C699" s="252"/>
      <c r="D699" s="822"/>
      <c r="F699" s="309"/>
    </row>
    <row r="700">
      <c r="B700" s="308"/>
      <c r="C700" s="252"/>
      <c r="D700" s="822"/>
      <c r="F700" s="309"/>
    </row>
    <row r="701">
      <c r="B701" s="308"/>
      <c r="C701" s="252"/>
      <c r="D701" s="822"/>
      <c r="F701" s="309"/>
    </row>
    <row r="702">
      <c r="B702" s="308"/>
      <c r="C702" s="252"/>
      <c r="D702" s="822"/>
      <c r="F702" s="309"/>
    </row>
    <row r="703">
      <c r="B703" s="308"/>
      <c r="C703" s="252"/>
      <c r="D703" s="822"/>
      <c r="F703" s="309"/>
    </row>
    <row r="704">
      <c r="B704" s="308"/>
      <c r="C704" s="252"/>
      <c r="D704" s="822"/>
      <c r="F704" s="309"/>
    </row>
    <row r="705">
      <c r="B705" s="308"/>
      <c r="C705" s="252"/>
      <c r="D705" s="822"/>
      <c r="F705" s="309"/>
    </row>
    <row r="706">
      <c r="B706" s="308"/>
      <c r="C706" s="252"/>
      <c r="D706" s="822"/>
      <c r="F706" s="309"/>
    </row>
    <row r="707">
      <c r="B707" s="308"/>
      <c r="C707" s="252"/>
      <c r="D707" s="822"/>
      <c r="F707" s="309"/>
    </row>
    <row r="708">
      <c r="B708" s="308"/>
      <c r="C708" s="252"/>
      <c r="D708" s="822"/>
      <c r="F708" s="309"/>
    </row>
    <row r="709">
      <c r="B709" s="308"/>
      <c r="C709" s="252"/>
      <c r="D709" s="822"/>
      <c r="F709" s="309"/>
    </row>
    <row r="710">
      <c r="B710" s="308"/>
      <c r="C710" s="252"/>
      <c r="D710" s="822"/>
      <c r="F710" s="309"/>
    </row>
    <row r="711">
      <c r="B711" s="308"/>
      <c r="C711" s="252"/>
      <c r="D711" s="822"/>
      <c r="F711" s="309"/>
    </row>
    <row r="712">
      <c r="B712" s="308"/>
      <c r="C712" s="252"/>
      <c r="D712" s="822"/>
      <c r="F712" s="309"/>
    </row>
    <row r="713">
      <c r="B713" s="308"/>
      <c r="C713" s="252"/>
      <c r="D713" s="822"/>
      <c r="F713" s="309"/>
    </row>
    <row r="714">
      <c r="B714" s="308"/>
      <c r="C714" s="252"/>
      <c r="D714" s="822"/>
      <c r="F714" s="309"/>
    </row>
    <row r="715">
      <c r="B715" s="308"/>
      <c r="C715" s="252"/>
      <c r="D715" s="822"/>
      <c r="F715" s="309"/>
    </row>
    <row r="716">
      <c r="B716" s="308"/>
      <c r="C716" s="252"/>
      <c r="D716" s="822"/>
      <c r="F716" s="309"/>
    </row>
    <row r="717">
      <c r="B717" s="308"/>
      <c r="C717" s="252"/>
      <c r="D717" s="822"/>
      <c r="F717" s="309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98"/>
    <mergeCell ref="A99:A112"/>
    <mergeCell ref="A113:A128"/>
    <mergeCell ref="A129:A140"/>
    <mergeCell ref="A141:A150"/>
    <mergeCell ref="A151:A160"/>
    <mergeCell ref="A161:A175"/>
    <mergeCell ref="A176:A191"/>
    <mergeCell ref="A192:A206"/>
    <mergeCell ref="A207:A218"/>
    <mergeCell ref="A219:A229"/>
    <mergeCell ref="A230:A243"/>
    <mergeCell ref="A244:A258"/>
    <mergeCell ref="A352:A364"/>
    <mergeCell ref="A365:A376"/>
    <mergeCell ref="A377:A388"/>
    <mergeCell ref="A389:A398"/>
    <mergeCell ref="A399:A408"/>
    <mergeCell ref="A259:A271"/>
    <mergeCell ref="A272:A285"/>
    <mergeCell ref="A286:A300"/>
    <mergeCell ref="A301:A311"/>
    <mergeCell ref="A312:A322"/>
    <mergeCell ref="A323:A340"/>
    <mergeCell ref="A341:A3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364</v>
      </c>
      <c r="B2" s="268"/>
      <c r="C2" s="240"/>
      <c r="D2" s="824"/>
      <c r="E2" s="242"/>
      <c r="F2" s="243">
        <v>1800.0</v>
      </c>
      <c r="G2" s="2" t="s">
        <v>329</v>
      </c>
      <c r="H2" s="244"/>
      <c r="I2" s="662"/>
    </row>
    <row r="3">
      <c r="A3" s="265"/>
      <c r="B3" s="268"/>
      <c r="C3" s="252"/>
      <c r="D3" s="822"/>
      <c r="F3" s="250">
        <v>500.0</v>
      </c>
      <c r="G3" s="2" t="s">
        <v>3333</v>
      </c>
      <c r="I3" s="847"/>
    </row>
    <row r="4">
      <c r="A4" s="265"/>
      <c r="B4" s="268"/>
      <c r="C4" s="252"/>
      <c r="D4" s="822"/>
      <c r="F4" s="250">
        <v>120.0</v>
      </c>
      <c r="G4" s="2" t="s">
        <v>708</v>
      </c>
      <c r="I4" s="847"/>
    </row>
    <row r="5">
      <c r="A5" s="265"/>
      <c r="B5" s="247"/>
      <c r="C5" s="248"/>
      <c r="D5" s="331"/>
      <c r="F5" s="250"/>
      <c r="G5" s="2"/>
      <c r="I5" s="847"/>
    </row>
    <row r="6">
      <c r="A6" s="265"/>
      <c r="B6" s="247"/>
      <c r="C6" s="252"/>
      <c r="D6" s="822"/>
      <c r="F6" s="250"/>
      <c r="G6" s="2"/>
      <c r="I6" s="847"/>
    </row>
    <row r="7">
      <c r="A7" s="265"/>
      <c r="B7" s="247"/>
      <c r="C7" s="252"/>
      <c r="D7" s="822"/>
      <c r="F7" s="250"/>
      <c r="I7" s="847"/>
    </row>
    <row r="8">
      <c r="A8" s="265"/>
      <c r="B8" s="268"/>
      <c r="C8" s="252"/>
      <c r="D8" s="822"/>
      <c r="F8" s="250"/>
      <c r="I8" s="847"/>
    </row>
    <row r="9">
      <c r="A9" s="265"/>
      <c r="B9" s="268"/>
      <c r="C9" s="252"/>
      <c r="D9" s="822"/>
      <c r="F9" s="250"/>
      <c r="I9" s="847"/>
    </row>
    <row r="10">
      <c r="A10" s="265"/>
      <c r="B10" s="268"/>
      <c r="C10" s="252"/>
      <c r="D10" s="822"/>
      <c r="F10" s="250"/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365</v>
      </c>
      <c r="B12" s="268"/>
      <c r="C12" s="263"/>
      <c r="D12" s="821"/>
      <c r="E12" s="242"/>
      <c r="F12" s="243">
        <v>7400.0</v>
      </c>
      <c r="G12" s="244" t="s">
        <v>64</v>
      </c>
      <c r="H12" s="244"/>
      <c r="I12" s="662"/>
    </row>
    <row r="13">
      <c r="A13" s="265"/>
      <c r="B13" s="268"/>
      <c r="C13" s="248"/>
      <c r="D13" s="822"/>
      <c r="F13" s="250">
        <v>4147.0</v>
      </c>
      <c r="G13" s="2" t="s">
        <v>3183</v>
      </c>
      <c r="I13" s="847"/>
    </row>
    <row r="14">
      <c r="A14" s="265"/>
      <c r="B14" s="268"/>
      <c r="C14" s="248">
        <v>24121.66</v>
      </c>
      <c r="D14" s="331"/>
      <c r="F14" s="250"/>
      <c r="G14" s="2" t="s">
        <v>2637</v>
      </c>
      <c r="I14" s="847"/>
    </row>
    <row r="15">
      <c r="A15" s="265"/>
      <c r="B15" s="268"/>
      <c r="C15" s="252"/>
      <c r="D15" s="331"/>
      <c r="F15" s="250">
        <v>8750.0</v>
      </c>
      <c r="G15" s="2" t="s">
        <v>3212</v>
      </c>
      <c r="I15" s="847"/>
    </row>
    <row r="16">
      <c r="A16" s="265"/>
      <c r="B16" s="268"/>
      <c r="C16" s="252"/>
      <c r="D16" s="331"/>
      <c r="F16" s="250">
        <v>1500.0</v>
      </c>
      <c r="G16" s="2" t="s">
        <v>708</v>
      </c>
      <c r="I16" s="847"/>
    </row>
    <row r="17">
      <c r="A17" s="265"/>
      <c r="B17" s="268"/>
      <c r="C17" s="252"/>
      <c r="D17" s="331"/>
      <c r="F17" s="250">
        <v>500.0</v>
      </c>
      <c r="G17" s="2" t="s">
        <v>3333</v>
      </c>
      <c r="I17" s="847"/>
    </row>
    <row r="18">
      <c r="A18" s="265"/>
      <c r="B18" s="247">
        <v>18600.0</v>
      </c>
      <c r="C18" s="252"/>
      <c r="D18" s="822"/>
      <c r="F18" s="250"/>
      <c r="G18" s="2" t="s">
        <v>167</v>
      </c>
      <c r="I18" s="847"/>
    </row>
    <row r="19">
      <c r="A19" s="265"/>
      <c r="B19" s="268"/>
      <c r="C19" s="252"/>
      <c r="D19" s="331"/>
      <c r="F19" s="250"/>
      <c r="I19" s="847"/>
    </row>
    <row r="20">
      <c r="A20" s="265"/>
      <c r="B20" s="247"/>
      <c r="C20" s="252"/>
      <c r="D20" s="822"/>
      <c r="F20" s="250"/>
      <c r="I20" s="847"/>
    </row>
    <row r="21">
      <c r="A21" s="265"/>
      <c r="B21" s="278"/>
      <c r="C21" s="252"/>
      <c r="D21" s="822"/>
      <c r="F21" s="250"/>
      <c r="I21" s="847"/>
    </row>
    <row r="22">
      <c r="A22" s="265"/>
      <c r="B22" s="278"/>
      <c r="C22" s="252"/>
      <c r="D22" s="822"/>
      <c r="F22" s="250"/>
      <c r="I22" s="847"/>
    </row>
    <row r="23">
      <c r="A23" s="265"/>
      <c r="B23" s="278"/>
      <c r="C23" s="252"/>
      <c r="D23" s="822"/>
      <c r="F23" s="250"/>
      <c r="I23" s="847"/>
    </row>
    <row r="24">
      <c r="A24" s="270"/>
      <c r="B24" s="271"/>
      <c r="C24" s="272"/>
      <c r="D24" s="823"/>
      <c r="E24" s="18"/>
      <c r="F24" s="274"/>
      <c r="G24" s="18"/>
      <c r="H24" s="18"/>
      <c r="I24" s="663"/>
    </row>
    <row r="25">
      <c r="A25" s="262" t="s">
        <v>366</v>
      </c>
      <c r="B25" s="306"/>
      <c r="C25" s="263"/>
      <c r="D25" s="824"/>
      <c r="E25" s="242"/>
      <c r="F25" s="243">
        <v>10304.0</v>
      </c>
      <c r="G25" s="244" t="s">
        <v>74</v>
      </c>
      <c r="H25" s="244"/>
      <c r="I25" s="662"/>
    </row>
    <row r="26">
      <c r="A26" s="265"/>
      <c r="B26" s="268"/>
      <c r="C26" s="252"/>
      <c r="D26" s="822"/>
      <c r="F26" s="250">
        <v>8770.0</v>
      </c>
      <c r="G26" s="2" t="s">
        <v>1347</v>
      </c>
      <c r="I26" s="847"/>
    </row>
    <row r="27">
      <c r="A27" s="265"/>
      <c r="B27" s="268"/>
      <c r="C27" s="252"/>
      <c r="D27" s="822"/>
      <c r="F27" s="250">
        <v>345.0</v>
      </c>
      <c r="G27" s="2" t="s">
        <v>862</v>
      </c>
      <c r="I27" s="847"/>
    </row>
    <row r="28">
      <c r="A28" s="265"/>
      <c r="B28" s="268"/>
      <c r="C28" s="252"/>
      <c r="D28" s="822"/>
      <c r="F28" s="250">
        <v>4040.0</v>
      </c>
      <c r="G28" s="2" t="s">
        <v>3334</v>
      </c>
      <c r="I28" s="847"/>
    </row>
    <row r="29">
      <c r="A29" s="265"/>
      <c r="B29" s="268"/>
      <c r="C29" s="248"/>
      <c r="D29" s="822"/>
      <c r="F29" s="250">
        <v>129.0</v>
      </c>
      <c r="G29" s="2" t="s">
        <v>708</v>
      </c>
      <c r="I29" s="847"/>
    </row>
    <row r="30">
      <c r="A30" s="265"/>
      <c r="B30" s="268"/>
      <c r="C30" s="252"/>
      <c r="D30" s="822"/>
      <c r="F30" s="250">
        <v>500.0</v>
      </c>
      <c r="G30" s="2" t="s">
        <v>3333</v>
      </c>
      <c r="I30" s="847"/>
    </row>
    <row r="31">
      <c r="A31" s="265"/>
      <c r="B31" s="268"/>
      <c r="C31" s="252"/>
      <c r="D31" s="822"/>
      <c r="F31" s="250">
        <v>594.0</v>
      </c>
      <c r="G31" s="2" t="s">
        <v>708</v>
      </c>
      <c r="I31" s="847"/>
    </row>
    <row r="32">
      <c r="A32" s="265"/>
      <c r="B32" s="268"/>
      <c r="C32" s="252"/>
      <c r="D32" s="331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65"/>
      <c r="B34" s="268"/>
      <c r="C34" s="252"/>
      <c r="D34" s="822"/>
      <c r="F34" s="250"/>
      <c r="I34" s="847"/>
    </row>
    <row r="35">
      <c r="A35" s="265"/>
      <c r="B35" s="268"/>
      <c r="C35" s="252"/>
      <c r="D35" s="822"/>
      <c r="F35" s="250"/>
      <c r="I35" s="847"/>
    </row>
    <row r="36">
      <c r="A36" s="265"/>
      <c r="B36" s="268"/>
      <c r="C36" s="252"/>
      <c r="D36" s="822"/>
      <c r="F36" s="250"/>
      <c r="I36" s="847"/>
    </row>
    <row r="37">
      <c r="A37" s="270"/>
      <c r="B37" s="271"/>
      <c r="C37" s="272"/>
      <c r="D37" s="823"/>
      <c r="E37" s="18"/>
      <c r="F37" s="274"/>
      <c r="G37" s="18"/>
      <c r="H37" s="18"/>
      <c r="I37" s="663"/>
    </row>
    <row r="38">
      <c r="A38" s="262" t="s">
        <v>376</v>
      </c>
      <c r="B38" s="306"/>
      <c r="C38" s="240"/>
      <c r="D38" s="824"/>
      <c r="E38" s="242"/>
      <c r="F38" s="243">
        <v>7400.0</v>
      </c>
      <c r="G38" s="244" t="s">
        <v>87</v>
      </c>
      <c r="H38" s="244"/>
      <c r="I38" s="662"/>
    </row>
    <row r="39">
      <c r="A39" s="265"/>
      <c r="B39" s="268"/>
      <c r="C39" s="252"/>
      <c r="D39" s="822"/>
      <c r="F39" s="250">
        <v>6014.0</v>
      </c>
      <c r="G39" s="2" t="s">
        <v>405</v>
      </c>
      <c r="I39" s="847"/>
    </row>
    <row r="40">
      <c r="A40" s="265"/>
      <c r="B40" s="268"/>
      <c r="C40" s="248"/>
      <c r="D40" s="822"/>
      <c r="F40" s="250">
        <v>2500.0</v>
      </c>
      <c r="G40" s="2" t="s">
        <v>139</v>
      </c>
      <c r="I40" s="847"/>
    </row>
    <row r="41">
      <c r="A41" s="265"/>
      <c r="B41" s="268"/>
      <c r="C41" s="252"/>
      <c r="D41" s="822"/>
      <c r="F41" s="250">
        <v>9580.0</v>
      </c>
      <c r="G41" s="2" t="s">
        <v>3212</v>
      </c>
      <c r="I41" s="847"/>
    </row>
    <row r="42">
      <c r="A42" s="265"/>
      <c r="B42" s="247">
        <v>5178.0</v>
      </c>
      <c r="C42" s="252"/>
      <c r="D42" s="822"/>
      <c r="F42" s="250"/>
      <c r="G42" s="2" t="s">
        <v>776</v>
      </c>
      <c r="I42" s="847"/>
    </row>
    <row r="43">
      <c r="A43" s="265"/>
      <c r="B43" s="268"/>
      <c r="C43" s="252"/>
      <c r="D43" s="822"/>
      <c r="F43" s="250">
        <v>7000.0</v>
      </c>
      <c r="G43" s="2" t="s">
        <v>3335</v>
      </c>
      <c r="I43" s="847"/>
    </row>
    <row r="44">
      <c r="A44" s="265"/>
      <c r="B44" s="268"/>
      <c r="C44" s="248"/>
      <c r="D44" s="822"/>
      <c r="F44" s="250"/>
      <c r="I44" s="847"/>
    </row>
    <row r="45">
      <c r="A45" s="265"/>
      <c r="B45" s="268"/>
      <c r="C45" s="252"/>
      <c r="D45" s="822"/>
      <c r="F45" s="250"/>
      <c r="I45" s="847"/>
    </row>
    <row r="46">
      <c r="A46" s="265"/>
      <c r="B46" s="268"/>
      <c r="C46" s="248"/>
      <c r="D46" s="822"/>
      <c r="F46" s="250"/>
      <c r="I46" s="847"/>
    </row>
    <row r="47">
      <c r="A47" s="265"/>
      <c r="B47" s="278"/>
      <c r="C47" s="252"/>
      <c r="D47" s="822"/>
      <c r="F47" s="250"/>
      <c r="I47" s="847"/>
    </row>
    <row r="48">
      <c r="A48" s="265"/>
      <c r="B48" s="278"/>
      <c r="C48" s="252"/>
      <c r="D48" s="822"/>
      <c r="F48" s="250"/>
      <c r="I48" s="847"/>
    </row>
    <row r="49">
      <c r="A49" s="270"/>
      <c r="B49" s="271"/>
      <c r="C49" s="272"/>
      <c r="D49" s="823"/>
      <c r="E49" s="18"/>
      <c r="F49" s="259"/>
      <c r="G49" s="293"/>
      <c r="H49" s="18"/>
      <c r="I49" s="663"/>
    </row>
    <row r="50">
      <c r="A50" s="437"/>
      <c r="B50" s="278"/>
      <c r="C50" s="252"/>
      <c r="D50" s="822"/>
      <c r="F50" s="250"/>
      <c r="I50" s="847"/>
    </row>
    <row r="51">
      <c r="A51" s="437"/>
      <c r="B51" s="278"/>
      <c r="C51" s="252"/>
      <c r="D51" s="822"/>
      <c r="F51" s="250"/>
      <c r="I51" s="847"/>
    </row>
    <row r="52">
      <c r="A52" s="262" t="s">
        <v>378</v>
      </c>
      <c r="B52" s="306"/>
      <c r="C52" s="263"/>
      <c r="D52" s="824"/>
      <c r="E52" s="242"/>
      <c r="F52" s="243">
        <v>1188.0</v>
      </c>
      <c r="G52" s="244" t="s">
        <v>708</v>
      </c>
      <c r="H52" s="244"/>
      <c r="I52" s="662"/>
    </row>
    <row r="53">
      <c r="A53" s="265"/>
      <c r="B53" s="268"/>
      <c r="C53" s="252"/>
      <c r="D53" s="822"/>
      <c r="F53" s="250">
        <v>2750.0</v>
      </c>
      <c r="G53" s="2" t="s">
        <v>3003</v>
      </c>
      <c r="I53" s="847"/>
    </row>
    <row r="54">
      <c r="A54" s="265"/>
      <c r="B54" s="247"/>
      <c r="C54" s="248">
        <v>9545.0</v>
      </c>
      <c r="D54" s="331"/>
      <c r="F54" s="250"/>
      <c r="G54" s="2" t="s">
        <v>84</v>
      </c>
      <c r="I54" s="847"/>
    </row>
    <row r="55">
      <c r="A55" s="265"/>
      <c r="B55" s="268"/>
      <c r="C55" s="252"/>
      <c r="D55" s="822"/>
      <c r="F55" s="250">
        <v>6200.0</v>
      </c>
      <c r="G55" s="2" t="s">
        <v>3336</v>
      </c>
      <c r="I55" s="847"/>
      <c r="K55" s="33">
        <f>SUM(F55+F105+F153+F215+F222+F261+F314+F189)</f>
        <v>49600</v>
      </c>
    </row>
    <row r="56">
      <c r="A56" s="265"/>
      <c r="B56" s="247"/>
      <c r="C56" s="252"/>
      <c r="D56" s="822"/>
      <c r="F56" s="250"/>
      <c r="I56" s="847"/>
    </row>
    <row r="57">
      <c r="A57" s="265"/>
      <c r="B57" s="247"/>
      <c r="C57" s="252"/>
      <c r="D57" s="822"/>
      <c r="F57" s="250"/>
      <c r="I57" s="847"/>
    </row>
    <row r="58">
      <c r="A58" s="265"/>
      <c r="B58" s="247"/>
      <c r="C58" s="248"/>
      <c r="D58" s="822"/>
      <c r="F58" s="250"/>
      <c r="I58" s="847"/>
    </row>
    <row r="59">
      <c r="A59" s="265"/>
      <c r="B59" s="268"/>
      <c r="C59" s="252"/>
      <c r="D59" s="822"/>
      <c r="F59" s="250"/>
      <c r="I59" s="847"/>
    </row>
    <row r="60">
      <c r="A60" s="265"/>
      <c r="B60" s="268"/>
      <c r="C60" s="252"/>
      <c r="D60" s="822"/>
      <c r="F60" s="250"/>
      <c r="I60" s="847"/>
    </row>
    <row r="61">
      <c r="A61" s="270"/>
      <c r="B61" s="271"/>
      <c r="C61" s="272"/>
      <c r="D61" s="823"/>
      <c r="E61" s="18"/>
      <c r="F61" s="274"/>
      <c r="G61" s="18"/>
      <c r="H61" s="18"/>
      <c r="I61" s="663"/>
    </row>
    <row r="62">
      <c r="A62" s="262" t="s">
        <v>380</v>
      </c>
      <c r="B62" s="306"/>
      <c r="C62" s="240"/>
      <c r="D62" s="824"/>
      <c r="E62" s="242"/>
      <c r="F62" s="243">
        <v>2270.0</v>
      </c>
      <c r="G62" s="244" t="s">
        <v>3212</v>
      </c>
      <c r="H62" s="244"/>
      <c r="I62" s="662"/>
    </row>
    <row r="63">
      <c r="A63" s="265"/>
      <c r="B63" s="268"/>
      <c r="C63" s="252"/>
      <c r="D63" s="822"/>
      <c r="F63" s="250">
        <v>1500.0</v>
      </c>
      <c r="G63" s="2" t="s">
        <v>708</v>
      </c>
      <c r="I63" s="847"/>
    </row>
    <row r="64">
      <c r="A64" s="265"/>
      <c r="B64" s="268"/>
      <c r="C64" s="252"/>
      <c r="D64" s="822"/>
      <c r="F64" s="250">
        <v>11200.0</v>
      </c>
      <c r="G64" s="2" t="s">
        <v>144</v>
      </c>
      <c r="I64" s="847"/>
    </row>
    <row r="65">
      <c r="A65" s="265"/>
      <c r="B65" s="247">
        <v>4566.84</v>
      </c>
      <c r="C65" s="252"/>
      <c r="D65" s="822"/>
      <c r="F65" s="250"/>
      <c r="G65" s="2" t="s">
        <v>3337</v>
      </c>
      <c r="I65" s="847"/>
    </row>
    <row r="66">
      <c r="A66" s="265"/>
      <c r="B66" s="247">
        <v>20000.0</v>
      </c>
      <c r="C66" s="248"/>
      <c r="D66" s="822"/>
      <c r="F66" s="250"/>
      <c r="G66" s="2" t="s">
        <v>1161</v>
      </c>
      <c r="I66" s="847"/>
    </row>
    <row r="67">
      <c r="A67" s="265"/>
      <c r="B67" s="268"/>
      <c r="C67" s="252"/>
      <c r="D67" s="822"/>
      <c r="F67" s="250">
        <v>500.0</v>
      </c>
      <c r="G67" s="2" t="s">
        <v>3338</v>
      </c>
      <c r="I67" s="847"/>
    </row>
    <row r="68">
      <c r="A68" s="265"/>
      <c r="B68" s="268"/>
      <c r="C68" s="252"/>
      <c r="D68" s="822"/>
      <c r="F68" s="250">
        <v>800.0</v>
      </c>
      <c r="G68" s="2" t="s">
        <v>3339</v>
      </c>
      <c r="I68" s="847"/>
    </row>
    <row r="69">
      <c r="A69" s="265"/>
      <c r="B69" s="268"/>
      <c r="C69" s="252"/>
      <c r="D69" s="822"/>
      <c r="F69" s="250">
        <v>540.0</v>
      </c>
      <c r="G69" s="2" t="s">
        <v>349</v>
      </c>
      <c r="I69" s="847"/>
    </row>
    <row r="70">
      <c r="A70" s="265"/>
      <c r="B70" s="268"/>
      <c r="C70" s="248">
        <v>45210.0</v>
      </c>
      <c r="D70" s="822"/>
      <c r="F70" s="250" t="s">
        <v>46</v>
      </c>
      <c r="G70" s="2" t="s">
        <v>3340</v>
      </c>
      <c r="I70" s="847"/>
    </row>
    <row r="71">
      <c r="A71" s="265"/>
      <c r="B71" s="268"/>
      <c r="C71" s="252"/>
      <c r="D71" s="331"/>
      <c r="F71" s="250"/>
      <c r="I71" s="847"/>
    </row>
    <row r="72">
      <c r="A72" s="265"/>
      <c r="B72" s="278"/>
      <c r="C72" s="252"/>
      <c r="D72" s="822"/>
      <c r="F72" s="282"/>
      <c r="I72" s="847"/>
    </row>
    <row r="73">
      <c r="A73" s="270"/>
      <c r="B73" s="271"/>
      <c r="C73" s="272"/>
      <c r="D73" s="823"/>
      <c r="E73" s="18"/>
      <c r="F73" s="274"/>
      <c r="G73" s="18"/>
      <c r="H73" s="18"/>
      <c r="I73" s="663"/>
    </row>
    <row r="74">
      <c r="A74" s="262" t="s">
        <v>381</v>
      </c>
      <c r="B74" s="306"/>
      <c r="C74" s="263"/>
      <c r="D74" s="824"/>
      <c r="E74" s="242"/>
      <c r="F74" s="243">
        <v>7400.0</v>
      </c>
      <c r="G74" s="244" t="s">
        <v>87</v>
      </c>
      <c r="H74" s="244"/>
      <c r="I74" s="662"/>
    </row>
    <row r="75">
      <c r="A75" s="265"/>
      <c r="B75" s="268"/>
      <c r="C75" s="248"/>
      <c r="D75" s="822"/>
      <c r="F75" s="250">
        <v>4026.0</v>
      </c>
      <c r="G75" s="2" t="s">
        <v>3003</v>
      </c>
      <c r="I75" s="847"/>
    </row>
    <row r="76">
      <c r="A76" s="265"/>
      <c r="B76" s="247"/>
      <c r="C76" s="252"/>
      <c r="D76" s="822"/>
      <c r="F76" s="250">
        <v>400.0</v>
      </c>
      <c r="G76" s="2" t="s">
        <v>2654</v>
      </c>
      <c r="H76" s="840"/>
      <c r="I76" s="847"/>
    </row>
    <row r="77">
      <c r="A77" s="265"/>
      <c r="B77" s="268"/>
      <c r="C77" s="252"/>
      <c r="D77" s="822"/>
      <c r="F77" s="250"/>
      <c r="I77" s="847"/>
    </row>
    <row r="78">
      <c r="A78" s="265"/>
      <c r="B78" s="268"/>
      <c r="C78" s="248"/>
      <c r="D78" s="822"/>
      <c r="F78" s="250"/>
      <c r="I78" s="847"/>
    </row>
    <row r="79">
      <c r="A79" s="265"/>
      <c r="B79" s="268"/>
      <c r="C79" s="248"/>
      <c r="D79" s="822"/>
      <c r="F79" s="250"/>
      <c r="I79" s="847"/>
    </row>
    <row r="80">
      <c r="A80" s="265"/>
      <c r="B80" s="268"/>
      <c r="C80" s="252"/>
      <c r="D80" s="822"/>
      <c r="F80" s="250"/>
      <c r="I80" s="847"/>
    </row>
    <row r="81">
      <c r="A81" s="265"/>
      <c r="B81" s="247"/>
      <c r="C81" s="252"/>
      <c r="D81" s="822"/>
      <c r="F81" s="250"/>
      <c r="I81" s="847"/>
    </row>
    <row r="82">
      <c r="A82" s="265"/>
      <c r="B82" s="268"/>
      <c r="C82" s="252"/>
      <c r="D82" s="822"/>
      <c r="F82" s="250"/>
      <c r="I82" s="847"/>
    </row>
    <row r="83">
      <c r="A83" s="265"/>
      <c r="B83" s="278"/>
      <c r="C83" s="252"/>
      <c r="D83" s="822"/>
      <c r="F83" s="250"/>
      <c r="I83" s="847"/>
    </row>
    <row r="84">
      <c r="A84" s="265"/>
      <c r="B84" s="278"/>
      <c r="C84" s="252"/>
      <c r="D84" s="822"/>
      <c r="F84" s="250"/>
      <c r="H84" s="838"/>
      <c r="I84" s="847"/>
    </row>
    <row r="85">
      <c r="A85" s="270"/>
      <c r="B85" s="271"/>
      <c r="C85" s="272"/>
      <c r="D85" s="823"/>
      <c r="E85" s="18"/>
      <c r="F85" s="274"/>
      <c r="G85" s="18"/>
      <c r="H85" s="18"/>
      <c r="I85" s="663"/>
    </row>
    <row r="86">
      <c r="A86" s="262" t="s">
        <v>382</v>
      </c>
      <c r="B86" s="306"/>
      <c r="C86" s="263"/>
      <c r="D86" s="824"/>
      <c r="E86" s="242"/>
      <c r="F86" s="243">
        <v>2390.0</v>
      </c>
      <c r="G86" s="244" t="s">
        <v>708</v>
      </c>
      <c r="H86" s="244"/>
      <c r="I86" s="662"/>
    </row>
    <row r="87">
      <c r="A87" s="265"/>
      <c r="B87" s="268"/>
      <c r="C87" s="248"/>
      <c r="D87" s="822"/>
      <c r="F87" s="250">
        <v>400.0</v>
      </c>
      <c r="G87" s="2" t="s">
        <v>2703</v>
      </c>
      <c r="I87" s="847"/>
    </row>
    <row r="88">
      <c r="A88" s="265"/>
      <c r="B88" s="268"/>
      <c r="C88" s="248"/>
      <c r="D88" s="822"/>
      <c r="F88" s="250">
        <v>6150.0</v>
      </c>
      <c r="G88" s="2" t="s">
        <v>3212</v>
      </c>
      <c r="I88" s="847"/>
    </row>
    <row r="89">
      <c r="A89" s="265"/>
      <c r="B89" s="268"/>
      <c r="C89" s="248"/>
      <c r="D89" s="822"/>
      <c r="F89" s="250">
        <v>1446.0</v>
      </c>
      <c r="G89" s="2" t="s">
        <v>2621</v>
      </c>
      <c r="I89" s="847"/>
    </row>
    <row r="90">
      <c r="A90" s="265"/>
      <c r="B90" s="247"/>
      <c r="C90" s="252"/>
      <c r="D90" s="822"/>
      <c r="F90" s="250">
        <v>1115.0</v>
      </c>
      <c r="G90" s="2" t="s">
        <v>103</v>
      </c>
      <c r="I90" s="847"/>
    </row>
    <row r="91">
      <c r="A91" s="265"/>
      <c r="B91" s="247">
        <v>354614.44</v>
      </c>
      <c r="C91" s="252"/>
      <c r="D91" s="331"/>
      <c r="F91" s="250"/>
      <c r="G91" s="2" t="s">
        <v>188</v>
      </c>
      <c r="I91" s="847"/>
    </row>
    <row r="92">
      <c r="A92" s="265"/>
      <c r="B92" s="268"/>
      <c r="C92" s="252"/>
      <c r="D92" s="331">
        <v>10000.75</v>
      </c>
      <c r="F92" s="250"/>
      <c r="G92" s="2" t="s">
        <v>2819</v>
      </c>
      <c r="I92" s="847"/>
    </row>
    <row r="93">
      <c r="A93" s="265"/>
      <c r="B93" s="268"/>
      <c r="C93" s="252"/>
      <c r="D93" s="822"/>
      <c r="F93" s="250">
        <v>317.0</v>
      </c>
      <c r="G93" s="2" t="s">
        <v>227</v>
      </c>
      <c r="I93" s="847"/>
    </row>
    <row r="94">
      <c r="A94" s="265"/>
      <c r="B94" s="247"/>
      <c r="C94" s="252"/>
      <c r="D94" s="822"/>
      <c r="F94" s="250">
        <v>360.0</v>
      </c>
      <c r="G94" s="2" t="s">
        <v>3341</v>
      </c>
      <c r="I94" s="847"/>
    </row>
    <row r="95">
      <c r="A95" s="265"/>
      <c r="B95" s="268"/>
      <c r="C95" s="252"/>
      <c r="D95" s="822"/>
      <c r="F95" s="250"/>
      <c r="I95" s="847"/>
    </row>
    <row r="96">
      <c r="A96" s="265"/>
      <c r="B96" s="268"/>
      <c r="C96" s="252"/>
      <c r="D96" s="822"/>
      <c r="F96" s="250"/>
      <c r="I96" s="847"/>
    </row>
    <row r="97">
      <c r="A97" s="265"/>
      <c r="B97" s="268"/>
      <c r="C97" s="252"/>
      <c r="D97" s="822"/>
      <c r="F97" s="250"/>
      <c r="I97" s="847"/>
    </row>
    <row r="98">
      <c r="A98" s="270"/>
      <c r="B98" s="271"/>
      <c r="C98" s="272"/>
      <c r="D98" s="823"/>
      <c r="E98" s="18"/>
      <c r="F98" s="274"/>
      <c r="G98" s="18"/>
      <c r="H98" s="18"/>
      <c r="I98" s="663"/>
    </row>
    <row r="99">
      <c r="A99" s="262" t="s">
        <v>386</v>
      </c>
      <c r="B99" s="306"/>
      <c r="C99" s="263"/>
      <c r="D99" s="821"/>
      <c r="E99" s="242"/>
      <c r="F99" s="250">
        <v>6420.0</v>
      </c>
      <c r="G99" s="244" t="s">
        <v>91</v>
      </c>
      <c r="H99" s="244"/>
      <c r="I99" s="662"/>
    </row>
    <row r="100">
      <c r="A100" s="265"/>
      <c r="B100" s="268"/>
      <c r="C100" s="252"/>
      <c r="D100" s="822"/>
      <c r="F100" s="250">
        <v>9147.0</v>
      </c>
      <c r="G100" s="2" t="s">
        <v>74</v>
      </c>
      <c r="I100" s="847"/>
    </row>
    <row r="101">
      <c r="A101" s="265"/>
      <c r="B101" s="268"/>
      <c r="C101" s="252"/>
      <c r="D101" s="822"/>
      <c r="F101" s="250">
        <v>5429.0</v>
      </c>
      <c r="G101" s="2" t="s">
        <v>82</v>
      </c>
      <c r="I101" s="847"/>
    </row>
    <row r="102">
      <c r="A102" s="265"/>
      <c r="B102" s="268"/>
      <c r="C102" s="248">
        <v>56535.62</v>
      </c>
      <c r="D102" s="822"/>
      <c r="F102" s="250"/>
      <c r="G102" s="2" t="s">
        <v>71</v>
      </c>
      <c r="I102" s="847"/>
    </row>
    <row r="103">
      <c r="A103" s="265"/>
      <c r="B103" s="268"/>
      <c r="C103" s="252"/>
      <c r="D103" s="822"/>
      <c r="F103" s="250">
        <v>200.0</v>
      </c>
      <c r="G103" s="2" t="s">
        <v>85</v>
      </c>
      <c r="I103" s="847"/>
    </row>
    <row r="104">
      <c r="A104" s="265"/>
      <c r="B104" s="268"/>
      <c r="C104" s="252"/>
      <c r="D104" s="822"/>
      <c r="F104" s="250">
        <v>800.0</v>
      </c>
      <c r="G104" s="2" t="s">
        <v>228</v>
      </c>
      <c r="I104" s="847"/>
    </row>
    <row r="105">
      <c r="A105" s="265"/>
      <c r="B105" s="268"/>
      <c r="C105" s="252"/>
      <c r="D105" s="331"/>
      <c r="F105" s="250">
        <v>7200.0</v>
      </c>
      <c r="G105" s="2" t="s">
        <v>3342</v>
      </c>
      <c r="I105" s="847"/>
    </row>
    <row r="106">
      <c r="A106" s="265"/>
      <c r="B106" s="247"/>
      <c r="C106" s="252"/>
      <c r="D106" s="822"/>
      <c r="F106" s="250"/>
      <c r="I106" s="847"/>
    </row>
    <row r="107">
      <c r="A107" s="265"/>
      <c r="B107" s="247"/>
      <c r="C107" s="252"/>
      <c r="D107" s="822"/>
      <c r="F107" s="250"/>
      <c r="I107" s="847"/>
    </row>
    <row r="108">
      <c r="A108" s="265"/>
      <c r="B108" s="268"/>
      <c r="C108" s="252"/>
      <c r="D108" s="822"/>
      <c r="F108" s="250"/>
      <c r="I108" s="847"/>
    </row>
    <row r="109">
      <c r="A109" s="265"/>
      <c r="B109" s="278"/>
      <c r="C109" s="248"/>
      <c r="D109" s="822"/>
      <c r="F109" s="282"/>
      <c r="I109" s="847"/>
    </row>
    <row r="110">
      <c r="A110" s="265"/>
      <c r="B110" s="278"/>
      <c r="C110" s="252"/>
      <c r="D110" s="822"/>
      <c r="F110" s="250"/>
      <c r="I110" s="847"/>
    </row>
    <row r="111">
      <c r="A111" s="265"/>
      <c r="B111" s="278"/>
      <c r="C111" s="252"/>
      <c r="D111" s="822"/>
      <c r="F111" s="282"/>
      <c r="I111" s="847"/>
    </row>
    <row r="112">
      <c r="A112" s="270"/>
      <c r="B112" s="271"/>
      <c r="C112" s="272"/>
      <c r="D112" s="823"/>
      <c r="E112" s="18"/>
      <c r="F112" s="274"/>
      <c r="G112" s="18"/>
      <c r="H112" s="18"/>
      <c r="I112" s="663"/>
    </row>
    <row r="113">
      <c r="A113" s="262" t="s">
        <v>390</v>
      </c>
      <c r="B113" s="306"/>
      <c r="C113" s="263"/>
      <c r="D113" s="821"/>
      <c r="E113" s="242"/>
      <c r="F113" s="243">
        <v>8448.0</v>
      </c>
      <c r="G113" s="244" t="s">
        <v>3003</v>
      </c>
      <c r="H113" s="244"/>
      <c r="I113" s="662"/>
    </row>
    <row r="114">
      <c r="A114" s="265"/>
      <c r="B114" s="268"/>
      <c r="C114" s="252"/>
      <c r="D114" s="331"/>
      <c r="F114" s="250">
        <v>6280.0</v>
      </c>
      <c r="G114" s="2" t="s">
        <v>1750</v>
      </c>
      <c r="I114" s="847"/>
    </row>
    <row r="115">
      <c r="A115" s="265"/>
      <c r="B115" s="247"/>
      <c r="C115" s="252"/>
      <c r="D115" s="331"/>
      <c r="F115" s="250">
        <v>7400.0</v>
      </c>
      <c r="G115" s="2" t="s">
        <v>87</v>
      </c>
      <c r="I115" s="847"/>
    </row>
    <row r="116">
      <c r="A116" s="265"/>
      <c r="B116" s="268"/>
      <c r="C116" s="252"/>
      <c r="D116" s="822"/>
      <c r="F116" s="250">
        <v>500.0</v>
      </c>
      <c r="G116" s="2" t="s">
        <v>3333</v>
      </c>
      <c r="I116" s="847"/>
    </row>
    <row r="117">
      <c r="A117" s="265"/>
      <c r="B117" s="268"/>
      <c r="C117" s="252"/>
      <c r="D117" s="331"/>
      <c r="F117" s="250">
        <v>6780.0</v>
      </c>
      <c r="G117" s="2" t="s">
        <v>2714</v>
      </c>
      <c r="I117" s="847"/>
    </row>
    <row r="118">
      <c r="A118" s="265"/>
      <c r="B118" s="247"/>
      <c r="C118" s="252"/>
      <c r="D118" s="822"/>
      <c r="F118" s="250"/>
      <c r="I118" s="847"/>
    </row>
    <row r="119">
      <c r="A119" s="265"/>
      <c r="B119" s="268"/>
      <c r="C119" s="252"/>
      <c r="D119" s="822"/>
      <c r="F119" s="250"/>
      <c r="I119" s="847"/>
    </row>
    <row r="120">
      <c r="A120" s="265"/>
      <c r="B120" s="268"/>
      <c r="C120" s="252"/>
      <c r="D120" s="822"/>
      <c r="F120" s="250"/>
      <c r="I120" s="847"/>
    </row>
    <row r="121">
      <c r="A121" s="265"/>
      <c r="B121" s="268"/>
      <c r="C121" s="252"/>
      <c r="D121" s="331"/>
      <c r="F121" s="250"/>
      <c r="I121" s="847"/>
    </row>
    <row r="122">
      <c r="A122" s="265"/>
      <c r="B122" s="268"/>
      <c r="C122" s="252"/>
      <c r="D122" s="822"/>
      <c r="F122" s="250"/>
      <c r="I122" s="847"/>
    </row>
    <row r="123">
      <c r="A123" s="265"/>
      <c r="B123" s="268"/>
      <c r="C123" s="252"/>
      <c r="D123" s="822"/>
      <c r="F123" s="250"/>
      <c r="I123" s="847"/>
    </row>
    <row r="124">
      <c r="A124" s="265"/>
      <c r="B124" s="268"/>
      <c r="C124" s="252"/>
      <c r="D124" s="822"/>
      <c r="F124" s="250"/>
      <c r="I124" s="847"/>
    </row>
    <row r="125">
      <c r="A125" s="265"/>
      <c r="B125" s="268"/>
      <c r="C125" s="252"/>
      <c r="D125" s="822"/>
      <c r="F125" s="250"/>
      <c r="I125" s="847"/>
    </row>
    <row r="126">
      <c r="A126" s="265"/>
      <c r="B126" s="268"/>
      <c r="C126" s="252"/>
      <c r="D126" s="822"/>
      <c r="F126" s="250"/>
      <c r="I126" s="847"/>
    </row>
    <row r="127">
      <c r="A127" s="265"/>
      <c r="B127" s="268"/>
      <c r="C127" s="252"/>
      <c r="D127" s="822"/>
      <c r="F127" s="250"/>
      <c r="I127" s="847"/>
    </row>
    <row r="128">
      <c r="A128" s="270"/>
      <c r="B128" s="271"/>
      <c r="C128" s="272"/>
      <c r="D128" s="823"/>
      <c r="E128" s="18"/>
      <c r="F128" s="274"/>
      <c r="G128" s="18"/>
      <c r="H128" s="18"/>
      <c r="I128" s="663"/>
    </row>
    <row r="129">
      <c r="A129" s="262" t="s">
        <v>395</v>
      </c>
      <c r="B129" s="306"/>
      <c r="C129" s="240"/>
      <c r="D129" s="824"/>
      <c r="E129" s="242"/>
      <c r="F129" s="243">
        <v>4560.0</v>
      </c>
      <c r="G129" s="244" t="s">
        <v>76</v>
      </c>
      <c r="H129" s="244"/>
      <c r="I129" s="662"/>
    </row>
    <row r="130">
      <c r="A130" s="265"/>
      <c r="B130" s="247"/>
      <c r="C130" s="252"/>
      <c r="D130" s="822"/>
      <c r="F130" s="250"/>
      <c r="G130" s="2" t="s">
        <v>344</v>
      </c>
      <c r="I130" s="847"/>
    </row>
    <row r="131">
      <c r="A131" s="265"/>
      <c r="B131" s="268"/>
      <c r="C131" s="248"/>
      <c r="D131" s="822"/>
      <c r="F131" s="250">
        <v>4270.0</v>
      </c>
      <c r="G131" s="2" t="s">
        <v>82</v>
      </c>
      <c r="I131" s="847"/>
    </row>
    <row r="132">
      <c r="A132" s="265"/>
      <c r="B132" s="247"/>
      <c r="C132" s="252"/>
      <c r="D132" s="331">
        <v>18150.0</v>
      </c>
      <c r="F132" s="250"/>
      <c r="G132" s="2" t="s">
        <v>3343</v>
      </c>
      <c r="I132" s="847"/>
    </row>
    <row r="133">
      <c r="A133" s="265"/>
      <c r="B133" s="268"/>
      <c r="C133" s="252"/>
      <c r="D133" s="822"/>
      <c r="F133" s="250">
        <v>35000.0</v>
      </c>
      <c r="G133" s="2" t="s">
        <v>3344</v>
      </c>
      <c r="I133" s="847"/>
    </row>
    <row r="134">
      <c r="A134" s="265"/>
      <c r="B134" s="247"/>
      <c r="C134" s="252"/>
      <c r="D134" s="822"/>
      <c r="F134" s="250">
        <v>120.0</v>
      </c>
      <c r="G134" s="2" t="s">
        <v>708</v>
      </c>
      <c r="I134" s="847"/>
    </row>
    <row r="135">
      <c r="A135" s="265"/>
      <c r="B135" s="247"/>
      <c r="C135" s="252"/>
      <c r="D135" s="822"/>
      <c r="F135" s="250">
        <v>700.0</v>
      </c>
      <c r="G135" s="2" t="s">
        <v>3345</v>
      </c>
      <c r="I135" s="847"/>
    </row>
    <row r="136">
      <c r="A136" s="265"/>
      <c r="B136" s="283"/>
      <c r="C136" s="248"/>
      <c r="D136" s="822"/>
      <c r="F136" s="250">
        <v>500.0</v>
      </c>
      <c r="G136" s="2" t="s">
        <v>3333</v>
      </c>
      <c r="I136" s="847"/>
    </row>
    <row r="137">
      <c r="A137" s="265"/>
      <c r="B137" s="268"/>
      <c r="C137" s="252"/>
      <c r="D137" s="822"/>
      <c r="F137" s="250"/>
      <c r="I137" s="847"/>
    </row>
    <row r="138">
      <c r="A138" s="265"/>
      <c r="B138" s="268"/>
      <c r="C138" s="252"/>
      <c r="D138" s="822"/>
      <c r="F138" s="250"/>
      <c r="I138" s="847"/>
    </row>
    <row r="139">
      <c r="A139" s="265"/>
      <c r="B139" s="268"/>
      <c r="C139" s="252"/>
      <c r="D139" s="822"/>
      <c r="F139" s="250"/>
      <c r="I139" s="847"/>
    </row>
    <row r="140">
      <c r="A140" s="270"/>
      <c r="B140" s="271"/>
      <c r="C140" s="272"/>
      <c r="D140" s="823"/>
      <c r="E140" s="18"/>
      <c r="F140" s="274"/>
      <c r="G140" s="18"/>
      <c r="H140" s="18"/>
      <c r="I140" s="663"/>
    </row>
    <row r="141">
      <c r="A141" s="262" t="s">
        <v>398</v>
      </c>
      <c r="B141" s="306"/>
      <c r="C141" s="240"/>
      <c r="D141" s="824"/>
      <c r="E141" s="242"/>
      <c r="F141" s="243">
        <v>1730.0</v>
      </c>
      <c r="G141" s="244" t="s">
        <v>1750</v>
      </c>
      <c r="H141" s="244"/>
      <c r="I141" s="662"/>
    </row>
    <row r="142">
      <c r="A142" s="265"/>
      <c r="B142" s="268"/>
      <c r="C142" s="252"/>
      <c r="D142" s="822"/>
      <c r="F142" s="250">
        <v>7770.0</v>
      </c>
      <c r="G142" s="2" t="s">
        <v>3130</v>
      </c>
      <c r="I142" s="847"/>
    </row>
    <row r="143">
      <c r="A143" s="265"/>
      <c r="B143" s="268"/>
      <c r="C143" s="252"/>
      <c r="D143" s="822"/>
      <c r="F143" s="250">
        <v>2500.0</v>
      </c>
      <c r="G143" s="2" t="s">
        <v>68</v>
      </c>
      <c r="I143" s="847"/>
    </row>
    <row r="144">
      <c r="A144" s="265"/>
      <c r="B144" s="247"/>
      <c r="C144" s="252"/>
      <c r="D144" s="822"/>
      <c r="F144" s="250"/>
      <c r="G144" s="2" t="s">
        <v>87</v>
      </c>
      <c r="I144" s="847"/>
    </row>
    <row r="145">
      <c r="A145" s="265"/>
      <c r="B145" s="268"/>
      <c r="C145" s="252"/>
      <c r="D145" s="822"/>
      <c r="F145" s="250">
        <v>2220.0</v>
      </c>
      <c r="G145" s="2" t="s">
        <v>275</v>
      </c>
      <c r="I145" s="847"/>
    </row>
    <row r="146">
      <c r="A146" s="265"/>
      <c r="B146" s="268"/>
      <c r="C146" s="248"/>
      <c r="D146" s="822"/>
      <c r="F146" s="250">
        <v>500.0</v>
      </c>
      <c r="G146" s="2" t="s">
        <v>3333</v>
      </c>
      <c r="I146" s="847"/>
    </row>
    <row r="147">
      <c r="A147" s="265"/>
      <c r="B147" s="268"/>
      <c r="C147" s="252"/>
      <c r="D147" s="822"/>
      <c r="F147" s="250"/>
      <c r="I147" s="847"/>
    </row>
    <row r="148">
      <c r="A148" s="265"/>
      <c r="B148" s="268"/>
      <c r="C148" s="252"/>
      <c r="D148" s="822"/>
      <c r="F148" s="250"/>
      <c r="I148" s="847"/>
    </row>
    <row r="149">
      <c r="A149" s="265"/>
      <c r="B149" s="268"/>
      <c r="C149" s="252"/>
      <c r="D149" s="822"/>
      <c r="F149" s="250"/>
      <c r="I149" s="847"/>
    </row>
    <row r="150">
      <c r="A150" s="270"/>
      <c r="B150" s="271"/>
      <c r="C150" s="272"/>
      <c r="D150" s="823"/>
      <c r="E150" s="18"/>
      <c r="F150" s="274"/>
      <c r="G150" s="18"/>
      <c r="H150" s="18"/>
      <c r="I150" s="663"/>
    </row>
    <row r="151">
      <c r="A151" s="262" t="s">
        <v>400</v>
      </c>
      <c r="B151" s="306"/>
      <c r="C151" s="263"/>
      <c r="D151" s="821"/>
      <c r="E151" s="242"/>
      <c r="F151" s="243">
        <v>7400.0</v>
      </c>
      <c r="G151" s="244" t="s">
        <v>87</v>
      </c>
      <c r="H151" s="244"/>
      <c r="I151" s="662"/>
    </row>
    <row r="152">
      <c r="A152" s="265"/>
      <c r="B152" s="268"/>
      <c r="C152" s="252"/>
      <c r="D152" s="822"/>
      <c r="F152" s="250">
        <v>2671.5</v>
      </c>
      <c r="G152" s="2" t="s">
        <v>2908</v>
      </c>
      <c r="I152" s="847"/>
    </row>
    <row r="153">
      <c r="A153" s="265"/>
      <c r="B153" s="268"/>
      <c r="C153" s="248"/>
      <c r="D153" s="331"/>
      <c r="F153" s="250">
        <v>7200.0</v>
      </c>
      <c r="G153" s="2" t="s">
        <v>3346</v>
      </c>
      <c r="I153" s="847"/>
    </row>
    <row r="154">
      <c r="A154" s="265"/>
      <c r="B154" s="268"/>
      <c r="C154" s="252"/>
      <c r="D154" s="822"/>
      <c r="F154" s="250">
        <v>770.0</v>
      </c>
      <c r="G154" s="2" t="s">
        <v>708</v>
      </c>
      <c r="I154" s="847"/>
    </row>
    <row r="155">
      <c r="A155" s="265"/>
      <c r="B155" s="268"/>
      <c r="C155" s="252"/>
      <c r="D155" s="822"/>
      <c r="F155" s="250"/>
      <c r="H155" s="252"/>
      <c r="I155" s="847"/>
    </row>
    <row r="156">
      <c r="A156" s="265"/>
      <c r="B156" s="268"/>
      <c r="C156" s="252"/>
      <c r="D156" s="822"/>
      <c r="F156" s="250"/>
      <c r="I156" s="847"/>
    </row>
    <row r="157">
      <c r="A157" s="265"/>
      <c r="B157" s="268"/>
      <c r="C157" s="252"/>
      <c r="D157" s="331"/>
      <c r="F157" s="250"/>
      <c r="I157" s="847"/>
    </row>
    <row r="158">
      <c r="A158" s="265"/>
      <c r="B158" s="268"/>
      <c r="C158" s="252"/>
      <c r="D158" s="822"/>
      <c r="F158" s="250"/>
      <c r="H158" s="252"/>
      <c r="I158" s="847"/>
    </row>
    <row r="159">
      <c r="A159" s="265"/>
      <c r="B159" s="268"/>
      <c r="C159" s="252"/>
      <c r="D159" s="822"/>
      <c r="F159" s="250"/>
      <c r="I159" s="847"/>
    </row>
    <row r="160">
      <c r="A160" s="270"/>
      <c r="B160" s="271"/>
      <c r="C160" s="272"/>
      <c r="D160" s="823"/>
      <c r="E160" s="18"/>
      <c r="F160" s="274"/>
      <c r="G160" s="18"/>
      <c r="H160" s="18"/>
      <c r="I160" s="663"/>
    </row>
    <row r="161">
      <c r="A161" s="262" t="s">
        <v>401</v>
      </c>
      <c r="B161" s="306"/>
      <c r="C161" s="240"/>
      <c r="D161" s="821"/>
      <c r="E161" s="242"/>
      <c r="F161" s="243">
        <v>4621.7</v>
      </c>
      <c r="G161" s="244" t="s">
        <v>2908</v>
      </c>
      <c r="H161" s="244"/>
      <c r="I161" s="662"/>
    </row>
    <row r="162">
      <c r="A162" s="265"/>
      <c r="B162" s="268"/>
      <c r="C162" s="252"/>
      <c r="D162" s="331"/>
      <c r="F162" s="250"/>
      <c r="I162" s="847"/>
    </row>
    <row r="163">
      <c r="A163" s="265"/>
      <c r="B163" s="268"/>
      <c r="C163" s="248"/>
      <c r="D163" s="331"/>
      <c r="F163" s="250"/>
      <c r="I163" s="847"/>
    </row>
    <row r="164">
      <c r="A164" s="265"/>
      <c r="B164" s="268"/>
      <c r="C164" s="252"/>
      <c r="D164" s="822"/>
      <c r="F164" s="250"/>
      <c r="I164" s="847"/>
    </row>
    <row r="165">
      <c r="A165" s="265"/>
      <c r="B165" s="268"/>
      <c r="C165" s="252"/>
      <c r="D165" s="331"/>
      <c r="F165" s="250"/>
      <c r="I165" s="847"/>
    </row>
    <row r="166">
      <c r="A166" s="265"/>
      <c r="B166" s="268"/>
      <c r="C166" s="252"/>
      <c r="D166" s="822"/>
      <c r="F166" s="250"/>
      <c r="I166" s="847"/>
    </row>
    <row r="167">
      <c r="A167" s="265"/>
      <c r="B167" s="247"/>
      <c r="C167" s="252"/>
      <c r="D167" s="822"/>
      <c r="F167" s="250"/>
      <c r="I167" s="847"/>
    </row>
    <row r="168">
      <c r="A168" s="265"/>
      <c r="B168" s="247"/>
      <c r="C168" s="252"/>
      <c r="D168" s="822"/>
      <c r="F168" s="250"/>
      <c r="I168" s="847"/>
    </row>
    <row r="169">
      <c r="A169" s="265"/>
      <c r="B169" s="268"/>
      <c r="C169" s="252"/>
      <c r="D169" s="822"/>
      <c r="F169" s="250"/>
      <c r="I169" s="847"/>
    </row>
    <row r="170">
      <c r="A170" s="265"/>
      <c r="B170" s="268"/>
      <c r="C170" s="252"/>
      <c r="D170" s="822"/>
      <c r="F170" s="250"/>
      <c r="I170" s="847"/>
    </row>
    <row r="171">
      <c r="A171" s="265"/>
      <c r="B171" s="268"/>
      <c r="C171" s="252"/>
      <c r="D171" s="822"/>
      <c r="F171" s="250"/>
      <c r="I171" s="847"/>
    </row>
    <row r="172">
      <c r="A172" s="265"/>
      <c r="B172" s="268"/>
      <c r="C172" s="252"/>
      <c r="D172" s="822"/>
      <c r="F172" s="250"/>
      <c r="I172" s="847"/>
    </row>
    <row r="173">
      <c r="A173" s="265"/>
      <c r="B173" s="268"/>
      <c r="C173" s="252"/>
      <c r="D173" s="822"/>
      <c r="F173" s="250"/>
      <c r="I173" s="847"/>
    </row>
    <row r="174">
      <c r="A174" s="265"/>
      <c r="B174" s="268"/>
      <c r="C174" s="252"/>
      <c r="D174" s="822"/>
      <c r="F174" s="250"/>
      <c r="I174" s="847"/>
    </row>
    <row r="175">
      <c r="A175" s="270"/>
      <c r="B175" s="271"/>
      <c r="C175" s="272"/>
      <c r="D175" s="823"/>
      <c r="E175" s="18"/>
      <c r="F175" s="259"/>
      <c r="G175" s="293"/>
      <c r="H175" s="18"/>
      <c r="I175" s="663"/>
    </row>
    <row r="176">
      <c r="A176" s="262" t="s">
        <v>408</v>
      </c>
      <c r="B176" s="306"/>
      <c r="C176" s="240"/>
      <c r="D176" s="821"/>
      <c r="E176" s="242"/>
      <c r="F176" s="243">
        <v>11500.0</v>
      </c>
      <c r="G176" s="244" t="s">
        <v>3050</v>
      </c>
      <c r="I176" s="244"/>
    </row>
    <row r="177">
      <c r="A177" s="265"/>
      <c r="B177" s="268"/>
      <c r="C177" s="248"/>
      <c r="D177" s="331"/>
      <c r="F177" s="250">
        <v>7724.0</v>
      </c>
      <c r="G177" s="2" t="s">
        <v>3085</v>
      </c>
      <c r="I177" s="847"/>
    </row>
    <row r="178">
      <c r="A178" s="265"/>
      <c r="B178" s="268"/>
      <c r="C178" s="252"/>
      <c r="D178" s="822"/>
      <c r="F178" s="250">
        <v>7600.0</v>
      </c>
      <c r="G178" s="2" t="s">
        <v>3050</v>
      </c>
      <c r="I178" s="847"/>
    </row>
    <row r="179">
      <c r="A179" s="265"/>
      <c r="B179" s="268"/>
      <c r="C179" s="252"/>
      <c r="D179" s="822"/>
      <c r="F179" s="250">
        <v>5500.0</v>
      </c>
      <c r="G179" s="2" t="s">
        <v>3003</v>
      </c>
      <c r="I179" s="847"/>
    </row>
    <row r="180">
      <c r="A180" s="265"/>
      <c r="B180" s="268"/>
      <c r="C180" s="248"/>
      <c r="D180" s="822"/>
      <c r="F180" s="250">
        <v>650.0</v>
      </c>
      <c r="G180" s="2" t="s">
        <v>3347</v>
      </c>
      <c r="I180" s="847"/>
    </row>
    <row r="181">
      <c r="A181" s="265"/>
      <c r="B181" s="247"/>
      <c r="C181" s="248">
        <v>40832.13</v>
      </c>
      <c r="D181" s="822"/>
      <c r="F181" s="250"/>
      <c r="G181" s="2" t="s">
        <v>71</v>
      </c>
      <c r="I181" s="847"/>
    </row>
    <row r="182">
      <c r="A182" s="265"/>
      <c r="B182" s="268"/>
      <c r="C182" s="252"/>
      <c r="D182" s="331"/>
      <c r="F182" s="250">
        <v>1579.0</v>
      </c>
      <c r="G182" s="2" t="s">
        <v>708</v>
      </c>
      <c r="I182" s="847"/>
    </row>
    <row r="183">
      <c r="A183" s="265"/>
      <c r="B183" s="247">
        <v>859.0</v>
      </c>
      <c r="C183" s="252"/>
      <c r="D183" s="822"/>
      <c r="F183" s="250"/>
      <c r="G183" s="2" t="s">
        <v>3348</v>
      </c>
      <c r="I183" s="847"/>
    </row>
    <row r="184">
      <c r="A184" s="265"/>
      <c r="B184" s="268"/>
      <c r="C184" s="252"/>
      <c r="D184" s="822"/>
      <c r="F184" s="250">
        <v>3000.0</v>
      </c>
      <c r="G184" s="2" t="s">
        <v>1528</v>
      </c>
      <c r="I184" s="847"/>
    </row>
    <row r="185">
      <c r="A185" s="265"/>
      <c r="B185" s="278"/>
      <c r="C185" s="252"/>
      <c r="D185" s="822"/>
      <c r="F185" s="250">
        <v>500.0</v>
      </c>
      <c r="G185" s="2" t="s">
        <v>3333</v>
      </c>
      <c r="I185" s="847"/>
    </row>
    <row r="186">
      <c r="A186" s="265"/>
      <c r="B186" s="278"/>
      <c r="C186" s="252"/>
      <c r="D186" s="822"/>
      <c r="F186" s="250">
        <v>5000.0</v>
      </c>
      <c r="G186" s="2" t="s">
        <v>3237</v>
      </c>
      <c r="I186" s="847"/>
    </row>
    <row r="187">
      <c r="A187" s="265"/>
      <c r="B187" s="277">
        <v>15000.0</v>
      </c>
      <c r="C187" s="252"/>
      <c r="D187" s="822"/>
      <c r="F187" s="250"/>
      <c r="G187" s="2" t="s">
        <v>131</v>
      </c>
      <c r="I187" s="847"/>
    </row>
    <row r="188">
      <c r="A188" s="265"/>
      <c r="B188" s="278"/>
      <c r="C188" s="252"/>
      <c r="D188" s="822"/>
      <c r="F188" s="250">
        <v>180.0</v>
      </c>
      <c r="G188" s="2" t="s">
        <v>3349</v>
      </c>
      <c r="I188" s="847"/>
    </row>
    <row r="189">
      <c r="A189" s="265"/>
      <c r="B189" s="278"/>
      <c r="C189" s="252"/>
      <c r="D189" s="822"/>
      <c r="F189" s="250">
        <v>3800.0</v>
      </c>
      <c r="G189" s="2" t="s">
        <v>3350</v>
      </c>
      <c r="I189" s="847"/>
    </row>
    <row r="190">
      <c r="A190" s="265"/>
      <c r="B190" s="278"/>
      <c r="C190" s="252"/>
      <c r="D190" s="822"/>
      <c r="F190" s="282"/>
      <c r="I190" s="847"/>
    </row>
    <row r="191">
      <c r="A191" s="270"/>
      <c r="B191" s="271"/>
      <c r="C191" s="272"/>
      <c r="D191" s="823"/>
      <c r="E191" s="18"/>
      <c r="F191" s="274"/>
      <c r="G191" s="18"/>
      <c r="H191" s="18"/>
      <c r="I191" s="663"/>
    </row>
    <row r="192">
      <c r="A192" s="262" t="s">
        <v>413</v>
      </c>
      <c r="B192" s="306"/>
      <c r="C192" s="263">
        <v>36067.37</v>
      </c>
      <c r="D192" s="824"/>
      <c r="E192" s="242"/>
      <c r="F192" s="243"/>
      <c r="G192" s="244" t="s">
        <v>631</v>
      </c>
      <c r="H192" s="244"/>
      <c r="I192" s="662"/>
    </row>
    <row r="193">
      <c r="A193" s="265"/>
      <c r="B193" s="247"/>
      <c r="C193" s="252"/>
      <c r="D193" s="822"/>
      <c r="F193" s="250">
        <v>1726.0</v>
      </c>
      <c r="G193" s="2" t="s">
        <v>2621</v>
      </c>
      <c r="I193" s="847"/>
    </row>
    <row r="194">
      <c r="A194" s="265"/>
      <c r="B194" s="268"/>
      <c r="C194" s="252"/>
      <c r="D194" s="331"/>
      <c r="F194" s="250">
        <v>150.0</v>
      </c>
      <c r="G194" s="2" t="s">
        <v>3351</v>
      </c>
      <c r="H194" s="843"/>
      <c r="I194" s="847"/>
    </row>
    <row r="195">
      <c r="A195" s="265"/>
      <c r="B195" s="247">
        <v>15000.0</v>
      </c>
      <c r="C195" s="252"/>
      <c r="D195" s="331"/>
      <c r="F195" s="250"/>
      <c r="G195" s="2" t="s">
        <v>877</v>
      </c>
      <c r="I195" s="847"/>
    </row>
    <row r="196">
      <c r="A196" s="265"/>
      <c r="B196" s="247"/>
      <c r="C196" s="248"/>
      <c r="D196" s="331"/>
      <c r="F196" s="250"/>
      <c r="I196" s="847"/>
    </row>
    <row r="197">
      <c r="A197" s="265"/>
      <c r="B197" s="268"/>
      <c r="C197" s="252"/>
      <c r="D197" s="331"/>
      <c r="F197" s="250">
        <v>2670.0</v>
      </c>
      <c r="G197" s="2" t="s">
        <v>3352</v>
      </c>
      <c r="I197" s="847"/>
    </row>
    <row r="198">
      <c r="A198" s="265"/>
      <c r="B198" s="268"/>
      <c r="C198" s="252"/>
      <c r="D198" s="822"/>
      <c r="F198" s="250">
        <v>160.0</v>
      </c>
      <c r="G198" s="2" t="s">
        <v>1169</v>
      </c>
      <c r="I198" s="847"/>
    </row>
    <row r="199">
      <c r="A199" s="265"/>
      <c r="B199" s="247"/>
      <c r="C199" s="252"/>
      <c r="D199" s="331"/>
      <c r="F199" s="250">
        <v>484.0</v>
      </c>
      <c r="G199" s="2" t="s">
        <v>708</v>
      </c>
      <c r="I199" s="847"/>
    </row>
    <row r="200">
      <c r="A200" s="265"/>
      <c r="B200" s="268"/>
      <c r="C200" s="248"/>
      <c r="D200" s="331"/>
      <c r="F200" s="250">
        <v>500.0</v>
      </c>
      <c r="G200" s="2" t="s">
        <v>3353</v>
      </c>
      <c r="I200" s="847"/>
    </row>
    <row r="201">
      <c r="A201" s="265"/>
      <c r="B201" s="268"/>
      <c r="C201" s="248"/>
      <c r="D201" s="822"/>
      <c r="F201" s="250">
        <v>4500.0</v>
      </c>
      <c r="G201" s="2" t="s">
        <v>3354</v>
      </c>
      <c r="I201" s="847"/>
    </row>
    <row r="202">
      <c r="A202" s="265"/>
      <c r="B202" s="268"/>
      <c r="C202" s="248"/>
      <c r="D202" s="822"/>
      <c r="F202" s="250"/>
      <c r="I202" s="847"/>
    </row>
    <row r="203">
      <c r="A203" s="265"/>
      <c r="B203" s="268"/>
      <c r="C203" s="248"/>
      <c r="D203" s="822"/>
      <c r="F203" s="250"/>
      <c r="H203" s="252"/>
      <c r="I203" s="847"/>
    </row>
    <row r="204">
      <c r="A204" s="265"/>
      <c r="B204" s="278"/>
      <c r="C204" s="252"/>
      <c r="D204" s="822"/>
      <c r="F204" s="250"/>
      <c r="I204" s="847"/>
    </row>
    <row r="205">
      <c r="A205" s="265"/>
      <c r="B205" s="278"/>
      <c r="C205" s="252"/>
      <c r="D205" s="822"/>
      <c r="F205" s="282"/>
      <c r="I205" s="847"/>
    </row>
    <row r="206">
      <c r="A206" s="270"/>
      <c r="B206" s="271"/>
      <c r="C206" s="272"/>
      <c r="D206" s="823"/>
      <c r="E206" s="18"/>
      <c r="F206" s="274"/>
      <c r="G206" s="18"/>
      <c r="H206" s="18"/>
      <c r="I206" s="663"/>
    </row>
    <row r="207">
      <c r="A207" s="262" t="s">
        <v>417</v>
      </c>
      <c r="B207" s="306"/>
      <c r="C207" s="263"/>
      <c r="D207" s="824"/>
      <c r="E207" s="242"/>
      <c r="F207" s="243">
        <v>7600.0</v>
      </c>
      <c r="G207" s="244" t="s">
        <v>87</v>
      </c>
      <c r="H207" s="244"/>
      <c r="I207" s="662"/>
    </row>
    <row r="208">
      <c r="A208" s="265"/>
      <c r="B208" s="268"/>
      <c r="C208" s="248"/>
      <c r="D208" s="331"/>
      <c r="F208" s="250">
        <v>5900.0</v>
      </c>
      <c r="G208" s="2" t="s">
        <v>3003</v>
      </c>
      <c r="I208" s="847"/>
    </row>
    <row r="209">
      <c r="A209" s="265"/>
      <c r="B209" s="268"/>
      <c r="C209" s="252"/>
      <c r="D209" s="822"/>
      <c r="F209" s="250">
        <v>111.0</v>
      </c>
      <c r="G209" s="2" t="s">
        <v>708</v>
      </c>
      <c r="I209" s="847"/>
    </row>
    <row r="210">
      <c r="A210" s="265"/>
      <c r="B210" s="268"/>
      <c r="C210" s="248"/>
      <c r="D210" s="331">
        <v>14500.0</v>
      </c>
      <c r="F210" s="250"/>
      <c r="G210" s="2" t="s">
        <v>3299</v>
      </c>
      <c r="I210" s="847"/>
    </row>
    <row r="211">
      <c r="A211" s="265"/>
      <c r="B211" s="268"/>
      <c r="C211" s="252"/>
      <c r="D211" s="822"/>
      <c r="F211" s="250">
        <v>1000.0</v>
      </c>
      <c r="G211" s="2" t="s">
        <v>3355</v>
      </c>
      <c r="I211" s="847"/>
    </row>
    <row r="212">
      <c r="A212" s="265"/>
      <c r="B212" s="268"/>
      <c r="C212" s="252"/>
      <c r="D212" s="822"/>
      <c r="F212" s="250">
        <v>500.0</v>
      </c>
      <c r="G212" s="2" t="s">
        <v>3338</v>
      </c>
      <c r="I212" s="847"/>
    </row>
    <row r="213">
      <c r="A213" s="265"/>
      <c r="B213" s="268"/>
      <c r="C213" s="252"/>
      <c r="D213" s="822"/>
      <c r="F213" s="250">
        <v>2850.0</v>
      </c>
      <c r="G213" s="2" t="s">
        <v>3356</v>
      </c>
      <c r="H213" s="252"/>
      <c r="I213" s="847"/>
    </row>
    <row r="214">
      <c r="A214" s="265"/>
      <c r="B214" s="268"/>
      <c r="C214" s="252"/>
      <c r="D214" s="822"/>
      <c r="F214" s="250">
        <v>7700.0</v>
      </c>
      <c r="G214" s="2" t="s">
        <v>3356</v>
      </c>
      <c r="I214" s="847"/>
    </row>
    <row r="215">
      <c r="A215" s="265"/>
      <c r="B215" s="268"/>
      <c r="C215" s="252"/>
      <c r="D215" s="822"/>
      <c r="F215" s="250">
        <v>3600.0</v>
      </c>
      <c r="G215" s="2" t="s">
        <v>3357</v>
      </c>
      <c r="I215" s="847"/>
    </row>
    <row r="216">
      <c r="A216" s="265"/>
      <c r="B216" s="278"/>
      <c r="C216" s="252"/>
      <c r="D216" s="822"/>
      <c r="F216" s="250">
        <v>1850.0</v>
      </c>
      <c r="G216" s="2" t="s">
        <v>650</v>
      </c>
      <c r="I216" s="847"/>
    </row>
    <row r="217">
      <c r="A217" s="265"/>
      <c r="B217" s="278"/>
      <c r="C217" s="252"/>
      <c r="D217" s="822"/>
      <c r="F217" s="282"/>
      <c r="I217" s="847"/>
    </row>
    <row r="218">
      <c r="A218" s="270"/>
      <c r="B218" s="271"/>
      <c r="C218" s="272"/>
      <c r="D218" s="823"/>
      <c r="E218" s="18"/>
      <c r="F218" s="274"/>
      <c r="G218" s="18"/>
      <c r="H218" s="18"/>
      <c r="I218" s="663"/>
    </row>
    <row r="219">
      <c r="A219" s="262" t="s">
        <v>418</v>
      </c>
      <c r="B219" s="239">
        <v>2671.5</v>
      </c>
      <c r="C219" s="240"/>
      <c r="D219" s="821"/>
      <c r="E219" s="242"/>
      <c r="F219" s="243"/>
      <c r="G219" s="244" t="s">
        <v>82</v>
      </c>
      <c r="H219" s="244"/>
      <c r="I219" s="662"/>
    </row>
    <row r="220">
      <c r="A220" s="265"/>
      <c r="B220" s="268"/>
      <c r="C220" s="252"/>
      <c r="D220" s="331"/>
      <c r="F220" s="250">
        <v>4760.0</v>
      </c>
      <c r="G220" s="2" t="s">
        <v>128</v>
      </c>
      <c r="I220" s="847"/>
    </row>
    <row r="221">
      <c r="A221" s="265"/>
      <c r="B221" s="268"/>
      <c r="C221" s="252"/>
      <c r="D221" s="822"/>
      <c r="F221" s="250">
        <v>11250.0</v>
      </c>
      <c r="G221" s="2" t="s">
        <v>3102</v>
      </c>
      <c r="I221" s="847"/>
    </row>
    <row r="222">
      <c r="A222" s="265"/>
      <c r="B222" s="268"/>
      <c r="C222" s="248"/>
      <c r="D222" s="822"/>
      <c r="F222" s="250">
        <v>7000.0</v>
      </c>
      <c r="G222" s="2" t="s">
        <v>3358</v>
      </c>
      <c r="I222" s="847"/>
    </row>
    <row r="223">
      <c r="A223" s="265"/>
      <c r="B223" s="268"/>
      <c r="C223" s="248"/>
      <c r="D223" s="822"/>
      <c r="F223" s="250"/>
      <c r="I223" s="847"/>
    </row>
    <row r="224">
      <c r="A224" s="265"/>
      <c r="B224" s="268"/>
      <c r="C224" s="248"/>
      <c r="D224" s="331"/>
      <c r="F224" s="250"/>
      <c r="I224" s="847"/>
    </row>
    <row r="225">
      <c r="A225" s="265"/>
      <c r="B225" s="268"/>
      <c r="C225" s="252"/>
      <c r="D225" s="822"/>
      <c r="F225" s="250"/>
      <c r="I225" s="847"/>
    </row>
    <row r="226">
      <c r="A226" s="265"/>
      <c r="B226" s="268"/>
      <c r="C226" s="252"/>
      <c r="D226" s="822"/>
      <c r="F226" s="250"/>
      <c r="I226" s="847"/>
    </row>
    <row r="227">
      <c r="A227" s="265"/>
      <c r="B227" s="268"/>
      <c r="C227" s="252"/>
      <c r="D227" s="822"/>
      <c r="F227" s="250"/>
      <c r="I227" s="847"/>
    </row>
    <row r="228">
      <c r="A228" s="265"/>
      <c r="B228" s="268"/>
      <c r="C228" s="252"/>
      <c r="D228" s="822"/>
      <c r="F228" s="250"/>
      <c r="I228" s="847"/>
    </row>
    <row r="229">
      <c r="A229" s="270"/>
      <c r="B229" s="271"/>
      <c r="C229" s="272"/>
      <c r="D229" s="823"/>
      <c r="E229" s="18"/>
      <c r="F229" s="274"/>
      <c r="G229" s="18"/>
      <c r="H229" s="18"/>
      <c r="I229" s="663"/>
    </row>
    <row r="230">
      <c r="A230" s="262" t="s">
        <v>427</v>
      </c>
      <c r="B230" s="306"/>
      <c r="C230" s="240"/>
      <c r="D230" s="824"/>
      <c r="E230" s="242"/>
      <c r="F230" s="243">
        <v>3800.0</v>
      </c>
      <c r="G230" s="244" t="s">
        <v>87</v>
      </c>
      <c r="H230" s="244"/>
      <c r="I230" s="662"/>
    </row>
    <row r="231">
      <c r="A231" s="265"/>
      <c r="B231" s="247"/>
      <c r="C231" s="252"/>
      <c r="D231" s="822"/>
      <c r="F231" s="250">
        <v>6421.0</v>
      </c>
      <c r="G231" s="2" t="s">
        <v>3003</v>
      </c>
      <c r="I231" s="847"/>
    </row>
    <row r="232">
      <c r="A232" s="265"/>
      <c r="B232" s="268"/>
      <c r="C232" s="252"/>
      <c r="D232" s="822"/>
      <c r="F232" s="250">
        <v>210.0</v>
      </c>
      <c r="G232" s="2" t="s">
        <v>3014</v>
      </c>
      <c r="I232" s="847"/>
    </row>
    <row r="233">
      <c r="A233" s="265"/>
      <c r="B233" s="268"/>
      <c r="C233" s="252"/>
      <c r="D233" s="822"/>
      <c r="F233" s="250">
        <v>480.0</v>
      </c>
      <c r="G233" s="2" t="s">
        <v>864</v>
      </c>
      <c r="I233" s="847"/>
    </row>
    <row r="234">
      <c r="A234" s="265"/>
      <c r="B234" s="268"/>
      <c r="C234" s="252"/>
      <c r="D234" s="822"/>
      <c r="F234" s="250">
        <v>500.0</v>
      </c>
      <c r="G234" s="2" t="s">
        <v>3333</v>
      </c>
      <c r="H234" s="252"/>
      <c r="I234" s="847"/>
    </row>
    <row r="235">
      <c r="A235" s="265"/>
      <c r="B235" s="268"/>
      <c r="C235" s="252"/>
      <c r="D235" s="822"/>
      <c r="F235" s="250">
        <v>3500.0</v>
      </c>
      <c r="G235" s="2" t="s">
        <v>94</v>
      </c>
      <c r="I235" s="847"/>
    </row>
    <row r="236">
      <c r="A236" s="265"/>
      <c r="B236" s="268"/>
      <c r="C236" s="252"/>
      <c r="D236" s="822"/>
      <c r="F236" s="250"/>
      <c r="I236" s="847"/>
    </row>
    <row r="237">
      <c r="A237" s="265"/>
      <c r="B237" s="268"/>
      <c r="C237" s="252"/>
      <c r="D237" s="822"/>
      <c r="F237" s="250"/>
      <c r="I237" s="847"/>
    </row>
    <row r="238">
      <c r="A238" s="265"/>
      <c r="B238" s="268"/>
      <c r="C238" s="252"/>
      <c r="D238" s="822"/>
      <c r="F238" s="250"/>
      <c r="I238" s="847"/>
    </row>
    <row r="239">
      <c r="A239" s="265"/>
      <c r="B239" s="268"/>
      <c r="C239" s="252"/>
      <c r="D239" s="822"/>
      <c r="F239" s="250"/>
      <c r="I239" s="847"/>
    </row>
    <row r="240">
      <c r="A240" s="265"/>
      <c r="B240" s="278"/>
      <c r="C240" s="252"/>
      <c r="D240" s="822"/>
      <c r="F240" s="250"/>
      <c r="I240" s="847"/>
    </row>
    <row r="241">
      <c r="A241" s="265"/>
      <c r="B241" s="278"/>
      <c r="C241" s="252"/>
      <c r="D241" s="822"/>
      <c r="F241" s="250"/>
      <c r="I241" s="847"/>
    </row>
    <row r="242">
      <c r="A242" s="265"/>
      <c r="B242" s="278"/>
      <c r="C242" s="252"/>
      <c r="D242" s="822"/>
      <c r="F242" s="250"/>
      <c r="I242" s="847"/>
    </row>
    <row r="243">
      <c r="A243" s="270"/>
      <c r="B243" s="271"/>
      <c r="C243" s="272"/>
      <c r="D243" s="823"/>
      <c r="E243" s="18"/>
      <c r="F243" s="274"/>
      <c r="G243" s="18"/>
      <c r="H243" s="18"/>
      <c r="I243" s="663"/>
    </row>
    <row r="244">
      <c r="A244" s="262" t="s">
        <v>428</v>
      </c>
      <c r="B244" s="239">
        <v>2671.0</v>
      </c>
      <c r="C244" s="240"/>
      <c r="D244" s="824"/>
      <c r="E244" s="242"/>
      <c r="F244" s="243"/>
      <c r="G244" s="244" t="s">
        <v>82</v>
      </c>
      <c r="H244" s="244"/>
      <c r="I244" s="662"/>
    </row>
    <row r="245">
      <c r="A245" s="265"/>
      <c r="B245" s="268"/>
      <c r="C245" s="248"/>
      <c r="D245" s="822"/>
      <c r="F245" s="250"/>
      <c r="I245" s="847"/>
    </row>
    <row r="246">
      <c r="A246" s="265"/>
      <c r="B246" s="247"/>
      <c r="C246" s="252"/>
      <c r="D246" s="822"/>
      <c r="F246" s="250"/>
      <c r="I246" s="847"/>
    </row>
    <row r="247">
      <c r="A247" s="265"/>
      <c r="B247" s="268"/>
      <c r="C247" s="252"/>
      <c r="D247" s="822"/>
      <c r="F247" s="250"/>
      <c r="I247" s="847"/>
    </row>
    <row r="248">
      <c r="A248" s="265"/>
      <c r="B248" s="247"/>
      <c r="C248" s="252"/>
      <c r="D248" s="822"/>
      <c r="F248" s="250"/>
      <c r="I248" s="847"/>
    </row>
    <row r="249">
      <c r="A249" s="265"/>
      <c r="B249" s="247"/>
      <c r="C249" s="248"/>
      <c r="D249" s="822"/>
      <c r="F249" s="250"/>
      <c r="I249" s="847"/>
    </row>
    <row r="250">
      <c r="A250" s="265"/>
      <c r="B250" s="268"/>
      <c r="C250" s="252"/>
      <c r="D250" s="822"/>
      <c r="F250" s="250"/>
      <c r="I250" s="847"/>
    </row>
    <row r="251">
      <c r="A251" s="265"/>
      <c r="B251" s="268"/>
      <c r="C251" s="252"/>
      <c r="D251" s="822"/>
      <c r="F251" s="250"/>
      <c r="I251" s="847"/>
    </row>
    <row r="252">
      <c r="A252" s="265"/>
      <c r="B252" s="268"/>
      <c r="C252" s="248"/>
      <c r="D252" s="822"/>
      <c r="F252" s="250"/>
      <c r="I252" s="847"/>
    </row>
    <row r="253">
      <c r="A253" s="265"/>
      <c r="B253" s="268"/>
      <c r="C253" s="252"/>
      <c r="D253" s="822"/>
      <c r="F253" s="250"/>
      <c r="I253" s="847"/>
    </row>
    <row r="254">
      <c r="A254" s="265"/>
      <c r="B254" s="268"/>
      <c r="C254" s="252"/>
      <c r="D254" s="822"/>
      <c r="F254" s="250"/>
      <c r="I254" s="847"/>
    </row>
    <row r="255">
      <c r="A255" s="265"/>
      <c r="B255" s="268"/>
      <c r="C255" s="252"/>
      <c r="D255" s="822"/>
      <c r="F255" s="250"/>
      <c r="I255" s="847"/>
    </row>
    <row r="256">
      <c r="A256" s="265"/>
      <c r="B256" s="268"/>
      <c r="C256" s="252"/>
      <c r="D256" s="822"/>
      <c r="F256" s="250"/>
      <c r="I256" s="847"/>
    </row>
    <row r="257">
      <c r="A257" s="265"/>
      <c r="B257" s="268"/>
      <c r="C257" s="252"/>
      <c r="D257" s="822"/>
      <c r="F257" s="250"/>
      <c r="I257" s="847"/>
    </row>
    <row r="258">
      <c r="A258" s="270"/>
      <c r="B258" s="271"/>
      <c r="C258" s="272"/>
      <c r="D258" s="823"/>
      <c r="E258" s="18"/>
      <c r="F258" s="274"/>
      <c r="G258" s="18"/>
      <c r="H258" s="18"/>
      <c r="I258" s="663"/>
    </row>
    <row r="259">
      <c r="A259" s="262" t="s">
        <v>430</v>
      </c>
      <c r="B259" s="306"/>
      <c r="C259" s="263"/>
      <c r="D259" s="821"/>
      <c r="E259" s="242"/>
      <c r="F259" s="243">
        <v>4000.0</v>
      </c>
      <c r="G259" s="244" t="s">
        <v>3359</v>
      </c>
      <c r="H259" s="244"/>
      <c r="I259" s="662"/>
    </row>
    <row r="260">
      <c r="A260" s="265"/>
      <c r="B260" s="268"/>
      <c r="C260" s="252"/>
      <c r="D260" s="822"/>
      <c r="F260" s="250">
        <v>1500.0</v>
      </c>
      <c r="G260" s="2" t="s">
        <v>3360</v>
      </c>
      <c r="I260" s="847"/>
    </row>
    <row r="261">
      <c r="A261" s="265"/>
      <c r="B261" s="268"/>
      <c r="C261" s="252"/>
      <c r="D261" s="331"/>
      <c r="F261" s="250">
        <v>7400.0</v>
      </c>
      <c r="G261" s="2" t="s">
        <v>3361</v>
      </c>
      <c r="I261" s="847"/>
    </row>
    <row r="262">
      <c r="A262" s="265"/>
      <c r="B262" s="268"/>
      <c r="C262" s="252"/>
      <c r="D262" s="822"/>
      <c r="F262" s="250"/>
      <c r="I262" s="847"/>
    </row>
    <row r="263">
      <c r="A263" s="265"/>
      <c r="B263" s="268"/>
      <c r="C263" s="252"/>
      <c r="D263" s="822"/>
      <c r="F263" s="250"/>
      <c r="I263" s="847"/>
    </row>
    <row r="264">
      <c r="A264" s="265"/>
      <c r="B264" s="268"/>
      <c r="C264" s="252"/>
      <c r="D264" s="822"/>
      <c r="F264" s="250"/>
      <c r="I264" s="847"/>
    </row>
    <row r="265">
      <c r="A265" s="265"/>
      <c r="B265" s="268"/>
      <c r="C265" s="252"/>
      <c r="D265" s="822"/>
      <c r="F265" s="250"/>
      <c r="I265" s="847"/>
    </row>
    <row r="266">
      <c r="A266" s="265"/>
      <c r="B266" s="268"/>
      <c r="C266" s="252"/>
      <c r="D266" s="822"/>
      <c r="F266" s="250"/>
      <c r="I266" s="847"/>
    </row>
    <row r="267">
      <c r="A267" s="265"/>
      <c r="B267" s="268"/>
      <c r="C267" s="252"/>
      <c r="D267" s="822"/>
      <c r="F267" s="250"/>
      <c r="I267" s="847"/>
    </row>
    <row r="268">
      <c r="A268" s="265"/>
      <c r="B268" s="268"/>
      <c r="C268" s="252"/>
      <c r="D268" s="822"/>
      <c r="F268" s="250"/>
      <c r="I268" s="847"/>
    </row>
    <row r="269">
      <c r="A269" s="265"/>
      <c r="B269" s="268"/>
      <c r="C269" s="252"/>
      <c r="D269" s="822"/>
      <c r="F269" s="250"/>
      <c r="I269" s="847"/>
    </row>
    <row r="270">
      <c r="A270" s="265"/>
      <c r="B270" s="268"/>
      <c r="C270" s="252"/>
      <c r="D270" s="822"/>
      <c r="F270" s="250"/>
      <c r="I270" s="847"/>
    </row>
    <row r="271">
      <c r="A271" s="270"/>
      <c r="B271" s="271"/>
      <c r="C271" s="272"/>
      <c r="D271" s="823"/>
      <c r="E271" s="18"/>
      <c r="F271" s="274"/>
      <c r="G271" s="18"/>
      <c r="H271" s="18"/>
      <c r="I271" s="663"/>
    </row>
    <row r="272">
      <c r="A272" s="262" t="s">
        <v>439</v>
      </c>
      <c r="B272" s="239">
        <v>600.0</v>
      </c>
      <c r="C272" s="263"/>
      <c r="D272" s="824"/>
      <c r="E272" s="242"/>
      <c r="F272" s="243"/>
      <c r="G272" s="244" t="s">
        <v>3324</v>
      </c>
      <c r="H272" s="244"/>
      <c r="I272" s="662"/>
    </row>
    <row r="273">
      <c r="A273" s="265"/>
      <c r="B273" s="268"/>
      <c r="C273" s="252"/>
      <c r="D273" s="822"/>
      <c r="F273" s="250">
        <v>2369.0</v>
      </c>
      <c r="G273" s="2" t="s">
        <v>708</v>
      </c>
      <c r="I273" s="847"/>
    </row>
    <row r="274">
      <c r="A274" s="265"/>
      <c r="B274" s="268"/>
      <c r="C274" s="252"/>
      <c r="D274" s="822"/>
      <c r="F274" s="250">
        <v>150.0</v>
      </c>
      <c r="G274" s="2" t="s">
        <v>530</v>
      </c>
      <c r="I274" s="847"/>
    </row>
    <row r="275">
      <c r="A275" s="265"/>
      <c r="B275" s="268"/>
      <c r="C275" s="248"/>
      <c r="D275" s="822"/>
      <c r="F275" s="250"/>
      <c r="I275" s="847"/>
    </row>
    <row r="276">
      <c r="A276" s="265"/>
      <c r="B276" s="247"/>
      <c r="C276" s="252"/>
      <c r="D276" s="822"/>
      <c r="F276" s="250"/>
      <c r="I276" s="847"/>
    </row>
    <row r="277">
      <c r="A277" s="265"/>
      <c r="B277" s="268"/>
      <c r="C277" s="248"/>
      <c r="D277" s="331"/>
      <c r="F277" s="250"/>
      <c r="I277" s="847"/>
    </row>
    <row r="278">
      <c r="A278" s="265"/>
      <c r="B278" s="268"/>
      <c r="C278" s="252"/>
      <c r="D278" s="331"/>
      <c r="F278" s="250"/>
      <c r="I278" s="847"/>
    </row>
    <row r="279">
      <c r="A279" s="265"/>
      <c r="B279" s="268"/>
      <c r="C279" s="252"/>
      <c r="D279" s="822"/>
      <c r="F279" s="250"/>
      <c r="I279" s="847"/>
    </row>
    <row r="280">
      <c r="A280" s="265"/>
      <c r="B280" s="268"/>
      <c r="C280" s="252"/>
      <c r="D280" s="331"/>
      <c r="F280" s="250"/>
      <c r="I280" s="847"/>
    </row>
    <row r="281">
      <c r="A281" s="265"/>
      <c r="B281" s="268"/>
      <c r="C281" s="252"/>
      <c r="D281" s="331"/>
      <c r="F281" s="250"/>
      <c r="I281" s="847"/>
    </row>
    <row r="282">
      <c r="A282" s="265"/>
      <c r="B282" s="268"/>
      <c r="C282" s="252"/>
      <c r="D282" s="822"/>
      <c r="F282" s="250"/>
      <c r="I282" s="847"/>
    </row>
    <row r="283">
      <c r="A283" s="265"/>
      <c r="B283" s="268"/>
      <c r="C283" s="252"/>
      <c r="D283" s="822"/>
      <c r="F283" s="250"/>
      <c r="I283" s="847"/>
    </row>
    <row r="284">
      <c r="A284" s="265"/>
      <c r="B284" s="268"/>
      <c r="C284" s="252"/>
      <c r="D284" s="822"/>
      <c r="F284" s="250"/>
      <c r="I284" s="847"/>
    </row>
    <row r="285">
      <c r="A285" s="270"/>
      <c r="B285" s="271"/>
      <c r="C285" s="272"/>
      <c r="D285" s="823"/>
      <c r="E285" s="18"/>
      <c r="F285" s="274"/>
      <c r="G285" s="18"/>
      <c r="H285" s="18"/>
      <c r="I285" s="663"/>
    </row>
    <row r="286">
      <c r="A286" s="262" t="s">
        <v>446</v>
      </c>
      <c r="B286" s="306"/>
      <c r="C286" s="263">
        <v>26445.0</v>
      </c>
      <c r="D286" s="824"/>
      <c r="E286" s="242"/>
      <c r="F286" s="243"/>
      <c r="G286" s="244" t="s">
        <v>71</v>
      </c>
      <c r="H286" s="244"/>
      <c r="I286" s="662"/>
    </row>
    <row r="287">
      <c r="A287" s="265"/>
      <c r="B287" s="268"/>
      <c r="C287" s="248"/>
      <c r="D287" s="822"/>
      <c r="F287" s="250">
        <v>1445.0</v>
      </c>
      <c r="G287" s="2" t="s">
        <v>708</v>
      </c>
      <c r="I287" s="847"/>
    </row>
    <row r="288">
      <c r="A288" s="265"/>
      <c r="B288" s="268"/>
      <c r="C288" s="248"/>
      <c r="D288" s="822"/>
      <c r="F288" s="250">
        <v>7176.0</v>
      </c>
      <c r="G288" s="2" t="s">
        <v>3003</v>
      </c>
      <c r="I288" s="847"/>
    </row>
    <row r="289">
      <c r="A289" s="265"/>
      <c r="B289" s="268"/>
      <c r="C289" s="248"/>
      <c r="D289" s="822"/>
      <c r="F289" s="250">
        <v>2562.0</v>
      </c>
      <c r="G289" s="2" t="s">
        <v>94</v>
      </c>
      <c r="I289" s="847"/>
    </row>
    <row r="290">
      <c r="A290" s="265"/>
      <c r="B290" s="268"/>
      <c r="C290" s="252"/>
      <c r="D290" s="822"/>
      <c r="F290" s="250">
        <v>1440.0</v>
      </c>
      <c r="G290" s="2" t="s">
        <v>215</v>
      </c>
      <c r="I290" s="847"/>
    </row>
    <row r="291">
      <c r="A291" s="265"/>
      <c r="B291" s="268"/>
      <c r="C291" s="252"/>
      <c r="D291" s="822"/>
      <c r="F291" s="250">
        <v>120.0</v>
      </c>
      <c r="G291" s="2" t="s">
        <v>137</v>
      </c>
      <c r="I291" s="847"/>
    </row>
    <row r="292">
      <c r="A292" s="265"/>
      <c r="B292" s="268"/>
      <c r="C292" s="248"/>
      <c r="D292" s="822"/>
      <c r="F292" s="243">
        <v>687.0</v>
      </c>
      <c r="G292" s="244" t="s">
        <v>402</v>
      </c>
      <c r="H292" s="244"/>
      <c r="I292" s="847"/>
    </row>
    <row r="293">
      <c r="A293" s="265"/>
      <c r="B293" s="268"/>
      <c r="C293" s="252"/>
      <c r="D293" s="822"/>
      <c r="F293" s="250">
        <v>1000.0</v>
      </c>
      <c r="G293" s="2" t="s">
        <v>304</v>
      </c>
      <c r="I293" s="847"/>
    </row>
    <row r="294">
      <c r="A294" s="265"/>
      <c r="B294" s="247"/>
      <c r="C294" s="252"/>
      <c r="D294" s="822"/>
      <c r="F294" s="250">
        <v>2000.0</v>
      </c>
      <c r="G294" s="2" t="s">
        <v>3362</v>
      </c>
      <c r="H294" s="252"/>
      <c r="I294" s="847"/>
    </row>
    <row r="295">
      <c r="A295" s="265"/>
      <c r="B295" s="268"/>
      <c r="C295" s="252"/>
      <c r="D295" s="822"/>
      <c r="F295" s="250">
        <v>6840.0</v>
      </c>
      <c r="G295" s="2" t="s">
        <v>76</v>
      </c>
      <c r="I295" s="847"/>
    </row>
    <row r="296">
      <c r="A296" s="265"/>
      <c r="B296" s="268"/>
      <c r="C296" s="252"/>
      <c r="D296" s="822"/>
      <c r="F296" s="250"/>
      <c r="I296" s="847"/>
    </row>
    <row r="297">
      <c r="A297" s="265"/>
      <c r="B297" s="268"/>
      <c r="C297" s="252"/>
      <c r="D297" s="822"/>
      <c r="F297" s="250"/>
      <c r="I297" s="847"/>
    </row>
    <row r="298">
      <c r="A298" s="265"/>
      <c r="B298" s="268"/>
      <c r="C298" s="252"/>
      <c r="D298" s="822"/>
      <c r="F298" s="250"/>
      <c r="I298" s="847"/>
    </row>
    <row r="299">
      <c r="A299" s="265"/>
      <c r="B299" s="268"/>
      <c r="C299" s="252"/>
      <c r="D299" s="822"/>
      <c r="F299" s="250"/>
      <c r="I299" s="847"/>
    </row>
    <row r="300">
      <c r="A300" s="270"/>
      <c r="B300" s="271"/>
      <c r="C300" s="272"/>
      <c r="D300" s="823"/>
      <c r="E300" s="18"/>
      <c r="F300" s="274"/>
      <c r="G300" s="18"/>
      <c r="H300" s="18"/>
      <c r="I300" s="663"/>
    </row>
    <row r="301">
      <c r="A301" s="262" t="s">
        <v>449</v>
      </c>
      <c r="B301" s="306"/>
      <c r="C301" s="240"/>
      <c r="D301" s="821"/>
      <c r="E301" s="242"/>
      <c r="F301" s="250">
        <v>3800.0</v>
      </c>
      <c r="G301" s="2" t="s">
        <v>87</v>
      </c>
      <c r="I301" s="662"/>
    </row>
    <row r="302">
      <c r="A302" s="265"/>
      <c r="B302" s="268"/>
      <c r="C302" s="252"/>
      <c r="D302" s="822"/>
      <c r="F302" s="250">
        <v>5832.0</v>
      </c>
      <c r="G302" s="2" t="s">
        <v>405</v>
      </c>
      <c r="I302" s="847"/>
    </row>
    <row r="303">
      <c r="A303" s="265"/>
      <c r="B303" s="268"/>
      <c r="C303" s="252"/>
      <c r="D303" s="822"/>
      <c r="F303" s="250">
        <v>650.0</v>
      </c>
      <c r="G303" s="2" t="s">
        <v>143</v>
      </c>
      <c r="I303" s="847"/>
    </row>
    <row r="304">
      <c r="A304" s="265"/>
      <c r="B304" s="268"/>
      <c r="C304" s="248">
        <v>32594.0</v>
      </c>
      <c r="D304" s="822"/>
      <c r="F304" s="250"/>
      <c r="G304" s="2" t="s">
        <v>3363</v>
      </c>
      <c r="I304" s="847"/>
    </row>
    <row r="305">
      <c r="A305" s="265"/>
      <c r="B305" s="247"/>
      <c r="C305" s="252"/>
      <c r="D305" s="822"/>
      <c r="F305" s="250">
        <v>100.0</v>
      </c>
      <c r="G305" s="2" t="s">
        <v>3364</v>
      </c>
      <c r="I305" s="847"/>
    </row>
    <row r="306">
      <c r="A306" s="265"/>
      <c r="B306" s="247"/>
      <c r="C306" s="252"/>
      <c r="D306" s="822"/>
      <c r="F306" s="250">
        <v>5000.0</v>
      </c>
      <c r="G306" s="2" t="s">
        <v>3365</v>
      </c>
      <c r="I306" s="847"/>
    </row>
    <row r="307">
      <c r="A307" s="265"/>
      <c r="B307" s="268"/>
      <c r="C307" s="252"/>
      <c r="D307" s="331"/>
      <c r="F307" s="250">
        <v>345.0</v>
      </c>
      <c r="G307" s="2" t="s">
        <v>3366</v>
      </c>
      <c r="I307" s="847"/>
    </row>
    <row r="308">
      <c r="A308" s="265"/>
      <c r="B308" s="268"/>
      <c r="C308" s="252"/>
      <c r="D308" s="822"/>
      <c r="F308" s="250"/>
      <c r="I308" s="847"/>
    </row>
    <row r="309">
      <c r="A309" s="265"/>
      <c r="B309" s="268"/>
      <c r="C309" s="252"/>
      <c r="D309" s="822"/>
      <c r="F309" s="250"/>
      <c r="I309" s="847"/>
    </row>
    <row r="310">
      <c r="A310" s="265"/>
      <c r="B310" s="268"/>
      <c r="C310" s="252"/>
      <c r="D310" s="822"/>
      <c r="F310" s="250"/>
      <c r="I310" s="847"/>
    </row>
    <row r="311">
      <c r="A311" s="270"/>
      <c r="B311" s="271"/>
      <c r="C311" s="272"/>
      <c r="D311" s="823"/>
      <c r="E311" s="18"/>
      <c r="F311" s="274"/>
      <c r="G311" s="18"/>
      <c r="H311" s="18"/>
      <c r="I311" s="663"/>
    </row>
    <row r="312">
      <c r="A312" s="262" t="s">
        <v>452</v>
      </c>
      <c r="B312" s="306"/>
      <c r="C312" s="240"/>
      <c r="D312" s="824"/>
      <c r="E312" s="242"/>
      <c r="F312" s="243">
        <v>337.0</v>
      </c>
      <c r="G312" s="244" t="s">
        <v>708</v>
      </c>
      <c r="H312" s="244"/>
      <c r="I312" s="662"/>
    </row>
    <row r="313">
      <c r="A313" s="265"/>
      <c r="B313" s="268"/>
      <c r="C313" s="248"/>
      <c r="D313" s="822"/>
      <c r="F313" s="250">
        <v>260.0</v>
      </c>
      <c r="G313" s="2" t="s">
        <v>314</v>
      </c>
      <c r="I313" s="847"/>
    </row>
    <row r="314">
      <c r="A314" s="265"/>
      <c r="B314" s="268"/>
      <c r="C314" s="248"/>
      <c r="D314" s="822"/>
      <c r="F314" s="250">
        <v>7200.0</v>
      </c>
      <c r="G314" s="2" t="s">
        <v>3367</v>
      </c>
      <c r="I314" s="847"/>
    </row>
    <row r="315">
      <c r="A315" s="265"/>
      <c r="B315" s="268"/>
      <c r="C315" s="252"/>
      <c r="D315" s="822"/>
      <c r="F315" s="250"/>
      <c r="I315" s="847"/>
    </row>
    <row r="316">
      <c r="A316" s="265"/>
      <c r="B316" s="268"/>
      <c r="C316" s="252"/>
      <c r="D316" s="331"/>
      <c r="F316" s="250"/>
      <c r="I316" s="847"/>
    </row>
    <row r="317">
      <c r="A317" s="265"/>
      <c r="B317" s="247"/>
      <c r="C317" s="252"/>
      <c r="D317" s="822"/>
      <c r="F317" s="250"/>
      <c r="I317" s="847"/>
    </row>
    <row r="318">
      <c r="A318" s="265"/>
      <c r="B318" s="247"/>
      <c r="C318" s="252"/>
      <c r="D318" s="822"/>
      <c r="F318" s="250"/>
      <c r="I318" s="847"/>
    </row>
    <row r="319">
      <c r="A319" s="265"/>
      <c r="B319" s="268"/>
      <c r="C319" s="252"/>
      <c r="D319" s="822"/>
      <c r="F319" s="250"/>
      <c r="I319" s="847"/>
    </row>
    <row r="320">
      <c r="A320" s="265"/>
      <c r="B320" s="268"/>
      <c r="C320" s="252"/>
      <c r="D320" s="822"/>
      <c r="F320" s="250"/>
      <c r="I320" s="847"/>
    </row>
    <row r="321">
      <c r="A321" s="265"/>
      <c r="B321" s="268"/>
      <c r="C321" s="252"/>
      <c r="D321" s="822"/>
      <c r="F321" s="250"/>
      <c r="I321" s="847"/>
    </row>
    <row r="322">
      <c r="A322" s="270"/>
      <c r="B322" s="271"/>
      <c r="C322" s="272"/>
      <c r="D322" s="823"/>
      <c r="E322" s="18"/>
      <c r="F322" s="274"/>
      <c r="G322" s="18"/>
      <c r="H322" s="18"/>
      <c r="I322" s="663"/>
    </row>
    <row r="323">
      <c r="A323" s="262" t="s">
        <v>661</v>
      </c>
      <c r="B323" s="306"/>
      <c r="C323" s="240"/>
      <c r="D323" s="824"/>
      <c r="E323" s="242"/>
      <c r="F323" s="243">
        <v>1592.0</v>
      </c>
      <c r="G323" s="244" t="s">
        <v>314</v>
      </c>
      <c r="H323" s="244"/>
      <c r="I323" s="662"/>
    </row>
    <row r="324">
      <c r="A324" s="265"/>
      <c r="B324" s="268"/>
      <c r="C324" s="252"/>
      <c r="D324" s="822"/>
      <c r="F324" s="250">
        <v>1150.0</v>
      </c>
      <c r="G324" s="2" t="s">
        <v>314</v>
      </c>
      <c r="I324" s="847"/>
    </row>
    <row r="325">
      <c r="A325" s="265"/>
      <c r="B325" s="247">
        <v>2968.0</v>
      </c>
      <c r="C325" s="252"/>
      <c r="D325" s="822"/>
      <c r="F325" s="250"/>
      <c r="G325" s="2" t="s">
        <v>82</v>
      </c>
      <c r="I325" s="847"/>
    </row>
    <row r="326">
      <c r="A326" s="265"/>
      <c r="B326" s="268"/>
      <c r="C326" s="252"/>
      <c r="D326" s="331">
        <v>18785.0</v>
      </c>
      <c r="F326" s="250"/>
      <c r="G326" s="2" t="s">
        <v>3368</v>
      </c>
      <c r="I326" s="847"/>
    </row>
    <row r="327">
      <c r="A327" s="265"/>
      <c r="B327" s="268"/>
      <c r="C327" s="252"/>
      <c r="D327" s="822"/>
      <c r="F327" s="250">
        <v>35000.0</v>
      </c>
      <c r="G327" s="2" t="s">
        <v>3369</v>
      </c>
      <c r="I327" s="847"/>
    </row>
    <row r="328">
      <c r="A328" s="265"/>
      <c r="B328" s="268"/>
      <c r="C328" s="252"/>
      <c r="D328" s="822"/>
      <c r="F328" s="250">
        <v>500.0</v>
      </c>
      <c r="G328" s="2" t="s">
        <v>3302</v>
      </c>
      <c r="I328" s="847"/>
    </row>
    <row r="329">
      <c r="A329" s="265"/>
      <c r="B329" s="268"/>
      <c r="C329" s="252"/>
      <c r="D329" s="822"/>
      <c r="F329" s="250"/>
      <c r="H329" s="318"/>
      <c r="I329" s="847"/>
    </row>
    <row r="330">
      <c r="A330" s="265"/>
      <c r="B330" s="268"/>
      <c r="C330" s="252"/>
      <c r="D330" s="331"/>
      <c r="F330" s="250"/>
      <c r="I330" s="847"/>
    </row>
    <row r="331">
      <c r="A331" s="265"/>
      <c r="B331" s="268"/>
      <c r="C331" s="252"/>
      <c r="D331" s="822"/>
      <c r="F331" s="250"/>
      <c r="I331" s="847"/>
    </row>
    <row r="332">
      <c r="A332" s="265"/>
      <c r="B332" s="268"/>
      <c r="C332" s="252"/>
      <c r="D332" s="822"/>
      <c r="F332" s="250"/>
      <c r="I332" s="847"/>
    </row>
    <row r="333">
      <c r="A333" s="265"/>
      <c r="B333" s="268"/>
      <c r="C333" s="252"/>
      <c r="D333" s="822"/>
      <c r="F333" s="250"/>
      <c r="I333" s="847"/>
    </row>
    <row r="334">
      <c r="A334" s="265"/>
      <c r="B334" s="268"/>
      <c r="C334" s="252"/>
      <c r="D334" s="822"/>
      <c r="F334" s="250"/>
      <c r="I334" s="847"/>
    </row>
    <row r="335">
      <c r="A335" s="265"/>
      <c r="B335" s="268"/>
      <c r="C335" s="252"/>
      <c r="D335" s="822"/>
      <c r="F335" s="250"/>
      <c r="I335" s="847"/>
    </row>
    <row r="336">
      <c r="A336" s="265"/>
      <c r="B336" s="268"/>
      <c r="C336" s="252"/>
      <c r="D336" s="822"/>
      <c r="F336" s="250"/>
      <c r="I336" s="847"/>
    </row>
    <row r="337">
      <c r="A337" s="265"/>
      <c r="B337" s="268"/>
      <c r="C337" s="252"/>
      <c r="D337" s="822"/>
      <c r="F337" s="250"/>
      <c r="I337" s="847"/>
    </row>
    <row r="338">
      <c r="A338" s="265"/>
      <c r="B338" s="268"/>
      <c r="C338" s="252"/>
      <c r="D338" s="822"/>
      <c r="F338" s="250"/>
      <c r="I338" s="847"/>
    </row>
    <row r="339">
      <c r="A339" s="265"/>
      <c r="B339" s="268"/>
      <c r="C339" s="252"/>
      <c r="D339" s="822"/>
      <c r="F339" s="250"/>
      <c r="I339" s="847"/>
    </row>
    <row r="340">
      <c r="A340" s="270"/>
      <c r="B340" s="271"/>
      <c r="C340" s="272"/>
      <c r="D340" s="823"/>
      <c r="E340" s="18"/>
      <c r="F340" s="274"/>
      <c r="G340" s="18"/>
      <c r="H340" s="18"/>
      <c r="I340" s="663"/>
    </row>
    <row r="341">
      <c r="A341" s="262"/>
      <c r="B341" s="306"/>
      <c r="C341" s="240"/>
      <c r="D341" s="824"/>
      <c r="E341" s="242"/>
      <c r="F341" s="243"/>
      <c r="I341" s="662"/>
    </row>
    <row r="342">
      <c r="A342" s="265"/>
      <c r="B342" s="268"/>
      <c r="C342" s="248"/>
      <c r="D342" s="822"/>
      <c r="F342" s="250"/>
      <c r="I342" s="847"/>
    </row>
    <row r="343">
      <c r="A343" s="265"/>
      <c r="B343" s="268"/>
      <c r="C343" s="248"/>
      <c r="D343" s="822"/>
      <c r="F343" s="250"/>
      <c r="I343" s="847"/>
    </row>
    <row r="344">
      <c r="A344" s="265"/>
      <c r="B344" s="268"/>
      <c r="C344" s="252"/>
      <c r="D344" s="822"/>
      <c r="F344" s="250"/>
      <c r="I344" s="847"/>
    </row>
    <row r="345">
      <c r="A345" s="265"/>
      <c r="B345" s="268"/>
      <c r="C345" s="252"/>
      <c r="D345" s="822"/>
      <c r="F345" s="250"/>
      <c r="I345" s="847"/>
    </row>
    <row r="346">
      <c r="A346" s="265"/>
      <c r="B346" s="268"/>
      <c r="C346" s="252"/>
      <c r="D346" s="822"/>
      <c r="F346" s="250"/>
      <c r="I346" s="847"/>
    </row>
    <row r="347">
      <c r="A347" s="265"/>
      <c r="B347" s="268"/>
      <c r="C347" s="252"/>
      <c r="D347" s="822"/>
      <c r="F347" s="250"/>
      <c r="I347" s="847"/>
    </row>
    <row r="348">
      <c r="A348" s="265"/>
      <c r="B348" s="268"/>
      <c r="C348" s="252"/>
      <c r="D348" s="822"/>
      <c r="F348" s="250"/>
      <c r="I348" s="847"/>
    </row>
    <row r="349">
      <c r="A349" s="265"/>
      <c r="B349" s="268"/>
      <c r="C349" s="252"/>
      <c r="D349" s="822"/>
      <c r="F349" s="250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70"/>
      <c r="B351" s="271"/>
      <c r="C351" s="272"/>
      <c r="D351" s="823"/>
      <c r="E351" s="18"/>
      <c r="F351" s="274"/>
      <c r="G351" s="18"/>
      <c r="H351" s="18"/>
      <c r="I351" s="663"/>
    </row>
    <row r="352">
      <c r="A352" s="262"/>
      <c r="B352" s="306"/>
      <c r="C352" s="240"/>
      <c r="D352" s="824"/>
      <c r="E352" s="242"/>
      <c r="F352" s="243"/>
      <c r="G352" s="244"/>
      <c r="H352" s="244"/>
      <c r="I352" s="662"/>
    </row>
    <row r="353">
      <c r="A353" s="265"/>
      <c r="B353" s="268"/>
      <c r="C353" s="248"/>
      <c r="D353" s="331"/>
      <c r="F353" s="250"/>
      <c r="I353" s="847"/>
    </row>
    <row r="354">
      <c r="A354" s="265"/>
      <c r="B354" s="268"/>
      <c r="C354" s="252"/>
      <c r="D354" s="331"/>
      <c r="F354" s="250"/>
      <c r="I354" s="847"/>
    </row>
    <row r="355">
      <c r="A355" s="265"/>
      <c r="B355" s="268"/>
      <c r="C355" s="252"/>
      <c r="D355" s="822"/>
      <c r="F355" s="250"/>
      <c r="I355" s="847"/>
    </row>
    <row r="356">
      <c r="A356" s="265"/>
      <c r="B356" s="268"/>
      <c r="C356" s="248"/>
      <c r="D356" s="331"/>
      <c r="F356" s="250"/>
      <c r="I356" s="847"/>
    </row>
    <row r="357">
      <c r="A357" s="265"/>
      <c r="B357" s="268"/>
      <c r="C357" s="252"/>
      <c r="D357" s="331"/>
      <c r="F357" s="250"/>
      <c r="I357" s="847"/>
    </row>
    <row r="358">
      <c r="A358" s="265"/>
      <c r="B358" s="268"/>
      <c r="C358" s="252"/>
      <c r="D358" s="822"/>
      <c r="F358" s="250"/>
      <c r="I358" s="847"/>
    </row>
    <row r="359">
      <c r="A359" s="265"/>
      <c r="B359" s="268"/>
      <c r="C359" s="252"/>
      <c r="D359" s="331"/>
      <c r="F359" s="250"/>
      <c r="I359" s="847"/>
    </row>
    <row r="360">
      <c r="A360" s="265"/>
      <c r="B360" s="268"/>
      <c r="C360" s="252"/>
      <c r="D360" s="822"/>
      <c r="F360" s="250"/>
      <c r="I360" s="847"/>
    </row>
    <row r="361">
      <c r="A361" s="265"/>
      <c r="B361" s="268"/>
      <c r="C361" s="252"/>
      <c r="D361" s="822"/>
      <c r="F361" s="250"/>
      <c r="I361" s="847"/>
    </row>
    <row r="362">
      <c r="A362" s="265"/>
      <c r="B362" s="268"/>
      <c r="C362" s="252"/>
      <c r="D362" s="331"/>
      <c r="F362" s="250"/>
      <c r="I362" s="847"/>
    </row>
    <row r="363">
      <c r="A363" s="265"/>
      <c r="B363" s="268"/>
      <c r="C363" s="252"/>
      <c r="D363" s="822"/>
      <c r="F363" s="250"/>
      <c r="I363" s="847"/>
    </row>
    <row r="364">
      <c r="A364" s="270"/>
      <c r="B364" s="271"/>
      <c r="C364" s="272"/>
      <c r="D364" s="823"/>
      <c r="E364" s="18"/>
      <c r="F364" s="274"/>
      <c r="G364" s="18"/>
      <c r="H364" s="18"/>
      <c r="I364" s="663"/>
    </row>
    <row r="365">
      <c r="A365" s="262"/>
      <c r="B365" s="306"/>
      <c r="C365" s="263"/>
      <c r="D365" s="824"/>
      <c r="E365" s="242"/>
      <c r="F365" s="243"/>
      <c r="G365" s="244"/>
      <c r="H365" s="244"/>
      <c r="I365" s="662"/>
    </row>
    <row r="366">
      <c r="A366" s="265"/>
      <c r="B366" s="268"/>
      <c r="C366" s="248"/>
      <c r="D366" s="331"/>
      <c r="F366" s="250"/>
      <c r="I366" s="847"/>
    </row>
    <row r="367">
      <c r="A367" s="265"/>
      <c r="B367" s="268"/>
      <c r="C367" s="252"/>
      <c r="D367" s="822"/>
      <c r="F367" s="250"/>
      <c r="I367" s="847"/>
    </row>
    <row r="368">
      <c r="A368" s="265"/>
      <c r="B368" s="268"/>
      <c r="C368" s="252"/>
      <c r="D368" s="822"/>
      <c r="F368" s="250"/>
      <c r="I368" s="847"/>
    </row>
    <row r="369">
      <c r="A369" s="265"/>
      <c r="B369" s="268"/>
      <c r="C369" s="252"/>
      <c r="D369" s="331"/>
      <c r="F369" s="250"/>
      <c r="I369" s="847"/>
    </row>
    <row r="370">
      <c r="A370" s="265"/>
      <c r="B370" s="268"/>
      <c r="C370" s="252"/>
      <c r="D370" s="822"/>
      <c r="F370" s="250"/>
      <c r="I370" s="847"/>
    </row>
    <row r="371">
      <c r="A371" s="265"/>
      <c r="B371" s="268"/>
      <c r="C371" s="252"/>
      <c r="D371" s="822"/>
      <c r="F371" s="250"/>
      <c r="I371" s="847"/>
    </row>
    <row r="372">
      <c r="A372" s="265"/>
      <c r="B372" s="268"/>
      <c r="C372" s="252"/>
      <c r="D372" s="822"/>
      <c r="F372" s="250"/>
      <c r="I372" s="847"/>
    </row>
    <row r="373">
      <c r="A373" s="265"/>
      <c r="B373" s="268"/>
      <c r="C373" s="252"/>
      <c r="D373" s="822"/>
      <c r="F373" s="250"/>
      <c r="I373" s="847"/>
    </row>
    <row r="374">
      <c r="A374" s="265"/>
      <c r="B374" s="278"/>
      <c r="C374" s="252"/>
      <c r="D374" s="822"/>
      <c r="F374" s="282"/>
      <c r="I374" s="847"/>
    </row>
    <row r="375">
      <c r="A375" s="265"/>
      <c r="B375" s="278"/>
      <c r="C375" s="252"/>
      <c r="D375" s="822"/>
      <c r="F375" s="282"/>
      <c r="I375" s="847"/>
    </row>
    <row r="376">
      <c r="A376" s="270"/>
      <c r="B376" s="271"/>
      <c r="C376" s="272"/>
      <c r="D376" s="823"/>
      <c r="E376" s="18"/>
      <c r="F376" s="274"/>
      <c r="G376" s="18"/>
      <c r="H376" s="18"/>
      <c r="I376" s="663"/>
    </row>
    <row r="377">
      <c r="A377" s="305"/>
      <c r="B377" s="306"/>
      <c r="C377" s="240"/>
      <c r="D377" s="824"/>
      <c r="E377" s="242"/>
      <c r="F377" s="243"/>
      <c r="G377" s="244"/>
      <c r="H377" s="244"/>
      <c r="I377" s="662"/>
    </row>
    <row r="378">
      <c r="A378" s="265"/>
      <c r="B378" s="268"/>
      <c r="C378" s="252"/>
      <c r="D378" s="331"/>
      <c r="F378" s="250"/>
      <c r="I378" s="847"/>
    </row>
    <row r="379">
      <c r="A379" s="265"/>
      <c r="B379" s="268"/>
      <c r="C379" s="252"/>
      <c r="D379" s="822"/>
      <c r="F379" s="250"/>
      <c r="I379" s="847"/>
    </row>
    <row r="380">
      <c r="A380" s="265"/>
      <c r="B380" s="268"/>
      <c r="C380" s="252"/>
      <c r="D380" s="331"/>
      <c r="F380" s="250"/>
      <c r="I380" s="847"/>
    </row>
    <row r="381">
      <c r="A381" s="265"/>
      <c r="B381" s="268"/>
      <c r="C381" s="252"/>
      <c r="D381" s="822"/>
      <c r="F381" s="250"/>
      <c r="I381" s="847"/>
    </row>
    <row r="382">
      <c r="A382" s="265"/>
      <c r="B382" s="268"/>
      <c r="C382" s="252"/>
      <c r="D382" s="331"/>
      <c r="F382" s="250"/>
      <c r="I382" s="847"/>
    </row>
    <row r="383">
      <c r="A383" s="265"/>
      <c r="B383" s="268"/>
      <c r="C383" s="252"/>
      <c r="D383" s="822"/>
      <c r="F383" s="250"/>
      <c r="I383" s="847"/>
    </row>
    <row r="384">
      <c r="A384" s="265"/>
      <c r="B384" s="268"/>
      <c r="C384" s="252"/>
      <c r="D384" s="822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822"/>
      <c r="F386" s="250"/>
      <c r="I386" s="847"/>
    </row>
    <row r="387">
      <c r="A387" s="265"/>
      <c r="B387" s="268"/>
      <c r="C387" s="252"/>
      <c r="D387" s="822"/>
      <c r="F387" s="250"/>
      <c r="I387" s="847"/>
    </row>
    <row r="388">
      <c r="A388" s="270"/>
      <c r="B388" s="271"/>
      <c r="C388" s="272"/>
      <c r="D388" s="823"/>
      <c r="E388" s="18"/>
      <c r="F388" s="274"/>
      <c r="G388" s="18"/>
      <c r="H388" s="18"/>
      <c r="I388" s="663"/>
    </row>
    <row r="389">
      <c r="A389" s="305"/>
      <c r="B389" s="306"/>
      <c r="C389" s="240"/>
      <c r="D389" s="824"/>
      <c r="E389" s="242"/>
      <c r="F389" s="243"/>
      <c r="G389" s="244"/>
      <c r="H389" s="244"/>
      <c r="I389" s="662"/>
    </row>
    <row r="390">
      <c r="A390" s="265"/>
      <c r="B390" s="268"/>
      <c r="C390" s="252"/>
      <c r="D390" s="822"/>
      <c r="F390" s="250"/>
      <c r="H390" s="252"/>
      <c r="I390" s="847"/>
    </row>
    <row r="391">
      <c r="A391" s="265"/>
      <c r="B391" s="268"/>
      <c r="C391" s="252"/>
      <c r="D391" s="822"/>
      <c r="F391" s="250"/>
      <c r="H391" s="252"/>
      <c r="I391" s="847"/>
    </row>
    <row r="392">
      <c r="A392" s="265"/>
      <c r="B392" s="268"/>
      <c r="C392" s="252"/>
      <c r="D392" s="822"/>
      <c r="F392" s="250"/>
      <c r="H392" s="252"/>
      <c r="I392" s="847"/>
    </row>
    <row r="393">
      <c r="A393" s="265"/>
      <c r="B393" s="268"/>
      <c r="C393" s="252"/>
      <c r="D393" s="822"/>
      <c r="F393" s="250"/>
      <c r="H393" s="252"/>
      <c r="I393" s="847"/>
    </row>
    <row r="394">
      <c r="A394" s="265"/>
      <c r="B394" s="268"/>
      <c r="C394" s="252"/>
      <c r="D394" s="822"/>
      <c r="F394" s="250"/>
      <c r="I394" s="847"/>
    </row>
    <row r="395">
      <c r="A395" s="265"/>
      <c r="B395" s="268"/>
      <c r="C395" s="252"/>
      <c r="D395" s="822"/>
      <c r="F395" s="250"/>
      <c r="I395" s="847"/>
    </row>
    <row r="396">
      <c r="A396" s="265"/>
      <c r="B396" s="268"/>
      <c r="C396" s="252"/>
      <c r="D396" s="822"/>
      <c r="F396" s="250"/>
      <c r="I396" s="847"/>
    </row>
    <row r="397">
      <c r="A397" s="265"/>
      <c r="B397" s="268"/>
      <c r="C397" s="252"/>
      <c r="D397" s="822"/>
      <c r="F397" s="250"/>
      <c r="I397" s="847"/>
    </row>
    <row r="398">
      <c r="A398" s="270"/>
      <c r="B398" s="271"/>
      <c r="C398" s="272"/>
      <c r="D398" s="823"/>
      <c r="E398" s="18"/>
      <c r="F398" s="274"/>
      <c r="G398" s="18"/>
      <c r="H398" s="18"/>
      <c r="I398" s="663"/>
    </row>
    <row r="399">
      <c r="A399" s="305"/>
      <c r="B399" s="306"/>
      <c r="C399" s="240"/>
      <c r="D399" s="824"/>
      <c r="E399" s="242"/>
      <c r="F399" s="243"/>
      <c r="G399" s="244"/>
      <c r="H399" s="244"/>
      <c r="I399" s="662"/>
    </row>
    <row r="400">
      <c r="A400" s="265"/>
      <c r="B400" s="268"/>
      <c r="C400" s="252"/>
      <c r="D400" s="822"/>
      <c r="F400" s="250"/>
      <c r="I400" s="847"/>
    </row>
    <row r="401">
      <c r="A401" s="265"/>
      <c r="B401" s="268"/>
      <c r="C401" s="252"/>
      <c r="D401" s="822"/>
      <c r="F401" s="250"/>
      <c r="I401" s="847"/>
    </row>
    <row r="402">
      <c r="A402" s="265"/>
      <c r="B402" s="268"/>
      <c r="C402" s="252"/>
      <c r="D402" s="822"/>
      <c r="F402" s="250"/>
      <c r="I402" s="847"/>
    </row>
    <row r="403">
      <c r="A403" s="265"/>
      <c r="B403" s="268"/>
      <c r="C403" s="252"/>
      <c r="D403" s="822"/>
      <c r="F403" s="250"/>
      <c r="I403" s="847"/>
    </row>
    <row r="404">
      <c r="A404" s="265"/>
      <c r="B404" s="268"/>
      <c r="C404" s="252"/>
      <c r="D404" s="822"/>
      <c r="F404" s="250"/>
      <c r="I404" s="847"/>
    </row>
    <row r="405">
      <c r="A405" s="265"/>
      <c r="B405" s="268"/>
      <c r="C405" s="252"/>
      <c r="D405" s="822"/>
      <c r="F405" s="250"/>
      <c r="I405" s="847"/>
    </row>
    <row r="406">
      <c r="A406" s="265"/>
      <c r="B406" s="268"/>
      <c r="C406" s="252"/>
      <c r="D406" s="822"/>
      <c r="F406" s="250"/>
      <c r="I406" s="847"/>
    </row>
    <row r="407">
      <c r="A407" s="265"/>
      <c r="B407" s="268"/>
      <c r="C407" s="252"/>
      <c r="D407" s="822"/>
      <c r="F407" s="250"/>
      <c r="I407" s="847"/>
    </row>
    <row r="408">
      <c r="A408" s="270"/>
      <c r="B408" s="271"/>
      <c r="C408" s="272"/>
      <c r="D408" s="823"/>
      <c r="E408" s="18"/>
      <c r="F408" s="274"/>
      <c r="G408" s="18"/>
      <c r="H408" s="18"/>
      <c r="I408" s="663"/>
    </row>
    <row r="409">
      <c r="B409" s="306"/>
      <c r="C409" s="240"/>
      <c r="D409" s="824"/>
      <c r="E409" s="242"/>
      <c r="F409" s="243"/>
      <c r="G409" s="244"/>
      <c r="H409" s="244"/>
      <c r="I409" s="662"/>
    </row>
    <row r="410">
      <c r="B410" s="268"/>
      <c r="C410" s="252"/>
      <c r="D410" s="822"/>
      <c r="F410" s="250"/>
      <c r="I410" s="847"/>
    </row>
    <row r="411">
      <c r="B411" s="268"/>
      <c r="C411" s="252"/>
      <c r="D411" s="822"/>
      <c r="F411" s="250"/>
      <c r="I411" s="847"/>
    </row>
    <row r="412">
      <c r="B412" s="308"/>
      <c r="C412" s="252"/>
      <c r="D412" s="822"/>
      <c r="F412" s="309"/>
    </row>
    <row r="413">
      <c r="B413" s="308"/>
      <c r="C413" s="252"/>
      <c r="D413" s="822"/>
      <c r="F413" s="309"/>
    </row>
    <row r="414">
      <c r="B414" s="308"/>
      <c r="C414" s="252"/>
      <c r="D414" s="822"/>
      <c r="F414" s="309"/>
    </row>
    <row r="415">
      <c r="B415" s="308"/>
      <c r="C415" s="252"/>
      <c r="D415" s="822"/>
      <c r="F415" s="309"/>
    </row>
    <row r="416">
      <c r="B416" s="308"/>
      <c r="C416" s="252"/>
      <c r="D416" s="822"/>
      <c r="F416" s="309"/>
    </row>
    <row r="417">
      <c r="B417" s="308"/>
      <c r="C417" s="252"/>
      <c r="D417" s="822"/>
      <c r="F417" s="309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  <row r="697">
      <c r="B697" s="308"/>
      <c r="C697" s="252"/>
      <c r="D697" s="822"/>
      <c r="F697" s="309"/>
    </row>
    <row r="698">
      <c r="B698" s="308"/>
      <c r="C698" s="252"/>
      <c r="D698" s="822"/>
      <c r="F698" s="309"/>
    </row>
    <row r="699">
      <c r="B699" s="308"/>
      <c r="C699" s="252"/>
      <c r="D699" s="822"/>
      <c r="F699" s="309"/>
    </row>
    <row r="700">
      <c r="B700" s="308"/>
      <c r="C700" s="252"/>
      <c r="D700" s="822"/>
      <c r="F700" s="309"/>
    </row>
    <row r="701">
      <c r="B701" s="308"/>
      <c r="C701" s="252"/>
      <c r="D701" s="822"/>
      <c r="F701" s="309"/>
    </row>
    <row r="702">
      <c r="B702" s="308"/>
      <c r="C702" s="252"/>
      <c r="D702" s="822"/>
      <c r="F702" s="309"/>
    </row>
    <row r="703">
      <c r="B703" s="308"/>
      <c r="C703" s="252"/>
      <c r="D703" s="822"/>
      <c r="F703" s="309"/>
    </row>
    <row r="704">
      <c r="B704" s="308"/>
      <c r="C704" s="252"/>
      <c r="D704" s="822"/>
      <c r="F704" s="309"/>
    </row>
    <row r="705">
      <c r="B705" s="308"/>
      <c r="C705" s="252"/>
      <c r="D705" s="822"/>
      <c r="F705" s="309"/>
    </row>
    <row r="706">
      <c r="B706" s="308"/>
      <c r="C706" s="252"/>
      <c r="D706" s="822"/>
      <c r="F706" s="309"/>
    </row>
    <row r="707">
      <c r="B707" s="308"/>
      <c r="C707" s="252"/>
      <c r="D707" s="822"/>
      <c r="F707" s="309"/>
    </row>
    <row r="708">
      <c r="B708" s="308"/>
      <c r="C708" s="252"/>
      <c r="D708" s="822"/>
      <c r="F708" s="309"/>
    </row>
    <row r="709">
      <c r="B709" s="308"/>
      <c r="C709" s="252"/>
      <c r="D709" s="822"/>
      <c r="F709" s="309"/>
    </row>
    <row r="710">
      <c r="B710" s="308"/>
      <c r="C710" s="252"/>
      <c r="D710" s="822"/>
      <c r="F710" s="309"/>
    </row>
    <row r="711">
      <c r="B711" s="308"/>
      <c r="C711" s="252"/>
      <c r="D711" s="822"/>
      <c r="F711" s="309"/>
    </row>
    <row r="712">
      <c r="B712" s="308"/>
      <c r="C712" s="252"/>
      <c r="D712" s="822"/>
      <c r="F712" s="309"/>
    </row>
    <row r="713">
      <c r="B713" s="308"/>
      <c r="C713" s="252"/>
      <c r="D713" s="822"/>
      <c r="F713" s="309"/>
    </row>
    <row r="714">
      <c r="B714" s="308"/>
      <c r="C714" s="252"/>
      <c r="D714" s="822"/>
      <c r="F714" s="309"/>
    </row>
    <row r="715">
      <c r="B715" s="308"/>
      <c r="C715" s="252"/>
      <c r="D715" s="822"/>
      <c r="F715" s="309"/>
    </row>
    <row r="716">
      <c r="B716" s="308"/>
      <c r="C716" s="252"/>
      <c r="D716" s="822"/>
      <c r="F716" s="309"/>
    </row>
    <row r="717">
      <c r="B717" s="308"/>
      <c r="C717" s="252"/>
      <c r="D717" s="822"/>
      <c r="F717" s="309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98"/>
    <mergeCell ref="A99:A112"/>
    <mergeCell ref="A113:A128"/>
    <mergeCell ref="A129:A140"/>
    <mergeCell ref="A141:A150"/>
    <mergeCell ref="A151:A160"/>
    <mergeCell ref="A161:A175"/>
    <mergeCell ref="A176:A191"/>
    <mergeCell ref="A192:A206"/>
    <mergeCell ref="A207:A218"/>
    <mergeCell ref="A219:A229"/>
    <mergeCell ref="A230:A243"/>
    <mergeCell ref="A244:A258"/>
    <mergeCell ref="A352:A364"/>
    <mergeCell ref="A365:A376"/>
    <mergeCell ref="A377:A388"/>
    <mergeCell ref="A389:A398"/>
    <mergeCell ref="A399:A408"/>
    <mergeCell ref="A259:A271"/>
    <mergeCell ref="A272:A285"/>
    <mergeCell ref="A286:A300"/>
    <mergeCell ref="A301:A311"/>
    <mergeCell ref="A312:A322"/>
    <mergeCell ref="A323:A340"/>
    <mergeCell ref="A341:A3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2515</v>
      </c>
      <c r="B2" s="268"/>
      <c r="C2" s="240"/>
      <c r="D2" s="824"/>
      <c r="E2" s="242"/>
      <c r="F2" s="243">
        <v>2996.0</v>
      </c>
      <c r="G2" s="244" t="s">
        <v>3370</v>
      </c>
      <c r="H2" s="244"/>
      <c r="I2" s="662"/>
    </row>
    <row r="3">
      <c r="A3" s="265"/>
      <c r="B3" s="268"/>
      <c r="C3" s="252"/>
      <c r="D3" s="822"/>
      <c r="F3" s="250">
        <v>120.0</v>
      </c>
      <c r="G3" s="2" t="s">
        <v>3371</v>
      </c>
      <c r="I3" s="847"/>
    </row>
    <row r="4">
      <c r="A4" s="265"/>
      <c r="B4" s="268"/>
      <c r="C4" s="252"/>
      <c r="D4" s="822"/>
      <c r="F4" s="243">
        <v>582.0</v>
      </c>
      <c r="G4" s="244" t="s">
        <v>708</v>
      </c>
      <c r="I4" s="847"/>
    </row>
    <row r="5">
      <c r="A5" s="265"/>
      <c r="B5" s="247"/>
      <c r="C5" s="248"/>
      <c r="D5" s="331"/>
      <c r="F5" s="243">
        <v>400.0</v>
      </c>
      <c r="G5" s="244" t="s">
        <v>3333</v>
      </c>
      <c r="I5" s="847"/>
    </row>
    <row r="6">
      <c r="A6" s="265"/>
      <c r="B6" s="247"/>
      <c r="C6" s="252"/>
      <c r="D6" s="822"/>
      <c r="F6" s="243"/>
      <c r="G6" s="244"/>
      <c r="I6" s="847"/>
    </row>
    <row r="7">
      <c r="A7" s="265"/>
      <c r="B7" s="247"/>
      <c r="C7" s="252"/>
      <c r="D7" s="822"/>
      <c r="F7" s="250"/>
      <c r="I7" s="847"/>
    </row>
    <row r="8">
      <c r="A8" s="265"/>
      <c r="B8" s="268"/>
      <c r="C8" s="252"/>
      <c r="D8" s="822"/>
      <c r="F8" s="250"/>
      <c r="I8" s="847"/>
    </row>
    <row r="9">
      <c r="A9" s="265"/>
      <c r="B9" s="268"/>
      <c r="C9" s="252"/>
      <c r="D9" s="822"/>
      <c r="F9" s="250"/>
      <c r="I9" s="847"/>
    </row>
    <row r="10">
      <c r="A10" s="265"/>
      <c r="B10" s="268"/>
      <c r="C10" s="252"/>
      <c r="D10" s="822"/>
      <c r="F10" s="250"/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534</v>
      </c>
      <c r="B12" s="268"/>
      <c r="C12" s="263"/>
      <c r="D12" s="821"/>
      <c r="E12" s="242"/>
      <c r="F12" s="243">
        <v>7000.0</v>
      </c>
      <c r="G12" s="244" t="s">
        <v>3372</v>
      </c>
      <c r="H12" s="244"/>
      <c r="I12" s="662"/>
    </row>
    <row r="13">
      <c r="A13" s="265"/>
      <c r="B13" s="268"/>
      <c r="C13" s="248"/>
      <c r="D13" s="822"/>
      <c r="F13" s="250">
        <v>89.0</v>
      </c>
      <c r="G13" s="2" t="s">
        <v>3373</v>
      </c>
      <c r="I13" s="847"/>
    </row>
    <row r="14">
      <c r="A14" s="265"/>
      <c r="B14" s="268"/>
      <c r="C14" s="252"/>
      <c r="D14" s="331"/>
      <c r="F14" s="250">
        <v>500.0</v>
      </c>
      <c r="G14" s="2" t="s">
        <v>1109</v>
      </c>
      <c r="H14" s="252"/>
      <c r="I14" s="847"/>
    </row>
    <row r="15">
      <c r="A15" s="265"/>
      <c r="B15" s="268"/>
      <c r="C15" s="252"/>
      <c r="D15" s="331"/>
      <c r="F15" s="250">
        <v>200.0</v>
      </c>
      <c r="G15" s="2" t="s">
        <v>3374</v>
      </c>
      <c r="H15" s="252"/>
      <c r="I15" s="847"/>
      <c r="K15" s="33">
        <f>(F12+F203+F318+F329)</f>
        <v>27800</v>
      </c>
    </row>
    <row r="16">
      <c r="A16" s="265"/>
      <c r="B16" s="268"/>
      <c r="C16" s="252"/>
      <c r="D16" s="331"/>
      <c r="F16" s="250"/>
      <c r="I16" s="847"/>
    </row>
    <row r="17">
      <c r="A17" s="265"/>
      <c r="B17" s="268"/>
      <c r="C17" s="252"/>
      <c r="D17" s="331"/>
      <c r="F17" s="250"/>
      <c r="I17" s="847"/>
    </row>
    <row r="18">
      <c r="A18" s="265"/>
      <c r="B18" s="268"/>
      <c r="C18" s="252"/>
      <c r="D18" s="822"/>
      <c r="F18" s="250"/>
      <c r="I18" s="847"/>
    </row>
    <row r="19">
      <c r="A19" s="265"/>
      <c r="B19" s="268"/>
      <c r="C19" s="252"/>
      <c r="D19" s="331"/>
      <c r="F19" s="250"/>
      <c r="I19" s="847"/>
    </row>
    <row r="20">
      <c r="A20" s="265"/>
      <c r="B20" s="247"/>
      <c r="C20" s="252"/>
      <c r="D20" s="822"/>
      <c r="F20" s="250"/>
      <c r="I20" s="847"/>
    </row>
    <row r="21">
      <c r="A21" s="265"/>
      <c r="B21" s="278"/>
      <c r="C21" s="252"/>
      <c r="D21" s="822"/>
      <c r="F21" s="250"/>
      <c r="I21" s="847"/>
    </row>
    <row r="22">
      <c r="A22" s="265"/>
      <c r="B22" s="278"/>
      <c r="C22" s="252"/>
      <c r="D22" s="822"/>
      <c r="F22" s="250"/>
      <c r="I22" s="847"/>
    </row>
    <row r="23">
      <c r="A23" s="265"/>
      <c r="B23" s="278"/>
      <c r="C23" s="252"/>
      <c r="D23" s="822"/>
      <c r="F23" s="250"/>
      <c r="I23" s="847"/>
    </row>
    <row r="24">
      <c r="A24" s="270"/>
      <c r="B24" s="271"/>
      <c r="C24" s="272"/>
      <c r="D24" s="823"/>
      <c r="E24" s="18"/>
      <c r="F24" s="274"/>
      <c r="G24" s="18"/>
      <c r="H24" s="18"/>
      <c r="I24" s="663"/>
    </row>
    <row r="25">
      <c r="A25" s="262" t="s">
        <v>538</v>
      </c>
      <c r="B25" s="306"/>
      <c r="C25" s="263"/>
      <c r="D25" s="824"/>
      <c r="E25" s="242"/>
      <c r="F25" s="243">
        <v>4148.0</v>
      </c>
      <c r="G25" s="244" t="s">
        <v>3375</v>
      </c>
      <c r="H25" s="244"/>
      <c r="I25" s="662"/>
    </row>
    <row r="26">
      <c r="A26" s="265"/>
      <c r="B26" s="268"/>
      <c r="C26" s="252"/>
      <c r="D26" s="822"/>
      <c r="F26" s="250">
        <v>400.0</v>
      </c>
      <c r="G26" s="2" t="s">
        <v>3333</v>
      </c>
      <c r="I26" s="847"/>
    </row>
    <row r="27">
      <c r="A27" s="265"/>
      <c r="B27" s="268"/>
      <c r="C27" s="252"/>
      <c r="D27" s="822"/>
      <c r="F27" s="250"/>
      <c r="I27" s="847"/>
    </row>
    <row r="28">
      <c r="A28" s="265"/>
      <c r="B28" s="268"/>
      <c r="C28" s="252"/>
      <c r="D28" s="822"/>
      <c r="F28" s="250"/>
      <c r="I28" s="847"/>
    </row>
    <row r="29">
      <c r="A29" s="265"/>
      <c r="B29" s="268"/>
      <c r="C29" s="248"/>
      <c r="D29" s="822"/>
      <c r="F29" s="250"/>
      <c r="I29" s="847"/>
    </row>
    <row r="30">
      <c r="A30" s="265"/>
      <c r="B30" s="268"/>
      <c r="C30" s="252"/>
      <c r="D30" s="822"/>
      <c r="F30" s="250"/>
      <c r="I30" s="847"/>
    </row>
    <row r="31">
      <c r="A31" s="265"/>
      <c r="B31" s="268"/>
      <c r="C31" s="252"/>
      <c r="D31" s="822"/>
      <c r="F31" s="250"/>
      <c r="I31" s="847"/>
    </row>
    <row r="32">
      <c r="A32" s="265"/>
      <c r="B32" s="268"/>
      <c r="C32" s="252"/>
      <c r="D32" s="331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65"/>
      <c r="B34" s="268"/>
      <c r="C34" s="252"/>
      <c r="D34" s="822"/>
      <c r="F34" s="250"/>
      <c r="I34" s="847"/>
    </row>
    <row r="35">
      <c r="A35" s="265"/>
      <c r="B35" s="268"/>
      <c r="C35" s="252"/>
      <c r="D35" s="822"/>
      <c r="F35" s="250"/>
      <c r="I35" s="847"/>
    </row>
    <row r="36">
      <c r="A36" s="265"/>
      <c r="B36" s="268"/>
      <c r="C36" s="252"/>
      <c r="D36" s="822"/>
      <c r="F36" s="250"/>
      <c r="I36" s="847"/>
    </row>
    <row r="37">
      <c r="A37" s="270"/>
      <c r="B37" s="271"/>
      <c r="C37" s="272"/>
      <c r="D37" s="823"/>
      <c r="E37" s="18"/>
      <c r="F37" s="274"/>
      <c r="G37" s="18"/>
      <c r="H37" s="18"/>
      <c r="I37" s="663"/>
    </row>
    <row r="38">
      <c r="A38" s="262" t="s">
        <v>541</v>
      </c>
      <c r="B38" s="306"/>
      <c r="C38" s="240"/>
      <c r="D38" s="824"/>
      <c r="E38" s="242"/>
      <c r="F38" s="243">
        <v>1750.0</v>
      </c>
      <c r="G38" s="244" t="s">
        <v>708</v>
      </c>
      <c r="H38" s="244"/>
      <c r="I38" s="662"/>
    </row>
    <row r="39">
      <c r="A39" s="265"/>
      <c r="B39" s="268"/>
      <c r="C39" s="252"/>
      <c r="D39" s="822"/>
      <c r="F39" s="250">
        <v>7200.0</v>
      </c>
      <c r="G39" s="2" t="s">
        <v>87</v>
      </c>
      <c r="I39" s="847"/>
    </row>
    <row r="40">
      <c r="A40" s="265"/>
      <c r="B40" s="268"/>
      <c r="C40" s="248"/>
      <c r="D40" s="822"/>
      <c r="F40" s="250">
        <v>6652.0</v>
      </c>
      <c r="G40" s="2" t="s">
        <v>1750</v>
      </c>
      <c r="I40" s="847"/>
    </row>
    <row r="41">
      <c r="A41" s="265"/>
      <c r="B41" s="268"/>
      <c r="C41" s="252"/>
      <c r="D41" s="822"/>
      <c r="F41" s="250">
        <v>5460.0</v>
      </c>
      <c r="G41" s="2" t="s">
        <v>3003</v>
      </c>
      <c r="I41" s="847"/>
    </row>
    <row r="42">
      <c r="A42" s="265"/>
      <c r="B42" s="268"/>
      <c r="C42" s="252"/>
      <c r="D42" s="822"/>
      <c r="F42" s="250">
        <v>400.0</v>
      </c>
      <c r="G42" s="2" t="s">
        <v>3333</v>
      </c>
      <c r="I42" s="847"/>
    </row>
    <row r="43">
      <c r="A43" s="265"/>
      <c r="B43" s="268"/>
      <c r="C43" s="252"/>
      <c r="D43" s="822"/>
      <c r="F43" s="250"/>
      <c r="G43" s="2" t="s">
        <v>3376</v>
      </c>
      <c r="I43" s="847"/>
    </row>
    <row r="44">
      <c r="A44" s="265"/>
      <c r="B44" s="268"/>
      <c r="C44" s="248"/>
      <c r="D44" s="822"/>
      <c r="F44" s="250"/>
      <c r="I44" s="847"/>
    </row>
    <row r="45">
      <c r="A45" s="265"/>
      <c r="B45" s="268"/>
      <c r="C45" s="252"/>
      <c r="D45" s="822"/>
      <c r="F45" s="250"/>
      <c r="I45" s="847"/>
    </row>
    <row r="46">
      <c r="A46" s="265"/>
      <c r="B46" s="268"/>
      <c r="C46" s="248"/>
      <c r="D46" s="822"/>
      <c r="F46" s="250"/>
      <c r="I46" s="847"/>
    </row>
    <row r="47">
      <c r="A47" s="265"/>
      <c r="B47" s="278"/>
      <c r="C47" s="252"/>
      <c r="D47" s="822"/>
      <c r="F47" s="250"/>
      <c r="I47" s="847"/>
    </row>
    <row r="48">
      <c r="A48" s="265"/>
      <c r="B48" s="278"/>
      <c r="C48" s="252"/>
      <c r="D48" s="822"/>
      <c r="F48" s="250"/>
      <c r="I48" s="847"/>
    </row>
    <row r="49">
      <c r="A49" s="270"/>
      <c r="B49" s="271"/>
      <c r="C49" s="272"/>
      <c r="D49" s="823"/>
      <c r="E49" s="18"/>
      <c r="F49" s="259"/>
      <c r="G49" s="293"/>
      <c r="H49" s="18"/>
      <c r="I49" s="663"/>
    </row>
    <row r="50">
      <c r="A50" s="437"/>
      <c r="B50" s="278"/>
      <c r="C50" s="252"/>
      <c r="D50" s="822"/>
      <c r="F50" s="250"/>
      <c r="I50" s="847"/>
    </row>
    <row r="51">
      <c r="A51" s="437"/>
      <c r="B51" s="278"/>
      <c r="C51" s="252"/>
      <c r="D51" s="822"/>
      <c r="F51" s="250"/>
      <c r="I51" s="847"/>
    </row>
    <row r="52">
      <c r="A52" s="262" t="s">
        <v>2521</v>
      </c>
      <c r="B52" s="306"/>
      <c r="C52" s="263" t="s">
        <v>3377</v>
      </c>
      <c r="D52" s="824"/>
      <c r="E52" s="242"/>
      <c r="F52" s="243"/>
      <c r="G52" s="244" t="s">
        <v>71</v>
      </c>
      <c r="H52" s="244"/>
      <c r="I52" s="662"/>
    </row>
    <row r="53">
      <c r="A53" s="265"/>
      <c r="B53" s="268"/>
      <c r="C53" s="252"/>
      <c r="D53" s="822"/>
      <c r="F53" s="250">
        <v>2400.0</v>
      </c>
      <c r="G53" s="2" t="s">
        <v>2887</v>
      </c>
      <c r="I53" s="847"/>
    </row>
    <row r="54">
      <c r="A54" s="265"/>
      <c r="B54" s="247"/>
      <c r="C54" s="248"/>
      <c r="D54" s="331"/>
      <c r="F54" s="250">
        <v>4360.0</v>
      </c>
      <c r="G54" s="2" t="s">
        <v>612</v>
      </c>
      <c r="I54" s="847"/>
    </row>
    <row r="55">
      <c r="A55" s="265"/>
      <c r="B55" s="268"/>
      <c r="C55" s="252"/>
      <c r="D55" s="822"/>
      <c r="F55" s="250">
        <v>1350.0</v>
      </c>
      <c r="G55" s="2" t="s">
        <v>344</v>
      </c>
      <c r="I55" s="847"/>
    </row>
    <row r="56">
      <c r="A56" s="265"/>
      <c r="B56" s="247"/>
      <c r="C56" s="252"/>
      <c r="D56" s="822"/>
      <c r="F56" s="250">
        <v>1000.0</v>
      </c>
      <c r="G56" s="2" t="s">
        <v>260</v>
      </c>
      <c r="I56" s="847"/>
    </row>
    <row r="57">
      <c r="A57" s="265"/>
      <c r="B57" s="247"/>
      <c r="C57" s="252"/>
      <c r="D57" s="822"/>
      <c r="F57" s="250">
        <v>5000.0</v>
      </c>
      <c r="G57" s="2" t="s">
        <v>3102</v>
      </c>
      <c r="I57" s="847"/>
    </row>
    <row r="58">
      <c r="A58" s="265"/>
      <c r="B58" s="247">
        <v>881.82</v>
      </c>
      <c r="C58" s="248"/>
      <c r="D58" s="822"/>
      <c r="F58" s="250"/>
      <c r="G58" s="2" t="s">
        <v>3378</v>
      </c>
      <c r="I58" s="847"/>
    </row>
    <row r="59">
      <c r="A59" s="265"/>
      <c r="B59" s="268"/>
      <c r="C59" s="252"/>
      <c r="D59" s="822"/>
      <c r="F59" s="250"/>
      <c r="I59" s="847"/>
    </row>
    <row r="60">
      <c r="A60" s="265"/>
      <c r="B60" s="268"/>
      <c r="C60" s="252"/>
      <c r="D60" s="822"/>
      <c r="F60" s="250"/>
      <c r="I60" s="847"/>
    </row>
    <row r="61">
      <c r="A61" s="270"/>
      <c r="B61" s="271"/>
      <c r="C61" s="272"/>
      <c r="D61" s="823"/>
      <c r="E61" s="18"/>
      <c r="F61" s="274"/>
      <c r="G61" s="18"/>
      <c r="H61" s="18"/>
      <c r="I61" s="663"/>
    </row>
    <row r="62">
      <c r="A62" s="262" t="s">
        <v>550</v>
      </c>
      <c r="B62" s="306"/>
      <c r="C62" s="240"/>
      <c r="D62" s="824"/>
      <c r="E62" s="242"/>
      <c r="F62" s="243">
        <v>7200.0</v>
      </c>
      <c r="G62" s="244" t="s">
        <v>87</v>
      </c>
      <c r="H62" s="244"/>
      <c r="I62" s="662"/>
    </row>
    <row r="63">
      <c r="A63" s="265"/>
      <c r="B63" s="268"/>
      <c r="C63" s="252"/>
      <c r="D63" s="822"/>
      <c r="F63" s="250">
        <v>1900.0</v>
      </c>
      <c r="G63" s="2" t="s">
        <v>1553</v>
      </c>
      <c r="I63" s="847"/>
    </row>
    <row r="64">
      <c r="A64" s="265"/>
      <c r="B64" s="268"/>
      <c r="C64" s="252"/>
      <c r="D64" s="822"/>
      <c r="F64" s="250">
        <v>5830.0</v>
      </c>
      <c r="G64" s="2" t="s">
        <v>1750</v>
      </c>
      <c r="I64" s="847"/>
    </row>
    <row r="65">
      <c r="A65" s="265"/>
      <c r="B65" s="268"/>
      <c r="C65" s="252"/>
      <c r="D65" s="822"/>
      <c r="F65" s="250">
        <v>400.0</v>
      </c>
      <c r="G65" s="2" t="s">
        <v>3333</v>
      </c>
      <c r="I65" s="847"/>
    </row>
    <row r="66">
      <c r="A66" s="265"/>
      <c r="B66" s="268"/>
      <c r="C66" s="248"/>
      <c r="D66" s="822"/>
      <c r="F66" s="250"/>
      <c r="I66" s="847"/>
    </row>
    <row r="67">
      <c r="A67" s="265"/>
      <c r="B67" s="268"/>
      <c r="C67" s="252"/>
      <c r="D67" s="822"/>
      <c r="F67" s="250"/>
      <c r="I67" s="847"/>
    </row>
    <row r="68">
      <c r="A68" s="265"/>
      <c r="B68" s="268"/>
      <c r="C68" s="252"/>
      <c r="D68" s="822"/>
      <c r="F68" s="250"/>
      <c r="I68" s="847"/>
    </row>
    <row r="69">
      <c r="A69" s="265"/>
      <c r="B69" s="268"/>
      <c r="C69" s="252"/>
      <c r="D69" s="822"/>
      <c r="F69" s="250"/>
      <c r="I69" s="847"/>
    </row>
    <row r="70">
      <c r="A70" s="265"/>
      <c r="B70" s="268"/>
      <c r="C70" s="252"/>
      <c r="D70" s="822"/>
      <c r="F70" s="250"/>
      <c r="I70" s="847"/>
    </row>
    <row r="71">
      <c r="A71" s="265"/>
      <c r="B71" s="268"/>
      <c r="C71" s="252"/>
      <c r="D71" s="331"/>
      <c r="F71" s="250"/>
      <c r="I71" s="847"/>
    </row>
    <row r="72">
      <c r="A72" s="265"/>
      <c r="B72" s="278"/>
      <c r="C72" s="252"/>
      <c r="D72" s="822"/>
      <c r="F72" s="282"/>
      <c r="I72" s="847"/>
    </row>
    <row r="73">
      <c r="A73" s="270"/>
      <c r="B73" s="271"/>
      <c r="C73" s="272"/>
      <c r="D73" s="823"/>
      <c r="E73" s="18"/>
      <c r="F73" s="274"/>
      <c r="G73" s="18"/>
      <c r="H73" s="18"/>
      <c r="I73" s="663"/>
    </row>
    <row r="74">
      <c r="A74" s="262" t="s">
        <v>551</v>
      </c>
      <c r="B74" s="306"/>
      <c r="C74" s="263"/>
      <c r="D74" s="824"/>
      <c r="E74" s="242"/>
      <c r="F74" s="243">
        <v>414.0</v>
      </c>
      <c r="G74" s="244" t="s">
        <v>3379</v>
      </c>
      <c r="H74" s="244"/>
      <c r="I74" s="662"/>
    </row>
    <row r="75">
      <c r="A75" s="265"/>
      <c r="B75" s="268"/>
      <c r="C75" s="248"/>
      <c r="D75" s="822"/>
      <c r="F75" s="250">
        <v>500.0</v>
      </c>
      <c r="G75" s="2" t="s">
        <v>215</v>
      </c>
      <c r="I75" s="847"/>
    </row>
    <row r="76">
      <c r="A76" s="265"/>
      <c r="B76" s="247"/>
      <c r="C76" s="252"/>
      <c r="D76" s="822"/>
      <c r="F76" s="250">
        <v>700.0</v>
      </c>
      <c r="G76" s="2" t="s">
        <v>3380</v>
      </c>
      <c r="H76" s="840"/>
      <c r="I76" s="847"/>
    </row>
    <row r="77">
      <c r="A77" s="265"/>
      <c r="B77" s="268"/>
      <c r="C77" s="252"/>
      <c r="D77" s="822"/>
      <c r="F77" s="250">
        <v>2500.0</v>
      </c>
      <c r="G77" s="2" t="s">
        <v>3102</v>
      </c>
      <c r="I77" s="847"/>
    </row>
    <row r="78">
      <c r="A78" s="265"/>
      <c r="B78" s="268"/>
      <c r="C78" s="248">
        <v>20000.0</v>
      </c>
      <c r="D78" s="822"/>
      <c r="F78" s="250"/>
      <c r="G78" s="2" t="s">
        <v>2703</v>
      </c>
      <c r="I78" s="847"/>
    </row>
    <row r="79">
      <c r="A79" s="265"/>
      <c r="B79" s="268"/>
      <c r="C79" s="248">
        <v>16700.0</v>
      </c>
      <c r="D79" s="822"/>
      <c r="F79" s="250"/>
      <c r="G79" s="2" t="s">
        <v>2703</v>
      </c>
      <c r="I79" s="847"/>
    </row>
    <row r="80">
      <c r="A80" s="265"/>
      <c r="B80" s="268"/>
      <c r="C80" s="252"/>
      <c r="D80" s="822"/>
      <c r="F80" s="250">
        <v>400.0</v>
      </c>
      <c r="G80" s="2" t="s">
        <v>3333</v>
      </c>
      <c r="I80" s="847"/>
    </row>
    <row r="81">
      <c r="A81" s="265"/>
      <c r="B81" s="247">
        <v>615.0</v>
      </c>
      <c r="C81" s="252"/>
      <c r="D81" s="822"/>
      <c r="F81" s="250"/>
      <c r="G81" s="2" t="s">
        <v>3381</v>
      </c>
      <c r="I81" s="847"/>
    </row>
    <row r="82">
      <c r="A82" s="265"/>
      <c r="B82" s="268"/>
      <c r="C82" s="252"/>
      <c r="D82" s="822"/>
      <c r="F82" s="250">
        <v>2600.0</v>
      </c>
      <c r="G82" s="2" t="s">
        <v>79</v>
      </c>
      <c r="I82" s="847"/>
    </row>
    <row r="83">
      <c r="A83" s="265"/>
      <c r="B83" s="278"/>
      <c r="C83" s="252"/>
      <c r="D83" s="822"/>
      <c r="F83" s="250">
        <v>975.0</v>
      </c>
      <c r="G83" s="2" t="s">
        <v>1732</v>
      </c>
      <c r="I83" s="847"/>
    </row>
    <row r="84">
      <c r="A84" s="265"/>
      <c r="B84" s="278"/>
      <c r="C84" s="252"/>
      <c r="D84" s="822"/>
      <c r="F84" s="250">
        <v>500.0</v>
      </c>
      <c r="G84" s="2" t="s">
        <v>3374</v>
      </c>
      <c r="H84" s="838"/>
      <c r="I84" s="847"/>
    </row>
    <row r="85">
      <c r="A85" s="270"/>
      <c r="B85" s="271"/>
      <c r="C85" s="272"/>
      <c r="D85" s="823"/>
      <c r="E85" s="18"/>
      <c r="F85" s="274"/>
      <c r="G85" s="18"/>
      <c r="H85" s="18"/>
      <c r="I85" s="663"/>
    </row>
    <row r="86">
      <c r="A86" s="262" t="s">
        <v>553</v>
      </c>
      <c r="B86" s="306"/>
      <c r="C86" s="263"/>
      <c r="D86" s="824"/>
      <c r="E86" s="242"/>
      <c r="F86" s="243">
        <v>3902.0</v>
      </c>
      <c r="G86" s="244" t="s">
        <v>3382</v>
      </c>
      <c r="H86" s="244"/>
      <c r="I86" s="662"/>
    </row>
    <row r="87">
      <c r="A87" s="265"/>
      <c r="B87" s="268"/>
      <c r="C87" s="248"/>
      <c r="D87" s="822"/>
      <c r="F87" s="250">
        <v>6820.0</v>
      </c>
      <c r="G87" s="2" t="s">
        <v>1750</v>
      </c>
      <c r="I87" s="847"/>
    </row>
    <row r="88">
      <c r="A88" s="265"/>
      <c r="B88" s="268"/>
      <c r="C88" s="248"/>
      <c r="D88" s="822"/>
      <c r="F88" s="250">
        <v>3820.0</v>
      </c>
      <c r="G88" s="2" t="s">
        <v>82</v>
      </c>
      <c r="I88" s="847"/>
    </row>
    <row r="89">
      <c r="A89" s="265"/>
      <c r="B89" s="268"/>
      <c r="C89" s="248"/>
      <c r="D89" s="822"/>
      <c r="F89" s="250">
        <v>2735.0</v>
      </c>
      <c r="G89" s="2" t="s">
        <v>405</v>
      </c>
      <c r="I89" s="847"/>
    </row>
    <row r="90">
      <c r="A90" s="265"/>
      <c r="B90" s="247">
        <v>18150.0</v>
      </c>
      <c r="C90" s="252"/>
      <c r="D90" s="822"/>
      <c r="F90" s="250"/>
      <c r="G90" s="2" t="s">
        <v>3383</v>
      </c>
      <c r="I90" s="847"/>
    </row>
    <row r="91">
      <c r="A91" s="265"/>
      <c r="B91" s="268"/>
      <c r="C91" s="252"/>
      <c r="D91" s="331"/>
      <c r="F91" s="250">
        <v>400.0</v>
      </c>
      <c r="G91" s="2" t="s">
        <v>3333</v>
      </c>
      <c r="I91" s="847"/>
    </row>
    <row r="92">
      <c r="A92" s="265"/>
      <c r="B92" s="268"/>
      <c r="C92" s="252"/>
      <c r="D92" s="822"/>
      <c r="F92" s="250"/>
      <c r="I92" s="847"/>
    </row>
    <row r="93">
      <c r="A93" s="265"/>
      <c r="B93" s="268"/>
      <c r="C93" s="252"/>
      <c r="D93" s="822"/>
      <c r="F93" s="250"/>
      <c r="I93" s="847"/>
    </row>
    <row r="94">
      <c r="A94" s="265"/>
      <c r="B94" s="247"/>
      <c r="C94" s="252"/>
      <c r="D94" s="822"/>
      <c r="F94" s="250"/>
      <c r="I94" s="847"/>
    </row>
    <row r="95">
      <c r="A95" s="265"/>
      <c r="B95" s="268"/>
      <c r="C95" s="252"/>
      <c r="D95" s="822"/>
      <c r="F95" s="250"/>
      <c r="I95" s="847"/>
    </row>
    <row r="96">
      <c r="A96" s="265"/>
      <c r="B96" s="268"/>
      <c r="C96" s="252"/>
      <c r="D96" s="822"/>
      <c r="F96" s="250"/>
      <c r="I96" s="847"/>
    </row>
    <row r="97">
      <c r="A97" s="265"/>
      <c r="B97" s="268"/>
      <c r="C97" s="252"/>
      <c r="D97" s="822"/>
      <c r="F97" s="250"/>
      <c r="I97" s="847"/>
    </row>
    <row r="98">
      <c r="A98" s="270"/>
      <c r="B98" s="271"/>
      <c r="C98" s="272"/>
      <c r="D98" s="823"/>
      <c r="E98" s="18"/>
      <c r="F98" s="274"/>
      <c r="G98" s="18"/>
      <c r="H98" s="18"/>
      <c r="I98" s="663"/>
    </row>
    <row r="99">
      <c r="A99" s="262" t="s">
        <v>559</v>
      </c>
      <c r="B99" s="306"/>
      <c r="C99" s="263"/>
      <c r="D99" s="821"/>
      <c r="E99" s="242"/>
      <c r="F99" s="250">
        <v>2828.21</v>
      </c>
      <c r="G99" s="244" t="s">
        <v>3003</v>
      </c>
      <c r="H99" s="244"/>
      <c r="I99" s="662"/>
    </row>
    <row r="100">
      <c r="A100" s="265"/>
      <c r="B100" s="268"/>
      <c r="C100" s="252"/>
      <c r="D100" s="822"/>
      <c r="F100" s="250">
        <v>2270.0</v>
      </c>
      <c r="G100" s="2" t="s">
        <v>3384</v>
      </c>
      <c r="I100" s="847"/>
    </row>
    <row r="101">
      <c r="A101" s="265"/>
      <c r="B101" s="268"/>
      <c r="C101" s="252"/>
      <c r="D101" s="822"/>
      <c r="F101" s="250">
        <v>7200.0</v>
      </c>
      <c r="G101" s="2" t="s">
        <v>87</v>
      </c>
      <c r="I101" s="847"/>
    </row>
    <row r="102">
      <c r="A102" s="265"/>
      <c r="B102" s="268"/>
      <c r="C102" s="252"/>
      <c r="D102" s="822"/>
      <c r="F102" s="250">
        <v>400.0</v>
      </c>
      <c r="G102" s="2" t="s">
        <v>3333</v>
      </c>
      <c r="I102" s="847"/>
    </row>
    <row r="103">
      <c r="A103" s="265"/>
      <c r="B103" s="268"/>
      <c r="C103" s="252"/>
      <c r="D103" s="822"/>
      <c r="F103" s="250"/>
      <c r="I103" s="847"/>
    </row>
    <row r="104">
      <c r="A104" s="265"/>
      <c r="B104" s="268"/>
      <c r="C104" s="252"/>
      <c r="D104" s="822"/>
      <c r="F104" s="250"/>
      <c r="I104" s="847"/>
    </row>
    <row r="105">
      <c r="A105" s="265"/>
      <c r="B105" s="268"/>
      <c r="C105" s="252"/>
      <c r="D105" s="331"/>
      <c r="F105" s="250"/>
      <c r="I105" s="847"/>
    </row>
    <row r="106">
      <c r="A106" s="265"/>
      <c r="B106" s="247"/>
      <c r="C106" s="252"/>
      <c r="D106" s="822"/>
      <c r="F106" s="250"/>
      <c r="I106" s="847"/>
    </row>
    <row r="107">
      <c r="A107" s="265"/>
      <c r="B107" s="247"/>
      <c r="C107" s="252"/>
      <c r="D107" s="822"/>
      <c r="F107" s="250"/>
      <c r="I107" s="847"/>
    </row>
    <row r="108">
      <c r="A108" s="265"/>
      <c r="B108" s="268"/>
      <c r="C108" s="252"/>
      <c r="D108" s="822"/>
      <c r="F108" s="250"/>
      <c r="I108" s="847"/>
    </row>
    <row r="109">
      <c r="A109" s="265"/>
      <c r="B109" s="278"/>
      <c r="C109" s="248"/>
      <c r="D109" s="822"/>
      <c r="F109" s="282"/>
      <c r="I109" s="847"/>
    </row>
    <row r="110">
      <c r="A110" s="265"/>
      <c r="B110" s="278"/>
      <c r="C110" s="252"/>
      <c r="D110" s="822"/>
      <c r="F110" s="250"/>
      <c r="I110" s="847"/>
    </row>
    <row r="111">
      <c r="A111" s="265"/>
      <c r="B111" s="278"/>
      <c r="C111" s="252"/>
      <c r="D111" s="822"/>
      <c r="F111" s="282"/>
      <c r="I111" s="847"/>
    </row>
    <row r="112">
      <c r="A112" s="270"/>
      <c r="B112" s="271"/>
      <c r="C112" s="272"/>
      <c r="D112" s="823"/>
      <c r="E112" s="18"/>
      <c r="F112" s="274"/>
      <c r="G112" s="18"/>
      <c r="H112" s="18"/>
      <c r="I112" s="663"/>
    </row>
    <row r="113">
      <c r="A113" s="262" t="s">
        <v>2532</v>
      </c>
      <c r="B113" s="306"/>
      <c r="C113" s="263"/>
      <c r="D113" s="821"/>
      <c r="E113" s="242"/>
      <c r="F113" s="243">
        <v>7270.0</v>
      </c>
      <c r="G113" s="244" t="s">
        <v>1750</v>
      </c>
      <c r="H113" s="244"/>
      <c r="I113" s="662"/>
    </row>
    <row r="114">
      <c r="A114" s="265"/>
      <c r="B114" s="268"/>
      <c r="C114" s="252"/>
      <c r="D114" s="331"/>
      <c r="F114" s="250">
        <v>665.0</v>
      </c>
      <c r="G114" s="2" t="s">
        <v>228</v>
      </c>
      <c r="I114" s="847"/>
    </row>
    <row r="115">
      <c r="A115" s="265"/>
      <c r="B115" s="247">
        <v>1760.0</v>
      </c>
      <c r="C115" s="252"/>
      <c r="D115" s="331"/>
      <c r="F115" s="250"/>
      <c r="G115" s="2" t="s">
        <v>434</v>
      </c>
      <c r="I115" s="847"/>
    </row>
    <row r="116">
      <c r="A116" s="265"/>
      <c r="B116" s="268"/>
      <c r="C116" s="252"/>
      <c r="D116" s="822"/>
      <c r="F116" s="250">
        <v>400.0</v>
      </c>
      <c r="G116" s="2" t="s">
        <v>3338</v>
      </c>
      <c r="I116" s="847"/>
    </row>
    <row r="117">
      <c r="A117" s="265"/>
      <c r="B117" s="268"/>
      <c r="C117" s="252"/>
      <c r="D117" s="331"/>
      <c r="F117" s="250">
        <v>1896.0</v>
      </c>
      <c r="G117" s="2" t="s">
        <v>708</v>
      </c>
      <c r="I117" s="847"/>
    </row>
    <row r="118">
      <c r="A118" s="265"/>
      <c r="B118" s="247"/>
      <c r="C118" s="252"/>
      <c r="D118" s="822"/>
      <c r="F118" s="250"/>
      <c r="G118" s="2" t="s">
        <v>3385</v>
      </c>
      <c r="I118" s="847"/>
    </row>
    <row r="119">
      <c r="A119" s="265"/>
      <c r="B119" s="268"/>
      <c r="C119" s="252"/>
      <c r="D119" s="822"/>
      <c r="F119" s="250"/>
      <c r="I119" s="847"/>
    </row>
    <row r="120">
      <c r="A120" s="265"/>
      <c r="B120" s="268"/>
      <c r="C120" s="252"/>
      <c r="D120" s="822"/>
      <c r="F120" s="250"/>
      <c r="I120" s="847"/>
    </row>
    <row r="121">
      <c r="A121" s="265"/>
      <c r="B121" s="268"/>
      <c r="C121" s="252"/>
      <c r="D121" s="331"/>
      <c r="F121" s="250"/>
      <c r="I121" s="847"/>
    </row>
    <row r="122">
      <c r="A122" s="265"/>
      <c r="B122" s="268"/>
      <c r="C122" s="252"/>
      <c r="D122" s="822"/>
      <c r="F122" s="250"/>
      <c r="I122" s="847"/>
    </row>
    <row r="123">
      <c r="A123" s="265"/>
      <c r="B123" s="268"/>
      <c r="C123" s="252"/>
      <c r="D123" s="822"/>
      <c r="F123" s="250"/>
      <c r="I123" s="847"/>
    </row>
    <row r="124">
      <c r="A124" s="265"/>
      <c r="B124" s="268"/>
      <c r="C124" s="252"/>
      <c r="D124" s="822"/>
      <c r="F124" s="250"/>
      <c r="I124" s="847"/>
    </row>
    <row r="125">
      <c r="A125" s="265"/>
      <c r="B125" s="268"/>
      <c r="C125" s="252"/>
      <c r="D125" s="822"/>
      <c r="F125" s="250"/>
      <c r="I125" s="847"/>
    </row>
    <row r="126">
      <c r="A126" s="265"/>
      <c r="B126" s="268"/>
      <c r="C126" s="252"/>
      <c r="D126" s="822"/>
      <c r="F126" s="250"/>
      <c r="I126" s="847"/>
    </row>
    <row r="127">
      <c r="A127" s="265"/>
      <c r="B127" s="268"/>
      <c r="C127" s="252"/>
      <c r="D127" s="822"/>
      <c r="F127" s="250"/>
      <c r="I127" s="847"/>
    </row>
    <row r="128">
      <c r="A128" s="270"/>
      <c r="B128" s="271"/>
      <c r="C128" s="272"/>
      <c r="D128" s="823"/>
      <c r="E128" s="18"/>
      <c r="F128" s="274"/>
      <c r="G128" s="18"/>
      <c r="H128" s="18"/>
      <c r="I128" s="663"/>
    </row>
    <row r="129">
      <c r="A129" s="262" t="s">
        <v>563</v>
      </c>
      <c r="B129" s="306"/>
      <c r="C129" s="240"/>
      <c r="D129" s="824"/>
      <c r="E129" s="242"/>
      <c r="F129" s="243">
        <v>2040.0</v>
      </c>
      <c r="G129" s="244" t="s">
        <v>2673</v>
      </c>
      <c r="H129" s="244"/>
      <c r="I129" s="662"/>
    </row>
    <row r="130">
      <c r="A130" s="265"/>
      <c r="B130" s="247"/>
      <c r="C130" s="252"/>
      <c r="D130" s="822"/>
      <c r="F130" s="250">
        <v>7168.0</v>
      </c>
      <c r="G130" s="2" t="s">
        <v>2456</v>
      </c>
      <c r="I130" s="847"/>
    </row>
    <row r="131">
      <c r="A131" s="265"/>
      <c r="B131" s="268"/>
      <c r="C131" s="248"/>
      <c r="D131" s="822"/>
      <c r="F131" s="250">
        <v>2730.0</v>
      </c>
      <c r="G131" s="2" t="s">
        <v>3334</v>
      </c>
      <c r="I131" s="847"/>
    </row>
    <row r="132">
      <c r="A132" s="265"/>
      <c r="B132" s="247"/>
      <c r="C132" s="252"/>
      <c r="D132" s="331"/>
      <c r="F132" s="250">
        <v>784.0</v>
      </c>
      <c r="G132" s="2" t="s">
        <v>3386</v>
      </c>
      <c r="I132" s="847"/>
    </row>
    <row r="133">
      <c r="A133" s="265"/>
      <c r="B133" s="268"/>
      <c r="C133" s="252"/>
      <c r="D133" s="822"/>
      <c r="F133" s="250">
        <v>200.0</v>
      </c>
      <c r="G133" s="2" t="s">
        <v>85</v>
      </c>
      <c r="I133" s="847"/>
    </row>
    <row r="134">
      <c r="A134" s="265"/>
      <c r="B134" s="247">
        <v>2331.0</v>
      </c>
      <c r="C134" s="252"/>
      <c r="D134" s="822"/>
      <c r="F134" s="250"/>
      <c r="G134" s="2" t="s">
        <v>2894</v>
      </c>
      <c r="I134" s="847"/>
    </row>
    <row r="135">
      <c r="A135" s="265"/>
      <c r="B135" s="247"/>
      <c r="C135" s="252"/>
      <c r="D135" s="822"/>
      <c r="F135" s="250">
        <v>1900.0</v>
      </c>
      <c r="G135" s="2" t="s">
        <v>3387</v>
      </c>
      <c r="I135" s="847"/>
    </row>
    <row r="136">
      <c r="A136" s="265"/>
      <c r="B136" s="283"/>
      <c r="C136" s="248">
        <v>23562.0</v>
      </c>
      <c r="D136" s="822"/>
      <c r="F136" s="250"/>
      <c r="G136" s="2" t="s">
        <v>1189</v>
      </c>
      <c r="I136" s="847"/>
    </row>
    <row r="137">
      <c r="A137" s="265"/>
      <c r="B137" s="268"/>
      <c r="C137" s="252"/>
      <c r="D137" s="822"/>
      <c r="F137" s="250">
        <v>400.0</v>
      </c>
      <c r="G137" s="2" t="s">
        <v>3333</v>
      </c>
      <c r="I137" s="847"/>
    </row>
    <row r="138">
      <c r="A138" s="265"/>
      <c r="B138" s="268"/>
      <c r="C138" s="252"/>
      <c r="D138" s="822"/>
      <c r="F138" s="250"/>
      <c r="I138" s="847"/>
    </row>
    <row r="139">
      <c r="A139" s="265"/>
      <c r="B139" s="268"/>
      <c r="C139" s="252"/>
      <c r="D139" s="822"/>
      <c r="F139" s="250"/>
      <c r="I139" s="847"/>
    </row>
    <row r="140">
      <c r="A140" s="270"/>
      <c r="B140" s="271"/>
      <c r="C140" s="272"/>
      <c r="D140" s="823"/>
      <c r="E140" s="18"/>
      <c r="F140" s="274"/>
      <c r="G140" s="18"/>
      <c r="H140" s="18"/>
      <c r="I140" s="663"/>
    </row>
    <row r="141">
      <c r="A141" s="262" t="s">
        <v>2539</v>
      </c>
      <c r="B141" s="306"/>
      <c r="C141" s="240"/>
      <c r="D141" s="824"/>
      <c r="E141" s="242"/>
      <c r="F141" s="243">
        <v>6820.0</v>
      </c>
      <c r="G141" s="244" t="s">
        <v>1750</v>
      </c>
      <c r="H141" s="244"/>
      <c r="I141" s="662"/>
    </row>
    <row r="142">
      <c r="A142" s="265"/>
      <c r="B142" s="268"/>
      <c r="C142" s="252"/>
      <c r="D142" s="822"/>
      <c r="F142" s="250">
        <v>3600.0</v>
      </c>
      <c r="G142" s="2" t="s">
        <v>87</v>
      </c>
      <c r="I142" s="847"/>
    </row>
    <row r="143">
      <c r="A143" s="265"/>
      <c r="B143" s="268"/>
      <c r="C143" s="252"/>
      <c r="D143" s="822"/>
      <c r="F143" s="250">
        <v>700.0</v>
      </c>
      <c r="G143" s="2" t="s">
        <v>3380</v>
      </c>
      <c r="I143" s="847"/>
    </row>
    <row r="144">
      <c r="A144" s="265"/>
      <c r="B144" s="247">
        <v>14000.0</v>
      </c>
      <c r="C144" s="252"/>
      <c r="D144" s="822"/>
      <c r="F144" s="250"/>
      <c r="G144" s="2" t="s">
        <v>167</v>
      </c>
      <c r="I144" s="847"/>
    </row>
    <row r="145">
      <c r="A145" s="265"/>
      <c r="B145" s="268"/>
      <c r="C145" s="252"/>
      <c r="D145" s="822"/>
      <c r="F145" s="250">
        <v>3400.0</v>
      </c>
      <c r="G145" s="2" t="s">
        <v>76</v>
      </c>
      <c r="I145" s="847"/>
    </row>
    <row r="146">
      <c r="A146" s="265"/>
      <c r="B146" s="268"/>
      <c r="C146" s="248"/>
      <c r="D146" s="822"/>
      <c r="F146" s="250">
        <v>35000.0</v>
      </c>
      <c r="G146" s="2" t="s">
        <v>3388</v>
      </c>
      <c r="I146" s="847"/>
    </row>
    <row r="147">
      <c r="A147" s="265"/>
      <c r="B147" s="268"/>
      <c r="C147" s="252"/>
      <c r="D147" s="822"/>
      <c r="F147" s="250">
        <v>1800.0</v>
      </c>
      <c r="G147" s="2" t="s">
        <v>426</v>
      </c>
      <c r="I147" s="847"/>
    </row>
    <row r="148">
      <c r="A148" s="265"/>
      <c r="B148" s="268"/>
      <c r="C148" s="252"/>
      <c r="D148" s="822"/>
      <c r="F148" s="250"/>
      <c r="I148" s="847"/>
    </row>
    <row r="149">
      <c r="A149" s="265"/>
      <c r="B149" s="268"/>
      <c r="C149" s="252"/>
      <c r="D149" s="822"/>
      <c r="F149" s="250"/>
      <c r="I149" s="847"/>
    </row>
    <row r="150">
      <c r="A150" s="270"/>
      <c r="B150" s="271"/>
      <c r="C150" s="272"/>
      <c r="D150" s="823"/>
      <c r="E150" s="18"/>
      <c r="F150" s="274"/>
      <c r="G150" s="18"/>
      <c r="H150" s="18"/>
      <c r="I150" s="663"/>
    </row>
    <row r="151">
      <c r="A151" s="262" t="s">
        <v>3389</v>
      </c>
      <c r="B151" s="306"/>
      <c r="C151" s="263">
        <v>21910.0</v>
      </c>
      <c r="D151" s="821"/>
      <c r="E151" s="242"/>
      <c r="F151" s="243"/>
      <c r="G151" s="244" t="s">
        <v>631</v>
      </c>
      <c r="H151" s="244"/>
      <c r="I151" s="662"/>
    </row>
    <row r="152">
      <c r="A152" s="265"/>
      <c r="B152" s="268"/>
      <c r="C152" s="252"/>
      <c r="D152" s="822"/>
      <c r="F152" s="250">
        <v>6500.0</v>
      </c>
      <c r="G152" s="2" t="s">
        <v>91</v>
      </c>
      <c r="I152" s="847"/>
    </row>
    <row r="153">
      <c r="A153" s="265"/>
      <c r="B153" s="268"/>
      <c r="C153" s="248"/>
      <c r="D153" s="331"/>
      <c r="F153" s="250">
        <v>3600.0</v>
      </c>
      <c r="G153" s="2" t="s">
        <v>87</v>
      </c>
      <c r="I153" s="847"/>
    </row>
    <row r="154">
      <c r="A154" s="265"/>
      <c r="B154" s="268"/>
      <c r="C154" s="252"/>
      <c r="D154" s="822"/>
      <c r="F154" s="250">
        <v>400.0</v>
      </c>
      <c r="G154" s="2" t="s">
        <v>3333</v>
      </c>
      <c r="I154" s="847"/>
    </row>
    <row r="155">
      <c r="A155" s="265"/>
      <c r="B155" s="268"/>
      <c r="C155" s="252"/>
      <c r="D155" s="822"/>
      <c r="F155" s="250">
        <v>1000.0</v>
      </c>
      <c r="G155" s="2" t="s">
        <v>3390</v>
      </c>
      <c r="H155" s="252"/>
      <c r="I155" s="847"/>
    </row>
    <row r="156">
      <c r="A156" s="265"/>
      <c r="B156" s="268"/>
      <c r="C156" s="252"/>
      <c r="D156" s="822"/>
      <c r="F156" s="250">
        <v>405.0</v>
      </c>
      <c r="G156" s="2" t="s">
        <v>227</v>
      </c>
      <c r="I156" s="847"/>
    </row>
    <row r="157">
      <c r="A157" s="265"/>
      <c r="B157" s="268"/>
      <c r="C157" s="252"/>
      <c r="D157" s="331"/>
      <c r="F157" s="250">
        <v>1250.0</v>
      </c>
      <c r="G157" s="2" t="s">
        <v>170</v>
      </c>
      <c r="I157" s="847"/>
    </row>
    <row r="158">
      <c r="A158" s="265"/>
      <c r="B158" s="268"/>
      <c r="C158" s="252"/>
      <c r="D158" s="822"/>
      <c r="F158" s="250">
        <v>300.0</v>
      </c>
      <c r="G158" s="2" t="s">
        <v>3374</v>
      </c>
      <c r="H158" s="252"/>
      <c r="I158" s="847"/>
    </row>
    <row r="159">
      <c r="A159" s="265"/>
      <c r="B159" s="268"/>
      <c r="C159" s="252"/>
      <c r="D159" s="822"/>
      <c r="F159" s="250"/>
      <c r="I159" s="847"/>
    </row>
    <row r="160">
      <c r="A160" s="270"/>
      <c r="B160" s="271"/>
      <c r="C160" s="272"/>
      <c r="D160" s="823"/>
      <c r="E160" s="18"/>
      <c r="F160" s="274"/>
      <c r="G160" s="18"/>
      <c r="H160" s="18"/>
      <c r="I160" s="663"/>
    </row>
    <row r="161">
      <c r="A161" s="262" t="s">
        <v>2544</v>
      </c>
      <c r="B161" s="306"/>
      <c r="C161" s="240"/>
      <c r="D161" s="821"/>
      <c r="E161" s="242"/>
      <c r="F161" s="243">
        <v>2920.0</v>
      </c>
      <c r="G161" s="244" t="s">
        <v>1750</v>
      </c>
      <c r="H161" s="244"/>
      <c r="I161" s="662"/>
    </row>
    <row r="162">
      <c r="A162" s="265"/>
      <c r="B162" s="268"/>
      <c r="C162" s="252"/>
      <c r="D162" s="331"/>
      <c r="F162" s="250">
        <v>1900.0</v>
      </c>
      <c r="G162" s="2" t="s">
        <v>708</v>
      </c>
      <c r="I162" s="847"/>
    </row>
    <row r="163">
      <c r="A163" s="265"/>
      <c r="B163" s="268"/>
      <c r="C163" s="248"/>
      <c r="D163" s="331"/>
      <c r="F163" s="250">
        <v>5640.0</v>
      </c>
      <c r="G163" s="2" t="s">
        <v>3003</v>
      </c>
      <c r="I163" s="847"/>
    </row>
    <row r="164">
      <c r="A164" s="265"/>
      <c r="B164" s="268"/>
      <c r="C164" s="252"/>
      <c r="D164" s="822"/>
      <c r="F164" s="250">
        <v>1873.0</v>
      </c>
      <c r="G164" s="2" t="s">
        <v>3391</v>
      </c>
      <c r="I164" s="847"/>
    </row>
    <row r="165">
      <c r="A165" s="265"/>
      <c r="B165" s="268"/>
      <c r="C165" s="252"/>
      <c r="D165" s="331"/>
      <c r="F165" s="250">
        <v>360.0</v>
      </c>
      <c r="G165" s="2" t="s">
        <v>3392</v>
      </c>
      <c r="I165" s="847"/>
    </row>
    <row r="166">
      <c r="A166" s="265"/>
      <c r="B166" s="268"/>
      <c r="C166" s="252"/>
      <c r="D166" s="822"/>
      <c r="F166" s="250">
        <v>9500.0</v>
      </c>
      <c r="G166" s="2" t="s">
        <v>3393</v>
      </c>
      <c r="I166" s="847"/>
    </row>
    <row r="167">
      <c r="A167" s="265"/>
      <c r="B167" s="247"/>
      <c r="C167" s="252"/>
      <c r="D167" s="822"/>
      <c r="F167" s="250">
        <v>4700.0</v>
      </c>
      <c r="G167" s="2" t="s">
        <v>82</v>
      </c>
      <c r="I167" s="847"/>
    </row>
    <row r="168">
      <c r="A168" s="265"/>
      <c r="B168" s="247"/>
      <c r="C168" s="252"/>
      <c r="D168" s="822"/>
      <c r="F168" s="250">
        <v>400.0</v>
      </c>
      <c r="G168" s="2" t="s">
        <v>3333</v>
      </c>
      <c r="I168" s="847"/>
    </row>
    <row r="169">
      <c r="A169" s="265"/>
      <c r="B169" s="268"/>
      <c r="C169" s="252"/>
      <c r="D169" s="822"/>
      <c r="F169" s="250">
        <v>1000.0</v>
      </c>
      <c r="G169" s="2" t="s">
        <v>3362</v>
      </c>
      <c r="I169" s="847"/>
    </row>
    <row r="170">
      <c r="A170" s="265"/>
      <c r="B170" s="268"/>
      <c r="C170" s="252"/>
      <c r="D170" s="822"/>
      <c r="F170" s="250"/>
      <c r="I170" s="847"/>
    </row>
    <row r="171">
      <c r="A171" s="265"/>
      <c r="B171" s="268"/>
      <c r="C171" s="252"/>
      <c r="D171" s="822"/>
      <c r="F171" s="250"/>
      <c r="I171" s="847"/>
    </row>
    <row r="172">
      <c r="A172" s="265"/>
      <c r="B172" s="268"/>
      <c r="C172" s="252"/>
      <c r="D172" s="822"/>
      <c r="F172" s="250"/>
      <c r="I172" s="847"/>
    </row>
    <row r="173">
      <c r="A173" s="265"/>
      <c r="B173" s="268"/>
      <c r="C173" s="252"/>
      <c r="D173" s="822"/>
      <c r="F173" s="250"/>
      <c r="I173" s="847"/>
    </row>
    <row r="174">
      <c r="A174" s="265"/>
      <c r="B174" s="268"/>
      <c r="C174" s="252"/>
      <c r="D174" s="822"/>
      <c r="F174" s="250"/>
      <c r="I174" s="847"/>
    </row>
    <row r="175">
      <c r="A175" s="270"/>
      <c r="B175" s="271"/>
      <c r="C175" s="272"/>
      <c r="D175" s="823"/>
      <c r="E175" s="18"/>
      <c r="F175" s="259"/>
      <c r="G175" s="293"/>
      <c r="H175" s="18"/>
      <c r="I175" s="663"/>
    </row>
    <row r="176">
      <c r="A176" s="262" t="s">
        <v>2546</v>
      </c>
      <c r="B176" s="306"/>
      <c r="C176" s="240"/>
      <c r="D176" s="821"/>
      <c r="E176" s="242"/>
      <c r="F176" s="243">
        <v>400.0</v>
      </c>
      <c r="G176" s="244" t="s">
        <v>3338</v>
      </c>
      <c r="I176" s="244"/>
    </row>
    <row r="177">
      <c r="A177" s="265"/>
      <c r="B177" s="268"/>
      <c r="C177" s="248"/>
      <c r="D177" s="331"/>
      <c r="F177" s="250">
        <v>750.0</v>
      </c>
      <c r="G177" s="2" t="s">
        <v>344</v>
      </c>
      <c r="I177" s="847"/>
    </row>
    <row r="178">
      <c r="A178" s="265"/>
      <c r="B178" s="268"/>
      <c r="C178" s="252"/>
      <c r="D178" s="822"/>
      <c r="F178" s="250"/>
      <c r="I178" s="847"/>
    </row>
    <row r="179">
      <c r="A179" s="265"/>
      <c r="B179" s="268"/>
      <c r="C179" s="252"/>
      <c r="D179" s="822"/>
      <c r="F179" s="250"/>
      <c r="I179" s="847"/>
    </row>
    <row r="180">
      <c r="A180" s="265"/>
      <c r="B180" s="268"/>
      <c r="C180" s="248"/>
      <c r="D180" s="822"/>
      <c r="F180" s="250"/>
      <c r="I180" s="847"/>
    </row>
    <row r="181">
      <c r="A181" s="265"/>
      <c r="B181" s="247"/>
      <c r="C181" s="252"/>
      <c r="D181" s="822"/>
      <c r="F181" s="250"/>
      <c r="I181" s="847"/>
    </row>
    <row r="182">
      <c r="A182" s="265"/>
      <c r="B182" s="268"/>
      <c r="C182" s="252"/>
      <c r="D182" s="331"/>
      <c r="F182" s="250"/>
      <c r="I182" s="847"/>
    </row>
    <row r="183">
      <c r="A183" s="265"/>
      <c r="B183" s="268"/>
      <c r="C183" s="252"/>
      <c r="D183" s="822"/>
      <c r="F183" s="250"/>
      <c r="I183" s="847"/>
    </row>
    <row r="184">
      <c r="A184" s="265"/>
      <c r="B184" s="268"/>
      <c r="C184" s="252"/>
      <c r="D184" s="822"/>
      <c r="F184" s="250"/>
      <c r="I184" s="847"/>
    </row>
    <row r="185">
      <c r="A185" s="265"/>
      <c r="B185" s="278"/>
      <c r="C185" s="252"/>
      <c r="D185" s="822"/>
      <c r="F185" s="250"/>
      <c r="I185" s="847"/>
    </row>
    <row r="186">
      <c r="A186" s="265"/>
      <c r="B186" s="278"/>
      <c r="C186" s="252"/>
      <c r="D186" s="822"/>
      <c r="F186" s="250"/>
      <c r="I186" s="847"/>
    </row>
    <row r="187">
      <c r="A187" s="265"/>
      <c r="B187" s="278"/>
      <c r="C187" s="252"/>
      <c r="D187" s="822"/>
      <c r="F187" s="250"/>
      <c r="I187" s="847"/>
    </row>
    <row r="188">
      <c r="A188" s="265"/>
      <c r="B188" s="278"/>
      <c r="C188" s="252"/>
      <c r="D188" s="822"/>
      <c r="F188" s="282"/>
      <c r="I188" s="847"/>
    </row>
    <row r="189">
      <c r="A189" s="265"/>
      <c r="B189" s="278"/>
      <c r="C189" s="252"/>
      <c r="D189" s="822"/>
      <c r="F189" s="282"/>
      <c r="I189" s="847"/>
    </row>
    <row r="190">
      <c r="A190" s="265"/>
      <c r="B190" s="278"/>
      <c r="C190" s="252"/>
      <c r="D190" s="822"/>
      <c r="F190" s="282"/>
      <c r="I190" s="847"/>
    </row>
    <row r="191">
      <c r="A191" s="270"/>
      <c r="B191" s="271"/>
      <c r="C191" s="272"/>
      <c r="D191" s="823"/>
      <c r="E191" s="18"/>
      <c r="F191" s="274"/>
      <c r="G191" s="18"/>
      <c r="H191" s="18"/>
      <c r="I191" s="663"/>
    </row>
    <row r="192">
      <c r="A192" s="262" t="s">
        <v>2547</v>
      </c>
      <c r="B192" s="306"/>
      <c r="C192" s="263"/>
      <c r="D192" s="824"/>
      <c r="E192" s="242"/>
      <c r="F192" s="243">
        <v>832.0</v>
      </c>
      <c r="G192" s="244" t="s">
        <v>103</v>
      </c>
      <c r="H192" s="244"/>
      <c r="I192" s="662"/>
    </row>
    <row r="193">
      <c r="A193" s="265"/>
      <c r="B193" s="247"/>
      <c r="C193" s="252"/>
      <c r="D193" s="822"/>
      <c r="F193" s="250"/>
      <c r="G193" s="2" t="s">
        <v>139</v>
      </c>
      <c r="I193" s="847"/>
    </row>
    <row r="194">
      <c r="A194" s="265"/>
      <c r="B194" s="268"/>
      <c r="C194" s="252"/>
      <c r="D194" s="331"/>
      <c r="F194" s="250">
        <v>6260.0</v>
      </c>
      <c r="G194" s="2" t="s">
        <v>1750</v>
      </c>
      <c r="I194" s="847"/>
    </row>
    <row r="195">
      <c r="A195" s="265"/>
      <c r="B195" s="268"/>
      <c r="C195" s="252"/>
      <c r="D195" s="331">
        <v>6098.0</v>
      </c>
      <c r="F195" s="250"/>
      <c r="G195" s="2" t="s">
        <v>3394</v>
      </c>
      <c r="I195" s="847"/>
    </row>
    <row r="196">
      <c r="A196" s="265"/>
      <c r="B196" s="247"/>
      <c r="C196" s="252"/>
      <c r="D196" s="331">
        <v>1529.59</v>
      </c>
      <c r="F196" s="250"/>
      <c r="G196" s="2" t="s">
        <v>1849</v>
      </c>
      <c r="I196" s="847"/>
    </row>
    <row r="197">
      <c r="A197" s="265"/>
      <c r="B197" s="268"/>
      <c r="C197" s="252"/>
      <c r="D197" s="331">
        <v>7680.78</v>
      </c>
      <c r="F197" s="250"/>
      <c r="G197" s="2" t="s">
        <v>3258</v>
      </c>
      <c r="I197" s="847"/>
    </row>
    <row r="198">
      <c r="A198" s="265"/>
      <c r="B198" s="268"/>
      <c r="C198" s="252"/>
      <c r="D198" s="822"/>
      <c r="F198" s="250">
        <v>2400.0</v>
      </c>
      <c r="G198" s="2" t="s">
        <v>139</v>
      </c>
      <c r="I198" s="847"/>
    </row>
    <row r="199">
      <c r="A199" s="265"/>
      <c r="B199" s="247">
        <v>3350.0</v>
      </c>
      <c r="C199" s="252"/>
      <c r="D199" s="331"/>
      <c r="F199" s="250"/>
      <c r="G199" s="2" t="s">
        <v>3395</v>
      </c>
      <c r="I199" s="847"/>
    </row>
    <row r="200">
      <c r="A200" s="265"/>
      <c r="B200" s="268"/>
      <c r="C200" s="248"/>
      <c r="D200" s="331">
        <v>12600.0</v>
      </c>
      <c r="F200" s="250"/>
      <c r="G200" s="2" t="s">
        <v>3396</v>
      </c>
      <c r="H200" s="2" t="s">
        <v>3397</v>
      </c>
      <c r="I200" s="847"/>
    </row>
    <row r="201">
      <c r="A201" s="265"/>
      <c r="B201" s="268"/>
      <c r="C201" s="248"/>
      <c r="D201" s="822"/>
      <c r="F201" s="250">
        <v>1900.0</v>
      </c>
      <c r="G201" s="2" t="s">
        <v>708</v>
      </c>
      <c r="I201" s="847"/>
    </row>
    <row r="202">
      <c r="A202" s="265"/>
      <c r="B202" s="268"/>
      <c r="C202" s="248"/>
      <c r="D202" s="822"/>
      <c r="F202" s="250">
        <v>400.0</v>
      </c>
      <c r="G202" s="2" t="s">
        <v>3333</v>
      </c>
      <c r="I202" s="847"/>
    </row>
    <row r="203">
      <c r="A203" s="265"/>
      <c r="B203" s="268"/>
      <c r="C203" s="248"/>
      <c r="D203" s="822"/>
      <c r="F203" s="250">
        <v>7200.0</v>
      </c>
      <c r="G203" s="2" t="s">
        <v>3398</v>
      </c>
      <c r="H203" s="252"/>
      <c r="I203" s="847"/>
    </row>
    <row r="204">
      <c r="A204" s="265"/>
      <c r="B204" s="278"/>
      <c r="C204" s="252"/>
      <c r="D204" s="822"/>
      <c r="F204" s="250">
        <v>398.0</v>
      </c>
      <c r="G204" s="2" t="s">
        <v>2703</v>
      </c>
      <c r="I204" s="847"/>
    </row>
    <row r="205">
      <c r="A205" s="265"/>
      <c r="B205" s="278"/>
      <c r="C205" s="252"/>
      <c r="D205" s="822"/>
      <c r="F205" s="282"/>
      <c r="I205" s="847"/>
    </row>
    <row r="206">
      <c r="A206" s="270"/>
      <c r="B206" s="271"/>
      <c r="C206" s="272"/>
      <c r="D206" s="823"/>
      <c r="E206" s="18"/>
      <c r="F206" s="274"/>
      <c r="G206" s="18"/>
      <c r="H206" s="18"/>
      <c r="I206" s="663"/>
    </row>
    <row r="207">
      <c r="A207" s="262" t="s">
        <v>2549</v>
      </c>
      <c r="B207" s="306"/>
      <c r="C207" s="263"/>
      <c r="D207" s="824"/>
      <c r="E207" s="242"/>
      <c r="F207" s="243">
        <v>4535.0</v>
      </c>
      <c r="G207" s="244" t="s">
        <v>3375</v>
      </c>
      <c r="H207" s="244"/>
      <c r="I207" s="662"/>
    </row>
    <row r="208">
      <c r="A208" s="265"/>
      <c r="B208" s="268"/>
      <c r="C208" s="248">
        <v>39688.0</v>
      </c>
      <c r="D208" s="331"/>
      <c r="F208" s="250"/>
      <c r="G208" s="2" t="s">
        <v>71</v>
      </c>
      <c r="I208" s="847"/>
    </row>
    <row r="209">
      <c r="A209" s="265"/>
      <c r="B209" s="268"/>
      <c r="C209" s="252"/>
      <c r="D209" s="822"/>
      <c r="F209" s="250">
        <v>5580.0</v>
      </c>
      <c r="G209" s="2" t="s">
        <v>76</v>
      </c>
      <c r="I209" s="847"/>
    </row>
    <row r="210">
      <c r="A210" s="265"/>
      <c r="B210" s="268"/>
      <c r="C210" s="248"/>
      <c r="D210" s="822"/>
      <c r="F210" s="250">
        <v>255.0</v>
      </c>
      <c r="G210" s="2" t="s">
        <v>708</v>
      </c>
      <c r="I210" s="847"/>
    </row>
    <row r="211">
      <c r="A211" s="265"/>
      <c r="B211" s="268"/>
      <c r="C211" s="252"/>
      <c r="D211" s="822"/>
      <c r="F211" s="250">
        <v>400.0</v>
      </c>
      <c r="G211" s="2" t="s">
        <v>3333</v>
      </c>
      <c r="I211" s="847"/>
    </row>
    <row r="212">
      <c r="A212" s="265"/>
      <c r="B212" s="268"/>
      <c r="C212" s="252"/>
      <c r="D212" s="822"/>
      <c r="F212" s="250">
        <v>7200.0</v>
      </c>
      <c r="G212" s="2" t="s">
        <v>87</v>
      </c>
      <c r="I212" s="847"/>
    </row>
    <row r="213">
      <c r="A213" s="265"/>
      <c r="B213" s="268"/>
      <c r="C213" s="252"/>
      <c r="D213" s="822"/>
      <c r="F213" s="250">
        <v>340.0</v>
      </c>
      <c r="G213" s="2" t="s">
        <v>3399</v>
      </c>
      <c r="H213" s="252"/>
      <c r="I213" s="847"/>
    </row>
    <row r="214">
      <c r="A214" s="265"/>
      <c r="B214" s="268"/>
      <c r="C214" s="252"/>
      <c r="D214" s="822"/>
      <c r="F214" s="250">
        <v>4230.0</v>
      </c>
      <c r="G214" s="2" t="s">
        <v>150</v>
      </c>
      <c r="I214" s="847"/>
    </row>
    <row r="215">
      <c r="A215" s="265"/>
      <c r="B215" s="268"/>
      <c r="C215" s="252"/>
      <c r="D215" s="822"/>
      <c r="F215" s="250">
        <v>530.0</v>
      </c>
      <c r="G215" s="2" t="s">
        <v>143</v>
      </c>
      <c r="I215" s="847"/>
    </row>
    <row r="216">
      <c r="A216" s="265"/>
      <c r="B216" s="278"/>
      <c r="C216" s="252"/>
      <c r="D216" s="822"/>
      <c r="F216" s="250"/>
      <c r="I216" s="847"/>
    </row>
    <row r="217">
      <c r="A217" s="265"/>
      <c r="B217" s="278"/>
      <c r="C217" s="252"/>
      <c r="D217" s="822"/>
      <c r="F217" s="282"/>
      <c r="I217" s="847"/>
    </row>
    <row r="218">
      <c r="A218" s="270"/>
      <c r="B218" s="271"/>
      <c r="C218" s="272"/>
      <c r="D218" s="823"/>
      <c r="E218" s="18"/>
      <c r="F218" s="274"/>
      <c r="G218" s="18"/>
      <c r="H218" s="18"/>
      <c r="I218" s="663"/>
    </row>
    <row r="219">
      <c r="A219" s="262" t="s">
        <v>2550</v>
      </c>
      <c r="B219" s="306"/>
      <c r="C219" s="240"/>
      <c r="D219" s="821"/>
      <c r="E219" s="242"/>
      <c r="F219" s="243">
        <v>9075.0</v>
      </c>
      <c r="G219" s="244" t="s">
        <v>405</v>
      </c>
      <c r="H219" s="244"/>
      <c r="I219" s="662"/>
    </row>
    <row r="220">
      <c r="A220" s="265"/>
      <c r="B220" s="268"/>
      <c r="C220" s="252"/>
      <c r="D220" s="331"/>
      <c r="F220" s="250">
        <v>6850.0</v>
      </c>
      <c r="G220" s="2" t="s">
        <v>3212</v>
      </c>
      <c r="I220" s="847"/>
    </row>
    <row r="221">
      <c r="A221" s="265"/>
      <c r="B221" s="268"/>
      <c r="C221" s="252"/>
      <c r="D221" s="822"/>
      <c r="F221" s="250">
        <v>400.0</v>
      </c>
      <c r="G221" s="2" t="s">
        <v>3400</v>
      </c>
      <c r="I221" s="847"/>
    </row>
    <row r="222">
      <c r="A222" s="265"/>
      <c r="B222" s="268"/>
      <c r="C222" s="248"/>
      <c r="D222" s="822"/>
      <c r="F222" s="250">
        <v>8200.0</v>
      </c>
      <c r="G222" s="2" t="s">
        <v>3401</v>
      </c>
      <c r="I222" s="847"/>
    </row>
    <row r="223">
      <c r="A223" s="265"/>
      <c r="B223" s="268"/>
      <c r="C223" s="248"/>
      <c r="D223" s="822"/>
      <c r="F223" s="250">
        <v>1403.0</v>
      </c>
      <c r="G223" s="2" t="s">
        <v>3261</v>
      </c>
      <c r="I223" s="847"/>
    </row>
    <row r="224">
      <c r="A224" s="265"/>
      <c r="B224" s="268"/>
      <c r="C224" s="248"/>
      <c r="D224" s="331">
        <v>18150.0</v>
      </c>
      <c r="F224" s="250"/>
      <c r="G224" s="2" t="s">
        <v>3402</v>
      </c>
      <c r="I224" s="847"/>
    </row>
    <row r="225">
      <c r="A225" s="265"/>
      <c r="B225" s="268"/>
      <c r="C225" s="252"/>
      <c r="D225" s="822"/>
      <c r="F225" s="250"/>
      <c r="I225" s="847"/>
    </row>
    <row r="226">
      <c r="A226" s="265"/>
      <c r="B226" s="268"/>
      <c r="C226" s="252"/>
      <c r="D226" s="822"/>
      <c r="F226" s="250"/>
      <c r="I226" s="847"/>
    </row>
    <row r="227">
      <c r="A227" s="265"/>
      <c r="B227" s="268"/>
      <c r="C227" s="252"/>
      <c r="D227" s="822"/>
      <c r="F227" s="250"/>
      <c r="I227" s="847"/>
    </row>
    <row r="228">
      <c r="A228" s="265"/>
      <c r="B228" s="268"/>
      <c r="C228" s="252"/>
      <c r="D228" s="822"/>
      <c r="F228" s="250"/>
      <c r="I228" s="847"/>
    </row>
    <row r="229">
      <c r="A229" s="270"/>
      <c r="B229" s="271"/>
      <c r="C229" s="272"/>
      <c r="D229" s="823"/>
      <c r="E229" s="18"/>
      <c r="F229" s="274"/>
      <c r="G229" s="18"/>
      <c r="H229" s="18"/>
      <c r="I229" s="663"/>
    </row>
    <row r="230">
      <c r="A230" s="262" t="s">
        <v>2552</v>
      </c>
      <c r="B230" s="306"/>
      <c r="C230" s="240"/>
      <c r="D230" s="824"/>
      <c r="E230" s="242"/>
      <c r="F230" s="243">
        <v>3175.0</v>
      </c>
      <c r="G230" s="244" t="s">
        <v>77</v>
      </c>
      <c r="H230" s="244"/>
      <c r="I230" s="662"/>
    </row>
    <row r="231">
      <c r="A231" s="265"/>
      <c r="B231" s="247"/>
      <c r="C231" s="252"/>
      <c r="D231" s="822"/>
      <c r="F231" s="250">
        <v>5625.0</v>
      </c>
      <c r="G231" s="2" t="s">
        <v>84</v>
      </c>
      <c r="I231" s="847"/>
    </row>
    <row r="232">
      <c r="A232" s="265"/>
      <c r="B232" s="268"/>
      <c r="C232" s="252"/>
      <c r="D232" s="822"/>
      <c r="F232" s="250">
        <v>4200.0</v>
      </c>
      <c r="G232" s="2" t="s">
        <v>3403</v>
      </c>
      <c r="I232" s="847"/>
    </row>
    <row r="233">
      <c r="A233" s="265"/>
      <c r="B233" s="268"/>
      <c r="C233" s="252"/>
      <c r="D233" s="822"/>
      <c r="F233" s="250">
        <v>400.0</v>
      </c>
      <c r="G233" s="2" t="s">
        <v>3333</v>
      </c>
      <c r="I233" s="847"/>
    </row>
    <row r="234">
      <c r="A234" s="265"/>
      <c r="B234" s="268"/>
      <c r="C234" s="252"/>
      <c r="D234" s="822"/>
      <c r="F234" s="250">
        <v>300.0</v>
      </c>
      <c r="G234" s="2" t="s">
        <v>3404</v>
      </c>
      <c r="H234" s="252"/>
      <c r="I234" s="847"/>
    </row>
    <row r="235">
      <c r="A235" s="265"/>
      <c r="B235" s="268"/>
      <c r="C235" s="252"/>
      <c r="D235" s="822"/>
      <c r="F235" s="250"/>
      <c r="I235" s="847"/>
    </row>
    <row r="236">
      <c r="A236" s="265"/>
      <c r="B236" s="268"/>
      <c r="C236" s="252"/>
      <c r="D236" s="822"/>
      <c r="F236" s="250"/>
      <c r="I236" s="847"/>
    </row>
    <row r="237">
      <c r="A237" s="265"/>
      <c r="B237" s="268"/>
      <c r="C237" s="252"/>
      <c r="D237" s="822"/>
      <c r="F237" s="250"/>
      <c r="I237" s="847"/>
    </row>
    <row r="238">
      <c r="A238" s="265"/>
      <c r="B238" s="268"/>
      <c r="C238" s="252"/>
      <c r="D238" s="822"/>
      <c r="F238" s="250"/>
      <c r="I238" s="847"/>
    </row>
    <row r="239">
      <c r="A239" s="265"/>
      <c r="B239" s="268"/>
      <c r="C239" s="252"/>
      <c r="D239" s="822"/>
      <c r="F239" s="250"/>
      <c r="I239" s="847"/>
    </row>
    <row r="240">
      <c r="A240" s="265"/>
      <c r="B240" s="278"/>
      <c r="C240" s="252"/>
      <c r="D240" s="822"/>
      <c r="F240" s="250"/>
      <c r="I240" s="847"/>
    </row>
    <row r="241">
      <c r="A241" s="265"/>
      <c r="B241" s="278"/>
      <c r="C241" s="252"/>
      <c r="D241" s="822"/>
      <c r="F241" s="250"/>
      <c r="I241" s="847"/>
    </row>
    <row r="242">
      <c r="A242" s="265"/>
      <c r="B242" s="278"/>
      <c r="C242" s="252"/>
      <c r="D242" s="822"/>
      <c r="F242" s="250"/>
      <c r="I242" s="847"/>
    </row>
    <row r="243">
      <c r="A243" s="270"/>
      <c r="B243" s="271"/>
      <c r="C243" s="272"/>
      <c r="D243" s="823"/>
      <c r="E243" s="18"/>
      <c r="F243" s="274"/>
      <c r="G243" s="18"/>
      <c r="H243" s="18"/>
      <c r="I243" s="663"/>
    </row>
    <row r="244">
      <c r="A244" s="262" t="s">
        <v>2553</v>
      </c>
      <c r="B244" s="306"/>
      <c r="C244" s="240"/>
      <c r="D244" s="824"/>
      <c r="E244" s="242"/>
      <c r="F244" s="243">
        <v>3670.0</v>
      </c>
      <c r="G244" s="244" t="s">
        <v>82</v>
      </c>
      <c r="H244" s="244"/>
      <c r="I244" s="662"/>
    </row>
    <row r="245">
      <c r="A245" s="265"/>
      <c r="B245" s="268"/>
      <c r="C245" s="248"/>
      <c r="D245" s="822"/>
      <c r="F245" s="250">
        <v>6620.0</v>
      </c>
      <c r="G245" s="2" t="s">
        <v>1750</v>
      </c>
      <c r="I245" s="847"/>
    </row>
    <row r="246">
      <c r="A246" s="265"/>
      <c r="B246" s="247"/>
      <c r="C246" s="252"/>
      <c r="D246" s="822"/>
      <c r="F246" s="250">
        <v>3180.0</v>
      </c>
      <c r="G246" s="2" t="s">
        <v>3003</v>
      </c>
      <c r="I246" s="847"/>
    </row>
    <row r="247">
      <c r="A247" s="265"/>
      <c r="B247" s="268"/>
      <c r="C247" s="252"/>
      <c r="D247" s="822"/>
      <c r="F247" s="250">
        <v>7200.0</v>
      </c>
      <c r="G247" s="2" t="s">
        <v>87</v>
      </c>
      <c r="I247" s="847"/>
    </row>
    <row r="248">
      <c r="A248" s="265"/>
      <c r="B248" s="247"/>
      <c r="C248" s="252"/>
      <c r="D248" s="822"/>
      <c r="F248" s="250">
        <v>1800.0</v>
      </c>
      <c r="G248" s="2" t="s">
        <v>708</v>
      </c>
      <c r="I248" s="847"/>
    </row>
    <row r="249">
      <c r="A249" s="265"/>
      <c r="B249" s="247"/>
      <c r="C249" s="248"/>
      <c r="D249" s="822"/>
      <c r="F249" s="250">
        <v>200.0</v>
      </c>
      <c r="G249" s="2" t="s">
        <v>85</v>
      </c>
      <c r="I249" s="847"/>
    </row>
    <row r="250">
      <c r="A250" s="265"/>
      <c r="B250" s="268"/>
      <c r="C250" s="252"/>
      <c r="D250" s="822"/>
      <c r="F250" s="250">
        <v>400.0</v>
      </c>
      <c r="G250" s="2" t="s">
        <v>3333</v>
      </c>
      <c r="I250" s="847"/>
    </row>
    <row r="251">
      <c r="A251" s="265"/>
      <c r="B251" s="268"/>
      <c r="C251" s="252"/>
      <c r="D251" s="822"/>
      <c r="F251" s="250"/>
      <c r="I251" s="847"/>
    </row>
    <row r="252">
      <c r="A252" s="265"/>
      <c r="B252" s="268"/>
      <c r="C252" s="248"/>
      <c r="D252" s="822"/>
      <c r="F252" s="250"/>
      <c r="I252" s="847"/>
    </row>
    <row r="253">
      <c r="A253" s="265"/>
      <c r="B253" s="268"/>
      <c r="C253" s="252"/>
      <c r="D253" s="822"/>
      <c r="F253" s="250"/>
      <c r="I253" s="847"/>
    </row>
    <row r="254">
      <c r="A254" s="265"/>
      <c r="B254" s="268"/>
      <c r="C254" s="252"/>
      <c r="D254" s="822"/>
      <c r="F254" s="250"/>
      <c r="I254" s="847"/>
    </row>
    <row r="255">
      <c r="A255" s="265"/>
      <c r="B255" s="268"/>
      <c r="C255" s="252"/>
      <c r="D255" s="822"/>
      <c r="F255" s="250"/>
      <c r="I255" s="847"/>
    </row>
    <row r="256">
      <c r="A256" s="265"/>
      <c r="B256" s="268"/>
      <c r="C256" s="252"/>
      <c r="D256" s="822"/>
      <c r="F256" s="250"/>
      <c r="I256" s="847"/>
    </row>
    <row r="257">
      <c r="A257" s="265"/>
      <c r="B257" s="268"/>
      <c r="C257" s="252"/>
      <c r="D257" s="822"/>
      <c r="F257" s="250"/>
      <c r="I257" s="847"/>
    </row>
    <row r="258">
      <c r="A258" s="270"/>
      <c r="B258" s="271"/>
      <c r="C258" s="272"/>
      <c r="D258" s="823"/>
      <c r="E258" s="18"/>
      <c r="F258" s="274"/>
      <c r="G258" s="18"/>
      <c r="H258" s="18"/>
      <c r="I258" s="663"/>
    </row>
    <row r="259">
      <c r="A259" s="262" t="s">
        <v>2555</v>
      </c>
      <c r="B259" s="306"/>
      <c r="C259" s="263"/>
      <c r="D259" s="821"/>
      <c r="E259" s="242"/>
      <c r="F259" s="243"/>
      <c r="G259" s="244"/>
      <c r="H259" s="244"/>
      <c r="I259" s="662"/>
    </row>
    <row r="260">
      <c r="A260" s="265"/>
      <c r="B260" s="268"/>
      <c r="C260" s="252"/>
      <c r="D260" s="822"/>
      <c r="F260" s="250"/>
      <c r="I260" s="847"/>
    </row>
    <row r="261">
      <c r="A261" s="265"/>
      <c r="B261" s="268"/>
      <c r="C261" s="252"/>
      <c r="D261" s="331"/>
      <c r="F261" s="250"/>
      <c r="I261" s="847"/>
    </row>
    <row r="262">
      <c r="A262" s="265"/>
      <c r="B262" s="268"/>
      <c r="C262" s="252"/>
      <c r="D262" s="822"/>
      <c r="F262" s="250"/>
      <c r="I262" s="847"/>
    </row>
    <row r="263">
      <c r="A263" s="265"/>
      <c r="B263" s="268"/>
      <c r="C263" s="252"/>
      <c r="D263" s="822"/>
      <c r="F263" s="250"/>
      <c r="I263" s="847"/>
    </row>
    <row r="264">
      <c r="A264" s="265"/>
      <c r="B264" s="268"/>
      <c r="C264" s="252"/>
      <c r="D264" s="822"/>
      <c r="F264" s="250"/>
      <c r="I264" s="847"/>
    </row>
    <row r="265">
      <c r="A265" s="265"/>
      <c r="B265" s="268"/>
      <c r="C265" s="252"/>
      <c r="D265" s="822"/>
      <c r="F265" s="250"/>
      <c r="I265" s="847"/>
    </row>
    <row r="266">
      <c r="A266" s="265"/>
      <c r="B266" s="268"/>
      <c r="C266" s="252"/>
      <c r="D266" s="822"/>
      <c r="F266" s="250"/>
      <c r="I266" s="847"/>
    </row>
    <row r="267">
      <c r="A267" s="265"/>
      <c r="B267" s="268"/>
      <c r="C267" s="252"/>
      <c r="D267" s="822"/>
      <c r="F267" s="250"/>
      <c r="I267" s="847"/>
    </row>
    <row r="268">
      <c r="A268" s="265"/>
      <c r="B268" s="268"/>
      <c r="C268" s="252"/>
      <c r="D268" s="822"/>
      <c r="F268" s="250"/>
      <c r="I268" s="847"/>
    </row>
    <row r="269">
      <c r="A269" s="265"/>
      <c r="B269" s="268"/>
      <c r="C269" s="252"/>
      <c r="D269" s="822"/>
      <c r="F269" s="250"/>
      <c r="I269" s="847"/>
    </row>
    <row r="270">
      <c r="A270" s="265"/>
      <c r="B270" s="268"/>
      <c r="C270" s="252"/>
      <c r="D270" s="822"/>
      <c r="F270" s="250"/>
      <c r="I270" s="847"/>
    </row>
    <row r="271">
      <c r="A271" s="270"/>
      <c r="B271" s="271"/>
      <c r="C271" s="272"/>
      <c r="D271" s="823"/>
      <c r="E271" s="18"/>
      <c r="F271" s="274"/>
      <c r="G271" s="18"/>
      <c r="H271" s="18"/>
      <c r="I271" s="663"/>
    </row>
    <row r="272">
      <c r="A272" s="262" t="s">
        <v>2557</v>
      </c>
      <c r="B272" s="306"/>
      <c r="C272" s="263"/>
      <c r="D272" s="824"/>
      <c r="E272" s="242"/>
      <c r="F272" s="243">
        <v>1716.52</v>
      </c>
      <c r="G272" s="244" t="s">
        <v>103</v>
      </c>
      <c r="H272" s="244"/>
      <c r="I272" s="662"/>
    </row>
    <row r="273">
      <c r="A273" s="265"/>
      <c r="B273" s="268"/>
      <c r="C273" s="252"/>
      <c r="D273" s="822"/>
      <c r="F273" s="250">
        <v>7950.0</v>
      </c>
      <c r="G273" s="2" t="s">
        <v>1750</v>
      </c>
      <c r="I273" s="847"/>
    </row>
    <row r="274">
      <c r="A274" s="265"/>
      <c r="B274" s="268"/>
      <c r="C274" s="252"/>
      <c r="D274" s="822"/>
      <c r="F274" s="250">
        <v>1500.0</v>
      </c>
      <c r="G274" s="2" t="s">
        <v>1553</v>
      </c>
      <c r="I274" s="847"/>
    </row>
    <row r="275">
      <c r="A275" s="265"/>
      <c r="B275" s="268"/>
      <c r="C275" s="248"/>
      <c r="D275" s="822"/>
      <c r="F275" s="250">
        <v>850.0</v>
      </c>
      <c r="G275" s="2" t="s">
        <v>228</v>
      </c>
      <c r="I275" s="847"/>
    </row>
    <row r="276">
      <c r="A276" s="265"/>
      <c r="B276" s="247">
        <v>200.0</v>
      </c>
      <c r="C276" s="252"/>
      <c r="D276" s="822"/>
      <c r="F276" s="250"/>
      <c r="G276" s="2" t="s">
        <v>552</v>
      </c>
      <c r="I276" s="847"/>
    </row>
    <row r="277">
      <c r="A277" s="265"/>
      <c r="B277" s="268"/>
      <c r="C277" s="248"/>
      <c r="D277" s="331"/>
      <c r="F277" s="250">
        <v>400.0</v>
      </c>
      <c r="G277" s="2" t="s">
        <v>3338</v>
      </c>
      <c r="I277" s="847"/>
    </row>
    <row r="278">
      <c r="A278" s="265"/>
      <c r="B278" s="268"/>
      <c r="C278" s="252"/>
      <c r="D278" s="331"/>
      <c r="F278" s="250">
        <v>300.0</v>
      </c>
      <c r="G278" s="2" t="s">
        <v>2900</v>
      </c>
      <c r="I278" s="847"/>
    </row>
    <row r="279">
      <c r="A279" s="265"/>
      <c r="B279" s="268"/>
      <c r="C279" s="252"/>
      <c r="D279" s="822"/>
      <c r="F279" s="250"/>
      <c r="I279" s="847"/>
    </row>
    <row r="280">
      <c r="A280" s="265"/>
      <c r="B280" s="268"/>
      <c r="C280" s="252"/>
      <c r="D280" s="331"/>
      <c r="F280" s="250"/>
      <c r="I280" s="847"/>
    </row>
    <row r="281">
      <c r="A281" s="265"/>
      <c r="B281" s="268"/>
      <c r="C281" s="252"/>
      <c r="D281" s="331"/>
      <c r="F281" s="250"/>
      <c r="I281" s="847"/>
    </row>
    <row r="282">
      <c r="A282" s="265"/>
      <c r="B282" s="268"/>
      <c r="C282" s="252"/>
      <c r="D282" s="822"/>
      <c r="F282" s="250"/>
      <c r="I282" s="847"/>
    </row>
    <row r="283">
      <c r="A283" s="265"/>
      <c r="B283" s="268"/>
      <c r="C283" s="252"/>
      <c r="D283" s="822"/>
      <c r="F283" s="250"/>
      <c r="I283" s="847"/>
    </row>
    <row r="284">
      <c r="A284" s="265"/>
      <c r="B284" s="268"/>
      <c r="C284" s="252"/>
      <c r="D284" s="822"/>
      <c r="F284" s="250"/>
      <c r="I284" s="847"/>
    </row>
    <row r="285">
      <c r="A285" s="270"/>
      <c r="B285" s="271"/>
      <c r="C285" s="272"/>
      <c r="D285" s="823"/>
      <c r="E285" s="18"/>
      <c r="F285" s="274"/>
      <c r="G285" s="18"/>
      <c r="H285" s="18"/>
      <c r="I285" s="663"/>
    </row>
    <row r="286">
      <c r="A286" s="262" t="s">
        <v>2562</v>
      </c>
      <c r="B286" s="306"/>
      <c r="C286" s="240"/>
      <c r="D286" s="824"/>
      <c r="E286" s="242"/>
      <c r="F286" s="243">
        <v>4378.0</v>
      </c>
      <c r="G286" s="244" t="s">
        <v>82</v>
      </c>
      <c r="H286" s="244"/>
      <c r="I286" s="662"/>
    </row>
    <row r="287">
      <c r="A287" s="265"/>
      <c r="B287" s="268"/>
      <c r="C287" s="248"/>
      <c r="D287" s="822"/>
      <c r="F287" s="250">
        <v>3690.0</v>
      </c>
      <c r="G287" s="2" t="s">
        <v>1750</v>
      </c>
      <c r="I287" s="847"/>
    </row>
    <row r="288">
      <c r="A288" s="265"/>
      <c r="B288" s="268"/>
      <c r="C288" s="248"/>
      <c r="D288" s="822"/>
      <c r="F288" s="250">
        <v>8221.0</v>
      </c>
      <c r="G288" s="2" t="s">
        <v>74</v>
      </c>
      <c r="I288" s="847"/>
    </row>
    <row r="289">
      <c r="A289" s="265"/>
      <c r="B289" s="268"/>
      <c r="C289" s="248">
        <v>25675.0</v>
      </c>
      <c r="D289" s="822"/>
      <c r="F289" s="250"/>
      <c r="G289" s="2" t="s">
        <v>1189</v>
      </c>
      <c r="I289" s="847"/>
    </row>
    <row r="290">
      <c r="A290" s="265"/>
      <c r="B290" s="268"/>
      <c r="C290" s="252"/>
      <c r="D290" s="822"/>
      <c r="F290" s="250">
        <v>5500.0</v>
      </c>
      <c r="G290" s="2" t="s">
        <v>3003</v>
      </c>
      <c r="I290" s="847"/>
    </row>
    <row r="291">
      <c r="A291" s="265"/>
      <c r="B291" s="268"/>
      <c r="C291" s="252"/>
      <c r="D291" s="822"/>
      <c r="F291" s="250">
        <v>2500.0</v>
      </c>
      <c r="G291" s="2" t="s">
        <v>139</v>
      </c>
      <c r="I291" s="847"/>
    </row>
    <row r="292">
      <c r="A292" s="265"/>
      <c r="B292" s="268"/>
      <c r="C292" s="248"/>
      <c r="D292" s="822"/>
      <c r="F292" s="243">
        <v>4000.0</v>
      </c>
      <c r="G292" s="244" t="s">
        <v>295</v>
      </c>
      <c r="H292" s="244"/>
      <c r="I292" s="847"/>
    </row>
    <row r="293">
      <c r="A293" s="265"/>
      <c r="B293" s="268"/>
      <c r="C293" s="252"/>
      <c r="D293" s="822"/>
      <c r="F293" s="250">
        <v>5400.0</v>
      </c>
      <c r="G293" s="2" t="s">
        <v>87</v>
      </c>
      <c r="I293" s="847"/>
    </row>
    <row r="294">
      <c r="A294" s="265"/>
      <c r="B294" s="247">
        <v>14000.0</v>
      </c>
      <c r="C294" s="252"/>
      <c r="D294" s="822"/>
      <c r="F294" s="250"/>
      <c r="G294" s="2" t="s">
        <v>167</v>
      </c>
      <c r="I294" s="847"/>
    </row>
    <row r="295">
      <c r="A295" s="265"/>
      <c r="B295" s="268"/>
      <c r="C295" s="252"/>
      <c r="D295" s="822"/>
      <c r="F295" s="250">
        <v>3600.0</v>
      </c>
      <c r="G295" s="2" t="s">
        <v>3405</v>
      </c>
      <c r="I295" s="847"/>
    </row>
    <row r="296">
      <c r="A296" s="265"/>
      <c r="B296" s="268"/>
      <c r="C296" s="252"/>
      <c r="D296" s="822"/>
      <c r="F296" s="250">
        <v>400.0</v>
      </c>
      <c r="G296" s="2" t="s">
        <v>3333</v>
      </c>
      <c r="I296" s="847"/>
    </row>
    <row r="297">
      <c r="A297" s="265"/>
      <c r="B297" s="268"/>
      <c r="C297" s="252"/>
      <c r="D297" s="822"/>
      <c r="F297" s="250"/>
      <c r="I297" s="847"/>
    </row>
    <row r="298">
      <c r="A298" s="265"/>
      <c r="B298" s="268"/>
      <c r="C298" s="252"/>
      <c r="D298" s="822"/>
      <c r="F298" s="250"/>
      <c r="I298" s="847"/>
    </row>
    <row r="299">
      <c r="A299" s="265"/>
      <c r="B299" s="268"/>
      <c r="C299" s="252"/>
      <c r="D299" s="822"/>
      <c r="F299" s="250"/>
      <c r="I299" s="847"/>
    </row>
    <row r="300">
      <c r="A300" s="270"/>
      <c r="B300" s="271"/>
      <c r="C300" s="272"/>
      <c r="D300" s="823"/>
      <c r="E300" s="18"/>
      <c r="F300" s="274"/>
      <c r="G300" s="18"/>
      <c r="H300" s="18"/>
      <c r="I300" s="663"/>
    </row>
    <row r="301">
      <c r="A301" s="262" t="s">
        <v>2564</v>
      </c>
      <c r="B301" s="306"/>
      <c r="C301" s="240"/>
      <c r="D301" s="821">
        <v>14500.0</v>
      </c>
      <c r="E301" s="242"/>
      <c r="F301" s="250"/>
      <c r="G301" s="2" t="s">
        <v>3406</v>
      </c>
      <c r="I301" s="662"/>
    </row>
    <row r="302">
      <c r="A302" s="265"/>
      <c r="B302" s="268"/>
      <c r="C302" s="252"/>
      <c r="D302" s="822"/>
      <c r="F302" s="250">
        <v>5870.0</v>
      </c>
      <c r="G302" s="2" t="s">
        <v>3212</v>
      </c>
      <c r="I302" s="847"/>
    </row>
    <row r="303">
      <c r="A303" s="265"/>
      <c r="B303" s="268"/>
      <c r="C303" s="252"/>
      <c r="D303" s="822"/>
      <c r="F303" s="250">
        <v>4360.0</v>
      </c>
      <c r="G303" s="2" t="s">
        <v>76</v>
      </c>
      <c r="I303" s="847"/>
    </row>
    <row r="304">
      <c r="A304" s="265"/>
      <c r="B304" s="268"/>
      <c r="C304" s="252"/>
      <c r="D304" s="822"/>
      <c r="F304" s="250">
        <v>12600.0</v>
      </c>
      <c r="G304" s="2" t="s">
        <v>3407</v>
      </c>
      <c r="I304" s="847"/>
    </row>
    <row r="305">
      <c r="A305" s="265"/>
      <c r="B305" s="247"/>
      <c r="C305" s="252"/>
      <c r="D305" s="822"/>
      <c r="F305" s="250">
        <v>2200.0</v>
      </c>
      <c r="G305" s="2" t="s">
        <v>3408</v>
      </c>
      <c r="I305" s="847"/>
    </row>
    <row r="306">
      <c r="A306" s="265"/>
      <c r="B306" s="247">
        <v>870.0</v>
      </c>
      <c r="C306" s="252"/>
      <c r="D306" s="822"/>
      <c r="F306" s="250"/>
      <c r="G306" s="2" t="s">
        <v>866</v>
      </c>
      <c r="I306" s="847"/>
    </row>
    <row r="307">
      <c r="A307" s="265"/>
      <c r="B307" s="268"/>
      <c r="C307" s="252"/>
      <c r="D307" s="331"/>
      <c r="F307" s="250"/>
      <c r="I307" s="847"/>
    </row>
    <row r="308">
      <c r="A308" s="265"/>
      <c r="B308" s="268"/>
      <c r="C308" s="252"/>
      <c r="D308" s="822"/>
      <c r="F308" s="250"/>
      <c r="I308" s="847"/>
    </row>
    <row r="309">
      <c r="A309" s="265"/>
      <c r="B309" s="268"/>
      <c r="C309" s="252"/>
      <c r="D309" s="822"/>
      <c r="F309" s="250"/>
      <c r="I309" s="847"/>
    </row>
    <row r="310">
      <c r="A310" s="265"/>
      <c r="B310" s="268"/>
      <c r="C310" s="252"/>
      <c r="D310" s="822"/>
      <c r="F310" s="250"/>
      <c r="I310" s="847"/>
    </row>
    <row r="311">
      <c r="A311" s="270"/>
      <c r="B311" s="271"/>
      <c r="C311" s="272"/>
      <c r="D311" s="823"/>
      <c r="E311" s="18"/>
      <c r="F311" s="274"/>
      <c r="G311" s="18"/>
      <c r="H311" s="18"/>
      <c r="I311" s="663"/>
    </row>
    <row r="312">
      <c r="A312" s="262" t="s">
        <v>2565</v>
      </c>
      <c r="B312" s="306"/>
      <c r="C312" s="240"/>
      <c r="D312" s="824"/>
      <c r="E312" s="242"/>
      <c r="F312" s="243">
        <v>1790.0</v>
      </c>
      <c r="G312" s="244" t="s">
        <v>103</v>
      </c>
      <c r="H312" s="244"/>
      <c r="I312" s="662"/>
    </row>
    <row r="313">
      <c r="A313" s="265"/>
      <c r="B313" s="268"/>
      <c r="C313" s="248">
        <v>25843.0</v>
      </c>
      <c r="D313" s="822"/>
      <c r="F313" s="250"/>
      <c r="G313" s="2" t="s">
        <v>84</v>
      </c>
      <c r="I313" s="847"/>
    </row>
    <row r="314">
      <c r="A314" s="265"/>
      <c r="B314" s="268"/>
      <c r="C314" s="248"/>
      <c r="D314" s="822"/>
      <c r="F314" s="250">
        <v>4635.0</v>
      </c>
      <c r="G314" s="2" t="s">
        <v>91</v>
      </c>
      <c r="I314" s="847"/>
    </row>
    <row r="315">
      <c r="A315" s="265"/>
      <c r="B315" s="268"/>
      <c r="C315" s="252"/>
      <c r="D315" s="822"/>
      <c r="F315" s="250">
        <v>3600.0</v>
      </c>
      <c r="G315" s="2" t="s">
        <v>87</v>
      </c>
      <c r="I315" s="847"/>
    </row>
    <row r="316">
      <c r="A316" s="265"/>
      <c r="B316" s="268"/>
      <c r="C316" s="252"/>
      <c r="D316" s="331">
        <v>13458.68</v>
      </c>
      <c r="F316" s="250"/>
      <c r="G316" s="2" t="s">
        <v>100</v>
      </c>
      <c r="I316" s="847"/>
    </row>
    <row r="317">
      <c r="A317" s="265"/>
      <c r="B317" s="247">
        <v>1025.0</v>
      </c>
      <c r="C317" s="252"/>
      <c r="D317" s="822"/>
      <c r="F317" s="250"/>
      <c r="G317" s="2" t="s">
        <v>228</v>
      </c>
      <c r="I317" s="847"/>
    </row>
    <row r="318">
      <c r="A318" s="265"/>
      <c r="B318" s="247"/>
      <c r="C318" s="252"/>
      <c r="D318" s="822"/>
      <c r="F318" s="250">
        <v>6800.0</v>
      </c>
      <c r="G318" s="2" t="s">
        <v>3409</v>
      </c>
      <c r="I318" s="847"/>
    </row>
    <row r="319">
      <c r="A319" s="265"/>
      <c r="B319" s="268"/>
      <c r="C319" s="252"/>
      <c r="D319" s="822"/>
      <c r="F319" s="250"/>
      <c r="I319" s="847"/>
    </row>
    <row r="320">
      <c r="A320" s="265"/>
      <c r="B320" s="268"/>
      <c r="C320" s="252"/>
      <c r="D320" s="822"/>
      <c r="F320" s="250"/>
      <c r="I320" s="847"/>
    </row>
    <row r="321">
      <c r="A321" s="265"/>
      <c r="B321" s="268"/>
      <c r="C321" s="252"/>
      <c r="D321" s="822"/>
      <c r="F321" s="250"/>
      <c r="I321" s="847"/>
    </row>
    <row r="322">
      <c r="A322" s="270"/>
      <c r="B322" s="271"/>
      <c r="C322" s="272"/>
      <c r="D322" s="823"/>
      <c r="E322" s="18"/>
      <c r="F322" s="274"/>
      <c r="G322" s="18"/>
      <c r="H322" s="18"/>
      <c r="I322" s="663"/>
    </row>
    <row r="323">
      <c r="A323" s="262" t="s">
        <v>2569</v>
      </c>
      <c r="B323" s="306"/>
      <c r="C323" s="240"/>
      <c r="D323" s="824"/>
      <c r="E323" s="242"/>
      <c r="F323" s="243">
        <v>4136.0</v>
      </c>
      <c r="G323" s="244" t="s">
        <v>82</v>
      </c>
      <c r="H323" s="244"/>
      <c r="I323" s="662"/>
    </row>
    <row r="324">
      <c r="A324" s="265"/>
      <c r="B324" s="268"/>
      <c r="C324" s="252"/>
      <c r="D324" s="822"/>
      <c r="F324" s="250">
        <v>6938.0</v>
      </c>
      <c r="G324" s="2" t="s">
        <v>3130</v>
      </c>
      <c r="I324" s="847"/>
    </row>
    <row r="325">
      <c r="A325" s="265"/>
      <c r="B325" s="268"/>
      <c r="C325" s="252"/>
      <c r="D325" s="822"/>
      <c r="F325" s="250">
        <v>5070.0</v>
      </c>
      <c r="G325" s="2" t="s">
        <v>1750</v>
      </c>
      <c r="I325" s="847"/>
    </row>
    <row r="326">
      <c r="A326" s="265"/>
      <c r="B326" s="268"/>
      <c r="C326" s="252"/>
      <c r="D326" s="822"/>
      <c r="F326" s="250">
        <v>3700.0</v>
      </c>
      <c r="G326" s="2" t="s">
        <v>87</v>
      </c>
      <c r="I326" s="847"/>
    </row>
    <row r="327">
      <c r="A327" s="265"/>
      <c r="B327" s="268"/>
      <c r="C327" s="252"/>
      <c r="D327" s="822"/>
      <c r="F327" s="250">
        <v>130.0</v>
      </c>
      <c r="G327" s="2" t="s">
        <v>3410</v>
      </c>
      <c r="I327" s="847"/>
    </row>
    <row r="328">
      <c r="A328" s="265"/>
      <c r="B328" s="268"/>
      <c r="C328" s="252"/>
      <c r="D328" s="822"/>
      <c r="F328" s="250">
        <v>400.0</v>
      </c>
      <c r="G328" s="2" t="s">
        <v>3338</v>
      </c>
      <c r="I328" s="847"/>
    </row>
    <row r="329">
      <c r="A329" s="265"/>
      <c r="B329" s="268"/>
      <c r="C329" s="252"/>
      <c r="D329" s="822"/>
      <c r="F329" s="250">
        <v>6800.0</v>
      </c>
      <c r="G329" s="2" t="s">
        <v>3411</v>
      </c>
      <c r="H329" s="318"/>
      <c r="I329" s="847"/>
    </row>
    <row r="330">
      <c r="A330" s="265"/>
      <c r="B330" s="268"/>
      <c r="C330" s="252"/>
      <c r="D330" s="331">
        <v>22766.96</v>
      </c>
      <c r="F330" s="250"/>
      <c r="G330" s="2" t="s">
        <v>3412</v>
      </c>
      <c r="I330" s="847"/>
    </row>
    <row r="331">
      <c r="A331" s="265"/>
      <c r="B331" s="268"/>
      <c r="C331" s="252"/>
      <c r="D331" s="822"/>
      <c r="F331" s="250"/>
      <c r="I331" s="847"/>
    </row>
    <row r="332">
      <c r="A332" s="265"/>
      <c r="B332" s="268"/>
      <c r="C332" s="252"/>
      <c r="D332" s="822"/>
      <c r="F332" s="250"/>
      <c r="I332" s="847"/>
    </row>
    <row r="333">
      <c r="A333" s="265"/>
      <c r="B333" s="268"/>
      <c r="C333" s="252"/>
      <c r="D333" s="822"/>
      <c r="F333" s="250"/>
      <c r="I333" s="847"/>
    </row>
    <row r="334">
      <c r="A334" s="265"/>
      <c r="B334" s="268"/>
      <c r="C334" s="252"/>
      <c r="D334" s="822"/>
      <c r="F334" s="250"/>
      <c r="I334" s="847"/>
    </row>
    <row r="335">
      <c r="A335" s="265"/>
      <c r="B335" s="268"/>
      <c r="C335" s="252"/>
      <c r="D335" s="822"/>
      <c r="F335" s="250"/>
      <c r="I335" s="847"/>
    </row>
    <row r="336">
      <c r="A336" s="265"/>
      <c r="B336" s="268"/>
      <c r="C336" s="252"/>
      <c r="D336" s="822"/>
      <c r="F336" s="250"/>
      <c r="I336" s="847"/>
    </row>
    <row r="337">
      <c r="A337" s="265"/>
      <c r="B337" s="268"/>
      <c r="C337" s="252"/>
      <c r="D337" s="822"/>
      <c r="F337" s="250"/>
      <c r="I337" s="847"/>
    </row>
    <row r="338">
      <c r="A338" s="265"/>
      <c r="B338" s="268"/>
      <c r="C338" s="252"/>
      <c r="D338" s="822"/>
      <c r="F338" s="250"/>
      <c r="I338" s="847"/>
    </row>
    <row r="339">
      <c r="A339" s="265"/>
      <c r="B339" s="268"/>
      <c r="C339" s="252"/>
      <c r="D339" s="822"/>
      <c r="F339" s="250"/>
      <c r="I339" s="847"/>
    </row>
    <row r="340">
      <c r="A340" s="270"/>
      <c r="B340" s="271"/>
      <c r="C340" s="272"/>
      <c r="D340" s="823"/>
      <c r="E340" s="18"/>
      <c r="F340" s="274"/>
      <c r="G340" s="18"/>
      <c r="H340" s="18"/>
      <c r="I340" s="663"/>
    </row>
    <row r="341">
      <c r="A341" s="262"/>
      <c r="B341" s="306"/>
      <c r="C341" s="240"/>
      <c r="D341" s="824"/>
      <c r="E341" s="242"/>
      <c r="I341" s="662"/>
    </row>
    <row r="342">
      <c r="A342" s="265"/>
      <c r="B342" s="268"/>
      <c r="C342" s="248"/>
      <c r="D342" s="822"/>
      <c r="I342" s="847"/>
    </row>
    <row r="343">
      <c r="A343" s="265"/>
      <c r="B343" s="268"/>
      <c r="C343" s="248"/>
      <c r="D343" s="822"/>
      <c r="I343" s="847"/>
    </row>
    <row r="344">
      <c r="A344" s="265"/>
      <c r="B344" s="268"/>
      <c r="C344" s="252"/>
      <c r="D344" s="822"/>
      <c r="F344" s="250"/>
      <c r="I344" s="847"/>
    </row>
    <row r="345">
      <c r="A345" s="265"/>
      <c r="B345" s="268"/>
      <c r="C345" s="252"/>
      <c r="D345" s="822"/>
      <c r="F345" s="250"/>
      <c r="I345" s="847"/>
    </row>
    <row r="346">
      <c r="A346" s="265"/>
      <c r="B346" s="268"/>
      <c r="C346" s="252"/>
      <c r="D346" s="822"/>
      <c r="F346" s="250"/>
      <c r="I346" s="847"/>
    </row>
    <row r="347">
      <c r="A347" s="265"/>
      <c r="B347" s="268"/>
      <c r="C347" s="252"/>
      <c r="D347" s="822"/>
      <c r="F347" s="250"/>
      <c r="I347" s="847"/>
    </row>
    <row r="348">
      <c r="A348" s="265"/>
      <c r="B348" s="268"/>
      <c r="C348" s="252"/>
      <c r="D348" s="822"/>
      <c r="F348" s="250"/>
      <c r="I348" s="847"/>
    </row>
    <row r="349">
      <c r="A349" s="265"/>
      <c r="B349" s="268"/>
      <c r="C349" s="252"/>
      <c r="D349" s="822"/>
      <c r="F349" s="250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70"/>
      <c r="B351" s="271"/>
      <c r="C351" s="272"/>
      <c r="D351" s="823"/>
      <c r="E351" s="18"/>
      <c r="F351" s="274"/>
      <c r="G351" s="18"/>
      <c r="H351" s="18"/>
      <c r="I351" s="663"/>
    </row>
    <row r="352">
      <c r="A352" s="262"/>
      <c r="B352" s="306"/>
      <c r="C352" s="240"/>
      <c r="D352" s="824"/>
      <c r="E352" s="242"/>
      <c r="F352" s="243"/>
      <c r="G352" s="244"/>
      <c r="H352" s="244"/>
      <c r="I352" s="662"/>
    </row>
    <row r="353">
      <c r="A353" s="265"/>
      <c r="B353" s="268"/>
      <c r="C353" s="248"/>
      <c r="D353" s="331"/>
      <c r="F353" s="250"/>
      <c r="I353" s="847"/>
    </row>
    <row r="354">
      <c r="A354" s="265"/>
      <c r="B354" s="268"/>
      <c r="C354" s="252"/>
      <c r="D354" s="331"/>
      <c r="F354" s="250"/>
      <c r="I354" s="847"/>
    </row>
    <row r="355">
      <c r="A355" s="265"/>
      <c r="B355" s="268"/>
      <c r="C355" s="252"/>
      <c r="D355" s="822"/>
      <c r="F355" s="250"/>
      <c r="I355" s="847"/>
    </row>
    <row r="356">
      <c r="A356" s="265"/>
      <c r="B356" s="268"/>
      <c r="C356" s="248"/>
      <c r="D356" s="331"/>
      <c r="F356" s="250"/>
      <c r="I356" s="847"/>
    </row>
    <row r="357">
      <c r="A357" s="265"/>
      <c r="B357" s="268"/>
      <c r="C357" s="252"/>
      <c r="D357" s="331"/>
      <c r="F357" s="250"/>
      <c r="I357" s="847"/>
    </row>
    <row r="358">
      <c r="A358" s="265"/>
      <c r="B358" s="268"/>
      <c r="C358" s="252"/>
      <c r="D358" s="822"/>
      <c r="F358" s="250"/>
      <c r="I358" s="847"/>
    </row>
    <row r="359">
      <c r="A359" s="265"/>
      <c r="B359" s="268"/>
      <c r="C359" s="252"/>
      <c r="D359" s="331"/>
      <c r="F359" s="250"/>
      <c r="I359" s="847"/>
    </row>
    <row r="360">
      <c r="A360" s="265"/>
      <c r="B360" s="268"/>
      <c r="C360" s="252"/>
      <c r="D360" s="822"/>
      <c r="F360" s="250"/>
      <c r="I360" s="847"/>
    </row>
    <row r="361">
      <c r="A361" s="265"/>
      <c r="B361" s="268"/>
      <c r="C361" s="252"/>
      <c r="D361" s="822"/>
      <c r="F361" s="250"/>
      <c r="I361" s="847"/>
    </row>
    <row r="362">
      <c r="A362" s="265"/>
      <c r="B362" s="268"/>
      <c r="C362" s="252"/>
      <c r="D362" s="331"/>
      <c r="F362" s="250"/>
      <c r="I362" s="847"/>
    </row>
    <row r="363">
      <c r="A363" s="265"/>
      <c r="B363" s="268"/>
      <c r="C363" s="252"/>
      <c r="D363" s="822"/>
      <c r="F363" s="250"/>
      <c r="I363" s="847"/>
    </row>
    <row r="364">
      <c r="A364" s="270"/>
      <c r="B364" s="271"/>
      <c r="C364" s="272"/>
      <c r="D364" s="823"/>
      <c r="E364" s="18"/>
      <c r="F364" s="274"/>
      <c r="G364" s="18"/>
      <c r="H364" s="18"/>
      <c r="I364" s="663"/>
    </row>
    <row r="365">
      <c r="A365" s="262"/>
      <c r="B365" s="306"/>
      <c r="C365" s="263"/>
      <c r="D365" s="824"/>
      <c r="E365" s="242"/>
      <c r="F365" s="243"/>
      <c r="G365" s="244"/>
      <c r="H365" s="244"/>
      <c r="I365" s="662"/>
    </row>
    <row r="366">
      <c r="A366" s="265"/>
      <c r="B366" s="268"/>
      <c r="C366" s="248"/>
      <c r="D366" s="331"/>
      <c r="F366" s="250"/>
      <c r="I366" s="847"/>
    </row>
    <row r="367">
      <c r="A367" s="265"/>
      <c r="B367" s="268"/>
      <c r="C367" s="252"/>
      <c r="D367" s="822"/>
      <c r="F367" s="250"/>
      <c r="I367" s="847"/>
    </row>
    <row r="368">
      <c r="A368" s="265"/>
      <c r="B368" s="268"/>
      <c r="C368" s="252"/>
      <c r="D368" s="822"/>
      <c r="F368" s="250"/>
      <c r="I368" s="847"/>
    </row>
    <row r="369">
      <c r="A369" s="265"/>
      <c r="B369" s="268"/>
      <c r="C369" s="252"/>
      <c r="D369" s="331"/>
      <c r="F369" s="250"/>
      <c r="I369" s="847"/>
    </row>
    <row r="370">
      <c r="A370" s="265"/>
      <c r="B370" s="268"/>
      <c r="C370" s="252"/>
      <c r="D370" s="822"/>
      <c r="F370" s="250"/>
      <c r="I370" s="847"/>
    </row>
    <row r="371">
      <c r="A371" s="265"/>
      <c r="B371" s="268"/>
      <c r="C371" s="252"/>
      <c r="D371" s="822"/>
      <c r="F371" s="250"/>
      <c r="I371" s="847"/>
    </row>
    <row r="372">
      <c r="A372" s="265"/>
      <c r="B372" s="268"/>
      <c r="C372" s="252"/>
      <c r="D372" s="822"/>
      <c r="F372" s="250"/>
      <c r="I372" s="847"/>
    </row>
    <row r="373">
      <c r="A373" s="265"/>
      <c r="B373" s="268"/>
      <c r="C373" s="252"/>
      <c r="D373" s="822"/>
      <c r="F373" s="250"/>
      <c r="I373" s="847"/>
    </row>
    <row r="374">
      <c r="A374" s="265"/>
      <c r="B374" s="278"/>
      <c r="C374" s="252"/>
      <c r="D374" s="822"/>
      <c r="F374" s="282"/>
      <c r="I374" s="847"/>
    </row>
    <row r="375">
      <c r="A375" s="265"/>
      <c r="B375" s="278"/>
      <c r="C375" s="252"/>
      <c r="D375" s="822"/>
      <c r="F375" s="282"/>
      <c r="I375" s="847"/>
    </row>
    <row r="376">
      <c r="A376" s="270"/>
      <c r="B376" s="271"/>
      <c r="C376" s="272"/>
      <c r="D376" s="823"/>
      <c r="E376" s="18"/>
      <c r="F376" s="274"/>
      <c r="G376" s="18"/>
      <c r="H376" s="18"/>
      <c r="I376" s="663"/>
    </row>
    <row r="377">
      <c r="A377" s="305"/>
      <c r="B377" s="306"/>
      <c r="C377" s="240"/>
      <c r="D377" s="824"/>
      <c r="E377" s="242"/>
      <c r="F377" s="243"/>
      <c r="G377" s="244"/>
      <c r="H377" s="244"/>
      <c r="I377" s="662"/>
    </row>
    <row r="378">
      <c r="A378" s="265"/>
      <c r="B378" s="268"/>
      <c r="C378" s="252"/>
      <c r="D378" s="331"/>
      <c r="F378" s="250"/>
      <c r="I378" s="847"/>
    </row>
    <row r="379">
      <c r="A379" s="265"/>
      <c r="B379" s="268"/>
      <c r="C379" s="252"/>
      <c r="D379" s="822"/>
      <c r="F379" s="250"/>
      <c r="I379" s="847"/>
    </row>
    <row r="380">
      <c r="A380" s="265"/>
      <c r="B380" s="268"/>
      <c r="C380" s="252"/>
      <c r="D380" s="331"/>
      <c r="F380" s="250"/>
      <c r="I380" s="847"/>
    </row>
    <row r="381">
      <c r="A381" s="265"/>
      <c r="B381" s="268"/>
      <c r="C381" s="252"/>
      <c r="D381" s="822"/>
      <c r="F381" s="250"/>
      <c r="I381" s="847"/>
    </row>
    <row r="382">
      <c r="A382" s="265"/>
      <c r="B382" s="268"/>
      <c r="C382" s="252"/>
      <c r="D382" s="331"/>
      <c r="F382" s="250"/>
      <c r="I382" s="847"/>
    </row>
    <row r="383">
      <c r="A383" s="265"/>
      <c r="B383" s="268"/>
      <c r="C383" s="252"/>
      <c r="D383" s="822"/>
      <c r="F383" s="250"/>
      <c r="I383" s="847"/>
    </row>
    <row r="384">
      <c r="A384" s="265"/>
      <c r="B384" s="268"/>
      <c r="C384" s="252"/>
      <c r="D384" s="822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822"/>
      <c r="F386" s="250"/>
      <c r="I386" s="847"/>
    </row>
    <row r="387">
      <c r="A387" s="265"/>
      <c r="B387" s="268"/>
      <c r="C387" s="252"/>
      <c r="D387" s="822"/>
      <c r="F387" s="250"/>
      <c r="I387" s="847"/>
    </row>
    <row r="388">
      <c r="A388" s="270"/>
      <c r="B388" s="271"/>
      <c r="C388" s="272"/>
      <c r="D388" s="823"/>
      <c r="E388" s="18"/>
      <c r="F388" s="274"/>
      <c r="G388" s="18"/>
      <c r="H388" s="18"/>
      <c r="I388" s="663"/>
    </row>
    <row r="389">
      <c r="A389" s="305"/>
      <c r="B389" s="306"/>
      <c r="C389" s="240"/>
      <c r="D389" s="824"/>
      <c r="E389" s="242"/>
      <c r="F389" s="243"/>
      <c r="G389" s="244"/>
      <c r="H389" s="244"/>
      <c r="I389" s="662"/>
    </row>
    <row r="390">
      <c r="A390" s="265"/>
      <c r="B390" s="268"/>
      <c r="C390" s="252"/>
      <c r="D390" s="822"/>
      <c r="F390" s="250"/>
      <c r="H390" s="252"/>
      <c r="I390" s="847"/>
    </row>
    <row r="391">
      <c r="A391" s="265"/>
      <c r="B391" s="268"/>
      <c r="C391" s="252"/>
      <c r="D391" s="822"/>
      <c r="F391" s="250"/>
      <c r="H391" s="252"/>
      <c r="I391" s="847"/>
    </row>
    <row r="392">
      <c r="A392" s="265"/>
      <c r="B392" s="268"/>
      <c r="C392" s="252"/>
      <c r="D392" s="822"/>
      <c r="F392" s="250"/>
      <c r="H392" s="252"/>
      <c r="I392" s="847"/>
    </row>
    <row r="393">
      <c r="A393" s="265"/>
      <c r="B393" s="268"/>
      <c r="C393" s="252"/>
      <c r="D393" s="822"/>
      <c r="F393" s="250"/>
      <c r="H393" s="252"/>
      <c r="I393" s="847"/>
    </row>
    <row r="394">
      <c r="A394" s="265"/>
      <c r="B394" s="268"/>
      <c r="C394" s="252"/>
      <c r="D394" s="822"/>
      <c r="F394" s="250"/>
      <c r="I394" s="847"/>
    </row>
    <row r="395">
      <c r="A395" s="265"/>
      <c r="B395" s="268"/>
      <c r="C395" s="252"/>
      <c r="D395" s="822"/>
      <c r="F395" s="250"/>
      <c r="I395" s="847"/>
    </row>
    <row r="396">
      <c r="A396" s="265"/>
      <c r="B396" s="268"/>
      <c r="C396" s="252"/>
      <c r="D396" s="822"/>
      <c r="F396" s="250"/>
      <c r="I396" s="847"/>
    </row>
    <row r="397">
      <c r="A397" s="265"/>
      <c r="B397" s="268"/>
      <c r="C397" s="252"/>
      <c r="D397" s="822"/>
      <c r="F397" s="250"/>
      <c r="I397" s="847"/>
    </row>
    <row r="398">
      <c r="A398" s="270"/>
      <c r="B398" s="271"/>
      <c r="C398" s="272"/>
      <c r="D398" s="823"/>
      <c r="E398" s="18"/>
      <c r="F398" s="274"/>
      <c r="G398" s="18"/>
      <c r="H398" s="18"/>
      <c r="I398" s="663"/>
    </row>
    <row r="399">
      <c r="A399" s="305"/>
      <c r="B399" s="306"/>
      <c r="C399" s="240"/>
      <c r="D399" s="824"/>
      <c r="E399" s="242"/>
      <c r="F399" s="243"/>
      <c r="G399" s="244"/>
      <c r="H399" s="244"/>
      <c r="I399" s="662"/>
    </row>
    <row r="400">
      <c r="A400" s="265"/>
      <c r="B400" s="268"/>
      <c r="C400" s="252"/>
      <c r="D400" s="822"/>
      <c r="F400" s="250"/>
      <c r="I400" s="847"/>
    </row>
    <row r="401">
      <c r="A401" s="265"/>
      <c r="B401" s="268"/>
      <c r="C401" s="252"/>
      <c r="D401" s="822"/>
      <c r="F401" s="250"/>
      <c r="I401" s="847"/>
    </row>
    <row r="402">
      <c r="A402" s="265"/>
      <c r="B402" s="268"/>
      <c r="C402" s="252"/>
      <c r="D402" s="822"/>
      <c r="F402" s="250"/>
      <c r="I402" s="847"/>
    </row>
    <row r="403">
      <c r="A403" s="265"/>
      <c r="B403" s="268"/>
      <c r="C403" s="252"/>
      <c r="D403" s="822"/>
      <c r="F403" s="250"/>
      <c r="I403" s="847"/>
    </row>
    <row r="404">
      <c r="A404" s="265"/>
      <c r="B404" s="268"/>
      <c r="C404" s="252"/>
      <c r="D404" s="822"/>
      <c r="F404" s="250"/>
      <c r="I404" s="847"/>
    </row>
    <row r="405">
      <c r="A405" s="265"/>
      <c r="B405" s="268"/>
      <c r="C405" s="252"/>
      <c r="D405" s="822"/>
      <c r="F405" s="250"/>
      <c r="I405" s="847"/>
    </row>
    <row r="406">
      <c r="A406" s="265"/>
      <c r="B406" s="268"/>
      <c r="C406" s="252"/>
      <c r="D406" s="822"/>
      <c r="F406" s="250"/>
      <c r="I406" s="847"/>
    </row>
    <row r="407">
      <c r="A407" s="265"/>
      <c r="B407" s="268"/>
      <c r="C407" s="252"/>
      <c r="D407" s="822"/>
      <c r="F407" s="250"/>
      <c r="I407" s="847"/>
    </row>
    <row r="408">
      <c r="A408" s="270"/>
      <c r="B408" s="271"/>
      <c r="C408" s="272"/>
      <c r="D408" s="823"/>
      <c r="E408" s="18"/>
      <c r="F408" s="274"/>
      <c r="G408" s="18"/>
      <c r="H408" s="18"/>
      <c r="I408" s="663"/>
    </row>
    <row r="409">
      <c r="B409" s="306"/>
      <c r="C409" s="240"/>
      <c r="D409" s="824"/>
      <c r="E409" s="242"/>
      <c r="F409" s="243"/>
      <c r="G409" s="244"/>
      <c r="H409" s="244"/>
      <c r="I409" s="662"/>
    </row>
    <row r="410">
      <c r="B410" s="268"/>
      <c r="C410" s="252"/>
      <c r="D410" s="822"/>
      <c r="F410" s="250"/>
      <c r="I410" s="847"/>
    </row>
    <row r="411">
      <c r="B411" s="268"/>
      <c r="C411" s="252"/>
      <c r="D411" s="822"/>
      <c r="F411" s="250"/>
      <c r="I411" s="847"/>
    </row>
    <row r="412">
      <c r="B412" s="308"/>
      <c r="C412" s="252"/>
      <c r="D412" s="822"/>
      <c r="F412" s="309"/>
    </row>
    <row r="413">
      <c r="B413" s="308"/>
      <c r="C413" s="252"/>
      <c r="D413" s="822"/>
      <c r="F413" s="309"/>
    </row>
    <row r="414">
      <c r="B414" s="308"/>
      <c r="C414" s="252"/>
      <c r="D414" s="822"/>
      <c r="F414" s="309"/>
    </row>
    <row r="415">
      <c r="B415" s="308"/>
      <c r="C415" s="252"/>
      <c r="D415" s="822"/>
      <c r="F415" s="309"/>
    </row>
    <row r="416">
      <c r="B416" s="308"/>
      <c r="C416" s="252"/>
      <c r="D416" s="822"/>
      <c r="F416" s="309"/>
    </row>
    <row r="417">
      <c r="B417" s="308"/>
      <c r="C417" s="252"/>
      <c r="D417" s="822"/>
      <c r="F417" s="309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  <row r="697">
      <c r="B697" s="308"/>
      <c r="C697" s="252"/>
      <c r="D697" s="822"/>
      <c r="F697" s="309"/>
    </row>
    <row r="698">
      <c r="B698" s="308"/>
      <c r="C698" s="252"/>
      <c r="D698" s="822"/>
      <c r="F698" s="309"/>
    </row>
    <row r="699">
      <c r="B699" s="308"/>
      <c r="C699" s="252"/>
      <c r="D699" s="822"/>
      <c r="F699" s="309"/>
    </row>
    <row r="700">
      <c r="B700" s="308"/>
      <c r="C700" s="252"/>
      <c r="D700" s="822"/>
      <c r="F700" s="309"/>
    </row>
    <row r="701">
      <c r="B701" s="308"/>
      <c r="C701" s="252"/>
      <c r="D701" s="822"/>
      <c r="F701" s="309"/>
    </row>
    <row r="702">
      <c r="B702" s="308"/>
      <c r="C702" s="252"/>
      <c r="D702" s="822"/>
      <c r="F702" s="309"/>
    </row>
    <row r="703">
      <c r="B703" s="308"/>
      <c r="C703" s="252"/>
      <c r="D703" s="822"/>
      <c r="F703" s="309"/>
    </row>
    <row r="704">
      <c r="B704" s="308"/>
      <c r="C704" s="252"/>
      <c r="D704" s="822"/>
      <c r="F704" s="309"/>
    </row>
    <row r="705">
      <c r="B705" s="308"/>
      <c r="C705" s="252"/>
      <c r="D705" s="822"/>
      <c r="F705" s="309"/>
    </row>
    <row r="706">
      <c r="B706" s="308"/>
      <c r="C706" s="252"/>
      <c r="D706" s="822"/>
      <c r="F706" s="309"/>
    </row>
    <row r="707">
      <c r="B707" s="308"/>
      <c r="C707" s="252"/>
      <c r="D707" s="822"/>
      <c r="F707" s="309"/>
    </row>
    <row r="708">
      <c r="B708" s="308"/>
      <c r="C708" s="252"/>
      <c r="D708" s="822"/>
      <c r="F708" s="309"/>
    </row>
    <row r="709">
      <c r="B709" s="308"/>
      <c r="C709" s="252"/>
      <c r="D709" s="822"/>
      <c r="F709" s="309"/>
    </row>
    <row r="710">
      <c r="B710" s="308"/>
      <c r="C710" s="252"/>
      <c r="D710" s="822"/>
      <c r="F710" s="309"/>
    </row>
    <row r="711">
      <c r="B711" s="308"/>
      <c r="C711" s="252"/>
      <c r="D711" s="822"/>
      <c r="F711" s="309"/>
    </row>
    <row r="712">
      <c r="B712" s="308"/>
      <c r="C712" s="252"/>
      <c r="D712" s="822"/>
      <c r="F712" s="309"/>
    </row>
    <row r="713">
      <c r="B713" s="308"/>
      <c r="C713" s="252"/>
      <c r="D713" s="822"/>
      <c r="F713" s="309"/>
    </row>
    <row r="714">
      <c r="B714" s="308"/>
      <c r="C714" s="252"/>
      <c r="D714" s="822"/>
      <c r="F714" s="309"/>
    </row>
    <row r="715">
      <c r="B715" s="308"/>
      <c r="C715" s="252"/>
      <c r="D715" s="822"/>
      <c r="F715" s="309"/>
    </row>
    <row r="716">
      <c r="B716" s="308"/>
      <c r="C716" s="252"/>
      <c r="D716" s="822"/>
      <c r="F716" s="309"/>
    </row>
    <row r="717">
      <c r="B717" s="308"/>
      <c r="C717" s="252"/>
      <c r="D717" s="822"/>
      <c r="F717" s="309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5"/>
    <mergeCell ref="A86:A98"/>
    <mergeCell ref="A99:A112"/>
    <mergeCell ref="A113:A128"/>
    <mergeCell ref="A129:A140"/>
    <mergeCell ref="A141:A150"/>
    <mergeCell ref="A151:A160"/>
    <mergeCell ref="A161:A175"/>
    <mergeCell ref="A176:A191"/>
    <mergeCell ref="A192:A206"/>
    <mergeCell ref="A207:A218"/>
    <mergeCell ref="A219:A229"/>
    <mergeCell ref="A230:A243"/>
    <mergeCell ref="A244:A258"/>
    <mergeCell ref="A352:A364"/>
    <mergeCell ref="A365:A376"/>
    <mergeCell ref="A377:A388"/>
    <mergeCell ref="A389:A398"/>
    <mergeCell ref="A399:A408"/>
    <mergeCell ref="A259:A271"/>
    <mergeCell ref="A272:A285"/>
    <mergeCell ref="A286:A300"/>
    <mergeCell ref="A301:A311"/>
    <mergeCell ref="A312:A322"/>
    <mergeCell ref="A323:A340"/>
    <mergeCell ref="A341:A3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 t="s">
        <v>2780</v>
      </c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3413</v>
      </c>
      <c r="B2" s="268"/>
      <c r="C2" s="240"/>
      <c r="D2" s="824"/>
      <c r="E2" s="242"/>
      <c r="F2" s="243">
        <v>2730.0</v>
      </c>
      <c r="G2" s="244" t="s">
        <v>2755</v>
      </c>
      <c r="H2" s="244"/>
      <c r="I2" s="662"/>
    </row>
    <row r="3">
      <c r="A3" s="265"/>
      <c r="B3" s="268"/>
      <c r="C3" s="252"/>
      <c r="D3" s="822"/>
      <c r="F3" s="250">
        <v>7651.0</v>
      </c>
      <c r="G3" s="2" t="s">
        <v>3370</v>
      </c>
      <c r="I3" s="847"/>
    </row>
    <row r="4">
      <c r="A4" s="265"/>
      <c r="B4" s="268"/>
      <c r="C4" s="252"/>
      <c r="D4" s="822"/>
      <c r="F4" s="243">
        <v>524.0</v>
      </c>
      <c r="G4" s="244" t="s">
        <v>314</v>
      </c>
      <c r="I4" s="847"/>
    </row>
    <row r="5">
      <c r="A5" s="265"/>
      <c r="B5" s="247">
        <v>2553.0</v>
      </c>
      <c r="C5" s="248"/>
      <c r="D5" s="331"/>
      <c r="F5" s="243"/>
      <c r="G5" s="244" t="s">
        <v>3414</v>
      </c>
      <c r="I5" s="847"/>
    </row>
    <row r="6">
      <c r="A6" s="265"/>
      <c r="B6" s="247">
        <v>7652.0</v>
      </c>
      <c r="C6" s="252"/>
      <c r="D6" s="822"/>
      <c r="F6" s="243"/>
      <c r="G6" s="244" t="s">
        <v>3415</v>
      </c>
      <c r="I6" s="847"/>
    </row>
    <row r="7">
      <c r="A7" s="265"/>
      <c r="B7" s="247">
        <v>11048.0</v>
      </c>
      <c r="C7" s="252"/>
      <c r="D7" s="822"/>
      <c r="F7" s="250"/>
      <c r="G7" s="2" t="s">
        <v>1531</v>
      </c>
      <c r="I7" s="847"/>
    </row>
    <row r="8">
      <c r="A8" s="265"/>
      <c r="B8" s="268"/>
      <c r="C8" s="252"/>
      <c r="D8" s="822"/>
      <c r="F8" s="250">
        <v>22330.0</v>
      </c>
      <c r="G8" s="2" t="s">
        <v>3415</v>
      </c>
      <c r="I8" s="847"/>
    </row>
    <row r="9">
      <c r="A9" s="265"/>
      <c r="B9" s="268"/>
      <c r="C9" s="252"/>
      <c r="D9" s="822"/>
      <c r="F9" s="250">
        <v>400.0</v>
      </c>
      <c r="G9" s="2" t="s">
        <v>3416</v>
      </c>
      <c r="I9" s="847"/>
    </row>
    <row r="10">
      <c r="A10" s="265"/>
      <c r="B10" s="268"/>
      <c r="C10" s="252"/>
      <c r="D10" s="822"/>
      <c r="F10" s="250">
        <v>160.0</v>
      </c>
      <c r="G10" s="2" t="s">
        <v>368</v>
      </c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458</v>
      </c>
      <c r="B12" s="268"/>
      <c r="C12" s="263">
        <v>32344.0</v>
      </c>
      <c r="D12" s="821"/>
      <c r="E12" s="242"/>
      <c r="F12" s="243"/>
      <c r="G12" s="244" t="s">
        <v>2637</v>
      </c>
      <c r="H12" s="244"/>
      <c r="I12" s="662"/>
    </row>
    <row r="13">
      <c r="A13" s="265"/>
      <c r="B13" s="268"/>
      <c r="C13" s="248"/>
      <c r="D13" s="822"/>
      <c r="F13" s="250">
        <v>2500.0</v>
      </c>
      <c r="G13" s="2" t="s">
        <v>2887</v>
      </c>
      <c r="I13" s="847"/>
    </row>
    <row r="14">
      <c r="A14" s="265"/>
      <c r="B14" s="268"/>
      <c r="C14" s="252"/>
      <c r="D14" s="331"/>
      <c r="F14" s="250">
        <v>471.0</v>
      </c>
      <c r="G14" s="2" t="s">
        <v>314</v>
      </c>
      <c r="I14" s="847"/>
    </row>
    <row r="15">
      <c r="A15" s="265"/>
      <c r="B15" s="268"/>
      <c r="C15" s="252"/>
      <c r="D15" s="331"/>
      <c r="F15" s="250">
        <v>2995.0</v>
      </c>
      <c r="G15" s="2" t="s">
        <v>3417</v>
      </c>
      <c r="I15" s="847"/>
    </row>
    <row r="16">
      <c r="A16" s="265"/>
      <c r="B16" s="268"/>
      <c r="C16" s="252"/>
      <c r="D16" s="331"/>
      <c r="F16" s="250">
        <v>2450.0</v>
      </c>
      <c r="G16" s="2" t="s">
        <v>3003</v>
      </c>
      <c r="I16" s="847"/>
    </row>
    <row r="17">
      <c r="A17" s="265"/>
      <c r="B17" s="268"/>
      <c r="C17" s="252"/>
      <c r="D17" s="331"/>
      <c r="F17" s="250">
        <v>3600.0</v>
      </c>
      <c r="G17" s="2" t="s">
        <v>275</v>
      </c>
      <c r="I17" s="847"/>
    </row>
    <row r="18">
      <c r="A18" s="265"/>
      <c r="B18" s="268"/>
      <c r="C18" s="252"/>
      <c r="D18" s="822"/>
      <c r="F18" s="250">
        <f>680+290</f>
        <v>970</v>
      </c>
      <c r="G18" s="2" t="s">
        <v>453</v>
      </c>
      <c r="I18" s="847"/>
    </row>
    <row r="19">
      <c r="A19" s="265"/>
      <c r="B19" s="268"/>
      <c r="C19" s="252"/>
      <c r="D19" s="331"/>
      <c r="F19" s="250">
        <v>120.0</v>
      </c>
      <c r="G19" s="2" t="s">
        <v>3418</v>
      </c>
      <c r="I19" s="847"/>
    </row>
    <row r="20">
      <c r="A20" s="265"/>
      <c r="B20" s="247"/>
      <c r="C20" s="252"/>
      <c r="D20" s="822"/>
      <c r="F20" s="250"/>
      <c r="I20" s="847"/>
    </row>
    <row r="21">
      <c r="A21" s="265"/>
      <c r="B21" s="278"/>
      <c r="C21" s="252"/>
      <c r="D21" s="822"/>
      <c r="F21" s="250"/>
      <c r="I21" s="847"/>
    </row>
    <row r="22">
      <c r="A22" s="265"/>
      <c r="B22" s="278"/>
      <c r="C22" s="252"/>
      <c r="D22" s="822"/>
      <c r="F22" s="250"/>
      <c r="I22" s="847"/>
    </row>
    <row r="23">
      <c r="A23" s="265"/>
      <c r="B23" s="278"/>
      <c r="C23" s="252"/>
      <c r="D23" s="822"/>
      <c r="F23" s="250"/>
      <c r="I23" s="847"/>
    </row>
    <row r="24">
      <c r="A24" s="270"/>
      <c r="B24" s="271"/>
      <c r="C24" s="272"/>
      <c r="D24" s="823"/>
      <c r="E24" s="18"/>
      <c r="F24" s="274"/>
      <c r="G24" s="18"/>
      <c r="H24" s="18"/>
      <c r="I24" s="663"/>
    </row>
    <row r="25">
      <c r="A25" s="262" t="s">
        <v>461</v>
      </c>
      <c r="B25" s="306"/>
      <c r="C25" s="263"/>
      <c r="D25" s="824"/>
      <c r="E25" s="242"/>
      <c r="F25" s="243">
        <v>9015.0</v>
      </c>
      <c r="G25" s="244" t="s">
        <v>3212</v>
      </c>
      <c r="H25" s="244"/>
      <c r="I25" s="662"/>
    </row>
    <row r="26">
      <c r="A26" s="265"/>
      <c r="B26" s="268"/>
      <c r="C26" s="252"/>
      <c r="D26" s="822"/>
      <c r="F26" s="250">
        <v>2000.0</v>
      </c>
      <c r="G26" s="2" t="s">
        <v>3419</v>
      </c>
      <c r="H26" s="252"/>
      <c r="I26" s="847"/>
    </row>
    <row r="27">
      <c r="A27" s="265"/>
      <c r="B27" s="268"/>
      <c r="C27" s="252"/>
      <c r="D27" s="822"/>
      <c r="F27" s="250">
        <v>7790.0</v>
      </c>
      <c r="G27" s="2" t="s">
        <v>76</v>
      </c>
      <c r="I27" s="847"/>
    </row>
    <row r="28">
      <c r="A28" s="265"/>
      <c r="B28" s="268"/>
      <c r="C28" s="252"/>
      <c r="D28" s="822"/>
      <c r="F28" s="250">
        <v>700.0</v>
      </c>
      <c r="G28" s="2" t="s">
        <v>3345</v>
      </c>
      <c r="I28" s="847"/>
    </row>
    <row r="29">
      <c r="A29" s="265"/>
      <c r="B29" s="268"/>
      <c r="C29" s="248"/>
      <c r="D29" s="822"/>
      <c r="F29" s="250">
        <v>1900.0</v>
      </c>
      <c r="G29" s="2" t="s">
        <v>3333</v>
      </c>
      <c r="I29" s="847"/>
    </row>
    <row r="30">
      <c r="A30" s="265"/>
      <c r="B30" s="268"/>
      <c r="C30" s="252"/>
      <c r="D30" s="822"/>
      <c r="F30" s="250"/>
      <c r="I30" s="847"/>
    </row>
    <row r="31">
      <c r="A31" s="265"/>
      <c r="B31" s="268"/>
      <c r="C31" s="252"/>
      <c r="D31" s="822"/>
      <c r="F31" s="250"/>
      <c r="I31" s="847"/>
    </row>
    <row r="32">
      <c r="A32" s="265"/>
      <c r="B32" s="268"/>
      <c r="C32" s="252"/>
      <c r="D32" s="331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65"/>
      <c r="B34" s="268"/>
      <c r="C34" s="252"/>
      <c r="D34" s="822"/>
      <c r="F34" s="250"/>
      <c r="I34" s="847"/>
    </row>
    <row r="35">
      <c r="A35" s="265"/>
      <c r="B35" s="268"/>
      <c r="C35" s="252"/>
      <c r="D35" s="822"/>
      <c r="F35" s="250"/>
      <c r="I35" s="847"/>
    </row>
    <row r="36">
      <c r="A36" s="265"/>
      <c r="B36" s="268"/>
      <c r="C36" s="252"/>
      <c r="D36" s="822"/>
      <c r="F36" s="250"/>
      <c r="I36" s="847"/>
    </row>
    <row r="37">
      <c r="A37" s="270"/>
      <c r="B37" s="271"/>
      <c r="C37" s="272"/>
      <c r="D37" s="823"/>
      <c r="E37" s="18"/>
      <c r="F37" s="274"/>
      <c r="G37" s="18"/>
      <c r="H37" s="18"/>
      <c r="I37" s="663"/>
    </row>
    <row r="38">
      <c r="A38" s="262" t="s">
        <v>465</v>
      </c>
      <c r="B38" s="306"/>
      <c r="C38" s="240"/>
      <c r="D38" s="824"/>
      <c r="E38" s="242"/>
      <c r="F38" s="243">
        <v>3263.0</v>
      </c>
      <c r="G38" s="244" t="s">
        <v>74</v>
      </c>
      <c r="H38" s="244"/>
      <c r="I38" s="662"/>
    </row>
    <row r="39">
      <c r="A39" s="265"/>
      <c r="B39" s="268"/>
      <c r="C39" s="252"/>
      <c r="D39" s="822"/>
      <c r="F39" s="250">
        <v>2923.0</v>
      </c>
      <c r="G39" s="2" t="s">
        <v>91</v>
      </c>
      <c r="I39" s="847"/>
    </row>
    <row r="40">
      <c r="A40" s="265"/>
      <c r="B40" s="268"/>
      <c r="C40" s="248">
        <v>39554.0</v>
      </c>
      <c r="D40" s="822"/>
      <c r="F40" s="250"/>
      <c r="G40" s="2" t="s">
        <v>84</v>
      </c>
      <c r="I40" s="847"/>
    </row>
    <row r="41">
      <c r="A41" s="265"/>
      <c r="B41" s="268"/>
      <c r="C41" s="252"/>
      <c r="D41" s="822"/>
      <c r="F41" s="250">
        <v>6600.0</v>
      </c>
      <c r="G41" s="2" t="s">
        <v>87</v>
      </c>
      <c r="I41" s="847"/>
    </row>
    <row r="42">
      <c r="A42" s="265"/>
      <c r="B42" s="268"/>
      <c r="C42" s="252"/>
      <c r="D42" s="822"/>
      <c r="F42" s="250">
        <v>341.0</v>
      </c>
      <c r="G42" s="2" t="s">
        <v>708</v>
      </c>
      <c r="I42" s="847"/>
    </row>
    <row r="43">
      <c r="A43" s="265"/>
      <c r="B43" s="268"/>
      <c r="C43" s="252"/>
      <c r="D43" s="822"/>
      <c r="F43" s="250">
        <v>200.0</v>
      </c>
      <c r="G43" s="2" t="s">
        <v>3420</v>
      </c>
      <c r="I43" s="847"/>
    </row>
    <row r="44">
      <c r="A44" s="265"/>
      <c r="B44" s="268"/>
      <c r="C44" s="248"/>
      <c r="D44" s="822"/>
      <c r="F44" s="250">
        <v>500.0</v>
      </c>
      <c r="G44" s="2" t="s">
        <v>3421</v>
      </c>
      <c r="H44" s="252"/>
      <c r="I44" s="847"/>
    </row>
    <row r="45">
      <c r="A45" s="265"/>
      <c r="B45" s="268"/>
      <c r="C45" s="252"/>
      <c r="D45" s="822"/>
      <c r="F45" s="250">
        <v>400.0</v>
      </c>
      <c r="G45" s="2" t="s">
        <v>3333</v>
      </c>
      <c r="I45" s="847"/>
    </row>
    <row r="46">
      <c r="A46" s="265"/>
      <c r="B46" s="268"/>
      <c r="C46" s="248"/>
      <c r="D46" s="822"/>
      <c r="F46" s="250">
        <v>475.0</v>
      </c>
      <c r="G46" s="2" t="s">
        <v>344</v>
      </c>
      <c r="I46" s="847"/>
    </row>
    <row r="47">
      <c r="A47" s="265"/>
      <c r="B47" s="278"/>
      <c r="C47" s="252"/>
      <c r="D47" s="822"/>
      <c r="F47" s="250">
        <v>6200.0</v>
      </c>
      <c r="G47" s="2" t="s">
        <v>3422</v>
      </c>
      <c r="I47" s="847"/>
    </row>
    <row r="48">
      <c r="A48" s="265"/>
      <c r="B48" s="278"/>
      <c r="C48" s="252"/>
      <c r="D48" s="822"/>
      <c r="F48" s="250"/>
      <c r="I48" s="847"/>
    </row>
    <row r="49">
      <c r="A49" s="270"/>
      <c r="B49" s="271"/>
      <c r="C49" s="272"/>
      <c r="D49" s="823"/>
      <c r="E49" s="18"/>
      <c r="F49" s="259"/>
      <c r="G49" s="293"/>
      <c r="H49" s="848"/>
      <c r="I49" s="663"/>
    </row>
    <row r="50">
      <c r="A50" s="437"/>
      <c r="B50" s="278"/>
      <c r="C50" s="252"/>
      <c r="D50" s="822"/>
      <c r="F50" s="250"/>
      <c r="I50" s="847"/>
    </row>
    <row r="51">
      <c r="A51" s="437"/>
      <c r="B51" s="278"/>
      <c r="C51" s="252"/>
      <c r="D51" s="822"/>
      <c r="F51" s="250"/>
      <c r="I51" s="847"/>
    </row>
    <row r="52">
      <c r="A52" s="262" t="s">
        <v>466</v>
      </c>
      <c r="B52" s="306"/>
      <c r="C52" s="240"/>
      <c r="D52" s="824"/>
      <c r="E52" s="242"/>
      <c r="F52" s="243">
        <v>90.0</v>
      </c>
      <c r="G52" s="244" t="s">
        <v>708</v>
      </c>
      <c r="H52" s="244"/>
      <c r="I52" s="662"/>
    </row>
    <row r="53">
      <c r="A53" s="265"/>
      <c r="B53" s="268"/>
      <c r="C53" s="252"/>
      <c r="D53" s="822"/>
      <c r="F53" s="250">
        <v>4931.0</v>
      </c>
      <c r="G53" s="2" t="s">
        <v>3423</v>
      </c>
      <c r="I53" s="847"/>
    </row>
    <row r="54">
      <c r="A54" s="265"/>
      <c r="B54" s="247"/>
      <c r="C54" s="248"/>
      <c r="D54" s="331"/>
      <c r="F54" s="250">
        <v>3422.0</v>
      </c>
      <c r="G54" s="2" t="s">
        <v>3334</v>
      </c>
      <c r="I54" s="847"/>
    </row>
    <row r="55">
      <c r="A55" s="265"/>
      <c r="B55" s="268"/>
      <c r="C55" s="252"/>
      <c r="D55" s="822"/>
      <c r="F55" s="250">
        <v>400.0</v>
      </c>
      <c r="G55" s="2" t="s">
        <v>3333</v>
      </c>
      <c r="I55" s="847"/>
    </row>
    <row r="56">
      <c r="A56" s="265"/>
      <c r="B56" s="247"/>
      <c r="C56" s="252"/>
      <c r="D56" s="822"/>
      <c r="F56" s="250">
        <v>700.0</v>
      </c>
      <c r="G56" s="2" t="s">
        <v>3424</v>
      </c>
      <c r="I56" s="847"/>
    </row>
    <row r="57">
      <c r="A57" s="265"/>
      <c r="B57" s="247">
        <v>7000.0</v>
      </c>
      <c r="C57" s="252"/>
      <c r="D57" s="822"/>
      <c r="F57" s="250"/>
      <c r="G57" s="2" t="s">
        <v>3425</v>
      </c>
      <c r="I57" s="847"/>
    </row>
    <row r="58">
      <c r="A58" s="265"/>
      <c r="B58" s="268"/>
      <c r="C58" s="248"/>
      <c r="D58" s="822"/>
      <c r="F58" s="250">
        <v>4800.0</v>
      </c>
      <c r="G58" s="2" t="s">
        <v>3426</v>
      </c>
      <c r="I58" s="849"/>
    </row>
    <row r="59">
      <c r="A59" s="265"/>
      <c r="B59" s="268"/>
      <c r="C59" s="252"/>
      <c r="D59" s="822"/>
      <c r="F59" s="250"/>
      <c r="I59" s="847"/>
    </row>
    <row r="60">
      <c r="A60" s="265"/>
      <c r="B60" s="268"/>
      <c r="C60" s="252"/>
      <c r="D60" s="822"/>
      <c r="F60" s="250"/>
      <c r="I60" s="847"/>
    </row>
    <row r="61">
      <c r="A61" s="270"/>
      <c r="B61" s="271"/>
      <c r="C61" s="272"/>
      <c r="D61" s="823"/>
      <c r="E61" s="18"/>
      <c r="F61" s="274"/>
      <c r="G61" s="18"/>
      <c r="H61" s="18"/>
      <c r="I61" s="663"/>
    </row>
    <row r="62">
      <c r="A62" s="262" t="s">
        <v>3056</v>
      </c>
      <c r="B62" s="306"/>
      <c r="C62" s="240"/>
      <c r="D62" s="824"/>
      <c r="E62" s="242"/>
      <c r="F62" s="243">
        <v>2300.0</v>
      </c>
      <c r="G62" s="244" t="s">
        <v>708</v>
      </c>
      <c r="H62" s="244"/>
      <c r="I62" s="662"/>
    </row>
    <row r="63">
      <c r="A63" s="265"/>
      <c r="B63" s="268"/>
      <c r="C63" s="252"/>
      <c r="D63" s="822"/>
      <c r="F63" s="250">
        <v>400.0</v>
      </c>
      <c r="G63" s="2" t="s">
        <v>3416</v>
      </c>
      <c r="I63" s="847"/>
    </row>
    <row r="64">
      <c r="A64" s="265"/>
      <c r="B64" s="268"/>
      <c r="C64" s="252"/>
      <c r="D64" s="822"/>
      <c r="F64" s="250"/>
      <c r="I64" s="847"/>
    </row>
    <row r="65">
      <c r="A65" s="265"/>
      <c r="B65" s="268"/>
      <c r="C65" s="252"/>
      <c r="D65" s="822"/>
      <c r="F65" s="250"/>
      <c r="I65" s="847"/>
    </row>
    <row r="66">
      <c r="A66" s="265"/>
      <c r="B66" s="268"/>
      <c r="C66" s="248"/>
      <c r="D66" s="822"/>
      <c r="F66" s="250"/>
      <c r="I66" s="847"/>
    </row>
    <row r="67">
      <c r="A67" s="265"/>
      <c r="B67" s="268"/>
      <c r="C67" s="252"/>
      <c r="D67" s="822"/>
      <c r="F67" s="250"/>
      <c r="I67" s="847"/>
    </row>
    <row r="68">
      <c r="A68" s="265"/>
      <c r="B68" s="268"/>
      <c r="C68" s="252"/>
      <c r="D68" s="822"/>
      <c r="F68" s="250"/>
      <c r="I68" s="847"/>
    </row>
    <row r="69">
      <c r="A69" s="265"/>
      <c r="B69" s="268"/>
      <c r="C69" s="252"/>
      <c r="D69" s="822"/>
      <c r="F69" s="250"/>
      <c r="I69" s="847"/>
    </row>
    <row r="70">
      <c r="A70" s="265"/>
      <c r="B70" s="268"/>
      <c r="C70" s="252"/>
      <c r="D70" s="822"/>
      <c r="F70" s="250"/>
      <c r="I70" s="847"/>
    </row>
    <row r="71">
      <c r="A71" s="265"/>
      <c r="B71" s="268"/>
      <c r="C71" s="252"/>
      <c r="D71" s="331"/>
      <c r="F71" s="250"/>
      <c r="I71" s="847"/>
    </row>
    <row r="72">
      <c r="A72" s="265"/>
      <c r="B72" s="278"/>
      <c r="C72" s="252"/>
      <c r="D72" s="822"/>
      <c r="F72" s="282"/>
      <c r="I72" s="847"/>
    </row>
    <row r="73">
      <c r="A73" s="270"/>
      <c r="B73" s="271"/>
      <c r="C73" s="272"/>
      <c r="D73" s="823"/>
      <c r="E73" s="18"/>
      <c r="F73" s="274"/>
      <c r="G73" s="18"/>
      <c r="H73" s="18"/>
      <c r="I73" s="663"/>
    </row>
    <row r="74">
      <c r="A74" s="262" t="s">
        <v>470</v>
      </c>
      <c r="B74" s="306"/>
      <c r="C74" s="263"/>
      <c r="D74" s="824"/>
      <c r="E74" s="242"/>
      <c r="F74" s="243">
        <v>7200.0</v>
      </c>
      <c r="G74" s="244" t="s">
        <v>64</v>
      </c>
      <c r="H74" s="244"/>
      <c r="I74" s="662"/>
    </row>
    <row r="75">
      <c r="A75" s="265"/>
      <c r="B75" s="268"/>
      <c r="C75" s="248"/>
      <c r="D75" s="822"/>
      <c r="F75" s="250">
        <v>6058.0</v>
      </c>
      <c r="G75" s="2" t="s">
        <v>2517</v>
      </c>
      <c r="I75" s="847"/>
    </row>
    <row r="76">
      <c r="A76" s="265"/>
      <c r="B76" s="247">
        <v>15730.0</v>
      </c>
      <c r="C76" s="252"/>
      <c r="D76" s="822"/>
      <c r="F76" s="250">
        <v>9000.0</v>
      </c>
      <c r="G76" s="2" t="s">
        <v>3427</v>
      </c>
      <c r="I76" s="847"/>
    </row>
    <row r="77">
      <c r="A77" s="265"/>
      <c r="B77" s="268"/>
      <c r="C77" s="252"/>
      <c r="D77" s="822"/>
      <c r="F77" s="250">
        <v>300.0</v>
      </c>
      <c r="G77" s="2" t="s">
        <v>85</v>
      </c>
      <c r="I77" s="847"/>
    </row>
    <row r="78">
      <c r="A78" s="265"/>
      <c r="B78" s="268"/>
      <c r="C78" s="252"/>
      <c r="D78" s="822"/>
      <c r="F78" s="250">
        <v>200.0</v>
      </c>
      <c r="G78" s="2" t="s">
        <v>349</v>
      </c>
      <c r="I78" s="847"/>
    </row>
    <row r="79">
      <c r="A79" s="265"/>
      <c r="B79" s="268"/>
      <c r="C79" s="252"/>
      <c r="D79" s="822"/>
      <c r="F79" s="250">
        <v>1700.0</v>
      </c>
      <c r="G79" s="2" t="s">
        <v>426</v>
      </c>
      <c r="I79" s="847"/>
    </row>
    <row r="80">
      <c r="A80" s="265"/>
      <c r="B80" s="268"/>
      <c r="C80" s="252"/>
      <c r="D80" s="822"/>
      <c r="F80" s="250">
        <v>400.0</v>
      </c>
      <c r="G80" s="2" t="s">
        <v>3333</v>
      </c>
      <c r="I80" s="847"/>
    </row>
    <row r="81">
      <c r="A81" s="265"/>
      <c r="B81" s="268"/>
      <c r="C81" s="252"/>
      <c r="D81" s="822"/>
      <c r="F81" s="250"/>
      <c r="I81" s="847"/>
    </row>
    <row r="82">
      <c r="A82" s="265"/>
      <c r="B82" s="268"/>
      <c r="C82" s="252"/>
      <c r="D82" s="822"/>
      <c r="F82" s="250"/>
      <c r="I82" s="847"/>
    </row>
    <row r="83">
      <c r="A83" s="270"/>
      <c r="B83" s="271"/>
      <c r="C83" s="272"/>
      <c r="D83" s="823"/>
      <c r="E83" s="18"/>
      <c r="F83" s="274"/>
      <c r="G83" s="18"/>
      <c r="H83" s="18"/>
      <c r="I83" s="663"/>
    </row>
    <row r="84">
      <c r="A84" s="262" t="s">
        <v>471</v>
      </c>
      <c r="B84" s="306"/>
      <c r="C84" s="263"/>
      <c r="D84" s="824"/>
      <c r="E84" s="242"/>
      <c r="F84" s="243">
        <v>2500.0</v>
      </c>
      <c r="G84" s="244" t="s">
        <v>139</v>
      </c>
      <c r="H84" s="244"/>
      <c r="I84" s="662"/>
    </row>
    <row r="85">
      <c r="A85" s="265"/>
      <c r="B85" s="268"/>
      <c r="C85" s="248">
        <v>17967.0</v>
      </c>
      <c r="D85" s="822"/>
      <c r="F85" s="250"/>
      <c r="G85" s="2" t="s">
        <v>1189</v>
      </c>
      <c r="I85" s="847"/>
    </row>
    <row r="86">
      <c r="A86" s="265"/>
      <c r="B86" s="268"/>
      <c r="C86" s="248"/>
      <c r="D86" s="822"/>
      <c r="F86" s="250">
        <v>130.0</v>
      </c>
      <c r="G86" s="2" t="s">
        <v>3428</v>
      </c>
      <c r="I86" s="847"/>
    </row>
    <row r="87">
      <c r="A87" s="265"/>
      <c r="B87" s="268"/>
      <c r="C87" s="248"/>
      <c r="D87" s="822"/>
      <c r="F87" s="250">
        <v>8417.0</v>
      </c>
      <c r="G87" s="2" t="s">
        <v>91</v>
      </c>
      <c r="I87" s="847"/>
    </row>
    <row r="88">
      <c r="A88" s="265"/>
      <c r="B88" s="268"/>
      <c r="C88" s="252"/>
      <c r="D88" s="822"/>
      <c r="F88" s="250">
        <v>3845.0</v>
      </c>
      <c r="G88" s="2" t="s">
        <v>3375</v>
      </c>
      <c r="I88" s="847"/>
    </row>
    <row r="89">
      <c r="A89" s="265"/>
      <c r="B89" s="268"/>
      <c r="C89" s="252"/>
      <c r="D89" s="331">
        <v>15184.0</v>
      </c>
      <c r="F89" s="250"/>
      <c r="G89" s="2" t="s">
        <v>3429</v>
      </c>
      <c r="I89" s="847"/>
    </row>
    <row r="90">
      <c r="A90" s="265"/>
      <c r="B90" s="268"/>
      <c r="C90" s="252"/>
      <c r="D90" s="822"/>
      <c r="F90" s="250">
        <v>3100.0</v>
      </c>
      <c r="G90" s="2" t="s">
        <v>3102</v>
      </c>
      <c r="I90" s="847"/>
    </row>
    <row r="91">
      <c r="A91" s="265"/>
      <c r="B91" s="268"/>
      <c r="C91" s="252"/>
      <c r="D91" s="822"/>
      <c r="F91" s="250">
        <v>5530.0</v>
      </c>
      <c r="G91" s="2" t="s">
        <v>399</v>
      </c>
      <c r="I91" s="847"/>
    </row>
    <row r="92">
      <c r="A92" s="265"/>
      <c r="B92" s="247"/>
      <c r="C92" s="252"/>
      <c r="D92" s="822"/>
      <c r="F92" s="250">
        <v>200.0</v>
      </c>
      <c r="G92" s="2" t="s">
        <v>3430</v>
      </c>
      <c r="H92" s="252"/>
      <c r="I92" s="847"/>
    </row>
    <row r="93">
      <c r="A93" s="265"/>
      <c r="B93" s="268"/>
      <c r="C93" s="252"/>
      <c r="D93" s="822"/>
      <c r="F93" s="250">
        <v>3800.0</v>
      </c>
      <c r="G93" s="2" t="s">
        <v>3431</v>
      </c>
      <c r="H93" s="252"/>
      <c r="I93" s="847"/>
    </row>
    <row r="94">
      <c r="A94" s="265"/>
      <c r="B94" s="268"/>
      <c r="C94" s="252"/>
      <c r="D94" s="822"/>
      <c r="F94" s="250">
        <v>400.0</v>
      </c>
      <c r="G94" s="2" t="s">
        <v>3333</v>
      </c>
      <c r="I94" s="847"/>
    </row>
    <row r="95">
      <c r="A95" s="265"/>
      <c r="B95" s="268"/>
      <c r="C95" s="252"/>
      <c r="D95" s="822"/>
      <c r="F95" s="250"/>
      <c r="I95" s="847"/>
    </row>
    <row r="96">
      <c r="A96" s="270"/>
      <c r="B96" s="271"/>
      <c r="C96" s="272"/>
      <c r="D96" s="823"/>
      <c r="E96" s="18"/>
      <c r="F96" s="274"/>
      <c r="G96" s="18"/>
      <c r="H96" s="18"/>
      <c r="I96" s="663"/>
    </row>
    <row r="97">
      <c r="A97" s="262" t="s">
        <v>3060</v>
      </c>
      <c r="B97" s="306"/>
      <c r="C97" s="263"/>
      <c r="D97" s="821"/>
      <c r="E97" s="242"/>
      <c r="F97" s="250"/>
      <c r="G97" s="244" t="s">
        <v>3432</v>
      </c>
      <c r="H97" s="244"/>
      <c r="I97" s="662"/>
    </row>
    <row r="98">
      <c r="A98" s="265"/>
      <c r="B98" s="268"/>
      <c r="C98" s="252"/>
      <c r="D98" s="822"/>
      <c r="F98" s="250">
        <v>303.0</v>
      </c>
      <c r="G98" s="2" t="s">
        <v>314</v>
      </c>
      <c r="I98" s="847"/>
    </row>
    <row r="99">
      <c r="A99" s="265"/>
      <c r="B99" s="268"/>
      <c r="C99" s="252"/>
      <c r="D99" s="822"/>
      <c r="F99" s="250">
        <v>7800.0</v>
      </c>
      <c r="G99" s="2" t="s">
        <v>3433</v>
      </c>
      <c r="I99" s="847"/>
    </row>
    <row r="100">
      <c r="A100" s="265"/>
      <c r="B100" s="268"/>
      <c r="C100" s="252"/>
      <c r="D100" s="822"/>
      <c r="F100" s="250">
        <v>1250.0</v>
      </c>
      <c r="G100" s="2" t="s">
        <v>3434</v>
      </c>
      <c r="I100" s="847"/>
    </row>
    <row r="101">
      <c r="A101" s="265"/>
      <c r="B101" s="268"/>
      <c r="C101" s="252"/>
      <c r="D101" s="822"/>
      <c r="F101" s="250">
        <v>4640.0</v>
      </c>
      <c r="G101" s="2" t="s">
        <v>76</v>
      </c>
      <c r="I101" s="847"/>
    </row>
    <row r="102">
      <c r="A102" s="265"/>
      <c r="B102" s="268"/>
      <c r="C102" s="252"/>
      <c r="D102" s="822"/>
      <c r="F102" s="250">
        <v>3920.0</v>
      </c>
      <c r="G102" s="2" t="s">
        <v>3435</v>
      </c>
      <c r="I102" s="847"/>
    </row>
    <row r="103">
      <c r="A103" s="265"/>
      <c r="B103" s="268"/>
      <c r="C103" s="252"/>
      <c r="D103" s="331"/>
      <c r="F103" s="250">
        <v>500.0</v>
      </c>
      <c r="G103" s="2" t="s">
        <v>3436</v>
      </c>
      <c r="I103" s="847"/>
    </row>
    <row r="104">
      <c r="A104" s="265"/>
      <c r="B104" s="247">
        <v>1828.0</v>
      </c>
      <c r="C104" s="252"/>
      <c r="D104" s="822"/>
      <c r="F104" s="250"/>
      <c r="G104" s="2" t="s">
        <v>2948</v>
      </c>
      <c r="I104" s="847"/>
    </row>
    <row r="105">
      <c r="A105" s="265"/>
      <c r="B105" s="247"/>
      <c r="C105" s="252"/>
      <c r="D105" s="822"/>
      <c r="F105" s="250">
        <v>700.0</v>
      </c>
      <c r="G105" s="2" t="s">
        <v>3437</v>
      </c>
      <c r="I105" s="847"/>
    </row>
    <row r="106">
      <c r="A106" s="265"/>
      <c r="B106" s="268"/>
      <c r="C106" s="252"/>
      <c r="D106" s="822"/>
      <c r="F106" s="250">
        <v>4800.0</v>
      </c>
      <c r="G106" s="2" t="s">
        <v>3438</v>
      </c>
      <c r="I106" s="847"/>
    </row>
    <row r="107">
      <c r="A107" s="265"/>
      <c r="B107" s="278"/>
      <c r="C107" s="248">
        <v>8449.0</v>
      </c>
      <c r="D107" s="822"/>
      <c r="F107" s="282"/>
      <c r="G107" s="2" t="s">
        <v>77</v>
      </c>
      <c r="I107" s="847"/>
    </row>
    <row r="108">
      <c r="A108" s="265"/>
      <c r="B108" s="278"/>
      <c r="C108" s="252"/>
      <c r="D108" s="822"/>
      <c r="F108" s="250">
        <v>400.0</v>
      </c>
      <c r="G108" s="2" t="s">
        <v>3333</v>
      </c>
      <c r="I108" s="847"/>
    </row>
    <row r="109">
      <c r="A109" s="265"/>
      <c r="B109" s="278"/>
      <c r="C109" s="252"/>
      <c r="D109" s="822"/>
      <c r="F109" s="282"/>
      <c r="I109" s="847"/>
    </row>
    <row r="110">
      <c r="A110" s="270"/>
      <c r="B110" s="271"/>
      <c r="C110" s="272"/>
      <c r="D110" s="823"/>
      <c r="E110" s="18"/>
      <c r="F110" s="274"/>
      <c r="G110" s="18"/>
      <c r="H110" s="18"/>
      <c r="I110" s="663"/>
    </row>
    <row r="111">
      <c r="A111" s="262" t="s">
        <v>3064</v>
      </c>
      <c r="B111" s="306"/>
      <c r="C111" s="263"/>
      <c r="D111" s="821"/>
      <c r="E111" s="242"/>
      <c r="F111" s="243">
        <v>5200.0</v>
      </c>
      <c r="G111" s="244" t="s">
        <v>3183</v>
      </c>
      <c r="H111" s="244"/>
      <c r="I111" s="662"/>
    </row>
    <row r="112">
      <c r="A112" s="265"/>
      <c r="B112" s="268"/>
      <c r="C112" s="252"/>
      <c r="D112" s="331"/>
      <c r="F112" s="250">
        <v>5037.0</v>
      </c>
      <c r="G112" s="2" t="s">
        <v>2456</v>
      </c>
      <c r="I112" s="847"/>
    </row>
    <row r="113">
      <c r="A113" s="265"/>
      <c r="B113" s="268"/>
      <c r="C113" s="252"/>
      <c r="D113" s="331"/>
      <c r="F113" s="250">
        <v>7200.0</v>
      </c>
      <c r="G113" s="2" t="s">
        <v>64</v>
      </c>
      <c r="I113" s="847"/>
    </row>
    <row r="114">
      <c r="A114" s="265"/>
      <c r="B114" s="268"/>
      <c r="C114" s="252"/>
      <c r="D114" s="822"/>
      <c r="F114" s="250">
        <v>2087.0</v>
      </c>
      <c r="G114" s="2" t="s">
        <v>2755</v>
      </c>
      <c r="I114" s="847"/>
    </row>
    <row r="115">
      <c r="A115" s="265"/>
      <c r="B115" s="268"/>
      <c r="C115" s="252"/>
      <c r="D115" s="331"/>
      <c r="F115" s="250">
        <v>400.0</v>
      </c>
      <c r="G115" s="2" t="s">
        <v>3333</v>
      </c>
      <c r="I115" s="847"/>
    </row>
    <row r="116">
      <c r="A116" s="265"/>
      <c r="B116" s="247"/>
      <c r="C116" s="252"/>
      <c r="D116" s="822"/>
      <c r="F116" s="250"/>
      <c r="I116" s="847"/>
    </row>
    <row r="117">
      <c r="A117" s="265"/>
      <c r="B117" s="268"/>
      <c r="C117" s="252"/>
      <c r="D117" s="822"/>
      <c r="F117" s="250"/>
      <c r="I117" s="847"/>
    </row>
    <row r="118">
      <c r="A118" s="265"/>
      <c r="B118" s="268"/>
      <c r="C118" s="252"/>
      <c r="D118" s="822"/>
      <c r="F118" s="250"/>
      <c r="I118" s="847"/>
    </row>
    <row r="119">
      <c r="A119" s="265"/>
      <c r="B119" s="268"/>
      <c r="C119" s="252"/>
      <c r="D119" s="331"/>
      <c r="F119" s="250"/>
      <c r="I119" s="847"/>
    </row>
    <row r="120">
      <c r="A120" s="265"/>
      <c r="B120" s="268"/>
      <c r="C120" s="252"/>
      <c r="D120" s="822"/>
      <c r="F120" s="250"/>
      <c r="I120" s="847"/>
    </row>
    <row r="121">
      <c r="A121" s="265"/>
      <c r="B121" s="268"/>
      <c r="C121" s="252"/>
      <c r="D121" s="822"/>
      <c r="F121" s="250"/>
      <c r="I121" s="847"/>
    </row>
    <row r="122">
      <c r="A122" s="265"/>
      <c r="B122" s="268"/>
      <c r="C122" s="252"/>
      <c r="D122" s="822"/>
      <c r="F122" s="250"/>
      <c r="I122" s="847"/>
    </row>
    <row r="123">
      <c r="A123" s="265"/>
      <c r="B123" s="268"/>
      <c r="C123" s="252"/>
      <c r="D123" s="822"/>
      <c r="F123" s="250"/>
      <c r="I123" s="847"/>
    </row>
    <row r="124">
      <c r="A124" s="265"/>
      <c r="B124" s="268"/>
      <c r="C124" s="252"/>
      <c r="D124" s="822"/>
      <c r="F124" s="250"/>
      <c r="I124" s="847"/>
    </row>
    <row r="125">
      <c r="A125" s="265"/>
      <c r="B125" s="268"/>
      <c r="C125" s="252"/>
      <c r="D125" s="822"/>
      <c r="F125" s="250"/>
      <c r="I125" s="847"/>
    </row>
    <row r="126">
      <c r="A126" s="270"/>
      <c r="B126" s="271"/>
      <c r="C126" s="272"/>
      <c r="D126" s="823"/>
      <c r="E126" s="18"/>
      <c r="F126" s="274"/>
      <c r="G126" s="18"/>
      <c r="H126" s="18"/>
      <c r="I126" s="663"/>
    </row>
    <row r="127">
      <c r="A127" s="262" t="s">
        <v>3067</v>
      </c>
      <c r="B127" s="306"/>
      <c r="C127" s="240"/>
      <c r="D127" s="824"/>
      <c r="E127" s="242"/>
      <c r="F127" s="243">
        <v>6134.0</v>
      </c>
      <c r="G127" s="244" t="s">
        <v>3212</v>
      </c>
      <c r="H127" s="244"/>
      <c r="I127" s="662"/>
    </row>
    <row r="128">
      <c r="A128" s="265"/>
      <c r="B128" s="247">
        <v>6654.9</v>
      </c>
      <c r="C128" s="252"/>
      <c r="D128" s="822"/>
      <c r="F128" s="250"/>
      <c r="G128" s="2" t="s">
        <v>3439</v>
      </c>
      <c r="I128" s="847"/>
    </row>
    <row r="129">
      <c r="A129" s="265"/>
      <c r="B129" s="268"/>
      <c r="C129" s="248">
        <v>6233.46</v>
      </c>
      <c r="D129" s="822"/>
      <c r="F129" s="250">
        <v>2230.0</v>
      </c>
      <c r="G129" s="2" t="s">
        <v>631</v>
      </c>
      <c r="I129" s="847"/>
    </row>
    <row r="130">
      <c r="A130" s="265"/>
      <c r="B130" s="247"/>
      <c r="C130" s="252"/>
      <c r="D130" s="331"/>
      <c r="F130" s="250">
        <v>3423.0</v>
      </c>
      <c r="G130" s="2" t="s">
        <v>82</v>
      </c>
      <c r="I130" s="847"/>
    </row>
    <row r="131">
      <c r="A131" s="265"/>
      <c r="B131" s="268"/>
      <c r="C131" s="252"/>
      <c r="D131" s="822"/>
      <c r="F131" s="250">
        <v>3860.0</v>
      </c>
      <c r="G131" s="2" t="s">
        <v>100</v>
      </c>
      <c r="I131" s="847"/>
    </row>
    <row r="132">
      <c r="A132" s="265"/>
      <c r="B132" s="268"/>
      <c r="C132" s="252"/>
      <c r="D132" s="822"/>
      <c r="F132" s="250">
        <v>150.0</v>
      </c>
      <c r="G132" s="2" t="s">
        <v>1169</v>
      </c>
      <c r="I132" s="847"/>
    </row>
    <row r="133">
      <c r="A133" s="265"/>
      <c r="B133" s="247"/>
      <c r="C133" s="252"/>
      <c r="D133" s="822"/>
      <c r="F133" s="250">
        <v>20000.0</v>
      </c>
      <c r="G133" s="2" t="s">
        <v>3440</v>
      </c>
      <c r="I133" s="847"/>
    </row>
    <row r="134">
      <c r="A134" s="265"/>
      <c r="B134" s="283">
        <v>34307.8</v>
      </c>
      <c r="C134" s="252"/>
      <c r="D134" s="822"/>
      <c r="F134" s="250"/>
      <c r="G134" s="2" t="s">
        <v>188</v>
      </c>
      <c r="I134" s="847"/>
    </row>
    <row r="135">
      <c r="A135" s="265"/>
      <c r="B135" s="268"/>
      <c r="C135" s="252"/>
      <c r="D135" s="822"/>
      <c r="F135" s="250"/>
      <c r="I135" s="847"/>
    </row>
    <row r="136">
      <c r="A136" s="265"/>
      <c r="B136" s="268"/>
      <c r="C136" s="252"/>
      <c r="D136" s="822"/>
      <c r="F136" s="250"/>
      <c r="I136" s="847"/>
    </row>
    <row r="137">
      <c r="A137" s="265"/>
      <c r="B137" s="268"/>
      <c r="C137" s="252"/>
      <c r="D137" s="822"/>
      <c r="F137" s="250"/>
      <c r="I137" s="847"/>
    </row>
    <row r="138">
      <c r="A138" s="270"/>
      <c r="B138" s="271"/>
      <c r="C138" s="272"/>
      <c r="D138" s="823"/>
      <c r="E138" s="18"/>
      <c r="F138" s="274"/>
      <c r="G138" s="18"/>
      <c r="H138" s="18"/>
      <c r="I138" s="663"/>
    </row>
    <row r="139">
      <c r="A139" s="262" t="s">
        <v>487</v>
      </c>
      <c r="B139" s="306"/>
      <c r="C139" s="240"/>
      <c r="D139" s="824"/>
      <c r="E139" s="242"/>
      <c r="F139" s="243">
        <v>260.0</v>
      </c>
      <c r="G139" s="244" t="s">
        <v>314</v>
      </c>
      <c r="H139" s="244"/>
      <c r="I139" s="662"/>
    </row>
    <row r="140">
      <c r="A140" s="265"/>
      <c r="B140" s="268"/>
      <c r="C140" s="252"/>
      <c r="D140" s="822"/>
      <c r="F140" s="250">
        <v>7600.0</v>
      </c>
      <c r="G140" s="2" t="s">
        <v>3441</v>
      </c>
      <c r="I140" s="847"/>
    </row>
    <row r="141">
      <c r="A141" s="265"/>
      <c r="B141" s="268"/>
      <c r="C141" s="252"/>
      <c r="D141" s="822"/>
      <c r="F141" s="250">
        <v>400.0</v>
      </c>
      <c r="G141" s="2" t="s">
        <v>3333</v>
      </c>
      <c r="I141" s="847"/>
    </row>
    <row r="142">
      <c r="A142" s="265"/>
      <c r="B142" s="268"/>
      <c r="C142" s="252"/>
      <c r="D142" s="822"/>
      <c r="F142" s="250">
        <v>390.0</v>
      </c>
      <c r="G142" s="2" t="s">
        <v>215</v>
      </c>
      <c r="I142" s="847"/>
    </row>
    <row r="143">
      <c r="A143" s="265"/>
      <c r="B143" s="268"/>
      <c r="C143" s="252"/>
      <c r="D143" s="822"/>
      <c r="F143" s="250">
        <v>267.0</v>
      </c>
      <c r="G143" s="2" t="s">
        <v>288</v>
      </c>
      <c r="I143" s="847"/>
    </row>
    <row r="144">
      <c r="A144" s="265"/>
      <c r="B144" s="268"/>
      <c r="C144" s="248"/>
      <c r="D144" s="822"/>
      <c r="F144" s="250">
        <v>7000.0</v>
      </c>
      <c r="G144" s="2" t="s">
        <v>3078</v>
      </c>
      <c r="I144" s="847"/>
    </row>
    <row r="145">
      <c r="A145" s="265"/>
      <c r="B145" s="268"/>
      <c r="C145" s="252"/>
      <c r="D145" s="822"/>
      <c r="F145" s="250"/>
      <c r="I145" s="847"/>
    </row>
    <row r="146">
      <c r="A146" s="265"/>
      <c r="B146" s="268"/>
      <c r="C146" s="252"/>
      <c r="D146" s="822"/>
      <c r="F146" s="250"/>
      <c r="I146" s="847"/>
    </row>
    <row r="147">
      <c r="A147" s="265"/>
      <c r="B147" s="268"/>
      <c r="C147" s="252"/>
      <c r="D147" s="822"/>
      <c r="F147" s="250"/>
      <c r="I147" s="847"/>
    </row>
    <row r="148">
      <c r="A148" s="270"/>
      <c r="B148" s="271"/>
      <c r="C148" s="272"/>
      <c r="D148" s="823"/>
      <c r="E148" s="18"/>
      <c r="F148" s="274"/>
      <c r="G148" s="18"/>
      <c r="H148" s="18"/>
      <c r="I148" s="663"/>
    </row>
    <row r="149">
      <c r="A149" s="262" t="s">
        <v>489</v>
      </c>
      <c r="B149" s="306"/>
      <c r="C149" s="240"/>
      <c r="D149" s="821"/>
      <c r="E149" s="242"/>
      <c r="F149" s="243">
        <v>6957.7</v>
      </c>
      <c r="G149" s="244" t="s">
        <v>3212</v>
      </c>
      <c r="H149" s="244"/>
      <c r="I149" s="662"/>
    </row>
    <row r="150">
      <c r="A150" s="265"/>
      <c r="B150" s="268"/>
      <c r="C150" s="252"/>
      <c r="D150" s="822"/>
      <c r="F150" s="250">
        <v>7200.0</v>
      </c>
      <c r="G150" s="2" t="s">
        <v>87</v>
      </c>
      <c r="I150" s="847"/>
    </row>
    <row r="151">
      <c r="A151" s="265"/>
      <c r="B151" s="268"/>
      <c r="C151" s="248"/>
      <c r="D151" s="331"/>
      <c r="F151" s="250">
        <v>4000.0</v>
      </c>
      <c r="G151" s="2" t="s">
        <v>3442</v>
      </c>
      <c r="I151" s="847"/>
    </row>
    <row r="152">
      <c r="A152" s="265"/>
      <c r="B152" s="268"/>
      <c r="C152" s="252"/>
      <c r="D152" s="822"/>
      <c r="F152" s="250">
        <v>430.0</v>
      </c>
      <c r="G152" s="2" t="s">
        <v>3443</v>
      </c>
      <c r="I152" s="847"/>
    </row>
    <row r="153">
      <c r="A153" s="265"/>
      <c r="B153" s="268"/>
      <c r="C153" s="252"/>
      <c r="D153" s="822"/>
      <c r="F153" s="250"/>
      <c r="I153" s="847"/>
    </row>
    <row r="154">
      <c r="A154" s="265"/>
      <c r="B154" s="268"/>
      <c r="C154" s="252"/>
      <c r="D154" s="822"/>
      <c r="F154" s="250"/>
      <c r="I154" s="847"/>
    </row>
    <row r="155">
      <c r="A155" s="265"/>
      <c r="B155" s="268"/>
      <c r="C155" s="252"/>
      <c r="D155" s="331"/>
      <c r="F155" s="250"/>
      <c r="I155" s="847"/>
    </row>
    <row r="156">
      <c r="A156" s="265"/>
      <c r="B156" s="268"/>
      <c r="C156" s="252"/>
      <c r="D156" s="822"/>
      <c r="F156" s="250"/>
      <c r="I156" s="847"/>
    </row>
    <row r="157">
      <c r="A157" s="265"/>
      <c r="B157" s="268"/>
      <c r="C157" s="252"/>
      <c r="D157" s="822"/>
      <c r="F157" s="250"/>
      <c r="I157" s="847"/>
    </row>
    <row r="158">
      <c r="A158" s="270"/>
      <c r="B158" s="271"/>
      <c r="C158" s="272"/>
      <c r="D158" s="823"/>
      <c r="E158" s="18"/>
      <c r="F158" s="274"/>
      <c r="G158" s="18"/>
      <c r="H158" s="18"/>
      <c r="I158" s="663"/>
    </row>
    <row r="159">
      <c r="A159" s="262" t="s">
        <v>491</v>
      </c>
      <c r="B159" s="306"/>
      <c r="C159" s="240"/>
      <c r="D159" s="821"/>
      <c r="E159" s="242"/>
      <c r="F159" s="243">
        <v>588.0</v>
      </c>
      <c r="G159" s="244" t="s">
        <v>708</v>
      </c>
      <c r="H159" s="244"/>
      <c r="I159" s="662"/>
    </row>
    <row r="160">
      <c r="A160" s="265"/>
      <c r="B160" s="268"/>
      <c r="C160" s="252"/>
      <c r="D160" s="331"/>
      <c r="F160" s="250">
        <v>2500.0</v>
      </c>
      <c r="G160" s="2" t="s">
        <v>139</v>
      </c>
      <c r="I160" s="847"/>
    </row>
    <row r="161">
      <c r="A161" s="265"/>
      <c r="B161" s="268"/>
      <c r="C161" s="248" t="s">
        <v>3444</v>
      </c>
      <c r="D161" s="331"/>
      <c r="F161" s="250"/>
      <c r="G161" s="2" t="s">
        <v>3445</v>
      </c>
      <c r="I161" s="847"/>
    </row>
    <row r="162">
      <c r="A162" s="265"/>
      <c r="B162" s="268"/>
      <c r="C162" s="252"/>
      <c r="D162" s="822"/>
      <c r="F162" s="250">
        <v>2728.0</v>
      </c>
      <c r="G162" s="2" t="s">
        <v>3446</v>
      </c>
      <c r="I162" s="847"/>
    </row>
    <row r="163">
      <c r="A163" s="265"/>
      <c r="B163" s="268"/>
      <c r="C163" s="252"/>
      <c r="D163" s="331"/>
      <c r="F163" s="250">
        <v>4578.0</v>
      </c>
      <c r="G163" s="2" t="s">
        <v>3447</v>
      </c>
      <c r="I163" s="847"/>
    </row>
    <row r="164">
      <c r="A164" s="265"/>
      <c r="B164" s="268"/>
      <c r="C164" s="252"/>
      <c r="D164" s="822"/>
      <c r="F164" s="250">
        <v>400.0</v>
      </c>
      <c r="G164" s="2" t="s">
        <v>3333</v>
      </c>
      <c r="I164" s="847"/>
    </row>
    <row r="165">
      <c r="A165" s="265"/>
      <c r="B165" s="247">
        <v>10890.0</v>
      </c>
      <c r="C165" s="252"/>
      <c r="D165" s="822"/>
      <c r="F165" s="250"/>
      <c r="G165" s="2" t="s">
        <v>877</v>
      </c>
      <c r="I165" s="847"/>
    </row>
    <row r="166">
      <c r="A166" s="265"/>
      <c r="B166" s="247">
        <v>4213.8</v>
      </c>
      <c r="C166" s="252"/>
      <c r="D166" s="822"/>
      <c r="F166" s="250"/>
      <c r="G166" s="2" t="s">
        <v>3448</v>
      </c>
      <c r="I166" s="847"/>
    </row>
    <row r="167">
      <c r="A167" s="265"/>
      <c r="B167" s="268"/>
      <c r="C167" s="252"/>
      <c r="D167" s="822"/>
      <c r="F167" s="250">
        <v>450.0</v>
      </c>
      <c r="G167" s="2" t="s">
        <v>344</v>
      </c>
      <c r="I167" s="847"/>
    </row>
    <row r="168">
      <c r="A168" s="265"/>
      <c r="B168" s="268"/>
      <c r="C168" s="252"/>
      <c r="D168" s="822"/>
      <c r="F168" s="250"/>
      <c r="I168" s="847"/>
    </row>
    <row r="169">
      <c r="A169" s="265"/>
      <c r="B169" s="268"/>
      <c r="C169" s="252"/>
      <c r="D169" s="822"/>
      <c r="F169" s="250"/>
      <c r="I169" s="847"/>
    </row>
    <row r="170">
      <c r="A170" s="265"/>
      <c r="B170" s="268"/>
      <c r="C170" s="252"/>
      <c r="D170" s="822"/>
      <c r="F170" s="250"/>
      <c r="I170" s="847"/>
    </row>
    <row r="171">
      <c r="A171" s="265"/>
      <c r="B171" s="268"/>
      <c r="C171" s="252"/>
      <c r="D171" s="822"/>
      <c r="F171" s="250"/>
      <c r="I171" s="847"/>
    </row>
    <row r="172">
      <c r="A172" s="265"/>
      <c r="B172" s="268"/>
      <c r="C172" s="252"/>
      <c r="D172" s="822"/>
      <c r="F172" s="250"/>
      <c r="I172" s="847"/>
    </row>
    <row r="173">
      <c r="A173" s="270"/>
      <c r="B173" s="271"/>
      <c r="C173" s="272"/>
      <c r="D173" s="823"/>
      <c r="E173" s="18"/>
      <c r="F173" s="259"/>
      <c r="G173" s="293"/>
      <c r="H173" s="18"/>
      <c r="I173" s="663"/>
    </row>
    <row r="174">
      <c r="A174" s="262" t="s">
        <v>3075</v>
      </c>
      <c r="B174" s="306"/>
      <c r="C174" s="240"/>
      <c r="D174" s="821"/>
      <c r="E174" s="242"/>
      <c r="F174" s="243">
        <v>7860.0</v>
      </c>
      <c r="G174" s="244" t="s">
        <v>3212</v>
      </c>
      <c r="I174" s="244"/>
    </row>
    <row r="175">
      <c r="A175" s="265"/>
      <c r="B175" s="268"/>
      <c r="C175" s="248"/>
      <c r="D175" s="331"/>
      <c r="F175" s="250">
        <v>7200.0</v>
      </c>
      <c r="G175" s="2" t="s">
        <v>64</v>
      </c>
      <c r="I175" s="847"/>
    </row>
    <row r="176">
      <c r="A176" s="265"/>
      <c r="B176" s="268"/>
      <c r="C176" s="252"/>
      <c r="D176" s="822"/>
      <c r="F176" s="250">
        <v>2500.0</v>
      </c>
      <c r="G176" s="2" t="s">
        <v>3003</v>
      </c>
      <c r="I176" s="847"/>
    </row>
    <row r="177">
      <c r="A177" s="265"/>
      <c r="B177" s="268"/>
      <c r="C177" s="252"/>
      <c r="D177" s="822"/>
      <c r="F177" s="250">
        <v>700.0</v>
      </c>
      <c r="G177" s="2" t="s">
        <v>3380</v>
      </c>
      <c r="I177" s="847"/>
    </row>
    <row r="178">
      <c r="A178" s="265"/>
      <c r="B178" s="268"/>
      <c r="C178" s="248"/>
      <c r="D178" s="822"/>
      <c r="F178" s="250">
        <v>400.0</v>
      </c>
      <c r="G178" s="2" t="s">
        <v>3333</v>
      </c>
      <c r="I178" s="847"/>
    </row>
    <row r="179">
      <c r="A179" s="265"/>
      <c r="B179" s="247"/>
      <c r="C179" s="252"/>
      <c r="D179" s="822"/>
      <c r="F179" s="250">
        <v>6500.0</v>
      </c>
      <c r="G179" s="2" t="s">
        <v>3102</v>
      </c>
      <c r="I179" s="847"/>
    </row>
    <row r="180">
      <c r="A180" s="265"/>
      <c r="B180" s="268"/>
      <c r="C180" s="252"/>
      <c r="D180" s="331">
        <v>13950.0</v>
      </c>
      <c r="F180" s="250"/>
      <c r="G180" s="2" t="s">
        <v>3449</v>
      </c>
      <c r="I180" s="847"/>
    </row>
    <row r="181">
      <c r="A181" s="265"/>
      <c r="B181" s="268"/>
      <c r="C181" s="252"/>
      <c r="D181" s="822"/>
      <c r="F181" s="250"/>
      <c r="I181" s="847"/>
    </row>
    <row r="182">
      <c r="A182" s="265"/>
      <c r="B182" s="268"/>
      <c r="C182" s="252"/>
      <c r="D182" s="822"/>
      <c r="F182" s="250"/>
      <c r="I182" s="847"/>
    </row>
    <row r="183">
      <c r="A183" s="265"/>
      <c r="B183" s="278"/>
      <c r="C183" s="252"/>
      <c r="D183" s="822"/>
      <c r="F183" s="250"/>
      <c r="I183" s="847"/>
    </row>
    <row r="184">
      <c r="A184" s="265"/>
      <c r="B184" s="278"/>
      <c r="C184" s="252"/>
      <c r="D184" s="822"/>
      <c r="F184" s="250"/>
      <c r="I184" s="847"/>
    </row>
    <row r="185">
      <c r="A185" s="265"/>
      <c r="B185" s="278"/>
      <c r="C185" s="252"/>
      <c r="D185" s="822"/>
      <c r="F185" s="250"/>
      <c r="I185" s="847"/>
    </row>
    <row r="186">
      <c r="A186" s="265"/>
      <c r="B186" s="278"/>
      <c r="C186" s="252"/>
      <c r="D186" s="822"/>
      <c r="F186" s="282"/>
      <c r="I186" s="847"/>
    </row>
    <row r="187">
      <c r="A187" s="265"/>
      <c r="B187" s="278"/>
      <c r="C187" s="252"/>
      <c r="D187" s="822"/>
      <c r="F187" s="282"/>
      <c r="I187" s="847"/>
    </row>
    <row r="188">
      <c r="A188" s="265"/>
      <c r="B188" s="278"/>
      <c r="C188" s="252"/>
      <c r="D188" s="822"/>
      <c r="F188" s="282"/>
      <c r="I188" s="847"/>
    </row>
    <row r="189">
      <c r="A189" s="270"/>
      <c r="B189" s="271"/>
      <c r="C189" s="272"/>
      <c r="D189" s="823"/>
      <c r="E189" s="18"/>
      <c r="F189" s="274"/>
      <c r="G189" s="18"/>
      <c r="H189" s="18"/>
      <c r="I189" s="663"/>
    </row>
    <row r="190">
      <c r="A190" s="262" t="s">
        <v>495</v>
      </c>
      <c r="B190" s="306"/>
      <c r="C190" s="263">
        <v>12249.0</v>
      </c>
      <c r="D190" s="824"/>
      <c r="E190" s="242"/>
      <c r="F190" s="243"/>
      <c r="G190" s="244" t="s">
        <v>3450</v>
      </c>
      <c r="H190" s="244"/>
      <c r="I190" s="662"/>
    </row>
    <row r="191">
      <c r="A191" s="265"/>
      <c r="B191" s="247"/>
      <c r="C191" s="252"/>
      <c r="D191" s="822"/>
      <c r="F191" s="250">
        <v>2900.0</v>
      </c>
      <c r="G191" s="2" t="s">
        <v>3451</v>
      </c>
      <c r="I191" s="847"/>
    </row>
    <row r="192">
      <c r="A192" s="265"/>
      <c r="B192" s="268"/>
      <c r="C192" s="252"/>
      <c r="D192" s="331"/>
      <c r="F192" s="250">
        <v>4740.0</v>
      </c>
      <c r="G192" s="2" t="s">
        <v>76</v>
      </c>
      <c r="I192" s="847"/>
    </row>
    <row r="193">
      <c r="A193" s="265"/>
      <c r="B193" s="268"/>
      <c r="C193" s="252"/>
      <c r="D193" s="331"/>
      <c r="F193" s="250">
        <v>200.0</v>
      </c>
      <c r="G193" s="2" t="s">
        <v>85</v>
      </c>
      <c r="I193" s="847"/>
    </row>
    <row r="194">
      <c r="A194" s="265"/>
      <c r="B194" s="247"/>
      <c r="C194" s="252"/>
      <c r="D194" s="331"/>
      <c r="F194" s="250">
        <v>400.0</v>
      </c>
      <c r="G194" s="2" t="s">
        <v>3333</v>
      </c>
      <c r="I194" s="847"/>
    </row>
    <row r="195">
      <c r="A195" s="265"/>
      <c r="B195" s="268"/>
      <c r="C195" s="252"/>
      <c r="D195" s="331"/>
      <c r="F195" s="250"/>
      <c r="I195" s="847"/>
    </row>
    <row r="196">
      <c r="A196" s="265"/>
      <c r="B196" s="268"/>
      <c r="C196" s="252"/>
      <c r="D196" s="822"/>
      <c r="F196" s="250"/>
      <c r="I196" s="847"/>
    </row>
    <row r="197">
      <c r="A197" s="265"/>
      <c r="B197" s="268"/>
      <c r="C197" s="252"/>
      <c r="D197" s="331"/>
      <c r="F197" s="250"/>
      <c r="I197" s="847"/>
    </row>
    <row r="198">
      <c r="A198" s="265"/>
      <c r="B198" s="268"/>
      <c r="C198" s="248"/>
      <c r="D198" s="822"/>
      <c r="F198" s="250"/>
      <c r="I198" s="847"/>
    </row>
    <row r="199">
      <c r="A199" s="265"/>
      <c r="B199" s="268"/>
      <c r="C199" s="248"/>
      <c r="D199" s="822"/>
      <c r="F199" s="250"/>
      <c r="I199" s="847"/>
    </row>
    <row r="200">
      <c r="A200" s="265"/>
      <c r="B200" s="268"/>
      <c r="C200" s="248"/>
      <c r="D200" s="822"/>
      <c r="F200" s="250"/>
      <c r="I200" s="847"/>
    </row>
    <row r="201">
      <c r="A201" s="265"/>
      <c r="B201" s="268"/>
      <c r="C201" s="248"/>
      <c r="D201" s="822"/>
      <c r="F201" s="250"/>
      <c r="I201" s="847"/>
    </row>
    <row r="202">
      <c r="A202" s="270"/>
      <c r="B202" s="271"/>
      <c r="C202" s="272"/>
      <c r="D202" s="823"/>
      <c r="E202" s="18"/>
      <c r="F202" s="274"/>
      <c r="G202" s="18"/>
      <c r="H202" s="18"/>
      <c r="I202" s="663"/>
    </row>
    <row r="203">
      <c r="A203" s="262" t="s">
        <v>497</v>
      </c>
      <c r="B203" s="306"/>
      <c r="C203" s="263"/>
      <c r="D203" s="824"/>
      <c r="E203" s="242"/>
      <c r="F203" s="243">
        <v>5388.0</v>
      </c>
      <c r="G203" s="244" t="s">
        <v>3382</v>
      </c>
      <c r="H203" s="244"/>
      <c r="I203" s="662"/>
    </row>
    <row r="204">
      <c r="A204" s="265"/>
      <c r="B204" s="268"/>
      <c r="C204" s="252"/>
      <c r="D204" s="331"/>
      <c r="F204" s="250">
        <v>7500.0</v>
      </c>
      <c r="G204" s="2" t="s">
        <v>3212</v>
      </c>
      <c r="I204" s="847"/>
    </row>
    <row r="205">
      <c r="A205" s="265"/>
      <c r="B205" s="268"/>
      <c r="C205" s="252"/>
      <c r="D205" s="822"/>
      <c r="F205" s="250">
        <v>3635.0</v>
      </c>
      <c r="G205" s="2" t="s">
        <v>82</v>
      </c>
      <c r="I205" s="847"/>
    </row>
    <row r="206">
      <c r="A206" s="265"/>
      <c r="B206" s="268"/>
      <c r="C206" s="248"/>
      <c r="D206" s="822"/>
      <c r="F206" s="250">
        <v>400.0</v>
      </c>
      <c r="G206" s="2" t="s">
        <v>3333</v>
      </c>
      <c r="I206" s="847"/>
    </row>
    <row r="207">
      <c r="A207" s="265"/>
      <c r="B207" s="268"/>
      <c r="C207" s="252"/>
      <c r="D207" s="822"/>
      <c r="F207" s="250"/>
      <c r="I207" s="847"/>
    </row>
    <row r="208">
      <c r="A208" s="265"/>
      <c r="B208" s="268"/>
      <c r="C208" s="252"/>
      <c r="D208" s="822"/>
      <c r="F208" s="250"/>
      <c r="I208" s="847"/>
    </row>
    <row r="209">
      <c r="A209" s="265"/>
      <c r="B209" s="268"/>
      <c r="C209" s="252"/>
      <c r="D209" s="822"/>
      <c r="F209" s="250"/>
      <c r="I209" s="847"/>
    </row>
    <row r="210">
      <c r="A210" s="265"/>
      <c r="B210" s="268"/>
      <c r="C210" s="252"/>
      <c r="D210" s="822"/>
      <c r="F210" s="250"/>
      <c r="I210" s="847"/>
    </row>
    <row r="211">
      <c r="A211" s="265"/>
      <c r="B211" s="268"/>
      <c r="C211" s="252"/>
      <c r="D211" s="822"/>
      <c r="F211" s="250"/>
      <c r="I211" s="847"/>
    </row>
    <row r="212">
      <c r="A212" s="265"/>
      <c r="B212" s="278"/>
      <c r="C212" s="252"/>
      <c r="D212" s="822"/>
      <c r="F212" s="250"/>
      <c r="I212" s="847"/>
    </row>
    <row r="213">
      <c r="A213" s="265"/>
      <c r="B213" s="278"/>
      <c r="C213" s="252"/>
      <c r="D213" s="822"/>
      <c r="F213" s="282"/>
      <c r="I213" s="847"/>
    </row>
    <row r="214">
      <c r="A214" s="270"/>
      <c r="B214" s="271"/>
      <c r="C214" s="272"/>
      <c r="D214" s="823"/>
      <c r="E214" s="18"/>
      <c r="F214" s="274"/>
      <c r="G214" s="18"/>
      <c r="H214" s="18"/>
      <c r="I214" s="663"/>
    </row>
    <row r="215">
      <c r="A215" s="262" t="s">
        <v>498</v>
      </c>
      <c r="B215" s="306"/>
      <c r="C215" s="240"/>
      <c r="D215" s="821"/>
      <c r="E215" s="242"/>
      <c r="F215" s="243">
        <v>1010.0</v>
      </c>
      <c r="G215" s="244" t="s">
        <v>1732</v>
      </c>
      <c r="H215" s="244"/>
      <c r="I215" s="662"/>
    </row>
    <row r="216">
      <c r="A216" s="265"/>
      <c r="B216" s="268"/>
      <c r="C216" s="252"/>
      <c r="D216" s="331"/>
      <c r="F216" s="250"/>
      <c r="I216" s="847"/>
    </row>
    <row r="217">
      <c r="A217" s="265"/>
      <c r="B217" s="268"/>
      <c r="C217" s="252"/>
      <c r="D217" s="822"/>
      <c r="F217" s="250"/>
      <c r="I217" s="847"/>
    </row>
    <row r="218">
      <c r="A218" s="265"/>
      <c r="B218" s="268"/>
      <c r="C218" s="248"/>
      <c r="D218" s="822"/>
      <c r="F218" s="250"/>
      <c r="I218" s="847"/>
    </row>
    <row r="219">
      <c r="A219" s="265"/>
      <c r="B219" s="268"/>
      <c r="C219" s="248"/>
      <c r="D219" s="822"/>
      <c r="F219" s="250"/>
      <c r="I219" s="847"/>
    </row>
    <row r="220">
      <c r="A220" s="265"/>
      <c r="B220" s="268"/>
      <c r="C220" s="248"/>
      <c r="D220" s="822"/>
      <c r="F220" s="250"/>
      <c r="I220" s="847"/>
    </row>
    <row r="221">
      <c r="A221" s="265"/>
      <c r="B221" s="268"/>
      <c r="C221" s="252"/>
      <c r="D221" s="822"/>
      <c r="F221" s="250"/>
      <c r="I221" s="847"/>
    </row>
    <row r="222">
      <c r="A222" s="265"/>
      <c r="B222" s="268"/>
      <c r="C222" s="252"/>
      <c r="D222" s="822"/>
      <c r="F222" s="250"/>
      <c r="I222" s="847"/>
    </row>
    <row r="223">
      <c r="A223" s="265"/>
      <c r="B223" s="268"/>
      <c r="C223" s="252"/>
      <c r="D223" s="822"/>
      <c r="F223" s="250"/>
      <c r="I223" s="847"/>
    </row>
    <row r="224">
      <c r="A224" s="265"/>
      <c r="B224" s="268"/>
      <c r="C224" s="252"/>
      <c r="D224" s="822"/>
      <c r="F224" s="250"/>
      <c r="I224" s="847"/>
    </row>
    <row r="225">
      <c r="A225" s="270"/>
      <c r="B225" s="271"/>
      <c r="C225" s="272"/>
      <c r="D225" s="823"/>
      <c r="E225" s="18"/>
      <c r="F225" s="274"/>
      <c r="G225" s="18"/>
      <c r="H225" s="18"/>
      <c r="I225" s="663"/>
    </row>
    <row r="226">
      <c r="A226" s="262" t="s">
        <v>499</v>
      </c>
      <c r="B226" s="306"/>
      <c r="C226" s="240"/>
      <c r="D226" s="824"/>
      <c r="E226" s="242"/>
      <c r="F226" s="243">
        <v>6850.0</v>
      </c>
      <c r="G226" s="244" t="s">
        <v>3452</v>
      </c>
      <c r="H226" s="244"/>
      <c r="I226" s="662"/>
    </row>
    <row r="227">
      <c r="A227" s="265"/>
      <c r="B227" s="247"/>
      <c r="C227" s="252"/>
      <c r="D227" s="822"/>
      <c r="F227" s="250">
        <v>2990.0</v>
      </c>
      <c r="G227" s="2" t="s">
        <v>3183</v>
      </c>
      <c r="I227" s="847"/>
    </row>
    <row r="228">
      <c r="A228" s="265"/>
      <c r="B228" s="268"/>
      <c r="C228" s="252"/>
      <c r="D228" s="822"/>
      <c r="F228" s="250">
        <v>6986.0</v>
      </c>
      <c r="G228" s="2" t="s">
        <v>3370</v>
      </c>
      <c r="I228" s="847"/>
    </row>
    <row r="229">
      <c r="A229" s="265"/>
      <c r="B229" s="268"/>
      <c r="C229" s="252"/>
      <c r="D229" s="822"/>
      <c r="F229" s="250">
        <v>7200.0</v>
      </c>
      <c r="G229" s="2" t="s">
        <v>87</v>
      </c>
      <c r="I229" s="847"/>
    </row>
    <row r="230">
      <c r="A230" s="265"/>
      <c r="B230" s="268"/>
      <c r="C230" s="252"/>
      <c r="D230" s="822"/>
      <c r="F230" s="250">
        <v>288.0</v>
      </c>
      <c r="G230" s="2" t="s">
        <v>724</v>
      </c>
      <c r="I230" s="847"/>
    </row>
    <row r="231">
      <c r="A231" s="265"/>
      <c r="B231" s="268"/>
      <c r="C231" s="252"/>
      <c r="D231" s="822"/>
      <c r="F231" s="250"/>
      <c r="I231" s="847"/>
    </row>
    <row r="232">
      <c r="A232" s="265"/>
      <c r="B232" s="268"/>
      <c r="C232" s="252"/>
      <c r="D232" s="822"/>
      <c r="F232" s="250"/>
      <c r="I232" s="847"/>
    </row>
    <row r="233">
      <c r="A233" s="265"/>
      <c r="B233" s="268"/>
      <c r="C233" s="252"/>
      <c r="D233" s="822"/>
      <c r="F233" s="250"/>
      <c r="I233" s="847"/>
    </row>
    <row r="234">
      <c r="A234" s="265"/>
      <c r="B234" s="268"/>
      <c r="C234" s="252"/>
      <c r="D234" s="822"/>
      <c r="F234" s="250"/>
      <c r="I234" s="847"/>
    </row>
    <row r="235">
      <c r="A235" s="265"/>
      <c r="B235" s="268"/>
      <c r="C235" s="252"/>
      <c r="D235" s="822"/>
      <c r="F235" s="250"/>
      <c r="I235" s="847"/>
    </row>
    <row r="236">
      <c r="A236" s="265"/>
      <c r="B236" s="278"/>
      <c r="C236" s="252"/>
      <c r="D236" s="822"/>
      <c r="F236" s="250"/>
      <c r="I236" s="847"/>
    </row>
    <row r="237">
      <c r="A237" s="265"/>
      <c r="B237" s="278"/>
      <c r="C237" s="252"/>
      <c r="D237" s="822"/>
      <c r="F237" s="250"/>
      <c r="I237" s="847"/>
    </row>
    <row r="238">
      <c r="A238" s="265"/>
      <c r="B238" s="278"/>
      <c r="C238" s="252"/>
      <c r="D238" s="822"/>
      <c r="F238" s="250"/>
      <c r="I238" s="847"/>
    </row>
    <row r="239">
      <c r="A239" s="270"/>
      <c r="B239" s="271"/>
      <c r="C239" s="272"/>
      <c r="D239" s="823"/>
      <c r="E239" s="18"/>
      <c r="F239" s="274"/>
      <c r="G239" s="18"/>
      <c r="H239" s="18"/>
      <c r="I239" s="663"/>
    </row>
    <row r="240">
      <c r="A240" s="262" t="s">
        <v>500</v>
      </c>
      <c r="B240" s="306"/>
      <c r="C240" s="240"/>
      <c r="D240" s="824"/>
      <c r="E240" s="242"/>
      <c r="F240" s="243">
        <v>7000.0</v>
      </c>
      <c r="G240" s="244" t="s">
        <v>3453</v>
      </c>
      <c r="H240" s="850"/>
      <c r="I240" s="662"/>
    </row>
    <row r="241">
      <c r="A241" s="265"/>
      <c r="B241" s="268"/>
      <c r="C241" s="248">
        <v>17281.0</v>
      </c>
      <c r="D241" s="822"/>
      <c r="F241" s="250"/>
      <c r="G241" s="2" t="s">
        <v>71</v>
      </c>
      <c r="I241" s="847"/>
    </row>
    <row r="242">
      <c r="A242" s="265"/>
      <c r="B242" s="247"/>
      <c r="C242" s="252"/>
      <c r="D242" s="822"/>
      <c r="F242" s="250">
        <v>2400.0</v>
      </c>
      <c r="G242" s="2" t="s">
        <v>139</v>
      </c>
      <c r="I242" s="847"/>
    </row>
    <row r="243">
      <c r="A243" s="265"/>
      <c r="B243" s="268"/>
      <c r="C243" s="252"/>
      <c r="D243" s="822"/>
      <c r="F243" s="250">
        <v>3630.0</v>
      </c>
      <c r="G243" s="2" t="s">
        <v>3375</v>
      </c>
      <c r="I243" s="847"/>
    </row>
    <row r="244">
      <c r="A244" s="265"/>
      <c r="B244" s="247">
        <v>7151.0</v>
      </c>
      <c r="C244" s="252"/>
      <c r="D244" s="822"/>
      <c r="F244" s="250"/>
      <c r="G244" s="2" t="s">
        <v>3272</v>
      </c>
      <c r="I244" s="847"/>
    </row>
    <row r="245">
      <c r="A245" s="265"/>
      <c r="B245" s="247">
        <v>3113.49</v>
      </c>
      <c r="C245" s="248"/>
      <c r="D245" s="822"/>
      <c r="F245" s="250"/>
      <c r="G245" s="2" t="s">
        <v>3454</v>
      </c>
      <c r="I245" s="847"/>
    </row>
    <row r="246">
      <c r="A246" s="265"/>
      <c r="B246" s="268"/>
      <c r="C246" s="252"/>
      <c r="D246" s="822"/>
      <c r="F246" s="250">
        <v>400.0</v>
      </c>
      <c r="G246" s="2" t="s">
        <v>3333</v>
      </c>
      <c r="I246" s="847"/>
    </row>
    <row r="247">
      <c r="A247" s="265"/>
      <c r="B247" s="268"/>
      <c r="C247" s="252"/>
      <c r="D247" s="822"/>
      <c r="F247" s="250"/>
      <c r="I247" s="847"/>
    </row>
    <row r="248">
      <c r="A248" s="265"/>
      <c r="B248" s="268"/>
      <c r="C248" s="248"/>
      <c r="D248" s="822"/>
      <c r="F248" s="250"/>
      <c r="I248" s="847"/>
    </row>
    <row r="249">
      <c r="A249" s="265"/>
      <c r="B249" s="268"/>
      <c r="C249" s="252"/>
      <c r="D249" s="822"/>
      <c r="F249" s="250"/>
      <c r="I249" s="847"/>
    </row>
    <row r="250">
      <c r="A250" s="265"/>
      <c r="B250" s="268"/>
      <c r="C250" s="252"/>
      <c r="D250" s="822"/>
      <c r="F250" s="250"/>
      <c r="I250" s="847"/>
    </row>
    <row r="251">
      <c r="A251" s="265"/>
      <c r="B251" s="268"/>
      <c r="C251" s="252"/>
      <c r="D251" s="822"/>
      <c r="F251" s="250"/>
      <c r="I251" s="847"/>
    </row>
    <row r="252">
      <c r="A252" s="265"/>
      <c r="B252" s="268"/>
      <c r="C252" s="252"/>
      <c r="D252" s="822"/>
      <c r="F252" s="250"/>
      <c r="I252" s="847"/>
    </row>
    <row r="253">
      <c r="A253" s="265"/>
      <c r="B253" s="268"/>
      <c r="C253" s="252"/>
      <c r="D253" s="822"/>
      <c r="F253" s="250"/>
      <c r="I253" s="847"/>
    </row>
    <row r="254">
      <c r="A254" s="270"/>
      <c r="B254" s="271"/>
      <c r="C254" s="272"/>
      <c r="D254" s="823"/>
      <c r="E254" s="18"/>
      <c r="F254" s="274"/>
      <c r="G254" s="18"/>
      <c r="H254" s="18"/>
      <c r="I254" s="663"/>
    </row>
    <row r="255">
      <c r="A255" s="262" t="s">
        <v>503</v>
      </c>
      <c r="B255" s="306"/>
      <c r="C255" s="263"/>
      <c r="D255" s="821"/>
      <c r="E255" s="242"/>
      <c r="F255" s="243">
        <v>2600.0</v>
      </c>
      <c r="G255" s="244" t="s">
        <v>3003</v>
      </c>
      <c r="H255" s="244"/>
      <c r="I255" s="662"/>
    </row>
    <row r="256">
      <c r="A256" s="265"/>
      <c r="B256" s="268"/>
      <c r="C256" s="252"/>
      <c r="D256" s="822"/>
      <c r="F256" s="250">
        <v>4928.0</v>
      </c>
      <c r="G256" s="2" t="s">
        <v>1750</v>
      </c>
      <c r="I256" s="847"/>
    </row>
    <row r="257">
      <c r="A257" s="265"/>
      <c r="B257" s="268"/>
      <c r="C257" s="252"/>
      <c r="D257" s="331"/>
      <c r="F257" s="250">
        <v>400.0</v>
      </c>
      <c r="G257" s="2" t="s">
        <v>3333</v>
      </c>
      <c r="I257" s="847"/>
    </row>
    <row r="258">
      <c r="A258" s="265"/>
      <c r="B258" s="268"/>
      <c r="C258" s="252"/>
      <c r="D258" s="822"/>
      <c r="F258" s="250"/>
      <c r="I258" s="847"/>
    </row>
    <row r="259">
      <c r="A259" s="265"/>
      <c r="B259" s="268"/>
      <c r="C259" s="252"/>
      <c r="D259" s="822"/>
      <c r="F259" s="250"/>
      <c r="I259" s="847"/>
    </row>
    <row r="260">
      <c r="A260" s="265"/>
      <c r="B260" s="268"/>
      <c r="C260" s="252"/>
      <c r="D260" s="822"/>
      <c r="F260" s="250"/>
      <c r="H260" s="252"/>
      <c r="I260" s="847"/>
    </row>
    <row r="261">
      <c r="A261" s="265"/>
      <c r="B261" s="268"/>
      <c r="C261" s="252"/>
      <c r="D261" s="822"/>
      <c r="F261" s="250"/>
      <c r="I261" s="847"/>
    </row>
    <row r="262">
      <c r="A262" s="265"/>
      <c r="B262" s="268"/>
      <c r="C262" s="252"/>
      <c r="D262" s="822"/>
      <c r="F262" s="250"/>
      <c r="I262" s="847"/>
    </row>
    <row r="263">
      <c r="A263" s="265"/>
      <c r="B263" s="268"/>
      <c r="C263" s="252"/>
      <c r="D263" s="822"/>
      <c r="F263" s="250"/>
      <c r="I263" s="847"/>
    </row>
    <row r="264">
      <c r="A264" s="265"/>
      <c r="B264" s="268"/>
      <c r="C264" s="252"/>
      <c r="D264" s="822"/>
      <c r="F264" s="250"/>
      <c r="I264" s="847"/>
    </row>
    <row r="265">
      <c r="A265" s="265"/>
      <c r="B265" s="268"/>
      <c r="C265" s="252"/>
      <c r="D265" s="822"/>
      <c r="F265" s="250"/>
      <c r="I265" s="847"/>
    </row>
    <row r="266">
      <c r="A266" s="265"/>
      <c r="B266" s="268"/>
      <c r="C266" s="252"/>
      <c r="D266" s="822"/>
      <c r="F266" s="250"/>
      <c r="I266" s="847"/>
    </row>
    <row r="267">
      <c r="A267" s="270"/>
      <c r="B267" s="271"/>
      <c r="C267" s="272"/>
      <c r="D267" s="823"/>
      <c r="E267" s="18"/>
      <c r="F267" s="274"/>
      <c r="G267" s="18"/>
      <c r="H267" s="18"/>
      <c r="I267" s="663"/>
    </row>
    <row r="268">
      <c r="A268" s="262" t="s">
        <v>506</v>
      </c>
      <c r="B268" s="306"/>
      <c r="C268" s="263"/>
      <c r="D268" s="824"/>
      <c r="E268" s="242"/>
      <c r="F268" s="243">
        <v>5282.0</v>
      </c>
      <c r="G268" s="244" t="s">
        <v>74</v>
      </c>
      <c r="H268" s="244"/>
      <c r="I268" s="662"/>
    </row>
    <row r="269">
      <c r="A269" s="265"/>
      <c r="B269" s="268"/>
      <c r="C269" s="252"/>
      <c r="D269" s="822"/>
      <c r="F269" s="250">
        <v>610.0</v>
      </c>
      <c r="G269" s="2" t="s">
        <v>71</v>
      </c>
      <c r="I269" s="847"/>
    </row>
    <row r="270">
      <c r="A270" s="265"/>
      <c r="B270" s="268"/>
      <c r="C270" s="252"/>
      <c r="D270" s="822"/>
      <c r="F270" s="250">
        <v>4670.0</v>
      </c>
      <c r="G270" s="2" t="s">
        <v>76</v>
      </c>
      <c r="I270" s="847"/>
    </row>
    <row r="271">
      <c r="A271" s="265"/>
      <c r="B271" s="268"/>
      <c r="C271" s="248">
        <v>19193.0</v>
      </c>
      <c r="D271" s="822"/>
      <c r="F271" s="250"/>
      <c r="G271" s="2" t="s">
        <v>3455</v>
      </c>
      <c r="I271" s="847"/>
    </row>
    <row r="272">
      <c r="A272" s="265"/>
      <c r="B272" s="247"/>
      <c r="C272" s="252"/>
      <c r="D272" s="822"/>
      <c r="F272" s="250">
        <v>400.0</v>
      </c>
      <c r="G272" s="2" t="s">
        <v>3333</v>
      </c>
      <c r="I272" s="847"/>
    </row>
    <row r="273">
      <c r="A273" s="265"/>
      <c r="B273" s="268"/>
      <c r="C273" s="248"/>
      <c r="D273" s="331"/>
      <c r="F273" s="250"/>
      <c r="I273" s="847"/>
    </row>
    <row r="274">
      <c r="A274" s="265"/>
      <c r="B274" s="268"/>
      <c r="C274" s="252"/>
      <c r="D274" s="331"/>
      <c r="F274" s="250"/>
      <c r="I274" s="847"/>
    </row>
    <row r="275">
      <c r="A275" s="265"/>
      <c r="B275" s="268"/>
      <c r="C275" s="252"/>
      <c r="D275" s="822"/>
      <c r="F275" s="250"/>
      <c r="I275" s="847"/>
    </row>
    <row r="276">
      <c r="A276" s="265"/>
      <c r="B276" s="268"/>
      <c r="C276" s="252"/>
      <c r="D276" s="331"/>
      <c r="F276" s="250"/>
      <c r="I276" s="847"/>
    </row>
    <row r="277">
      <c r="A277" s="265"/>
      <c r="B277" s="268"/>
      <c r="C277" s="252"/>
      <c r="D277" s="331"/>
      <c r="F277" s="250"/>
      <c r="I277" s="847"/>
    </row>
    <row r="278">
      <c r="A278" s="265"/>
      <c r="B278" s="268"/>
      <c r="C278" s="252"/>
      <c r="D278" s="822"/>
      <c r="F278" s="250"/>
      <c r="H278" s="838"/>
      <c r="I278" s="847"/>
    </row>
    <row r="279">
      <c r="A279" s="265"/>
      <c r="B279" s="268"/>
      <c r="C279" s="252"/>
      <c r="D279" s="822"/>
      <c r="F279" s="250"/>
      <c r="I279" s="847"/>
    </row>
    <row r="280">
      <c r="A280" s="265"/>
      <c r="B280" s="268"/>
      <c r="C280" s="252"/>
      <c r="D280" s="822"/>
      <c r="F280" s="250"/>
      <c r="I280" s="847"/>
    </row>
    <row r="281">
      <c r="A281" s="270"/>
      <c r="B281" s="271"/>
      <c r="C281" s="272"/>
      <c r="D281" s="823"/>
      <c r="E281" s="18"/>
      <c r="F281" s="274"/>
      <c r="G281" s="18"/>
      <c r="H281" s="18"/>
      <c r="I281" s="663"/>
    </row>
    <row r="282">
      <c r="A282" s="262" t="s">
        <v>508</v>
      </c>
      <c r="B282" s="306"/>
      <c r="C282" s="240"/>
      <c r="D282" s="824"/>
      <c r="E282" s="242"/>
      <c r="F282" s="243">
        <v>8814.0</v>
      </c>
      <c r="G282" s="244" t="s">
        <v>3423</v>
      </c>
      <c r="H282" s="244"/>
      <c r="I282" s="662"/>
    </row>
    <row r="283">
      <c r="A283" s="265"/>
      <c r="B283" s="268"/>
      <c r="C283" s="248"/>
      <c r="D283" s="822"/>
      <c r="F283" s="250">
        <v>7200.0</v>
      </c>
      <c r="G283" s="2" t="s">
        <v>87</v>
      </c>
      <c r="I283" s="847"/>
    </row>
    <row r="284">
      <c r="A284" s="265"/>
      <c r="B284" s="268"/>
      <c r="C284" s="248"/>
      <c r="D284" s="822"/>
      <c r="F284" s="250">
        <v>3100.0</v>
      </c>
      <c r="G284" s="2" t="s">
        <v>3375</v>
      </c>
      <c r="I284" s="847"/>
    </row>
    <row r="285">
      <c r="A285" s="265"/>
      <c r="B285" s="268"/>
      <c r="C285" s="252"/>
      <c r="D285" s="822"/>
      <c r="F285" s="250">
        <v>200.0</v>
      </c>
      <c r="G285" s="2" t="s">
        <v>3374</v>
      </c>
      <c r="H285" s="838"/>
      <c r="I285" s="847"/>
    </row>
    <row r="286">
      <c r="A286" s="265"/>
      <c r="B286" s="268"/>
      <c r="C286" s="252"/>
      <c r="D286" s="822"/>
      <c r="F286" s="250"/>
      <c r="I286" s="847"/>
    </row>
    <row r="287">
      <c r="A287" s="265"/>
      <c r="B287" s="268"/>
      <c r="C287" s="252"/>
      <c r="D287" s="822"/>
      <c r="F287" s="250"/>
      <c r="I287" s="847"/>
    </row>
    <row r="288">
      <c r="A288" s="265"/>
      <c r="B288" s="268"/>
      <c r="C288" s="248"/>
      <c r="D288" s="822"/>
      <c r="F288" s="243"/>
      <c r="G288" s="244"/>
      <c r="H288" s="244"/>
      <c r="I288" s="847"/>
    </row>
    <row r="289">
      <c r="A289" s="265"/>
      <c r="B289" s="268"/>
      <c r="C289" s="252"/>
      <c r="D289" s="822"/>
      <c r="F289" s="250"/>
      <c r="I289" s="847"/>
    </row>
    <row r="290">
      <c r="A290" s="265"/>
      <c r="B290" s="268"/>
      <c r="C290" s="252"/>
      <c r="D290" s="822"/>
      <c r="F290" s="250"/>
      <c r="I290" s="847"/>
    </row>
    <row r="291">
      <c r="A291" s="265"/>
      <c r="B291" s="268"/>
      <c r="C291" s="252"/>
      <c r="D291" s="822"/>
      <c r="F291" s="250"/>
      <c r="I291" s="847"/>
    </row>
    <row r="292">
      <c r="A292" s="265"/>
      <c r="B292" s="268"/>
      <c r="C292" s="252"/>
      <c r="D292" s="822"/>
      <c r="F292" s="250"/>
      <c r="I292" s="847"/>
    </row>
    <row r="293">
      <c r="A293" s="265"/>
      <c r="B293" s="268"/>
      <c r="C293" s="252"/>
      <c r="D293" s="822"/>
      <c r="F293" s="250"/>
      <c r="I293" s="847"/>
    </row>
    <row r="294">
      <c r="A294" s="265"/>
      <c r="B294" s="268"/>
      <c r="C294" s="252"/>
      <c r="D294" s="822"/>
      <c r="F294" s="250"/>
      <c r="I294" s="847"/>
    </row>
    <row r="295">
      <c r="A295" s="265"/>
      <c r="B295" s="268"/>
      <c r="C295" s="252"/>
      <c r="D295" s="822"/>
      <c r="F295" s="250"/>
      <c r="I295" s="847"/>
    </row>
    <row r="296">
      <c r="A296" s="270"/>
      <c r="B296" s="271"/>
      <c r="C296" s="272"/>
      <c r="D296" s="823"/>
      <c r="E296" s="18"/>
      <c r="F296" s="274"/>
      <c r="G296" s="18"/>
      <c r="H296" s="18"/>
      <c r="I296" s="663"/>
    </row>
    <row r="297">
      <c r="A297" s="262" t="s">
        <v>510</v>
      </c>
      <c r="B297" s="306"/>
      <c r="C297" s="240"/>
      <c r="D297" s="824"/>
      <c r="E297" s="242"/>
      <c r="F297" s="250">
        <v>273.0</v>
      </c>
      <c r="G297" s="2" t="s">
        <v>314</v>
      </c>
      <c r="I297" s="662"/>
    </row>
    <row r="298">
      <c r="A298" s="265"/>
      <c r="B298" s="268"/>
      <c r="C298" s="252"/>
      <c r="D298" s="822"/>
      <c r="F298" s="250">
        <v>800.0</v>
      </c>
      <c r="G298" s="2" t="s">
        <v>3416</v>
      </c>
      <c r="I298" s="847"/>
    </row>
    <row r="299">
      <c r="A299" s="265"/>
      <c r="B299" s="268"/>
      <c r="C299" s="252"/>
      <c r="D299" s="822"/>
      <c r="F299" s="250">
        <v>240.0</v>
      </c>
      <c r="G299" s="2" t="s">
        <v>3456</v>
      </c>
      <c r="I299" s="847"/>
    </row>
    <row r="300">
      <c r="A300" s="265"/>
      <c r="B300" s="268"/>
      <c r="C300" s="252"/>
      <c r="D300" s="822"/>
      <c r="F300" s="250"/>
      <c r="I300" s="847"/>
    </row>
    <row r="301">
      <c r="A301" s="265"/>
      <c r="B301" s="247"/>
      <c r="C301" s="252"/>
      <c r="D301" s="822"/>
      <c r="F301" s="250"/>
      <c r="I301" s="847"/>
    </row>
    <row r="302">
      <c r="A302" s="265"/>
      <c r="B302" s="247"/>
      <c r="C302" s="252"/>
      <c r="D302" s="822"/>
      <c r="F302" s="250"/>
      <c r="I302" s="847"/>
    </row>
    <row r="303">
      <c r="A303" s="265"/>
      <c r="B303" s="268"/>
      <c r="C303" s="252"/>
      <c r="D303" s="331"/>
      <c r="F303" s="250"/>
      <c r="I303" s="847"/>
    </row>
    <row r="304">
      <c r="A304" s="265"/>
      <c r="B304" s="268"/>
      <c r="C304" s="252"/>
      <c r="D304" s="822"/>
      <c r="F304" s="250"/>
      <c r="I304" s="847"/>
    </row>
    <row r="305">
      <c r="A305" s="265"/>
      <c r="B305" s="268"/>
      <c r="C305" s="252"/>
      <c r="D305" s="822"/>
      <c r="F305" s="250"/>
      <c r="I305" s="847"/>
    </row>
    <row r="306">
      <c r="A306" s="265"/>
      <c r="B306" s="268"/>
      <c r="C306" s="252"/>
      <c r="D306" s="822"/>
      <c r="F306" s="250"/>
      <c r="I306" s="847"/>
    </row>
    <row r="307">
      <c r="A307" s="270"/>
      <c r="B307" s="271"/>
      <c r="C307" s="272"/>
      <c r="D307" s="823"/>
      <c r="E307" s="18"/>
      <c r="F307" s="274"/>
      <c r="G307" s="18"/>
      <c r="H307" s="18"/>
      <c r="I307" s="663"/>
    </row>
    <row r="308">
      <c r="A308" s="262" t="s">
        <v>513</v>
      </c>
      <c r="B308" s="306"/>
      <c r="C308" s="240"/>
      <c r="D308" s="824"/>
      <c r="E308" s="242"/>
      <c r="F308" s="243">
        <v>6062.0</v>
      </c>
      <c r="G308" s="244" t="s">
        <v>3457</v>
      </c>
      <c r="H308" s="244"/>
      <c r="I308" s="662"/>
    </row>
    <row r="309">
      <c r="A309" s="265"/>
      <c r="B309" s="268"/>
      <c r="C309" s="252"/>
      <c r="D309" s="822"/>
      <c r="F309" s="250">
        <v>2860.0</v>
      </c>
      <c r="G309" s="2" t="s">
        <v>2755</v>
      </c>
      <c r="I309" s="847"/>
    </row>
    <row r="310">
      <c r="A310" s="265"/>
      <c r="B310" s="268"/>
      <c r="C310" s="248"/>
      <c r="D310" s="822"/>
      <c r="F310" s="250">
        <v>5262.0</v>
      </c>
      <c r="G310" s="2" t="s">
        <v>3003</v>
      </c>
      <c r="I310" s="847"/>
    </row>
    <row r="311">
      <c r="A311" s="265"/>
      <c r="B311" s="268"/>
      <c r="C311" s="252"/>
      <c r="D311" s="822"/>
      <c r="F311" s="250">
        <v>700.0</v>
      </c>
      <c r="G311" s="2" t="s">
        <v>3380</v>
      </c>
      <c r="I311" s="847"/>
    </row>
    <row r="312">
      <c r="A312" s="265"/>
      <c r="B312" s="268"/>
      <c r="C312" s="252"/>
      <c r="D312" s="822"/>
      <c r="F312" s="250">
        <v>500.0</v>
      </c>
      <c r="G312" s="2" t="s">
        <v>260</v>
      </c>
      <c r="I312" s="847"/>
    </row>
    <row r="313">
      <c r="A313" s="265"/>
      <c r="B313" s="247">
        <v>14600.0</v>
      </c>
      <c r="C313" s="252"/>
      <c r="D313" s="822"/>
      <c r="F313" s="250"/>
      <c r="G313" s="2" t="s">
        <v>167</v>
      </c>
      <c r="I313" s="847"/>
    </row>
    <row r="314">
      <c r="A314" s="265"/>
      <c r="B314" s="247">
        <v>7260.0</v>
      </c>
      <c r="C314" s="252"/>
      <c r="D314" s="822"/>
      <c r="F314" s="250"/>
      <c r="G314" s="2" t="s">
        <v>877</v>
      </c>
      <c r="I314" s="847"/>
    </row>
    <row r="315">
      <c r="A315" s="265"/>
      <c r="B315" s="268"/>
      <c r="C315" s="252"/>
      <c r="D315" s="822"/>
      <c r="F315" s="250"/>
      <c r="I315" s="847"/>
    </row>
    <row r="316">
      <c r="A316" s="265"/>
      <c r="B316" s="268"/>
      <c r="C316" s="252"/>
      <c r="D316" s="822"/>
      <c r="F316" s="250"/>
      <c r="I316" s="847"/>
    </row>
    <row r="317">
      <c r="A317" s="265"/>
      <c r="B317" s="268"/>
      <c r="C317" s="252"/>
      <c r="D317" s="822"/>
      <c r="F317" s="250"/>
      <c r="I317" s="847"/>
    </row>
    <row r="318">
      <c r="A318" s="270"/>
      <c r="B318" s="271"/>
      <c r="C318" s="272"/>
      <c r="D318" s="823"/>
      <c r="E318" s="18"/>
      <c r="F318" s="274"/>
      <c r="G318" s="18"/>
      <c r="H318" s="18"/>
      <c r="I318" s="663"/>
    </row>
    <row r="319">
      <c r="A319" s="262" t="s">
        <v>3458</v>
      </c>
      <c r="B319" s="306"/>
      <c r="C319" s="240"/>
      <c r="D319" s="824"/>
      <c r="E319" s="242"/>
      <c r="F319" s="243">
        <v>700.0</v>
      </c>
      <c r="G319" s="244" t="s">
        <v>3459</v>
      </c>
      <c r="H319" s="244"/>
      <c r="I319" s="662"/>
    </row>
    <row r="320">
      <c r="A320" s="265"/>
      <c r="B320" s="268"/>
      <c r="C320" s="252"/>
      <c r="D320" s="822"/>
      <c r="F320" s="250">
        <v>16000.0</v>
      </c>
      <c r="G320" s="2" t="s">
        <v>3460</v>
      </c>
      <c r="I320" s="847"/>
    </row>
    <row r="321">
      <c r="A321" s="265"/>
      <c r="B321" s="268"/>
      <c r="C321" s="252"/>
      <c r="D321" s="822"/>
      <c r="F321" s="250">
        <f>328+500+500+329+780+500+83+1797+440+360+350</f>
        <v>5967</v>
      </c>
      <c r="G321" s="2" t="s">
        <v>2708</v>
      </c>
      <c r="I321" s="847"/>
    </row>
    <row r="322">
      <c r="A322" s="265"/>
      <c r="B322" s="268"/>
      <c r="C322" s="252"/>
      <c r="D322" s="822"/>
      <c r="F322" s="250">
        <v>9000.0</v>
      </c>
      <c r="G322" s="2" t="s">
        <v>3461</v>
      </c>
      <c r="I322" s="847"/>
    </row>
    <row r="323">
      <c r="A323" s="265"/>
      <c r="B323" s="268"/>
      <c r="C323" s="252"/>
      <c r="D323" s="822"/>
      <c r="F323" s="250">
        <f>24490+1550</f>
        <v>26040</v>
      </c>
      <c r="G323" s="2" t="s">
        <v>3460</v>
      </c>
      <c r="I323" s="847"/>
    </row>
    <row r="324">
      <c r="A324" s="265"/>
      <c r="B324" s="268"/>
      <c r="C324" s="252"/>
      <c r="D324" s="822"/>
      <c r="F324" s="250">
        <v>700.0</v>
      </c>
      <c r="G324" s="2" t="s">
        <v>3462</v>
      </c>
      <c r="I324" s="847"/>
    </row>
    <row r="325">
      <c r="A325" s="265"/>
      <c r="B325" s="268"/>
      <c r="C325" s="252"/>
      <c r="D325" s="822"/>
      <c r="F325" s="250">
        <v>9000.0</v>
      </c>
      <c r="G325" s="2" t="s">
        <v>3463</v>
      </c>
      <c r="H325" s="318"/>
      <c r="I325" s="847"/>
    </row>
    <row r="326">
      <c r="A326" s="265"/>
      <c r="B326" s="268"/>
      <c r="C326" s="252"/>
      <c r="D326" s="822"/>
      <c r="F326" s="250">
        <v>7628.0</v>
      </c>
      <c r="G326" s="2" t="s">
        <v>3464</v>
      </c>
      <c r="I326" s="847"/>
    </row>
    <row r="327">
      <c r="A327" s="265"/>
      <c r="B327" s="268"/>
      <c r="C327" s="252"/>
      <c r="D327" s="822"/>
      <c r="F327" s="250">
        <v>16893.0</v>
      </c>
      <c r="G327" s="2" t="s">
        <v>3465</v>
      </c>
      <c r="I327" s="847"/>
    </row>
    <row r="328">
      <c r="A328" s="265"/>
      <c r="B328" s="268"/>
      <c r="C328" s="252"/>
      <c r="D328" s="822"/>
      <c r="F328" s="250">
        <v>390.0</v>
      </c>
      <c r="G328" s="2" t="s">
        <v>3466</v>
      </c>
      <c r="I328" s="847"/>
    </row>
    <row r="329">
      <c r="A329" s="265"/>
      <c r="B329" s="268"/>
      <c r="C329" s="252"/>
      <c r="D329" s="822"/>
      <c r="F329" s="250">
        <v>10000.0</v>
      </c>
      <c r="G329" s="2" t="s">
        <v>3467</v>
      </c>
      <c r="I329" s="847"/>
    </row>
    <row r="330">
      <c r="A330" s="265"/>
      <c r="B330" s="268"/>
      <c r="C330" s="252"/>
      <c r="D330" s="822"/>
      <c r="F330" s="250">
        <v>2728.0</v>
      </c>
      <c r="G330" s="2" t="s">
        <v>3466</v>
      </c>
      <c r="I330" s="847"/>
    </row>
    <row r="331">
      <c r="A331" s="265"/>
      <c r="B331" s="268"/>
      <c r="C331" s="252"/>
      <c r="D331" s="822"/>
      <c r="F331" s="250">
        <v>3720.0</v>
      </c>
      <c r="G331" s="2" t="s">
        <v>3468</v>
      </c>
      <c r="I331" s="847"/>
    </row>
    <row r="332">
      <c r="A332" s="265"/>
      <c r="B332" s="268"/>
      <c r="C332" s="252"/>
      <c r="D332" s="822"/>
      <c r="F332" s="250">
        <v>935.0</v>
      </c>
      <c r="G332" s="2" t="s">
        <v>3469</v>
      </c>
      <c r="I332" s="847"/>
    </row>
    <row r="333">
      <c r="A333" s="265"/>
      <c r="B333" s="268"/>
      <c r="C333" s="252"/>
      <c r="D333" s="822"/>
      <c r="F333" s="250">
        <v>30000.0</v>
      </c>
      <c r="G333" s="2" t="s">
        <v>3470</v>
      </c>
      <c r="I333" s="847"/>
    </row>
    <row r="334">
      <c r="A334" s="265"/>
      <c r="B334" s="268"/>
      <c r="C334" s="252"/>
      <c r="D334" s="822"/>
      <c r="F334" s="250">
        <v>50000.0</v>
      </c>
      <c r="G334" s="2" t="s">
        <v>3471</v>
      </c>
      <c r="I334" s="847"/>
    </row>
    <row r="335">
      <c r="A335" s="265"/>
      <c r="B335" s="268"/>
      <c r="C335" s="252"/>
      <c r="D335" s="822"/>
      <c r="F335" s="250">
        <v>5150.0</v>
      </c>
      <c r="G335" s="2" t="s">
        <v>3466</v>
      </c>
      <c r="I335" s="847"/>
    </row>
    <row r="336">
      <c r="A336" s="265"/>
      <c r="B336" s="268"/>
      <c r="C336" s="252"/>
      <c r="D336" s="822"/>
      <c r="F336" s="250">
        <f>480+620</f>
        <v>1100</v>
      </c>
      <c r="G336" s="2" t="s">
        <v>3472</v>
      </c>
      <c r="I336" s="847"/>
    </row>
    <row r="337">
      <c r="A337" s="265"/>
      <c r="B337" s="268"/>
      <c r="C337" s="252"/>
      <c r="D337" s="822"/>
      <c r="F337" s="250">
        <v>4100.0</v>
      </c>
      <c r="G337" s="2" t="s">
        <v>3473</v>
      </c>
      <c r="I337" s="847"/>
    </row>
    <row r="338">
      <c r="A338" s="265"/>
      <c r="B338" s="268"/>
      <c r="C338" s="252"/>
      <c r="D338" s="822"/>
      <c r="F338" s="250">
        <v>10000.0</v>
      </c>
      <c r="G338" s="2" t="s">
        <v>3474</v>
      </c>
      <c r="I338" s="847"/>
    </row>
    <row r="339">
      <c r="A339" s="265"/>
      <c r="B339" s="268"/>
      <c r="C339" s="252"/>
      <c r="D339" s="822"/>
      <c r="F339" s="250">
        <f>780+423+600</f>
        <v>1803</v>
      </c>
      <c r="G339" s="2" t="s">
        <v>2708</v>
      </c>
      <c r="I339" s="847"/>
    </row>
    <row r="340">
      <c r="A340" s="265"/>
      <c r="B340" s="268"/>
      <c r="C340" s="252"/>
      <c r="D340" s="822"/>
      <c r="F340" s="250">
        <v>345.0</v>
      </c>
      <c r="G340" s="2" t="s">
        <v>3475</v>
      </c>
      <c r="I340" s="847"/>
    </row>
    <row r="341">
      <c r="A341" s="265"/>
      <c r="B341" s="268"/>
      <c r="C341" s="252"/>
      <c r="D341" s="822"/>
      <c r="F341" s="250">
        <v>30000.0</v>
      </c>
      <c r="G341" s="2" t="s">
        <v>2806</v>
      </c>
      <c r="I341" s="847"/>
    </row>
    <row r="342">
      <c r="A342" s="265"/>
      <c r="B342" s="268"/>
      <c r="C342" s="252"/>
      <c r="D342" s="822"/>
      <c r="F342" s="250">
        <v>24000.0</v>
      </c>
      <c r="G342" s="2" t="s">
        <v>3476</v>
      </c>
      <c r="I342" s="847"/>
    </row>
    <row r="343">
      <c r="A343" s="265"/>
      <c r="B343" s="268"/>
      <c r="C343" s="252"/>
      <c r="D343" s="822"/>
      <c r="F343" s="250">
        <v>5000.0</v>
      </c>
      <c r="G343" s="2" t="s">
        <v>3477</v>
      </c>
      <c r="I343" s="847"/>
    </row>
    <row r="344">
      <c r="A344" s="265"/>
      <c r="B344" s="268"/>
      <c r="C344" s="252"/>
      <c r="D344" s="822"/>
      <c r="F344" s="250"/>
      <c r="I344" s="847"/>
    </row>
    <row r="345">
      <c r="A345" s="265"/>
      <c r="B345" s="268"/>
      <c r="C345" s="252"/>
      <c r="D345" s="822"/>
      <c r="F345" s="250">
        <v>162000.0</v>
      </c>
      <c r="G345" s="2" t="s">
        <v>3478</v>
      </c>
      <c r="I345" s="847"/>
    </row>
    <row r="346">
      <c r="A346" s="270"/>
      <c r="B346" s="271"/>
      <c r="C346" s="272"/>
      <c r="D346" s="823"/>
      <c r="E346" s="18"/>
      <c r="F346" s="274"/>
      <c r="G346" s="18"/>
      <c r="H346" s="18"/>
      <c r="I346" s="663"/>
    </row>
    <row r="347">
      <c r="A347" s="305"/>
      <c r="B347" s="306"/>
      <c r="C347" s="240"/>
      <c r="D347" s="824"/>
      <c r="E347" s="242"/>
      <c r="F347" s="243">
        <f>SUM(F319:F346)</f>
        <v>433199</v>
      </c>
      <c r="H347" s="252"/>
      <c r="I347" s="662"/>
    </row>
    <row r="348">
      <c r="A348" s="265"/>
      <c r="B348" s="268"/>
      <c r="C348" s="248"/>
      <c r="D348" s="822"/>
      <c r="F348" s="250"/>
      <c r="H348" s="252"/>
      <c r="I348" s="847"/>
    </row>
    <row r="349">
      <c r="A349" s="265"/>
      <c r="B349" s="268"/>
      <c r="C349" s="248"/>
      <c r="D349" s="822"/>
      <c r="F349" s="250"/>
      <c r="H349" s="252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65"/>
      <c r="B351" s="268"/>
      <c r="C351" s="252"/>
      <c r="D351" s="822"/>
      <c r="F351" s="250"/>
      <c r="I351" s="847"/>
    </row>
    <row r="352">
      <c r="A352" s="265"/>
      <c r="B352" s="268"/>
      <c r="C352" s="252"/>
      <c r="D352" s="822"/>
      <c r="F352" s="250"/>
      <c r="I352" s="847"/>
    </row>
    <row r="353">
      <c r="A353" s="265"/>
      <c r="B353" s="268"/>
      <c r="C353" s="252"/>
      <c r="D353" s="822"/>
      <c r="F353" s="250"/>
      <c r="I353" s="847"/>
    </row>
    <row r="354">
      <c r="A354" s="265"/>
      <c r="B354" s="268"/>
      <c r="C354" s="252"/>
      <c r="D354" s="822"/>
      <c r="F354" s="250"/>
      <c r="I354" s="847"/>
    </row>
    <row r="355">
      <c r="A355" s="265"/>
      <c r="B355" s="268"/>
      <c r="C355" s="252"/>
      <c r="D355" s="822"/>
      <c r="F355" s="250"/>
      <c r="I355" s="847"/>
    </row>
    <row r="356">
      <c r="A356" s="265"/>
      <c r="B356" s="268"/>
      <c r="C356" s="252"/>
      <c r="D356" s="822"/>
      <c r="F356" s="250"/>
      <c r="I356" s="847"/>
    </row>
    <row r="357">
      <c r="A357" s="270"/>
      <c r="B357" s="271"/>
      <c r="C357" s="272"/>
      <c r="D357" s="823"/>
      <c r="E357" s="18"/>
      <c r="F357" s="274"/>
      <c r="G357" s="18"/>
      <c r="H357" s="18"/>
      <c r="I357" s="663"/>
    </row>
    <row r="358">
      <c r="A358" s="262" t="s">
        <v>3479</v>
      </c>
      <c r="B358" s="306"/>
      <c r="C358" s="240"/>
      <c r="D358" s="824"/>
      <c r="E358" s="242"/>
      <c r="F358" s="243">
        <v>7200.0</v>
      </c>
      <c r="G358" s="244" t="s">
        <v>87</v>
      </c>
      <c r="H358" s="244"/>
      <c r="I358" s="662"/>
    </row>
    <row r="359">
      <c r="A359" s="265"/>
      <c r="B359" s="268"/>
      <c r="C359" s="248">
        <v>20586.0</v>
      </c>
      <c r="D359" s="331"/>
      <c r="F359" s="250"/>
      <c r="G359" s="2" t="s">
        <v>71</v>
      </c>
      <c r="I359" s="847"/>
    </row>
    <row r="360">
      <c r="A360" s="265"/>
      <c r="B360" s="268"/>
      <c r="C360" s="252"/>
      <c r="D360" s="331"/>
      <c r="F360" s="250">
        <v>5621.85</v>
      </c>
      <c r="G360" s="2" t="s">
        <v>91</v>
      </c>
      <c r="I360" s="847"/>
    </row>
    <row r="361">
      <c r="A361" s="265"/>
      <c r="B361" s="268"/>
      <c r="C361" s="252"/>
      <c r="D361" s="822"/>
      <c r="F361" s="250">
        <v>2600.0</v>
      </c>
      <c r="G361" s="2" t="s">
        <v>79</v>
      </c>
      <c r="I361" s="847"/>
    </row>
    <row r="362">
      <c r="A362" s="265"/>
      <c r="B362" s="268"/>
      <c r="C362" s="248"/>
      <c r="D362" s="331"/>
      <c r="F362" s="250">
        <v>3634.66</v>
      </c>
      <c r="G362" s="2" t="s">
        <v>2908</v>
      </c>
      <c r="I362" s="847"/>
    </row>
    <row r="363">
      <c r="A363" s="265"/>
      <c r="B363" s="268"/>
      <c r="C363" s="252"/>
      <c r="D363" s="331"/>
      <c r="F363" s="250">
        <v>4580.0</v>
      </c>
      <c r="G363" s="2" t="s">
        <v>150</v>
      </c>
      <c r="I363" s="847"/>
    </row>
    <row r="364">
      <c r="A364" s="265"/>
      <c r="B364" s="268"/>
      <c r="C364" s="252"/>
      <c r="D364" s="822"/>
      <c r="F364" s="250">
        <v>400.0</v>
      </c>
      <c r="G364" s="2" t="s">
        <v>3333</v>
      </c>
      <c r="I364" s="847"/>
    </row>
    <row r="365">
      <c r="A365" s="265"/>
      <c r="B365" s="268"/>
      <c r="C365" s="252"/>
      <c r="D365" s="331"/>
      <c r="F365" s="250">
        <v>530.0</v>
      </c>
      <c r="G365" s="2" t="s">
        <v>1732</v>
      </c>
      <c r="I365" s="847"/>
    </row>
    <row r="366">
      <c r="A366" s="265"/>
      <c r="B366" s="268"/>
      <c r="C366" s="252"/>
      <c r="D366" s="822"/>
      <c r="F366" s="250"/>
      <c r="I366" s="847"/>
    </row>
    <row r="367">
      <c r="A367" s="265"/>
      <c r="B367" s="268"/>
      <c r="C367" s="252"/>
      <c r="D367" s="822"/>
      <c r="F367" s="250"/>
      <c r="I367" s="847"/>
    </row>
    <row r="368">
      <c r="A368" s="265"/>
      <c r="B368" s="268"/>
      <c r="C368" s="252"/>
      <c r="D368" s="331"/>
      <c r="F368" s="250"/>
      <c r="I368" s="847"/>
    </row>
    <row r="369">
      <c r="A369" s="265"/>
      <c r="B369" s="268"/>
      <c r="C369" s="252"/>
      <c r="D369" s="822"/>
      <c r="F369" s="250"/>
      <c r="I369" s="847"/>
    </row>
    <row r="370">
      <c r="A370" s="270"/>
      <c r="B370" s="271"/>
      <c r="C370" s="272"/>
      <c r="D370" s="823"/>
      <c r="E370" s="18"/>
      <c r="F370" s="274"/>
      <c r="G370" s="18"/>
      <c r="H370" s="18"/>
      <c r="I370" s="663"/>
    </row>
    <row r="371">
      <c r="A371" s="262" t="s">
        <v>520</v>
      </c>
      <c r="B371" s="306"/>
      <c r="C371" s="263">
        <v>24380.93</v>
      </c>
      <c r="D371" s="824"/>
      <c r="E371" s="242"/>
      <c r="F371" s="243"/>
      <c r="G371" s="244" t="s">
        <v>951</v>
      </c>
      <c r="H371" s="244"/>
      <c r="I371" s="662"/>
    </row>
    <row r="372">
      <c r="A372" s="265"/>
      <c r="B372" s="268"/>
      <c r="C372" s="248"/>
      <c r="D372" s="331"/>
      <c r="F372" s="250">
        <v>8195.0</v>
      </c>
      <c r="G372" s="2" t="s">
        <v>3370</v>
      </c>
      <c r="I372" s="847"/>
    </row>
    <row r="373">
      <c r="A373" s="265"/>
      <c r="B373" s="268"/>
      <c r="C373" s="252"/>
      <c r="D373" s="822"/>
      <c r="F373" s="250">
        <v>11357.0</v>
      </c>
      <c r="G373" s="2" t="s">
        <v>2456</v>
      </c>
      <c r="I373" s="847"/>
    </row>
    <row r="374">
      <c r="A374" s="265"/>
      <c r="B374" s="268"/>
      <c r="C374" s="252"/>
      <c r="D374" s="822"/>
      <c r="F374" s="250">
        <v>6349.0</v>
      </c>
      <c r="G374" s="2" t="s">
        <v>2794</v>
      </c>
      <c r="I374" s="847"/>
    </row>
    <row r="375">
      <c r="A375" s="265"/>
      <c r="B375" s="268"/>
      <c r="C375" s="252"/>
      <c r="D375" s="331"/>
      <c r="F375" s="250">
        <v>4360.0</v>
      </c>
      <c r="G375" s="2" t="s">
        <v>612</v>
      </c>
      <c r="I375" s="847"/>
    </row>
    <row r="376">
      <c r="A376" s="265"/>
      <c r="B376" s="268"/>
      <c r="C376" s="252"/>
      <c r="D376" s="822"/>
      <c r="F376" s="250">
        <v>4200.0</v>
      </c>
      <c r="G376" s="2" t="s">
        <v>3480</v>
      </c>
      <c r="I376" s="847"/>
    </row>
    <row r="377">
      <c r="A377" s="265"/>
      <c r="B377" s="268"/>
      <c r="C377" s="252"/>
      <c r="D377" s="822"/>
      <c r="F377" s="250">
        <v>400.0</v>
      </c>
      <c r="G377" s="2" t="s">
        <v>3416</v>
      </c>
      <c r="I377" s="847"/>
    </row>
    <row r="378">
      <c r="A378" s="265"/>
      <c r="B378" s="268"/>
      <c r="C378" s="252"/>
      <c r="D378" s="822"/>
      <c r="F378" s="250">
        <v>200.0</v>
      </c>
      <c r="G378" s="2" t="s">
        <v>1729</v>
      </c>
      <c r="I378" s="847"/>
    </row>
    <row r="379">
      <c r="A379" s="265"/>
      <c r="B379" s="268"/>
      <c r="C379" s="252"/>
      <c r="D379" s="822"/>
      <c r="F379" s="250">
        <v>2900.0</v>
      </c>
      <c r="G379" s="2" t="s">
        <v>3481</v>
      </c>
      <c r="I379" s="847"/>
    </row>
    <row r="380">
      <c r="A380" s="265"/>
      <c r="B380" s="278"/>
      <c r="C380" s="252"/>
      <c r="D380" s="822"/>
      <c r="F380" s="282"/>
      <c r="I380" s="847"/>
    </row>
    <row r="381">
      <c r="A381" s="265"/>
      <c r="B381" s="278"/>
      <c r="C381" s="252"/>
      <c r="D381" s="822"/>
      <c r="F381" s="282"/>
      <c r="I381" s="847"/>
    </row>
    <row r="382">
      <c r="A382" s="270"/>
      <c r="B382" s="271"/>
      <c r="C382" s="272"/>
      <c r="D382" s="823"/>
      <c r="E382" s="18"/>
      <c r="F382" s="274"/>
      <c r="G382" s="18"/>
      <c r="H382" s="18"/>
      <c r="I382" s="663"/>
    </row>
    <row r="383">
      <c r="A383" s="305"/>
      <c r="B383" s="306"/>
      <c r="C383" s="240"/>
      <c r="D383" s="824"/>
      <c r="E383" s="242"/>
      <c r="F383" s="243"/>
      <c r="G383" s="244"/>
      <c r="H383" s="244"/>
      <c r="I383" s="662"/>
    </row>
    <row r="384">
      <c r="A384" s="265"/>
      <c r="B384" s="268"/>
      <c r="C384" s="252"/>
      <c r="D384" s="331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331"/>
      <c r="F386" s="250"/>
      <c r="I386" s="847"/>
    </row>
    <row r="387">
      <c r="A387" s="265"/>
      <c r="B387" s="268"/>
      <c r="C387" s="252"/>
      <c r="D387" s="822"/>
      <c r="F387" s="250"/>
      <c r="I387" s="847"/>
    </row>
    <row r="388">
      <c r="A388" s="265"/>
      <c r="B388" s="268"/>
      <c r="C388" s="252"/>
      <c r="D388" s="331"/>
      <c r="F388" s="250"/>
      <c r="I388" s="847"/>
    </row>
    <row r="389">
      <c r="A389" s="265"/>
      <c r="B389" s="268"/>
      <c r="C389" s="252"/>
      <c r="D389" s="822"/>
      <c r="F389" s="250"/>
      <c r="I389" s="847"/>
    </row>
    <row r="390">
      <c r="A390" s="265"/>
      <c r="B390" s="268"/>
      <c r="C390" s="252"/>
      <c r="D390" s="822"/>
      <c r="F390" s="250"/>
      <c r="I390" s="847"/>
    </row>
    <row r="391">
      <c r="A391" s="265"/>
      <c r="B391" s="268"/>
      <c r="C391" s="252"/>
      <c r="D391" s="822"/>
      <c r="F391" s="250"/>
      <c r="I391" s="847"/>
    </row>
    <row r="392">
      <c r="A392" s="265"/>
      <c r="B392" s="268"/>
      <c r="C392" s="252"/>
      <c r="D392" s="822"/>
      <c r="F392" s="250"/>
      <c r="I392" s="847"/>
    </row>
    <row r="393">
      <c r="A393" s="265"/>
      <c r="B393" s="268"/>
      <c r="C393" s="252"/>
      <c r="D393" s="822"/>
      <c r="F393" s="250"/>
      <c r="I393" s="847"/>
    </row>
    <row r="394">
      <c r="A394" s="270"/>
      <c r="B394" s="271"/>
      <c r="C394" s="272"/>
      <c r="D394" s="823"/>
      <c r="E394" s="18"/>
      <c r="F394" s="274"/>
      <c r="G394" s="18"/>
      <c r="H394" s="18"/>
      <c r="I394" s="663"/>
    </row>
    <row r="395">
      <c r="A395" s="305"/>
      <c r="B395" s="306"/>
      <c r="C395" s="240"/>
      <c r="D395" s="824"/>
      <c r="E395" s="242"/>
      <c r="F395" s="243"/>
      <c r="G395" s="244"/>
      <c r="H395" s="244"/>
      <c r="I395" s="662"/>
    </row>
    <row r="396">
      <c r="A396" s="265"/>
      <c r="B396" s="268"/>
      <c r="C396" s="252"/>
      <c r="D396" s="822"/>
      <c r="F396" s="250"/>
      <c r="H396" s="252"/>
      <c r="I396" s="847"/>
    </row>
    <row r="397">
      <c r="A397" s="265"/>
      <c r="B397" s="268"/>
      <c r="C397" s="252"/>
      <c r="D397" s="822"/>
      <c r="F397" s="250"/>
      <c r="H397" s="252"/>
      <c r="I397" s="847"/>
    </row>
    <row r="398">
      <c r="A398" s="265"/>
      <c r="B398" s="268"/>
      <c r="C398" s="252"/>
      <c r="D398" s="822"/>
      <c r="F398" s="250"/>
      <c r="H398" s="252"/>
      <c r="I398" s="847"/>
    </row>
    <row r="399">
      <c r="A399" s="265"/>
      <c r="B399" s="268"/>
      <c r="C399" s="252"/>
      <c r="D399" s="822"/>
      <c r="F399" s="250"/>
      <c r="H399" s="252"/>
      <c r="I399" s="847"/>
    </row>
    <row r="400">
      <c r="A400" s="265"/>
      <c r="B400" s="268"/>
      <c r="C400" s="252"/>
      <c r="D400" s="822"/>
      <c r="F400" s="250"/>
      <c r="I400" s="847"/>
    </row>
    <row r="401">
      <c r="A401" s="265"/>
      <c r="B401" s="268"/>
      <c r="C401" s="252"/>
      <c r="D401" s="822"/>
      <c r="F401" s="250"/>
      <c r="I401" s="847"/>
    </row>
    <row r="402">
      <c r="A402" s="265"/>
      <c r="B402" s="268"/>
      <c r="C402" s="252"/>
      <c r="D402" s="822"/>
      <c r="F402" s="250"/>
      <c r="I402" s="847"/>
    </row>
    <row r="403">
      <c r="A403" s="265"/>
      <c r="B403" s="268"/>
      <c r="C403" s="252"/>
      <c r="D403" s="822"/>
      <c r="F403" s="250"/>
      <c r="I403" s="847"/>
    </row>
    <row r="404">
      <c r="A404" s="270"/>
      <c r="B404" s="271"/>
      <c r="C404" s="272"/>
      <c r="D404" s="823"/>
      <c r="E404" s="18"/>
      <c r="F404" s="274"/>
      <c r="G404" s="18"/>
      <c r="H404" s="18"/>
      <c r="I404" s="663"/>
    </row>
    <row r="405">
      <c r="A405" s="305"/>
      <c r="B405" s="306"/>
      <c r="C405" s="240"/>
      <c r="D405" s="824"/>
      <c r="E405" s="242"/>
      <c r="F405" s="243"/>
      <c r="G405" s="244"/>
      <c r="H405" s="244"/>
      <c r="I405" s="662"/>
    </row>
    <row r="406">
      <c r="A406" s="265"/>
      <c r="B406" s="268"/>
      <c r="C406" s="252"/>
      <c r="D406" s="822"/>
      <c r="F406" s="250"/>
      <c r="I406" s="847"/>
    </row>
    <row r="407">
      <c r="A407" s="265"/>
      <c r="B407" s="268"/>
      <c r="C407" s="252"/>
      <c r="D407" s="822"/>
      <c r="F407" s="250"/>
      <c r="I407" s="847"/>
    </row>
    <row r="408">
      <c r="A408" s="265"/>
      <c r="B408" s="268"/>
      <c r="C408" s="252"/>
      <c r="D408" s="822"/>
      <c r="F408" s="250"/>
      <c r="I408" s="847"/>
    </row>
    <row r="409">
      <c r="A409" s="265"/>
      <c r="B409" s="268"/>
      <c r="C409" s="252"/>
      <c r="D409" s="822"/>
      <c r="F409" s="250"/>
      <c r="I409" s="847"/>
    </row>
    <row r="410">
      <c r="A410" s="265"/>
      <c r="B410" s="268"/>
      <c r="C410" s="252"/>
      <c r="D410" s="822"/>
      <c r="F410" s="250"/>
      <c r="I410" s="847"/>
    </row>
    <row r="411">
      <c r="A411" s="265"/>
      <c r="B411" s="268"/>
      <c r="C411" s="252"/>
      <c r="D411" s="822"/>
      <c r="F411" s="250"/>
      <c r="I411" s="847"/>
    </row>
    <row r="412">
      <c r="A412" s="265"/>
      <c r="B412" s="268"/>
      <c r="C412" s="252"/>
      <c r="D412" s="822"/>
      <c r="F412" s="250"/>
      <c r="I412" s="847"/>
    </row>
    <row r="413">
      <c r="A413" s="265"/>
      <c r="B413" s="268"/>
      <c r="C413" s="252"/>
      <c r="D413" s="822"/>
      <c r="F413" s="250"/>
      <c r="I413" s="847"/>
    </row>
    <row r="414">
      <c r="A414" s="270"/>
      <c r="B414" s="271"/>
      <c r="C414" s="272"/>
      <c r="D414" s="823"/>
      <c r="E414" s="18"/>
      <c r="F414" s="274"/>
      <c r="G414" s="18"/>
      <c r="H414" s="18"/>
      <c r="I414" s="663"/>
    </row>
    <row r="415">
      <c r="B415" s="306"/>
      <c r="C415" s="240"/>
      <c r="D415" s="824"/>
      <c r="E415" s="242"/>
      <c r="F415" s="243"/>
      <c r="G415" s="244"/>
      <c r="H415" s="244"/>
      <c r="I415" s="662"/>
    </row>
    <row r="416">
      <c r="B416" s="268"/>
      <c r="C416" s="252"/>
      <c r="D416" s="822"/>
      <c r="F416" s="250"/>
      <c r="I416" s="847"/>
    </row>
    <row r="417">
      <c r="B417" s="268"/>
      <c r="C417" s="252"/>
      <c r="D417" s="822"/>
      <c r="F417" s="250"/>
      <c r="I417" s="847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  <row r="697">
      <c r="B697" s="308"/>
      <c r="C697" s="252"/>
      <c r="D697" s="822"/>
      <c r="F697" s="309"/>
    </row>
    <row r="698">
      <c r="B698" s="308"/>
      <c r="C698" s="252"/>
      <c r="D698" s="822"/>
      <c r="F698" s="309"/>
    </row>
    <row r="699">
      <c r="B699" s="308"/>
      <c r="C699" s="252"/>
      <c r="D699" s="822"/>
      <c r="F699" s="309"/>
    </row>
    <row r="700">
      <c r="B700" s="308"/>
      <c r="C700" s="252"/>
      <c r="D700" s="822"/>
      <c r="F700" s="309"/>
    </row>
    <row r="701">
      <c r="B701" s="308"/>
      <c r="C701" s="252"/>
      <c r="D701" s="822"/>
      <c r="F701" s="309"/>
    </row>
    <row r="702">
      <c r="B702" s="308"/>
      <c r="C702" s="252"/>
      <c r="D702" s="822"/>
      <c r="F702" s="309"/>
    </row>
    <row r="703">
      <c r="B703" s="308"/>
      <c r="C703" s="252"/>
      <c r="D703" s="822"/>
      <c r="F703" s="309"/>
    </row>
    <row r="704">
      <c r="B704" s="308"/>
      <c r="C704" s="252"/>
      <c r="D704" s="822"/>
      <c r="F704" s="309"/>
    </row>
    <row r="705">
      <c r="B705" s="308"/>
      <c r="C705" s="252"/>
      <c r="D705" s="822"/>
      <c r="F705" s="309"/>
    </row>
    <row r="706">
      <c r="B706" s="308"/>
      <c r="C706" s="252"/>
      <c r="D706" s="822"/>
      <c r="F706" s="309"/>
    </row>
    <row r="707">
      <c r="B707" s="308"/>
      <c r="C707" s="252"/>
      <c r="D707" s="822"/>
      <c r="F707" s="309"/>
    </row>
    <row r="708">
      <c r="B708" s="308"/>
      <c r="C708" s="252"/>
      <c r="D708" s="822"/>
      <c r="F708" s="309"/>
    </row>
    <row r="709">
      <c r="B709" s="308"/>
      <c r="C709" s="252"/>
      <c r="D709" s="822"/>
      <c r="F709" s="309"/>
    </row>
    <row r="710">
      <c r="B710" s="308"/>
      <c r="C710" s="252"/>
      <c r="D710" s="822"/>
      <c r="F710" s="309"/>
    </row>
    <row r="711">
      <c r="B711" s="308"/>
      <c r="C711" s="252"/>
      <c r="D711" s="822"/>
      <c r="F711" s="309"/>
    </row>
    <row r="712">
      <c r="B712" s="308"/>
      <c r="C712" s="252"/>
      <c r="D712" s="822"/>
      <c r="F712" s="309"/>
    </row>
    <row r="713">
      <c r="B713" s="308"/>
      <c r="C713" s="252"/>
      <c r="D713" s="822"/>
      <c r="F713" s="309"/>
    </row>
    <row r="714">
      <c r="B714" s="308"/>
      <c r="C714" s="252"/>
      <c r="D714" s="822"/>
      <c r="F714" s="309"/>
    </row>
    <row r="715">
      <c r="B715" s="308"/>
      <c r="C715" s="252"/>
      <c r="D715" s="822"/>
      <c r="F715" s="309"/>
    </row>
    <row r="716">
      <c r="B716" s="308"/>
      <c r="C716" s="252"/>
      <c r="D716" s="822"/>
      <c r="F716" s="309"/>
    </row>
    <row r="717">
      <c r="B717" s="308"/>
      <c r="C717" s="252"/>
      <c r="D717" s="822"/>
      <c r="F717" s="309"/>
    </row>
    <row r="718">
      <c r="B718" s="308"/>
      <c r="C718" s="252"/>
      <c r="D718" s="822"/>
      <c r="F718" s="309"/>
    </row>
    <row r="719">
      <c r="B719" s="308"/>
      <c r="C719" s="252"/>
      <c r="D719" s="822"/>
      <c r="F719" s="309"/>
    </row>
    <row r="720">
      <c r="B720" s="308"/>
      <c r="C720" s="252"/>
      <c r="D720" s="822"/>
      <c r="F720" s="309"/>
    </row>
    <row r="721">
      <c r="B721" s="308"/>
      <c r="C721" s="252"/>
      <c r="D721" s="822"/>
      <c r="F721" s="309"/>
    </row>
    <row r="722">
      <c r="B722" s="308"/>
      <c r="C722" s="252"/>
      <c r="D722" s="822"/>
      <c r="F722" s="309"/>
    </row>
    <row r="723">
      <c r="B723" s="308"/>
      <c r="C723" s="252"/>
      <c r="D723" s="822"/>
      <c r="F723" s="309"/>
    </row>
  </sheetData>
  <mergeCells count="33">
    <mergeCell ref="G1:H1"/>
    <mergeCell ref="A2:A11"/>
    <mergeCell ref="A12:A24"/>
    <mergeCell ref="A25:A37"/>
    <mergeCell ref="A38:A49"/>
    <mergeCell ref="A52:A61"/>
    <mergeCell ref="A62:A73"/>
    <mergeCell ref="A74:A83"/>
    <mergeCell ref="A84:A96"/>
    <mergeCell ref="A97:A110"/>
    <mergeCell ref="A111:A126"/>
    <mergeCell ref="A127:A138"/>
    <mergeCell ref="A139:A148"/>
    <mergeCell ref="A149:A158"/>
    <mergeCell ref="A159:A173"/>
    <mergeCell ref="A174:A189"/>
    <mergeCell ref="A190:A202"/>
    <mergeCell ref="A203:A214"/>
    <mergeCell ref="A215:A225"/>
    <mergeCell ref="A226:A239"/>
    <mergeCell ref="A240:A254"/>
    <mergeCell ref="A358:A370"/>
    <mergeCell ref="A371:A382"/>
    <mergeCell ref="A383:A394"/>
    <mergeCell ref="A395:A404"/>
    <mergeCell ref="A405:A414"/>
    <mergeCell ref="A255:A267"/>
    <mergeCell ref="A268:A281"/>
    <mergeCell ref="A282:A296"/>
    <mergeCell ref="A297:A307"/>
    <mergeCell ref="A308:A318"/>
    <mergeCell ref="A319:A346"/>
    <mergeCell ref="A347:A3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3413</v>
      </c>
      <c r="B2" s="268"/>
      <c r="C2" s="240"/>
      <c r="D2" s="824"/>
      <c r="E2" s="242"/>
      <c r="F2" s="243">
        <v>2365.0</v>
      </c>
      <c r="G2" s="244" t="s">
        <v>708</v>
      </c>
      <c r="H2" s="244"/>
      <c r="I2" s="662"/>
    </row>
    <row r="3">
      <c r="A3" s="265"/>
      <c r="B3" s="268"/>
      <c r="C3" s="252"/>
      <c r="D3" s="822"/>
      <c r="F3" s="250">
        <v>1400.0</v>
      </c>
      <c r="G3" s="2" t="s">
        <v>176</v>
      </c>
      <c r="I3" s="847"/>
    </row>
    <row r="4">
      <c r="A4" s="265"/>
      <c r="B4" s="268"/>
      <c r="C4" s="252"/>
      <c r="D4" s="822"/>
      <c r="F4" s="243">
        <v>400.0</v>
      </c>
      <c r="G4" s="244" t="s">
        <v>3333</v>
      </c>
      <c r="I4" s="847"/>
    </row>
    <row r="5">
      <c r="A5" s="265"/>
      <c r="B5" s="268"/>
      <c r="C5" s="248"/>
      <c r="D5" s="331">
        <v>18150.0</v>
      </c>
      <c r="F5" s="243"/>
      <c r="G5" s="244" t="s">
        <v>3482</v>
      </c>
      <c r="I5" s="847"/>
    </row>
    <row r="6">
      <c r="A6" s="265"/>
      <c r="B6" s="268"/>
      <c r="C6" s="252"/>
      <c r="D6" s="822"/>
      <c r="F6" s="243"/>
      <c r="G6" s="244"/>
      <c r="I6" s="847"/>
    </row>
    <row r="7">
      <c r="A7" s="265"/>
      <c r="B7" s="268"/>
      <c r="C7" s="252"/>
      <c r="D7" s="822"/>
      <c r="F7" s="250"/>
      <c r="I7" s="847"/>
    </row>
    <row r="8">
      <c r="A8" s="265"/>
      <c r="B8" s="268"/>
      <c r="C8" s="252"/>
      <c r="D8" s="822"/>
      <c r="F8" s="250"/>
      <c r="I8" s="847"/>
    </row>
    <row r="9">
      <c r="A9" s="265"/>
      <c r="B9" s="268"/>
      <c r="C9" s="252"/>
      <c r="D9" s="822"/>
      <c r="F9" s="250"/>
      <c r="I9" s="847"/>
    </row>
    <row r="10">
      <c r="A10" s="265"/>
      <c r="B10" s="268"/>
      <c r="C10" s="252"/>
      <c r="D10" s="822"/>
      <c r="F10" s="250"/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458</v>
      </c>
      <c r="B12" s="268"/>
      <c r="C12" s="240"/>
      <c r="D12" s="821"/>
      <c r="E12" s="242"/>
      <c r="F12" s="243">
        <f>1922+1296+450</f>
        <v>3668</v>
      </c>
      <c r="G12" s="244" t="s">
        <v>1750</v>
      </c>
      <c r="H12" s="244"/>
      <c r="I12" s="662"/>
    </row>
    <row r="13">
      <c r="A13" s="265"/>
      <c r="B13" s="268"/>
      <c r="C13" s="248">
        <v>18772.55</v>
      </c>
      <c r="D13" s="822"/>
      <c r="F13" s="250"/>
      <c r="G13" s="2" t="s">
        <v>71</v>
      </c>
      <c r="I13" s="847"/>
    </row>
    <row r="14">
      <c r="A14" s="265"/>
      <c r="B14" s="268"/>
      <c r="C14" s="252"/>
      <c r="D14" s="331"/>
      <c r="F14" s="250">
        <v>1200.0</v>
      </c>
      <c r="G14" s="2" t="s">
        <v>68</v>
      </c>
      <c r="I14" s="847"/>
    </row>
    <row r="15">
      <c r="A15" s="265"/>
      <c r="B15" s="268"/>
      <c r="C15" s="252"/>
      <c r="D15" s="331"/>
      <c r="F15" s="250">
        <v>2150.0</v>
      </c>
      <c r="G15" s="2" t="s">
        <v>3003</v>
      </c>
      <c r="I15" s="847"/>
    </row>
    <row r="16">
      <c r="A16" s="265"/>
      <c r="B16" s="268"/>
      <c r="C16" s="252"/>
      <c r="D16" s="331"/>
      <c r="F16" s="250">
        <v>6000.0</v>
      </c>
      <c r="G16" s="2" t="s">
        <v>87</v>
      </c>
      <c r="I16" s="847"/>
    </row>
    <row r="17">
      <c r="A17" s="265"/>
      <c r="B17" s="268"/>
      <c r="C17" s="252"/>
      <c r="D17" s="331"/>
      <c r="F17" s="250">
        <v>9100.0</v>
      </c>
      <c r="G17" s="2" t="s">
        <v>74</v>
      </c>
      <c r="I17" s="847"/>
    </row>
    <row r="18">
      <c r="A18" s="265"/>
      <c r="B18" s="268"/>
      <c r="C18" s="252"/>
      <c r="D18" s="822"/>
      <c r="F18" s="250">
        <v>4250.0</v>
      </c>
      <c r="G18" s="2" t="s">
        <v>76</v>
      </c>
      <c r="I18" s="847"/>
    </row>
    <row r="19">
      <c r="A19" s="265"/>
      <c r="B19" s="268"/>
      <c r="C19" s="252"/>
      <c r="D19" s="331">
        <v>10800.0</v>
      </c>
      <c r="F19" s="250"/>
      <c r="G19" s="2" t="s">
        <v>167</v>
      </c>
      <c r="I19" s="847"/>
    </row>
    <row r="20">
      <c r="A20" s="265"/>
      <c r="B20" s="247">
        <v>750.0</v>
      </c>
      <c r="C20" s="252"/>
      <c r="D20" s="822"/>
      <c r="F20" s="250"/>
      <c r="G20" s="2" t="s">
        <v>3483</v>
      </c>
      <c r="I20" s="847"/>
    </row>
    <row r="21">
      <c r="A21" s="265"/>
      <c r="B21" s="278"/>
      <c r="C21" s="252"/>
      <c r="D21" s="822"/>
      <c r="F21" s="250">
        <v>500.0</v>
      </c>
      <c r="G21" s="2" t="s">
        <v>2638</v>
      </c>
      <c r="I21" s="847"/>
    </row>
    <row r="22">
      <c r="A22" s="265"/>
      <c r="B22" s="278"/>
      <c r="C22" s="252"/>
      <c r="D22" s="822"/>
      <c r="F22" s="250">
        <v>1000.0</v>
      </c>
      <c r="G22" s="2" t="s">
        <v>3362</v>
      </c>
      <c r="H22" s="252"/>
      <c r="I22" s="847"/>
    </row>
    <row r="23">
      <c r="A23" s="265"/>
      <c r="B23" s="278"/>
      <c r="C23" s="252"/>
      <c r="D23" s="822"/>
      <c r="F23" s="250">
        <v>1600.0</v>
      </c>
      <c r="G23" s="2" t="s">
        <v>2640</v>
      </c>
      <c r="I23" s="847"/>
    </row>
    <row r="24">
      <c r="A24" s="270"/>
      <c r="B24" s="271"/>
      <c r="C24" s="272"/>
      <c r="D24" s="823"/>
      <c r="E24" s="18"/>
      <c r="F24" s="274"/>
      <c r="G24" s="18"/>
      <c r="H24" s="18"/>
      <c r="I24" s="663"/>
    </row>
    <row r="25">
      <c r="A25" s="262" t="s">
        <v>461</v>
      </c>
      <c r="B25" s="306"/>
      <c r="C25" s="263"/>
      <c r="D25" s="824"/>
      <c r="E25" s="242"/>
      <c r="F25" s="243">
        <f>365+120+5262</f>
        <v>5747</v>
      </c>
      <c r="G25" s="244" t="s">
        <v>1750</v>
      </c>
      <c r="H25" s="244"/>
      <c r="I25" s="662"/>
    </row>
    <row r="26">
      <c r="A26" s="265"/>
      <c r="B26" s="268"/>
      <c r="C26" s="252"/>
      <c r="D26" s="822"/>
      <c r="F26" s="250">
        <v>350.0</v>
      </c>
      <c r="G26" s="2" t="s">
        <v>176</v>
      </c>
      <c r="I26" s="847"/>
    </row>
    <row r="27">
      <c r="A27" s="265"/>
      <c r="B27" s="268"/>
      <c r="C27" s="252"/>
      <c r="D27" s="822"/>
      <c r="F27" s="250">
        <v>400.0</v>
      </c>
      <c r="G27" s="2" t="s">
        <v>3333</v>
      </c>
      <c r="I27" s="847"/>
    </row>
    <row r="28">
      <c r="A28" s="265"/>
      <c r="B28" s="268"/>
      <c r="C28" s="252"/>
      <c r="D28" s="822"/>
      <c r="F28" s="250">
        <v>75.0</v>
      </c>
      <c r="G28" s="2" t="s">
        <v>3484</v>
      </c>
      <c r="I28" s="847"/>
    </row>
    <row r="29">
      <c r="A29" s="265"/>
      <c r="B29" s="268"/>
      <c r="C29" s="248"/>
      <c r="D29" s="822"/>
      <c r="F29" s="250">
        <v>2260.0</v>
      </c>
      <c r="G29" s="2" t="s">
        <v>329</v>
      </c>
      <c r="I29" s="847"/>
    </row>
    <row r="30">
      <c r="A30" s="265"/>
      <c r="B30" s="268"/>
      <c r="C30" s="252"/>
      <c r="D30" s="822"/>
      <c r="F30" s="250"/>
      <c r="I30" s="847"/>
    </row>
    <row r="31">
      <c r="A31" s="265"/>
      <c r="B31" s="268"/>
      <c r="C31" s="252"/>
      <c r="D31" s="822"/>
      <c r="F31" s="250"/>
      <c r="I31" s="847"/>
    </row>
    <row r="32">
      <c r="A32" s="265"/>
      <c r="B32" s="268"/>
      <c r="C32" s="252"/>
      <c r="D32" s="331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65"/>
      <c r="B34" s="268"/>
      <c r="C34" s="252"/>
      <c r="D34" s="822"/>
      <c r="F34" s="250"/>
      <c r="I34" s="847"/>
    </row>
    <row r="35">
      <c r="A35" s="265"/>
      <c r="B35" s="268"/>
      <c r="C35" s="252"/>
      <c r="D35" s="822"/>
      <c r="F35" s="250"/>
      <c r="I35" s="847"/>
    </row>
    <row r="36">
      <c r="A36" s="265"/>
      <c r="B36" s="268"/>
      <c r="C36" s="252"/>
      <c r="D36" s="822"/>
      <c r="F36" s="250"/>
      <c r="I36" s="847"/>
    </row>
    <row r="37">
      <c r="A37" s="270"/>
      <c r="B37" s="271"/>
      <c r="C37" s="272"/>
      <c r="D37" s="823"/>
      <c r="E37" s="18"/>
      <c r="F37" s="274"/>
      <c r="G37" s="18"/>
      <c r="H37" s="18"/>
      <c r="I37" s="663"/>
    </row>
    <row r="38">
      <c r="A38" s="262" t="s">
        <v>465</v>
      </c>
      <c r="B38" s="306"/>
      <c r="C38" s="240"/>
      <c r="D38" s="824"/>
      <c r="E38" s="242"/>
      <c r="F38" s="243">
        <v>4600.0</v>
      </c>
      <c r="G38" s="244" t="s">
        <v>615</v>
      </c>
      <c r="H38" s="244"/>
      <c r="I38" s="662"/>
    </row>
    <row r="39">
      <c r="A39" s="265"/>
      <c r="B39" s="268"/>
      <c r="C39" s="252"/>
      <c r="D39" s="822"/>
      <c r="F39" s="250">
        <v>2420.0</v>
      </c>
      <c r="G39" s="2" t="s">
        <v>2755</v>
      </c>
      <c r="I39" s="847"/>
    </row>
    <row r="40">
      <c r="A40" s="265"/>
      <c r="B40" s="268"/>
      <c r="C40" s="252"/>
      <c r="D40" s="822"/>
      <c r="F40" s="250">
        <v>250.0</v>
      </c>
      <c r="G40" s="2" t="s">
        <v>3485</v>
      </c>
      <c r="I40" s="847"/>
    </row>
    <row r="41">
      <c r="A41" s="265"/>
      <c r="B41" s="268"/>
      <c r="C41" s="252"/>
      <c r="D41" s="822"/>
      <c r="F41" s="250">
        <v>2261.0</v>
      </c>
      <c r="G41" s="2" t="s">
        <v>58</v>
      </c>
      <c r="I41" s="847"/>
    </row>
    <row r="42">
      <c r="A42" s="265"/>
      <c r="B42" s="268"/>
      <c r="C42" s="252"/>
      <c r="D42" s="822"/>
      <c r="F42" s="250">
        <v>1920.0</v>
      </c>
      <c r="G42" s="2" t="s">
        <v>2673</v>
      </c>
      <c r="I42" s="847"/>
    </row>
    <row r="43">
      <c r="A43" s="265"/>
      <c r="B43" s="268"/>
      <c r="C43" s="252"/>
      <c r="D43" s="822"/>
      <c r="F43" s="250">
        <v>2845.0</v>
      </c>
      <c r="G43" s="2" t="s">
        <v>3370</v>
      </c>
      <c r="I43" s="847"/>
    </row>
    <row r="44">
      <c r="A44" s="265"/>
      <c r="B44" s="268"/>
      <c r="C44" s="248"/>
      <c r="D44" s="822"/>
      <c r="F44" s="250">
        <v>6600.0</v>
      </c>
      <c r="G44" s="2" t="s">
        <v>3486</v>
      </c>
      <c r="I44" s="847"/>
    </row>
    <row r="45">
      <c r="A45" s="265"/>
      <c r="B45" s="268"/>
      <c r="C45" s="252"/>
      <c r="D45" s="822"/>
      <c r="F45" s="250">
        <v>3560.0</v>
      </c>
      <c r="G45" s="2" t="s">
        <v>128</v>
      </c>
      <c r="I45" s="847"/>
    </row>
    <row r="46">
      <c r="A46" s="265"/>
      <c r="B46" s="268"/>
      <c r="C46" s="248">
        <v>50427.0</v>
      </c>
      <c r="D46" s="822"/>
      <c r="F46" s="250"/>
      <c r="G46" s="2" t="s">
        <v>951</v>
      </c>
      <c r="I46" s="847"/>
    </row>
    <row r="47">
      <c r="A47" s="265"/>
      <c r="B47" s="278"/>
      <c r="C47" s="252"/>
      <c r="D47" s="822"/>
      <c r="F47" s="250">
        <v>950.0</v>
      </c>
      <c r="G47" s="2" t="s">
        <v>228</v>
      </c>
      <c r="I47" s="847"/>
    </row>
    <row r="48">
      <c r="A48" s="270"/>
      <c r="B48" s="271"/>
      <c r="C48" s="272"/>
      <c r="D48" s="823"/>
      <c r="E48" s="18"/>
      <c r="F48" s="259">
        <v>1000.0</v>
      </c>
      <c r="G48" s="293" t="s">
        <v>764</v>
      </c>
      <c r="H48" s="848"/>
      <c r="I48" s="663"/>
    </row>
    <row r="49">
      <c r="A49" s="437"/>
      <c r="B49" s="278"/>
      <c r="C49" s="252"/>
      <c r="D49" s="822"/>
      <c r="F49" s="250"/>
      <c r="G49" s="2"/>
      <c r="I49" s="847"/>
    </row>
    <row r="50">
      <c r="A50" s="437"/>
      <c r="B50" s="278"/>
      <c r="C50" s="252"/>
      <c r="D50" s="822"/>
      <c r="F50" s="250"/>
      <c r="G50" s="2"/>
      <c r="I50" s="847"/>
    </row>
    <row r="51">
      <c r="A51" s="262" t="s">
        <v>466</v>
      </c>
      <c r="B51" s="306"/>
      <c r="C51" s="240"/>
      <c r="D51" s="824"/>
      <c r="E51" s="242"/>
      <c r="F51" s="243">
        <v>6000.0</v>
      </c>
      <c r="G51" s="244" t="s">
        <v>87</v>
      </c>
      <c r="H51" s="244"/>
      <c r="I51" s="662"/>
    </row>
    <row r="52">
      <c r="A52" s="265"/>
      <c r="B52" s="268"/>
      <c r="C52" s="252"/>
      <c r="D52" s="822"/>
      <c r="F52" s="250">
        <v>2150.0</v>
      </c>
      <c r="G52" s="2" t="s">
        <v>3003</v>
      </c>
      <c r="I52" s="847"/>
    </row>
    <row r="53">
      <c r="A53" s="265"/>
      <c r="B53" s="247"/>
      <c r="C53" s="248"/>
      <c r="D53" s="331"/>
      <c r="F53" s="250">
        <v>4579.0</v>
      </c>
      <c r="G53" s="2" t="s">
        <v>1750</v>
      </c>
      <c r="I53" s="847"/>
    </row>
    <row r="54">
      <c r="A54" s="265"/>
      <c r="B54" s="268"/>
      <c r="C54" s="252"/>
      <c r="D54" s="822"/>
      <c r="F54" s="250">
        <v>948.0</v>
      </c>
      <c r="G54" s="2" t="s">
        <v>1750</v>
      </c>
      <c r="I54" s="847"/>
    </row>
    <row r="55">
      <c r="A55" s="265"/>
      <c r="B55" s="268"/>
      <c r="C55" s="252"/>
      <c r="D55" s="822"/>
      <c r="F55" s="250">
        <v>400.0</v>
      </c>
      <c r="G55" s="2" t="s">
        <v>3333</v>
      </c>
      <c r="I55" s="847"/>
    </row>
    <row r="56">
      <c r="A56" s="265"/>
      <c r="B56" s="268"/>
      <c r="C56" s="252"/>
      <c r="D56" s="822"/>
      <c r="F56" s="250">
        <v>200.0</v>
      </c>
      <c r="G56" s="2" t="s">
        <v>3487</v>
      </c>
      <c r="I56" s="847"/>
    </row>
    <row r="57">
      <c r="A57" s="265"/>
      <c r="B57" s="268"/>
      <c r="C57" s="248"/>
      <c r="D57" s="822"/>
      <c r="F57" s="250"/>
      <c r="I57" s="847"/>
    </row>
    <row r="58">
      <c r="A58" s="265"/>
      <c r="B58" s="268"/>
      <c r="C58" s="252"/>
      <c r="D58" s="822"/>
      <c r="F58" s="250"/>
      <c r="I58" s="847"/>
    </row>
    <row r="59">
      <c r="A59" s="265"/>
      <c r="B59" s="268"/>
      <c r="C59" s="252"/>
      <c r="D59" s="822"/>
      <c r="F59" s="250"/>
      <c r="I59" s="847"/>
    </row>
    <row r="60">
      <c r="A60" s="270"/>
      <c r="B60" s="271"/>
      <c r="C60" s="272"/>
      <c r="D60" s="823"/>
      <c r="E60" s="18"/>
      <c r="F60" s="274"/>
      <c r="G60" s="18"/>
      <c r="H60" s="18"/>
      <c r="I60" s="663"/>
    </row>
    <row r="61">
      <c r="A61" s="262" t="s">
        <v>3056</v>
      </c>
      <c r="B61" s="306"/>
      <c r="C61" s="240"/>
      <c r="D61" s="824"/>
      <c r="E61" s="242"/>
      <c r="F61" s="243">
        <v>2330.0</v>
      </c>
      <c r="G61" s="244" t="s">
        <v>3370</v>
      </c>
      <c r="H61" s="244"/>
      <c r="I61" s="662"/>
    </row>
    <row r="62">
      <c r="A62" s="265"/>
      <c r="B62" s="268"/>
      <c r="C62" s="252"/>
      <c r="D62" s="822"/>
      <c r="F62" s="250">
        <v>1350.0</v>
      </c>
      <c r="G62" s="2" t="s">
        <v>3488</v>
      </c>
      <c r="I62" s="847"/>
    </row>
    <row r="63">
      <c r="A63" s="265"/>
      <c r="B63" s="268"/>
      <c r="C63" s="252"/>
      <c r="D63" s="822"/>
      <c r="F63" s="250">
        <v>800.0</v>
      </c>
      <c r="G63" s="2" t="s">
        <v>3333</v>
      </c>
      <c r="I63" s="847"/>
    </row>
    <row r="64">
      <c r="A64" s="265"/>
      <c r="B64" s="268"/>
      <c r="C64" s="252"/>
      <c r="D64" s="822"/>
      <c r="F64" s="250"/>
      <c r="I64" s="847"/>
    </row>
    <row r="65">
      <c r="A65" s="265"/>
      <c r="B65" s="268"/>
      <c r="C65" s="248"/>
      <c r="D65" s="822"/>
      <c r="F65" s="250"/>
      <c r="I65" s="847"/>
    </row>
    <row r="66">
      <c r="A66" s="265"/>
      <c r="B66" s="268"/>
      <c r="C66" s="252"/>
      <c r="D66" s="822"/>
      <c r="F66" s="250"/>
      <c r="I66" s="847"/>
    </row>
    <row r="67">
      <c r="A67" s="265"/>
      <c r="B67" s="268"/>
      <c r="C67" s="252"/>
      <c r="D67" s="822"/>
      <c r="F67" s="250"/>
      <c r="I67" s="847"/>
    </row>
    <row r="68">
      <c r="A68" s="265"/>
      <c r="B68" s="268"/>
      <c r="C68" s="252"/>
      <c r="D68" s="822"/>
      <c r="F68" s="250"/>
      <c r="I68" s="847"/>
    </row>
    <row r="69">
      <c r="A69" s="265"/>
      <c r="B69" s="268"/>
      <c r="C69" s="252"/>
      <c r="D69" s="822"/>
      <c r="F69" s="250"/>
      <c r="I69" s="847"/>
    </row>
    <row r="70">
      <c r="A70" s="265"/>
      <c r="B70" s="268"/>
      <c r="C70" s="252"/>
      <c r="D70" s="331"/>
      <c r="F70" s="250"/>
      <c r="I70" s="847"/>
    </row>
    <row r="71">
      <c r="A71" s="265"/>
      <c r="B71" s="278"/>
      <c r="C71" s="252"/>
      <c r="D71" s="822"/>
      <c r="F71" s="282"/>
      <c r="I71" s="847"/>
    </row>
    <row r="72">
      <c r="A72" s="270"/>
      <c r="B72" s="271"/>
      <c r="C72" s="272"/>
      <c r="D72" s="823"/>
      <c r="E72" s="18"/>
      <c r="F72" s="274"/>
      <c r="G72" s="18"/>
      <c r="H72" s="18"/>
      <c r="I72" s="663"/>
    </row>
    <row r="73">
      <c r="A73" s="262" t="s">
        <v>470</v>
      </c>
      <c r="B73" s="306"/>
      <c r="C73" s="263"/>
      <c r="D73" s="824"/>
      <c r="E73" s="242"/>
      <c r="F73" s="243">
        <v>153.0</v>
      </c>
      <c r="G73" s="244" t="s">
        <v>853</v>
      </c>
      <c r="H73" s="244"/>
      <c r="I73" s="662"/>
    </row>
    <row r="74">
      <c r="A74" s="265"/>
      <c r="B74" s="268"/>
      <c r="C74" s="248"/>
      <c r="D74" s="822"/>
      <c r="F74" s="250">
        <v>200.0</v>
      </c>
      <c r="G74" s="2" t="s">
        <v>2626</v>
      </c>
      <c r="I74" s="847"/>
    </row>
    <row r="75">
      <c r="A75" s="265"/>
      <c r="B75" s="268"/>
      <c r="C75" s="252"/>
      <c r="D75" s="822"/>
      <c r="F75" s="250">
        <v>180.0</v>
      </c>
      <c r="G75" s="2" t="s">
        <v>2646</v>
      </c>
      <c r="I75" s="847"/>
    </row>
    <row r="76">
      <c r="A76" s="265"/>
      <c r="B76" s="268"/>
      <c r="C76" s="252"/>
      <c r="D76" s="822"/>
      <c r="F76" s="250">
        <v>542.0</v>
      </c>
      <c r="G76" s="2" t="s">
        <v>3489</v>
      </c>
      <c r="I76" s="847"/>
    </row>
    <row r="77">
      <c r="A77" s="265"/>
      <c r="B77" s="268"/>
      <c r="C77" s="252"/>
      <c r="D77" s="822"/>
      <c r="F77" s="250">
        <v>4535.0</v>
      </c>
      <c r="G77" s="2" t="s">
        <v>708</v>
      </c>
      <c r="I77" s="847"/>
    </row>
    <row r="78">
      <c r="A78" s="265"/>
      <c r="B78" s="268"/>
      <c r="C78" s="252"/>
      <c r="D78" s="822"/>
      <c r="F78" s="250">
        <v>3550.0</v>
      </c>
      <c r="G78" s="2" t="s">
        <v>3375</v>
      </c>
      <c r="I78" s="847"/>
    </row>
    <row r="79">
      <c r="A79" s="265"/>
      <c r="B79" s="268"/>
      <c r="C79" s="252"/>
      <c r="D79" s="822"/>
      <c r="F79" s="250">
        <v>400.0</v>
      </c>
      <c r="G79" s="2" t="s">
        <v>3333</v>
      </c>
      <c r="I79" s="847"/>
    </row>
    <row r="80">
      <c r="A80" s="265"/>
      <c r="B80" s="268"/>
      <c r="C80" s="252"/>
      <c r="D80" s="822"/>
      <c r="F80" s="250">
        <v>1000.0</v>
      </c>
      <c r="G80" s="2" t="s">
        <v>3490</v>
      </c>
      <c r="H80" s="252"/>
      <c r="I80" s="847"/>
    </row>
    <row r="81">
      <c r="A81" s="265"/>
      <c r="B81" s="268"/>
      <c r="C81" s="252"/>
      <c r="D81" s="822"/>
      <c r="F81" s="250">
        <v>400.0</v>
      </c>
      <c r="G81" s="2" t="s">
        <v>228</v>
      </c>
      <c r="I81" s="847"/>
    </row>
    <row r="82">
      <c r="A82" s="270"/>
      <c r="B82" s="271"/>
      <c r="C82" s="272"/>
      <c r="D82" s="823"/>
      <c r="E82" s="18"/>
      <c r="F82" s="274"/>
      <c r="G82" s="18"/>
      <c r="H82" s="18"/>
      <c r="I82" s="663"/>
    </row>
    <row r="83">
      <c r="A83" s="262" t="s">
        <v>471</v>
      </c>
      <c r="B83" s="306"/>
      <c r="C83" s="263"/>
      <c r="D83" s="824"/>
      <c r="E83" s="242"/>
      <c r="F83" s="243">
        <v>2142.0</v>
      </c>
      <c r="G83" s="244" t="s">
        <v>708</v>
      </c>
      <c r="H83" s="244"/>
      <c r="I83" s="662"/>
    </row>
    <row r="84">
      <c r="A84" s="265"/>
      <c r="B84" s="268"/>
      <c r="C84" s="252"/>
      <c r="D84" s="822"/>
      <c r="F84" s="250">
        <v>6000.0</v>
      </c>
      <c r="G84" s="2" t="s">
        <v>87</v>
      </c>
      <c r="I84" s="847"/>
    </row>
    <row r="85">
      <c r="A85" s="265"/>
      <c r="B85" s="268"/>
      <c r="C85" s="248"/>
      <c r="D85" s="822"/>
      <c r="F85" s="250">
        <v>2150.0</v>
      </c>
      <c r="G85" s="2" t="s">
        <v>3003</v>
      </c>
      <c r="I85" s="847"/>
    </row>
    <row r="86">
      <c r="A86" s="265"/>
      <c r="B86" s="268"/>
      <c r="C86" s="248"/>
      <c r="D86" s="822"/>
      <c r="F86" s="250">
        <v>8485.0</v>
      </c>
      <c r="G86" s="2" t="s">
        <v>3130</v>
      </c>
      <c r="I86" s="847"/>
    </row>
    <row r="87">
      <c r="A87" s="265"/>
      <c r="B87" s="268"/>
      <c r="C87" s="252"/>
      <c r="D87" s="822"/>
      <c r="F87" s="250">
        <v>1200.0</v>
      </c>
      <c r="G87" s="2" t="s">
        <v>139</v>
      </c>
      <c r="I87" s="847"/>
    </row>
    <row r="88">
      <c r="A88" s="265"/>
      <c r="B88" s="268"/>
      <c r="C88" s="252"/>
      <c r="D88" s="822"/>
      <c r="F88" s="250">
        <v>880.0</v>
      </c>
      <c r="G88" s="2" t="s">
        <v>3491</v>
      </c>
      <c r="I88" s="847"/>
    </row>
    <row r="89">
      <c r="A89" s="265"/>
      <c r="B89" s="268"/>
      <c r="C89" s="252"/>
      <c r="D89" s="822"/>
      <c r="F89" s="250">
        <v>6600.0</v>
      </c>
      <c r="G89" s="2" t="s">
        <v>3492</v>
      </c>
      <c r="I89" s="847"/>
    </row>
    <row r="90">
      <c r="A90" s="265"/>
      <c r="B90" s="268"/>
      <c r="C90" s="252"/>
      <c r="D90" s="822"/>
      <c r="F90" s="250">
        <v>400.0</v>
      </c>
      <c r="G90" s="2" t="s">
        <v>3333</v>
      </c>
      <c r="I90" s="847"/>
    </row>
    <row r="91">
      <c r="A91" s="265"/>
      <c r="B91" s="247">
        <v>2034.0</v>
      </c>
      <c r="C91" s="252"/>
      <c r="D91" s="822"/>
      <c r="F91" s="250"/>
      <c r="G91" s="2" t="s">
        <v>352</v>
      </c>
      <c r="I91" s="847"/>
    </row>
    <row r="92">
      <c r="A92" s="265"/>
      <c r="B92" s="268"/>
      <c r="C92" s="252"/>
      <c r="D92" s="822"/>
      <c r="F92" s="250"/>
      <c r="I92" s="847"/>
    </row>
    <row r="93">
      <c r="A93" s="265"/>
      <c r="B93" s="268"/>
      <c r="C93" s="252"/>
      <c r="D93" s="822"/>
      <c r="F93" s="250"/>
      <c r="I93" s="847"/>
    </row>
    <row r="94">
      <c r="A94" s="265"/>
      <c r="B94" s="268"/>
      <c r="C94" s="252"/>
      <c r="D94" s="822"/>
      <c r="F94" s="250"/>
      <c r="I94" s="847"/>
    </row>
    <row r="95">
      <c r="A95" s="270"/>
      <c r="B95" s="271"/>
      <c r="C95" s="272"/>
      <c r="D95" s="823"/>
      <c r="E95" s="18"/>
      <c r="F95" s="274"/>
      <c r="G95" s="18"/>
      <c r="H95" s="18"/>
      <c r="I95" s="663"/>
    </row>
    <row r="96">
      <c r="A96" s="262" t="s">
        <v>3060</v>
      </c>
      <c r="B96" s="306"/>
      <c r="C96" s="263">
        <v>16856.0</v>
      </c>
      <c r="D96" s="821"/>
      <c r="E96" s="242"/>
      <c r="F96" s="250"/>
      <c r="G96" s="244" t="s">
        <v>71</v>
      </c>
      <c r="H96" s="244"/>
      <c r="I96" s="662"/>
    </row>
    <row r="97">
      <c r="A97" s="265"/>
      <c r="B97" s="268"/>
      <c r="C97" s="252"/>
      <c r="D97" s="822"/>
      <c r="F97" s="250">
        <v>229.0</v>
      </c>
      <c r="G97" s="2" t="s">
        <v>228</v>
      </c>
      <c r="I97" s="847"/>
    </row>
    <row r="98">
      <c r="A98" s="265"/>
      <c r="B98" s="268"/>
      <c r="C98" s="252"/>
      <c r="D98" s="822"/>
      <c r="F98" s="250">
        <v>700.0</v>
      </c>
      <c r="G98" s="2" t="s">
        <v>3380</v>
      </c>
      <c r="I98" s="847"/>
    </row>
    <row r="99">
      <c r="A99" s="265"/>
      <c r="B99" s="268"/>
      <c r="C99" s="252"/>
      <c r="D99" s="822"/>
      <c r="F99" s="250">
        <v>2643.0</v>
      </c>
      <c r="G99" s="2" t="s">
        <v>314</v>
      </c>
      <c r="I99" s="847"/>
    </row>
    <row r="100">
      <c r="A100" s="265"/>
      <c r="B100" s="268"/>
      <c r="C100" s="252"/>
      <c r="D100" s="822"/>
      <c r="F100" s="250">
        <v>9800.0</v>
      </c>
      <c r="G100" s="2" t="s">
        <v>394</v>
      </c>
      <c r="I100" s="847"/>
    </row>
    <row r="101">
      <c r="A101" s="265"/>
      <c r="B101" s="268"/>
      <c r="C101" s="252"/>
      <c r="D101" s="822"/>
      <c r="F101" s="250">
        <v>500.0</v>
      </c>
      <c r="G101" s="2" t="s">
        <v>864</v>
      </c>
      <c r="I101" s="847"/>
    </row>
    <row r="102">
      <c r="A102" s="265"/>
      <c r="B102" s="268"/>
      <c r="C102" s="252"/>
      <c r="D102" s="331"/>
      <c r="F102" s="250">
        <v>350.0</v>
      </c>
      <c r="G102" s="2" t="s">
        <v>227</v>
      </c>
      <c r="I102" s="847"/>
    </row>
    <row r="103">
      <c r="A103" s="265"/>
      <c r="B103" s="268"/>
      <c r="C103" s="252"/>
      <c r="D103" s="822"/>
      <c r="F103" s="250">
        <v>400.0</v>
      </c>
      <c r="G103" s="2" t="s">
        <v>3333</v>
      </c>
      <c r="I103" s="847"/>
    </row>
    <row r="104">
      <c r="A104" s="265"/>
      <c r="B104" s="268"/>
      <c r="C104" s="252"/>
      <c r="D104" s="822"/>
      <c r="F104" s="250"/>
      <c r="I104" s="847"/>
    </row>
    <row r="105">
      <c r="A105" s="265"/>
      <c r="B105" s="268"/>
      <c r="C105" s="252"/>
      <c r="D105" s="822"/>
      <c r="F105" s="250"/>
      <c r="I105" s="847"/>
    </row>
    <row r="106">
      <c r="A106" s="270"/>
      <c r="B106" s="271"/>
      <c r="C106" s="272"/>
      <c r="D106" s="823"/>
      <c r="E106" s="18"/>
      <c r="F106" s="274"/>
      <c r="G106" s="18"/>
      <c r="H106" s="18"/>
      <c r="I106" s="663"/>
    </row>
    <row r="107">
      <c r="A107" s="262" t="s">
        <v>3064</v>
      </c>
      <c r="B107" s="306"/>
      <c r="C107" s="263"/>
      <c r="D107" s="821"/>
      <c r="E107" s="242"/>
      <c r="F107" s="243">
        <v>4988.0</v>
      </c>
      <c r="G107" s="244" t="s">
        <v>58</v>
      </c>
      <c r="H107" s="244"/>
      <c r="I107" s="662"/>
    </row>
    <row r="108">
      <c r="A108" s="265"/>
      <c r="B108" s="268"/>
      <c r="C108" s="252"/>
      <c r="D108" s="331"/>
      <c r="F108" s="250">
        <v>3642.5</v>
      </c>
      <c r="G108" s="2" t="s">
        <v>314</v>
      </c>
      <c r="I108" s="847"/>
    </row>
    <row r="109">
      <c r="A109" s="265"/>
      <c r="B109" s="268"/>
      <c r="C109" s="252"/>
      <c r="D109" s="331"/>
      <c r="F109" s="250">
        <v>6400.0</v>
      </c>
      <c r="G109" s="2" t="s">
        <v>64</v>
      </c>
      <c r="I109" s="847"/>
    </row>
    <row r="110">
      <c r="A110" s="265"/>
      <c r="B110" s="268"/>
      <c r="C110" s="252"/>
      <c r="D110" s="822"/>
      <c r="F110" s="250">
        <v>10005.0</v>
      </c>
      <c r="G110" s="2" t="s">
        <v>2794</v>
      </c>
      <c r="I110" s="847"/>
    </row>
    <row r="111">
      <c r="A111" s="265"/>
      <c r="B111" s="268"/>
      <c r="C111" s="252"/>
      <c r="D111" s="331"/>
      <c r="F111" s="250">
        <v>3450.0</v>
      </c>
      <c r="G111" s="2" t="s">
        <v>612</v>
      </c>
      <c r="I111" s="847"/>
    </row>
    <row r="112">
      <c r="A112" s="265"/>
      <c r="B112" s="268"/>
      <c r="C112" s="252"/>
      <c r="D112" s="822"/>
      <c r="F112" s="250">
        <v>2250.0</v>
      </c>
      <c r="G112" s="2" t="s">
        <v>3183</v>
      </c>
      <c r="I112" s="847"/>
    </row>
    <row r="113">
      <c r="A113" s="265"/>
      <c r="B113" s="268"/>
      <c r="C113" s="252"/>
      <c r="D113" s="822"/>
      <c r="F113" s="250">
        <v>10502.0</v>
      </c>
      <c r="G113" s="2" t="s">
        <v>2456</v>
      </c>
      <c r="I113" s="847"/>
    </row>
    <row r="114">
      <c r="A114" s="265"/>
      <c r="B114" s="268"/>
      <c r="C114" s="252"/>
      <c r="D114" s="822"/>
      <c r="F114" s="250">
        <v>400.0</v>
      </c>
      <c r="G114" s="2" t="s">
        <v>3416</v>
      </c>
      <c r="I114" s="847"/>
    </row>
    <row r="115">
      <c r="A115" s="265"/>
      <c r="B115" s="268"/>
      <c r="C115" s="252"/>
      <c r="D115" s="331"/>
      <c r="F115" s="250">
        <v>6400.0</v>
      </c>
      <c r="G115" s="2" t="s">
        <v>3493</v>
      </c>
      <c r="I115" s="847"/>
    </row>
    <row r="116">
      <c r="A116" s="265"/>
      <c r="B116" s="268"/>
      <c r="C116" s="252"/>
      <c r="D116" s="822"/>
      <c r="F116" s="250"/>
      <c r="I116" s="847"/>
    </row>
    <row r="117">
      <c r="A117" s="265"/>
      <c r="B117" s="268"/>
      <c r="C117" s="252"/>
      <c r="D117" s="822"/>
      <c r="F117" s="250"/>
      <c r="I117" s="847"/>
    </row>
    <row r="118">
      <c r="A118" s="265"/>
      <c r="B118" s="268"/>
      <c r="C118" s="252"/>
      <c r="D118" s="822"/>
      <c r="F118" s="250"/>
      <c r="I118" s="847"/>
    </row>
    <row r="119">
      <c r="A119" s="265"/>
      <c r="B119" s="268"/>
      <c r="C119" s="252"/>
      <c r="D119" s="822"/>
      <c r="F119" s="250"/>
      <c r="I119" s="847"/>
    </row>
    <row r="120">
      <c r="A120" s="265"/>
      <c r="B120" s="268"/>
      <c r="C120" s="252"/>
      <c r="D120" s="822"/>
      <c r="F120" s="250"/>
      <c r="I120" s="847"/>
    </row>
    <row r="121">
      <c r="A121" s="265"/>
      <c r="B121" s="268"/>
      <c r="C121" s="252"/>
      <c r="D121" s="822"/>
      <c r="F121" s="250"/>
      <c r="I121" s="847"/>
    </row>
    <row r="122">
      <c r="A122" s="270"/>
      <c r="B122" s="271"/>
      <c r="C122" s="272"/>
      <c r="D122" s="823"/>
      <c r="E122" s="18"/>
      <c r="F122" s="274"/>
      <c r="G122" s="18"/>
      <c r="H122" s="18"/>
      <c r="I122" s="663"/>
    </row>
    <row r="123">
      <c r="A123" s="262" t="s">
        <v>3067</v>
      </c>
      <c r="B123" s="306"/>
      <c r="C123" s="240"/>
      <c r="D123" s="824"/>
      <c r="E123" s="242"/>
      <c r="F123" s="243"/>
      <c r="G123" s="244"/>
      <c r="H123" s="244"/>
      <c r="I123" s="662"/>
    </row>
    <row r="124">
      <c r="A124" s="265"/>
      <c r="B124" s="268"/>
      <c r="C124" s="252"/>
      <c r="D124" s="822"/>
      <c r="F124" s="250"/>
      <c r="I124" s="847"/>
    </row>
    <row r="125">
      <c r="A125" s="265"/>
      <c r="B125" s="268"/>
      <c r="C125" s="252"/>
      <c r="D125" s="822"/>
      <c r="F125" s="250"/>
      <c r="I125" s="847"/>
    </row>
    <row r="126">
      <c r="A126" s="265"/>
      <c r="B126" s="247"/>
      <c r="C126" s="252"/>
      <c r="D126" s="331"/>
      <c r="F126" s="250"/>
      <c r="I126" s="847"/>
    </row>
    <row r="127">
      <c r="A127" s="265"/>
      <c r="B127" s="268"/>
      <c r="C127" s="252"/>
      <c r="D127" s="822"/>
      <c r="F127" s="250"/>
      <c r="I127" s="847"/>
    </row>
    <row r="128">
      <c r="A128" s="265"/>
      <c r="B128" s="268"/>
      <c r="C128" s="252"/>
      <c r="D128" s="822"/>
      <c r="F128" s="250"/>
      <c r="I128" s="847"/>
    </row>
    <row r="129">
      <c r="A129" s="265"/>
      <c r="B129" s="268"/>
      <c r="C129" s="252"/>
      <c r="D129" s="822"/>
      <c r="F129" s="250"/>
      <c r="I129" s="847"/>
    </row>
    <row r="130">
      <c r="A130" s="265"/>
      <c r="B130" s="268"/>
      <c r="C130" s="252"/>
      <c r="D130" s="822"/>
      <c r="F130" s="250"/>
      <c r="I130" s="847"/>
    </row>
    <row r="131">
      <c r="A131" s="265"/>
      <c r="B131" s="268"/>
      <c r="C131" s="252"/>
      <c r="D131" s="822"/>
      <c r="F131" s="250"/>
      <c r="I131" s="847"/>
    </row>
    <row r="132">
      <c r="A132" s="265"/>
      <c r="B132" s="268"/>
      <c r="C132" s="252"/>
      <c r="D132" s="822"/>
      <c r="F132" s="250"/>
      <c r="I132" s="847"/>
    </row>
    <row r="133">
      <c r="A133" s="265"/>
      <c r="B133" s="268"/>
      <c r="C133" s="252"/>
      <c r="D133" s="822"/>
      <c r="F133" s="250"/>
      <c r="I133" s="847"/>
    </row>
    <row r="134">
      <c r="A134" s="270"/>
      <c r="B134" s="271"/>
      <c r="C134" s="272"/>
      <c r="D134" s="823"/>
      <c r="E134" s="18"/>
      <c r="F134" s="274"/>
      <c r="G134" s="18"/>
      <c r="H134" s="18"/>
      <c r="I134" s="663"/>
    </row>
    <row r="135">
      <c r="A135" s="262" t="s">
        <v>487</v>
      </c>
      <c r="B135" s="306"/>
      <c r="C135" s="240"/>
      <c r="D135" s="824"/>
      <c r="E135" s="242"/>
      <c r="F135" s="243">
        <v>2917.0</v>
      </c>
      <c r="G135" s="244" t="s">
        <v>708</v>
      </c>
      <c r="H135" s="244"/>
      <c r="I135" s="662"/>
    </row>
    <row r="136">
      <c r="A136" s="265"/>
      <c r="B136" s="268"/>
      <c r="C136" s="252"/>
      <c r="D136" s="822"/>
      <c r="F136" s="250">
        <v>150.0</v>
      </c>
      <c r="G136" s="2" t="s">
        <v>1452</v>
      </c>
      <c r="I136" s="847"/>
    </row>
    <row r="137">
      <c r="A137" s="265"/>
      <c r="B137" s="268"/>
      <c r="C137" s="252"/>
      <c r="D137" s="822"/>
      <c r="F137" s="250">
        <v>174.0</v>
      </c>
      <c r="G137" s="2" t="s">
        <v>3494</v>
      </c>
      <c r="I137" s="847"/>
    </row>
    <row r="138">
      <c r="A138" s="265"/>
      <c r="B138" s="268"/>
      <c r="C138" s="252"/>
      <c r="D138" s="822"/>
      <c r="F138" s="250">
        <v>2023.0</v>
      </c>
      <c r="G138" s="2" t="s">
        <v>82</v>
      </c>
      <c r="I138" s="847"/>
    </row>
    <row r="139">
      <c r="A139" s="265"/>
      <c r="B139" s="268"/>
      <c r="C139" s="252"/>
      <c r="D139" s="822"/>
      <c r="F139" s="250">
        <v>400.0</v>
      </c>
      <c r="G139" s="2" t="s">
        <v>3333</v>
      </c>
      <c r="I139" s="847"/>
    </row>
    <row r="140">
      <c r="A140" s="265"/>
      <c r="B140" s="268"/>
      <c r="C140" s="248"/>
      <c r="D140" s="822"/>
      <c r="F140" s="250"/>
      <c r="I140" s="847"/>
    </row>
    <row r="141">
      <c r="A141" s="265"/>
      <c r="B141" s="268"/>
      <c r="C141" s="252"/>
      <c r="D141" s="822"/>
      <c r="F141" s="250"/>
      <c r="I141" s="847"/>
    </row>
    <row r="142">
      <c r="A142" s="265"/>
      <c r="B142" s="268"/>
      <c r="C142" s="252"/>
      <c r="D142" s="822"/>
      <c r="F142" s="250"/>
      <c r="I142" s="847"/>
    </row>
    <row r="143">
      <c r="A143" s="265"/>
      <c r="B143" s="268"/>
      <c r="C143" s="252"/>
      <c r="D143" s="822"/>
      <c r="F143" s="250"/>
      <c r="I143" s="847"/>
    </row>
    <row r="144">
      <c r="A144" s="270"/>
      <c r="B144" s="271"/>
      <c r="C144" s="272"/>
      <c r="D144" s="823"/>
      <c r="E144" s="18"/>
      <c r="F144" s="274"/>
      <c r="G144" s="18"/>
      <c r="H144" s="18"/>
      <c r="I144" s="663"/>
    </row>
    <row r="145">
      <c r="A145" s="262" t="s">
        <v>489</v>
      </c>
      <c r="B145" s="306"/>
      <c r="C145" s="240"/>
      <c r="D145" s="821"/>
      <c r="E145" s="242"/>
      <c r="F145" s="243"/>
      <c r="G145" s="244"/>
      <c r="H145" s="244"/>
      <c r="I145" s="662"/>
    </row>
    <row r="146">
      <c r="A146" s="265"/>
      <c r="B146" s="268"/>
      <c r="C146" s="252"/>
      <c r="D146" s="822"/>
      <c r="F146" s="250"/>
      <c r="I146" s="847"/>
    </row>
    <row r="147">
      <c r="A147" s="265"/>
      <c r="B147" s="268"/>
      <c r="C147" s="248"/>
      <c r="D147" s="331"/>
      <c r="F147" s="250"/>
      <c r="I147" s="847"/>
    </row>
    <row r="148">
      <c r="A148" s="265"/>
      <c r="B148" s="268"/>
      <c r="C148" s="252"/>
      <c r="D148" s="822"/>
      <c r="F148" s="250"/>
      <c r="I148" s="847"/>
    </row>
    <row r="149">
      <c r="A149" s="265"/>
      <c r="B149" s="268"/>
      <c r="C149" s="252"/>
      <c r="D149" s="822"/>
      <c r="F149" s="250"/>
      <c r="I149" s="847"/>
    </row>
    <row r="150">
      <c r="A150" s="265"/>
      <c r="B150" s="268"/>
      <c r="C150" s="252"/>
      <c r="D150" s="822"/>
      <c r="F150" s="250"/>
      <c r="I150" s="847"/>
    </row>
    <row r="151">
      <c r="A151" s="265"/>
      <c r="B151" s="268"/>
      <c r="C151" s="252"/>
      <c r="D151" s="331"/>
      <c r="F151" s="250"/>
      <c r="I151" s="847"/>
    </row>
    <row r="152">
      <c r="A152" s="265"/>
      <c r="B152" s="268"/>
      <c r="C152" s="252"/>
      <c r="D152" s="822"/>
      <c r="F152" s="250"/>
      <c r="I152" s="847"/>
    </row>
    <row r="153">
      <c r="A153" s="265"/>
      <c r="B153" s="268"/>
      <c r="C153" s="252"/>
      <c r="D153" s="822"/>
      <c r="F153" s="250"/>
      <c r="I153" s="847"/>
    </row>
    <row r="154">
      <c r="A154" s="270"/>
      <c r="B154" s="271"/>
      <c r="C154" s="272"/>
      <c r="D154" s="823"/>
      <c r="E154" s="18"/>
      <c r="F154" s="274"/>
      <c r="G154" s="18"/>
      <c r="H154" s="18"/>
      <c r="I154" s="663"/>
    </row>
    <row r="155">
      <c r="A155" s="262" t="s">
        <v>491</v>
      </c>
      <c r="B155" s="306"/>
      <c r="C155" s="240"/>
      <c r="D155" s="821"/>
      <c r="E155" s="242"/>
      <c r="F155" s="243"/>
      <c r="G155" s="244"/>
      <c r="H155" s="244"/>
      <c r="I155" s="662"/>
    </row>
    <row r="156">
      <c r="A156" s="265"/>
      <c r="B156" s="268"/>
      <c r="C156" s="252"/>
      <c r="D156" s="331"/>
      <c r="F156" s="250"/>
      <c r="I156" s="847"/>
    </row>
    <row r="157">
      <c r="A157" s="265"/>
      <c r="B157" s="268"/>
      <c r="C157" s="252"/>
      <c r="D157" s="331"/>
      <c r="F157" s="250"/>
      <c r="I157" s="847"/>
    </row>
    <row r="158">
      <c r="A158" s="265"/>
      <c r="B158" s="268"/>
      <c r="C158" s="252"/>
      <c r="D158" s="822"/>
      <c r="F158" s="250"/>
      <c r="I158" s="847"/>
    </row>
    <row r="159">
      <c r="A159" s="265"/>
      <c r="B159" s="268"/>
      <c r="C159" s="252"/>
      <c r="D159" s="331"/>
      <c r="F159" s="250"/>
      <c r="I159" s="847"/>
    </row>
    <row r="160">
      <c r="A160" s="265"/>
      <c r="B160" s="268"/>
      <c r="C160" s="252"/>
      <c r="D160" s="822"/>
      <c r="F160" s="250"/>
      <c r="I160" s="847"/>
    </row>
    <row r="161">
      <c r="A161" s="265"/>
      <c r="B161" s="268"/>
      <c r="C161" s="252"/>
      <c r="D161" s="822"/>
      <c r="F161" s="250"/>
      <c r="I161" s="847"/>
    </row>
    <row r="162">
      <c r="A162" s="265"/>
      <c r="B162" s="268"/>
      <c r="C162" s="252"/>
      <c r="D162" s="822"/>
      <c r="F162" s="250"/>
      <c r="I162" s="847"/>
    </row>
    <row r="163">
      <c r="A163" s="265"/>
      <c r="B163" s="268"/>
      <c r="C163" s="252"/>
      <c r="D163" s="822"/>
      <c r="F163" s="250"/>
      <c r="I163" s="847"/>
    </row>
    <row r="164">
      <c r="A164" s="265"/>
      <c r="B164" s="268"/>
      <c r="C164" s="252"/>
      <c r="D164" s="822"/>
      <c r="F164" s="250"/>
      <c r="I164" s="847"/>
    </row>
    <row r="165">
      <c r="A165" s="265"/>
      <c r="B165" s="268"/>
      <c r="C165" s="252"/>
      <c r="D165" s="822"/>
      <c r="F165" s="250"/>
      <c r="I165" s="847"/>
    </row>
    <row r="166">
      <c r="A166" s="265"/>
      <c r="B166" s="268"/>
      <c r="C166" s="252"/>
      <c r="D166" s="822"/>
      <c r="F166" s="250"/>
      <c r="I166" s="847"/>
    </row>
    <row r="167">
      <c r="A167" s="265"/>
      <c r="B167" s="268"/>
      <c r="C167" s="252"/>
      <c r="D167" s="822"/>
      <c r="F167" s="250"/>
      <c r="I167" s="847"/>
    </row>
    <row r="168">
      <c r="A168" s="265"/>
      <c r="B168" s="268"/>
      <c r="C168" s="252"/>
      <c r="D168" s="822"/>
      <c r="F168" s="250"/>
      <c r="I168" s="847"/>
    </row>
    <row r="169">
      <c r="A169" s="270"/>
      <c r="B169" s="271"/>
      <c r="C169" s="272"/>
      <c r="D169" s="823"/>
      <c r="E169" s="18"/>
      <c r="F169" s="259"/>
      <c r="G169" s="293"/>
      <c r="H169" s="18"/>
      <c r="I169" s="663"/>
    </row>
    <row r="170">
      <c r="A170" s="262" t="s">
        <v>3075</v>
      </c>
      <c r="B170" s="306"/>
      <c r="C170" s="240"/>
      <c r="D170" s="821">
        <v>11500.0</v>
      </c>
      <c r="E170" s="242"/>
      <c r="F170" s="243"/>
      <c r="G170" s="244" t="s">
        <v>3495</v>
      </c>
      <c r="I170" s="244"/>
    </row>
    <row r="171">
      <c r="A171" s="265"/>
      <c r="B171" s="268"/>
      <c r="C171" s="248"/>
      <c r="D171" s="331">
        <v>18150.0</v>
      </c>
      <c r="F171" s="250"/>
      <c r="G171" s="2" t="s">
        <v>3496</v>
      </c>
      <c r="I171" s="847"/>
    </row>
    <row r="172">
      <c r="A172" s="265"/>
      <c r="B172" s="268"/>
      <c r="C172" s="252"/>
      <c r="D172" s="822"/>
      <c r="F172" s="250">
        <v>2185.0</v>
      </c>
      <c r="G172" s="2" t="s">
        <v>58</v>
      </c>
      <c r="I172" s="847"/>
    </row>
    <row r="173">
      <c r="A173" s="265"/>
      <c r="B173" s="268"/>
      <c r="C173" s="252"/>
      <c r="D173" s="822"/>
      <c r="F173" s="250"/>
      <c r="G173" s="2" t="s">
        <v>2637</v>
      </c>
      <c r="I173" s="847"/>
    </row>
    <row r="174">
      <c r="A174" s="265"/>
      <c r="B174" s="268"/>
      <c r="C174" s="248"/>
      <c r="D174" s="822"/>
      <c r="F174" s="250">
        <v>1200.0</v>
      </c>
      <c r="G174" s="2" t="s">
        <v>2887</v>
      </c>
      <c r="I174" s="847"/>
    </row>
    <row r="175">
      <c r="A175" s="265"/>
      <c r="B175" s="247"/>
      <c r="C175" s="252"/>
      <c r="D175" s="822"/>
      <c r="F175" s="250">
        <v>4563.0</v>
      </c>
      <c r="G175" s="2" t="s">
        <v>3183</v>
      </c>
      <c r="I175" s="847"/>
    </row>
    <row r="176">
      <c r="A176" s="265"/>
      <c r="B176" s="268"/>
      <c r="C176" s="252"/>
      <c r="D176" s="822"/>
      <c r="F176" s="250">
        <v>6400.0</v>
      </c>
      <c r="G176" s="2" t="s">
        <v>64</v>
      </c>
      <c r="I176" s="847"/>
    </row>
    <row r="177">
      <c r="A177" s="265"/>
      <c r="B177" s="268"/>
      <c r="C177" s="252"/>
      <c r="D177" s="822"/>
      <c r="F177" s="250">
        <f>1187+4790</f>
        <v>5977</v>
      </c>
      <c r="G177" s="2" t="s">
        <v>708</v>
      </c>
      <c r="I177" s="847"/>
    </row>
    <row r="178">
      <c r="A178" s="265"/>
      <c r="B178" s="268"/>
      <c r="C178" s="252"/>
      <c r="D178" s="822"/>
      <c r="F178" s="250">
        <v>5770.0</v>
      </c>
      <c r="G178" s="2" t="s">
        <v>3497</v>
      </c>
      <c r="I178" s="847"/>
    </row>
    <row r="179">
      <c r="A179" s="265"/>
      <c r="B179" s="278"/>
      <c r="C179" s="252"/>
      <c r="D179" s="822"/>
      <c r="F179" s="250">
        <v>400.0</v>
      </c>
      <c r="G179" s="2" t="s">
        <v>3338</v>
      </c>
      <c r="I179" s="847"/>
    </row>
    <row r="180">
      <c r="A180" s="265"/>
      <c r="B180" s="278"/>
      <c r="C180" s="252"/>
      <c r="D180" s="822"/>
      <c r="F180" s="250">
        <v>450.0</v>
      </c>
      <c r="G180" s="2" t="s">
        <v>3498</v>
      </c>
      <c r="I180" s="847"/>
    </row>
    <row r="181">
      <c r="A181" s="265"/>
      <c r="B181" s="278"/>
      <c r="C181" s="252"/>
      <c r="D181" s="822"/>
      <c r="F181" s="250">
        <v>7400.0</v>
      </c>
      <c r="G181" s="2" t="s">
        <v>3499</v>
      </c>
      <c r="I181" s="847"/>
    </row>
    <row r="182">
      <c r="A182" s="265"/>
      <c r="B182" s="278"/>
      <c r="C182" s="252"/>
      <c r="D182" s="822"/>
      <c r="F182" s="282"/>
      <c r="I182" s="847"/>
    </row>
    <row r="183">
      <c r="A183" s="265"/>
      <c r="B183" s="278"/>
      <c r="C183" s="252"/>
      <c r="D183" s="822"/>
      <c r="F183" s="282"/>
      <c r="I183" s="847"/>
    </row>
    <row r="184">
      <c r="A184" s="265"/>
      <c r="B184" s="278"/>
      <c r="C184" s="252"/>
      <c r="D184" s="822"/>
      <c r="F184" s="282"/>
      <c r="I184" s="847"/>
    </row>
    <row r="185">
      <c r="A185" s="270"/>
      <c r="B185" s="271"/>
      <c r="C185" s="272"/>
      <c r="D185" s="823"/>
      <c r="E185" s="18"/>
      <c r="F185" s="274"/>
      <c r="G185" s="18"/>
      <c r="H185" s="18"/>
      <c r="I185" s="663"/>
    </row>
    <row r="186">
      <c r="A186" s="262" t="s">
        <v>495</v>
      </c>
      <c r="B186" s="306"/>
      <c r="C186" s="263"/>
      <c r="D186" s="824"/>
      <c r="E186" s="242"/>
      <c r="F186" s="243">
        <v>1588.0</v>
      </c>
      <c r="G186" s="244" t="s">
        <v>708</v>
      </c>
      <c r="H186" s="244"/>
      <c r="I186" s="662"/>
    </row>
    <row r="187">
      <c r="A187" s="265"/>
      <c r="B187" s="247">
        <v>6400.0</v>
      </c>
      <c r="C187" s="252"/>
      <c r="D187" s="822"/>
      <c r="F187" s="250"/>
      <c r="G187" s="2" t="s">
        <v>167</v>
      </c>
      <c r="I187" s="847"/>
    </row>
    <row r="188">
      <c r="A188" s="265"/>
      <c r="B188" s="268"/>
      <c r="C188" s="252"/>
      <c r="D188" s="331"/>
      <c r="F188" s="250">
        <v>400.0</v>
      </c>
      <c r="G188" s="2" t="s">
        <v>3338</v>
      </c>
      <c r="I188" s="847"/>
    </row>
    <row r="189">
      <c r="A189" s="265"/>
      <c r="B189" s="268"/>
      <c r="C189" s="252"/>
      <c r="D189" s="331"/>
      <c r="F189" s="250">
        <v>300.0</v>
      </c>
      <c r="G189" s="2" t="s">
        <v>2931</v>
      </c>
      <c r="I189" s="847"/>
    </row>
    <row r="190">
      <c r="A190" s="265"/>
      <c r="B190" s="247">
        <v>3276.0</v>
      </c>
      <c r="C190" s="252"/>
      <c r="D190" s="331"/>
      <c r="F190" s="250"/>
      <c r="G190" s="2" t="s">
        <v>2885</v>
      </c>
      <c r="I190" s="847"/>
    </row>
    <row r="191">
      <c r="A191" s="265"/>
      <c r="B191" s="268"/>
      <c r="C191" s="252"/>
      <c r="D191" s="331"/>
      <c r="F191" s="250">
        <v>532.0</v>
      </c>
      <c r="G191" s="2" t="s">
        <v>708</v>
      </c>
      <c r="I191" s="847"/>
    </row>
    <row r="192">
      <c r="A192" s="265"/>
      <c r="B192" s="268"/>
      <c r="C192" s="252"/>
      <c r="D192" s="822"/>
      <c r="F192" s="250"/>
      <c r="I192" s="847"/>
    </row>
    <row r="193">
      <c r="A193" s="265"/>
      <c r="B193" s="268"/>
      <c r="C193" s="252"/>
      <c r="D193" s="331"/>
      <c r="F193" s="250"/>
      <c r="I193" s="847"/>
    </row>
    <row r="194">
      <c r="A194" s="265"/>
      <c r="B194" s="268"/>
      <c r="C194" s="248"/>
      <c r="D194" s="822"/>
      <c r="F194" s="250"/>
      <c r="I194" s="847"/>
    </row>
    <row r="195">
      <c r="A195" s="265"/>
      <c r="B195" s="268"/>
      <c r="C195" s="248"/>
      <c r="D195" s="822"/>
      <c r="F195" s="250"/>
      <c r="I195" s="847"/>
    </row>
    <row r="196">
      <c r="A196" s="265"/>
      <c r="B196" s="268"/>
      <c r="C196" s="248"/>
      <c r="D196" s="822"/>
      <c r="F196" s="250"/>
      <c r="I196" s="847"/>
    </row>
    <row r="197">
      <c r="A197" s="265"/>
      <c r="B197" s="268"/>
      <c r="C197" s="248"/>
      <c r="D197" s="822"/>
      <c r="F197" s="250"/>
      <c r="I197" s="847"/>
    </row>
    <row r="198">
      <c r="A198" s="270"/>
      <c r="B198" s="271"/>
      <c r="C198" s="272"/>
      <c r="D198" s="823"/>
      <c r="E198" s="18"/>
      <c r="F198" s="274"/>
      <c r="G198" s="18"/>
      <c r="H198" s="18"/>
      <c r="I198" s="663"/>
    </row>
    <row r="199">
      <c r="A199" s="262" t="s">
        <v>497</v>
      </c>
      <c r="B199" s="306"/>
      <c r="C199" s="263"/>
      <c r="D199" s="824"/>
      <c r="E199" s="242"/>
      <c r="F199" s="243">
        <v>150.0</v>
      </c>
      <c r="G199" s="244" t="s">
        <v>349</v>
      </c>
      <c r="H199" s="244"/>
      <c r="I199" s="662"/>
    </row>
    <row r="200">
      <c r="A200" s="265"/>
      <c r="B200" s="268"/>
      <c r="C200" s="252"/>
      <c r="D200" s="331"/>
      <c r="F200" s="250">
        <v>1028.0</v>
      </c>
      <c r="G200" s="2" t="s">
        <v>82</v>
      </c>
      <c r="I200" s="847"/>
    </row>
    <row r="201">
      <c r="A201" s="265"/>
      <c r="B201" s="268"/>
      <c r="C201" s="252"/>
      <c r="D201" s="822"/>
      <c r="F201" s="250">
        <f>2539+2253</f>
        <v>4792</v>
      </c>
      <c r="G201" s="2" t="s">
        <v>708</v>
      </c>
      <c r="I201" s="847"/>
    </row>
    <row r="202">
      <c r="A202" s="265"/>
      <c r="B202" s="268"/>
      <c r="C202" s="248"/>
      <c r="D202" s="822"/>
      <c r="F202" s="250">
        <v>500.0</v>
      </c>
      <c r="G202" s="2" t="s">
        <v>344</v>
      </c>
      <c r="I202" s="847"/>
    </row>
    <row r="203">
      <c r="A203" s="265"/>
      <c r="B203" s="268"/>
      <c r="C203" s="252"/>
      <c r="D203" s="822"/>
      <c r="F203" s="250"/>
      <c r="I203" s="847"/>
    </row>
    <row r="204">
      <c r="A204" s="265"/>
      <c r="B204" s="268"/>
      <c r="C204" s="252"/>
      <c r="D204" s="822"/>
      <c r="F204" s="250"/>
      <c r="I204" s="847"/>
    </row>
    <row r="205">
      <c r="A205" s="265"/>
      <c r="B205" s="268"/>
      <c r="C205" s="252"/>
      <c r="D205" s="822"/>
      <c r="F205" s="250"/>
      <c r="I205" s="847"/>
    </row>
    <row r="206">
      <c r="A206" s="265"/>
      <c r="B206" s="268"/>
      <c r="C206" s="252"/>
      <c r="D206" s="822"/>
      <c r="F206" s="250"/>
      <c r="I206" s="847"/>
    </row>
    <row r="207">
      <c r="A207" s="265"/>
      <c r="B207" s="268"/>
      <c r="C207" s="252"/>
      <c r="D207" s="822"/>
      <c r="F207" s="250"/>
      <c r="I207" s="847"/>
    </row>
    <row r="208">
      <c r="A208" s="265"/>
      <c r="B208" s="278"/>
      <c r="C208" s="252"/>
      <c r="D208" s="822"/>
      <c r="F208" s="250"/>
      <c r="I208" s="847"/>
    </row>
    <row r="209">
      <c r="A209" s="265"/>
      <c r="B209" s="278"/>
      <c r="C209" s="252"/>
      <c r="D209" s="822"/>
      <c r="F209" s="282"/>
      <c r="I209" s="847"/>
    </row>
    <row r="210">
      <c r="A210" s="270"/>
      <c r="B210" s="271"/>
      <c r="C210" s="272"/>
      <c r="D210" s="823"/>
      <c r="E210" s="18"/>
      <c r="F210" s="274"/>
      <c r="G210" s="18"/>
      <c r="H210" s="18"/>
      <c r="I210" s="663"/>
    </row>
    <row r="211">
      <c r="A211" s="262" t="s">
        <v>498</v>
      </c>
      <c r="B211" s="306"/>
      <c r="C211" s="240"/>
      <c r="D211" s="821"/>
      <c r="E211" s="242"/>
      <c r="F211" s="243">
        <v>1030.0</v>
      </c>
      <c r="G211" s="244" t="s">
        <v>708</v>
      </c>
      <c r="H211" s="244"/>
      <c r="I211" s="662"/>
    </row>
    <row r="212">
      <c r="A212" s="265"/>
      <c r="B212" s="268"/>
      <c r="C212" s="252"/>
      <c r="D212" s="331"/>
      <c r="F212" s="250">
        <v>6400.0</v>
      </c>
      <c r="G212" s="2" t="s">
        <v>87</v>
      </c>
      <c r="I212" s="847"/>
    </row>
    <row r="213">
      <c r="A213" s="265"/>
      <c r="B213" s="268"/>
      <c r="C213" s="252"/>
      <c r="D213" s="822"/>
      <c r="F213" s="250">
        <v>700.0</v>
      </c>
      <c r="G213" s="2" t="s">
        <v>3345</v>
      </c>
      <c r="I213" s="847"/>
    </row>
    <row r="214">
      <c r="A214" s="265"/>
      <c r="B214" s="268"/>
      <c r="C214" s="248"/>
      <c r="D214" s="822"/>
      <c r="F214" s="250">
        <v>4600.0</v>
      </c>
      <c r="G214" s="2" t="s">
        <v>76</v>
      </c>
      <c r="I214" s="847"/>
    </row>
    <row r="215">
      <c r="A215" s="265"/>
      <c r="B215" s="268"/>
      <c r="C215" s="248"/>
      <c r="D215" s="822"/>
      <c r="F215" s="250"/>
      <c r="I215" s="847"/>
    </row>
    <row r="216">
      <c r="A216" s="265"/>
      <c r="B216" s="268"/>
      <c r="C216" s="248"/>
      <c r="D216" s="822"/>
      <c r="F216" s="250"/>
      <c r="I216" s="847"/>
    </row>
    <row r="217">
      <c r="A217" s="265"/>
      <c r="B217" s="268"/>
      <c r="C217" s="252"/>
      <c r="D217" s="822"/>
      <c r="F217" s="250"/>
      <c r="I217" s="847"/>
    </row>
    <row r="218">
      <c r="A218" s="265"/>
      <c r="B218" s="268"/>
      <c r="C218" s="252"/>
      <c r="D218" s="822"/>
      <c r="F218" s="250"/>
      <c r="I218" s="847"/>
    </row>
    <row r="219">
      <c r="A219" s="265"/>
      <c r="B219" s="268"/>
      <c r="C219" s="252"/>
      <c r="D219" s="822"/>
      <c r="F219" s="250"/>
      <c r="I219" s="847"/>
    </row>
    <row r="220">
      <c r="A220" s="265"/>
      <c r="B220" s="268"/>
      <c r="C220" s="252"/>
      <c r="D220" s="822"/>
      <c r="F220" s="250"/>
      <c r="I220" s="847"/>
    </row>
    <row r="221">
      <c r="A221" s="270"/>
      <c r="B221" s="271"/>
      <c r="C221" s="272"/>
      <c r="D221" s="823"/>
      <c r="E221" s="18"/>
      <c r="F221" s="274"/>
      <c r="G221" s="18"/>
      <c r="H221" s="18"/>
      <c r="I221" s="663"/>
    </row>
    <row r="222">
      <c r="A222" s="262" t="s">
        <v>499</v>
      </c>
      <c r="B222" s="306"/>
      <c r="C222" s="240"/>
      <c r="D222" s="824"/>
      <c r="E222" s="242"/>
      <c r="F222" s="243">
        <v>5012.0</v>
      </c>
      <c r="G222" s="244" t="s">
        <v>708</v>
      </c>
      <c r="H222" s="244"/>
      <c r="I222" s="662"/>
    </row>
    <row r="223">
      <c r="A223" s="265"/>
      <c r="B223" s="247">
        <v>2035.0</v>
      </c>
      <c r="C223" s="252"/>
      <c r="D223" s="822"/>
      <c r="F223" s="250"/>
      <c r="G223" s="2" t="s">
        <v>352</v>
      </c>
      <c r="I223" s="847"/>
    </row>
    <row r="224">
      <c r="A224" s="265"/>
      <c r="B224" s="268"/>
      <c r="C224" s="252"/>
      <c r="D224" s="822"/>
      <c r="F224" s="250">
        <v>400.0</v>
      </c>
      <c r="G224" s="2" t="s">
        <v>3333</v>
      </c>
      <c r="I224" s="847"/>
    </row>
    <row r="225">
      <c r="A225" s="265"/>
      <c r="B225" s="268"/>
      <c r="C225" s="252"/>
      <c r="D225" s="822"/>
      <c r="F225" s="250"/>
      <c r="I225" s="847"/>
    </row>
    <row r="226">
      <c r="A226" s="265"/>
      <c r="B226" s="268"/>
      <c r="C226" s="252"/>
      <c r="D226" s="822"/>
      <c r="F226" s="250"/>
      <c r="I226" s="847"/>
    </row>
    <row r="227">
      <c r="A227" s="265"/>
      <c r="B227" s="268"/>
      <c r="C227" s="252"/>
      <c r="D227" s="822"/>
      <c r="F227" s="250"/>
      <c r="I227" s="847"/>
    </row>
    <row r="228">
      <c r="A228" s="265"/>
      <c r="B228" s="268"/>
      <c r="C228" s="252"/>
      <c r="D228" s="822"/>
      <c r="F228" s="250"/>
      <c r="I228" s="847"/>
    </row>
    <row r="229">
      <c r="A229" s="265"/>
      <c r="B229" s="268"/>
      <c r="C229" s="252"/>
      <c r="D229" s="822"/>
      <c r="F229" s="250"/>
      <c r="I229" s="847"/>
    </row>
    <row r="230">
      <c r="A230" s="265"/>
      <c r="B230" s="268"/>
      <c r="C230" s="252"/>
      <c r="D230" s="822"/>
      <c r="F230" s="250"/>
      <c r="I230" s="847"/>
    </row>
    <row r="231">
      <c r="A231" s="265"/>
      <c r="B231" s="268"/>
      <c r="C231" s="252"/>
      <c r="D231" s="822"/>
      <c r="F231" s="250"/>
      <c r="I231" s="847"/>
    </row>
    <row r="232">
      <c r="A232" s="265"/>
      <c r="B232" s="278"/>
      <c r="C232" s="252"/>
      <c r="D232" s="822"/>
      <c r="F232" s="250"/>
      <c r="I232" s="847"/>
    </row>
    <row r="233">
      <c r="A233" s="265"/>
      <c r="B233" s="278"/>
      <c r="C233" s="252"/>
      <c r="D233" s="822"/>
      <c r="F233" s="250"/>
      <c r="I233" s="847"/>
    </row>
    <row r="234">
      <c r="A234" s="265"/>
      <c r="B234" s="278"/>
      <c r="C234" s="252"/>
      <c r="D234" s="822"/>
      <c r="F234" s="250"/>
      <c r="I234" s="847"/>
    </row>
    <row r="235">
      <c r="A235" s="270"/>
      <c r="B235" s="271"/>
      <c r="C235" s="272"/>
      <c r="D235" s="823"/>
      <c r="E235" s="18"/>
      <c r="F235" s="274"/>
      <c r="G235" s="18"/>
      <c r="H235" s="18"/>
      <c r="I235" s="663"/>
    </row>
    <row r="236">
      <c r="A236" s="262" t="s">
        <v>500</v>
      </c>
      <c r="B236" s="306"/>
      <c r="C236" s="240"/>
      <c r="D236" s="824"/>
      <c r="E236" s="242"/>
      <c r="F236" s="243">
        <v>189.0</v>
      </c>
      <c r="G236" s="244" t="s">
        <v>1556</v>
      </c>
      <c r="H236" s="244"/>
      <c r="I236" s="662"/>
    </row>
    <row r="237">
      <c r="A237" s="265"/>
      <c r="B237" s="268"/>
      <c r="C237" s="252"/>
      <c r="D237" s="822"/>
      <c r="F237" s="250">
        <v>2200.0</v>
      </c>
      <c r="G237" s="2" t="s">
        <v>708</v>
      </c>
      <c r="I237" s="847"/>
    </row>
    <row r="238">
      <c r="A238" s="265"/>
      <c r="B238" s="247"/>
      <c r="C238" s="252"/>
      <c r="D238" s="822"/>
      <c r="F238" s="250">
        <v>1300.0</v>
      </c>
      <c r="G238" s="2" t="s">
        <v>139</v>
      </c>
      <c r="I238" s="847"/>
    </row>
    <row r="239">
      <c r="A239" s="265"/>
      <c r="B239" s="268"/>
      <c r="C239" s="252"/>
      <c r="D239" s="822"/>
      <c r="F239" s="250">
        <v>1350.0</v>
      </c>
      <c r="G239" s="2" t="s">
        <v>3003</v>
      </c>
      <c r="I239" s="847"/>
    </row>
    <row r="240">
      <c r="A240" s="265"/>
      <c r="B240" s="268"/>
      <c r="C240" s="252"/>
      <c r="D240" s="822"/>
      <c r="F240" s="250">
        <v>3358.0</v>
      </c>
      <c r="G240" s="2" t="s">
        <v>82</v>
      </c>
      <c r="I240" s="847"/>
    </row>
    <row r="241">
      <c r="A241" s="265"/>
      <c r="B241" s="247"/>
      <c r="C241" s="248"/>
      <c r="D241" s="822"/>
      <c r="F241" s="250">
        <v>6400.0</v>
      </c>
      <c r="G241" s="2" t="s">
        <v>87</v>
      </c>
      <c r="I241" s="847"/>
    </row>
    <row r="242">
      <c r="A242" s="265"/>
      <c r="B242" s="268"/>
      <c r="C242" s="252"/>
      <c r="D242" s="822"/>
      <c r="F242" s="250">
        <v>1800.0</v>
      </c>
      <c r="G242" s="2" t="s">
        <v>344</v>
      </c>
      <c r="I242" s="847"/>
    </row>
    <row r="243">
      <c r="A243" s="265"/>
      <c r="B243" s="268"/>
      <c r="C243" s="252"/>
      <c r="D243" s="822"/>
      <c r="F243" s="250">
        <v>700.0</v>
      </c>
      <c r="G243" s="2" t="s">
        <v>3380</v>
      </c>
      <c r="I243" s="847"/>
    </row>
    <row r="244">
      <c r="A244" s="265"/>
      <c r="B244" s="268"/>
      <c r="C244" s="248">
        <v>22549.0</v>
      </c>
      <c r="D244" s="822"/>
      <c r="F244" s="250"/>
      <c r="G244" s="2" t="s">
        <v>71</v>
      </c>
      <c r="I244" s="847"/>
    </row>
    <row r="245">
      <c r="A245" s="265"/>
      <c r="B245" s="268"/>
      <c r="C245" s="252"/>
      <c r="D245" s="822"/>
      <c r="F245" s="250">
        <v>170.0</v>
      </c>
      <c r="G245" s="2" t="s">
        <v>228</v>
      </c>
      <c r="I245" s="847"/>
    </row>
    <row r="246">
      <c r="A246" s="265"/>
      <c r="B246" s="268"/>
      <c r="C246" s="252"/>
      <c r="D246" s="822"/>
      <c r="F246" s="250">
        <v>400.0</v>
      </c>
      <c r="G246" s="2" t="s">
        <v>3333</v>
      </c>
      <c r="I246" s="847"/>
    </row>
    <row r="247">
      <c r="A247" s="265"/>
      <c r="B247" s="268"/>
      <c r="C247" s="252"/>
      <c r="D247" s="822"/>
      <c r="F247" s="250"/>
      <c r="I247" s="847"/>
    </row>
    <row r="248">
      <c r="A248" s="265"/>
      <c r="B248" s="268"/>
      <c r="C248" s="252"/>
      <c r="D248" s="822"/>
      <c r="F248" s="250"/>
      <c r="I248" s="847"/>
    </row>
    <row r="249">
      <c r="A249" s="265"/>
      <c r="B249" s="268"/>
      <c r="C249" s="252"/>
      <c r="D249" s="822"/>
      <c r="F249" s="250"/>
      <c r="I249" s="847"/>
    </row>
    <row r="250">
      <c r="A250" s="270"/>
      <c r="B250" s="271"/>
      <c r="C250" s="272"/>
      <c r="D250" s="823"/>
      <c r="E250" s="18"/>
      <c r="F250" s="274"/>
      <c r="G250" s="18"/>
      <c r="H250" s="18"/>
      <c r="I250" s="663"/>
    </row>
    <row r="251">
      <c r="A251" s="262" t="s">
        <v>503</v>
      </c>
      <c r="B251" s="306"/>
      <c r="C251" s="263"/>
      <c r="D251" s="821"/>
      <c r="E251" s="242"/>
      <c r="F251" s="243">
        <v>1850.0</v>
      </c>
      <c r="G251" s="244" t="s">
        <v>708</v>
      </c>
      <c r="H251" s="244"/>
      <c r="I251" s="662"/>
    </row>
    <row r="252">
      <c r="A252" s="265"/>
      <c r="B252" s="268"/>
      <c r="C252" s="252"/>
      <c r="D252" s="822"/>
      <c r="F252" s="250">
        <v>10218.0</v>
      </c>
      <c r="G252" s="2" t="s">
        <v>405</v>
      </c>
      <c r="I252" s="847"/>
    </row>
    <row r="253">
      <c r="A253" s="265"/>
      <c r="B253" s="268"/>
      <c r="C253" s="252"/>
      <c r="D253" s="331"/>
      <c r="F253" s="250">
        <v>152.0</v>
      </c>
      <c r="G253" s="2" t="s">
        <v>2708</v>
      </c>
      <c r="I253" s="847"/>
    </row>
    <row r="254">
      <c r="A254" s="265"/>
      <c r="B254" s="268"/>
      <c r="C254" s="252"/>
      <c r="D254" s="822"/>
      <c r="F254" s="250">
        <v>500.0</v>
      </c>
      <c r="G254" s="2" t="s">
        <v>143</v>
      </c>
      <c r="I254" s="847"/>
    </row>
    <row r="255">
      <c r="A255" s="265"/>
      <c r="B255" s="268"/>
      <c r="C255" s="252"/>
      <c r="D255" s="822"/>
      <c r="F255" s="250">
        <v>650.0</v>
      </c>
      <c r="G255" s="2" t="s">
        <v>344</v>
      </c>
      <c r="I255" s="847"/>
    </row>
    <row r="256">
      <c r="A256" s="265"/>
      <c r="B256" s="268"/>
      <c r="C256" s="252"/>
      <c r="D256" s="822"/>
      <c r="F256" s="250">
        <v>2500.0</v>
      </c>
      <c r="G256" s="2" t="s">
        <v>3500</v>
      </c>
      <c r="H256" s="252"/>
      <c r="I256" s="847"/>
    </row>
    <row r="257">
      <c r="A257" s="265"/>
      <c r="B257" s="268"/>
      <c r="C257" s="252"/>
      <c r="D257" s="822"/>
      <c r="F257" s="250"/>
      <c r="I257" s="847"/>
    </row>
    <row r="258">
      <c r="A258" s="265"/>
      <c r="B258" s="268"/>
      <c r="C258" s="252"/>
      <c r="D258" s="822"/>
      <c r="F258" s="250"/>
      <c r="I258" s="847"/>
    </row>
    <row r="259">
      <c r="A259" s="265"/>
      <c r="B259" s="268"/>
      <c r="C259" s="252"/>
      <c r="D259" s="822"/>
      <c r="F259" s="250"/>
      <c r="I259" s="847"/>
    </row>
    <row r="260">
      <c r="A260" s="265"/>
      <c r="B260" s="268"/>
      <c r="C260" s="252"/>
      <c r="D260" s="822"/>
      <c r="F260" s="250"/>
      <c r="I260" s="847"/>
    </row>
    <row r="261">
      <c r="A261" s="265"/>
      <c r="B261" s="268"/>
      <c r="C261" s="252"/>
      <c r="D261" s="822"/>
      <c r="F261" s="250"/>
      <c r="I261" s="847"/>
    </row>
    <row r="262">
      <c r="A262" s="265"/>
      <c r="B262" s="268"/>
      <c r="C262" s="252"/>
      <c r="D262" s="822"/>
      <c r="F262" s="250"/>
      <c r="I262" s="847"/>
    </row>
    <row r="263">
      <c r="A263" s="270"/>
      <c r="B263" s="271"/>
      <c r="C263" s="272"/>
      <c r="D263" s="823"/>
      <c r="E263" s="18"/>
      <c r="F263" s="274"/>
      <c r="G263" s="18"/>
      <c r="H263" s="18"/>
      <c r="I263" s="663"/>
    </row>
    <row r="264">
      <c r="A264" s="262" t="s">
        <v>506</v>
      </c>
      <c r="B264" s="306"/>
      <c r="C264" s="263"/>
      <c r="D264" s="824"/>
      <c r="E264" s="242"/>
      <c r="F264" s="243">
        <v>2184.0</v>
      </c>
      <c r="G264" s="244" t="s">
        <v>708</v>
      </c>
      <c r="H264" s="244"/>
      <c r="I264" s="662"/>
    </row>
    <row r="265">
      <c r="A265" s="265"/>
      <c r="B265" s="268"/>
      <c r="C265" s="252"/>
      <c r="D265" s="822"/>
      <c r="F265" s="250">
        <v>1638.0</v>
      </c>
      <c r="G265" s="2" t="s">
        <v>91</v>
      </c>
      <c r="I265" s="847"/>
    </row>
    <row r="266">
      <c r="A266" s="265"/>
      <c r="B266" s="268"/>
      <c r="C266" s="252"/>
      <c r="D266" s="822"/>
      <c r="F266" s="250">
        <v>550.0</v>
      </c>
      <c r="G266" s="2" t="s">
        <v>2914</v>
      </c>
      <c r="I266" s="847"/>
    </row>
    <row r="267">
      <c r="A267" s="265"/>
      <c r="B267" s="268"/>
      <c r="C267" s="252"/>
      <c r="D267" s="822"/>
      <c r="F267" s="250">
        <v>200.0</v>
      </c>
      <c r="G267" s="2" t="s">
        <v>1729</v>
      </c>
      <c r="I267" s="847"/>
    </row>
    <row r="268">
      <c r="A268" s="265"/>
      <c r="B268" s="247">
        <v>1415.0</v>
      </c>
      <c r="C268" s="252"/>
      <c r="D268" s="822"/>
      <c r="F268" s="250"/>
      <c r="G268" s="2" t="s">
        <v>3258</v>
      </c>
      <c r="I268" s="847"/>
    </row>
    <row r="269">
      <c r="A269" s="265"/>
      <c r="B269" s="268"/>
      <c r="C269" s="248"/>
      <c r="D269" s="331">
        <v>19000.0</v>
      </c>
      <c r="F269" s="250"/>
      <c r="G269" s="2" t="s">
        <v>3295</v>
      </c>
      <c r="I269" s="847"/>
    </row>
    <row r="270">
      <c r="A270" s="265"/>
      <c r="B270" s="268"/>
      <c r="C270" s="252"/>
      <c r="D270" s="331">
        <v>4000.0</v>
      </c>
      <c r="F270" s="250"/>
      <c r="G270" s="2" t="s">
        <v>3501</v>
      </c>
      <c r="I270" s="847"/>
    </row>
    <row r="271">
      <c r="A271" s="265"/>
      <c r="B271" s="268"/>
      <c r="C271" s="252"/>
      <c r="D271" s="822"/>
      <c r="F271" s="250">
        <v>200.0</v>
      </c>
      <c r="G271" s="2" t="s">
        <v>3502</v>
      </c>
      <c r="I271" s="847"/>
    </row>
    <row r="272">
      <c r="A272" s="265"/>
      <c r="B272" s="268"/>
      <c r="C272" s="252"/>
      <c r="D272" s="331"/>
      <c r="F272" s="250">
        <v>2500.0</v>
      </c>
      <c r="G272" s="2" t="s">
        <v>394</v>
      </c>
      <c r="I272" s="847"/>
    </row>
    <row r="273">
      <c r="A273" s="265"/>
      <c r="B273" s="268"/>
      <c r="C273" s="252"/>
      <c r="D273" s="331"/>
      <c r="F273" s="250">
        <v>3900.0</v>
      </c>
      <c r="G273" s="2" t="s">
        <v>3324</v>
      </c>
      <c r="I273" s="847"/>
    </row>
    <row r="274">
      <c r="A274" s="265"/>
      <c r="B274" s="268"/>
      <c r="C274" s="252"/>
      <c r="D274" s="822"/>
      <c r="F274" s="250">
        <v>6800.0</v>
      </c>
      <c r="G274" s="2" t="s">
        <v>3503</v>
      </c>
      <c r="H274" s="838"/>
      <c r="I274" s="847"/>
    </row>
    <row r="275">
      <c r="A275" s="265"/>
      <c r="B275" s="268"/>
      <c r="C275" s="252"/>
      <c r="D275" s="822"/>
      <c r="F275" s="250"/>
      <c r="I275" s="847"/>
    </row>
    <row r="276">
      <c r="A276" s="265"/>
      <c r="B276" s="268"/>
      <c r="C276" s="252"/>
      <c r="D276" s="822"/>
      <c r="F276" s="250"/>
      <c r="I276" s="847"/>
    </row>
    <row r="277">
      <c r="A277" s="270"/>
      <c r="B277" s="271"/>
      <c r="C277" s="272"/>
      <c r="D277" s="823"/>
      <c r="E277" s="18"/>
      <c r="F277" s="274"/>
      <c r="G277" s="18"/>
      <c r="H277" s="18"/>
      <c r="I277" s="663"/>
    </row>
    <row r="278">
      <c r="A278" s="262" t="s">
        <v>508</v>
      </c>
      <c r="B278" s="306"/>
      <c r="C278" s="240"/>
      <c r="D278" s="824"/>
      <c r="E278" s="242"/>
      <c r="F278" s="243">
        <v>3802.0</v>
      </c>
      <c r="G278" s="244" t="s">
        <v>82</v>
      </c>
      <c r="H278" s="244"/>
      <c r="I278" s="662"/>
    </row>
    <row r="279">
      <c r="A279" s="265"/>
      <c r="B279" s="268"/>
      <c r="C279" s="248">
        <v>20000.0</v>
      </c>
      <c r="D279" s="822"/>
      <c r="F279" s="250"/>
      <c r="G279" s="2" t="s">
        <v>3504</v>
      </c>
      <c r="I279" s="847"/>
    </row>
    <row r="280">
      <c r="A280" s="265"/>
      <c r="B280" s="268"/>
      <c r="C280" s="248">
        <v>22545.0</v>
      </c>
      <c r="D280" s="822"/>
      <c r="F280" s="250"/>
      <c r="G280" s="2" t="s">
        <v>3504</v>
      </c>
      <c r="I280" s="847"/>
    </row>
    <row r="281">
      <c r="A281" s="265"/>
      <c r="B281" s="268"/>
      <c r="C281" s="252"/>
      <c r="D281" s="822"/>
      <c r="F281" s="250">
        <v>4845.0</v>
      </c>
      <c r="G281" s="2" t="s">
        <v>2864</v>
      </c>
      <c r="I281" s="847"/>
    </row>
    <row r="282">
      <c r="A282" s="265"/>
      <c r="B282" s="268"/>
      <c r="C282" s="252"/>
      <c r="D282" s="822"/>
      <c r="F282" s="250">
        <v>6400.0</v>
      </c>
      <c r="G282" s="2" t="s">
        <v>87</v>
      </c>
      <c r="I282" s="847"/>
    </row>
    <row r="283">
      <c r="A283" s="265"/>
      <c r="B283" s="268"/>
      <c r="C283" s="252"/>
      <c r="D283" s="822"/>
      <c r="F283" s="250">
        <v>2350.0</v>
      </c>
      <c r="G283" s="2" t="s">
        <v>3003</v>
      </c>
      <c r="I283" s="847"/>
    </row>
    <row r="284">
      <c r="A284" s="265"/>
      <c r="B284" s="268"/>
      <c r="C284" s="248"/>
      <c r="D284" s="822"/>
      <c r="F284" s="243">
        <v>4500.0</v>
      </c>
      <c r="G284" s="244" t="s">
        <v>708</v>
      </c>
      <c r="H284" s="244"/>
      <c r="I284" s="847"/>
    </row>
    <row r="285">
      <c r="A285" s="265"/>
      <c r="B285" s="268"/>
      <c r="C285" s="252"/>
      <c r="D285" s="822"/>
      <c r="F285" s="250"/>
      <c r="I285" s="847"/>
    </row>
    <row r="286">
      <c r="A286" s="265"/>
      <c r="B286" s="268"/>
      <c r="C286" s="252"/>
      <c r="D286" s="822"/>
      <c r="F286" s="250"/>
      <c r="I286" s="847"/>
    </row>
    <row r="287">
      <c r="A287" s="265"/>
      <c r="B287" s="268"/>
      <c r="C287" s="252"/>
      <c r="D287" s="822"/>
      <c r="F287" s="250"/>
      <c r="I287" s="847"/>
    </row>
    <row r="288">
      <c r="A288" s="265"/>
      <c r="B288" s="268"/>
      <c r="C288" s="252"/>
      <c r="D288" s="822"/>
      <c r="F288" s="250"/>
      <c r="I288" s="847"/>
    </row>
    <row r="289">
      <c r="A289" s="265"/>
      <c r="B289" s="268"/>
      <c r="C289" s="252"/>
      <c r="D289" s="822"/>
      <c r="F289" s="250"/>
      <c r="I289" s="847"/>
    </row>
    <row r="290">
      <c r="A290" s="265"/>
      <c r="B290" s="268"/>
      <c r="C290" s="252"/>
      <c r="D290" s="822"/>
      <c r="F290" s="250"/>
      <c r="I290" s="847"/>
    </row>
    <row r="291">
      <c r="A291" s="265"/>
      <c r="B291" s="268"/>
      <c r="C291" s="252"/>
      <c r="D291" s="822"/>
      <c r="F291" s="250"/>
      <c r="I291" s="847"/>
    </row>
    <row r="292">
      <c r="A292" s="270"/>
      <c r="B292" s="271"/>
      <c r="C292" s="272"/>
      <c r="D292" s="823"/>
      <c r="E292" s="18"/>
      <c r="F292" s="274"/>
      <c r="G292" s="18"/>
      <c r="H292" s="18"/>
      <c r="I292" s="663"/>
    </row>
    <row r="293">
      <c r="A293" s="262" t="s">
        <v>510</v>
      </c>
      <c r="B293" s="306"/>
      <c r="C293" s="240"/>
      <c r="D293" s="824"/>
      <c r="E293" s="242"/>
      <c r="F293" s="250">
        <v>152.0</v>
      </c>
      <c r="G293" s="2" t="s">
        <v>368</v>
      </c>
      <c r="I293" s="662"/>
    </row>
    <row r="294">
      <c r="A294" s="265"/>
      <c r="B294" s="268"/>
      <c r="C294" s="252"/>
      <c r="D294" s="822"/>
      <c r="F294" s="250">
        <v>250.0</v>
      </c>
      <c r="G294" s="2" t="s">
        <v>2638</v>
      </c>
      <c r="I294" s="847"/>
    </row>
    <row r="295">
      <c r="A295" s="265"/>
      <c r="B295" s="268"/>
      <c r="C295" s="252"/>
      <c r="D295" s="822"/>
      <c r="F295" s="250">
        <v>262.0</v>
      </c>
      <c r="G295" s="2" t="s">
        <v>314</v>
      </c>
      <c r="I295" s="847"/>
    </row>
    <row r="296">
      <c r="A296" s="265"/>
      <c r="B296" s="268"/>
      <c r="C296" s="252"/>
      <c r="D296" s="822"/>
      <c r="F296" s="250">
        <v>80.0</v>
      </c>
      <c r="G296" s="2" t="s">
        <v>137</v>
      </c>
      <c r="I296" s="847"/>
    </row>
    <row r="297">
      <c r="A297" s="265"/>
      <c r="B297" s="247"/>
      <c r="C297" s="252"/>
      <c r="D297" s="822"/>
      <c r="F297" s="250">
        <f>256</f>
        <v>256</v>
      </c>
      <c r="I297" s="847"/>
    </row>
    <row r="298">
      <c r="A298" s="265"/>
      <c r="B298" s="247"/>
      <c r="C298" s="252"/>
      <c r="D298" s="822"/>
      <c r="F298" s="250">
        <v>400.0</v>
      </c>
      <c r="G298" s="2" t="s">
        <v>3333</v>
      </c>
      <c r="I298" s="847"/>
    </row>
    <row r="299">
      <c r="A299" s="265"/>
      <c r="B299" s="268"/>
      <c r="C299" s="252"/>
      <c r="D299" s="331"/>
      <c r="F299" s="250"/>
      <c r="I299" s="847"/>
    </row>
    <row r="300">
      <c r="A300" s="265"/>
      <c r="B300" s="268"/>
      <c r="C300" s="252"/>
      <c r="D300" s="822"/>
      <c r="F300" s="250"/>
      <c r="I300" s="847"/>
    </row>
    <row r="301">
      <c r="A301" s="265"/>
      <c r="B301" s="268"/>
      <c r="C301" s="252"/>
      <c r="D301" s="822"/>
      <c r="F301" s="250"/>
      <c r="I301" s="847"/>
    </row>
    <row r="302">
      <c r="A302" s="265"/>
      <c r="B302" s="268"/>
      <c r="C302" s="252"/>
      <c r="D302" s="822"/>
      <c r="F302" s="250"/>
      <c r="I302" s="847"/>
    </row>
    <row r="303">
      <c r="A303" s="270"/>
      <c r="B303" s="271"/>
      <c r="C303" s="272"/>
      <c r="D303" s="823"/>
      <c r="E303" s="18"/>
      <c r="F303" s="274"/>
      <c r="G303" s="18"/>
      <c r="H303" s="18"/>
      <c r="I303" s="663"/>
    </row>
    <row r="304">
      <c r="A304" s="262"/>
      <c r="B304" s="306"/>
      <c r="C304" s="240"/>
      <c r="D304" s="824"/>
      <c r="E304" s="242"/>
      <c r="F304" s="243"/>
      <c r="G304" s="244"/>
      <c r="H304" s="244"/>
      <c r="I304" s="662"/>
    </row>
    <row r="305">
      <c r="A305" s="265"/>
      <c r="B305" s="268"/>
      <c r="C305" s="252"/>
      <c r="D305" s="822"/>
      <c r="F305" s="250"/>
      <c r="I305" s="847"/>
    </row>
    <row r="306">
      <c r="A306" s="265"/>
      <c r="B306" s="268"/>
      <c r="C306" s="248"/>
      <c r="D306" s="822"/>
      <c r="F306" s="250"/>
      <c r="I306" s="847"/>
    </row>
    <row r="307">
      <c r="A307" s="265"/>
      <c r="B307" s="268"/>
      <c r="C307" s="252"/>
      <c r="D307" s="822"/>
      <c r="F307" s="250"/>
      <c r="I307" s="847"/>
    </row>
    <row r="308">
      <c r="A308" s="265"/>
      <c r="B308" s="268"/>
      <c r="C308" s="252"/>
      <c r="D308" s="822"/>
      <c r="F308" s="250"/>
      <c r="I308" s="847"/>
    </row>
    <row r="309">
      <c r="A309" s="265"/>
      <c r="B309" s="268"/>
      <c r="C309" s="252"/>
      <c r="D309" s="822"/>
      <c r="F309" s="250"/>
      <c r="I309" s="847"/>
    </row>
    <row r="310">
      <c r="A310" s="265"/>
      <c r="B310" s="268"/>
      <c r="C310" s="252"/>
      <c r="D310" s="822"/>
      <c r="F310" s="250"/>
      <c r="I310" s="847"/>
    </row>
    <row r="311">
      <c r="A311" s="265"/>
      <c r="B311" s="268"/>
      <c r="C311" s="252"/>
      <c r="D311" s="822"/>
      <c r="F311" s="250"/>
      <c r="I311" s="847"/>
    </row>
    <row r="312">
      <c r="A312" s="265"/>
      <c r="B312" s="268"/>
      <c r="C312" s="252"/>
      <c r="D312" s="822"/>
      <c r="F312" s="250"/>
      <c r="I312" s="847"/>
    </row>
    <row r="313">
      <c r="A313" s="265"/>
      <c r="B313" s="268"/>
      <c r="C313" s="252"/>
      <c r="D313" s="822"/>
      <c r="F313" s="250"/>
      <c r="I313" s="847"/>
    </row>
    <row r="314">
      <c r="A314" s="270"/>
      <c r="B314" s="271"/>
      <c r="C314" s="272"/>
      <c r="D314" s="823"/>
      <c r="E314" s="18"/>
      <c r="F314" s="274"/>
      <c r="G314" s="18"/>
      <c r="H314" s="18"/>
      <c r="I314" s="663"/>
    </row>
    <row r="315">
      <c r="A315" s="262" t="s">
        <v>3458</v>
      </c>
      <c r="B315" s="306"/>
      <c r="C315" s="240"/>
      <c r="D315" s="824"/>
      <c r="E315" s="242"/>
      <c r="F315" s="243">
        <v>700.0</v>
      </c>
      <c r="G315" s="244" t="s">
        <v>3459</v>
      </c>
      <c r="H315" s="244"/>
      <c r="I315" s="662"/>
    </row>
    <row r="316">
      <c r="A316" s="265"/>
      <c r="B316" s="268"/>
      <c r="C316" s="252"/>
      <c r="D316" s="822"/>
      <c r="F316" s="250">
        <v>16000.0</v>
      </c>
      <c r="G316" s="2" t="s">
        <v>3460</v>
      </c>
      <c r="I316" s="847"/>
    </row>
    <row r="317">
      <c r="A317" s="265"/>
      <c r="B317" s="268"/>
      <c r="C317" s="252"/>
      <c r="D317" s="822"/>
      <c r="F317" s="250">
        <f>328+500+500+329+780+500+83+1797+440+360+350</f>
        <v>5967</v>
      </c>
      <c r="G317" s="2" t="s">
        <v>2708</v>
      </c>
      <c r="I317" s="847"/>
    </row>
    <row r="318">
      <c r="A318" s="265"/>
      <c r="B318" s="268"/>
      <c r="C318" s="252"/>
      <c r="D318" s="822"/>
      <c r="F318" s="250">
        <v>9000.0</v>
      </c>
      <c r="G318" s="2" t="s">
        <v>3461</v>
      </c>
      <c r="I318" s="847"/>
    </row>
    <row r="319">
      <c r="A319" s="265"/>
      <c r="B319" s="268"/>
      <c r="C319" s="252"/>
      <c r="D319" s="822"/>
      <c r="F319" s="250">
        <f>24490+1550</f>
        <v>26040</v>
      </c>
      <c r="G319" s="2" t="s">
        <v>3460</v>
      </c>
      <c r="I319" s="847"/>
    </row>
    <row r="320">
      <c r="A320" s="265"/>
      <c r="B320" s="268"/>
      <c r="C320" s="252"/>
      <c r="D320" s="822"/>
      <c r="F320" s="250">
        <v>700.0</v>
      </c>
      <c r="G320" s="2" t="s">
        <v>3462</v>
      </c>
      <c r="I320" s="847"/>
    </row>
    <row r="321">
      <c r="A321" s="265"/>
      <c r="B321" s="268"/>
      <c r="C321" s="252"/>
      <c r="D321" s="822"/>
      <c r="F321" s="250">
        <v>9000.0</v>
      </c>
      <c r="G321" s="2" t="s">
        <v>3463</v>
      </c>
      <c r="H321" s="318"/>
      <c r="I321" s="847"/>
    </row>
    <row r="322">
      <c r="A322" s="265"/>
      <c r="B322" s="268"/>
      <c r="C322" s="252"/>
      <c r="D322" s="822"/>
      <c r="F322" s="250">
        <v>7628.0</v>
      </c>
      <c r="G322" s="2" t="s">
        <v>3464</v>
      </c>
      <c r="I322" s="847"/>
    </row>
    <row r="323">
      <c r="A323" s="265"/>
      <c r="B323" s="268"/>
      <c r="C323" s="252"/>
      <c r="D323" s="822"/>
      <c r="F323" s="250">
        <v>16893.0</v>
      </c>
      <c r="G323" s="2" t="s">
        <v>3465</v>
      </c>
      <c r="I323" s="847"/>
    </row>
    <row r="324">
      <c r="A324" s="265"/>
      <c r="B324" s="268"/>
      <c r="C324" s="252"/>
      <c r="D324" s="822"/>
      <c r="F324" s="250">
        <v>390.0</v>
      </c>
      <c r="G324" s="2" t="s">
        <v>3466</v>
      </c>
      <c r="I324" s="847"/>
    </row>
    <row r="325">
      <c r="A325" s="265"/>
      <c r="B325" s="268"/>
      <c r="C325" s="252"/>
      <c r="D325" s="822"/>
      <c r="F325" s="250">
        <v>10000.0</v>
      </c>
      <c r="G325" s="2" t="s">
        <v>3467</v>
      </c>
      <c r="I325" s="847"/>
    </row>
    <row r="326">
      <c r="A326" s="265"/>
      <c r="B326" s="268"/>
      <c r="C326" s="252"/>
      <c r="D326" s="822"/>
      <c r="F326" s="250">
        <v>2728.0</v>
      </c>
      <c r="G326" s="2" t="s">
        <v>3466</v>
      </c>
      <c r="I326" s="847"/>
    </row>
    <row r="327">
      <c r="A327" s="265"/>
      <c r="B327" s="268"/>
      <c r="C327" s="252"/>
      <c r="D327" s="822"/>
      <c r="F327" s="250">
        <v>3720.0</v>
      </c>
      <c r="G327" s="2" t="s">
        <v>3468</v>
      </c>
      <c r="I327" s="847"/>
    </row>
    <row r="328">
      <c r="A328" s="265"/>
      <c r="B328" s="268"/>
      <c r="C328" s="252"/>
      <c r="D328" s="822"/>
      <c r="F328" s="250">
        <v>935.0</v>
      </c>
      <c r="G328" s="2" t="s">
        <v>3469</v>
      </c>
      <c r="I328" s="847"/>
    </row>
    <row r="329">
      <c r="A329" s="265"/>
      <c r="B329" s="268"/>
      <c r="C329" s="252"/>
      <c r="D329" s="822"/>
      <c r="F329" s="250">
        <v>30000.0</v>
      </c>
      <c r="G329" s="2" t="s">
        <v>3470</v>
      </c>
      <c r="I329" s="847"/>
    </row>
    <row r="330">
      <c r="A330" s="265"/>
      <c r="B330" s="268"/>
      <c r="C330" s="252"/>
      <c r="D330" s="822"/>
      <c r="F330" s="250">
        <v>50000.0</v>
      </c>
      <c r="G330" s="2" t="s">
        <v>3471</v>
      </c>
      <c r="I330" s="847"/>
    </row>
    <row r="331">
      <c r="A331" s="265"/>
      <c r="B331" s="268"/>
      <c r="C331" s="252"/>
      <c r="D331" s="822"/>
      <c r="F331" s="250">
        <v>5150.0</v>
      </c>
      <c r="G331" s="2" t="s">
        <v>3466</v>
      </c>
      <c r="I331" s="847"/>
    </row>
    <row r="332">
      <c r="A332" s="265"/>
      <c r="B332" s="268"/>
      <c r="C332" s="252"/>
      <c r="D332" s="822"/>
      <c r="F332" s="250">
        <f>480+620</f>
        <v>1100</v>
      </c>
      <c r="G332" s="2" t="s">
        <v>3472</v>
      </c>
      <c r="I332" s="847"/>
    </row>
    <row r="333">
      <c r="A333" s="265"/>
      <c r="B333" s="268"/>
      <c r="C333" s="252"/>
      <c r="D333" s="822"/>
      <c r="F333" s="250">
        <v>4100.0</v>
      </c>
      <c r="G333" s="2" t="s">
        <v>3473</v>
      </c>
      <c r="I333" s="847"/>
    </row>
    <row r="334">
      <c r="A334" s="265"/>
      <c r="B334" s="268"/>
      <c r="C334" s="252"/>
      <c r="D334" s="822"/>
      <c r="F334" s="250">
        <v>10000.0</v>
      </c>
      <c r="G334" s="2" t="s">
        <v>3474</v>
      </c>
      <c r="I334" s="847"/>
    </row>
    <row r="335">
      <c r="A335" s="265"/>
      <c r="B335" s="268"/>
      <c r="C335" s="252"/>
      <c r="D335" s="822"/>
      <c r="F335" s="250">
        <f>780+423+600</f>
        <v>1803</v>
      </c>
      <c r="G335" s="2" t="s">
        <v>2708</v>
      </c>
      <c r="I335" s="847"/>
    </row>
    <row r="336">
      <c r="A336" s="265"/>
      <c r="B336" s="268"/>
      <c r="C336" s="252"/>
      <c r="D336" s="822"/>
      <c r="F336" s="250">
        <v>345.0</v>
      </c>
      <c r="G336" s="2" t="s">
        <v>3475</v>
      </c>
      <c r="I336" s="847"/>
    </row>
    <row r="337">
      <c r="A337" s="265"/>
      <c r="B337" s="268"/>
      <c r="C337" s="252"/>
      <c r="D337" s="822"/>
      <c r="F337" s="250">
        <v>30000.0</v>
      </c>
      <c r="G337" s="2" t="s">
        <v>2806</v>
      </c>
      <c r="I337" s="847"/>
    </row>
    <row r="338">
      <c r="A338" s="265"/>
      <c r="B338" s="268"/>
      <c r="C338" s="252"/>
      <c r="D338" s="822"/>
      <c r="F338" s="250">
        <v>24000.0</v>
      </c>
      <c r="G338" s="2" t="s">
        <v>3476</v>
      </c>
      <c r="I338" s="847"/>
    </row>
    <row r="339">
      <c r="A339" s="265"/>
      <c r="B339" s="268"/>
      <c r="C339" s="252"/>
      <c r="D339" s="822"/>
      <c r="F339" s="250">
        <v>5000.0</v>
      </c>
      <c r="G339" s="2" t="s">
        <v>3477</v>
      </c>
      <c r="I339" s="847"/>
    </row>
    <row r="340">
      <c r="A340" s="265"/>
      <c r="B340" s="268"/>
      <c r="C340" s="252"/>
      <c r="D340" s="822"/>
      <c r="F340" s="250"/>
      <c r="I340" s="847"/>
    </row>
    <row r="341">
      <c r="A341" s="265"/>
      <c r="B341" s="268"/>
      <c r="C341" s="252"/>
      <c r="D341" s="822"/>
      <c r="F341" s="250">
        <v>162000.0</v>
      </c>
      <c r="G341" s="2" t="s">
        <v>3478</v>
      </c>
      <c r="I341" s="847"/>
    </row>
    <row r="342">
      <c r="A342" s="270"/>
      <c r="B342" s="271"/>
      <c r="C342" s="272"/>
      <c r="D342" s="823"/>
      <c r="E342" s="18"/>
      <c r="F342" s="274"/>
      <c r="G342" s="18"/>
      <c r="H342" s="18"/>
      <c r="I342" s="663"/>
    </row>
    <row r="343">
      <c r="A343" s="305"/>
      <c r="B343" s="306"/>
      <c r="C343" s="240"/>
      <c r="D343" s="824"/>
      <c r="E343" s="242"/>
      <c r="F343" s="243">
        <f>SUM(F315:F342)</f>
        <v>433199</v>
      </c>
      <c r="H343" s="252"/>
      <c r="I343" s="662"/>
    </row>
    <row r="344">
      <c r="A344" s="265"/>
      <c r="B344" s="268"/>
      <c r="C344" s="248"/>
      <c r="D344" s="822"/>
      <c r="F344" s="250"/>
      <c r="H344" s="252"/>
      <c r="I344" s="847"/>
    </row>
    <row r="345">
      <c r="A345" s="265"/>
      <c r="B345" s="268"/>
      <c r="C345" s="248"/>
      <c r="D345" s="822"/>
      <c r="F345" s="250"/>
      <c r="H345" s="252"/>
      <c r="I345" s="847"/>
    </row>
    <row r="346">
      <c r="A346" s="265"/>
      <c r="B346" s="268"/>
      <c r="C346" s="252"/>
      <c r="D346" s="822"/>
      <c r="F346" s="250"/>
      <c r="I346" s="847"/>
    </row>
    <row r="347">
      <c r="A347" s="265"/>
      <c r="B347" s="268"/>
      <c r="C347" s="252"/>
      <c r="D347" s="822"/>
      <c r="F347" s="250"/>
      <c r="I347" s="847"/>
    </row>
    <row r="348">
      <c r="A348" s="265"/>
      <c r="B348" s="268"/>
      <c r="C348" s="252"/>
      <c r="D348" s="822"/>
      <c r="F348" s="250"/>
      <c r="I348" s="847"/>
    </row>
    <row r="349">
      <c r="A349" s="265"/>
      <c r="B349" s="268"/>
      <c r="C349" s="252"/>
      <c r="D349" s="822"/>
      <c r="F349" s="250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65"/>
      <c r="B351" s="268"/>
      <c r="C351" s="252"/>
      <c r="D351" s="822"/>
      <c r="F351" s="250"/>
      <c r="I351" s="847"/>
    </row>
    <row r="352">
      <c r="A352" s="265"/>
      <c r="B352" s="268"/>
      <c r="C352" s="252"/>
      <c r="D352" s="822"/>
      <c r="F352" s="250"/>
      <c r="I352" s="847"/>
    </row>
    <row r="353">
      <c r="A353" s="270"/>
      <c r="B353" s="271"/>
      <c r="C353" s="272"/>
      <c r="D353" s="823"/>
      <c r="E353" s="18"/>
      <c r="F353" s="274"/>
      <c r="G353" s="18"/>
      <c r="H353" s="18"/>
      <c r="I353" s="663"/>
    </row>
    <row r="354">
      <c r="A354" s="305"/>
      <c r="B354" s="306"/>
      <c r="C354" s="240"/>
      <c r="D354" s="824"/>
      <c r="E354" s="242"/>
      <c r="F354" s="243"/>
      <c r="G354" s="244"/>
      <c r="H354" s="244"/>
      <c r="I354" s="662"/>
    </row>
    <row r="355">
      <c r="A355" s="265"/>
      <c r="B355" s="268"/>
      <c r="C355" s="248"/>
      <c r="D355" s="331"/>
      <c r="F355" s="250"/>
      <c r="I355" s="847"/>
    </row>
    <row r="356">
      <c r="A356" s="265"/>
      <c r="B356" s="268"/>
      <c r="C356" s="252"/>
      <c r="D356" s="331"/>
      <c r="F356" s="250"/>
      <c r="I356" s="847"/>
    </row>
    <row r="357">
      <c r="A357" s="265"/>
      <c r="B357" s="268"/>
      <c r="C357" s="252"/>
      <c r="D357" s="822"/>
      <c r="F357" s="250"/>
      <c r="I357" s="847"/>
    </row>
    <row r="358">
      <c r="A358" s="265"/>
      <c r="B358" s="268"/>
      <c r="C358" s="248"/>
      <c r="D358" s="331"/>
      <c r="F358" s="250"/>
      <c r="I358" s="847"/>
    </row>
    <row r="359">
      <c r="A359" s="265"/>
      <c r="B359" s="268"/>
      <c r="C359" s="252"/>
      <c r="D359" s="331"/>
      <c r="F359" s="250"/>
      <c r="I359" s="847"/>
    </row>
    <row r="360">
      <c r="A360" s="265"/>
      <c r="B360" s="268"/>
      <c r="C360" s="252"/>
      <c r="D360" s="822"/>
      <c r="F360" s="250"/>
      <c r="I360" s="847"/>
    </row>
    <row r="361">
      <c r="A361" s="265"/>
      <c r="B361" s="268"/>
      <c r="C361" s="252"/>
      <c r="D361" s="331"/>
      <c r="F361" s="250"/>
      <c r="I361" s="847"/>
    </row>
    <row r="362">
      <c r="A362" s="265"/>
      <c r="B362" s="268"/>
      <c r="C362" s="252"/>
      <c r="D362" s="822"/>
      <c r="F362" s="250"/>
      <c r="I362" s="847"/>
    </row>
    <row r="363">
      <c r="A363" s="265"/>
      <c r="B363" s="268"/>
      <c r="C363" s="252"/>
      <c r="D363" s="822"/>
      <c r="F363" s="250"/>
      <c r="I363" s="847"/>
    </row>
    <row r="364">
      <c r="A364" s="265"/>
      <c r="B364" s="268"/>
      <c r="C364" s="252"/>
      <c r="D364" s="331"/>
      <c r="F364" s="250"/>
      <c r="I364" s="847"/>
    </row>
    <row r="365">
      <c r="A365" s="265"/>
      <c r="B365" s="268"/>
      <c r="C365" s="252"/>
      <c r="D365" s="822"/>
      <c r="F365" s="250"/>
      <c r="I365" s="847"/>
    </row>
    <row r="366">
      <c r="A366" s="270"/>
      <c r="B366" s="271"/>
      <c r="C366" s="272"/>
      <c r="D366" s="823"/>
      <c r="E366" s="18"/>
      <c r="F366" s="274"/>
      <c r="G366" s="18"/>
      <c r="H366" s="18"/>
      <c r="I366" s="663"/>
    </row>
    <row r="367">
      <c r="A367" s="305"/>
      <c r="B367" s="306"/>
      <c r="C367" s="240"/>
      <c r="D367" s="824"/>
      <c r="E367" s="242"/>
      <c r="F367" s="243"/>
      <c r="G367" s="244"/>
      <c r="H367" s="244"/>
      <c r="I367" s="662"/>
    </row>
    <row r="368">
      <c r="A368" s="265"/>
      <c r="B368" s="268"/>
      <c r="C368" s="248"/>
      <c r="D368" s="331"/>
      <c r="F368" s="250"/>
      <c r="I368" s="847"/>
    </row>
    <row r="369">
      <c r="A369" s="265"/>
      <c r="B369" s="268"/>
      <c r="C369" s="252"/>
      <c r="D369" s="822"/>
      <c r="F369" s="250"/>
      <c r="I369" s="847"/>
    </row>
    <row r="370">
      <c r="A370" s="265"/>
      <c r="B370" s="268"/>
      <c r="C370" s="252"/>
      <c r="D370" s="822"/>
      <c r="F370" s="250"/>
      <c r="I370" s="847"/>
    </row>
    <row r="371">
      <c r="A371" s="265"/>
      <c r="B371" s="268"/>
      <c r="C371" s="252"/>
      <c r="D371" s="331"/>
      <c r="F371" s="250"/>
      <c r="I371" s="847"/>
    </row>
    <row r="372">
      <c r="A372" s="265"/>
      <c r="B372" s="268"/>
      <c r="C372" s="252"/>
      <c r="D372" s="822"/>
      <c r="F372" s="250"/>
      <c r="H372" s="252"/>
      <c r="I372" s="847"/>
    </row>
    <row r="373">
      <c r="A373" s="265"/>
      <c r="B373" s="268"/>
      <c r="C373" s="252"/>
      <c r="D373" s="822"/>
      <c r="F373" s="250"/>
      <c r="I373" s="847"/>
    </row>
    <row r="374">
      <c r="A374" s="265"/>
      <c r="B374" s="268"/>
      <c r="C374" s="252"/>
      <c r="D374" s="822"/>
      <c r="F374" s="250"/>
      <c r="I374" s="847"/>
    </row>
    <row r="375">
      <c r="A375" s="265"/>
      <c r="B375" s="268"/>
      <c r="C375" s="252"/>
      <c r="D375" s="822"/>
      <c r="F375" s="250"/>
      <c r="I375" s="847"/>
    </row>
    <row r="376">
      <c r="A376" s="265"/>
      <c r="B376" s="278"/>
      <c r="C376" s="252"/>
      <c r="D376" s="822"/>
      <c r="F376" s="282"/>
      <c r="I376" s="847"/>
    </row>
    <row r="377">
      <c r="A377" s="265"/>
      <c r="B377" s="278"/>
      <c r="C377" s="252"/>
      <c r="D377" s="822"/>
      <c r="F377" s="282"/>
      <c r="I377" s="847"/>
    </row>
    <row r="378">
      <c r="A378" s="270"/>
      <c r="B378" s="271"/>
      <c r="C378" s="272"/>
      <c r="D378" s="823"/>
      <c r="E378" s="18"/>
      <c r="F378" s="274"/>
      <c r="G378" s="18"/>
      <c r="H378" s="18"/>
      <c r="I378" s="663"/>
    </row>
    <row r="379">
      <c r="A379" s="305"/>
      <c r="B379" s="306"/>
      <c r="C379" s="240"/>
      <c r="D379" s="824"/>
      <c r="E379" s="242"/>
      <c r="F379" s="243"/>
      <c r="G379" s="244"/>
      <c r="H379" s="244"/>
      <c r="I379" s="662"/>
    </row>
    <row r="380">
      <c r="A380" s="265"/>
      <c r="B380" s="268"/>
      <c r="C380" s="252"/>
      <c r="D380" s="331"/>
      <c r="F380" s="250"/>
      <c r="I380" s="847"/>
    </row>
    <row r="381">
      <c r="A381" s="265"/>
      <c r="B381" s="268"/>
      <c r="C381" s="252"/>
      <c r="D381" s="822"/>
      <c r="F381" s="250"/>
      <c r="I381" s="847"/>
    </row>
    <row r="382">
      <c r="A382" s="265"/>
      <c r="B382" s="268"/>
      <c r="C382" s="252"/>
      <c r="D382" s="331"/>
      <c r="F382" s="250"/>
      <c r="I382" s="847"/>
    </row>
    <row r="383">
      <c r="A383" s="265"/>
      <c r="B383" s="268"/>
      <c r="C383" s="252"/>
      <c r="D383" s="822"/>
      <c r="F383" s="250"/>
      <c r="I383" s="847"/>
    </row>
    <row r="384">
      <c r="A384" s="265"/>
      <c r="B384" s="268"/>
      <c r="C384" s="252"/>
      <c r="D384" s="331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822"/>
      <c r="F386" s="250"/>
      <c r="I386" s="847"/>
    </row>
    <row r="387">
      <c r="A387" s="265"/>
      <c r="B387" s="268"/>
      <c r="C387" s="252"/>
      <c r="D387" s="822"/>
      <c r="F387" s="250"/>
      <c r="I387" s="847"/>
    </row>
    <row r="388">
      <c r="A388" s="265"/>
      <c r="B388" s="268"/>
      <c r="C388" s="252"/>
      <c r="D388" s="822"/>
      <c r="F388" s="250"/>
      <c r="I388" s="847"/>
    </row>
    <row r="389">
      <c r="A389" s="265"/>
      <c r="B389" s="268"/>
      <c r="C389" s="252"/>
      <c r="D389" s="822"/>
      <c r="F389" s="250"/>
      <c r="I389" s="847"/>
    </row>
    <row r="390">
      <c r="A390" s="270"/>
      <c r="B390" s="271"/>
      <c r="C390" s="272"/>
      <c r="D390" s="823"/>
      <c r="E390" s="18"/>
      <c r="F390" s="274"/>
      <c r="G390" s="18"/>
      <c r="H390" s="18"/>
      <c r="I390" s="663"/>
    </row>
    <row r="391">
      <c r="A391" s="305"/>
      <c r="B391" s="306"/>
      <c r="C391" s="240"/>
      <c r="D391" s="824"/>
      <c r="E391" s="242"/>
      <c r="F391" s="243"/>
      <c r="G391" s="244"/>
      <c r="H391" s="244"/>
      <c r="I391" s="662"/>
    </row>
    <row r="392">
      <c r="A392" s="265"/>
      <c r="B392" s="268"/>
      <c r="C392" s="252"/>
      <c r="D392" s="822"/>
      <c r="F392" s="250"/>
      <c r="H392" s="252"/>
      <c r="I392" s="847"/>
    </row>
    <row r="393">
      <c r="A393" s="265"/>
      <c r="B393" s="268"/>
      <c r="C393" s="252"/>
      <c r="D393" s="822"/>
      <c r="F393" s="250"/>
      <c r="H393" s="252"/>
      <c r="I393" s="847"/>
    </row>
    <row r="394">
      <c r="A394" s="265"/>
      <c r="B394" s="268"/>
      <c r="C394" s="252"/>
      <c r="D394" s="822"/>
      <c r="F394" s="250"/>
      <c r="H394" s="252"/>
      <c r="I394" s="847"/>
    </row>
    <row r="395">
      <c r="A395" s="265"/>
      <c r="B395" s="268"/>
      <c r="C395" s="252"/>
      <c r="D395" s="822"/>
      <c r="F395" s="250"/>
      <c r="H395" s="252"/>
      <c r="I395" s="847"/>
    </row>
    <row r="396">
      <c r="A396" s="265"/>
      <c r="B396" s="268"/>
      <c r="C396" s="252"/>
      <c r="D396" s="822"/>
      <c r="F396" s="250"/>
      <c r="I396" s="847"/>
    </row>
    <row r="397">
      <c r="A397" s="265"/>
      <c r="B397" s="268"/>
      <c r="C397" s="252"/>
      <c r="D397" s="822"/>
      <c r="F397" s="250"/>
      <c r="I397" s="847"/>
    </row>
    <row r="398">
      <c r="A398" s="265"/>
      <c r="B398" s="268"/>
      <c r="C398" s="252"/>
      <c r="D398" s="822"/>
      <c r="F398" s="250"/>
      <c r="I398" s="847"/>
    </row>
    <row r="399">
      <c r="A399" s="265"/>
      <c r="B399" s="268"/>
      <c r="C399" s="252"/>
      <c r="D399" s="822"/>
      <c r="F399" s="250"/>
      <c r="I399" s="847"/>
    </row>
    <row r="400">
      <c r="A400" s="270"/>
      <c r="B400" s="271"/>
      <c r="C400" s="272"/>
      <c r="D400" s="823"/>
      <c r="E400" s="18"/>
      <c r="F400" s="274"/>
      <c r="G400" s="18"/>
      <c r="H400" s="18"/>
      <c r="I400" s="663"/>
    </row>
    <row r="401">
      <c r="A401" s="305"/>
      <c r="B401" s="306"/>
      <c r="C401" s="240"/>
      <c r="D401" s="824"/>
      <c r="E401" s="242"/>
      <c r="F401" s="243"/>
      <c r="G401" s="244"/>
      <c r="H401" s="244"/>
      <c r="I401" s="662"/>
    </row>
    <row r="402">
      <c r="A402" s="265"/>
      <c r="B402" s="268"/>
      <c r="C402" s="252"/>
      <c r="D402" s="822"/>
      <c r="F402" s="250"/>
      <c r="I402" s="847"/>
    </row>
    <row r="403">
      <c r="A403" s="265"/>
      <c r="B403" s="268"/>
      <c r="C403" s="252"/>
      <c r="D403" s="822"/>
      <c r="F403" s="250"/>
      <c r="I403" s="847"/>
    </row>
    <row r="404">
      <c r="A404" s="265"/>
      <c r="B404" s="268"/>
      <c r="C404" s="252"/>
      <c r="D404" s="822"/>
      <c r="F404" s="250"/>
      <c r="I404" s="847"/>
    </row>
    <row r="405">
      <c r="A405" s="265"/>
      <c r="B405" s="268"/>
      <c r="C405" s="252"/>
      <c r="D405" s="822"/>
      <c r="F405" s="250"/>
      <c r="I405" s="847"/>
    </row>
    <row r="406">
      <c r="A406" s="265"/>
      <c r="B406" s="268"/>
      <c r="C406" s="252"/>
      <c r="D406" s="822"/>
      <c r="F406" s="250"/>
      <c r="I406" s="847"/>
    </row>
    <row r="407">
      <c r="A407" s="265"/>
      <c r="B407" s="268"/>
      <c r="C407" s="252"/>
      <c r="D407" s="822"/>
      <c r="F407" s="250"/>
      <c r="I407" s="847"/>
    </row>
    <row r="408">
      <c r="A408" s="265"/>
      <c r="B408" s="268"/>
      <c r="C408" s="252"/>
      <c r="D408" s="822"/>
      <c r="F408" s="250"/>
      <c r="I408" s="847"/>
    </row>
    <row r="409">
      <c r="A409" s="265"/>
      <c r="B409" s="268"/>
      <c r="C409" s="252"/>
      <c r="D409" s="822"/>
      <c r="F409" s="250"/>
      <c r="I409" s="847"/>
    </row>
    <row r="410">
      <c r="A410" s="270"/>
      <c r="B410" s="271"/>
      <c r="C410" s="272"/>
      <c r="D410" s="823"/>
      <c r="E410" s="18"/>
      <c r="F410" s="274"/>
      <c r="G410" s="18"/>
      <c r="H410" s="18"/>
      <c r="I410" s="663"/>
    </row>
    <row r="411">
      <c r="B411" s="306"/>
      <c r="C411" s="240"/>
      <c r="D411" s="824"/>
      <c r="E411" s="242"/>
      <c r="F411" s="243"/>
      <c r="G411" s="244"/>
      <c r="H411" s="244"/>
      <c r="I411" s="662"/>
    </row>
    <row r="412">
      <c r="B412" s="268"/>
      <c r="C412" s="252"/>
      <c r="D412" s="822"/>
      <c r="F412" s="250"/>
      <c r="I412" s="847"/>
    </row>
    <row r="413">
      <c r="B413" s="268"/>
      <c r="C413" s="252"/>
      <c r="D413" s="822"/>
      <c r="F413" s="250"/>
      <c r="I413" s="847"/>
    </row>
    <row r="414">
      <c r="B414" s="308"/>
      <c r="C414" s="252"/>
      <c r="D414" s="822"/>
      <c r="F414" s="309"/>
    </row>
    <row r="415">
      <c r="B415" s="308"/>
      <c r="C415" s="252"/>
      <c r="D415" s="822"/>
      <c r="F415" s="309"/>
    </row>
    <row r="416">
      <c r="B416" s="308"/>
      <c r="C416" s="252"/>
      <c r="D416" s="822"/>
      <c r="F416" s="309"/>
    </row>
    <row r="417">
      <c r="B417" s="308"/>
      <c r="C417" s="252"/>
      <c r="D417" s="822"/>
      <c r="F417" s="309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  <row r="697">
      <c r="B697" s="308"/>
      <c r="C697" s="252"/>
      <c r="D697" s="822"/>
      <c r="F697" s="309"/>
    </row>
    <row r="698">
      <c r="B698" s="308"/>
      <c r="C698" s="252"/>
      <c r="D698" s="822"/>
      <c r="F698" s="309"/>
    </row>
    <row r="699">
      <c r="B699" s="308"/>
      <c r="C699" s="252"/>
      <c r="D699" s="822"/>
      <c r="F699" s="309"/>
    </row>
    <row r="700">
      <c r="B700" s="308"/>
      <c r="C700" s="252"/>
      <c r="D700" s="822"/>
      <c r="F700" s="309"/>
    </row>
    <row r="701">
      <c r="B701" s="308"/>
      <c r="C701" s="252"/>
      <c r="D701" s="822"/>
      <c r="F701" s="309"/>
    </row>
    <row r="702">
      <c r="B702" s="308"/>
      <c r="C702" s="252"/>
      <c r="D702" s="822"/>
      <c r="F702" s="309"/>
    </row>
    <row r="703">
      <c r="B703" s="308"/>
      <c r="C703" s="252"/>
      <c r="D703" s="822"/>
      <c r="F703" s="309"/>
    </row>
    <row r="704">
      <c r="B704" s="308"/>
      <c r="C704" s="252"/>
      <c r="D704" s="822"/>
      <c r="F704" s="309"/>
    </row>
    <row r="705">
      <c r="B705" s="308"/>
      <c r="C705" s="252"/>
      <c r="D705" s="822"/>
      <c r="F705" s="309"/>
    </row>
    <row r="706">
      <c r="B706" s="308"/>
      <c r="C706" s="252"/>
      <c r="D706" s="822"/>
      <c r="F706" s="309"/>
    </row>
    <row r="707">
      <c r="B707" s="308"/>
      <c r="C707" s="252"/>
      <c r="D707" s="822"/>
      <c r="F707" s="309"/>
    </row>
    <row r="708">
      <c r="B708" s="308"/>
      <c r="C708" s="252"/>
      <c r="D708" s="822"/>
      <c r="F708" s="309"/>
    </row>
    <row r="709">
      <c r="B709" s="308"/>
      <c r="C709" s="252"/>
      <c r="D709" s="822"/>
      <c r="F709" s="309"/>
    </row>
    <row r="710">
      <c r="B710" s="308"/>
      <c r="C710" s="252"/>
      <c r="D710" s="822"/>
      <c r="F710" s="309"/>
    </row>
    <row r="711">
      <c r="B711" s="308"/>
      <c r="C711" s="252"/>
      <c r="D711" s="822"/>
      <c r="F711" s="309"/>
    </row>
    <row r="712">
      <c r="B712" s="308"/>
      <c r="C712" s="252"/>
      <c r="D712" s="822"/>
      <c r="F712" s="309"/>
    </row>
    <row r="713">
      <c r="B713" s="308"/>
      <c r="C713" s="252"/>
      <c r="D713" s="822"/>
      <c r="F713" s="309"/>
    </row>
    <row r="714">
      <c r="B714" s="308"/>
      <c r="C714" s="252"/>
      <c r="D714" s="822"/>
      <c r="F714" s="309"/>
    </row>
    <row r="715">
      <c r="B715" s="308"/>
      <c r="C715" s="252"/>
      <c r="D715" s="822"/>
      <c r="F715" s="309"/>
    </row>
    <row r="716">
      <c r="B716" s="308"/>
      <c r="C716" s="252"/>
      <c r="D716" s="822"/>
      <c r="F716" s="309"/>
    </row>
    <row r="717">
      <c r="B717" s="308"/>
      <c r="C717" s="252"/>
      <c r="D717" s="822"/>
      <c r="F717" s="309"/>
    </row>
    <row r="718">
      <c r="B718" s="308"/>
      <c r="C718" s="252"/>
      <c r="D718" s="822"/>
      <c r="F718" s="309"/>
    </row>
    <row r="719">
      <c r="B719" s="308"/>
      <c r="C719" s="252"/>
      <c r="D719" s="822"/>
      <c r="F719" s="309"/>
    </row>
  </sheetData>
  <mergeCells count="33">
    <mergeCell ref="G1:H1"/>
    <mergeCell ref="A2:A11"/>
    <mergeCell ref="A12:A24"/>
    <mergeCell ref="A25:A37"/>
    <mergeCell ref="A38:A48"/>
    <mergeCell ref="A51:A60"/>
    <mergeCell ref="A61:A72"/>
    <mergeCell ref="A73:A82"/>
    <mergeCell ref="A83:A95"/>
    <mergeCell ref="A96:A106"/>
    <mergeCell ref="A107:A122"/>
    <mergeCell ref="A123:A134"/>
    <mergeCell ref="A135:A144"/>
    <mergeCell ref="A145:A154"/>
    <mergeCell ref="A155:A169"/>
    <mergeCell ref="A170:A185"/>
    <mergeCell ref="A186:A198"/>
    <mergeCell ref="A199:A210"/>
    <mergeCell ref="A211:A221"/>
    <mergeCell ref="A222:A235"/>
    <mergeCell ref="A236:A250"/>
    <mergeCell ref="A354:A366"/>
    <mergeCell ref="A367:A378"/>
    <mergeCell ref="A379:A390"/>
    <mergeCell ref="A391:A400"/>
    <mergeCell ref="A401:A410"/>
    <mergeCell ref="A251:A263"/>
    <mergeCell ref="A264:A277"/>
    <mergeCell ref="A278:A292"/>
    <mergeCell ref="A293:A303"/>
    <mergeCell ref="A304:A314"/>
    <mergeCell ref="A315:A342"/>
    <mergeCell ref="A343:A3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408" t="s">
        <v>52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816" t="s">
        <v>3505</v>
      </c>
      <c r="B2" s="268"/>
      <c r="C2" s="240"/>
      <c r="D2" s="824"/>
      <c r="E2" s="242"/>
      <c r="F2" s="243">
        <v>6600.0</v>
      </c>
      <c r="G2" s="244" t="s">
        <v>3506</v>
      </c>
      <c r="H2" s="263"/>
      <c r="I2" s="662"/>
    </row>
    <row r="3">
      <c r="A3" s="265"/>
      <c r="B3" s="268"/>
      <c r="C3" s="252"/>
      <c r="D3" s="822"/>
      <c r="F3" s="250">
        <v>4300.0</v>
      </c>
      <c r="G3" s="2" t="s">
        <v>3507</v>
      </c>
      <c r="H3" s="252"/>
      <c r="I3" s="847"/>
    </row>
    <row r="4">
      <c r="A4" s="265"/>
      <c r="B4" s="268"/>
      <c r="C4" s="252"/>
      <c r="D4" s="822"/>
      <c r="F4" s="243">
        <v>5050.0</v>
      </c>
      <c r="G4" s="244" t="s">
        <v>3508</v>
      </c>
      <c r="H4" s="252"/>
      <c r="I4" s="847"/>
    </row>
    <row r="5">
      <c r="A5" s="265"/>
      <c r="B5" s="268"/>
      <c r="C5" s="248"/>
      <c r="D5" s="331"/>
      <c r="F5" s="243">
        <v>10100.0</v>
      </c>
      <c r="G5" s="244" t="s">
        <v>3509</v>
      </c>
      <c r="H5" s="252"/>
      <c r="I5" s="847"/>
    </row>
    <row r="6">
      <c r="A6" s="265"/>
      <c r="B6" s="268"/>
      <c r="C6" s="252"/>
      <c r="D6" s="822"/>
      <c r="F6" s="243">
        <f>140+100</f>
        <v>240</v>
      </c>
      <c r="G6" s="244" t="s">
        <v>3510</v>
      </c>
      <c r="I6" s="847"/>
    </row>
    <row r="7">
      <c r="A7" s="265"/>
      <c r="B7" s="268"/>
      <c r="C7" s="252"/>
      <c r="D7" s="822"/>
      <c r="F7" s="250">
        <v>2179.0</v>
      </c>
      <c r="G7" s="2" t="s">
        <v>314</v>
      </c>
      <c r="I7" s="847"/>
    </row>
    <row r="8">
      <c r="A8" s="265"/>
      <c r="B8" s="268"/>
      <c r="C8" s="252"/>
      <c r="D8" s="822"/>
      <c r="F8" s="250">
        <v>4500.0</v>
      </c>
      <c r="G8" s="2" t="s">
        <v>64</v>
      </c>
      <c r="I8" s="847"/>
    </row>
    <row r="9">
      <c r="A9" s="265"/>
      <c r="B9" s="268"/>
      <c r="C9" s="252"/>
      <c r="D9" s="822"/>
      <c r="F9" s="250"/>
      <c r="I9" s="847"/>
    </row>
    <row r="10">
      <c r="A10" s="265"/>
      <c r="B10" s="268"/>
      <c r="C10" s="252"/>
      <c r="D10" s="822"/>
      <c r="F10" s="250"/>
      <c r="I10" s="847"/>
    </row>
    <row r="11">
      <c r="A11" s="270"/>
      <c r="B11" s="271"/>
      <c r="C11" s="272"/>
      <c r="D11" s="823"/>
      <c r="E11" s="18"/>
      <c r="F11" s="274"/>
      <c r="G11" s="18"/>
      <c r="H11" s="18"/>
      <c r="I11" s="663"/>
    </row>
    <row r="12">
      <c r="A12" s="816" t="s">
        <v>3511</v>
      </c>
      <c r="B12" s="268"/>
      <c r="C12" s="240"/>
      <c r="D12" s="821">
        <v>11616.0</v>
      </c>
      <c r="E12" s="242"/>
      <c r="F12" s="243"/>
      <c r="G12" s="244" t="s">
        <v>877</v>
      </c>
      <c r="H12" s="244"/>
      <c r="I12" s="662"/>
    </row>
    <row r="13">
      <c r="A13" s="265"/>
      <c r="B13" s="268"/>
      <c r="C13" s="252"/>
      <c r="D13" s="822"/>
      <c r="F13" s="250">
        <v>2860.0</v>
      </c>
      <c r="G13" s="2" t="s">
        <v>82</v>
      </c>
      <c r="I13" s="847"/>
    </row>
    <row r="14">
      <c r="A14" s="265"/>
      <c r="B14" s="268"/>
      <c r="C14" s="252"/>
      <c r="D14" s="331">
        <v>2530.0</v>
      </c>
      <c r="F14" s="250"/>
      <c r="G14" s="2" t="s">
        <v>3512</v>
      </c>
      <c r="I14" s="847"/>
    </row>
    <row r="15">
      <c r="A15" s="265"/>
      <c r="B15" s="268"/>
      <c r="C15" s="252"/>
      <c r="D15" s="331">
        <v>600.0</v>
      </c>
      <c r="F15" s="250"/>
      <c r="G15" s="2" t="s">
        <v>3513</v>
      </c>
      <c r="I15" s="847"/>
    </row>
    <row r="16">
      <c r="A16" s="265"/>
      <c r="B16" s="268"/>
      <c r="C16" s="252"/>
      <c r="D16" s="331"/>
      <c r="F16" s="250">
        <v>3075.0</v>
      </c>
      <c r="G16" s="2" t="s">
        <v>708</v>
      </c>
      <c r="I16" s="847"/>
    </row>
    <row r="17">
      <c r="A17" s="265"/>
      <c r="B17" s="268"/>
      <c r="C17" s="252"/>
      <c r="D17" s="331"/>
      <c r="F17" s="250">
        <v>3850.0</v>
      </c>
      <c r="G17" s="2" t="s">
        <v>399</v>
      </c>
      <c r="I17" s="847"/>
    </row>
    <row r="18">
      <c r="A18" s="265"/>
      <c r="B18" s="268"/>
      <c r="C18" s="252"/>
      <c r="D18" s="822"/>
      <c r="F18" s="250"/>
      <c r="I18" s="847"/>
    </row>
    <row r="19">
      <c r="A19" s="265"/>
      <c r="B19" s="268"/>
      <c r="C19" s="252"/>
      <c r="D19" s="822"/>
      <c r="F19" s="250"/>
      <c r="I19" s="847"/>
    </row>
    <row r="20">
      <c r="A20" s="265"/>
      <c r="B20" s="268"/>
      <c r="C20" s="252"/>
      <c r="D20" s="822"/>
      <c r="F20" s="250"/>
      <c r="I20" s="847"/>
    </row>
    <row r="21">
      <c r="A21" s="270"/>
      <c r="B21" s="271"/>
      <c r="C21" s="272"/>
      <c r="D21" s="823"/>
      <c r="E21" s="18"/>
      <c r="F21" s="274"/>
      <c r="G21" s="18"/>
      <c r="H21" s="18"/>
      <c r="I21" s="663"/>
    </row>
    <row r="22">
      <c r="A22" s="262" t="s">
        <v>3514</v>
      </c>
      <c r="B22" s="306"/>
      <c r="C22" s="263"/>
      <c r="D22" s="824"/>
      <c r="E22" s="242"/>
      <c r="F22" s="243">
        <v>3060.0</v>
      </c>
      <c r="G22" s="244" t="s">
        <v>76</v>
      </c>
      <c r="H22" s="244"/>
      <c r="I22" s="662"/>
    </row>
    <row r="23">
      <c r="A23" s="265"/>
      <c r="B23" s="268"/>
      <c r="C23" s="252"/>
      <c r="D23" s="822"/>
      <c r="F23" s="250">
        <v>4300.0</v>
      </c>
      <c r="G23" s="2" t="s">
        <v>3003</v>
      </c>
      <c r="I23" s="847"/>
    </row>
    <row r="24">
      <c r="A24" s="265"/>
      <c r="B24" s="268"/>
      <c r="C24" s="252"/>
      <c r="D24" s="822"/>
      <c r="F24" s="250">
        <v>4500.0</v>
      </c>
      <c r="G24" s="2" t="s">
        <v>87</v>
      </c>
      <c r="I24" s="847"/>
    </row>
    <row r="25">
      <c r="A25" s="265"/>
      <c r="B25" s="268"/>
      <c r="C25" s="252"/>
      <c r="D25" s="822"/>
      <c r="F25" s="250">
        <f>132+3342.6</f>
        <v>3474.6</v>
      </c>
      <c r="G25" s="2" t="s">
        <v>3515</v>
      </c>
      <c r="I25" s="847"/>
    </row>
    <row r="26">
      <c r="A26" s="265"/>
      <c r="B26" s="268"/>
      <c r="C26" s="248">
        <v>7244.88</v>
      </c>
      <c r="D26" s="822"/>
      <c r="F26" s="250"/>
      <c r="G26" s="2" t="s">
        <v>71</v>
      </c>
      <c r="I26" s="847"/>
    </row>
    <row r="27">
      <c r="A27" s="265"/>
      <c r="B27" s="268"/>
      <c r="C27" s="252"/>
      <c r="D27" s="822"/>
      <c r="F27" s="250">
        <f>2754.67+4066.14</f>
        <v>6820.81</v>
      </c>
      <c r="G27" s="2" t="s">
        <v>74</v>
      </c>
      <c r="I27" s="847"/>
    </row>
    <row r="28">
      <c r="A28" s="265"/>
      <c r="B28" s="268"/>
      <c r="C28" s="252"/>
      <c r="D28" s="822"/>
      <c r="F28" s="250">
        <v>6800.0</v>
      </c>
      <c r="G28" s="2" t="s">
        <v>3516</v>
      </c>
      <c r="I28" s="847"/>
    </row>
    <row r="29">
      <c r="A29" s="265"/>
      <c r="B29" s="268"/>
      <c r="C29" s="252"/>
      <c r="D29" s="331"/>
      <c r="F29" s="250"/>
      <c r="I29" s="847"/>
    </row>
    <row r="30">
      <c r="A30" s="265"/>
      <c r="B30" s="268"/>
      <c r="C30" s="252"/>
      <c r="D30" s="822"/>
      <c r="F30" s="250"/>
      <c r="I30" s="847"/>
    </row>
    <row r="31">
      <c r="A31" s="265"/>
      <c r="B31" s="268"/>
      <c r="C31" s="252"/>
      <c r="D31" s="822"/>
      <c r="F31" s="250"/>
      <c r="I31" s="847"/>
    </row>
    <row r="32">
      <c r="A32" s="265"/>
      <c r="B32" s="268"/>
      <c r="C32" s="252"/>
      <c r="D32" s="822"/>
      <c r="F32" s="250"/>
      <c r="I32" s="847"/>
    </row>
    <row r="33">
      <c r="A33" s="265"/>
      <c r="B33" s="268"/>
      <c r="C33" s="252"/>
      <c r="D33" s="822"/>
      <c r="F33" s="250"/>
      <c r="I33" s="847"/>
    </row>
    <row r="34">
      <c r="A34" s="270"/>
      <c r="B34" s="271"/>
      <c r="C34" s="272"/>
      <c r="D34" s="823"/>
      <c r="E34" s="18"/>
      <c r="F34" s="274"/>
      <c r="G34" s="18"/>
      <c r="H34" s="18"/>
      <c r="I34" s="663"/>
    </row>
    <row r="35">
      <c r="A35" s="262" t="s">
        <v>3517</v>
      </c>
      <c r="B35" s="306"/>
      <c r="C35" s="240"/>
      <c r="D35" s="824"/>
      <c r="E35" s="242"/>
      <c r="F35" s="243">
        <v>200.0</v>
      </c>
      <c r="G35" s="244" t="s">
        <v>3518</v>
      </c>
      <c r="H35" s="244"/>
      <c r="I35" s="662"/>
    </row>
    <row r="36">
      <c r="A36" s="265"/>
      <c r="B36" s="268"/>
      <c r="C36" s="252"/>
      <c r="D36" s="822"/>
      <c r="F36" s="250">
        <v>1528.0</v>
      </c>
      <c r="G36" s="2" t="s">
        <v>3519</v>
      </c>
      <c r="I36" s="847"/>
    </row>
    <row r="37">
      <c r="A37" s="265"/>
      <c r="B37" s="268"/>
      <c r="C37" s="252"/>
      <c r="D37" s="822"/>
      <c r="F37" s="250">
        <v>250.0</v>
      </c>
      <c r="G37" s="2" t="s">
        <v>228</v>
      </c>
      <c r="I37" s="847"/>
    </row>
    <row r="38">
      <c r="A38" s="265"/>
      <c r="B38" s="268"/>
      <c r="C38" s="252"/>
      <c r="D38" s="822"/>
      <c r="F38" s="250">
        <v>200.0</v>
      </c>
      <c r="G38" s="2" t="s">
        <v>85</v>
      </c>
      <c r="I38" s="847"/>
    </row>
    <row r="39">
      <c r="A39" s="265"/>
      <c r="B39" s="268"/>
      <c r="C39" s="252"/>
      <c r="D39" s="822"/>
      <c r="F39" s="250"/>
      <c r="I39" s="847"/>
    </row>
    <row r="40">
      <c r="A40" s="265"/>
      <c r="B40" s="268"/>
      <c r="C40" s="252"/>
      <c r="D40" s="822"/>
      <c r="F40" s="250"/>
      <c r="I40" s="847"/>
    </row>
    <row r="41">
      <c r="A41" s="265"/>
      <c r="B41" s="268"/>
      <c r="C41" s="252"/>
      <c r="D41" s="822"/>
      <c r="F41" s="250"/>
      <c r="I41" s="847"/>
    </row>
    <row r="42">
      <c r="A42" s="265"/>
      <c r="B42" s="268"/>
      <c r="C42" s="252"/>
      <c r="D42" s="822"/>
      <c r="F42" s="250"/>
      <c r="I42" s="847"/>
    </row>
    <row r="43">
      <c r="A43" s="265"/>
      <c r="B43" s="268"/>
      <c r="C43" s="252"/>
      <c r="D43" s="822"/>
      <c r="F43" s="250"/>
      <c r="I43" s="847"/>
    </row>
    <row r="44">
      <c r="A44" s="270"/>
      <c r="B44" s="271"/>
      <c r="C44" s="272"/>
      <c r="D44" s="823"/>
      <c r="E44" s="18"/>
      <c r="F44" s="274"/>
      <c r="G44" s="18"/>
      <c r="H44" s="18"/>
      <c r="I44" s="663"/>
    </row>
    <row r="45">
      <c r="A45" s="262" t="s">
        <v>3520</v>
      </c>
      <c r="B45" s="306"/>
      <c r="C45" s="240"/>
      <c r="D45" s="824"/>
      <c r="E45" s="242"/>
      <c r="F45" s="243">
        <v>2900.0</v>
      </c>
      <c r="G45" s="244" t="s">
        <v>1750</v>
      </c>
      <c r="H45" s="244"/>
      <c r="I45" s="662"/>
    </row>
    <row r="46">
      <c r="A46" s="265"/>
      <c r="B46" s="268"/>
      <c r="C46" s="252"/>
      <c r="D46" s="822"/>
      <c r="F46" s="250">
        <v>4500.0</v>
      </c>
      <c r="G46" s="2" t="s">
        <v>87</v>
      </c>
      <c r="I46" s="847"/>
    </row>
    <row r="47">
      <c r="A47" s="265"/>
      <c r="B47" s="247">
        <v>1265.0</v>
      </c>
      <c r="C47" s="248"/>
      <c r="D47" s="331"/>
      <c r="F47" s="250"/>
      <c r="G47" s="2" t="s">
        <v>3521</v>
      </c>
      <c r="I47" s="847"/>
    </row>
    <row r="48">
      <c r="A48" s="265"/>
      <c r="B48" s="268"/>
      <c r="C48" s="252"/>
      <c r="D48" s="822"/>
      <c r="F48" s="250">
        <v>2514.0</v>
      </c>
      <c r="G48" s="2" t="s">
        <v>58</v>
      </c>
      <c r="I48" s="847"/>
    </row>
    <row r="49">
      <c r="A49" s="265"/>
      <c r="B49" s="268"/>
      <c r="C49" s="252"/>
      <c r="D49" s="822"/>
      <c r="F49" s="250">
        <v>762.3</v>
      </c>
      <c r="G49" s="2" t="s">
        <v>3522</v>
      </c>
      <c r="I49" s="847"/>
    </row>
    <row r="50">
      <c r="A50" s="265"/>
      <c r="B50" s="268"/>
      <c r="C50" s="252"/>
      <c r="D50" s="822"/>
      <c r="F50" s="250">
        <v>5800.0</v>
      </c>
      <c r="G50" s="2" t="s">
        <v>3523</v>
      </c>
      <c r="I50" s="847"/>
    </row>
    <row r="51">
      <c r="A51" s="265"/>
      <c r="B51" s="268"/>
      <c r="C51" s="248">
        <v>23103.8</v>
      </c>
      <c r="D51" s="822"/>
      <c r="F51" s="250"/>
      <c r="G51" s="2" t="s">
        <v>84</v>
      </c>
      <c r="I51" s="847"/>
    </row>
    <row r="52">
      <c r="A52" s="265"/>
      <c r="B52" s="268"/>
      <c r="C52" s="252"/>
      <c r="D52" s="822"/>
      <c r="F52" s="250">
        <v>140.0</v>
      </c>
      <c r="G52" s="2" t="s">
        <v>3524</v>
      </c>
      <c r="I52" s="847"/>
    </row>
    <row r="53">
      <c r="A53" s="265"/>
      <c r="B53" s="268"/>
      <c r="C53" s="252"/>
      <c r="D53" s="822"/>
      <c r="F53" s="250"/>
      <c r="I53" s="847"/>
    </row>
    <row r="54">
      <c r="A54" s="270"/>
      <c r="B54" s="271"/>
      <c r="C54" s="272"/>
      <c r="D54" s="823"/>
      <c r="E54" s="18"/>
      <c r="F54" s="274"/>
      <c r="G54" s="18"/>
      <c r="H54" s="18"/>
      <c r="I54" s="663"/>
    </row>
    <row r="55">
      <c r="A55" s="262" t="s">
        <v>3525</v>
      </c>
      <c r="B55" s="306"/>
      <c r="C55" s="240"/>
      <c r="D55" s="824"/>
      <c r="E55" s="242"/>
      <c r="F55" s="243">
        <v>550.0</v>
      </c>
      <c r="G55" s="244" t="s">
        <v>3526</v>
      </c>
      <c r="H55" s="244"/>
      <c r="I55" s="662"/>
    </row>
    <row r="56">
      <c r="A56" s="265"/>
      <c r="B56" s="268"/>
      <c r="C56" s="252"/>
      <c r="D56" s="822"/>
      <c r="F56" s="250">
        <v>4475.0</v>
      </c>
      <c r="G56" s="2" t="s">
        <v>708</v>
      </c>
      <c r="I56" s="847"/>
    </row>
    <row r="57">
      <c r="A57" s="265"/>
      <c r="B57" s="268"/>
      <c r="C57" s="252"/>
      <c r="D57" s="822"/>
      <c r="F57" s="250">
        <v>4400.0</v>
      </c>
      <c r="G57" s="2" t="s">
        <v>3527</v>
      </c>
      <c r="I57" s="847"/>
    </row>
    <row r="58">
      <c r="A58" s="265"/>
      <c r="B58" s="268"/>
      <c r="C58" s="252"/>
      <c r="D58" s="822"/>
      <c r="F58" s="250">
        <v>2150.0</v>
      </c>
      <c r="G58" s="2" t="s">
        <v>3003</v>
      </c>
      <c r="I58" s="847"/>
    </row>
    <row r="59">
      <c r="A59" s="265"/>
      <c r="B59" s="268"/>
      <c r="C59" s="248"/>
      <c r="D59" s="822"/>
      <c r="F59" s="250"/>
      <c r="I59" s="847"/>
    </row>
    <row r="60">
      <c r="A60" s="265"/>
      <c r="B60" s="268"/>
      <c r="C60" s="252"/>
      <c r="D60" s="822"/>
      <c r="F60" s="250"/>
      <c r="I60" s="847"/>
    </row>
    <row r="61">
      <c r="A61" s="265"/>
      <c r="B61" s="268"/>
      <c r="C61" s="252"/>
      <c r="D61" s="822"/>
      <c r="F61" s="250"/>
      <c r="I61" s="847"/>
    </row>
    <row r="62">
      <c r="A62" s="265"/>
      <c r="B62" s="268"/>
      <c r="C62" s="252"/>
      <c r="D62" s="822"/>
      <c r="F62" s="250"/>
      <c r="I62" s="847"/>
    </row>
    <row r="63">
      <c r="A63" s="265"/>
      <c r="B63" s="268"/>
      <c r="C63" s="252"/>
      <c r="D63" s="822"/>
      <c r="F63" s="250"/>
      <c r="I63" s="847"/>
    </row>
    <row r="64">
      <c r="A64" s="265"/>
      <c r="B64" s="268"/>
      <c r="C64" s="252"/>
      <c r="D64" s="331"/>
      <c r="F64" s="250"/>
      <c r="I64" s="847"/>
    </row>
    <row r="65">
      <c r="A65" s="265"/>
      <c r="B65" s="278"/>
      <c r="C65" s="252"/>
      <c r="D65" s="822"/>
      <c r="F65" s="282"/>
      <c r="I65" s="847"/>
    </row>
    <row r="66">
      <c r="A66" s="270"/>
      <c r="B66" s="271"/>
      <c r="C66" s="272"/>
      <c r="D66" s="823"/>
      <c r="E66" s="18"/>
      <c r="F66" s="274"/>
      <c r="G66" s="18"/>
      <c r="H66" s="18"/>
      <c r="I66" s="663"/>
    </row>
    <row r="67">
      <c r="A67" s="262" t="s">
        <v>3528</v>
      </c>
      <c r="B67" s="306"/>
      <c r="C67" s="263">
        <v>4415.0</v>
      </c>
      <c r="D67" s="824"/>
      <c r="E67" s="242"/>
      <c r="F67" s="243"/>
      <c r="G67" s="244" t="s">
        <v>71</v>
      </c>
      <c r="H67" s="244"/>
      <c r="I67" s="662"/>
    </row>
    <row r="68">
      <c r="A68" s="265"/>
      <c r="B68" s="268"/>
      <c r="C68" s="248"/>
      <c r="D68" s="822"/>
      <c r="F68" s="250">
        <v>4500.0</v>
      </c>
      <c r="G68" s="2" t="s">
        <v>87</v>
      </c>
      <c r="I68" s="847"/>
    </row>
    <row r="69">
      <c r="A69" s="265"/>
      <c r="B69" s="268"/>
      <c r="C69" s="252"/>
      <c r="D69" s="822"/>
      <c r="F69" s="250">
        <v>500.0</v>
      </c>
      <c r="G69" s="2" t="s">
        <v>344</v>
      </c>
      <c r="I69" s="847"/>
    </row>
    <row r="70">
      <c r="A70" s="265"/>
      <c r="B70" s="268"/>
      <c r="C70" s="252"/>
      <c r="D70" s="822"/>
      <c r="F70" s="250">
        <v>1200.0</v>
      </c>
      <c r="G70" s="2" t="s">
        <v>708</v>
      </c>
      <c r="I70" s="847"/>
    </row>
    <row r="71">
      <c r="A71" s="265"/>
      <c r="B71" s="268"/>
      <c r="C71" s="252"/>
      <c r="D71" s="822"/>
      <c r="F71" s="250">
        <v>700.0</v>
      </c>
      <c r="G71" s="2" t="s">
        <v>3529</v>
      </c>
      <c r="I71" s="847"/>
    </row>
    <row r="72">
      <c r="A72" s="265"/>
      <c r="B72" s="268"/>
      <c r="C72" s="252"/>
      <c r="D72" s="822"/>
      <c r="F72" s="250"/>
      <c r="I72" s="847"/>
    </row>
    <row r="73">
      <c r="A73" s="265"/>
      <c r="B73" s="268"/>
      <c r="C73" s="252"/>
      <c r="D73" s="822"/>
      <c r="F73" s="250"/>
      <c r="I73" s="847"/>
    </row>
    <row r="74">
      <c r="A74" s="265"/>
      <c r="B74" s="268"/>
      <c r="C74" s="252"/>
      <c r="D74" s="822"/>
      <c r="F74" s="250"/>
      <c r="I74" s="847"/>
    </row>
    <row r="75">
      <c r="A75" s="265"/>
      <c r="B75" s="268"/>
      <c r="C75" s="252"/>
      <c r="D75" s="822"/>
      <c r="F75" s="250"/>
      <c r="I75" s="847"/>
    </row>
    <row r="76">
      <c r="A76" s="270"/>
      <c r="B76" s="271"/>
      <c r="C76" s="272"/>
      <c r="D76" s="823"/>
      <c r="E76" s="18"/>
      <c r="F76" s="274"/>
      <c r="G76" s="18"/>
      <c r="H76" s="18"/>
      <c r="I76" s="663"/>
    </row>
    <row r="77">
      <c r="A77" s="262" t="s">
        <v>3530</v>
      </c>
      <c r="B77" s="306"/>
      <c r="C77" s="263"/>
      <c r="D77" s="824"/>
      <c r="E77" s="242"/>
      <c r="F77" s="243">
        <v>1400.0</v>
      </c>
      <c r="G77" s="244" t="s">
        <v>3531</v>
      </c>
      <c r="H77" s="244"/>
      <c r="I77" s="662"/>
    </row>
    <row r="78">
      <c r="A78" s="265"/>
      <c r="B78" s="268"/>
      <c r="C78" s="252"/>
      <c r="D78" s="822"/>
      <c r="F78" s="250">
        <v>3786.0</v>
      </c>
      <c r="G78" s="2" t="s">
        <v>82</v>
      </c>
      <c r="I78" s="847"/>
    </row>
    <row r="79">
      <c r="A79" s="265"/>
      <c r="B79" s="268"/>
      <c r="C79" s="248"/>
      <c r="D79" s="822"/>
      <c r="F79" s="250">
        <f>594+2130+1450</f>
        <v>4174</v>
      </c>
      <c r="G79" s="2" t="s">
        <v>708</v>
      </c>
      <c r="I79" s="847"/>
    </row>
    <row r="80">
      <c r="A80" s="265"/>
      <c r="B80" s="268"/>
      <c r="C80" s="248"/>
      <c r="D80" s="822"/>
      <c r="F80" s="250">
        <v>500.0</v>
      </c>
      <c r="G80" s="2" t="s">
        <v>260</v>
      </c>
      <c r="I80" s="847"/>
    </row>
    <row r="81">
      <c r="A81" s="265"/>
      <c r="B81" s="268"/>
      <c r="C81" s="252"/>
      <c r="D81" s="822"/>
      <c r="F81" s="250">
        <v>80.0</v>
      </c>
      <c r="G81" s="2" t="s">
        <v>2894</v>
      </c>
      <c r="I81" s="847"/>
    </row>
    <row r="82">
      <c r="A82" s="265"/>
      <c r="B82" s="268"/>
      <c r="C82" s="252"/>
      <c r="D82" s="822"/>
      <c r="F82" s="250">
        <v>500.0</v>
      </c>
      <c r="G82" s="2" t="s">
        <v>3362</v>
      </c>
      <c r="H82" s="252"/>
      <c r="I82" s="847"/>
    </row>
    <row r="83">
      <c r="A83" s="265"/>
      <c r="B83" s="268"/>
      <c r="C83" s="252"/>
      <c r="D83" s="822"/>
      <c r="F83" s="250"/>
      <c r="I83" s="847"/>
    </row>
    <row r="84">
      <c r="A84" s="265"/>
      <c r="B84" s="268"/>
      <c r="C84" s="252"/>
      <c r="D84" s="822"/>
      <c r="F84" s="250"/>
      <c r="I84" s="847"/>
    </row>
    <row r="85">
      <c r="A85" s="265"/>
      <c r="B85" s="268"/>
      <c r="C85" s="252"/>
      <c r="D85" s="822"/>
      <c r="F85" s="250"/>
      <c r="I85" s="847"/>
    </row>
    <row r="86">
      <c r="A86" s="265"/>
      <c r="B86" s="268"/>
      <c r="C86" s="252"/>
      <c r="D86" s="822"/>
      <c r="F86" s="250"/>
      <c r="I86" s="847"/>
    </row>
    <row r="87">
      <c r="A87" s="270"/>
      <c r="B87" s="271"/>
      <c r="C87" s="272"/>
      <c r="D87" s="823"/>
      <c r="E87" s="18"/>
      <c r="F87" s="274"/>
      <c r="G87" s="18"/>
      <c r="H87" s="18"/>
      <c r="I87" s="663"/>
    </row>
    <row r="88">
      <c r="A88" s="262" t="s">
        <v>3532</v>
      </c>
      <c r="B88" s="306"/>
      <c r="C88" s="263">
        <v>23576.66</v>
      </c>
      <c r="D88" s="821"/>
      <c r="E88" s="242"/>
      <c r="F88" s="250"/>
      <c r="G88" s="244" t="s">
        <v>71</v>
      </c>
      <c r="H88" s="244"/>
      <c r="I88" s="662"/>
    </row>
    <row r="89">
      <c r="A89" s="265"/>
      <c r="B89" s="268"/>
      <c r="C89" s="252"/>
      <c r="D89" s="822"/>
      <c r="F89" s="250">
        <v>6000.0</v>
      </c>
      <c r="G89" s="2" t="s">
        <v>87</v>
      </c>
      <c r="I89" s="847"/>
    </row>
    <row r="90">
      <c r="A90" s="265"/>
      <c r="B90" s="268"/>
      <c r="C90" s="252"/>
      <c r="D90" s="822"/>
      <c r="F90" s="250">
        <v>5056.0</v>
      </c>
      <c r="G90" s="2" t="s">
        <v>74</v>
      </c>
      <c r="I90" s="847"/>
    </row>
    <row r="91">
      <c r="A91" s="265"/>
      <c r="B91" s="268"/>
      <c r="C91" s="252"/>
      <c r="D91" s="822"/>
      <c r="F91" s="250">
        <v>1920.0</v>
      </c>
      <c r="G91" s="2" t="s">
        <v>275</v>
      </c>
      <c r="I91" s="847"/>
    </row>
    <row r="92">
      <c r="A92" s="265"/>
      <c r="B92" s="268"/>
      <c r="C92" s="252"/>
      <c r="D92" s="822"/>
      <c r="F92" s="250"/>
      <c r="I92" s="847"/>
    </row>
    <row r="93">
      <c r="A93" s="265"/>
      <c r="B93" s="268"/>
      <c r="C93" s="252"/>
      <c r="D93" s="822"/>
      <c r="F93" s="250">
        <v>1300.0</v>
      </c>
      <c r="G93" s="2" t="s">
        <v>139</v>
      </c>
      <c r="I93" s="847"/>
    </row>
    <row r="94">
      <c r="A94" s="265"/>
      <c r="B94" s="268"/>
      <c r="C94" s="252"/>
      <c r="D94" s="331"/>
      <c r="F94" s="250">
        <v>6500.0</v>
      </c>
      <c r="G94" s="2" t="s">
        <v>3533</v>
      </c>
      <c r="I94" s="847"/>
    </row>
    <row r="95">
      <c r="A95" s="265"/>
      <c r="B95" s="268"/>
      <c r="C95" s="252"/>
      <c r="D95" s="822"/>
      <c r="F95" s="250">
        <v>330.0</v>
      </c>
      <c r="G95" s="2" t="s">
        <v>228</v>
      </c>
      <c r="I95" s="847"/>
    </row>
    <row r="96">
      <c r="A96" s="265"/>
      <c r="B96" s="268"/>
      <c r="C96" s="252"/>
      <c r="D96" s="822"/>
      <c r="F96" s="250">
        <v>2178.0</v>
      </c>
      <c r="G96" s="2" t="s">
        <v>708</v>
      </c>
      <c r="I96" s="847"/>
    </row>
    <row r="97">
      <c r="A97" s="265"/>
      <c r="B97" s="268"/>
      <c r="C97" s="252"/>
      <c r="D97" s="822"/>
      <c r="F97" s="250"/>
      <c r="I97" s="847"/>
    </row>
    <row r="98">
      <c r="A98" s="270"/>
      <c r="B98" s="271"/>
      <c r="C98" s="272"/>
      <c r="D98" s="823"/>
      <c r="E98" s="18"/>
      <c r="F98" s="274">
        <f>SUM(F88:F97)</f>
        <v>23284</v>
      </c>
      <c r="G98" s="18"/>
      <c r="H98" s="18"/>
      <c r="I98" s="663"/>
    </row>
    <row r="99">
      <c r="A99" s="262" t="s">
        <v>3534</v>
      </c>
      <c r="B99" s="306"/>
      <c r="C99" s="263"/>
      <c r="D99" s="821"/>
      <c r="E99" s="242"/>
      <c r="F99" s="243">
        <v>700.0</v>
      </c>
      <c r="G99" s="244" t="s">
        <v>3345</v>
      </c>
      <c r="H99" s="244"/>
      <c r="I99" s="662"/>
    </row>
    <row r="100">
      <c r="A100" s="265"/>
      <c r="B100" s="268"/>
      <c r="C100" s="252"/>
      <c r="D100" s="331"/>
      <c r="F100" s="250">
        <v>2233.0</v>
      </c>
      <c r="G100" s="2" t="s">
        <v>708</v>
      </c>
      <c r="I100" s="847"/>
    </row>
    <row r="101">
      <c r="A101" s="265"/>
      <c r="B101" s="268"/>
      <c r="C101" s="252"/>
      <c r="D101" s="331"/>
      <c r="F101" s="250">
        <v>3860.0</v>
      </c>
      <c r="G101" s="2" t="s">
        <v>76</v>
      </c>
      <c r="I101" s="847"/>
    </row>
    <row r="102">
      <c r="A102" s="265"/>
      <c r="B102" s="268"/>
      <c r="C102" s="252"/>
      <c r="D102" s="822"/>
      <c r="F102" s="250">
        <v>3560.0</v>
      </c>
      <c r="G102" s="2" t="s">
        <v>128</v>
      </c>
      <c r="I102" s="847"/>
    </row>
    <row r="103">
      <c r="A103" s="265"/>
      <c r="B103" s="268"/>
      <c r="C103" s="252"/>
      <c r="D103" s="331"/>
      <c r="F103" s="250"/>
      <c r="I103" s="847"/>
    </row>
    <row r="104">
      <c r="A104" s="265"/>
      <c r="B104" s="268"/>
      <c r="C104" s="252"/>
      <c r="D104" s="822"/>
      <c r="F104" s="250"/>
      <c r="I104" s="847"/>
    </row>
    <row r="105">
      <c r="A105" s="265"/>
      <c r="B105" s="268"/>
      <c r="C105" s="252"/>
      <c r="D105" s="822"/>
      <c r="F105" s="250"/>
      <c r="I105" s="847"/>
    </row>
    <row r="106">
      <c r="A106" s="265"/>
      <c r="B106" s="268"/>
      <c r="C106" s="252"/>
      <c r="D106" s="822"/>
      <c r="F106" s="250"/>
      <c r="I106" s="847"/>
    </row>
    <row r="107">
      <c r="A107" s="265"/>
      <c r="B107" s="268"/>
      <c r="C107" s="252"/>
      <c r="D107" s="331"/>
      <c r="F107" s="250"/>
      <c r="I107" s="847"/>
    </row>
    <row r="108">
      <c r="A108" s="265"/>
      <c r="B108" s="268"/>
      <c r="C108" s="252"/>
      <c r="D108" s="822"/>
      <c r="F108" s="250"/>
      <c r="I108" s="847"/>
    </row>
    <row r="109">
      <c r="A109" s="265"/>
      <c r="B109" s="268"/>
      <c r="C109" s="252"/>
      <c r="D109" s="822"/>
      <c r="F109" s="250"/>
      <c r="I109" s="847"/>
    </row>
    <row r="110">
      <c r="A110" s="265"/>
      <c r="B110" s="268"/>
      <c r="C110" s="252"/>
      <c r="D110" s="822"/>
      <c r="F110" s="250"/>
      <c r="I110" s="847"/>
    </row>
    <row r="111">
      <c r="A111" s="265"/>
      <c r="B111" s="268"/>
      <c r="C111" s="252"/>
      <c r="D111" s="822"/>
      <c r="F111" s="250"/>
      <c r="I111" s="847"/>
    </row>
    <row r="112">
      <c r="A112" s="265"/>
      <c r="B112" s="268"/>
      <c r="C112" s="252"/>
      <c r="D112" s="822"/>
      <c r="F112" s="250"/>
      <c r="I112" s="847"/>
    </row>
    <row r="113">
      <c r="A113" s="265"/>
      <c r="B113" s="268"/>
      <c r="C113" s="252"/>
      <c r="D113" s="822"/>
      <c r="F113" s="250"/>
      <c r="I113" s="847"/>
    </row>
    <row r="114">
      <c r="A114" s="270"/>
      <c r="B114" s="271"/>
      <c r="C114" s="272"/>
      <c r="D114" s="823"/>
      <c r="E114" s="18"/>
      <c r="F114" s="274">
        <f>SUM(F99:F113)</f>
        <v>10353</v>
      </c>
      <c r="G114" s="18"/>
      <c r="H114" s="18"/>
      <c r="I114" s="663"/>
    </row>
    <row r="115">
      <c r="A115" s="262" t="s">
        <v>3535</v>
      </c>
      <c r="B115" s="306"/>
      <c r="C115" s="240"/>
      <c r="D115" s="824"/>
      <c r="E115" s="242"/>
      <c r="F115" s="243">
        <v>9023.0</v>
      </c>
      <c r="G115" s="244" t="s">
        <v>91</v>
      </c>
      <c r="H115" s="244"/>
      <c r="I115" s="662"/>
    </row>
    <row r="116">
      <c r="A116" s="265"/>
      <c r="B116" s="268"/>
      <c r="C116" s="252"/>
      <c r="D116" s="822"/>
      <c r="F116" s="250">
        <v>2675.0</v>
      </c>
      <c r="G116" s="2" t="s">
        <v>82</v>
      </c>
      <c r="I116" s="847"/>
    </row>
    <row r="117">
      <c r="A117" s="265"/>
      <c r="B117" s="268"/>
      <c r="C117" s="252"/>
      <c r="D117" s="822"/>
      <c r="F117" s="250">
        <f>3058+596</f>
        <v>3654</v>
      </c>
      <c r="G117" s="2" t="s">
        <v>708</v>
      </c>
      <c r="I117" s="847"/>
    </row>
    <row r="118">
      <c r="A118" s="265"/>
      <c r="B118" s="247">
        <v>10800.0</v>
      </c>
      <c r="C118" s="252"/>
      <c r="D118" s="331"/>
      <c r="F118" s="250"/>
      <c r="G118" s="2" t="s">
        <v>167</v>
      </c>
      <c r="I118" s="847"/>
    </row>
    <row r="119">
      <c r="A119" s="265"/>
      <c r="B119" s="268"/>
      <c r="C119" s="252"/>
      <c r="D119" s="822"/>
      <c r="F119" s="250">
        <v>216.0</v>
      </c>
      <c r="G119" s="2" t="s">
        <v>103</v>
      </c>
      <c r="I119" s="847"/>
    </row>
    <row r="120">
      <c r="A120" s="265"/>
      <c r="B120" s="268"/>
      <c r="C120" s="252"/>
      <c r="D120" s="822"/>
      <c r="F120" s="250">
        <v>460.0</v>
      </c>
      <c r="G120" s="2" t="s">
        <v>3536</v>
      </c>
      <c r="I120" s="847"/>
    </row>
    <row r="121">
      <c r="A121" s="265"/>
      <c r="B121" s="268"/>
      <c r="C121" s="252"/>
      <c r="D121" s="822"/>
      <c r="F121" s="250">
        <v>5166.0</v>
      </c>
      <c r="G121" s="2" t="s">
        <v>3537</v>
      </c>
      <c r="I121" s="847"/>
    </row>
    <row r="122">
      <c r="A122" s="265"/>
      <c r="B122" s="268"/>
      <c r="C122" s="252"/>
      <c r="D122" s="822"/>
      <c r="F122" s="250"/>
      <c r="I122" s="847"/>
    </row>
    <row r="123">
      <c r="A123" s="265"/>
      <c r="B123" s="268"/>
      <c r="C123" s="252"/>
      <c r="D123" s="822"/>
      <c r="F123" s="250"/>
      <c r="I123" s="847"/>
    </row>
    <row r="124">
      <c r="A124" s="265"/>
      <c r="B124" s="268"/>
      <c r="C124" s="252"/>
      <c r="D124" s="822"/>
      <c r="F124" s="250"/>
      <c r="I124" s="847"/>
    </row>
    <row r="125">
      <c r="A125" s="265"/>
      <c r="B125" s="268"/>
      <c r="C125" s="252"/>
      <c r="D125" s="822"/>
      <c r="F125" s="250"/>
      <c r="I125" s="847"/>
    </row>
    <row r="126">
      <c r="A126" s="270"/>
      <c r="B126" s="271"/>
      <c r="C126" s="272"/>
      <c r="D126" s="823"/>
      <c r="E126" s="18"/>
      <c r="F126" s="274">
        <f>SUM(F115:F125)</f>
        <v>21194</v>
      </c>
      <c r="G126" s="18"/>
      <c r="H126" s="18"/>
      <c r="I126" s="663"/>
    </row>
    <row r="127">
      <c r="A127" s="262" t="s">
        <v>3538</v>
      </c>
      <c r="B127" s="306"/>
      <c r="C127" s="240"/>
      <c r="D127" s="824"/>
      <c r="E127" s="242"/>
      <c r="F127" s="243">
        <v>1933.0</v>
      </c>
      <c r="G127" s="244" t="s">
        <v>314</v>
      </c>
      <c r="H127" s="244"/>
      <c r="I127" s="662"/>
    </row>
    <row r="128">
      <c r="A128" s="265"/>
      <c r="B128" s="268"/>
      <c r="C128" s="252"/>
      <c r="D128" s="822"/>
      <c r="F128" s="250">
        <v>2400.0</v>
      </c>
      <c r="G128" s="2" t="s">
        <v>3183</v>
      </c>
      <c r="I128" s="847"/>
    </row>
    <row r="129">
      <c r="A129" s="265"/>
      <c r="B129" s="268"/>
      <c r="C129" s="252"/>
      <c r="D129" s="822"/>
      <c r="F129" s="250">
        <v>4380.0</v>
      </c>
      <c r="G129" s="2" t="s">
        <v>2348</v>
      </c>
      <c r="I129" s="847"/>
    </row>
    <row r="130">
      <c r="A130" s="265"/>
      <c r="B130" s="268"/>
      <c r="C130" s="252"/>
      <c r="D130" s="822"/>
      <c r="F130" s="250">
        <v>2600.0</v>
      </c>
      <c r="G130" s="2" t="s">
        <v>394</v>
      </c>
      <c r="I130" s="847"/>
    </row>
    <row r="131">
      <c r="A131" s="265"/>
      <c r="B131" s="268"/>
      <c r="C131" s="252"/>
      <c r="D131" s="822"/>
      <c r="F131" s="250">
        <v>6000.0</v>
      </c>
      <c r="G131" s="2" t="s">
        <v>64</v>
      </c>
      <c r="I131" s="847"/>
    </row>
    <row r="132">
      <c r="A132" s="265"/>
      <c r="B132" s="268"/>
      <c r="C132" s="248">
        <v>28677.0</v>
      </c>
      <c r="D132" s="822"/>
      <c r="F132" s="250"/>
      <c r="G132" s="2" t="s">
        <v>2654</v>
      </c>
      <c r="I132" s="847"/>
    </row>
    <row r="133">
      <c r="A133" s="265"/>
      <c r="B133" s="268"/>
      <c r="C133" s="252"/>
      <c r="D133" s="822"/>
      <c r="F133" s="250">
        <v>105.0</v>
      </c>
      <c r="G133" s="2" t="s">
        <v>3539</v>
      </c>
      <c r="I133" s="847"/>
    </row>
    <row r="134">
      <c r="A134" s="265"/>
      <c r="B134" s="268"/>
      <c r="C134" s="252"/>
      <c r="D134" s="822"/>
      <c r="F134" s="250"/>
      <c r="I134" s="847"/>
    </row>
    <row r="135">
      <c r="A135" s="265"/>
      <c r="B135" s="268"/>
      <c r="C135" s="252"/>
      <c r="D135" s="822"/>
      <c r="F135" s="250"/>
      <c r="I135" s="847"/>
    </row>
    <row r="136">
      <c r="A136" s="270"/>
      <c r="B136" s="271"/>
      <c r="C136" s="272"/>
      <c r="D136" s="823"/>
      <c r="E136" s="18"/>
      <c r="F136" s="274">
        <f>SUM(F127:F135)</f>
        <v>17418</v>
      </c>
      <c r="G136" s="18"/>
      <c r="H136" s="18"/>
      <c r="I136" s="663"/>
    </row>
    <row r="137">
      <c r="A137" s="262" t="s">
        <v>3540</v>
      </c>
      <c r="B137" s="306"/>
      <c r="C137" s="240"/>
      <c r="D137" s="821">
        <v>30000.0</v>
      </c>
      <c r="E137" s="242"/>
      <c r="F137" s="243"/>
      <c r="G137" s="244" t="s">
        <v>3102</v>
      </c>
      <c r="H137" s="244"/>
      <c r="I137" s="662"/>
    </row>
    <row r="138">
      <c r="A138" s="265"/>
      <c r="B138" s="268"/>
      <c r="C138" s="252"/>
      <c r="D138" s="822"/>
      <c r="F138" s="250"/>
      <c r="I138" s="847"/>
    </row>
    <row r="139">
      <c r="A139" s="265"/>
      <c r="B139" s="268"/>
      <c r="C139" s="248"/>
      <c r="D139" s="331"/>
      <c r="F139" s="250"/>
      <c r="I139" s="847"/>
    </row>
    <row r="140">
      <c r="A140" s="265"/>
      <c r="B140" s="268"/>
      <c r="C140" s="252"/>
      <c r="D140" s="822"/>
      <c r="F140" s="250"/>
      <c r="I140" s="847"/>
    </row>
    <row r="141">
      <c r="A141" s="265"/>
      <c r="B141" s="268"/>
      <c r="C141" s="252"/>
      <c r="D141" s="822"/>
      <c r="F141" s="250"/>
      <c r="I141" s="847"/>
    </row>
    <row r="142">
      <c r="A142" s="265"/>
      <c r="B142" s="268"/>
      <c r="C142" s="252"/>
      <c r="D142" s="822"/>
      <c r="F142" s="250"/>
      <c r="I142" s="847"/>
    </row>
    <row r="143">
      <c r="A143" s="265"/>
      <c r="B143" s="268"/>
      <c r="C143" s="252"/>
      <c r="D143" s="331"/>
      <c r="F143" s="250"/>
      <c r="I143" s="847"/>
    </row>
    <row r="144">
      <c r="A144" s="265"/>
      <c r="B144" s="268"/>
      <c r="C144" s="252"/>
      <c r="D144" s="822"/>
      <c r="F144" s="250"/>
      <c r="I144" s="847"/>
    </row>
    <row r="145">
      <c r="A145" s="265"/>
      <c r="B145" s="268"/>
      <c r="C145" s="252"/>
      <c r="D145" s="822"/>
      <c r="F145" s="250"/>
      <c r="I145" s="847"/>
    </row>
    <row r="146">
      <c r="A146" s="270"/>
      <c r="B146" s="271"/>
      <c r="C146" s="272"/>
      <c r="D146" s="823"/>
      <c r="E146" s="18"/>
      <c r="F146" s="274"/>
      <c r="G146" s="18"/>
      <c r="H146" s="18"/>
      <c r="I146" s="663"/>
    </row>
    <row r="147">
      <c r="A147" s="262" t="s">
        <v>3541</v>
      </c>
      <c r="B147" s="306"/>
      <c r="C147" s="240"/>
      <c r="D147" s="821"/>
      <c r="E147" s="242"/>
      <c r="F147" s="243">
        <v>4188.25</v>
      </c>
      <c r="G147" s="244" t="s">
        <v>708</v>
      </c>
      <c r="H147" s="244"/>
      <c r="I147" s="662"/>
    </row>
    <row r="148">
      <c r="A148" s="265"/>
      <c r="B148" s="268"/>
      <c r="C148" s="252"/>
      <c r="D148" s="331"/>
      <c r="F148" s="250">
        <v>3215.0</v>
      </c>
      <c r="G148" s="2" t="s">
        <v>82</v>
      </c>
      <c r="I148" s="847"/>
    </row>
    <row r="149">
      <c r="A149" s="265"/>
      <c r="B149" s="268"/>
      <c r="C149" s="252"/>
      <c r="D149" s="331"/>
      <c r="F149" s="250"/>
      <c r="I149" s="847"/>
    </row>
    <row r="150">
      <c r="A150" s="265"/>
      <c r="B150" s="268"/>
      <c r="C150" s="252"/>
      <c r="D150" s="822"/>
      <c r="F150" s="250">
        <v>2683.0</v>
      </c>
      <c r="G150" s="2" t="s">
        <v>3003</v>
      </c>
      <c r="I150" s="847"/>
    </row>
    <row r="151">
      <c r="A151" s="265"/>
      <c r="B151" s="268"/>
      <c r="C151" s="252"/>
      <c r="D151" s="331"/>
      <c r="F151" s="250">
        <v>2663.0</v>
      </c>
      <c r="G151" s="2" t="s">
        <v>103</v>
      </c>
      <c r="I151" s="847"/>
    </row>
    <row r="152">
      <c r="A152" s="265"/>
      <c r="B152" s="268"/>
      <c r="C152" s="252"/>
      <c r="D152" s="822"/>
      <c r="F152" s="250"/>
      <c r="I152" s="847"/>
    </row>
    <row r="153">
      <c r="A153" s="265"/>
      <c r="B153" s="268"/>
      <c r="C153" s="252"/>
      <c r="D153" s="822"/>
      <c r="F153" s="250"/>
      <c r="I153" s="847"/>
    </row>
    <row r="154">
      <c r="A154" s="265"/>
      <c r="B154" s="268"/>
      <c r="C154" s="252"/>
      <c r="D154" s="822"/>
      <c r="F154" s="250"/>
      <c r="I154" s="847"/>
    </row>
    <row r="155">
      <c r="A155" s="265"/>
      <c r="B155" s="268"/>
      <c r="C155" s="252"/>
      <c r="D155" s="822"/>
      <c r="F155" s="250"/>
      <c r="I155" s="847"/>
    </row>
    <row r="156">
      <c r="A156" s="265"/>
      <c r="B156" s="268"/>
      <c r="C156" s="252"/>
      <c r="D156" s="822"/>
      <c r="F156" s="250"/>
      <c r="I156" s="847"/>
    </row>
    <row r="157">
      <c r="A157" s="265"/>
      <c r="B157" s="268"/>
      <c r="C157" s="252"/>
      <c r="D157" s="822"/>
      <c r="F157" s="250"/>
      <c r="I157" s="847"/>
    </row>
    <row r="158">
      <c r="A158" s="265"/>
      <c r="B158" s="268"/>
      <c r="C158" s="252"/>
      <c r="D158" s="822"/>
      <c r="F158" s="250"/>
      <c r="I158" s="847"/>
    </row>
    <row r="159">
      <c r="A159" s="265"/>
      <c r="B159" s="268"/>
      <c r="C159" s="252"/>
      <c r="D159" s="822"/>
      <c r="F159" s="250"/>
      <c r="I159" s="847"/>
    </row>
    <row r="160">
      <c r="A160" s="265"/>
      <c r="B160" s="268"/>
      <c r="C160" s="252"/>
      <c r="D160" s="822"/>
      <c r="F160" s="250"/>
      <c r="I160" s="847"/>
    </row>
    <row r="161">
      <c r="A161" s="270"/>
      <c r="B161" s="271"/>
      <c r="C161" s="272"/>
      <c r="D161" s="823"/>
      <c r="E161" s="18"/>
      <c r="F161" s="259"/>
      <c r="G161" s="293"/>
      <c r="H161" s="18"/>
      <c r="I161" s="663"/>
    </row>
    <row r="162">
      <c r="A162" s="262" t="s">
        <v>3542</v>
      </c>
      <c r="B162" s="306"/>
      <c r="C162" s="240"/>
      <c r="D162" s="824"/>
      <c r="E162" s="242"/>
      <c r="F162" s="243">
        <v>6000.0</v>
      </c>
      <c r="G162" s="244" t="s">
        <v>87</v>
      </c>
      <c r="I162" s="244"/>
    </row>
    <row r="163">
      <c r="A163" s="265"/>
      <c r="B163" s="268"/>
      <c r="C163" s="248">
        <v>17140.0</v>
      </c>
      <c r="D163" s="822"/>
      <c r="F163" s="250"/>
      <c r="G163" s="2" t="s">
        <v>71</v>
      </c>
      <c r="I163" s="847"/>
    </row>
    <row r="164">
      <c r="A164" s="265"/>
      <c r="B164" s="268"/>
      <c r="C164" s="252"/>
      <c r="D164" s="822"/>
      <c r="F164" s="250">
        <f>2532+650</f>
        <v>3182</v>
      </c>
      <c r="G164" s="2" t="s">
        <v>708</v>
      </c>
      <c r="I164" s="847"/>
    </row>
    <row r="165">
      <c r="A165" s="265"/>
      <c r="B165" s="268"/>
      <c r="C165" s="252"/>
      <c r="D165" s="822"/>
      <c r="F165" s="250">
        <v>1200.0</v>
      </c>
      <c r="G165" s="2" t="s">
        <v>139</v>
      </c>
      <c r="I165" s="847"/>
    </row>
    <row r="166">
      <c r="A166" s="265"/>
      <c r="B166" s="268"/>
      <c r="C166" s="248"/>
      <c r="D166" s="822"/>
      <c r="F166" s="250">
        <v>700.0</v>
      </c>
      <c r="G166" s="2" t="s">
        <v>228</v>
      </c>
      <c r="I166" s="847"/>
    </row>
    <row r="167">
      <c r="A167" s="265"/>
      <c r="B167" s="247">
        <v>2085.0</v>
      </c>
      <c r="C167" s="252"/>
      <c r="D167" s="822"/>
      <c r="F167" s="250"/>
      <c r="G167" s="2" t="s">
        <v>434</v>
      </c>
      <c r="I167" s="847"/>
    </row>
    <row r="168">
      <c r="A168" s="265"/>
      <c r="B168" s="268"/>
      <c r="C168" s="252"/>
      <c r="D168" s="822"/>
      <c r="F168" s="250">
        <v>6400.0</v>
      </c>
      <c r="G168" s="2" t="s">
        <v>3543</v>
      </c>
      <c r="H168" s="252"/>
      <c r="I168" s="847"/>
    </row>
    <row r="169">
      <c r="A169" s="265"/>
      <c r="B169" s="268"/>
      <c r="C169" s="252"/>
      <c r="D169" s="822"/>
      <c r="F169" s="250">
        <v>760.0</v>
      </c>
      <c r="G169" s="2" t="s">
        <v>3544</v>
      </c>
      <c r="I169" s="847"/>
    </row>
    <row r="170">
      <c r="A170" s="265"/>
      <c r="B170" s="268"/>
      <c r="C170" s="252"/>
      <c r="D170" s="822"/>
      <c r="F170" s="250">
        <v>2000.0</v>
      </c>
      <c r="G170" s="2" t="s">
        <v>3362</v>
      </c>
      <c r="H170" s="252"/>
      <c r="I170" s="847"/>
    </row>
    <row r="171">
      <c r="A171" s="265"/>
      <c r="B171" s="278"/>
      <c r="C171" s="252"/>
      <c r="D171" s="822"/>
      <c r="F171" s="250"/>
      <c r="I171" s="847"/>
    </row>
    <row r="172">
      <c r="A172" s="265"/>
      <c r="B172" s="278"/>
      <c r="C172" s="252"/>
      <c r="D172" s="822"/>
      <c r="F172" s="250"/>
      <c r="I172" s="847"/>
    </row>
    <row r="173">
      <c r="A173" s="265"/>
      <c r="B173" s="278"/>
      <c r="C173" s="252"/>
      <c r="D173" s="822"/>
      <c r="F173" s="282"/>
      <c r="I173" s="847"/>
    </row>
    <row r="174">
      <c r="A174" s="265"/>
      <c r="B174" s="278"/>
      <c r="C174" s="252"/>
      <c r="D174" s="822"/>
      <c r="F174" s="282"/>
      <c r="I174" s="847"/>
    </row>
    <row r="175">
      <c r="A175" s="265"/>
      <c r="B175" s="278"/>
      <c r="C175" s="252"/>
      <c r="D175" s="822"/>
      <c r="F175" s="282"/>
      <c r="I175" s="847"/>
    </row>
    <row r="176">
      <c r="A176" s="265"/>
      <c r="B176" s="278"/>
      <c r="C176" s="252"/>
      <c r="D176" s="822"/>
      <c r="F176" s="282"/>
      <c r="I176" s="847"/>
    </row>
    <row r="177">
      <c r="A177" s="270"/>
      <c r="B177" s="271"/>
      <c r="C177" s="272"/>
      <c r="D177" s="823"/>
      <c r="E177" s="18"/>
      <c r="F177" s="274"/>
      <c r="G177" s="18"/>
      <c r="H177" s="18"/>
      <c r="I177" s="663"/>
    </row>
    <row r="178">
      <c r="A178" s="262" t="s">
        <v>3545</v>
      </c>
      <c r="B178" s="306"/>
      <c r="C178" s="263"/>
      <c r="D178" s="824"/>
      <c r="E178" s="242"/>
      <c r="F178" s="243">
        <v>9593.0</v>
      </c>
      <c r="G178" s="244" t="s">
        <v>74</v>
      </c>
      <c r="H178" s="244"/>
      <c r="I178" s="662"/>
    </row>
    <row r="179">
      <c r="A179" s="265"/>
      <c r="B179" s="268"/>
      <c r="C179" s="252"/>
      <c r="D179" s="822"/>
      <c r="F179" s="250">
        <f>1737+200+716</f>
        <v>2653</v>
      </c>
      <c r="G179" s="2" t="s">
        <v>708</v>
      </c>
      <c r="I179" s="847"/>
    </row>
    <row r="180">
      <c r="A180" s="265"/>
      <c r="B180" s="268"/>
      <c r="C180" s="252"/>
      <c r="D180" s="331"/>
      <c r="F180" s="250">
        <v>700.0</v>
      </c>
      <c r="G180" s="2" t="s">
        <v>3529</v>
      </c>
      <c r="I180" s="847"/>
    </row>
    <row r="181">
      <c r="A181" s="265"/>
      <c r="B181" s="268"/>
      <c r="C181" s="252"/>
      <c r="D181" s="331"/>
      <c r="F181" s="250">
        <v>3120.0</v>
      </c>
      <c r="G181" s="2" t="s">
        <v>150</v>
      </c>
      <c r="I181" s="847"/>
    </row>
    <row r="182">
      <c r="A182" s="265"/>
      <c r="B182" s="268"/>
      <c r="C182" s="252"/>
      <c r="D182" s="331"/>
      <c r="F182" s="250"/>
      <c r="I182" s="847"/>
    </row>
    <row r="183">
      <c r="A183" s="265"/>
      <c r="B183" s="268"/>
      <c r="C183" s="252"/>
      <c r="D183" s="331"/>
      <c r="F183" s="250"/>
      <c r="I183" s="847"/>
    </row>
    <row r="184">
      <c r="A184" s="265"/>
      <c r="B184" s="268"/>
      <c r="C184" s="252"/>
      <c r="D184" s="822"/>
      <c r="F184" s="250"/>
      <c r="I184" s="847"/>
    </row>
    <row r="185">
      <c r="A185" s="265"/>
      <c r="B185" s="268"/>
      <c r="C185" s="252"/>
      <c r="D185" s="331"/>
      <c r="F185" s="250"/>
      <c r="I185" s="847"/>
    </row>
    <row r="186">
      <c r="A186" s="265"/>
      <c r="B186" s="268"/>
      <c r="C186" s="248"/>
      <c r="D186" s="822"/>
      <c r="F186" s="250"/>
      <c r="I186" s="847"/>
    </row>
    <row r="187">
      <c r="A187" s="265"/>
      <c r="B187" s="268"/>
      <c r="C187" s="248"/>
      <c r="D187" s="822"/>
      <c r="F187" s="250"/>
      <c r="I187" s="847"/>
    </row>
    <row r="188">
      <c r="A188" s="265"/>
      <c r="B188" s="268"/>
      <c r="C188" s="248"/>
      <c r="D188" s="822"/>
      <c r="F188" s="250"/>
      <c r="I188" s="847"/>
    </row>
    <row r="189">
      <c r="A189" s="265"/>
      <c r="B189" s="268"/>
      <c r="C189" s="248"/>
      <c r="D189" s="822"/>
      <c r="F189" s="250"/>
      <c r="I189" s="847"/>
    </row>
    <row r="190">
      <c r="A190" s="270"/>
      <c r="B190" s="271"/>
      <c r="C190" s="272"/>
      <c r="D190" s="823"/>
      <c r="E190" s="18"/>
      <c r="F190" s="274"/>
      <c r="G190" s="18"/>
      <c r="H190" s="18"/>
      <c r="I190" s="663"/>
    </row>
    <row r="191">
      <c r="A191" s="262" t="s">
        <v>3546</v>
      </c>
      <c r="B191" s="306"/>
      <c r="C191" s="263"/>
      <c r="D191" s="824"/>
      <c r="E191" s="242"/>
      <c r="F191" s="243">
        <v>2150.0</v>
      </c>
      <c r="G191" s="244" t="s">
        <v>3003</v>
      </c>
      <c r="H191" s="244"/>
      <c r="I191" s="662"/>
    </row>
    <row r="192">
      <c r="A192" s="265"/>
      <c r="B192" s="268"/>
      <c r="C192" s="252"/>
      <c r="D192" s="331"/>
      <c r="F192" s="250">
        <v>6000.0</v>
      </c>
      <c r="G192" s="2" t="s">
        <v>87</v>
      </c>
      <c r="I192" s="847"/>
    </row>
    <row r="193">
      <c r="A193" s="265"/>
      <c r="B193" s="268"/>
      <c r="C193" s="252"/>
      <c r="D193" s="822"/>
      <c r="F193" s="250">
        <v>1777.0</v>
      </c>
      <c r="G193" s="2" t="s">
        <v>91</v>
      </c>
      <c r="I193" s="847"/>
    </row>
    <row r="194">
      <c r="A194" s="265"/>
      <c r="B194" s="268"/>
      <c r="C194" s="248">
        <v>7026.91</v>
      </c>
      <c r="D194" s="822"/>
      <c r="F194" s="250"/>
      <c r="G194" s="2" t="s">
        <v>84</v>
      </c>
      <c r="I194" s="847"/>
    </row>
    <row r="195">
      <c r="A195" s="265"/>
      <c r="B195" s="268"/>
      <c r="C195" s="252"/>
      <c r="D195" s="822"/>
      <c r="F195" s="250">
        <f>4679+286</f>
        <v>4965</v>
      </c>
      <c r="G195" s="2" t="s">
        <v>708</v>
      </c>
      <c r="I195" s="847"/>
    </row>
    <row r="196">
      <c r="A196" s="265"/>
      <c r="B196" s="268"/>
      <c r="C196" s="252"/>
      <c r="D196" s="822"/>
      <c r="F196" s="250">
        <v>3260.0</v>
      </c>
      <c r="G196" s="2" t="s">
        <v>329</v>
      </c>
      <c r="I196" s="847"/>
    </row>
    <row r="197">
      <c r="A197" s="265"/>
      <c r="B197" s="268"/>
      <c r="C197" s="252"/>
      <c r="D197" s="822"/>
      <c r="F197" s="250"/>
      <c r="I197" s="847"/>
    </row>
    <row r="198">
      <c r="A198" s="265"/>
      <c r="B198" s="268"/>
      <c r="C198" s="252"/>
      <c r="D198" s="822"/>
      <c r="F198" s="250"/>
      <c r="I198" s="847"/>
    </row>
    <row r="199">
      <c r="A199" s="265"/>
      <c r="B199" s="268"/>
      <c r="C199" s="252"/>
      <c r="D199" s="822"/>
      <c r="F199" s="250"/>
      <c r="I199" s="847"/>
    </row>
    <row r="200">
      <c r="A200" s="265"/>
      <c r="B200" s="278"/>
      <c r="C200" s="252"/>
      <c r="D200" s="822"/>
      <c r="F200" s="250"/>
      <c r="I200" s="847"/>
    </row>
    <row r="201">
      <c r="A201" s="265"/>
      <c r="B201" s="278"/>
      <c r="C201" s="252"/>
      <c r="D201" s="822"/>
      <c r="F201" s="282"/>
      <c r="I201" s="847"/>
    </row>
    <row r="202">
      <c r="A202" s="270"/>
      <c r="B202" s="271"/>
      <c r="C202" s="272"/>
      <c r="D202" s="823"/>
      <c r="E202" s="18"/>
      <c r="F202" s="274"/>
      <c r="G202" s="18"/>
      <c r="H202" s="18"/>
      <c r="I202" s="663"/>
    </row>
    <row r="203">
      <c r="A203" s="262" t="s">
        <v>3547</v>
      </c>
      <c r="B203" s="306"/>
      <c r="C203" s="240"/>
      <c r="D203" s="821"/>
      <c r="E203" s="242"/>
      <c r="F203" s="243">
        <v>2394.0</v>
      </c>
      <c r="G203" s="244" t="s">
        <v>3548</v>
      </c>
      <c r="H203" s="244"/>
      <c r="I203" s="662"/>
    </row>
    <row r="204">
      <c r="A204" s="265"/>
      <c r="B204" s="268"/>
      <c r="C204" s="252"/>
      <c r="D204" s="331"/>
      <c r="F204" s="250">
        <v>2900.0</v>
      </c>
      <c r="G204" s="2" t="s">
        <v>708</v>
      </c>
      <c r="I204" s="847"/>
    </row>
    <row r="205">
      <c r="A205" s="265"/>
      <c r="B205" s="268"/>
      <c r="C205" s="252"/>
      <c r="D205" s="822"/>
      <c r="F205" s="250">
        <v>6612.0</v>
      </c>
      <c r="G205" s="2" t="s">
        <v>3027</v>
      </c>
      <c r="I205" s="847"/>
    </row>
    <row r="206">
      <c r="A206" s="265"/>
      <c r="B206" s="268"/>
      <c r="C206" s="248"/>
      <c r="D206" s="822"/>
      <c r="F206" s="250">
        <v>450.0</v>
      </c>
      <c r="G206" s="2" t="s">
        <v>176</v>
      </c>
      <c r="I206" s="847"/>
    </row>
    <row r="207">
      <c r="A207" s="265"/>
      <c r="B207" s="268"/>
      <c r="C207" s="248"/>
      <c r="D207" s="822"/>
      <c r="F207" s="250">
        <v>400.0</v>
      </c>
      <c r="G207" s="2" t="s">
        <v>3549</v>
      </c>
      <c r="I207" s="847"/>
    </row>
    <row r="208">
      <c r="A208" s="265"/>
      <c r="B208" s="268"/>
      <c r="C208" s="248"/>
      <c r="D208" s="822"/>
      <c r="F208" s="250"/>
      <c r="I208" s="847"/>
    </row>
    <row r="209">
      <c r="A209" s="265"/>
      <c r="B209" s="268"/>
      <c r="C209" s="252"/>
      <c r="D209" s="822"/>
      <c r="F209" s="250"/>
      <c r="I209" s="847"/>
    </row>
    <row r="210">
      <c r="A210" s="265"/>
      <c r="B210" s="268"/>
      <c r="C210" s="252"/>
      <c r="D210" s="822"/>
      <c r="F210" s="250"/>
      <c r="I210" s="847"/>
    </row>
    <row r="211">
      <c r="A211" s="265"/>
      <c r="B211" s="268"/>
      <c r="C211" s="252"/>
      <c r="D211" s="822"/>
      <c r="F211" s="250"/>
      <c r="I211" s="847"/>
    </row>
    <row r="212">
      <c r="A212" s="265"/>
      <c r="B212" s="268"/>
      <c r="C212" s="252"/>
      <c r="D212" s="822"/>
      <c r="F212" s="250"/>
      <c r="I212" s="847"/>
    </row>
    <row r="213">
      <c r="A213" s="270"/>
      <c r="B213" s="271"/>
      <c r="C213" s="272"/>
      <c r="D213" s="823"/>
      <c r="E213" s="18"/>
      <c r="F213" s="274"/>
      <c r="G213" s="18"/>
      <c r="H213" s="18"/>
      <c r="I213" s="663"/>
    </row>
    <row r="214">
      <c r="A214" s="262" t="s">
        <v>3550</v>
      </c>
      <c r="B214" s="306"/>
      <c r="C214" s="240"/>
      <c r="D214" s="824"/>
      <c r="E214" s="242"/>
      <c r="F214" s="243">
        <v>400.0</v>
      </c>
      <c r="G214" s="244" t="s">
        <v>3333</v>
      </c>
      <c r="H214" s="244"/>
      <c r="I214" s="662"/>
    </row>
    <row r="215">
      <c r="A215" s="265"/>
      <c r="B215" s="268"/>
      <c r="C215" s="252"/>
      <c r="D215" s="822"/>
      <c r="F215" s="250"/>
      <c r="I215" s="847"/>
    </row>
    <row r="216">
      <c r="A216" s="265"/>
      <c r="B216" s="268"/>
      <c r="C216" s="252"/>
      <c r="D216" s="822"/>
      <c r="F216" s="250"/>
      <c r="I216" s="847"/>
    </row>
    <row r="217">
      <c r="A217" s="265"/>
      <c r="B217" s="268"/>
      <c r="C217" s="252"/>
      <c r="D217" s="822"/>
      <c r="F217" s="250"/>
      <c r="I217" s="847"/>
    </row>
    <row r="218">
      <c r="A218" s="265"/>
      <c r="B218" s="268"/>
      <c r="C218" s="252"/>
      <c r="D218" s="822"/>
      <c r="F218" s="250"/>
      <c r="I218" s="847"/>
    </row>
    <row r="219">
      <c r="A219" s="265"/>
      <c r="B219" s="268"/>
      <c r="C219" s="252"/>
      <c r="D219" s="822"/>
      <c r="F219" s="250"/>
      <c r="I219" s="847"/>
    </row>
    <row r="220">
      <c r="A220" s="265"/>
      <c r="B220" s="268"/>
      <c r="C220" s="252"/>
      <c r="D220" s="822"/>
      <c r="F220" s="250"/>
      <c r="I220" s="847"/>
    </row>
    <row r="221">
      <c r="A221" s="265"/>
      <c r="B221" s="268"/>
      <c r="C221" s="252"/>
      <c r="D221" s="822"/>
      <c r="F221" s="250"/>
      <c r="I221" s="847"/>
    </row>
    <row r="222">
      <c r="A222" s="265"/>
      <c r="B222" s="268"/>
      <c r="C222" s="252"/>
      <c r="D222" s="822"/>
      <c r="F222" s="250"/>
      <c r="I222" s="847"/>
    </row>
    <row r="223">
      <c r="A223" s="265"/>
      <c r="B223" s="268"/>
      <c r="C223" s="252"/>
      <c r="D223" s="822"/>
      <c r="F223" s="250"/>
      <c r="I223" s="847"/>
    </row>
    <row r="224">
      <c r="A224" s="265"/>
      <c r="B224" s="278"/>
      <c r="C224" s="252"/>
      <c r="D224" s="822"/>
      <c r="F224" s="250"/>
      <c r="I224" s="847"/>
    </row>
    <row r="225">
      <c r="A225" s="265"/>
      <c r="B225" s="278"/>
      <c r="C225" s="252"/>
      <c r="D225" s="822"/>
      <c r="F225" s="250"/>
      <c r="I225" s="847"/>
    </row>
    <row r="226">
      <c r="A226" s="265"/>
      <c r="B226" s="278"/>
      <c r="C226" s="252"/>
      <c r="D226" s="822"/>
      <c r="F226" s="250"/>
      <c r="I226" s="847"/>
    </row>
    <row r="227">
      <c r="A227" s="270"/>
      <c r="B227" s="271"/>
      <c r="C227" s="272"/>
      <c r="D227" s="823"/>
      <c r="E227" s="18"/>
      <c r="F227" s="274"/>
      <c r="G227" s="18"/>
      <c r="H227" s="18"/>
      <c r="I227" s="663"/>
    </row>
    <row r="228">
      <c r="A228" s="262" t="s">
        <v>3551</v>
      </c>
      <c r="B228" s="306"/>
      <c r="C228" s="240"/>
      <c r="D228" s="824"/>
      <c r="E228" s="242"/>
      <c r="F228" s="243">
        <v>1983.0</v>
      </c>
      <c r="G228" s="244" t="s">
        <v>103</v>
      </c>
      <c r="H228" s="244"/>
      <c r="I228" s="662"/>
    </row>
    <row r="229">
      <c r="A229" s="265"/>
      <c r="B229" s="268"/>
      <c r="C229" s="252"/>
      <c r="D229" s="822"/>
      <c r="F229" s="250">
        <f>3665+169</f>
        <v>3834</v>
      </c>
      <c r="G229" s="2" t="s">
        <v>3212</v>
      </c>
      <c r="I229" s="847"/>
    </row>
    <row r="230">
      <c r="A230" s="265"/>
      <c r="B230" s="247">
        <v>2020.0</v>
      </c>
      <c r="C230" s="252"/>
      <c r="D230" s="822"/>
      <c r="F230" s="250"/>
      <c r="G230" s="2" t="s">
        <v>3552</v>
      </c>
      <c r="I230" s="847"/>
    </row>
    <row r="231">
      <c r="A231" s="265"/>
      <c r="B231" s="268"/>
      <c r="C231" s="252"/>
      <c r="D231" s="822"/>
      <c r="F231" s="250">
        <v>400.0</v>
      </c>
      <c r="G231" s="2" t="s">
        <v>3333</v>
      </c>
      <c r="I231" s="847"/>
    </row>
    <row r="232">
      <c r="A232" s="265"/>
      <c r="B232" s="268"/>
      <c r="C232" s="252"/>
      <c r="D232" s="822"/>
      <c r="F232" s="250">
        <v>20000.0</v>
      </c>
      <c r="G232" s="2" t="s">
        <v>3259</v>
      </c>
      <c r="I232" s="847"/>
    </row>
    <row r="233">
      <c r="A233" s="265"/>
      <c r="B233" s="247"/>
      <c r="C233" s="248"/>
      <c r="D233" s="822"/>
      <c r="F233" s="250">
        <v>1720.0</v>
      </c>
      <c r="G233" s="2" t="s">
        <v>3374</v>
      </c>
      <c r="H233" s="252"/>
      <c r="I233" s="847"/>
    </row>
    <row r="234">
      <c r="A234" s="265"/>
      <c r="B234" s="268"/>
      <c r="C234" s="252"/>
      <c r="D234" s="822"/>
      <c r="F234" s="250"/>
      <c r="I234" s="847"/>
    </row>
    <row r="235">
      <c r="A235" s="265"/>
      <c r="B235" s="268"/>
      <c r="C235" s="252"/>
      <c r="D235" s="822"/>
      <c r="F235" s="250"/>
      <c r="I235" s="847"/>
    </row>
    <row r="236">
      <c r="A236" s="265"/>
      <c r="B236" s="268"/>
      <c r="C236" s="252"/>
      <c r="D236" s="822"/>
      <c r="F236" s="250"/>
      <c r="I236" s="847"/>
    </row>
    <row r="237">
      <c r="A237" s="265"/>
      <c r="B237" s="268"/>
      <c r="C237" s="252"/>
      <c r="D237" s="822"/>
      <c r="F237" s="250"/>
      <c r="I237" s="847"/>
    </row>
    <row r="238">
      <c r="A238" s="265"/>
      <c r="B238" s="268"/>
      <c r="C238" s="252"/>
      <c r="D238" s="822"/>
      <c r="F238" s="250"/>
      <c r="I238" s="847"/>
    </row>
    <row r="239">
      <c r="A239" s="270"/>
      <c r="B239" s="271"/>
      <c r="C239" s="272"/>
      <c r="D239" s="823"/>
      <c r="E239" s="18"/>
      <c r="F239" s="274"/>
      <c r="G239" s="18"/>
      <c r="H239" s="18"/>
      <c r="I239" s="663"/>
    </row>
    <row r="240">
      <c r="A240" s="262" t="s">
        <v>3553</v>
      </c>
      <c r="B240" s="306"/>
      <c r="C240" s="263">
        <v>25078.0</v>
      </c>
      <c r="D240" s="821"/>
      <c r="E240" s="242"/>
      <c r="F240" s="243"/>
      <c r="G240" s="244" t="s">
        <v>71</v>
      </c>
      <c r="H240" s="244"/>
      <c r="I240" s="662"/>
    </row>
    <row r="241">
      <c r="A241" s="265"/>
      <c r="B241" s="268"/>
      <c r="C241" s="252"/>
      <c r="D241" s="822"/>
      <c r="F241" s="250">
        <f>3365+339+396</f>
        <v>4100</v>
      </c>
      <c r="G241" s="2" t="s">
        <v>708</v>
      </c>
      <c r="I241" s="847"/>
    </row>
    <row r="242">
      <c r="A242" s="265"/>
      <c r="B242" s="268"/>
      <c r="C242" s="252"/>
      <c r="D242" s="331"/>
      <c r="F242" s="250">
        <v>1200.0</v>
      </c>
      <c r="G242" s="2" t="s">
        <v>68</v>
      </c>
      <c r="I242" s="847"/>
    </row>
    <row r="243">
      <c r="A243" s="265"/>
      <c r="B243" s="268"/>
      <c r="C243" s="252"/>
      <c r="D243" s="822"/>
      <c r="F243" s="250">
        <v>4600.0</v>
      </c>
      <c r="G243" s="2" t="s">
        <v>76</v>
      </c>
      <c r="I243" s="847"/>
    </row>
    <row r="244">
      <c r="A244" s="265"/>
      <c r="B244" s="268"/>
      <c r="C244" s="252"/>
      <c r="D244" s="822"/>
      <c r="F244" s="250">
        <v>1012.0</v>
      </c>
      <c r="G244" s="2" t="s">
        <v>82</v>
      </c>
      <c r="I244" s="847"/>
    </row>
    <row r="245">
      <c r="A245" s="265"/>
      <c r="B245" s="268"/>
      <c r="C245" s="252"/>
      <c r="D245" s="822"/>
      <c r="F245" s="250">
        <v>4000.0</v>
      </c>
      <c r="G245" s="2" t="s">
        <v>3554</v>
      </c>
      <c r="I245" s="847"/>
    </row>
    <row r="246">
      <c r="A246" s="265"/>
      <c r="B246" s="268"/>
      <c r="C246" s="252"/>
      <c r="D246" s="822"/>
      <c r="F246" s="250"/>
      <c r="I246" s="847"/>
    </row>
    <row r="247">
      <c r="A247" s="265"/>
      <c r="B247" s="268"/>
      <c r="C247" s="252"/>
      <c r="D247" s="822"/>
      <c r="F247" s="250"/>
      <c r="H247" s="2"/>
      <c r="I247" s="847"/>
    </row>
    <row r="248">
      <c r="A248" s="265"/>
      <c r="B248" s="268"/>
      <c r="C248" s="252"/>
      <c r="D248" s="822"/>
      <c r="F248" s="250"/>
      <c r="H248" s="2"/>
      <c r="I248" s="847"/>
    </row>
    <row r="249">
      <c r="A249" s="265"/>
      <c r="B249" s="268"/>
      <c r="C249" s="252"/>
      <c r="D249" s="822"/>
      <c r="F249" s="250"/>
      <c r="I249" s="847"/>
    </row>
    <row r="250">
      <c r="A250" s="265"/>
      <c r="B250" s="268"/>
      <c r="C250" s="252"/>
      <c r="D250" s="822"/>
      <c r="F250" s="250"/>
      <c r="I250" s="847"/>
    </row>
    <row r="251">
      <c r="A251" s="265"/>
      <c r="B251" s="268"/>
      <c r="C251" s="252"/>
      <c r="D251" s="822"/>
      <c r="F251" s="250"/>
      <c r="I251" s="847"/>
    </row>
    <row r="252">
      <c r="A252" s="270"/>
      <c r="B252" s="271"/>
      <c r="C252" s="272"/>
      <c r="D252" s="823"/>
      <c r="E252" s="18"/>
      <c r="F252" s="274"/>
      <c r="G252" s="18"/>
      <c r="H252" s="18"/>
      <c r="I252" s="663"/>
    </row>
    <row r="253">
      <c r="A253" s="262" t="s">
        <v>3555</v>
      </c>
      <c r="B253" s="306"/>
      <c r="C253" s="263"/>
      <c r="D253" s="824"/>
      <c r="E253" s="242"/>
      <c r="F253" s="243">
        <v>4700.0</v>
      </c>
      <c r="G253" s="244" t="s">
        <v>708</v>
      </c>
      <c r="H253" s="244"/>
      <c r="I253" s="662"/>
    </row>
    <row r="254">
      <c r="A254" s="265"/>
      <c r="B254" s="268"/>
      <c r="C254" s="252"/>
      <c r="D254" s="822"/>
      <c r="F254" s="250">
        <v>6000.0</v>
      </c>
      <c r="G254" s="2" t="s">
        <v>87</v>
      </c>
      <c r="I254" s="847"/>
    </row>
    <row r="255">
      <c r="A255" s="265"/>
      <c r="B255" s="268"/>
      <c r="C255" s="252"/>
      <c r="D255" s="822"/>
      <c r="F255" s="250">
        <v>3007.0</v>
      </c>
      <c r="G255" s="2" t="s">
        <v>3003</v>
      </c>
      <c r="I255" s="847"/>
    </row>
    <row r="256">
      <c r="A256" s="265"/>
      <c r="B256" s="268"/>
      <c r="C256" s="252"/>
      <c r="D256" s="822"/>
      <c r="F256" s="250">
        <v>135.0</v>
      </c>
      <c r="G256" s="2" t="s">
        <v>3556</v>
      </c>
      <c r="I256" s="847"/>
    </row>
    <row r="257">
      <c r="A257" s="265"/>
      <c r="B257" s="268"/>
      <c r="C257" s="252"/>
      <c r="D257" s="822"/>
      <c r="F257" s="250">
        <v>770.0</v>
      </c>
      <c r="G257" s="2" t="s">
        <v>1732</v>
      </c>
      <c r="I257" s="847"/>
    </row>
    <row r="258">
      <c r="A258" s="265"/>
      <c r="B258" s="268"/>
      <c r="C258" s="248"/>
      <c r="D258" s="331"/>
      <c r="F258" s="250"/>
      <c r="I258" s="847"/>
    </row>
    <row r="259">
      <c r="A259" s="265"/>
      <c r="B259" s="268"/>
      <c r="C259" s="252"/>
      <c r="D259" s="822"/>
      <c r="F259" s="250"/>
      <c r="I259" s="847"/>
    </row>
    <row r="260">
      <c r="A260" s="265"/>
      <c r="B260" s="268"/>
      <c r="C260" s="252"/>
      <c r="D260" s="822"/>
      <c r="F260" s="250"/>
      <c r="I260" s="847"/>
    </row>
    <row r="261">
      <c r="A261" s="265"/>
      <c r="B261" s="268"/>
      <c r="C261" s="252"/>
      <c r="D261" s="331"/>
      <c r="F261" s="250"/>
      <c r="I261" s="847"/>
    </row>
    <row r="262">
      <c r="A262" s="265"/>
      <c r="B262" s="268"/>
      <c r="C262" s="252"/>
      <c r="D262" s="331"/>
      <c r="F262" s="250"/>
      <c r="I262" s="847"/>
    </row>
    <row r="263">
      <c r="A263" s="265"/>
      <c r="B263" s="268"/>
      <c r="C263" s="252"/>
      <c r="D263" s="822"/>
      <c r="F263" s="250"/>
      <c r="I263" s="847"/>
    </row>
    <row r="264">
      <c r="A264" s="265"/>
      <c r="B264" s="268"/>
      <c r="C264" s="252"/>
      <c r="D264" s="822"/>
      <c r="F264" s="250"/>
      <c r="I264" s="847"/>
    </row>
    <row r="265">
      <c r="A265" s="265"/>
      <c r="B265" s="268"/>
      <c r="C265" s="252"/>
      <c r="D265" s="822"/>
      <c r="F265" s="250"/>
      <c r="I265" s="847"/>
    </row>
    <row r="266">
      <c r="A266" s="270"/>
      <c r="B266" s="271"/>
      <c r="C266" s="272"/>
      <c r="D266" s="823"/>
      <c r="E266" s="18"/>
      <c r="F266" s="274"/>
      <c r="G266" s="18"/>
      <c r="H266" s="18"/>
      <c r="I266" s="663"/>
    </row>
    <row r="267">
      <c r="A267" s="262" t="s">
        <v>3557</v>
      </c>
      <c r="B267" s="306"/>
      <c r="C267" s="240"/>
      <c r="D267" s="824"/>
      <c r="E267" s="242"/>
      <c r="F267" s="243">
        <v>1667.0</v>
      </c>
      <c r="G267" s="244" t="s">
        <v>708</v>
      </c>
      <c r="H267" s="244"/>
      <c r="I267" s="662"/>
    </row>
    <row r="268">
      <c r="A268" s="265"/>
      <c r="B268" s="268"/>
      <c r="C268" s="252"/>
      <c r="D268" s="822"/>
      <c r="F268" s="250">
        <v>339.0</v>
      </c>
      <c r="G268" s="2" t="s">
        <v>3558</v>
      </c>
      <c r="I268" s="847"/>
    </row>
    <row r="269">
      <c r="A269" s="265"/>
      <c r="B269" s="268"/>
      <c r="C269" s="252"/>
      <c r="D269" s="822"/>
      <c r="F269" s="250"/>
      <c r="I269" s="847"/>
    </row>
    <row r="270">
      <c r="A270" s="265"/>
      <c r="B270" s="268"/>
      <c r="C270" s="252"/>
      <c r="D270" s="822"/>
      <c r="F270" s="250">
        <v>300.0</v>
      </c>
      <c r="G270" s="2" t="s">
        <v>85</v>
      </c>
      <c r="I270" s="847"/>
    </row>
    <row r="271">
      <c r="A271" s="265"/>
      <c r="B271" s="268"/>
      <c r="C271" s="252"/>
      <c r="D271" s="822"/>
      <c r="F271" s="250">
        <v>1200.0</v>
      </c>
      <c r="G271" s="2" t="s">
        <v>3324</v>
      </c>
      <c r="I271" s="847"/>
    </row>
    <row r="272">
      <c r="A272" s="265"/>
      <c r="B272" s="268"/>
      <c r="C272" s="252"/>
      <c r="D272" s="822"/>
      <c r="F272" s="250">
        <v>400.0</v>
      </c>
      <c r="G272" s="2" t="s">
        <v>3338</v>
      </c>
      <c r="I272" s="847"/>
    </row>
    <row r="273">
      <c r="A273" s="265"/>
      <c r="B273" s="268"/>
      <c r="C273" s="248"/>
      <c r="D273" s="822"/>
      <c r="F273" s="243">
        <v>2000.0</v>
      </c>
      <c r="G273" s="244" t="s">
        <v>3362</v>
      </c>
      <c r="H273" s="263"/>
      <c r="I273" s="847"/>
    </row>
    <row r="274">
      <c r="A274" s="265"/>
      <c r="B274" s="268"/>
      <c r="C274" s="252"/>
      <c r="D274" s="822"/>
      <c r="F274" s="250"/>
      <c r="I274" s="847"/>
    </row>
    <row r="275">
      <c r="A275" s="265"/>
      <c r="B275" s="268"/>
      <c r="C275" s="252"/>
      <c r="D275" s="822"/>
      <c r="F275" s="250"/>
      <c r="I275" s="847"/>
    </row>
    <row r="276">
      <c r="A276" s="265"/>
      <c r="B276" s="268"/>
      <c r="C276" s="252"/>
      <c r="D276" s="822"/>
      <c r="F276" s="250"/>
      <c r="I276" s="847"/>
    </row>
    <row r="277">
      <c r="A277" s="265"/>
      <c r="B277" s="268"/>
      <c r="C277" s="252"/>
      <c r="D277" s="822"/>
      <c r="F277" s="250"/>
      <c r="I277" s="847"/>
    </row>
    <row r="278">
      <c r="A278" s="265"/>
      <c r="B278" s="268"/>
      <c r="C278" s="252"/>
      <c r="D278" s="822"/>
      <c r="F278" s="250"/>
      <c r="I278" s="847"/>
    </row>
    <row r="279">
      <c r="A279" s="265"/>
      <c r="B279" s="268"/>
      <c r="C279" s="252"/>
      <c r="D279" s="822"/>
      <c r="F279" s="250"/>
      <c r="I279" s="847"/>
    </row>
    <row r="280">
      <c r="A280" s="265"/>
      <c r="B280" s="268"/>
      <c r="C280" s="252"/>
      <c r="D280" s="822"/>
      <c r="F280" s="250"/>
      <c r="I280" s="847"/>
    </row>
    <row r="281">
      <c r="A281" s="270"/>
      <c r="B281" s="271"/>
      <c r="C281" s="272"/>
      <c r="D281" s="823"/>
      <c r="E281" s="18"/>
      <c r="F281" s="274"/>
      <c r="G281" s="18"/>
      <c r="H281" s="18"/>
      <c r="I281" s="663"/>
    </row>
    <row r="282">
      <c r="A282" s="262" t="s">
        <v>3559</v>
      </c>
      <c r="B282" s="306"/>
      <c r="C282" s="240"/>
      <c r="D282" s="824"/>
      <c r="E282" s="242"/>
      <c r="F282" s="250">
        <v>2975.61</v>
      </c>
      <c r="G282" s="2" t="s">
        <v>77</v>
      </c>
      <c r="I282" s="662"/>
    </row>
    <row r="283">
      <c r="A283" s="265"/>
      <c r="B283" s="268"/>
      <c r="C283" s="252"/>
      <c r="D283" s="822"/>
      <c r="F283" s="250">
        <v>3109.63</v>
      </c>
      <c r="G283" s="2" t="s">
        <v>82</v>
      </c>
      <c r="I283" s="847"/>
    </row>
    <row r="284">
      <c r="A284" s="265"/>
      <c r="B284" s="268"/>
      <c r="C284" s="252"/>
      <c r="D284" s="822"/>
      <c r="F284" s="250">
        <v>1800.0</v>
      </c>
      <c r="G284" s="2" t="s">
        <v>3130</v>
      </c>
      <c r="I284" s="847"/>
    </row>
    <row r="285">
      <c r="A285" s="265"/>
      <c r="B285" s="268"/>
      <c r="C285" s="252"/>
      <c r="D285" s="822"/>
      <c r="F285" s="250">
        <v>3095.0</v>
      </c>
      <c r="G285" s="2" t="s">
        <v>1750</v>
      </c>
      <c r="I285" s="847"/>
    </row>
    <row r="286">
      <c r="A286" s="265"/>
      <c r="B286" s="247">
        <v>14354.0</v>
      </c>
      <c r="C286" s="252"/>
      <c r="D286" s="822"/>
      <c r="F286" s="250"/>
      <c r="G286" s="2" t="s">
        <v>188</v>
      </c>
      <c r="I286" s="847"/>
    </row>
    <row r="287">
      <c r="A287" s="265"/>
      <c r="B287" s="247">
        <v>8900.0</v>
      </c>
      <c r="C287" s="252"/>
      <c r="D287" s="822"/>
      <c r="F287" s="250"/>
      <c r="G287" s="2" t="s">
        <v>131</v>
      </c>
      <c r="I287" s="847"/>
    </row>
    <row r="288">
      <c r="A288" s="265"/>
      <c r="B288" s="268"/>
      <c r="C288" s="252"/>
      <c r="D288" s="331">
        <v>30000.0</v>
      </c>
      <c r="F288" s="250"/>
      <c r="G288" s="2" t="s">
        <v>3560</v>
      </c>
      <c r="I288" s="847"/>
    </row>
    <row r="289">
      <c r="A289" s="265"/>
      <c r="B289" s="268"/>
      <c r="C289" s="252"/>
      <c r="D289" s="822"/>
      <c r="F289" s="250">
        <v>400.0</v>
      </c>
      <c r="G289" s="2" t="s">
        <v>3561</v>
      </c>
      <c r="I289" s="847"/>
    </row>
    <row r="290">
      <c r="A290" s="265"/>
      <c r="B290" s="268"/>
      <c r="C290" s="252"/>
      <c r="D290" s="822"/>
      <c r="F290" s="250"/>
      <c r="I290" s="847"/>
    </row>
    <row r="291">
      <c r="A291" s="265"/>
      <c r="B291" s="268"/>
      <c r="C291" s="252"/>
      <c r="D291" s="822"/>
      <c r="F291" s="250"/>
      <c r="I291" s="847"/>
    </row>
    <row r="292">
      <c r="A292" s="270"/>
      <c r="B292" s="271"/>
      <c r="C292" s="272"/>
      <c r="D292" s="823"/>
      <c r="E292" s="18"/>
      <c r="F292" s="274"/>
      <c r="G292" s="18"/>
      <c r="H292" s="18"/>
      <c r="I292" s="663"/>
    </row>
    <row r="293">
      <c r="A293" s="262" t="s">
        <v>3562</v>
      </c>
      <c r="B293" s="306"/>
      <c r="C293" s="240"/>
      <c r="D293" s="824"/>
      <c r="E293" s="242"/>
      <c r="F293" s="243">
        <v>200.0</v>
      </c>
      <c r="G293" s="244" t="s">
        <v>288</v>
      </c>
      <c r="H293" s="244"/>
      <c r="I293" s="662"/>
    </row>
    <row r="294">
      <c r="A294" s="265"/>
      <c r="B294" s="268"/>
      <c r="C294" s="252"/>
      <c r="D294" s="822"/>
      <c r="F294" s="250">
        <v>2690.0</v>
      </c>
      <c r="G294" s="2" t="s">
        <v>708</v>
      </c>
      <c r="I294" s="847"/>
    </row>
    <row r="295">
      <c r="A295" s="265"/>
      <c r="B295" s="268"/>
      <c r="C295" s="248"/>
      <c r="D295" s="822"/>
      <c r="F295" s="250">
        <v>131.0</v>
      </c>
      <c r="G295" s="2" t="s">
        <v>3120</v>
      </c>
      <c r="I295" s="847"/>
    </row>
    <row r="296">
      <c r="A296" s="265"/>
      <c r="B296" s="268"/>
      <c r="C296" s="252"/>
      <c r="D296" s="822"/>
      <c r="F296" s="250">
        <v>220.0</v>
      </c>
      <c r="G296" s="2" t="s">
        <v>68</v>
      </c>
      <c r="I296" s="847"/>
    </row>
    <row r="297">
      <c r="A297" s="265"/>
      <c r="B297" s="268"/>
      <c r="C297" s="252"/>
      <c r="D297" s="822"/>
      <c r="F297" s="250">
        <v>6000.0</v>
      </c>
      <c r="G297" s="2" t="s">
        <v>87</v>
      </c>
      <c r="I297" s="847"/>
    </row>
    <row r="298">
      <c r="A298" s="265"/>
      <c r="B298" s="268"/>
      <c r="C298" s="252"/>
      <c r="D298" s="822"/>
      <c r="F298" s="250"/>
      <c r="I298" s="847"/>
    </row>
    <row r="299">
      <c r="A299" s="265"/>
      <c r="B299" s="268"/>
      <c r="C299" s="252"/>
      <c r="D299" s="822"/>
      <c r="F299" s="250"/>
      <c r="I299" s="847"/>
    </row>
    <row r="300">
      <c r="A300" s="265"/>
      <c r="B300" s="268"/>
      <c r="C300" s="252"/>
      <c r="D300" s="822"/>
      <c r="F300" s="250"/>
      <c r="I300" s="847"/>
    </row>
    <row r="301">
      <c r="A301" s="265"/>
      <c r="B301" s="268"/>
      <c r="C301" s="252"/>
      <c r="D301" s="822"/>
      <c r="F301" s="250"/>
      <c r="I301" s="847"/>
    </row>
    <row r="302">
      <c r="A302" s="265"/>
      <c r="B302" s="268"/>
      <c r="C302" s="252"/>
      <c r="D302" s="822"/>
      <c r="F302" s="250"/>
      <c r="I302" s="847"/>
    </row>
    <row r="303">
      <c r="A303" s="270"/>
      <c r="B303" s="271"/>
      <c r="C303" s="272"/>
      <c r="D303" s="823"/>
      <c r="E303" s="18"/>
      <c r="F303" s="274">
        <f>SUM(F293:F302)</f>
        <v>9241</v>
      </c>
      <c r="G303" s="18"/>
      <c r="H303" s="18"/>
      <c r="I303" s="663"/>
    </row>
    <row r="304">
      <c r="A304" s="262" t="s">
        <v>3458</v>
      </c>
      <c r="B304" s="306"/>
      <c r="C304" s="240"/>
      <c r="D304" s="824"/>
      <c r="E304" s="242"/>
      <c r="F304" s="243">
        <v>700.0</v>
      </c>
      <c r="G304" s="244" t="s">
        <v>3459</v>
      </c>
      <c r="H304" s="263"/>
      <c r="I304" s="662"/>
    </row>
    <row r="305">
      <c r="A305" s="265"/>
      <c r="B305" s="268"/>
      <c r="C305" s="252"/>
      <c r="D305" s="822"/>
      <c r="F305" s="250">
        <v>16000.0</v>
      </c>
      <c r="G305" s="2" t="s">
        <v>3460</v>
      </c>
      <c r="H305" s="252"/>
      <c r="I305" s="847"/>
    </row>
    <row r="306">
      <c r="A306" s="265"/>
      <c r="B306" s="268"/>
      <c r="C306" s="252"/>
      <c r="D306" s="822"/>
      <c r="F306" s="250">
        <f>328+500+500+329+780+500+83+1797</f>
        <v>4817</v>
      </c>
      <c r="G306" s="2" t="s">
        <v>2708</v>
      </c>
      <c r="H306" s="252"/>
      <c r="I306" s="847"/>
    </row>
    <row r="307">
      <c r="A307" s="265"/>
      <c r="B307" s="268"/>
      <c r="C307" s="252"/>
      <c r="D307" s="822"/>
      <c r="F307" s="250">
        <v>9000.0</v>
      </c>
      <c r="G307" s="2" t="s">
        <v>3461</v>
      </c>
      <c r="I307" s="847"/>
    </row>
    <row r="308">
      <c r="A308" s="265"/>
      <c r="B308" s="268"/>
      <c r="C308" s="252"/>
      <c r="D308" s="822"/>
      <c r="F308" s="250">
        <f>24490+1550</f>
        <v>26040</v>
      </c>
      <c r="G308" s="2" t="s">
        <v>3460</v>
      </c>
      <c r="I308" s="847"/>
    </row>
    <row r="309">
      <c r="A309" s="265"/>
      <c r="B309" s="268"/>
      <c r="C309" s="252"/>
      <c r="D309" s="822"/>
      <c r="F309" s="250">
        <v>700.0</v>
      </c>
      <c r="G309" s="2" t="s">
        <v>3462</v>
      </c>
      <c r="I309" s="847"/>
    </row>
    <row r="310">
      <c r="A310" s="265"/>
      <c r="B310" s="268"/>
      <c r="C310" s="252"/>
      <c r="D310" s="822"/>
      <c r="F310" s="250">
        <v>9000.0</v>
      </c>
      <c r="G310" s="2" t="s">
        <v>3463</v>
      </c>
      <c r="H310" s="318"/>
      <c r="I310" s="847"/>
    </row>
    <row r="311">
      <c r="A311" s="265"/>
      <c r="B311" s="268"/>
      <c r="C311" s="252"/>
      <c r="D311" s="822"/>
      <c r="F311" s="250">
        <v>7628.0</v>
      </c>
      <c r="G311" s="2" t="s">
        <v>3464</v>
      </c>
      <c r="I311" s="847"/>
    </row>
    <row r="312">
      <c r="A312" s="265"/>
      <c r="B312" s="268"/>
      <c r="C312" s="252"/>
      <c r="D312" s="822"/>
      <c r="F312" s="250">
        <v>16893.0</v>
      </c>
      <c r="G312" s="2" t="s">
        <v>3465</v>
      </c>
      <c r="I312" s="847"/>
    </row>
    <row r="313">
      <c r="A313" s="265"/>
      <c r="B313" s="268"/>
      <c r="C313" s="252"/>
      <c r="D313" s="822"/>
      <c r="F313" s="250">
        <v>390.0</v>
      </c>
      <c r="G313" s="2" t="s">
        <v>3466</v>
      </c>
      <c r="I313" s="847"/>
    </row>
    <row r="314">
      <c r="A314" s="265"/>
      <c r="B314" s="268"/>
      <c r="C314" s="252"/>
      <c r="D314" s="822"/>
      <c r="F314" s="250">
        <v>10000.0</v>
      </c>
      <c r="G314" s="2" t="s">
        <v>3467</v>
      </c>
      <c r="I314" s="847"/>
    </row>
    <row r="315">
      <c r="A315" s="265"/>
      <c r="B315" s="268"/>
      <c r="C315" s="252"/>
      <c r="D315" s="822"/>
      <c r="F315" s="250"/>
      <c r="I315" s="847"/>
    </row>
    <row r="316">
      <c r="A316" s="265"/>
      <c r="B316" s="268"/>
      <c r="C316" s="252"/>
      <c r="D316" s="822"/>
      <c r="F316" s="250"/>
      <c r="I316" s="847"/>
    </row>
    <row r="317">
      <c r="A317" s="265"/>
      <c r="B317" s="268"/>
      <c r="C317" s="252"/>
      <c r="D317" s="822"/>
      <c r="F317" s="250"/>
      <c r="I317" s="847"/>
    </row>
    <row r="318">
      <c r="A318" s="265"/>
      <c r="B318" s="268"/>
      <c r="C318" s="252"/>
      <c r="D318" s="822"/>
      <c r="F318" s="250">
        <v>162000.0</v>
      </c>
      <c r="G318" s="2" t="s">
        <v>3478</v>
      </c>
      <c r="I318" s="847"/>
    </row>
    <row r="319">
      <c r="A319" s="270"/>
      <c r="B319" s="271"/>
      <c r="C319" s="272"/>
      <c r="D319" s="823"/>
      <c r="E319" s="18"/>
      <c r="F319" s="274"/>
      <c r="G319" s="18"/>
      <c r="H319" s="18"/>
      <c r="I319" s="663"/>
    </row>
    <row r="320">
      <c r="A320" s="305"/>
      <c r="B320" s="306"/>
      <c r="C320" s="240"/>
      <c r="D320" s="824"/>
      <c r="E320" s="242"/>
      <c r="F320" s="243">
        <f>SUM(F304:F319)</f>
        <v>263168</v>
      </c>
      <c r="H320" s="252"/>
      <c r="I320" s="662"/>
    </row>
    <row r="321">
      <c r="A321" s="265"/>
      <c r="B321" s="268"/>
      <c r="C321" s="248"/>
      <c r="D321" s="822"/>
      <c r="F321" s="250"/>
      <c r="H321" s="252"/>
      <c r="I321" s="847"/>
    </row>
    <row r="322">
      <c r="A322" s="265"/>
      <c r="B322" s="268"/>
      <c r="C322" s="248"/>
      <c r="D322" s="822"/>
      <c r="F322" s="250"/>
      <c r="H322" s="252"/>
      <c r="I322" s="847"/>
    </row>
    <row r="323">
      <c r="A323" s="265"/>
      <c r="B323" s="268"/>
      <c r="C323" s="252"/>
      <c r="D323" s="822"/>
      <c r="F323" s="250"/>
      <c r="I323" s="847"/>
    </row>
    <row r="324">
      <c r="A324" s="265"/>
      <c r="B324" s="268"/>
      <c r="C324" s="252"/>
      <c r="D324" s="822"/>
      <c r="F324" s="250"/>
      <c r="I324" s="847"/>
    </row>
    <row r="325">
      <c r="A325" s="265"/>
      <c r="B325" s="268"/>
      <c r="C325" s="252"/>
      <c r="D325" s="822"/>
      <c r="F325" s="250"/>
      <c r="I325" s="847"/>
    </row>
    <row r="326">
      <c r="A326" s="265"/>
      <c r="B326" s="268"/>
      <c r="C326" s="252"/>
      <c r="D326" s="822"/>
      <c r="F326" s="250"/>
      <c r="I326" s="847"/>
    </row>
    <row r="327">
      <c r="A327" s="265"/>
      <c r="B327" s="268"/>
      <c r="C327" s="252"/>
      <c r="D327" s="822"/>
      <c r="F327" s="250"/>
      <c r="I327" s="847"/>
    </row>
    <row r="328">
      <c r="A328" s="265"/>
      <c r="B328" s="268"/>
      <c r="C328" s="252"/>
      <c r="D328" s="822"/>
      <c r="F328" s="250"/>
      <c r="I328" s="847"/>
    </row>
    <row r="329">
      <c r="A329" s="265"/>
      <c r="B329" s="268"/>
      <c r="C329" s="252"/>
      <c r="D329" s="822"/>
      <c r="F329" s="250"/>
      <c r="I329" s="847"/>
    </row>
    <row r="330">
      <c r="A330" s="270"/>
      <c r="B330" s="271"/>
      <c r="C330" s="272"/>
      <c r="D330" s="823"/>
      <c r="E330" s="18"/>
      <c r="F330" s="274"/>
      <c r="G330" s="18"/>
      <c r="H330" s="18"/>
      <c r="I330" s="663"/>
    </row>
    <row r="331">
      <c r="A331" s="305"/>
      <c r="B331" s="306"/>
      <c r="C331" s="240"/>
      <c r="D331" s="824"/>
      <c r="E331" s="242"/>
      <c r="F331" s="243"/>
      <c r="G331" s="244"/>
      <c r="H331" s="244"/>
      <c r="I331" s="662"/>
    </row>
    <row r="332">
      <c r="A332" s="265"/>
      <c r="B332" s="268"/>
      <c r="C332" s="248"/>
      <c r="D332" s="331"/>
      <c r="F332" s="250"/>
      <c r="I332" s="847"/>
    </row>
    <row r="333">
      <c r="A333" s="265"/>
      <c r="B333" s="268"/>
      <c r="C333" s="252"/>
      <c r="D333" s="331"/>
      <c r="F333" s="250"/>
      <c r="I333" s="847"/>
    </row>
    <row r="334">
      <c r="A334" s="265"/>
      <c r="B334" s="268"/>
      <c r="C334" s="252"/>
      <c r="D334" s="822"/>
      <c r="F334" s="250"/>
      <c r="I334" s="847"/>
    </row>
    <row r="335">
      <c r="A335" s="265"/>
      <c r="B335" s="268"/>
      <c r="C335" s="248"/>
      <c r="D335" s="331"/>
      <c r="F335" s="250"/>
      <c r="I335" s="847"/>
    </row>
    <row r="336">
      <c r="A336" s="265"/>
      <c r="B336" s="268"/>
      <c r="C336" s="252"/>
      <c r="D336" s="331"/>
      <c r="F336" s="250"/>
      <c r="I336" s="847"/>
    </row>
    <row r="337">
      <c r="A337" s="265"/>
      <c r="B337" s="268"/>
      <c r="C337" s="252"/>
      <c r="D337" s="822"/>
      <c r="F337" s="250"/>
      <c r="I337" s="847"/>
    </row>
    <row r="338">
      <c r="A338" s="265"/>
      <c r="B338" s="268"/>
      <c r="C338" s="252"/>
      <c r="D338" s="331"/>
      <c r="F338" s="250"/>
      <c r="I338" s="847"/>
    </row>
    <row r="339">
      <c r="A339" s="265"/>
      <c r="B339" s="268"/>
      <c r="C339" s="252"/>
      <c r="D339" s="822"/>
      <c r="F339" s="250"/>
      <c r="I339" s="847"/>
    </row>
    <row r="340">
      <c r="A340" s="265"/>
      <c r="B340" s="268"/>
      <c r="C340" s="252"/>
      <c r="D340" s="822"/>
      <c r="F340" s="250"/>
      <c r="I340" s="847"/>
    </row>
    <row r="341">
      <c r="A341" s="265"/>
      <c r="B341" s="268"/>
      <c r="C341" s="252"/>
      <c r="D341" s="331"/>
      <c r="F341" s="250"/>
      <c r="I341" s="847"/>
    </row>
    <row r="342">
      <c r="A342" s="265"/>
      <c r="B342" s="268"/>
      <c r="C342" s="252"/>
      <c r="D342" s="822"/>
      <c r="F342" s="250"/>
      <c r="I342" s="847"/>
    </row>
    <row r="343">
      <c r="A343" s="270"/>
      <c r="B343" s="271"/>
      <c r="C343" s="272"/>
      <c r="D343" s="823"/>
      <c r="E343" s="18"/>
      <c r="F343" s="274"/>
      <c r="G343" s="18"/>
      <c r="H343" s="18"/>
      <c r="I343" s="663"/>
    </row>
    <row r="344">
      <c r="A344" s="305"/>
      <c r="B344" s="306"/>
      <c r="C344" s="240"/>
      <c r="D344" s="824"/>
      <c r="E344" s="242"/>
      <c r="F344" s="243"/>
      <c r="G344" s="244"/>
      <c r="H344" s="244"/>
      <c r="I344" s="662"/>
    </row>
    <row r="345">
      <c r="A345" s="265"/>
      <c r="B345" s="268"/>
      <c r="C345" s="248"/>
      <c r="D345" s="331"/>
      <c r="F345" s="250"/>
      <c r="I345" s="847"/>
    </row>
    <row r="346">
      <c r="A346" s="265"/>
      <c r="B346" s="268"/>
      <c r="C346" s="252"/>
      <c r="D346" s="822"/>
      <c r="F346" s="250"/>
      <c r="I346" s="847"/>
    </row>
    <row r="347">
      <c r="A347" s="265"/>
      <c r="B347" s="268"/>
      <c r="C347" s="252"/>
      <c r="D347" s="822"/>
      <c r="F347" s="250"/>
      <c r="I347" s="847"/>
    </row>
    <row r="348">
      <c r="A348" s="265"/>
      <c r="B348" s="268"/>
      <c r="C348" s="252"/>
      <c r="D348" s="331"/>
      <c r="F348" s="250"/>
      <c r="I348" s="847"/>
    </row>
    <row r="349">
      <c r="A349" s="265"/>
      <c r="B349" s="268"/>
      <c r="C349" s="252"/>
      <c r="D349" s="822"/>
      <c r="F349" s="250"/>
      <c r="H349" s="252"/>
      <c r="I349" s="847"/>
    </row>
    <row r="350">
      <c r="A350" s="265"/>
      <c r="B350" s="268"/>
      <c r="C350" s="252"/>
      <c r="D350" s="822"/>
      <c r="F350" s="250"/>
      <c r="I350" s="847"/>
    </row>
    <row r="351">
      <c r="A351" s="265"/>
      <c r="B351" s="268"/>
      <c r="C351" s="252"/>
      <c r="D351" s="822"/>
      <c r="F351" s="250"/>
      <c r="I351" s="847"/>
    </row>
    <row r="352">
      <c r="A352" s="265"/>
      <c r="B352" s="268"/>
      <c r="C352" s="252"/>
      <c r="D352" s="822"/>
      <c r="F352" s="250"/>
      <c r="I352" s="847"/>
    </row>
    <row r="353">
      <c r="A353" s="265"/>
      <c r="B353" s="278"/>
      <c r="C353" s="252"/>
      <c r="D353" s="822"/>
      <c r="F353" s="282"/>
      <c r="I353" s="847"/>
    </row>
    <row r="354">
      <c r="A354" s="265"/>
      <c r="B354" s="278"/>
      <c r="C354" s="252"/>
      <c r="D354" s="822"/>
      <c r="F354" s="282"/>
      <c r="I354" s="847"/>
    </row>
    <row r="355">
      <c r="A355" s="270"/>
      <c r="B355" s="271"/>
      <c r="C355" s="272"/>
      <c r="D355" s="823"/>
      <c r="E355" s="18"/>
      <c r="F355" s="274"/>
      <c r="G355" s="18"/>
      <c r="H355" s="18"/>
      <c r="I355" s="663"/>
    </row>
    <row r="356">
      <c r="A356" s="305"/>
      <c r="B356" s="306"/>
      <c r="C356" s="240"/>
      <c r="D356" s="824"/>
      <c r="E356" s="242"/>
      <c r="F356" s="243"/>
      <c r="G356" s="244"/>
      <c r="H356" s="244"/>
      <c r="I356" s="662"/>
    </row>
    <row r="357">
      <c r="A357" s="265"/>
      <c r="B357" s="268"/>
      <c r="C357" s="252"/>
      <c r="D357" s="331"/>
      <c r="F357" s="250"/>
      <c r="I357" s="847"/>
    </row>
    <row r="358">
      <c r="A358" s="265"/>
      <c r="B358" s="268"/>
      <c r="C358" s="252"/>
      <c r="D358" s="822"/>
      <c r="F358" s="250"/>
      <c r="I358" s="847"/>
    </row>
    <row r="359">
      <c r="A359" s="265"/>
      <c r="B359" s="268"/>
      <c r="C359" s="252"/>
      <c r="D359" s="331"/>
      <c r="F359" s="250"/>
      <c r="I359" s="847"/>
    </row>
    <row r="360">
      <c r="A360" s="265"/>
      <c r="B360" s="268"/>
      <c r="C360" s="252"/>
      <c r="D360" s="822"/>
      <c r="F360" s="250"/>
      <c r="I360" s="847"/>
    </row>
    <row r="361">
      <c r="A361" s="265"/>
      <c r="B361" s="268"/>
      <c r="C361" s="252"/>
      <c r="D361" s="331"/>
      <c r="F361" s="250"/>
      <c r="I361" s="847"/>
    </row>
    <row r="362">
      <c r="A362" s="265"/>
      <c r="B362" s="268"/>
      <c r="C362" s="252"/>
      <c r="D362" s="822"/>
      <c r="F362" s="250"/>
      <c r="I362" s="847"/>
    </row>
    <row r="363">
      <c r="A363" s="265"/>
      <c r="B363" s="268"/>
      <c r="C363" s="252"/>
      <c r="D363" s="822"/>
      <c r="F363" s="250"/>
      <c r="I363" s="847"/>
    </row>
    <row r="364">
      <c r="A364" s="265"/>
      <c r="B364" s="268"/>
      <c r="C364" s="252"/>
      <c r="D364" s="822"/>
      <c r="F364" s="250"/>
      <c r="I364" s="847"/>
    </row>
    <row r="365">
      <c r="A365" s="265"/>
      <c r="B365" s="268"/>
      <c r="C365" s="252"/>
      <c r="D365" s="822"/>
      <c r="F365" s="250"/>
      <c r="I365" s="847"/>
    </row>
    <row r="366">
      <c r="A366" s="265"/>
      <c r="B366" s="268"/>
      <c r="C366" s="252"/>
      <c r="D366" s="822"/>
      <c r="F366" s="250"/>
      <c r="I366" s="847"/>
    </row>
    <row r="367">
      <c r="A367" s="270"/>
      <c r="B367" s="271"/>
      <c r="C367" s="272"/>
      <c r="D367" s="823"/>
      <c r="E367" s="18"/>
      <c r="F367" s="274"/>
      <c r="G367" s="18"/>
      <c r="H367" s="18"/>
      <c r="I367" s="663"/>
    </row>
    <row r="368">
      <c r="A368" s="305"/>
      <c r="B368" s="306"/>
      <c r="C368" s="240"/>
      <c r="D368" s="824"/>
      <c r="E368" s="242"/>
      <c r="F368" s="243"/>
      <c r="G368" s="244"/>
      <c r="H368" s="244"/>
      <c r="I368" s="662"/>
    </row>
    <row r="369">
      <c r="A369" s="265"/>
      <c r="B369" s="268"/>
      <c r="C369" s="252"/>
      <c r="D369" s="822"/>
      <c r="F369" s="250"/>
      <c r="H369" s="252"/>
      <c r="I369" s="847"/>
    </row>
    <row r="370">
      <c r="A370" s="265"/>
      <c r="B370" s="268"/>
      <c r="C370" s="252"/>
      <c r="D370" s="822"/>
      <c r="F370" s="250"/>
      <c r="H370" s="252"/>
      <c r="I370" s="847"/>
    </row>
    <row r="371">
      <c r="A371" s="265"/>
      <c r="B371" s="268"/>
      <c r="C371" s="252"/>
      <c r="D371" s="822"/>
      <c r="F371" s="250"/>
      <c r="H371" s="252"/>
      <c r="I371" s="847"/>
    </row>
    <row r="372">
      <c r="A372" s="265"/>
      <c r="B372" s="268"/>
      <c r="C372" s="252"/>
      <c r="D372" s="822"/>
      <c r="F372" s="250"/>
      <c r="H372" s="252"/>
      <c r="I372" s="847"/>
    </row>
    <row r="373">
      <c r="A373" s="265"/>
      <c r="B373" s="268"/>
      <c r="C373" s="252"/>
      <c r="D373" s="822"/>
      <c r="F373" s="250"/>
      <c r="I373" s="847"/>
    </row>
    <row r="374">
      <c r="A374" s="265"/>
      <c r="B374" s="268"/>
      <c r="C374" s="252"/>
      <c r="D374" s="822"/>
      <c r="F374" s="250"/>
      <c r="I374" s="847"/>
    </row>
    <row r="375">
      <c r="A375" s="265"/>
      <c r="B375" s="268"/>
      <c r="C375" s="252"/>
      <c r="D375" s="822"/>
      <c r="F375" s="250"/>
      <c r="I375" s="847"/>
    </row>
    <row r="376">
      <c r="A376" s="265"/>
      <c r="B376" s="268"/>
      <c r="C376" s="252"/>
      <c r="D376" s="822"/>
      <c r="F376" s="250"/>
      <c r="I376" s="847"/>
    </row>
    <row r="377">
      <c r="A377" s="270"/>
      <c r="B377" s="271"/>
      <c r="C377" s="272"/>
      <c r="D377" s="823"/>
      <c r="E377" s="18"/>
      <c r="F377" s="274"/>
      <c r="G377" s="18"/>
      <c r="H377" s="18"/>
      <c r="I377" s="663"/>
    </row>
    <row r="378">
      <c r="A378" s="305"/>
      <c r="B378" s="306"/>
      <c r="C378" s="240"/>
      <c r="D378" s="824"/>
      <c r="E378" s="242"/>
      <c r="F378" s="243"/>
      <c r="G378" s="244"/>
      <c r="H378" s="244"/>
      <c r="I378" s="662"/>
    </row>
    <row r="379">
      <c r="A379" s="265"/>
      <c r="B379" s="268"/>
      <c r="C379" s="252"/>
      <c r="D379" s="822"/>
      <c r="F379" s="250"/>
      <c r="I379" s="847"/>
    </row>
    <row r="380">
      <c r="A380" s="265"/>
      <c r="B380" s="268"/>
      <c r="C380" s="252"/>
      <c r="D380" s="822"/>
      <c r="F380" s="250"/>
      <c r="I380" s="847"/>
    </row>
    <row r="381">
      <c r="A381" s="265"/>
      <c r="B381" s="268"/>
      <c r="C381" s="252"/>
      <c r="D381" s="822"/>
      <c r="F381" s="250"/>
      <c r="I381" s="847"/>
    </row>
    <row r="382">
      <c r="A382" s="265"/>
      <c r="B382" s="268"/>
      <c r="C382" s="252"/>
      <c r="D382" s="822"/>
      <c r="F382" s="250"/>
      <c r="I382" s="847"/>
    </row>
    <row r="383">
      <c r="A383" s="265"/>
      <c r="B383" s="268"/>
      <c r="C383" s="252"/>
      <c r="D383" s="822"/>
      <c r="F383" s="250"/>
      <c r="I383" s="847"/>
    </row>
    <row r="384">
      <c r="A384" s="265"/>
      <c r="B384" s="268"/>
      <c r="C384" s="252"/>
      <c r="D384" s="822"/>
      <c r="F384" s="250"/>
      <c r="I384" s="847"/>
    </row>
    <row r="385">
      <c r="A385" s="265"/>
      <c r="B385" s="268"/>
      <c r="C385" s="252"/>
      <c r="D385" s="822"/>
      <c r="F385" s="250"/>
      <c r="I385" s="847"/>
    </row>
    <row r="386">
      <c r="A386" s="265"/>
      <c r="B386" s="268"/>
      <c r="C386" s="252"/>
      <c r="D386" s="822"/>
      <c r="F386" s="250"/>
      <c r="I386" s="847"/>
    </row>
    <row r="387">
      <c r="A387" s="270"/>
      <c r="B387" s="271"/>
      <c r="C387" s="272"/>
      <c r="D387" s="823"/>
      <c r="E387" s="18"/>
      <c r="F387" s="274"/>
      <c r="G387" s="18"/>
      <c r="H387" s="18"/>
      <c r="I387" s="663"/>
    </row>
    <row r="388">
      <c r="B388" s="306"/>
      <c r="C388" s="240"/>
      <c r="D388" s="824"/>
      <c r="E388" s="242"/>
      <c r="F388" s="243"/>
      <c r="G388" s="244"/>
      <c r="H388" s="244"/>
      <c r="I388" s="662"/>
    </row>
    <row r="389">
      <c r="B389" s="268"/>
      <c r="C389" s="252"/>
      <c r="D389" s="822"/>
      <c r="F389" s="250"/>
      <c r="I389" s="847"/>
    </row>
    <row r="390">
      <c r="B390" s="268"/>
      <c r="C390" s="252"/>
      <c r="D390" s="822"/>
      <c r="F390" s="250"/>
      <c r="I390" s="847"/>
    </row>
    <row r="391">
      <c r="B391" s="308"/>
      <c r="C391" s="252"/>
      <c r="D391" s="822"/>
      <c r="F391" s="309"/>
    </row>
    <row r="392">
      <c r="B392" s="308"/>
      <c r="C392" s="252"/>
      <c r="D392" s="822"/>
      <c r="F392" s="309"/>
    </row>
    <row r="393">
      <c r="B393" s="308"/>
      <c r="C393" s="252"/>
      <c r="D393" s="822"/>
      <c r="F393" s="309"/>
    </row>
    <row r="394">
      <c r="B394" s="308"/>
      <c r="C394" s="252"/>
      <c r="D394" s="822"/>
      <c r="F394" s="309"/>
    </row>
    <row r="395">
      <c r="B395" s="308"/>
      <c r="C395" s="252"/>
      <c r="D395" s="822"/>
      <c r="F395" s="309"/>
    </row>
    <row r="396">
      <c r="B396" s="308"/>
      <c r="C396" s="252"/>
      <c r="D396" s="822"/>
      <c r="F396" s="309"/>
    </row>
    <row r="397">
      <c r="B397" s="308"/>
      <c r="C397" s="252"/>
      <c r="D397" s="822"/>
      <c r="F397" s="309"/>
    </row>
    <row r="398">
      <c r="B398" s="308"/>
      <c r="C398" s="252"/>
      <c r="D398" s="822"/>
      <c r="F398" s="309"/>
    </row>
    <row r="399">
      <c r="B399" s="308"/>
      <c r="C399" s="252"/>
      <c r="D399" s="822"/>
      <c r="F399" s="309"/>
    </row>
    <row r="400">
      <c r="B400" s="308"/>
      <c r="C400" s="252"/>
      <c r="D400" s="822"/>
      <c r="F400" s="309"/>
    </row>
    <row r="401">
      <c r="B401" s="308"/>
      <c r="C401" s="252"/>
      <c r="D401" s="822"/>
      <c r="F401" s="309"/>
    </row>
    <row r="402">
      <c r="B402" s="308"/>
      <c r="C402" s="252"/>
      <c r="D402" s="822"/>
      <c r="F402" s="309"/>
    </row>
    <row r="403">
      <c r="B403" s="308"/>
      <c r="C403" s="252"/>
      <c r="D403" s="822"/>
      <c r="F403" s="309"/>
    </row>
    <row r="404">
      <c r="B404" s="308"/>
      <c r="C404" s="252"/>
      <c r="D404" s="822"/>
      <c r="F404" s="309"/>
    </row>
    <row r="405">
      <c r="B405" s="308"/>
      <c r="C405" s="252"/>
      <c r="D405" s="822"/>
      <c r="F405" s="309"/>
    </row>
    <row r="406">
      <c r="B406" s="308"/>
      <c r="C406" s="252"/>
      <c r="D406" s="822"/>
      <c r="F406" s="309"/>
    </row>
    <row r="407">
      <c r="B407" s="308"/>
      <c r="C407" s="252"/>
      <c r="D407" s="822"/>
      <c r="F407" s="309"/>
    </row>
    <row r="408">
      <c r="B408" s="308"/>
      <c r="C408" s="252"/>
      <c r="D408" s="822"/>
      <c r="F408" s="309"/>
    </row>
    <row r="409">
      <c r="B409" s="308"/>
      <c r="C409" s="252"/>
      <c r="D409" s="822"/>
      <c r="F409" s="309"/>
    </row>
    <row r="410">
      <c r="B410" s="308"/>
      <c r="C410" s="252"/>
      <c r="D410" s="822"/>
      <c r="F410" s="309"/>
    </row>
    <row r="411">
      <c r="B411" s="308"/>
      <c r="C411" s="252"/>
      <c r="D411" s="822"/>
      <c r="F411" s="309"/>
    </row>
    <row r="412">
      <c r="B412" s="308"/>
      <c r="C412" s="252"/>
      <c r="D412" s="822"/>
      <c r="F412" s="309"/>
    </row>
    <row r="413">
      <c r="B413" s="308"/>
      <c r="C413" s="252"/>
      <c r="D413" s="822"/>
      <c r="F413" s="309"/>
    </row>
    <row r="414">
      <c r="B414" s="308"/>
      <c r="C414" s="252"/>
      <c r="D414" s="822"/>
      <c r="F414" s="309"/>
    </row>
    <row r="415">
      <c r="B415" s="308"/>
      <c r="C415" s="252"/>
      <c r="D415" s="822"/>
      <c r="F415" s="309"/>
    </row>
    <row r="416">
      <c r="B416" s="308"/>
      <c r="C416" s="252"/>
      <c r="D416" s="822"/>
      <c r="F416" s="309"/>
    </row>
    <row r="417">
      <c r="B417" s="308"/>
      <c r="C417" s="252"/>
      <c r="D417" s="822"/>
      <c r="F417" s="309"/>
    </row>
    <row r="418">
      <c r="B418" s="308"/>
      <c r="C418" s="252"/>
      <c r="D418" s="822"/>
      <c r="F418" s="309"/>
    </row>
    <row r="419">
      <c r="B419" s="308"/>
      <c r="C419" s="252"/>
      <c r="D419" s="822"/>
      <c r="F419" s="309"/>
    </row>
    <row r="420">
      <c r="B420" s="308"/>
      <c r="C420" s="252"/>
      <c r="D420" s="822"/>
      <c r="F420" s="309"/>
    </row>
    <row r="421">
      <c r="B421" s="308"/>
      <c r="C421" s="252"/>
      <c r="D421" s="822"/>
      <c r="F421" s="309"/>
    </row>
    <row r="422">
      <c r="B422" s="308"/>
      <c r="C422" s="252"/>
      <c r="D422" s="822"/>
      <c r="F422" s="309"/>
    </row>
    <row r="423">
      <c r="B423" s="308"/>
      <c r="C423" s="252"/>
      <c r="D423" s="822"/>
      <c r="F423" s="309"/>
    </row>
    <row r="424">
      <c r="B424" s="308"/>
      <c r="C424" s="252"/>
      <c r="D424" s="822"/>
      <c r="F424" s="309"/>
    </row>
    <row r="425">
      <c r="B425" s="308"/>
      <c r="C425" s="252"/>
      <c r="D425" s="822"/>
      <c r="F425" s="309"/>
    </row>
    <row r="426">
      <c r="B426" s="308"/>
      <c r="C426" s="252"/>
      <c r="D426" s="822"/>
      <c r="F426" s="309"/>
    </row>
    <row r="427">
      <c r="B427" s="308"/>
      <c r="C427" s="252"/>
      <c r="D427" s="822"/>
      <c r="F427" s="309"/>
    </row>
    <row r="428">
      <c r="B428" s="308"/>
      <c r="C428" s="252"/>
      <c r="D428" s="822"/>
      <c r="F428" s="309"/>
    </row>
    <row r="429">
      <c r="B429" s="308"/>
      <c r="C429" s="252"/>
      <c r="D429" s="822"/>
      <c r="F429" s="309"/>
    </row>
    <row r="430">
      <c r="B430" s="308"/>
      <c r="C430" s="252"/>
      <c r="D430" s="822"/>
      <c r="F430" s="309"/>
    </row>
    <row r="431">
      <c r="B431" s="308"/>
      <c r="C431" s="252"/>
      <c r="D431" s="822"/>
      <c r="F431" s="309"/>
    </row>
    <row r="432">
      <c r="B432" s="308"/>
      <c r="C432" s="252"/>
      <c r="D432" s="822"/>
      <c r="F432" s="309"/>
    </row>
    <row r="433">
      <c r="B433" s="308"/>
      <c r="C433" s="252"/>
      <c r="D433" s="822"/>
      <c r="F433" s="309"/>
    </row>
    <row r="434">
      <c r="B434" s="308"/>
      <c r="C434" s="252"/>
      <c r="D434" s="822"/>
      <c r="F434" s="309"/>
    </row>
    <row r="435">
      <c r="B435" s="308"/>
      <c r="C435" s="252"/>
      <c r="D435" s="822"/>
      <c r="F435" s="309"/>
    </row>
    <row r="436">
      <c r="B436" s="308"/>
      <c r="C436" s="252"/>
      <c r="D436" s="822"/>
      <c r="F436" s="309"/>
    </row>
    <row r="437">
      <c r="B437" s="308"/>
      <c r="C437" s="252"/>
      <c r="D437" s="822"/>
      <c r="F437" s="309"/>
    </row>
    <row r="438">
      <c r="B438" s="308"/>
      <c r="C438" s="252"/>
      <c r="D438" s="822"/>
      <c r="F438" s="309"/>
    </row>
    <row r="439">
      <c r="B439" s="308"/>
      <c r="C439" s="252"/>
      <c r="D439" s="822"/>
      <c r="F439" s="309"/>
    </row>
    <row r="440">
      <c r="B440" s="308"/>
      <c r="C440" s="252"/>
      <c r="D440" s="822"/>
      <c r="F440" s="309"/>
    </row>
    <row r="441">
      <c r="B441" s="308"/>
      <c r="C441" s="252"/>
      <c r="D441" s="822"/>
      <c r="F441" s="309"/>
    </row>
    <row r="442">
      <c r="B442" s="308"/>
      <c r="C442" s="252"/>
      <c r="D442" s="822"/>
      <c r="F442" s="309"/>
    </row>
    <row r="443">
      <c r="B443" s="308"/>
      <c r="C443" s="252"/>
      <c r="D443" s="822"/>
      <c r="F443" s="309"/>
    </row>
    <row r="444">
      <c r="B444" s="308"/>
      <c r="C444" s="252"/>
      <c r="D444" s="822"/>
      <c r="F444" s="309"/>
    </row>
    <row r="445">
      <c r="B445" s="308"/>
      <c r="C445" s="252"/>
      <c r="D445" s="822"/>
      <c r="F445" s="309"/>
    </row>
    <row r="446">
      <c r="B446" s="308"/>
      <c r="C446" s="252"/>
      <c r="D446" s="822"/>
      <c r="F446" s="309"/>
    </row>
    <row r="447">
      <c r="B447" s="308"/>
      <c r="C447" s="252"/>
      <c r="D447" s="822"/>
      <c r="F447" s="309"/>
    </row>
    <row r="448">
      <c r="B448" s="308"/>
      <c r="C448" s="252"/>
      <c r="D448" s="822"/>
      <c r="F448" s="309"/>
    </row>
    <row r="449">
      <c r="B449" s="308"/>
      <c r="C449" s="252"/>
      <c r="D449" s="822"/>
      <c r="F449" s="309"/>
    </row>
    <row r="450">
      <c r="B450" s="308"/>
      <c r="C450" s="252"/>
      <c r="D450" s="822"/>
      <c r="F450" s="309"/>
    </row>
    <row r="451">
      <c r="B451" s="308"/>
      <c r="C451" s="252"/>
      <c r="D451" s="822"/>
      <c r="F451" s="309"/>
    </row>
    <row r="452">
      <c r="B452" s="308"/>
      <c r="C452" s="252"/>
      <c r="D452" s="822"/>
      <c r="F452" s="309"/>
    </row>
    <row r="453">
      <c r="B453" s="308"/>
      <c r="C453" s="252"/>
      <c r="D453" s="822"/>
      <c r="F453" s="309"/>
    </row>
    <row r="454">
      <c r="B454" s="308"/>
      <c r="C454" s="252"/>
      <c r="D454" s="822"/>
      <c r="F454" s="309"/>
    </row>
    <row r="455">
      <c r="B455" s="308"/>
      <c r="C455" s="252"/>
      <c r="D455" s="822"/>
      <c r="F455" s="309"/>
    </row>
    <row r="456">
      <c r="B456" s="308"/>
      <c r="C456" s="252"/>
      <c r="D456" s="822"/>
      <c r="F456" s="309"/>
    </row>
    <row r="457">
      <c r="B457" s="308"/>
      <c r="C457" s="252"/>
      <c r="D457" s="822"/>
      <c r="F457" s="309"/>
    </row>
    <row r="458">
      <c r="B458" s="308"/>
      <c r="C458" s="252"/>
      <c r="D458" s="822"/>
      <c r="F458" s="309"/>
    </row>
    <row r="459">
      <c r="B459" s="308"/>
      <c r="C459" s="252"/>
      <c r="D459" s="822"/>
      <c r="F459" s="309"/>
    </row>
    <row r="460">
      <c r="B460" s="308"/>
      <c r="C460" s="252"/>
      <c r="D460" s="822"/>
      <c r="F460" s="309"/>
    </row>
    <row r="461">
      <c r="B461" s="308"/>
      <c r="C461" s="252"/>
      <c r="D461" s="822"/>
      <c r="F461" s="309"/>
    </row>
    <row r="462">
      <c r="B462" s="308"/>
      <c r="C462" s="252"/>
      <c r="D462" s="822"/>
      <c r="F462" s="309"/>
    </row>
    <row r="463">
      <c r="B463" s="308"/>
      <c r="C463" s="252"/>
      <c r="D463" s="822"/>
      <c r="F463" s="309"/>
    </row>
    <row r="464">
      <c r="B464" s="308"/>
      <c r="C464" s="252"/>
      <c r="D464" s="822"/>
      <c r="F464" s="309"/>
    </row>
    <row r="465">
      <c r="B465" s="308"/>
      <c r="C465" s="252"/>
      <c r="D465" s="822"/>
      <c r="F465" s="309"/>
    </row>
    <row r="466">
      <c r="B466" s="308"/>
      <c r="C466" s="252"/>
      <c r="D466" s="822"/>
      <c r="F466" s="309"/>
    </row>
    <row r="467">
      <c r="B467" s="308"/>
      <c r="C467" s="252"/>
      <c r="D467" s="822"/>
      <c r="F467" s="309"/>
    </row>
    <row r="468">
      <c r="B468" s="308"/>
      <c r="C468" s="252"/>
      <c r="D468" s="822"/>
      <c r="F468" s="309"/>
    </row>
    <row r="469">
      <c r="B469" s="308"/>
      <c r="C469" s="252"/>
      <c r="D469" s="822"/>
      <c r="F469" s="309"/>
    </row>
    <row r="470">
      <c r="B470" s="308"/>
      <c r="C470" s="252"/>
      <c r="D470" s="822"/>
      <c r="F470" s="309"/>
    </row>
    <row r="471">
      <c r="B471" s="308"/>
      <c r="C471" s="252"/>
      <c r="D471" s="822"/>
      <c r="F471" s="309"/>
    </row>
    <row r="472">
      <c r="B472" s="308"/>
      <c r="C472" s="252"/>
      <c r="D472" s="822"/>
      <c r="F472" s="309"/>
    </row>
    <row r="473">
      <c r="B473" s="308"/>
      <c r="C473" s="252"/>
      <c r="D473" s="822"/>
      <c r="F473" s="309"/>
    </row>
    <row r="474">
      <c r="B474" s="308"/>
      <c r="C474" s="252"/>
      <c r="D474" s="822"/>
      <c r="F474" s="309"/>
    </row>
    <row r="475">
      <c r="B475" s="308"/>
      <c r="C475" s="252"/>
      <c r="D475" s="822"/>
      <c r="F475" s="309"/>
    </row>
    <row r="476">
      <c r="B476" s="308"/>
      <c r="C476" s="252"/>
      <c r="D476" s="822"/>
      <c r="F476" s="309"/>
    </row>
    <row r="477">
      <c r="B477" s="308"/>
      <c r="C477" s="252"/>
      <c r="D477" s="822"/>
      <c r="F477" s="309"/>
    </row>
    <row r="478">
      <c r="B478" s="308"/>
      <c r="C478" s="252"/>
      <c r="D478" s="822"/>
      <c r="F478" s="309"/>
    </row>
    <row r="479">
      <c r="B479" s="308"/>
      <c r="C479" s="252"/>
      <c r="D479" s="822"/>
      <c r="F479" s="309"/>
    </row>
    <row r="480">
      <c r="B480" s="308"/>
      <c r="C480" s="252"/>
      <c r="D480" s="822"/>
      <c r="F480" s="309"/>
    </row>
    <row r="481">
      <c r="B481" s="308"/>
      <c r="C481" s="252"/>
      <c r="D481" s="822"/>
      <c r="F481" s="309"/>
    </row>
    <row r="482">
      <c r="B482" s="308"/>
      <c r="C482" s="252"/>
      <c r="D482" s="822"/>
      <c r="F482" s="309"/>
    </row>
    <row r="483">
      <c r="B483" s="308"/>
      <c r="C483" s="252"/>
      <c r="D483" s="822"/>
      <c r="F483" s="309"/>
    </row>
    <row r="484">
      <c r="B484" s="308"/>
      <c r="C484" s="252"/>
      <c r="D484" s="822"/>
      <c r="F484" s="309"/>
    </row>
    <row r="485">
      <c r="B485" s="308"/>
      <c r="C485" s="252"/>
      <c r="D485" s="822"/>
      <c r="F485" s="309"/>
    </row>
    <row r="486">
      <c r="B486" s="308"/>
      <c r="C486" s="252"/>
      <c r="D486" s="822"/>
      <c r="F486" s="309"/>
    </row>
    <row r="487">
      <c r="B487" s="308"/>
      <c r="C487" s="252"/>
      <c r="D487" s="822"/>
      <c r="F487" s="309"/>
    </row>
    <row r="488">
      <c r="B488" s="308"/>
      <c r="C488" s="252"/>
      <c r="D488" s="822"/>
      <c r="F488" s="309"/>
    </row>
    <row r="489">
      <c r="B489" s="308"/>
      <c r="C489" s="252"/>
      <c r="D489" s="822"/>
      <c r="F489" s="309"/>
    </row>
    <row r="490">
      <c r="B490" s="308"/>
      <c r="C490" s="252"/>
      <c r="D490" s="822"/>
      <c r="F490" s="309"/>
    </row>
    <row r="491">
      <c r="B491" s="308"/>
      <c r="C491" s="252"/>
      <c r="D491" s="822"/>
      <c r="F491" s="309"/>
    </row>
    <row r="492">
      <c r="B492" s="308"/>
      <c r="C492" s="252"/>
      <c r="D492" s="822"/>
      <c r="F492" s="309"/>
    </row>
    <row r="493">
      <c r="B493" s="308"/>
      <c r="C493" s="252"/>
      <c r="D493" s="822"/>
      <c r="F493" s="309"/>
    </row>
    <row r="494">
      <c r="B494" s="308"/>
      <c r="C494" s="252"/>
      <c r="D494" s="822"/>
      <c r="F494" s="309"/>
    </row>
    <row r="495">
      <c r="B495" s="308"/>
      <c r="C495" s="252"/>
      <c r="D495" s="822"/>
      <c r="F495" s="309"/>
    </row>
    <row r="496">
      <c r="B496" s="308"/>
      <c r="C496" s="252"/>
      <c r="D496" s="822"/>
      <c r="F496" s="309"/>
    </row>
    <row r="497">
      <c r="B497" s="308"/>
      <c r="C497" s="252"/>
      <c r="D497" s="822"/>
      <c r="F497" s="309"/>
    </row>
    <row r="498">
      <c r="B498" s="308"/>
      <c r="C498" s="252"/>
      <c r="D498" s="822"/>
      <c r="F498" s="309"/>
    </row>
    <row r="499">
      <c r="B499" s="308"/>
      <c r="C499" s="252"/>
      <c r="D499" s="822"/>
      <c r="F499" s="309"/>
    </row>
    <row r="500">
      <c r="B500" s="308"/>
      <c r="C500" s="252"/>
      <c r="D500" s="822"/>
      <c r="F500" s="309"/>
    </row>
    <row r="501">
      <c r="B501" s="308"/>
      <c r="C501" s="252"/>
      <c r="D501" s="822"/>
      <c r="F501" s="309"/>
    </row>
    <row r="502">
      <c r="B502" s="308"/>
      <c r="C502" s="252"/>
      <c r="D502" s="822"/>
      <c r="F502" s="309"/>
    </row>
    <row r="503">
      <c r="B503" s="308"/>
      <c r="C503" s="252"/>
      <c r="D503" s="822"/>
      <c r="F503" s="309"/>
    </row>
    <row r="504">
      <c r="B504" s="308"/>
      <c r="C504" s="252"/>
      <c r="D504" s="822"/>
      <c r="F504" s="309"/>
    </row>
    <row r="505">
      <c r="B505" s="308"/>
      <c r="C505" s="252"/>
      <c r="D505" s="822"/>
      <c r="F505" s="309"/>
    </row>
    <row r="506">
      <c r="B506" s="308"/>
      <c r="C506" s="252"/>
      <c r="D506" s="822"/>
      <c r="F506" s="309"/>
    </row>
    <row r="507">
      <c r="B507" s="308"/>
      <c r="C507" s="252"/>
      <c r="D507" s="822"/>
      <c r="F507" s="309"/>
    </row>
    <row r="508">
      <c r="B508" s="308"/>
      <c r="C508" s="252"/>
      <c r="D508" s="822"/>
      <c r="F508" s="309"/>
    </row>
    <row r="509">
      <c r="B509" s="308"/>
      <c r="C509" s="252"/>
      <c r="D509" s="822"/>
      <c r="F509" s="309"/>
    </row>
    <row r="510">
      <c r="B510" s="308"/>
      <c r="C510" s="252"/>
      <c r="D510" s="822"/>
      <c r="F510" s="309"/>
    </row>
    <row r="511">
      <c r="B511" s="308"/>
      <c r="C511" s="252"/>
      <c r="D511" s="822"/>
      <c r="F511" s="309"/>
    </row>
    <row r="512">
      <c r="B512" s="308"/>
      <c r="C512" s="252"/>
      <c r="D512" s="822"/>
      <c r="F512" s="309"/>
    </row>
    <row r="513">
      <c r="B513" s="308"/>
      <c r="C513" s="252"/>
      <c r="D513" s="822"/>
      <c r="F513" s="309"/>
    </row>
    <row r="514">
      <c r="B514" s="308"/>
      <c r="C514" s="252"/>
      <c r="D514" s="822"/>
      <c r="F514" s="309"/>
    </row>
    <row r="515">
      <c r="B515" s="308"/>
      <c r="C515" s="252"/>
      <c r="D515" s="822"/>
      <c r="F515" s="309"/>
    </row>
    <row r="516">
      <c r="B516" s="308"/>
      <c r="C516" s="252"/>
      <c r="D516" s="822"/>
      <c r="F516" s="309"/>
    </row>
    <row r="517">
      <c r="B517" s="308"/>
      <c r="C517" s="252"/>
      <c r="D517" s="822"/>
      <c r="F517" s="309"/>
    </row>
    <row r="518">
      <c r="B518" s="308"/>
      <c r="C518" s="252"/>
      <c r="D518" s="822"/>
      <c r="F518" s="309"/>
    </row>
    <row r="519">
      <c r="B519" s="308"/>
      <c r="C519" s="252"/>
      <c r="D519" s="822"/>
      <c r="F519" s="309"/>
    </row>
    <row r="520">
      <c r="B520" s="308"/>
      <c r="C520" s="252"/>
      <c r="D520" s="822"/>
      <c r="F520" s="309"/>
    </row>
    <row r="521">
      <c r="B521" s="308"/>
      <c r="C521" s="252"/>
      <c r="D521" s="822"/>
      <c r="F521" s="309"/>
    </row>
    <row r="522">
      <c r="B522" s="308"/>
      <c r="C522" s="252"/>
      <c r="D522" s="822"/>
      <c r="F522" s="309"/>
    </row>
    <row r="523">
      <c r="B523" s="308"/>
      <c r="C523" s="252"/>
      <c r="D523" s="822"/>
      <c r="F523" s="309"/>
    </row>
    <row r="524">
      <c r="B524" s="308"/>
      <c r="C524" s="252"/>
      <c r="D524" s="822"/>
      <c r="F524" s="309"/>
    </row>
    <row r="525">
      <c r="B525" s="308"/>
      <c r="C525" s="252"/>
      <c r="D525" s="822"/>
      <c r="F525" s="309"/>
    </row>
    <row r="526">
      <c r="B526" s="308"/>
      <c r="C526" s="252"/>
      <c r="D526" s="822"/>
      <c r="F526" s="309"/>
    </row>
    <row r="527">
      <c r="B527" s="308"/>
      <c r="C527" s="252"/>
      <c r="D527" s="822"/>
      <c r="F527" s="309"/>
    </row>
    <row r="528">
      <c r="B528" s="308"/>
      <c r="C528" s="252"/>
      <c r="D528" s="822"/>
      <c r="F528" s="309"/>
    </row>
    <row r="529">
      <c r="B529" s="308"/>
      <c r="C529" s="252"/>
      <c r="D529" s="822"/>
      <c r="F529" s="309"/>
    </row>
    <row r="530">
      <c r="B530" s="308"/>
      <c r="C530" s="252"/>
      <c r="D530" s="822"/>
      <c r="F530" s="309"/>
    </row>
    <row r="531">
      <c r="B531" s="308"/>
      <c r="C531" s="252"/>
      <c r="D531" s="822"/>
      <c r="F531" s="309"/>
    </row>
    <row r="532">
      <c r="B532" s="308"/>
      <c r="C532" s="252"/>
      <c r="D532" s="822"/>
      <c r="F532" s="309"/>
    </row>
    <row r="533">
      <c r="B533" s="308"/>
      <c r="C533" s="252"/>
      <c r="D533" s="822"/>
      <c r="F533" s="309"/>
    </row>
    <row r="534">
      <c r="B534" s="308"/>
      <c r="C534" s="252"/>
      <c r="D534" s="822"/>
      <c r="F534" s="309"/>
    </row>
    <row r="535">
      <c r="B535" s="308"/>
      <c r="C535" s="252"/>
      <c r="D535" s="822"/>
      <c r="F535" s="309"/>
    </row>
    <row r="536">
      <c r="B536" s="308"/>
      <c r="C536" s="252"/>
      <c r="D536" s="822"/>
      <c r="F536" s="309"/>
    </row>
    <row r="537">
      <c r="B537" s="308"/>
      <c r="C537" s="252"/>
      <c r="D537" s="822"/>
      <c r="F537" s="309"/>
    </row>
    <row r="538">
      <c r="B538" s="308"/>
      <c r="C538" s="252"/>
      <c r="D538" s="822"/>
      <c r="F538" s="309"/>
    </row>
    <row r="539">
      <c r="B539" s="308"/>
      <c r="C539" s="252"/>
      <c r="D539" s="822"/>
      <c r="F539" s="309"/>
    </row>
    <row r="540">
      <c r="B540" s="308"/>
      <c r="C540" s="252"/>
      <c r="D540" s="822"/>
      <c r="F540" s="309"/>
    </row>
    <row r="541">
      <c r="B541" s="308"/>
      <c r="C541" s="252"/>
      <c r="D541" s="822"/>
      <c r="F541" s="309"/>
    </row>
    <row r="542">
      <c r="B542" s="308"/>
      <c r="C542" s="252"/>
      <c r="D542" s="822"/>
      <c r="F542" s="309"/>
    </row>
    <row r="543">
      <c r="B543" s="308"/>
      <c r="C543" s="252"/>
      <c r="D543" s="822"/>
      <c r="F543" s="309"/>
    </row>
    <row r="544">
      <c r="B544" s="308"/>
      <c r="C544" s="252"/>
      <c r="D544" s="822"/>
      <c r="F544" s="309"/>
    </row>
    <row r="545">
      <c r="B545" s="308"/>
      <c r="C545" s="252"/>
      <c r="D545" s="822"/>
      <c r="F545" s="309"/>
    </row>
    <row r="546">
      <c r="B546" s="308"/>
      <c r="C546" s="252"/>
      <c r="D546" s="822"/>
      <c r="F546" s="309"/>
    </row>
    <row r="547">
      <c r="B547" s="308"/>
      <c r="C547" s="252"/>
      <c r="D547" s="822"/>
      <c r="F547" s="309"/>
    </row>
    <row r="548">
      <c r="B548" s="308"/>
      <c r="C548" s="252"/>
      <c r="D548" s="822"/>
      <c r="F548" s="309"/>
    </row>
    <row r="549">
      <c r="B549" s="308"/>
      <c r="C549" s="252"/>
      <c r="D549" s="822"/>
      <c r="F549" s="309"/>
    </row>
    <row r="550">
      <c r="B550" s="308"/>
      <c r="C550" s="252"/>
      <c r="D550" s="822"/>
      <c r="F550" s="309"/>
    </row>
    <row r="551">
      <c r="B551" s="308"/>
      <c r="C551" s="252"/>
      <c r="D551" s="822"/>
      <c r="F551" s="309"/>
    </row>
    <row r="552">
      <c r="B552" s="308"/>
      <c r="C552" s="252"/>
      <c r="D552" s="822"/>
      <c r="F552" s="309"/>
    </row>
    <row r="553">
      <c r="B553" s="308"/>
      <c r="C553" s="252"/>
      <c r="D553" s="822"/>
      <c r="F553" s="309"/>
    </row>
    <row r="554">
      <c r="B554" s="308"/>
      <c r="C554" s="252"/>
      <c r="D554" s="822"/>
      <c r="F554" s="309"/>
    </row>
    <row r="555">
      <c r="B555" s="308"/>
      <c r="C555" s="252"/>
      <c r="D555" s="822"/>
      <c r="F555" s="309"/>
    </row>
    <row r="556">
      <c r="B556" s="308"/>
      <c r="C556" s="252"/>
      <c r="D556" s="822"/>
      <c r="F556" s="309"/>
    </row>
    <row r="557">
      <c r="B557" s="308"/>
      <c r="C557" s="252"/>
      <c r="D557" s="822"/>
      <c r="F557" s="309"/>
    </row>
    <row r="558">
      <c r="B558" s="308"/>
      <c r="C558" s="252"/>
      <c r="D558" s="822"/>
      <c r="F558" s="309"/>
    </row>
    <row r="559">
      <c r="B559" s="308"/>
      <c r="C559" s="252"/>
      <c r="D559" s="822"/>
      <c r="F559" s="309"/>
    </row>
    <row r="560">
      <c r="B560" s="308"/>
      <c r="C560" s="252"/>
      <c r="D560" s="822"/>
      <c r="F560" s="309"/>
    </row>
    <row r="561">
      <c r="B561" s="308"/>
      <c r="C561" s="252"/>
      <c r="D561" s="822"/>
      <c r="F561" s="309"/>
    </row>
    <row r="562">
      <c r="B562" s="308"/>
      <c r="C562" s="252"/>
      <c r="D562" s="822"/>
      <c r="F562" s="309"/>
    </row>
    <row r="563">
      <c r="B563" s="308"/>
      <c r="C563" s="252"/>
      <c r="D563" s="822"/>
      <c r="F563" s="309"/>
    </row>
    <row r="564">
      <c r="B564" s="308"/>
      <c r="C564" s="252"/>
      <c r="D564" s="822"/>
      <c r="F564" s="309"/>
    </row>
    <row r="565">
      <c r="B565" s="308"/>
      <c r="C565" s="252"/>
      <c r="D565" s="822"/>
      <c r="F565" s="309"/>
    </row>
    <row r="566">
      <c r="B566" s="308"/>
      <c r="C566" s="252"/>
      <c r="D566" s="822"/>
      <c r="F566" s="309"/>
    </row>
    <row r="567">
      <c r="B567" s="308"/>
      <c r="C567" s="252"/>
      <c r="D567" s="822"/>
      <c r="F567" s="309"/>
    </row>
    <row r="568">
      <c r="B568" s="308"/>
      <c r="C568" s="252"/>
      <c r="D568" s="822"/>
      <c r="F568" s="309"/>
    </row>
    <row r="569">
      <c r="B569" s="308"/>
      <c r="C569" s="252"/>
      <c r="D569" s="822"/>
      <c r="F569" s="309"/>
    </row>
    <row r="570">
      <c r="B570" s="308"/>
      <c r="C570" s="252"/>
      <c r="D570" s="822"/>
      <c r="F570" s="309"/>
    </row>
    <row r="571">
      <c r="B571" s="308"/>
      <c r="C571" s="252"/>
      <c r="D571" s="822"/>
      <c r="F571" s="309"/>
    </row>
    <row r="572">
      <c r="B572" s="308"/>
      <c r="C572" s="252"/>
      <c r="D572" s="822"/>
      <c r="F572" s="309"/>
    </row>
    <row r="573">
      <c r="B573" s="308"/>
      <c r="C573" s="252"/>
      <c r="D573" s="822"/>
      <c r="F573" s="309"/>
    </row>
    <row r="574">
      <c r="B574" s="308"/>
      <c r="C574" s="252"/>
      <c r="D574" s="822"/>
      <c r="F574" s="309"/>
    </row>
    <row r="575">
      <c r="B575" s="308"/>
      <c r="C575" s="252"/>
      <c r="D575" s="822"/>
      <c r="F575" s="309"/>
    </row>
    <row r="576">
      <c r="B576" s="308"/>
      <c r="C576" s="252"/>
      <c r="D576" s="822"/>
      <c r="F576" s="309"/>
    </row>
    <row r="577">
      <c r="B577" s="308"/>
      <c r="C577" s="252"/>
      <c r="D577" s="822"/>
      <c r="F577" s="309"/>
    </row>
    <row r="578">
      <c r="B578" s="308"/>
      <c r="C578" s="252"/>
      <c r="D578" s="822"/>
      <c r="F578" s="309"/>
    </row>
    <row r="579">
      <c r="B579" s="308"/>
      <c r="C579" s="252"/>
      <c r="D579" s="822"/>
      <c r="F579" s="309"/>
    </row>
    <row r="580">
      <c r="B580" s="308"/>
      <c r="C580" s="252"/>
      <c r="D580" s="822"/>
      <c r="F580" s="309"/>
    </row>
    <row r="581">
      <c r="B581" s="308"/>
      <c r="C581" s="252"/>
      <c r="D581" s="822"/>
      <c r="F581" s="309"/>
    </row>
    <row r="582">
      <c r="B582" s="308"/>
      <c r="C582" s="252"/>
      <c r="D582" s="822"/>
      <c r="F582" s="309"/>
    </row>
    <row r="583">
      <c r="B583" s="308"/>
      <c r="C583" s="252"/>
      <c r="D583" s="822"/>
      <c r="F583" s="309"/>
    </row>
    <row r="584">
      <c r="B584" s="308"/>
      <c r="C584" s="252"/>
      <c r="D584" s="822"/>
      <c r="F584" s="309"/>
    </row>
    <row r="585">
      <c r="B585" s="308"/>
      <c r="C585" s="252"/>
      <c r="D585" s="822"/>
      <c r="F585" s="309"/>
    </row>
    <row r="586">
      <c r="B586" s="308"/>
      <c r="C586" s="252"/>
      <c r="D586" s="822"/>
      <c r="F586" s="309"/>
    </row>
    <row r="587">
      <c r="B587" s="308"/>
      <c r="C587" s="252"/>
      <c r="D587" s="822"/>
      <c r="F587" s="309"/>
    </row>
    <row r="588">
      <c r="B588" s="308"/>
      <c r="C588" s="252"/>
      <c r="D588" s="822"/>
      <c r="F588" s="309"/>
    </row>
    <row r="589">
      <c r="B589" s="308"/>
      <c r="C589" s="252"/>
      <c r="D589" s="822"/>
      <c r="F589" s="309"/>
    </row>
    <row r="590">
      <c r="B590" s="308"/>
      <c r="C590" s="252"/>
      <c r="D590" s="822"/>
      <c r="F590" s="309"/>
    </row>
    <row r="591">
      <c r="B591" s="308"/>
      <c r="C591" s="252"/>
      <c r="D591" s="822"/>
      <c r="F591" s="309"/>
    </row>
    <row r="592">
      <c r="B592" s="308"/>
      <c r="C592" s="252"/>
      <c r="D592" s="822"/>
      <c r="F592" s="309"/>
    </row>
    <row r="593">
      <c r="B593" s="308"/>
      <c r="C593" s="252"/>
      <c r="D593" s="822"/>
      <c r="F593" s="309"/>
    </row>
    <row r="594">
      <c r="B594" s="308"/>
      <c r="C594" s="252"/>
      <c r="D594" s="822"/>
      <c r="F594" s="309"/>
    </row>
    <row r="595">
      <c r="B595" s="308"/>
      <c r="C595" s="252"/>
      <c r="D595" s="822"/>
      <c r="F595" s="309"/>
    </row>
    <row r="596">
      <c r="B596" s="308"/>
      <c r="C596" s="252"/>
      <c r="D596" s="822"/>
      <c r="F596" s="309"/>
    </row>
    <row r="597">
      <c r="B597" s="308"/>
      <c r="C597" s="252"/>
      <c r="D597" s="822"/>
      <c r="F597" s="309"/>
    </row>
    <row r="598">
      <c r="B598" s="308"/>
      <c r="C598" s="252"/>
      <c r="D598" s="822"/>
      <c r="F598" s="309"/>
    </row>
    <row r="599">
      <c r="B599" s="308"/>
      <c r="C599" s="252"/>
      <c r="D599" s="822"/>
      <c r="F599" s="309"/>
    </row>
    <row r="600">
      <c r="B600" s="308"/>
      <c r="C600" s="252"/>
      <c r="D600" s="822"/>
      <c r="F600" s="309"/>
    </row>
    <row r="601">
      <c r="B601" s="308"/>
      <c r="C601" s="252"/>
      <c r="D601" s="822"/>
      <c r="F601" s="309"/>
    </row>
    <row r="602">
      <c r="B602" s="308"/>
      <c r="C602" s="252"/>
      <c r="D602" s="822"/>
      <c r="F602" s="309"/>
    </row>
    <row r="603">
      <c r="B603" s="308"/>
      <c r="C603" s="252"/>
      <c r="D603" s="822"/>
      <c r="F603" s="309"/>
    </row>
    <row r="604">
      <c r="B604" s="308"/>
      <c r="C604" s="252"/>
      <c r="D604" s="822"/>
      <c r="F604" s="309"/>
    </row>
    <row r="605">
      <c r="B605" s="308"/>
      <c r="C605" s="252"/>
      <c r="D605" s="822"/>
      <c r="F605" s="309"/>
    </row>
    <row r="606">
      <c r="B606" s="308"/>
      <c r="C606" s="252"/>
      <c r="D606" s="822"/>
      <c r="F606" s="309"/>
    </row>
    <row r="607">
      <c r="B607" s="308"/>
      <c r="C607" s="252"/>
      <c r="D607" s="822"/>
      <c r="F607" s="309"/>
    </row>
    <row r="608">
      <c r="B608" s="308"/>
      <c r="C608" s="252"/>
      <c r="D608" s="822"/>
      <c r="F608" s="309"/>
    </row>
    <row r="609">
      <c r="B609" s="308"/>
      <c r="C609" s="252"/>
      <c r="D609" s="822"/>
      <c r="F609" s="309"/>
    </row>
    <row r="610">
      <c r="B610" s="308"/>
      <c r="C610" s="252"/>
      <c r="D610" s="822"/>
      <c r="F610" s="309"/>
    </row>
    <row r="611">
      <c r="B611" s="308"/>
      <c r="C611" s="252"/>
      <c r="D611" s="822"/>
      <c r="F611" s="309"/>
    </row>
    <row r="612">
      <c r="B612" s="308"/>
      <c r="C612" s="252"/>
      <c r="D612" s="822"/>
      <c r="F612" s="309"/>
    </row>
    <row r="613">
      <c r="B613" s="308"/>
      <c r="C613" s="252"/>
      <c r="D613" s="822"/>
      <c r="F613" s="309"/>
    </row>
    <row r="614">
      <c r="B614" s="308"/>
      <c r="C614" s="252"/>
      <c r="D614" s="822"/>
      <c r="F614" s="309"/>
    </row>
    <row r="615">
      <c r="B615" s="308"/>
      <c r="C615" s="252"/>
      <c r="D615" s="822"/>
      <c r="F615" s="309"/>
    </row>
    <row r="616">
      <c r="B616" s="308"/>
      <c r="C616" s="252"/>
      <c r="D616" s="822"/>
      <c r="F616" s="309"/>
    </row>
    <row r="617">
      <c r="B617" s="308"/>
      <c r="C617" s="252"/>
      <c r="D617" s="822"/>
      <c r="F617" s="309"/>
    </row>
    <row r="618">
      <c r="B618" s="308"/>
      <c r="C618" s="252"/>
      <c r="D618" s="822"/>
      <c r="F618" s="309"/>
    </row>
    <row r="619">
      <c r="B619" s="308"/>
      <c r="C619" s="252"/>
      <c r="D619" s="822"/>
      <c r="F619" s="309"/>
    </row>
    <row r="620">
      <c r="B620" s="308"/>
      <c r="C620" s="252"/>
      <c r="D620" s="822"/>
      <c r="F620" s="309"/>
    </row>
    <row r="621">
      <c r="B621" s="308"/>
      <c r="C621" s="252"/>
      <c r="D621" s="822"/>
      <c r="F621" s="309"/>
    </row>
    <row r="622">
      <c r="B622" s="308"/>
      <c r="C622" s="252"/>
      <c r="D622" s="822"/>
      <c r="F622" s="309"/>
    </row>
    <row r="623">
      <c r="B623" s="308"/>
      <c r="C623" s="252"/>
      <c r="D623" s="822"/>
      <c r="F623" s="309"/>
    </row>
    <row r="624">
      <c r="B624" s="308"/>
      <c r="C624" s="252"/>
      <c r="D624" s="822"/>
      <c r="F624" s="309"/>
    </row>
    <row r="625">
      <c r="B625" s="308"/>
      <c r="C625" s="252"/>
      <c r="D625" s="822"/>
      <c r="F625" s="309"/>
    </row>
    <row r="626">
      <c r="B626" s="308"/>
      <c r="C626" s="252"/>
      <c r="D626" s="822"/>
      <c r="F626" s="309"/>
    </row>
    <row r="627">
      <c r="B627" s="308"/>
      <c r="C627" s="252"/>
      <c r="D627" s="822"/>
      <c r="F627" s="309"/>
    </row>
    <row r="628">
      <c r="B628" s="308"/>
      <c r="C628" s="252"/>
      <c r="D628" s="822"/>
      <c r="F628" s="309"/>
    </row>
    <row r="629">
      <c r="B629" s="308"/>
      <c r="C629" s="252"/>
      <c r="D629" s="822"/>
      <c r="F629" s="309"/>
    </row>
    <row r="630">
      <c r="B630" s="308"/>
      <c r="C630" s="252"/>
      <c r="D630" s="822"/>
      <c r="F630" s="309"/>
    </row>
    <row r="631">
      <c r="B631" s="308"/>
      <c r="C631" s="252"/>
      <c r="D631" s="822"/>
      <c r="F631" s="309"/>
    </row>
    <row r="632">
      <c r="B632" s="308"/>
      <c r="C632" s="252"/>
      <c r="D632" s="822"/>
      <c r="F632" s="309"/>
    </row>
    <row r="633">
      <c r="B633" s="308"/>
      <c r="C633" s="252"/>
      <c r="D633" s="822"/>
      <c r="F633" s="309"/>
    </row>
    <row r="634">
      <c r="B634" s="308"/>
      <c r="C634" s="252"/>
      <c r="D634" s="822"/>
      <c r="F634" s="309"/>
    </row>
    <row r="635">
      <c r="B635" s="308"/>
      <c r="C635" s="252"/>
      <c r="D635" s="822"/>
      <c r="F635" s="309"/>
    </row>
    <row r="636">
      <c r="B636" s="308"/>
      <c r="C636" s="252"/>
      <c r="D636" s="822"/>
      <c r="F636" s="309"/>
    </row>
    <row r="637">
      <c r="B637" s="308"/>
      <c r="C637" s="252"/>
      <c r="D637" s="822"/>
      <c r="F637" s="309"/>
    </row>
    <row r="638">
      <c r="B638" s="308"/>
      <c r="C638" s="252"/>
      <c r="D638" s="822"/>
      <c r="F638" s="309"/>
    </row>
    <row r="639">
      <c r="B639" s="308"/>
      <c r="C639" s="252"/>
      <c r="D639" s="822"/>
      <c r="F639" s="309"/>
    </row>
    <row r="640">
      <c r="B640" s="308"/>
      <c r="C640" s="252"/>
      <c r="D640" s="822"/>
      <c r="F640" s="309"/>
    </row>
    <row r="641">
      <c r="B641" s="308"/>
      <c r="C641" s="252"/>
      <c r="D641" s="822"/>
      <c r="F641" s="309"/>
    </row>
    <row r="642">
      <c r="B642" s="308"/>
      <c r="C642" s="252"/>
      <c r="D642" s="822"/>
      <c r="F642" s="309"/>
    </row>
    <row r="643">
      <c r="B643" s="308"/>
      <c r="C643" s="252"/>
      <c r="D643" s="822"/>
      <c r="F643" s="309"/>
    </row>
    <row r="644">
      <c r="B644" s="308"/>
      <c r="C644" s="252"/>
      <c r="D644" s="822"/>
      <c r="F644" s="309"/>
    </row>
    <row r="645">
      <c r="B645" s="308"/>
      <c r="C645" s="252"/>
      <c r="D645" s="822"/>
      <c r="F645" s="309"/>
    </row>
    <row r="646">
      <c r="B646" s="308"/>
      <c r="C646" s="252"/>
      <c r="D646" s="822"/>
      <c r="F646" s="309"/>
    </row>
    <row r="647">
      <c r="B647" s="308"/>
      <c r="C647" s="252"/>
      <c r="D647" s="822"/>
      <c r="F647" s="309"/>
    </row>
    <row r="648">
      <c r="B648" s="308"/>
      <c r="C648" s="252"/>
      <c r="D648" s="822"/>
      <c r="F648" s="309"/>
    </row>
    <row r="649">
      <c r="B649" s="308"/>
      <c r="C649" s="252"/>
      <c r="D649" s="822"/>
      <c r="F649" s="309"/>
    </row>
    <row r="650">
      <c r="B650" s="308"/>
      <c r="C650" s="252"/>
      <c r="D650" s="822"/>
      <c r="F650" s="309"/>
    </row>
    <row r="651">
      <c r="B651" s="308"/>
      <c r="C651" s="252"/>
      <c r="D651" s="822"/>
      <c r="F651" s="309"/>
    </row>
    <row r="652">
      <c r="B652" s="308"/>
      <c r="C652" s="252"/>
      <c r="D652" s="822"/>
      <c r="F652" s="309"/>
    </row>
    <row r="653">
      <c r="B653" s="308"/>
      <c r="C653" s="252"/>
      <c r="D653" s="822"/>
      <c r="F653" s="309"/>
    </row>
    <row r="654">
      <c r="B654" s="308"/>
      <c r="C654" s="252"/>
      <c r="D654" s="822"/>
      <c r="F654" s="309"/>
    </row>
    <row r="655">
      <c r="B655" s="308"/>
      <c r="C655" s="252"/>
      <c r="D655" s="822"/>
      <c r="F655" s="309"/>
    </row>
    <row r="656">
      <c r="B656" s="308"/>
      <c r="C656" s="252"/>
      <c r="D656" s="822"/>
      <c r="F656" s="309"/>
    </row>
    <row r="657">
      <c r="B657" s="308"/>
      <c r="C657" s="252"/>
      <c r="D657" s="822"/>
      <c r="F657" s="309"/>
    </row>
    <row r="658">
      <c r="B658" s="308"/>
      <c r="C658" s="252"/>
      <c r="D658" s="822"/>
      <c r="F658" s="309"/>
    </row>
    <row r="659">
      <c r="B659" s="308"/>
      <c r="C659" s="252"/>
      <c r="D659" s="822"/>
      <c r="F659" s="309"/>
    </row>
    <row r="660">
      <c r="B660" s="308"/>
      <c r="C660" s="252"/>
      <c r="D660" s="822"/>
      <c r="F660" s="309"/>
    </row>
    <row r="661">
      <c r="B661" s="308"/>
      <c r="C661" s="252"/>
      <c r="D661" s="822"/>
      <c r="F661" s="309"/>
    </row>
    <row r="662">
      <c r="B662" s="308"/>
      <c r="C662" s="252"/>
      <c r="D662" s="822"/>
      <c r="F662" s="309"/>
    </row>
    <row r="663">
      <c r="B663" s="308"/>
      <c r="C663" s="252"/>
      <c r="D663" s="822"/>
      <c r="F663" s="309"/>
    </row>
    <row r="664">
      <c r="B664" s="308"/>
      <c r="C664" s="252"/>
      <c r="D664" s="822"/>
      <c r="F664" s="309"/>
    </row>
    <row r="665">
      <c r="B665" s="308"/>
      <c r="C665" s="252"/>
      <c r="D665" s="822"/>
      <c r="F665" s="309"/>
    </row>
    <row r="666">
      <c r="B666" s="308"/>
      <c r="C666" s="252"/>
      <c r="D666" s="822"/>
      <c r="F666" s="309"/>
    </row>
    <row r="667">
      <c r="B667" s="308"/>
      <c r="C667" s="252"/>
      <c r="D667" s="822"/>
      <c r="F667" s="309"/>
    </row>
    <row r="668">
      <c r="B668" s="308"/>
      <c r="C668" s="252"/>
      <c r="D668" s="822"/>
      <c r="F668" s="309"/>
    </row>
    <row r="669">
      <c r="B669" s="308"/>
      <c r="C669" s="252"/>
      <c r="D669" s="822"/>
      <c r="F669" s="309"/>
    </row>
    <row r="670">
      <c r="B670" s="308"/>
      <c r="C670" s="252"/>
      <c r="D670" s="822"/>
      <c r="F670" s="309"/>
    </row>
    <row r="671">
      <c r="B671" s="308"/>
      <c r="C671" s="252"/>
      <c r="D671" s="822"/>
      <c r="F671" s="309"/>
    </row>
    <row r="672">
      <c r="B672" s="308"/>
      <c r="C672" s="252"/>
      <c r="D672" s="822"/>
      <c r="F672" s="309"/>
    </row>
    <row r="673">
      <c r="B673" s="308"/>
      <c r="C673" s="252"/>
      <c r="D673" s="822"/>
      <c r="F673" s="309"/>
    </row>
    <row r="674">
      <c r="B674" s="308"/>
      <c r="C674" s="252"/>
      <c r="D674" s="822"/>
      <c r="F674" s="309"/>
    </row>
    <row r="675">
      <c r="B675" s="308"/>
      <c r="C675" s="252"/>
      <c r="D675" s="822"/>
      <c r="F675" s="309"/>
    </row>
    <row r="676">
      <c r="B676" s="308"/>
      <c r="C676" s="252"/>
      <c r="D676" s="822"/>
      <c r="F676" s="309"/>
    </row>
    <row r="677">
      <c r="B677" s="308"/>
      <c r="C677" s="252"/>
      <c r="D677" s="822"/>
      <c r="F677" s="309"/>
    </row>
    <row r="678">
      <c r="B678" s="308"/>
      <c r="C678" s="252"/>
      <c r="D678" s="822"/>
      <c r="F678" s="309"/>
    </row>
    <row r="679">
      <c r="B679" s="308"/>
      <c r="C679" s="252"/>
      <c r="D679" s="822"/>
      <c r="F679" s="309"/>
    </row>
    <row r="680">
      <c r="B680" s="308"/>
      <c r="C680" s="252"/>
      <c r="D680" s="822"/>
      <c r="F680" s="309"/>
    </row>
    <row r="681">
      <c r="B681" s="308"/>
      <c r="C681" s="252"/>
      <c r="D681" s="822"/>
      <c r="F681" s="309"/>
    </row>
    <row r="682">
      <c r="B682" s="308"/>
      <c r="C682" s="252"/>
      <c r="D682" s="822"/>
      <c r="F682" s="309"/>
    </row>
    <row r="683">
      <c r="B683" s="308"/>
      <c r="C683" s="252"/>
      <c r="D683" s="822"/>
      <c r="F683" s="309"/>
    </row>
    <row r="684">
      <c r="B684" s="308"/>
      <c r="C684" s="252"/>
      <c r="D684" s="822"/>
      <c r="F684" s="309"/>
    </row>
    <row r="685">
      <c r="B685" s="308"/>
      <c r="C685" s="252"/>
      <c r="D685" s="822"/>
      <c r="F685" s="309"/>
    </row>
    <row r="686">
      <c r="B686" s="308"/>
      <c r="C686" s="252"/>
      <c r="D686" s="822"/>
      <c r="F686" s="309"/>
    </row>
    <row r="687">
      <c r="B687" s="308"/>
      <c r="C687" s="252"/>
      <c r="D687" s="822"/>
      <c r="F687" s="309"/>
    </row>
    <row r="688">
      <c r="B688" s="308"/>
      <c r="C688" s="252"/>
      <c r="D688" s="822"/>
      <c r="F688" s="309"/>
    </row>
    <row r="689">
      <c r="B689" s="308"/>
      <c r="C689" s="252"/>
      <c r="D689" s="822"/>
      <c r="F689" s="309"/>
    </row>
    <row r="690">
      <c r="B690" s="308"/>
      <c r="C690" s="252"/>
      <c r="D690" s="822"/>
      <c r="F690" s="309"/>
    </row>
    <row r="691">
      <c r="B691" s="308"/>
      <c r="C691" s="252"/>
      <c r="D691" s="822"/>
      <c r="F691" s="309"/>
    </row>
    <row r="692">
      <c r="B692" s="308"/>
      <c r="C692" s="252"/>
      <c r="D692" s="822"/>
      <c r="F692" s="309"/>
    </row>
    <row r="693">
      <c r="B693" s="308"/>
      <c r="C693" s="252"/>
      <c r="D693" s="822"/>
      <c r="F693" s="309"/>
    </row>
    <row r="694">
      <c r="B694" s="308"/>
      <c r="C694" s="252"/>
      <c r="D694" s="822"/>
      <c r="F694" s="309"/>
    </row>
    <row r="695">
      <c r="B695" s="308"/>
      <c r="C695" s="252"/>
      <c r="D695" s="822"/>
      <c r="F695" s="309"/>
    </row>
    <row r="696">
      <c r="B696" s="308"/>
      <c r="C696" s="252"/>
      <c r="D696" s="822"/>
      <c r="F696" s="309"/>
    </row>
  </sheetData>
  <mergeCells count="33">
    <mergeCell ref="G1:H1"/>
    <mergeCell ref="A2:A11"/>
    <mergeCell ref="A12:A21"/>
    <mergeCell ref="A22:A34"/>
    <mergeCell ref="A35:A44"/>
    <mergeCell ref="A45:A54"/>
    <mergeCell ref="A55:A66"/>
    <mergeCell ref="A67:A76"/>
    <mergeCell ref="A77:A87"/>
    <mergeCell ref="A88:A98"/>
    <mergeCell ref="A99:A114"/>
    <mergeCell ref="A115:A126"/>
    <mergeCell ref="A127:A136"/>
    <mergeCell ref="A137:A146"/>
    <mergeCell ref="A147:A161"/>
    <mergeCell ref="A162:A177"/>
    <mergeCell ref="A178:A190"/>
    <mergeCell ref="A191:A202"/>
    <mergeCell ref="A203:A213"/>
    <mergeCell ref="A214:A227"/>
    <mergeCell ref="A228:A239"/>
    <mergeCell ref="A331:A343"/>
    <mergeCell ref="A344:A355"/>
    <mergeCell ref="A356:A367"/>
    <mergeCell ref="A368:A377"/>
    <mergeCell ref="A378:A387"/>
    <mergeCell ref="A240:A252"/>
    <mergeCell ref="A253:A266"/>
    <mergeCell ref="A267:A281"/>
    <mergeCell ref="A282:A292"/>
    <mergeCell ref="A293:A303"/>
    <mergeCell ref="A304:A319"/>
    <mergeCell ref="A320:A3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13.25"/>
    <col customWidth="1" min="3" max="3" width="9.13"/>
    <col customWidth="1" min="4" max="4" width="7.75"/>
    <col customWidth="1" min="5" max="5" width="8.0"/>
    <col customWidth="1" min="6" max="6" width="9.13"/>
    <col customWidth="1" min="7" max="7" width="10.75"/>
    <col customWidth="1" min="8" max="9" width="9.13"/>
    <col customWidth="1" min="10" max="10" width="16.88"/>
    <col customWidth="1" min="11" max="11" width="60.5"/>
    <col customWidth="1" min="12" max="33" width="9.13"/>
  </cols>
  <sheetData>
    <row r="1" ht="25.5" customHeight="1">
      <c r="A1" s="6"/>
      <c r="B1" s="6" t="s">
        <v>9</v>
      </c>
      <c r="C1" s="7" t="s">
        <v>10</v>
      </c>
      <c r="D1" s="9" t="s">
        <v>12</v>
      </c>
      <c r="E1" s="10" t="s">
        <v>13</v>
      </c>
      <c r="F1" s="6" t="s">
        <v>14</v>
      </c>
      <c r="G1" s="851" t="s">
        <v>3563</v>
      </c>
      <c r="H1" s="13" t="s">
        <v>17</v>
      </c>
      <c r="I1" s="14" t="s">
        <v>18</v>
      </c>
      <c r="J1" s="15" t="s">
        <v>19</v>
      </c>
      <c r="K1" s="16" t="s">
        <v>20</v>
      </c>
      <c r="L1" s="6"/>
      <c r="M1" s="17"/>
      <c r="N1" s="18"/>
      <c r="O1" s="6"/>
      <c r="P1" s="6"/>
      <c r="Q1" s="6"/>
      <c r="R1" s="6"/>
      <c r="S1" s="6"/>
      <c r="T1" s="6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>
      <c r="A2" s="150" t="s">
        <v>26</v>
      </c>
      <c r="B2" s="162">
        <v>44198.0</v>
      </c>
      <c r="C2" s="160">
        <v>28570.0</v>
      </c>
      <c r="D2" s="160">
        <v>0.0</v>
      </c>
      <c r="E2" s="160">
        <v>0.0</v>
      </c>
      <c r="F2" s="160">
        <v>11884.0</v>
      </c>
      <c r="G2" s="852"/>
      <c r="H2" s="29">
        <v>4490.0</v>
      </c>
      <c r="I2" s="30">
        <f t="shared" ref="I2:I206" si="1">SUM(C2-F2-G2-H2)</f>
        <v>12196</v>
      </c>
      <c r="J2" s="31"/>
      <c r="K2" s="39"/>
      <c r="L2" s="33"/>
      <c r="M2" s="34"/>
      <c r="N2" s="35"/>
      <c r="O2" s="33"/>
      <c r="P2" s="33"/>
      <c r="Q2" s="35"/>
      <c r="R2" s="35"/>
      <c r="S2" s="33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</row>
    <row r="3">
      <c r="A3" s="38" t="s">
        <v>21</v>
      </c>
      <c r="B3" s="41">
        <v>44200.0</v>
      </c>
      <c r="C3" s="22">
        <v>35835.0</v>
      </c>
      <c r="D3" s="24">
        <v>1612.0</v>
      </c>
      <c r="E3" s="25">
        <v>900.0</v>
      </c>
      <c r="F3" s="35">
        <v>6420.0</v>
      </c>
      <c r="G3" s="161">
        <v>1860.0</v>
      </c>
      <c r="H3" s="29">
        <v>7770.0</v>
      </c>
      <c r="I3" s="30">
        <f t="shared" si="1"/>
        <v>19785</v>
      </c>
      <c r="J3" s="31"/>
      <c r="K3" s="39"/>
      <c r="L3" s="33"/>
      <c r="M3" s="40"/>
      <c r="N3" s="35"/>
      <c r="O3" s="33"/>
      <c r="P3" s="33"/>
      <c r="Q3" s="35"/>
      <c r="R3" s="35"/>
      <c r="S3" s="33"/>
      <c r="T3" s="36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>
      <c r="A4" s="38" t="s">
        <v>22</v>
      </c>
      <c r="B4" s="41">
        <v>44201.0</v>
      </c>
      <c r="C4" s="22">
        <v>37030.0</v>
      </c>
      <c r="D4" s="24">
        <v>1520.0</v>
      </c>
      <c r="E4" s="25">
        <v>200.0</v>
      </c>
      <c r="F4" s="35">
        <v>4888.0</v>
      </c>
      <c r="G4" s="161">
        <v>4510.0</v>
      </c>
      <c r="H4" s="29">
        <v>8145.0</v>
      </c>
      <c r="I4" s="30">
        <f t="shared" si="1"/>
        <v>19487</v>
      </c>
      <c r="J4" s="31"/>
      <c r="K4" s="39"/>
      <c r="L4" s="33"/>
      <c r="M4" s="40"/>
      <c r="N4" s="35"/>
      <c r="O4" s="33"/>
      <c r="P4" s="33"/>
      <c r="Q4" s="35"/>
      <c r="R4" s="35"/>
      <c r="S4" s="33"/>
      <c r="T4" s="36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>
      <c r="A5" s="38" t="s">
        <v>23</v>
      </c>
      <c r="B5" s="41">
        <v>44202.0</v>
      </c>
      <c r="C5" s="22">
        <v>45453.0</v>
      </c>
      <c r="D5" s="24">
        <v>1519.0</v>
      </c>
      <c r="E5" s="25">
        <v>400.0</v>
      </c>
      <c r="F5" s="35">
        <v>8170.0</v>
      </c>
      <c r="G5" s="161">
        <v>3530.0</v>
      </c>
      <c r="H5" s="29">
        <v>4325.0</v>
      </c>
      <c r="I5" s="30">
        <f t="shared" si="1"/>
        <v>29428</v>
      </c>
      <c r="J5" s="31"/>
      <c r="K5" s="39"/>
      <c r="L5" s="33"/>
      <c r="M5" s="40"/>
      <c r="N5" s="35"/>
      <c r="O5" s="33"/>
      <c r="P5" s="33"/>
      <c r="Q5" s="35"/>
      <c r="R5" s="35"/>
      <c r="S5" s="33"/>
      <c r="T5" s="36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>
      <c r="A6" s="38" t="s">
        <v>24</v>
      </c>
      <c r="B6" s="41">
        <v>44203.0</v>
      </c>
      <c r="C6" s="22">
        <v>39538.0</v>
      </c>
      <c r="D6" s="24">
        <v>1483.0</v>
      </c>
      <c r="E6" s="25">
        <v>100.0</v>
      </c>
      <c r="F6" s="35">
        <v>8665.0</v>
      </c>
      <c r="G6" s="161">
        <v>3805.0</v>
      </c>
      <c r="H6" s="29">
        <v>6795.0</v>
      </c>
      <c r="I6" s="30">
        <f t="shared" si="1"/>
        <v>20273</v>
      </c>
      <c r="J6" s="31"/>
      <c r="K6" s="39"/>
      <c r="L6" s="33"/>
      <c r="M6" s="40"/>
      <c r="N6" s="35"/>
      <c r="O6" s="33"/>
      <c r="P6" s="33"/>
      <c r="Q6" s="35"/>
      <c r="R6" s="35"/>
      <c r="S6" s="33"/>
      <c r="T6" s="36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>
      <c r="A7" s="38" t="s">
        <v>25</v>
      </c>
      <c r="B7" s="41">
        <v>44204.0</v>
      </c>
      <c r="C7" s="22">
        <v>54135.0</v>
      </c>
      <c r="D7" s="24">
        <v>1802.0</v>
      </c>
      <c r="E7" s="25"/>
      <c r="F7" s="35">
        <v>8540.0</v>
      </c>
      <c r="G7" s="161">
        <v>8540.0</v>
      </c>
      <c r="H7" s="29">
        <v>12400.0</v>
      </c>
      <c r="I7" s="30">
        <f t="shared" si="1"/>
        <v>24655</v>
      </c>
      <c r="J7" s="31"/>
      <c r="K7" s="39"/>
      <c r="L7" s="33"/>
      <c r="M7" s="40"/>
      <c r="N7" s="35"/>
      <c r="O7" s="33"/>
      <c r="P7" s="33"/>
      <c r="Q7" s="35"/>
      <c r="R7" s="35"/>
      <c r="S7" s="33"/>
      <c r="T7" s="36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>
      <c r="A8" s="38" t="s">
        <v>26</v>
      </c>
      <c r="B8" s="41">
        <v>44205.0</v>
      </c>
      <c r="C8" s="22">
        <v>42990.0</v>
      </c>
      <c r="D8" s="24">
        <v>514.0</v>
      </c>
      <c r="E8" s="25">
        <v>2500.0</v>
      </c>
      <c r="F8" s="35">
        <v>6819.0</v>
      </c>
      <c r="G8" s="161">
        <v>4810.0</v>
      </c>
      <c r="H8" s="29">
        <v>9530.0</v>
      </c>
      <c r="I8" s="30">
        <f t="shared" si="1"/>
        <v>21831</v>
      </c>
      <c r="J8" s="31"/>
      <c r="K8" s="39"/>
      <c r="L8" s="33"/>
      <c r="M8" s="40"/>
      <c r="N8" s="35"/>
      <c r="O8" s="33"/>
      <c r="P8" s="33"/>
      <c r="Q8" s="35"/>
      <c r="R8" s="35"/>
      <c r="S8" s="33"/>
      <c r="T8" s="36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>
      <c r="A9" s="50" t="s">
        <v>27</v>
      </c>
      <c r="B9" s="41">
        <v>44206.0</v>
      </c>
      <c r="C9" s="45"/>
      <c r="D9" s="45"/>
      <c r="E9" s="45"/>
      <c r="F9" s="45"/>
      <c r="G9" s="161"/>
      <c r="H9" s="29"/>
      <c r="I9" s="30">
        <f t="shared" si="1"/>
        <v>0</v>
      </c>
      <c r="J9" s="31"/>
      <c r="K9" s="39"/>
      <c r="L9" s="33"/>
      <c r="M9" s="40"/>
      <c r="N9" s="35"/>
      <c r="O9" s="33"/>
      <c r="P9" s="33"/>
      <c r="Q9" s="35"/>
      <c r="R9" s="35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>
      <c r="A10" s="38" t="s">
        <v>21</v>
      </c>
      <c r="B10" s="41">
        <v>44207.0</v>
      </c>
      <c r="C10" s="22">
        <v>55770.0</v>
      </c>
      <c r="D10" s="24">
        <v>804.0</v>
      </c>
      <c r="E10" s="25">
        <v>2300.0</v>
      </c>
      <c r="F10" s="35">
        <v>4765.0</v>
      </c>
      <c r="G10" s="161">
        <v>6159.0</v>
      </c>
      <c r="H10" s="29">
        <v>9300.0</v>
      </c>
      <c r="I10" s="30">
        <f t="shared" si="1"/>
        <v>35546</v>
      </c>
      <c r="J10" s="31"/>
      <c r="K10" s="39"/>
      <c r="L10" s="33"/>
      <c r="M10" s="40"/>
      <c r="N10" s="35"/>
      <c r="O10" s="33"/>
      <c r="P10" s="33"/>
      <c r="Q10" s="35"/>
      <c r="R10" s="35"/>
      <c r="S10" s="33"/>
      <c r="T10" s="36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>
      <c r="A11" s="38" t="s">
        <v>22</v>
      </c>
      <c r="B11" s="41">
        <v>44208.0</v>
      </c>
      <c r="C11" s="22">
        <v>50525.0</v>
      </c>
      <c r="D11" s="24"/>
      <c r="E11" s="25"/>
      <c r="F11" s="35">
        <v>4570.0</v>
      </c>
      <c r="G11" s="161">
        <v>4435.0</v>
      </c>
      <c r="H11" s="29">
        <v>11815.0</v>
      </c>
      <c r="I11" s="30">
        <f t="shared" si="1"/>
        <v>29705</v>
      </c>
      <c r="J11" s="31"/>
      <c r="K11" s="39"/>
      <c r="L11" s="33"/>
      <c r="M11" s="40"/>
      <c r="N11" s="35"/>
      <c r="O11" s="33"/>
      <c r="P11" s="33"/>
      <c r="Q11" s="35"/>
      <c r="R11" s="35"/>
      <c r="S11" s="33"/>
      <c r="T11" s="36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>
      <c r="A12" s="38" t="s">
        <v>23</v>
      </c>
      <c r="B12" s="41">
        <v>44209.0</v>
      </c>
      <c r="C12" s="22">
        <v>40800.0</v>
      </c>
      <c r="D12" s="24">
        <v>2936.0</v>
      </c>
      <c r="E12" s="25">
        <v>1300.0</v>
      </c>
      <c r="F12" s="35">
        <v>9770.0</v>
      </c>
      <c r="G12" s="161">
        <v>3010.0</v>
      </c>
      <c r="H12" s="29">
        <v>9310.0</v>
      </c>
      <c r="I12" s="30">
        <f t="shared" si="1"/>
        <v>18710</v>
      </c>
      <c r="J12" s="31"/>
      <c r="K12" s="39"/>
      <c r="L12" s="33"/>
      <c r="M12" s="40"/>
      <c r="N12" s="35"/>
      <c r="O12" s="33"/>
      <c r="P12" s="33"/>
      <c r="Q12" s="35"/>
      <c r="R12" s="35"/>
      <c r="S12" s="33"/>
      <c r="T12" s="36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>
      <c r="A13" s="38" t="s">
        <v>24</v>
      </c>
      <c r="B13" s="41">
        <v>44210.0</v>
      </c>
      <c r="C13" s="22">
        <v>41205.0</v>
      </c>
      <c r="D13" s="24"/>
      <c r="E13" s="25"/>
      <c r="F13" s="35">
        <v>6571.0</v>
      </c>
      <c r="G13" s="161">
        <v>4745.0</v>
      </c>
      <c r="H13" s="29">
        <v>7655.0</v>
      </c>
      <c r="I13" s="30">
        <f t="shared" si="1"/>
        <v>22234</v>
      </c>
      <c r="J13" s="31"/>
      <c r="K13" s="39"/>
      <c r="L13" s="33"/>
      <c r="M13" s="40"/>
      <c r="N13" s="35"/>
      <c r="O13" s="33"/>
      <c r="P13" s="33"/>
      <c r="Q13" s="35"/>
      <c r="R13" s="35"/>
      <c r="S13" s="33"/>
      <c r="T13" s="36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>
      <c r="A14" s="38" t="s">
        <v>25</v>
      </c>
      <c r="B14" s="41">
        <v>44211.0</v>
      </c>
      <c r="C14" s="22">
        <v>48308.0</v>
      </c>
      <c r="D14" s="24">
        <v>3108.0</v>
      </c>
      <c r="E14" s="25">
        <v>1000.0</v>
      </c>
      <c r="F14" s="35">
        <v>5040.0</v>
      </c>
      <c r="G14" s="161">
        <v>4900.0</v>
      </c>
      <c r="H14" s="29">
        <v>13003.0</v>
      </c>
      <c r="I14" s="30">
        <f t="shared" si="1"/>
        <v>25365</v>
      </c>
      <c r="J14" s="31"/>
      <c r="K14" s="39"/>
      <c r="L14" s="33"/>
      <c r="M14" s="40"/>
      <c r="N14" s="35"/>
      <c r="O14" s="33"/>
      <c r="P14" s="33"/>
      <c r="Q14" s="35"/>
      <c r="R14" s="35"/>
      <c r="S14" s="33"/>
      <c r="T14" s="36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>
      <c r="A15" s="38" t="s">
        <v>26</v>
      </c>
      <c r="B15" s="41">
        <v>44212.0</v>
      </c>
      <c r="C15" s="22">
        <v>57117.0</v>
      </c>
      <c r="D15" s="24">
        <v>2056.0</v>
      </c>
      <c r="E15" s="25">
        <v>2600.0</v>
      </c>
      <c r="F15" s="35">
        <v>17295.0</v>
      </c>
      <c r="G15" s="161">
        <v>4205.0</v>
      </c>
      <c r="H15" s="29">
        <v>6720.0</v>
      </c>
      <c r="I15" s="30">
        <f t="shared" si="1"/>
        <v>28897</v>
      </c>
      <c r="J15" s="31"/>
      <c r="K15" s="39"/>
      <c r="L15" s="33"/>
      <c r="M15" s="40"/>
      <c r="N15" s="35"/>
      <c r="O15" s="33"/>
      <c r="P15" s="33"/>
      <c r="Q15" s="35"/>
      <c r="R15" s="35"/>
      <c r="S15" s="33"/>
      <c r="T15" s="36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>
      <c r="A16" s="50" t="s">
        <v>27</v>
      </c>
      <c r="B16" s="41">
        <v>44213.0</v>
      </c>
      <c r="C16" s="45"/>
      <c r="D16" s="45"/>
      <c r="E16" s="45"/>
      <c r="F16" s="45"/>
      <c r="G16" s="161"/>
      <c r="H16" s="29"/>
      <c r="I16" s="30">
        <f t="shared" si="1"/>
        <v>0</v>
      </c>
      <c r="J16" s="31"/>
      <c r="K16" s="39"/>
      <c r="L16" s="33"/>
      <c r="M16" s="40"/>
      <c r="N16" s="35"/>
      <c r="O16" s="33"/>
      <c r="P16" s="33"/>
      <c r="Q16" s="35"/>
      <c r="R16" s="35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>
      <c r="A17" s="38" t="s">
        <v>21</v>
      </c>
      <c r="B17" s="41">
        <v>44214.0</v>
      </c>
      <c r="C17" s="22">
        <v>45742.0</v>
      </c>
      <c r="D17" s="24">
        <v>2042.0</v>
      </c>
      <c r="E17" s="25">
        <v>2800.0</v>
      </c>
      <c r="F17" s="35">
        <v>8315.0</v>
      </c>
      <c r="G17" s="161">
        <v>5832.0</v>
      </c>
      <c r="H17" s="29">
        <v>12745.0</v>
      </c>
      <c r="I17" s="30">
        <f t="shared" si="1"/>
        <v>18850</v>
      </c>
      <c r="J17" s="31"/>
      <c r="K17" s="39"/>
      <c r="L17" s="33"/>
      <c r="M17" s="40"/>
      <c r="N17" s="35"/>
      <c r="O17" s="33"/>
      <c r="P17" s="33"/>
      <c r="Q17" s="35"/>
      <c r="R17" s="35"/>
      <c r="S17" s="33"/>
      <c r="T17" s="36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>
      <c r="A18" s="38" t="s">
        <v>22</v>
      </c>
      <c r="B18" s="41">
        <v>44215.0</v>
      </c>
      <c r="C18" s="22">
        <v>34223.0</v>
      </c>
      <c r="D18" s="24">
        <v>2027.0</v>
      </c>
      <c r="E18" s="25">
        <v>2400.0</v>
      </c>
      <c r="F18" s="35">
        <v>4530.0</v>
      </c>
      <c r="G18" s="161">
        <v>2190.0</v>
      </c>
      <c r="H18" s="29">
        <v>9585.0</v>
      </c>
      <c r="I18" s="30">
        <f t="shared" si="1"/>
        <v>17918</v>
      </c>
      <c r="J18" s="31"/>
      <c r="K18" s="39"/>
      <c r="L18" s="33"/>
      <c r="M18" s="40"/>
      <c r="N18" s="35"/>
      <c r="O18" s="33"/>
      <c r="P18" s="33"/>
      <c r="Q18" s="35"/>
      <c r="R18" s="35"/>
      <c r="S18" s="33"/>
      <c r="T18" s="36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>
      <c r="A19" s="38" t="s">
        <v>23</v>
      </c>
      <c r="B19" s="41">
        <v>44216.0</v>
      </c>
      <c r="C19" s="22">
        <v>43288.0</v>
      </c>
      <c r="D19" s="24">
        <v>2082.0</v>
      </c>
      <c r="E19" s="25">
        <v>1400.0</v>
      </c>
      <c r="F19" s="35">
        <v>6420.0</v>
      </c>
      <c r="G19" s="161">
        <v>4650.0</v>
      </c>
      <c r="H19" s="29">
        <v>8130.0</v>
      </c>
      <c r="I19" s="30">
        <f t="shared" si="1"/>
        <v>24088</v>
      </c>
      <c r="J19" s="31"/>
      <c r="K19" s="39"/>
      <c r="L19" s="33"/>
      <c r="M19" s="40"/>
      <c r="N19" s="35"/>
      <c r="O19" s="33"/>
      <c r="P19" s="33"/>
      <c r="Q19" s="35"/>
      <c r="R19" s="35"/>
      <c r="S19" s="33"/>
      <c r="T19" s="36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>
      <c r="A20" s="38" t="s">
        <v>24</v>
      </c>
      <c r="B20" s="41">
        <v>44217.0</v>
      </c>
      <c r="C20" s="22">
        <v>50273.0</v>
      </c>
      <c r="D20" s="24">
        <v>2328.0</v>
      </c>
      <c r="E20" s="25">
        <v>1000.0</v>
      </c>
      <c r="F20" s="35">
        <v>7390.0</v>
      </c>
      <c r="G20" s="161">
        <v>5160.0</v>
      </c>
      <c r="H20" s="29">
        <v>13040.0</v>
      </c>
      <c r="I20" s="30">
        <f t="shared" si="1"/>
        <v>24683</v>
      </c>
      <c r="J20" s="31"/>
      <c r="K20" s="39"/>
      <c r="L20" s="33"/>
      <c r="M20" s="40"/>
      <c r="N20" s="35"/>
      <c r="O20" s="33"/>
      <c r="P20" s="33"/>
      <c r="Q20" s="35"/>
      <c r="R20" s="35"/>
      <c r="S20" s="33"/>
      <c r="T20" s="36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>
      <c r="A21" s="38" t="s">
        <v>25</v>
      </c>
      <c r="B21" s="41">
        <v>44218.0</v>
      </c>
      <c r="C21" s="22">
        <v>44210.0</v>
      </c>
      <c r="D21" s="24">
        <v>1452.0</v>
      </c>
      <c r="E21" s="25">
        <v>500.0</v>
      </c>
      <c r="F21" s="35">
        <v>5165.0</v>
      </c>
      <c r="G21" s="161">
        <v>1838.0</v>
      </c>
      <c r="H21" s="29">
        <v>16840.0</v>
      </c>
      <c r="I21" s="30">
        <f t="shared" si="1"/>
        <v>20367</v>
      </c>
      <c r="J21" s="31"/>
      <c r="K21" s="39"/>
      <c r="L21" s="33"/>
      <c r="M21" s="40"/>
      <c r="N21" s="35"/>
      <c r="O21" s="33"/>
      <c r="P21" s="33"/>
      <c r="Q21" s="35"/>
      <c r="R21" s="35"/>
      <c r="S21" s="33"/>
      <c r="T21" s="36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>
      <c r="A22" s="38" t="s">
        <v>26</v>
      </c>
      <c r="B22" s="41">
        <v>44219.0</v>
      </c>
      <c r="C22" s="22">
        <v>54839.0</v>
      </c>
      <c r="D22" s="24"/>
      <c r="E22" s="25"/>
      <c r="F22" s="35">
        <v>9413.0</v>
      </c>
      <c r="G22" s="161">
        <v>4145.0</v>
      </c>
      <c r="H22" s="29">
        <v>8860.0</v>
      </c>
      <c r="I22" s="30">
        <f t="shared" si="1"/>
        <v>32421</v>
      </c>
      <c r="J22" s="31"/>
      <c r="K22" s="39"/>
      <c r="L22" s="33"/>
      <c r="M22" s="40"/>
      <c r="N22" s="35"/>
      <c r="O22" s="33"/>
      <c r="P22" s="33"/>
      <c r="Q22" s="35"/>
      <c r="R22" s="35"/>
      <c r="S22" s="33"/>
      <c r="T22" s="36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>
      <c r="A23" s="50" t="s">
        <v>27</v>
      </c>
      <c r="B23" s="41">
        <v>44220.0</v>
      </c>
      <c r="C23" s="45"/>
      <c r="D23" s="45"/>
      <c r="E23" s="45"/>
      <c r="F23" s="45"/>
      <c r="G23" s="161"/>
      <c r="H23" s="29"/>
      <c r="I23" s="30">
        <f t="shared" si="1"/>
        <v>0</v>
      </c>
      <c r="J23" s="31"/>
      <c r="K23" s="39"/>
      <c r="L23" s="33"/>
      <c r="M23" s="40"/>
      <c r="N23" s="35"/>
      <c r="O23" s="33"/>
      <c r="P23" s="33"/>
      <c r="Q23" s="35"/>
      <c r="R23" s="35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>
      <c r="A24" s="38" t="s">
        <v>21</v>
      </c>
      <c r="B24" s="41">
        <v>44221.0</v>
      </c>
      <c r="C24" s="22">
        <v>38760.0</v>
      </c>
      <c r="D24" s="24">
        <v>1927.0</v>
      </c>
      <c r="E24" s="25">
        <v>1700.0</v>
      </c>
      <c r="F24" s="35">
        <v>6065.0</v>
      </c>
      <c r="G24" s="161">
        <v>6677.0</v>
      </c>
      <c r="H24" s="29">
        <v>7920.0</v>
      </c>
      <c r="I24" s="30">
        <f t="shared" si="1"/>
        <v>18098</v>
      </c>
      <c r="J24" s="31"/>
      <c r="K24" s="39"/>
      <c r="L24" s="33"/>
      <c r="M24" s="40"/>
      <c r="N24" s="35"/>
      <c r="O24" s="33"/>
      <c r="P24" s="33"/>
      <c r="Q24" s="35"/>
      <c r="R24" s="35"/>
      <c r="S24" s="33"/>
      <c r="T24" s="36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>
      <c r="A25" s="38" t="s">
        <v>22</v>
      </c>
      <c r="B25" s="41">
        <v>44222.0</v>
      </c>
      <c r="C25" s="22">
        <v>44600.0</v>
      </c>
      <c r="D25" s="24">
        <v>1785.0</v>
      </c>
      <c r="E25" s="25">
        <v>1700.0</v>
      </c>
      <c r="F25" s="35">
        <v>4000.0</v>
      </c>
      <c r="G25" s="161">
        <v>3465.0</v>
      </c>
      <c r="H25" s="29">
        <v>13705.0</v>
      </c>
      <c r="I25" s="30">
        <f t="shared" si="1"/>
        <v>23430</v>
      </c>
      <c r="J25" s="31"/>
      <c r="K25" s="39"/>
      <c r="L25" s="33"/>
      <c r="M25" s="40"/>
      <c r="N25" s="35"/>
      <c r="O25" s="33"/>
      <c r="P25" s="33"/>
      <c r="Q25" s="35"/>
      <c r="R25" s="35"/>
      <c r="S25" s="33"/>
      <c r="T25" s="36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>
      <c r="A26" s="38" t="s">
        <v>23</v>
      </c>
      <c r="B26" s="41">
        <v>44223.0</v>
      </c>
      <c r="C26" s="22">
        <v>42380.0</v>
      </c>
      <c r="D26" s="24">
        <v>2200.0</v>
      </c>
      <c r="E26" s="25">
        <v>800.0</v>
      </c>
      <c r="F26" s="35">
        <v>6485.0</v>
      </c>
      <c r="G26" s="161">
        <v>3475.0</v>
      </c>
      <c r="H26" s="29">
        <v>10015.0</v>
      </c>
      <c r="I26" s="30">
        <f t="shared" si="1"/>
        <v>22405</v>
      </c>
      <c r="J26" s="31"/>
      <c r="K26" s="39"/>
      <c r="L26" s="33"/>
      <c r="M26" s="40"/>
      <c r="N26" s="35"/>
      <c r="O26" s="33"/>
      <c r="P26" s="33"/>
      <c r="Q26" s="35"/>
      <c r="R26" s="35"/>
      <c r="S26" s="33"/>
      <c r="T26" s="36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>
      <c r="A27" s="38" t="s">
        <v>24</v>
      </c>
      <c r="B27" s="41">
        <v>44224.0</v>
      </c>
      <c r="C27" s="22">
        <v>49575.0</v>
      </c>
      <c r="D27" s="24">
        <v>2930.0</v>
      </c>
      <c r="E27" s="25">
        <v>200.0</v>
      </c>
      <c r="F27" s="35">
        <v>6395.0</v>
      </c>
      <c r="G27" s="161">
        <v>6681.0</v>
      </c>
      <c r="H27" s="29">
        <v>8415.0</v>
      </c>
      <c r="I27" s="30">
        <f t="shared" si="1"/>
        <v>28084</v>
      </c>
      <c r="J27" s="31"/>
      <c r="K27" s="39"/>
      <c r="L27" s="33"/>
      <c r="M27" s="40"/>
      <c r="N27" s="35"/>
      <c r="O27" s="33"/>
      <c r="P27" s="33"/>
      <c r="Q27" s="35"/>
      <c r="R27" s="35"/>
      <c r="S27" s="33"/>
      <c r="T27" s="36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>
      <c r="A28" s="38" t="s">
        <v>25</v>
      </c>
      <c r="B28" s="41">
        <v>44225.0</v>
      </c>
      <c r="C28" s="22">
        <v>53973.0</v>
      </c>
      <c r="D28" s="24">
        <v>1621.0</v>
      </c>
      <c r="E28" s="25">
        <v>0.0</v>
      </c>
      <c r="F28" s="35">
        <v>7478.0</v>
      </c>
      <c r="G28" s="161">
        <v>7450.0</v>
      </c>
      <c r="H28" s="29">
        <v>12110.0</v>
      </c>
      <c r="I28" s="30">
        <f t="shared" si="1"/>
        <v>26935</v>
      </c>
      <c r="J28" s="31"/>
      <c r="K28" s="39"/>
      <c r="L28" s="33"/>
      <c r="M28" s="40"/>
      <c r="N28" s="35"/>
      <c r="O28" s="33"/>
      <c r="P28" s="33"/>
      <c r="Q28" s="35"/>
      <c r="R28" s="35"/>
      <c r="S28" s="33"/>
      <c r="T28" s="36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>
      <c r="A29" s="38" t="s">
        <v>26</v>
      </c>
      <c r="B29" s="41">
        <v>44226.0</v>
      </c>
      <c r="C29" s="22">
        <v>48138.0</v>
      </c>
      <c r="D29" s="24">
        <v>2509.0</v>
      </c>
      <c r="E29" s="25">
        <v>1800.0</v>
      </c>
      <c r="F29" s="35">
        <v>8613.0</v>
      </c>
      <c r="G29" s="161">
        <v>4175.0</v>
      </c>
      <c r="H29" s="29">
        <v>11065.0</v>
      </c>
      <c r="I29" s="30">
        <f t="shared" si="1"/>
        <v>24285</v>
      </c>
      <c r="J29" s="31"/>
      <c r="K29" s="39"/>
      <c r="L29" s="33"/>
      <c r="M29" s="40"/>
      <c r="N29" s="35"/>
      <c r="O29" s="33"/>
      <c r="P29" s="33"/>
      <c r="Q29" s="35"/>
      <c r="R29" s="35"/>
      <c r="S29" s="33"/>
      <c r="T29" s="36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>
      <c r="A30" s="50" t="s">
        <v>27</v>
      </c>
      <c r="B30" s="41">
        <v>44227.0</v>
      </c>
      <c r="C30" s="45"/>
      <c r="D30" s="45"/>
      <c r="E30" s="45"/>
      <c r="F30" s="45"/>
      <c r="G30" s="161"/>
      <c r="H30" s="29"/>
      <c r="I30" s="30">
        <f t="shared" si="1"/>
        <v>0</v>
      </c>
      <c r="J30" s="31"/>
      <c r="K30" s="39"/>
      <c r="L30" s="33"/>
      <c r="M30" s="40"/>
      <c r="N30" s="35"/>
      <c r="O30" s="33"/>
      <c r="P30" s="33"/>
      <c r="Q30" s="35"/>
      <c r="R30" s="35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r="31">
      <c r="A31" s="68" t="s">
        <v>28</v>
      </c>
      <c r="B31" s="69" t="s">
        <v>29</v>
      </c>
      <c r="C31" s="70">
        <f>SUM(C2:C30)</f>
        <v>1127277</v>
      </c>
      <c r="D31" s="71"/>
      <c r="E31" s="71"/>
      <c r="F31" s="70">
        <f t="shared" ref="F31:H31" si="2">SUM(F2:F30)</f>
        <v>183666</v>
      </c>
      <c r="G31" s="853">
        <f t="shared" si="2"/>
        <v>110247</v>
      </c>
      <c r="H31" s="854">
        <f t="shared" si="2"/>
        <v>243688</v>
      </c>
      <c r="I31" s="30">
        <f t="shared" si="1"/>
        <v>589676</v>
      </c>
      <c r="J31" s="74"/>
      <c r="K31" s="75"/>
      <c r="L31" s="76"/>
      <c r="M31" s="77"/>
      <c r="N31" s="77"/>
      <c r="O31" s="77"/>
      <c r="P31" s="77"/>
      <c r="Q31" s="76"/>
      <c r="R31" s="76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>
      <c r="A32" s="38"/>
      <c r="B32" s="41"/>
      <c r="C32" s="22"/>
      <c r="D32" s="24"/>
      <c r="E32" s="25"/>
      <c r="F32" s="35"/>
      <c r="G32" s="852"/>
      <c r="H32" s="29"/>
      <c r="I32" s="30">
        <f t="shared" si="1"/>
        <v>0</v>
      </c>
      <c r="J32" s="31"/>
      <c r="K32" s="39"/>
      <c r="L32" s="33"/>
      <c r="M32" s="40"/>
      <c r="N32" s="35"/>
      <c r="O32" s="33"/>
      <c r="P32" s="33"/>
      <c r="Q32" s="35"/>
      <c r="R32" s="35"/>
      <c r="S32" s="33"/>
      <c r="T32" s="36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>
      <c r="A33" s="789" t="s">
        <v>33</v>
      </c>
      <c r="B33" s="855" t="s">
        <v>3564</v>
      </c>
      <c r="C33" s="790"/>
      <c r="D33" s="792"/>
      <c r="E33" s="793"/>
      <c r="F33" s="794"/>
      <c r="G33" s="856"/>
      <c r="H33" s="796"/>
      <c r="I33" s="30">
        <f t="shared" si="1"/>
        <v>0</v>
      </c>
      <c r="J33" s="797"/>
      <c r="K33" s="798"/>
      <c r="L33" s="799"/>
      <c r="M33" s="800"/>
      <c r="N33" s="794"/>
      <c r="O33" s="799"/>
      <c r="P33" s="799"/>
      <c r="Q33" s="794"/>
      <c r="R33" s="794"/>
      <c r="S33" s="33"/>
      <c r="T33" s="36"/>
      <c r="U33" s="799"/>
      <c r="V33" s="799"/>
      <c r="W33" s="799"/>
      <c r="X33" s="799"/>
      <c r="Y33" s="799"/>
      <c r="Z33" s="799"/>
      <c r="AA33" s="799"/>
      <c r="AB33" s="799"/>
      <c r="AC33" s="799"/>
      <c r="AD33" s="799"/>
      <c r="AE33" s="799"/>
      <c r="AF33" s="799"/>
      <c r="AG33" s="799"/>
    </row>
    <row r="34">
      <c r="A34" s="50" t="s">
        <v>27</v>
      </c>
      <c r="B34" s="788">
        <v>43863.0</v>
      </c>
      <c r="C34" s="45"/>
      <c r="D34" s="45"/>
      <c r="E34" s="45"/>
      <c r="F34" s="45"/>
      <c r="G34" s="852"/>
      <c r="H34" s="112"/>
      <c r="I34" s="30">
        <f t="shared" si="1"/>
        <v>0</v>
      </c>
      <c r="J34" s="31"/>
      <c r="K34" s="39"/>
      <c r="L34" s="33"/>
      <c r="M34" s="40"/>
      <c r="N34" s="35"/>
      <c r="O34" s="33"/>
      <c r="P34" s="33"/>
      <c r="Q34" s="35"/>
      <c r="R34" s="35"/>
      <c r="S34" s="33"/>
      <c r="T34" s="36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>
      <c r="A35" s="38" t="s">
        <v>21</v>
      </c>
      <c r="B35" s="41">
        <v>43864.0</v>
      </c>
      <c r="C35" s="22">
        <v>46920.0</v>
      </c>
      <c r="D35" s="24">
        <v>1348.0</v>
      </c>
      <c r="E35" s="25">
        <v>1400.0</v>
      </c>
      <c r="F35" s="35">
        <v>10765.0</v>
      </c>
      <c r="G35" s="161">
        <v>7580.0</v>
      </c>
      <c r="H35" s="29">
        <v>8590.0</v>
      </c>
      <c r="I35" s="30">
        <f t="shared" si="1"/>
        <v>19985</v>
      </c>
      <c r="J35" s="31"/>
      <c r="K35" s="39"/>
      <c r="L35" s="33"/>
      <c r="M35" s="40"/>
      <c r="N35" s="35"/>
      <c r="O35" s="33"/>
      <c r="P35" s="33"/>
      <c r="Q35" s="35"/>
      <c r="R35" s="35"/>
      <c r="S35" s="33"/>
      <c r="T35" s="36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>
      <c r="A36" s="38" t="s">
        <v>22</v>
      </c>
      <c r="B36" s="41">
        <v>43865.0</v>
      </c>
      <c r="C36" s="22">
        <v>52265.0</v>
      </c>
      <c r="D36" s="24">
        <v>2080.0</v>
      </c>
      <c r="E36" s="25">
        <v>300.0</v>
      </c>
      <c r="F36" s="35">
        <v>10245.0</v>
      </c>
      <c r="G36" s="161">
        <v>3739.0</v>
      </c>
      <c r="H36" s="29">
        <v>11970.0</v>
      </c>
      <c r="I36" s="30">
        <f t="shared" si="1"/>
        <v>26311</v>
      </c>
      <c r="J36" s="31"/>
      <c r="K36" s="39"/>
      <c r="L36" s="33"/>
      <c r="M36" s="40"/>
      <c r="N36" s="35"/>
      <c r="O36" s="33"/>
      <c r="P36" s="33"/>
      <c r="Q36" s="35"/>
      <c r="R36" s="35"/>
      <c r="S36" s="33"/>
      <c r="T36" s="36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>
      <c r="A37" s="38" t="s">
        <v>32</v>
      </c>
      <c r="B37" s="41">
        <v>43866.0</v>
      </c>
      <c r="C37" s="22">
        <v>62035.0</v>
      </c>
      <c r="D37" s="24">
        <v>1605.0</v>
      </c>
      <c r="E37" s="25">
        <v>0.0</v>
      </c>
      <c r="F37" s="35">
        <v>11180.0</v>
      </c>
      <c r="G37" s="161">
        <v>10430.0</v>
      </c>
      <c r="H37" s="29">
        <v>13240.0</v>
      </c>
      <c r="I37" s="30">
        <f t="shared" si="1"/>
        <v>27185</v>
      </c>
      <c r="J37" s="31"/>
      <c r="K37" s="39"/>
      <c r="L37" s="33"/>
      <c r="M37" s="40"/>
      <c r="N37" s="35"/>
      <c r="O37" s="33"/>
      <c r="P37" s="33"/>
      <c r="Q37" s="35"/>
      <c r="R37" s="35"/>
      <c r="S37" s="33"/>
      <c r="T37" s="36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>
      <c r="A38" s="38" t="s">
        <v>24</v>
      </c>
      <c r="B38" s="41">
        <v>43867.0</v>
      </c>
      <c r="C38" s="22">
        <v>51410.0</v>
      </c>
      <c r="D38" s="24">
        <v>2000.0</v>
      </c>
      <c r="E38" s="25">
        <v>800.0</v>
      </c>
      <c r="F38" s="35">
        <v>4440.0</v>
      </c>
      <c r="G38" s="161">
        <v>5535.0</v>
      </c>
      <c r="H38" s="29">
        <v>14465.0</v>
      </c>
      <c r="I38" s="30">
        <f t="shared" si="1"/>
        <v>26970</v>
      </c>
      <c r="J38" s="31"/>
      <c r="K38" s="39"/>
      <c r="L38" s="33"/>
      <c r="M38" s="40"/>
      <c r="N38" s="35"/>
      <c r="O38" s="33"/>
      <c r="P38" s="33"/>
      <c r="Q38" s="35"/>
      <c r="R38" s="35"/>
      <c r="S38" s="33"/>
      <c r="T38" s="36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>
      <c r="A39" s="38" t="s">
        <v>25</v>
      </c>
      <c r="B39" s="41">
        <v>43868.0</v>
      </c>
      <c r="C39" s="22">
        <v>65338.0</v>
      </c>
      <c r="D39" s="24">
        <v>1489.0</v>
      </c>
      <c r="E39" s="25">
        <v>100.0</v>
      </c>
      <c r="F39" s="35">
        <v>16583.0</v>
      </c>
      <c r="G39" s="161">
        <v>6199.0</v>
      </c>
      <c r="H39" s="29">
        <v>9265.0</v>
      </c>
      <c r="I39" s="30">
        <f t="shared" si="1"/>
        <v>33291</v>
      </c>
      <c r="J39" s="31"/>
      <c r="K39" s="39"/>
      <c r="L39" s="33"/>
      <c r="M39" s="40"/>
      <c r="N39" s="35"/>
      <c r="O39" s="33"/>
      <c r="P39" s="33"/>
      <c r="Q39" s="35"/>
      <c r="R39" s="35"/>
      <c r="S39" s="33"/>
      <c r="T39" s="36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>
      <c r="A40" s="38" t="s">
        <v>33</v>
      </c>
      <c r="B40" s="41">
        <v>43869.0</v>
      </c>
      <c r="C40" s="22">
        <v>44430.0</v>
      </c>
      <c r="D40" s="24">
        <v>2386.0</v>
      </c>
      <c r="E40" s="25">
        <v>500.0</v>
      </c>
      <c r="F40" s="35">
        <v>6365.0</v>
      </c>
      <c r="G40" s="161">
        <v>3490.0</v>
      </c>
      <c r="H40" s="29">
        <v>7000.0</v>
      </c>
      <c r="I40" s="30">
        <f t="shared" si="1"/>
        <v>27575</v>
      </c>
      <c r="J40" s="31"/>
      <c r="K40" s="39"/>
      <c r="L40" s="33"/>
      <c r="M40" s="40"/>
      <c r="N40" s="35"/>
      <c r="O40" s="33"/>
      <c r="P40" s="33"/>
      <c r="Q40" s="35"/>
      <c r="R40" s="35"/>
      <c r="S40" s="33"/>
      <c r="T40" s="36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>
      <c r="A41" s="42" t="s">
        <v>27</v>
      </c>
      <c r="B41" s="51">
        <v>43870.0</v>
      </c>
      <c r="G41" s="252"/>
      <c r="H41" s="857"/>
      <c r="I41" s="30">
        <f t="shared" si="1"/>
        <v>0</v>
      </c>
      <c r="J41" s="31"/>
      <c r="K41" s="39"/>
      <c r="L41" s="33"/>
      <c r="M41" s="40"/>
      <c r="N41" s="35"/>
      <c r="O41" s="33"/>
      <c r="P41" s="33"/>
      <c r="Q41" s="35"/>
      <c r="R41" s="35"/>
      <c r="S41" s="33"/>
      <c r="T41" s="3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</row>
    <row r="42">
      <c r="A42" s="38" t="s">
        <v>21</v>
      </c>
      <c r="B42" s="41">
        <v>43871.0</v>
      </c>
      <c r="C42" s="44">
        <v>56342.0</v>
      </c>
      <c r="D42" s="44">
        <v>1722.0</v>
      </c>
      <c r="E42" s="44">
        <v>100.0</v>
      </c>
      <c r="F42" s="44">
        <v>8440.0</v>
      </c>
      <c r="G42" s="161">
        <v>2485.0</v>
      </c>
      <c r="H42" s="29">
        <v>12750.0</v>
      </c>
      <c r="I42" s="30">
        <f t="shared" si="1"/>
        <v>32667</v>
      </c>
      <c r="J42" s="31"/>
      <c r="K42" s="39"/>
      <c r="L42" s="33"/>
      <c r="M42" s="40"/>
      <c r="N42" s="35"/>
      <c r="O42" s="33"/>
      <c r="P42" s="33"/>
      <c r="Q42" s="35"/>
      <c r="R42" s="35"/>
      <c r="S42" s="33"/>
      <c r="T42" s="36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>
      <c r="A43" s="38" t="s">
        <v>22</v>
      </c>
      <c r="B43" s="41">
        <v>43872.0</v>
      </c>
      <c r="C43" s="22">
        <v>53870.0</v>
      </c>
      <c r="D43" s="24">
        <v>1423.0</v>
      </c>
      <c r="E43" s="25">
        <v>100.0</v>
      </c>
      <c r="F43" s="35">
        <v>10870.0</v>
      </c>
      <c r="G43" s="161">
        <v>1699.0</v>
      </c>
      <c r="H43" s="29">
        <v>8870.0</v>
      </c>
      <c r="I43" s="30">
        <f t="shared" si="1"/>
        <v>32431</v>
      </c>
      <c r="J43" s="31"/>
      <c r="K43" s="39"/>
      <c r="L43" s="33"/>
      <c r="M43" s="40"/>
      <c r="N43" s="35"/>
      <c r="O43" s="33"/>
      <c r="P43" s="33"/>
      <c r="Q43" s="35"/>
      <c r="R43" s="35"/>
      <c r="S43" s="33"/>
      <c r="T43" s="36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>
      <c r="A44" s="38" t="s">
        <v>32</v>
      </c>
      <c r="B44" s="41">
        <v>43873.0</v>
      </c>
      <c r="C44" s="22">
        <v>47061.0</v>
      </c>
      <c r="D44" s="24">
        <v>1775.0</v>
      </c>
      <c r="E44" s="25"/>
      <c r="F44" s="35">
        <v>10365.0</v>
      </c>
      <c r="G44" s="161">
        <v>5395.0</v>
      </c>
      <c r="H44" s="29">
        <v>8945.0</v>
      </c>
      <c r="I44" s="30">
        <f t="shared" si="1"/>
        <v>22356</v>
      </c>
      <c r="J44" s="31"/>
      <c r="K44" s="39"/>
      <c r="L44" s="33"/>
      <c r="M44" s="40"/>
      <c r="N44" s="35"/>
      <c r="O44" s="33"/>
      <c r="P44" s="33"/>
      <c r="Q44" s="35"/>
      <c r="R44" s="35"/>
      <c r="S44" s="33"/>
      <c r="T44" s="36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>
      <c r="A45" s="38" t="s">
        <v>24</v>
      </c>
      <c r="B45" s="41">
        <v>43874.0</v>
      </c>
      <c r="C45" s="22">
        <f>34075+20890</f>
        <v>54965</v>
      </c>
      <c r="D45" s="24">
        <v>2200.0</v>
      </c>
      <c r="E45" s="25">
        <v>300.0</v>
      </c>
      <c r="F45" s="35">
        <v>8705.0</v>
      </c>
      <c r="G45" s="161">
        <v>3935.0</v>
      </c>
      <c r="H45" s="29">
        <v>11690.0</v>
      </c>
      <c r="I45" s="30">
        <f t="shared" si="1"/>
        <v>30635</v>
      </c>
      <c r="J45" s="31"/>
      <c r="K45" s="39"/>
      <c r="L45" s="33"/>
      <c r="M45" s="40"/>
      <c r="N45" s="35"/>
      <c r="O45" s="33"/>
      <c r="P45" s="33"/>
      <c r="Q45" s="35"/>
      <c r="R45" s="35"/>
      <c r="S45" s="33"/>
      <c r="T45" s="36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>
      <c r="A46" s="38" t="s">
        <v>25</v>
      </c>
      <c r="B46" s="41">
        <v>43875.0</v>
      </c>
      <c r="C46" s="22">
        <v>38005.0</v>
      </c>
      <c r="D46" s="24">
        <v>2530.0</v>
      </c>
      <c r="E46" s="25"/>
      <c r="F46" s="35">
        <v>1940.0</v>
      </c>
      <c r="G46" s="161">
        <v>2680.0</v>
      </c>
      <c r="H46" s="29">
        <v>4870.0</v>
      </c>
      <c r="I46" s="30">
        <f t="shared" si="1"/>
        <v>28515</v>
      </c>
      <c r="J46" s="31"/>
      <c r="K46" s="39"/>
      <c r="L46" s="33"/>
      <c r="M46" s="40"/>
      <c r="N46" s="35"/>
      <c r="O46" s="33"/>
      <c r="P46" s="33"/>
      <c r="Q46" s="35"/>
      <c r="R46" s="35"/>
      <c r="S46" s="33"/>
      <c r="T46" s="36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>
      <c r="A47" s="38" t="s">
        <v>33</v>
      </c>
      <c r="B47" s="41">
        <v>43876.0</v>
      </c>
      <c r="C47" s="22">
        <v>48735.0</v>
      </c>
      <c r="D47" s="24">
        <v>2330.0</v>
      </c>
      <c r="E47" s="25">
        <v>1300.0</v>
      </c>
      <c r="F47" s="35">
        <v>13630.0</v>
      </c>
      <c r="G47" s="161">
        <v>4465.0</v>
      </c>
      <c r="H47" s="29">
        <v>5605.0</v>
      </c>
      <c r="I47" s="30">
        <f t="shared" si="1"/>
        <v>25035</v>
      </c>
      <c r="J47" s="31"/>
      <c r="K47" s="39"/>
      <c r="L47" s="33"/>
      <c r="M47" s="40"/>
      <c r="N47" s="35"/>
      <c r="O47" s="33"/>
      <c r="P47" s="33"/>
      <c r="Q47" s="35"/>
      <c r="R47" s="35"/>
      <c r="S47" s="33"/>
      <c r="T47" s="36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>
      <c r="A48" s="42" t="s">
        <v>27</v>
      </c>
      <c r="B48" s="51">
        <v>43877.0</v>
      </c>
      <c r="C48" s="44"/>
      <c r="D48" s="44"/>
      <c r="E48" s="44"/>
      <c r="F48" s="44"/>
      <c r="G48" s="852"/>
      <c r="H48" s="112"/>
      <c r="I48" s="30">
        <f t="shared" si="1"/>
        <v>0</v>
      </c>
      <c r="J48" s="31"/>
      <c r="K48" s="39"/>
      <c r="L48" s="33"/>
      <c r="M48" s="40"/>
      <c r="N48" s="35"/>
      <c r="O48" s="33"/>
      <c r="P48" s="33"/>
      <c r="Q48" s="35"/>
      <c r="R48" s="35"/>
      <c r="S48" s="33"/>
      <c r="T48" s="3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</row>
    <row r="49">
      <c r="A49" s="38" t="s">
        <v>21</v>
      </c>
      <c r="B49" s="41">
        <v>43878.0</v>
      </c>
      <c r="C49" s="22"/>
      <c r="D49" s="24"/>
      <c r="E49" s="25"/>
      <c r="F49" s="35"/>
      <c r="G49" s="852"/>
      <c r="H49" s="29"/>
      <c r="I49" s="30">
        <f t="shared" si="1"/>
        <v>0</v>
      </c>
      <c r="J49" s="31"/>
      <c r="K49" s="39"/>
      <c r="L49" s="33"/>
      <c r="M49" s="40"/>
      <c r="N49" s="35"/>
      <c r="O49" s="33"/>
      <c r="P49" s="33"/>
      <c r="Q49" s="35"/>
      <c r="R49" s="35"/>
      <c r="S49" s="33"/>
      <c r="T49" s="36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>
      <c r="A50" s="38" t="s">
        <v>22</v>
      </c>
      <c r="B50" s="41">
        <v>43879.0</v>
      </c>
      <c r="C50" s="22"/>
      <c r="D50" s="24"/>
      <c r="E50" s="25"/>
      <c r="F50" s="35"/>
      <c r="G50" s="161"/>
      <c r="H50" s="29"/>
      <c r="I50" s="30">
        <f t="shared" si="1"/>
        <v>0</v>
      </c>
      <c r="J50" s="31"/>
      <c r="K50" s="39"/>
      <c r="L50" s="33"/>
      <c r="M50" s="40"/>
      <c r="N50" s="35"/>
      <c r="O50" s="33"/>
      <c r="P50" s="33"/>
      <c r="Q50" s="35"/>
      <c r="R50" s="35"/>
      <c r="S50" s="33"/>
      <c r="T50" s="36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>
      <c r="A51" s="38" t="s">
        <v>32</v>
      </c>
      <c r="B51" s="41">
        <v>43880.0</v>
      </c>
      <c r="C51" s="22">
        <v>55440.0</v>
      </c>
      <c r="D51" s="24">
        <v>1572.0</v>
      </c>
      <c r="E51" s="25">
        <v>800.0</v>
      </c>
      <c r="F51" s="35">
        <v>9620.0</v>
      </c>
      <c r="G51" s="161">
        <v>5150.0</v>
      </c>
      <c r="H51" s="29">
        <v>9225.0</v>
      </c>
      <c r="I51" s="30">
        <f t="shared" si="1"/>
        <v>31445</v>
      </c>
      <c r="J51" s="31"/>
      <c r="K51" s="39"/>
      <c r="L51" s="33"/>
      <c r="M51" s="40"/>
      <c r="N51" s="35"/>
      <c r="O51" s="33"/>
      <c r="P51" s="33"/>
      <c r="Q51" s="35"/>
      <c r="R51" s="35"/>
      <c r="S51" s="33"/>
      <c r="T51" s="36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>
      <c r="A52" s="38" t="s">
        <v>24</v>
      </c>
      <c r="B52" s="41">
        <v>43881.0</v>
      </c>
      <c r="C52" s="22">
        <v>50588.0</v>
      </c>
      <c r="D52" s="24">
        <v>1960.0</v>
      </c>
      <c r="E52" s="25">
        <v>600.0</v>
      </c>
      <c r="F52" s="35">
        <v>9320.0</v>
      </c>
      <c r="G52" s="161">
        <v>5720.0</v>
      </c>
      <c r="H52" s="29">
        <v>14611.0</v>
      </c>
      <c r="I52" s="30">
        <f t="shared" si="1"/>
        <v>20937</v>
      </c>
      <c r="J52" s="31"/>
      <c r="K52" s="39"/>
      <c r="L52" s="33"/>
      <c r="M52" s="40"/>
      <c r="N52" s="35"/>
      <c r="O52" s="33"/>
      <c r="P52" s="33"/>
      <c r="Q52" s="35"/>
      <c r="R52" s="35"/>
      <c r="S52" s="33"/>
      <c r="T52" s="36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>
      <c r="A53" s="38" t="s">
        <v>25</v>
      </c>
      <c r="B53" s="41">
        <v>43882.0</v>
      </c>
      <c r="C53" s="22">
        <v>54756.0</v>
      </c>
      <c r="D53" s="24">
        <v>1708.0</v>
      </c>
      <c r="E53" s="25">
        <v>0.0</v>
      </c>
      <c r="F53" s="35">
        <v>6935.0</v>
      </c>
      <c r="G53" s="161">
        <v>2050.0</v>
      </c>
      <c r="H53" s="29">
        <v>13592.0</v>
      </c>
      <c r="I53" s="30">
        <f t="shared" si="1"/>
        <v>32179</v>
      </c>
      <c r="J53" s="31"/>
      <c r="K53" s="39"/>
      <c r="L53" s="33"/>
      <c r="M53" s="40"/>
      <c r="N53" s="35"/>
      <c r="O53" s="33"/>
      <c r="P53" s="33"/>
      <c r="Q53" s="35"/>
      <c r="R53" s="35"/>
      <c r="S53" s="33"/>
      <c r="T53" s="36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>
      <c r="A54" s="150" t="s">
        <v>33</v>
      </c>
      <c r="B54" s="162">
        <v>44247.0</v>
      </c>
      <c r="C54" s="160">
        <v>42599.0</v>
      </c>
      <c r="D54" s="160">
        <v>2260.0</v>
      </c>
      <c r="E54" s="160">
        <v>1100.0</v>
      </c>
      <c r="F54" s="160">
        <v>13100.0</v>
      </c>
      <c r="G54" s="858">
        <v>1220.0</v>
      </c>
      <c r="H54" s="859">
        <v>9665.0</v>
      </c>
      <c r="I54" s="30">
        <f t="shared" si="1"/>
        <v>18614</v>
      </c>
      <c r="J54" s="31"/>
      <c r="K54" s="39"/>
      <c r="L54" s="33"/>
      <c r="M54" s="40"/>
      <c r="N54" s="35"/>
      <c r="O54" s="33"/>
      <c r="P54" s="33"/>
      <c r="Q54" s="35"/>
      <c r="R54" s="35"/>
      <c r="S54" s="33"/>
      <c r="T54" s="36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>
      <c r="A55" s="42" t="s">
        <v>27</v>
      </c>
      <c r="B55" s="51">
        <v>43884.0</v>
      </c>
      <c r="C55" s="44"/>
      <c r="D55" s="44"/>
      <c r="E55" s="44"/>
      <c r="F55" s="44"/>
      <c r="G55" s="852"/>
      <c r="H55" s="112"/>
      <c r="I55" s="30">
        <f t="shared" si="1"/>
        <v>0</v>
      </c>
      <c r="J55" s="31"/>
      <c r="K55" s="39"/>
      <c r="L55" s="33"/>
      <c r="M55" s="40"/>
      <c r="N55" s="35"/>
      <c r="O55" s="33"/>
      <c r="P55" s="33"/>
      <c r="Q55" s="35"/>
      <c r="R55" s="35"/>
      <c r="S55" s="33"/>
      <c r="T55" s="3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</row>
    <row r="56">
      <c r="A56" s="150" t="s">
        <v>21</v>
      </c>
      <c r="B56" s="162">
        <v>44249.0</v>
      </c>
      <c r="C56" s="160">
        <v>49380.0</v>
      </c>
      <c r="D56" s="160">
        <v>1390.0</v>
      </c>
      <c r="E56" s="160">
        <v>900.0</v>
      </c>
      <c r="F56" s="160">
        <v>4585.0</v>
      </c>
      <c r="G56" s="860">
        <v>6320.0</v>
      </c>
      <c r="H56" s="861">
        <v>11540.0</v>
      </c>
      <c r="I56" s="30">
        <f t="shared" si="1"/>
        <v>26935</v>
      </c>
      <c r="J56" s="31"/>
      <c r="K56" s="39"/>
      <c r="L56" s="33"/>
      <c r="M56" s="40"/>
      <c r="N56" s="35"/>
      <c r="O56" s="33"/>
      <c r="P56" s="33"/>
      <c r="Q56" s="35"/>
      <c r="R56" s="35"/>
      <c r="S56" s="33"/>
      <c r="T56" s="36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>
      <c r="A57" s="150" t="s">
        <v>22</v>
      </c>
      <c r="B57" s="162">
        <v>44250.0</v>
      </c>
      <c r="C57" s="160">
        <v>44270.0</v>
      </c>
      <c r="D57" s="160">
        <v>2420.0</v>
      </c>
      <c r="E57" s="160">
        <v>200.0</v>
      </c>
      <c r="F57" s="160">
        <v>7430.0</v>
      </c>
      <c r="G57" s="860">
        <v>3180.0</v>
      </c>
      <c r="H57" s="861">
        <v>8170.0</v>
      </c>
      <c r="I57" s="30">
        <f t="shared" si="1"/>
        <v>25490</v>
      </c>
      <c r="J57" s="31"/>
      <c r="K57" s="39"/>
      <c r="L57" s="33"/>
      <c r="M57" s="40"/>
      <c r="N57" s="35"/>
      <c r="O57" s="33"/>
      <c r="P57" s="33"/>
      <c r="Q57" s="35"/>
      <c r="R57" s="35"/>
      <c r="S57" s="33"/>
      <c r="T57" s="36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</row>
    <row r="58">
      <c r="A58" s="38" t="s">
        <v>32</v>
      </c>
      <c r="B58" s="41">
        <v>44253.0</v>
      </c>
      <c r="C58" s="22">
        <v>52566.0</v>
      </c>
      <c r="D58" s="24">
        <v>1978.0</v>
      </c>
      <c r="E58" s="25">
        <v>0.0</v>
      </c>
      <c r="F58" s="35">
        <v>10325.0</v>
      </c>
      <c r="G58" s="161">
        <v>8074.0</v>
      </c>
      <c r="H58" s="29">
        <v>9850.0</v>
      </c>
      <c r="I58" s="30">
        <f t="shared" si="1"/>
        <v>24317</v>
      </c>
      <c r="J58" s="31"/>
      <c r="K58" s="39"/>
      <c r="L58" s="33"/>
      <c r="M58" s="40"/>
      <c r="N58" s="35"/>
      <c r="O58" s="33"/>
      <c r="P58" s="33"/>
      <c r="Q58" s="35"/>
      <c r="R58" s="35"/>
      <c r="S58" s="33"/>
      <c r="T58" s="36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>
      <c r="A59" s="38" t="s">
        <v>24</v>
      </c>
      <c r="B59" s="41">
        <v>43888.0</v>
      </c>
      <c r="C59" s="22">
        <v>47995.0</v>
      </c>
      <c r="D59" s="24">
        <v>2220.0</v>
      </c>
      <c r="E59" s="25"/>
      <c r="F59" s="35">
        <v>12625.0</v>
      </c>
      <c r="G59" s="161">
        <v>6200.0</v>
      </c>
      <c r="H59" s="29">
        <v>11935.0</v>
      </c>
      <c r="I59" s="30">
        <f t="shared" si="1"/>
        <v>17235</v>
      </c>
      <c r="J59" s="31"/>
      <c r="K59" s="39"/>
      <c r="L59" s="33"/>
      <c r="M59" s="40"/>
      <c r="N59" s="35"/>
      <c r="O59" s="33"/>
      <c r="P59" s="33"/>
      <c r="Q59" s="35"/>
      <c r="R59" s="35"/>
      <c r="S59" s="33"/>
      <c r="T59" s="36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>
      <c r="A60" s="38" t="s">
        <v>25</v>
      </c>
      <c r="B60" s="41">
        <v>43889.0</v>
      </c>
      <c r="C60" s="22">
        <v>46565.0</v>
      </c>
      <c r="D60" s="24">
        <v>1826.0</v>
      </c>
      <c r="E60" s="25">
        <v>1700.0</v>
      </c>
      <c r="F60" s="35">
        <v>8410.0</v>
      </c>
      <c r="G60" s="161">
        <v>4830.0</v>
      </c>
      <c r="H60" s="29">
        <v>9725.0</v>
      </c>
      <c r="I60" s="30">
        <f t="shared" si="1"/>
        <v>23600</v>
      </c>
      <c r="J60" s="31"/>
      <c r="K60" s="39"/>
      <c r="L60" s="33"/>
      <c r="M60" s="40"/>
      <c r="N60" s="35"/>
      <c r="O60" s="33"/>
      <c r="P60" s="33"/>
      <c r="Q60" s="35"/>
      <c r="R60" s="35"/>
      <c r="S60" s="33"/>
      <c r="T60" s="36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>
      <c r="A61" s="38" t="s">
        <v>33</v>
      </c>
      <c r="B61" s="41">
        <v>43890.0</v>
      </c>
      <c r="C61" s="22">
        <v>52610.0</v>
      </c>
      <c r="D61" s="24">
        <v>2130.0</v>
      </c>
      <c r="E61" s="25">
        <v>1600.0</v>
      </c>
      <c r="F61" s="35">
        <v>9275.0</v>
      </c>
      <c r="G61" s="161">
        <v>5000.0</v>
      </c>
      <c r="H61" s="29">
        <v>12280.0</v>
      </c>
      <c r="I61" s="30">
        <f t="shared" si="1"/>
        <v>26055</v>
      </c>
      <c r="J61" s="31"/>
      <c r="K61" s="39"/>
      <c r="L61" s="33"/>
      <c r="M61" s="40"/>
      <c r="N61" s="35"/>
      <c r="O61" s="33"/>
      <c r="P61" s="33"/>
      <c r="Q61" s="35"/>
      <c r="R61" s="35"/>
      <c r="S61" s="33"/>
      <c r="T61" s="36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>
      <c r="A62" s="93" t="s">
        <v>28</v>
      </c>
      <c r="B62" s="94" t="s">
        <v>31</v>
      </c>
      <c r="C62" s="95">
        <f>SUM(C35:C61)</f>
        <v>1118145</v>
      </c>
      <c r="D62" s="95"/>
      <c r="E62" s="95"/>
      <c r="F62" s="95"/>
      <c r="G62" s="95"/>
      <c r="H62" s="95"/>
      <c r="I62" s="30">
        <f t="shared" si="1"/>
        <v>1118145</v>
      </c>
      <c r="J62" s="97"/>
      <c r="K62" s="39"/>
      <c r="L62" s="97"/>
      <c r="M62" s="98"/>
      <c r="N62" s="73"/>
      <c r="O62" s="97"/>
      <c r="P62" s="97"/>
      <c r="Q62" s="73"/>
      <c r="R62" s="73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</row>
    <row r="63">
      <c r="A63" s="99" t="s">
        <v>21</v>
      </c>
      <c r="B63" s="100">
        <v>44256.0</v>
      </c>
      <c r="C63" s="22">
        <v>47720.0</v>
      </c>
      <c r="D63" s="24">
        <v>1124.0</v>
      </c>
      <c r="E63" s="25">
        <v>800.0</v>
      </c>
      <c r="F63" s="101">
        <v>7275.0</v>
      </c>
      <c r="G63" s="161">
        <v>3708.0</v>
      </c>
      <c r="H63" s="29">
        <v>18720.0</v>
      </c>
      <c r="I63" s="30">
        <f t="shared" si="1"/>
        <v>18017</v>
      </c>
      <c r="J63" s="31"/>
      <c r="K63" s="39"/>
      <c r="L63" s="33"/>
      <c r="M63" s="40"/>
      <c r="N63" s="35"/>
      <c r="O63" s="33"/>
      <c r="P63" s="33"/>
      <c r="Q63" s="35"/>
      <c r="R63" s="35"/>
      <c r="S63" s="33"/>
      <c r="T63" s="36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>
      <c r="A64" s="99" t="s">
        <v>22</v>
      </c>
      <c r="B64" s="100">
        <v>44257.0</v>
      </c>
      <c r="C64" s="22">
        <v>55780.0</v>
      </c>
      <c r="D64" s="24">
        <v>1970.0</v>
      </c>
      <c r="E64" s="25">
        <v>400.0</v>
      </c>
      <c r="F64" s="101">
        <v>7865.0</v>
      </c>
      <c r="G64" s="161">
        <v>9030.0</v>
      </c>
      <c r="H64" s="29">
        <v>15235.0</v>
      </c>
      <c r="I64" s="30">
        <f t="shared" si="1"/>
        <v>23650</v>
      </c>
      <c r="J64" s="31"/>
      <c r="K64" s="39"/>
      <c r="L64" s="33"/>
      <c r="M64" s="40"/>
      <c r="N64" s="35"/>
      <c r="O64" s="33"/>
      <c r="P64" s="33"/>
      <c r="Q64" s="35"/>
      <c r="R64" s="35"/>
      <c r="S64" s="33"/>
      <c r="T64" s="36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>
      <c r="A65" s="99" t="s">
        <v>32</v>
      </c>
      <c r="B65" s="100">
        <v>44258.0</v>
      </c>
      <c r="C65" s="22">
        <v>55322.0</v>
      </c>
      <c r="D65" s="24">
        <v>1935.0</v>
      </c>
      <c r="E65" s="25">
        <v>1300.0</v>
      </c>
      <c r="F65" s="101">
        <v>11580.0</v>
      </c>
      <c r="G65" s="161">
        <v>2876.0</v>
      </c>
      <c r="H65" s="29">
        <v>13830.0</v>
      </c>
      <c r="I65" s="30">
        <f t="shared" si="1"/>
        <v>27036</v>
      </c>
      <c r="J65" s="31"/>
      <c r="K65" s="39"/>
      <c r="L65" s="33"/>
      <c r="M65" s="40"/>
      <c r="N65" s="35"/>
      <c r="O65" s="33"/>
      <c r="P65" s="33"/>
      <c r="Q65" s="35"/>
      <c r="R65" s="35"/>
      <c r="S65" s="33"/>
      <c r="T65" s="36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>
      <c r="A66" s="99" t="s">
        <v>24</v>
      </c>
      <c r="B66" s="100">
        <v>44259.0</v>
      </c>
      <c r="C66" s="22">
        <v>56309.0</v>
      </c>
      <c r="D66" s="24">
        <v>1800.0</v>
      </c>
      <c r="E66" s="25">
        <v>1100.0</v>
      </c>
      <c r="F66" s="101">
        <v>8815.0</v>
      </c>
      <c r="G66" s="161">
        <v>6880.0</v>
      </c>
      <c r="H66" s="29">
        <v>8035.0</v>
      </c>
      <c r="I66" s="30">
        <f t="shared" si="1"/>
        <v>32579</v>
      </c>
      <c r="J66" s="31"/>
      <c r="K66" s="39"/>
      <c r="L66" s="33"/>
      <c r="M66" s="40"/>
      <c r="N66" s="35"/>
      <c r="O66" s="33"/>
      <c r="P66" s="33"/>
      <c r="Q66" s="35"/>
      <c r="R66" s="35"/>
      <c r="S66" s="33"/>
      <c r="T66" s="36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>
      <c r="A67" s="99" t="s">
        <v>25</v>
      </c>
      <c r="B67" s="100">
        <v>44260.0</v>
      </c>
      <c r="C67" s="22">
        <v>55150.0</v>
      </c>
      <c r="D67" s="24">
        <v>1900.0</v>
      </c>
      <c r="E67" s="25">
        <v>1100.0</v>
      </c>
      <c r="F67" s="101">
        <v>13819.0</v>
      </c>
      <c r="G67" s="161">
        <v>6680.0</v>
      </c>
      <c r="H67" s="29">
        <v>6890.0</v>
      </c>
      <c r="I67" s="30">
        <f t="shared" si="1"/>
        <v>27761</v>
      </c>
      <c r="J67" s="31"/>
      <c r="K67" s="39"/>
      <c r="L67" s="33"/>
      <c r="M67" s="40"/>
      <c r="N67" s="35"/>
      <c r="O67" s="33"/>
      <c r="P67" s="33"/>
      <c r="Q67" s="35"/>
      <c r="R67" s="35"/>
      <c r="S67" s="33"/>
      <c r="T67" s="36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>
      <c r="A68" s="99" t="s">
        <v>33</v>
      </c>
      <c r="B68" s="100">
        <v>44261.0</v>
      </c>
      <c r="C68" s="22">
        <v>48842.0</v>
      </c>
      <c r="D68" s="24">
        <v>1670.0</v>
      </c>
      <c r="E68" s="25">
        <v>1900.0</v>
      </c>
      <c r="F68" s="101">
        <v>12550.0</v>
      </c>
      <c r="G68" s="161">
        <v>6058.0</v>
      </c>
      <c r="H68" s="29">
        <v>7885.0</v>
      </c>
      <c r="I68" s="30">
        <f t="shared" si="1"/>
        <v>22349</v>
      </c>
      <c r="J68" s="31"/>
      <c r="K68" s="39"/>
      <c r="L68" s="33"/>
      <c r="M68" s="40"/>
      <c r="N68" s="35"/>
      <c r="O68" s="33"/>
      <c r="P68" s="33"/>
      <c r="Q68" s="35"/>
      <c r="R68" s="35"/>
      <c r="S68" s="33"/>
      <c r="T68" s="36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>
      <c r="A69" s="105" t="s">
        <v>27</v>
      </c>
      <c r="B69" s="43">
        <v>44262.0</v>
      </c>
      <c r="C69" s="110"/>
      <c r="D69" s="110"/>
      <c r="E69" s="110"/>
      <c r="F69" s="110"/>
      <c r="G69" s="108"/>
      <c r="H69" s="108"/>
      <c r="I69" s="30">
        <f t="shared" si="1"/>
        <v>0</v>
      </c>
      <c r="J69" s="108"/>
      <c r="K69" s="39"/>
      <c r="L69" s="108"/>
      <c r="M69" s="109"/>
      <c r="N69" s="110"/>
      <c r="O69" s="108"/>
      <c r="P69" s="108"/>
      <c r="Q69" s="110"/>
      <c r="R69" s="110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</row>
    <row r="70">
      <c r="A70" s="99" t="s">
        <v>21</v>
      </c>
      <c r="B70" s="100">
        <v>44263.0</v>
      </c>
      <c r="C70" s="22">
        <v>52312.0</v>
      </c>
      <c r="D70" s="24">
        <v>1193.0</v>
      </c>
      <c r="E70" s="25">
        <v>1000.0</v>
      </c>
      <c r="F70" s="101">
        <v>7060.0</v>
      </c>
      <c r="G70" s="161">
        <v>4687.0</v>
      </c>
      <c r="H70" s="29">
        <v>12070.0</v>
      </c>
      <c r="I70" s="30">
        <f t="shared" si="1"/>
        <v>28495</v>
      </c>
      <c r="J70" s="31"/>
      <c r="K70" s="39"/>
      <c r="L70" s="33"/>
      <c r="M70" s="40"/>
      <c r="N70" s="35"/>
      <c r="O70" s="33"/>
      <c r="P70" s="33"/>
      <c r="Q70" s="35"/>
      <c r="R70" s="35"/>
      <c r="S70" s="33"/>
      <c r="T70" s="36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>
      <c r="A71" s="99" t="s">
        <v>22</v>
      </c>
      <c r="B71" s="100">
        <v>44264.0</v>
      </c>
      <c r="C71" s="22">
        <v>49905.0</v>
      </c>
      <c r="D71" s="24">
        <v>2030.0</v>
      </c>
      <c r="E71" s="25">
        <v>300.0</v>
      </c>
      <c r="F71" s="101">
        <v>9940.0</v>
      </c>
      <c r="G71" s="161">
        <v>5245.0</v>
      </c>
      <c r="H71" s="29">
        <v>20550.0</v>
      </c>
      <c r="I71" s="30">
        <f t="shared" si="1"/>
        <v>14170</v>
      </c>
      <c r="J71" s="31"/>
      <c r="K71" s="39"/>
      <c r="L71" s="33"/>
      <c r="M71" s="40"/>
      <c r="N71" s="35"/>
      <c r="O71" s="33"/>
      <c r="P71" s="33"/>
      <c r="Q71" s="35"/>
      <c r="R71" s="35"/>
      <c r="S71" s="33"/>
      <c r="T71" s="36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>
      <c r="A72" s="99" t="s">
        <v>32</v>
      </c>
      <c r="B72" s="100">
        <v>44265.0</v>
      </c>
      <c r="C72" s="22">
        <v>48770.0</v>
      </c>
      <c r="D72" s="24">
        <v>721.0</v>
      </c>
      <c r="E72" s="25">
        <v>0.0</v>
      </c>
      <c r="F72" s="101">
        <v>6620.0</v>
      </c>
      <c r="G72" s="161">
        <v>3610.0</v>
      </c>
      <c r="H72" s="29">
        <v>5910.0</v>
      </c>
      <c r="I72" s="30">
        <f t="shared" si="1"/>
        <v>32630</v>
      </c>
      <c r="J72" s="31"/>
      <c r="K72" s="39"/>
      <c r="L72" s="33"/>
      <c r="M72" s="40"/>
      <c r="N72" s="35"/>
      <c r="O72" s="33"/>
      <c r="P72" s="33"/>
      <c r="Q72" s="35"/>
      <c r="R72" s="35"/>
      <c r="S72" s="33"/>
      <c r="T72" s="36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>
      <c r="A73" s="99" t="s">
        <v>24</v>
      </c>
      <c r="B73" s="100">
        <v>44266.0</v>
      </c>
      <c r="C73" s="22">
        <v>49640.0</v>
      </c>
      <c r="D73" s="24">
        <v>2330.0</v>
      </c>
      <c r="E73" s="25">
        <v>800.0</v>
      </c>
      <c r="F73" s="101">
        <v>9070.0</v>
      </c>
      <c r="G73" s="161">
        <v>3415.0</v>
      </c>
      <c r="H73" s="29">
        <v>12015.0</v>
      </c>
      <c r="I73" s="30">
        <f t="shared" si="1"/>
        <v>25140</v>
      </c>
      <c r="J73" s="31"/>
      <c r="K73" s="39"/>
      <c r="L73" s="33"/>
      <c r="M73" s="40"/>
      <c r="N73" s="35"/>
      <c r="O73" s="33"/>
      <c r="P73" s="33"/>
      <c r="Q73" s="35"/>
      <c r="R73" s="35"/>
      <c r="S73" s="33"/>
      <c r="T73" s="36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>
      <c r="A74" s="99" t="s">
        <v>25</v>
      </c>
      <c r="B74" s="100">
        <v>44267.0</v>
      </c>
      <c r="C74" s="22">
        <v>44219.0</v>
      </c>
      <c r="D74" s="24">
        <v>2339.0</v>
      </c>
      <c r="E74" s="25">
        <v>800.0</v>
      </c>
      <c r="F74" s="101">
        <v>3030.0</v>
      </c>
      <c r="G74" s="161">
        <v>4351.0</v>
      </c>
      <c r="H74" s="29">
        <v>6963.0</v>
      </c>
      <c r="I74" s="30">
        <f t="shared" si="1"/>
        <v>29875</v>
      </c>
      <c r="J74" s="31"/>
      <c r="K74" s="39"/>
      <c r="L74" s="33"/>
      <c r="M74" s="40"/>
      <c r="N74" s="35"/>
      <c r="O74" s="33"/>
      <c r="P74" s="33"/>
      <c r="Q74" s="35"/>
      <c r="R74" s="35"/>
      <c r="S74" s="33"/>
      <c r="T74" s="36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>
      <c r="A75" s="99" t="s">
        <v>33</v>
      </c>
      <c r="B75" s="100">
        <v>44268.0</v>
      </c>
      <c r="C75" s="22">
        <v>49801.0</v>
      </c>
      <c r="D75" s="24">
        <v>2138.0</v>
      </c>
      <c r="E75" s="25">
        <v>1200.0</v>
      </c>
      <c r="F75" s="101">
        <v>10960.0</v>
      </c>
      <c r="G75" s="161">
        <v>6881.0</v>
      </c>
      <c r="H75" s="29">
        <v>11880.0</v>
      </c>
      <c r="I75" s="30">
        <f t="shared" si="1"/>
        <v>20080</v>
      </c>
      <c r="J75" s="31"/>
      <c r="K75" s="39"/>
      <c r="L75" s="33"/>
      <c r="M75" s="40"/>
      <c r="N75" s="35"/>
      <c r="O75" s="33"/>
      <c r="P75" s="33"/>
      <c r="Q75" s="35"/>
      <c r="R75" s="35"/>
      <c r="S75" s="33"/>
      <c r="T75" s="36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>
      <c r="A76" s="105" t="s">
        <v>27</v>
      </c>
      <c r="B76" s="43">
        <v>44269.0</v>
      </c>
      <c r="C76" s="110"/>
      <c r="D76" s="110"/>
      <c r="E76" s="110"/>
      <c r="F76" s="110"/>
      <c r="G76" s="108"/>
      <c r="H76" s="108"/>
      <c r="I76" s="30">
        <f t="shared" si="1"/>
        <v>0</v>
      </c>
      <c r="J76" s="108"/>
      <c r="K76" s="39"/>
      <c r="L76" s="108"/>
      <c r="M76" s="109"/>
      <c r="N76" s="110"/>
      <c r="O76" s="108"/>
      <c r="P76" s="108"/>
      <c r="Q76" s="110"/>
      <c r="R76" s="110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</row>
    <row r="77">
      <c r="A77" s="99" t="s">
        <v>21</v>
      </c>
      <c r="B77" s="100">
        <v>44270.0</v>
      </c>
      <c r="C77" s="22">
        <v>38827.0</v>
      </c>
      <c r="D77" s="24">
        <v>1546.0</v>
      </c>
      <c r="E77" s="25">
        <v>900.0</v>
      </c>
      <c r="F77" s="101">
        <v>5280.0</v>
      </c>
      <c r="G77" s="161">
        <v>2852.0</v>
      </c>
      <c r="H77" s="29">
        <v>8575.0</v>
      </c>
      <c r="I77" s="30">
        <f t="shared" si="1"/>
        <v>22120</v>
      </c>
      <c r="J77" s="31"/>
      <c r="K77" s="39"/>
      <c r="L77" s="33"/>
      <c r="M77" s="40"/>
      <c r="N77" s="35"/>
      <c r="O77" s="33"/>
      <c r="P77" s="33"/>
      <c r="Q77" s="35"/>
      <c r="R77" s="35"/>
      <c r="S77" s="33"/>
      <c r="T77" s="36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</row>
    <row r="78">
      <c r="A78" s="99" t="s">
        <v>22</v>
      </c>
      <c r="B78" s="100">
        <v>44271.0</v>
      </c>
      <c r="C78" s="22">
        <v>37528.0</v>
      </c>
      <c r="D78" s="24">
        <v>2180.0</v>
      </c>
      <c r="E78" s="25">
        <v>720.0</v>
      </c>
      <c r="F78" s="101">
        <v>5090.0</v>
      </c>
      <c r="G78" s="161">
        <v>2438.0</v>
      </c>
      <c r="H78" s="29">
        <v>8575.0</v>
      </c>
      <c r="I78" s="30">
        <f t="shared" si="1"/>
        <v>21425</v>
      </c>
      <c r="J78" s="31"/>
      <c r="K78" s="39"/>
      <c r="L78" s="33"/>
      <c r="M78" s="40"/>
      <c r="N78" s="35"/>
      <c r="O78" s="33"/>
      <c r="P78" s="33"/>
      <c r="Q78" s="35"/>
      <c r="R78" s="35"/>
      <c r="S78" s="33"/>
      <c r="T78" s="36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</row>
    <row r="79">
      <c r="A79" s="99" t="s">
        <v>32</v>
      </c>
      <c r="B79" s="100">
        <v>44272.0</v>
      </c>
      <c r="C79" s="22">
        <v>65258.0</v>
      </c>
      <c r="D79" s="24">
        <v>2160.0</v>
      </c>
      <c r="E79" s="25">
        <v>200.0</v>
      </c>
      <c r="F79" s="101">
        <v>1565.0</v>
      </c>
      <c r="G79" s="161">
        <v>3005.0</v>
      </c>
      <c r="H79" s="29">
        <v>9070.0</v>
      </c>
      <c r="I79" s="30">
        <f t="shared" si="1"/>
        <v>51618</v>
      </c>
      <c r="J79" s="31"/>
      <c r="K79" s="39"/>
      <c r="L79" s="33"/>
      <c r="M79" s="40"/>
      <c r="N79" s="35"/>
      <c r="O79" s="33"/>
      <c r="P79" s="33"/>
      <c r="Q79" s="35"/>
      <c r="R79" s="35"/>
      <c r="S79" s="33"/>
      <c r="T79" s="36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</row>
    <row r="80">
      <c r="A80" s="99" t="s">
        <v>24</v>
      </c>
      <c r="B80" s="100">
        <v>44273.0</v>
      </c>
      <c r="C80" s="22">
        <v>52710.0</v>
      </c>
      <c r="D80" s="24">
        <v>2200.0</v>
      </c>
      <c r="E80" s="25">
        <v>320.0</v>
      </c>
      <c r="F80" s="101">
        <v>8850.0</v>
      </c>
      <c r="G80" s="161">
        <v>4265.0</v>
      </c>
      <c r="H80" s="29">
        <v>14465.0</v>
      </c>
      <c r="I80" s="30">
        <f t="shared" si="1"/>
        <v>25130</v>
      </c>
      <c r="J80" s="31"/>
      <c r="K80" s="39"/>
      <c r="L80" s="33"/>
      <c r="M80" s="40"/>
      <c r="N80" s="35"/>
      <c r="O80" s="33"/>
      <c r="P80" s="33"/>
      <c r="Q80" s="35"/>
      <c r="R80" s="35"/>
      <c r="S80" s="33"/>
      <c r="T80" s="36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</row>
    <row r="81">
      <c r="A81" s="99" t="s">
        <v>25</v>
      </c>
      <c r="B81" s="100">
        <v>44274.0</v>
      </c>
      <c r="C81" s="22">
        <v>43660.0</v>
      </c>
      <c r="D81" s="24">
        <v>1215.0</v>
      </c>
      <c r="E81" s="25">
        <v>200.0</v>
      </c>
      <c r="F81" s="101">
        <v>25925.0</v>
      </c>
      <c r="G81" s="161">
        <v>0.0</v>
      </c>
      <c r="H81" s="29">
        <v>8860.0</v>
      </c>
      <c r="I81" s="30">
        <f t="shared" si="1"/>
        <v>8875</v>
      </c>
      <c r="J81" s="31"/>
      <c r="K81" s="39"/>
      <c r="L81" s="33"/>
      <c r="M81" s="40"/>
      <c r="N81" s="35"/>
      <c r="O81" s="33"/>
      <c r="P81" s="33"/>
      <c r="Q81" s="35"/>
      <c r="R81" s="35"/>
      <c r="S81" s="33"/>
      <c r="T81" s="36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</row>
    <row r="82">
      <c r="A82" s="99" t="s">
        <v>33</v>
      </c>
      <c r="B82" s="100">
        <v>44275.0</v>
      </c>
      <c r="C82" s="22">
        <v>48048.0</v>
      </c>
      <c r="D82" s="24">
        <v>1800.0</v>
      </c>
      <c r="E82" s="25">
        <v>2120.0</v>
      </c>
      <c r="F82" s="101">
        <v>6870.0</v>
      </c>
      <c r="G82" s="852"/>
      <c r="H82" s="29">
        <v>6705.0</v>
      </c>
      <c r="I82" s="30">
        <f t="shared" si="1"/>
        <v>34473</v>
      </c>
      <c r="J82" s="31"/>
      <c r="K82" s="39"/>
      <c r="L82" s="33"/>
      <c r="M82" s="40"/>
      <c r="N82" s="35"/>
      <c r="O82" s="33"/>
      <c r="P82" s="33"/>
      <c r="Q82" s="35"/>
      <c r="R82" s="35"/>
      <c r="S82" s="33"/>
      <c r="T82" s="36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</row>
    <row r="83">
      <c r="A83" s="105" t="s">
        <v>27</v>
      </c>
      <c r="B83" s="43">
        <v>44283.0</v>
      </c>
      <c r="C83" s="110"/>
      <c r="D83" s="110"/>
      <c r="E83" s="110"/>
      <c r="F83" s="110"/>
      <c r="G83" s="108"/>
      <c r="H83" s="108"/>
      <c r="I83" s="30">
        <f t="shared" si="1"/>
        <v>0</v>
      </c>
      <c r="J83" s="108"/>
      <c r="K83" s="39"/>
      <c r="L83" s="108"/>
      <c r="M83" s="109"/>
      <c r="N83" s="110"/>
      <c r="O83" s="108"/>
      <c r="P83" s="108"/>
      <c r="Q83" s="110"/>
      <c r="R83" s="110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</row>
    <row r="84">
      <c r="A84" s="99" t="s">
        <v>21</v>
      </c>
      <c r="B84" s="100">
        <v>44276.0</v>
      </c>
      <c r="C84" s="22">
        <v>44910.0</v>
      </c>
      <c r="D84" s="24">
        <v>1914.0</v>
      </c>
      <c r="E84" s="25">
        <v>1600.0</v>
      </c>
      <c r="F84" s="101">
        <v>9640.0</v>
      </c>
      <c r="G84" s="161">
        <v>2080.0</v>
      </c>
      <c r="H84" s="29">
        <v>10295.0</v>
      </c>
      <c r="I84" s="30">
        <f t="shared" si="1"/>
        <v>22895</v>
      </c>
      <c r="J84" s="31"/>
      <c r="K84" s="39"/>
      <c r="L84" s="33"/>
      <c r="M84" s="40"/>
      <c r="N84" s="35"/>
      <c r="O84" s="33"/>
      <c r="P84" s="33"/>
      <c r="Q84" s="35"/>
      <c r="R84" s="35"/>
      <c r="S84" s="33"/>
      <c r="T84" s="36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</row>
    <row r="85">
      <c r="A85" s="99" t="s">
        <v>22</v>
      </c>
      <c r="B85" s="100">
        <v>44277.0</v>
      </c>
      <c r="C85" s="22">
        <v>49693.0</v>
      </c>
      <c r="D85" s="24">
        <v>1950.0</v>
      </c>
      <c r="E85" s="25">
        <v>920.0</v>
      </c>
      <c r="F85" s="101">
        <v>4455.0</v>
      </c>
      <c r="G85" s="161">
        <v>5765.0</v>
      </c>
      <c r="H85" s="29">
        <v>7740.0</v>
      </c>
      <c r="I85" s="30">
        <f t="shared" si="1"/>
        <v>31733</v>
      </c>
      <c r="J85" s="31"/>
      <c r="K85" s="39"/>
      <c r="L85" s="33"/>
      <c r="M85" s="40"/>
      <c r="N85" s="35"/>
      <c r="O85" s="33"/>
      <c r="P85" s="33"/>
      <c r="Q85" s="35"/>
      <c r="R85" s="35"/>
      <c r="S85" s="33"/>
      <c r="T85" s="36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</row>
    <row r="86">
      <c r="A86" s="99" t="s">
        <v>23</v>
      </c>
      <c r="B86" s="100">
        <v>44278.0</v>
      </c>
      <c r="C86" s="22">
        <v>49532.0</v>
      </c>
      <c r="D86" s="24">
        <v>2260.0</v>
      </c>
      <c r="E86" s="25">
        <v>1820.0</v>
      </c>
      <c r="F86" s="101">
        <v>10335.0</v>
      </c>
      <c r="G86" s="161">
        <v>7587.0</v>
      </c>
      <c r="H86" s="29">
        <v>12080.0</v>
      </c>
      <c r="I86" s="30">
        <f t="shared" si="1"/>
        <v>19530</v>
      </c>
      <c r="J86" s="31"/>
      <c r="K86" s="39"/>
      <c r="L86" s="33"/>
      <c r="M86" s="40"/>
      <c r="N86" s="35"/>
      <c r="O86" s="33"/>
      <c r="P86" s="33"/>
      <c r="Q86" s="35"/>
      <c r="R86" s="35"/>
      <c r="S86" s="33"/>
      <c r="T86" s="36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</row>
    <row r="87">
      <c r="A87" s="99" t="s">
        <v>24</v>
      </c>
      <c r="B87" s="100">
        <v>44279.0</v>
      </c>
      <c r="C87" s="22">
        <v>42248.0</v>
      </c>
      <c r="D87" s="24">
        <v>2695.0</v>
      </c>
      <c r="E87" s="25">
        <v>1700.0</v>
      </c>
      <c r="F87" s="101">
        <v>4840.0</v>
      </c>
      <c r="G87" s="161">
        <v>6145.0</v>
      </c>
      <c r="H87" s="29">
        <v>12825.0</v>
      </c>
      <c r="I87" s="30">
        <f t="shared" si="1"/>
        <v>18438</v>
      </c>
      <c r="J87" s="31"/>
      <c r="K87" s="39"/>
      <c r="L87" s="33"/>
      <c r="M87" s="40"/>
      <c r="N87" s="35"/>
      <c r="O87" s="33"/>
      <c r="P87" s="33"/>
      <c r="Q87" s="35"/>
      <c r="R87" s="35"/>
      <c r="S87" s="33"/>
      <c r="T87" s="36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</row>
    <row r="88">
      <c r="A88" s="99" t="s">
        <v>25</v>
      </c>
      <c r="B88" s="100">
        <v>44280.0</v>
      </c>
      <c r="C88" s="22">
        <v>57243.0</v>
      </c>
      <c r="D88" s="24">
        <v>2340.0</v>
      </c>
      <c r="E88" s="25">
        <v>1520.0</v>
      </c>
      <c r="F88" s="101">
        <v>9045.0</v>
      </c>
      <c r="G88" s="161">
        <v>5368.0</v>
      </c>
      <c r="H88" s="29">
        <v>14040.0</v>
      </c>
      <c r="I88" s="30">
        <f t="shared" si="1"/>
        <v>28790</v>
      </c>
      <c r="J88" s="31"/>
      <c r="K88" s="39"/>
      <c r="L88" s="33"/>
      <c r="M88" s="40"/>
      <c r="N88" s="35"/>
      <c r="O88" s="33"/>
      <c r="P88" s="33"/>
      <c r="Q88" s="35"/>
      <c r="R88" s="35"/>
      <c r="S88" s="33"/>
      <c r="T88" s="36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</row>
    <row r="89">
      <c r="A89" s="99" t="s">
        <v>26</v>
      </c>
      <c r="B89" s="100">
        <v>44281.0</v>
      </c>
      <c r="C89" s="22">
        <v>45605.0</v>
      </c>
      <c r="D89" s="24">
        <v>2205.0</v>
      </c>
      <c r="E89" s="25">
        <v>2200.0</v>
      </c>
      <c r="F89" s="101">
        <v>8705.0</v>
      </c>
      <c r="G89" s="161">
        <v>1924.0</v>
      </c>
      <c r="H89" s="29">
        <v>9550.0</v>
      </c>
      <c r="I89" s="30">
        <f t="shared" si="1"/>
        <v>25426</v>
      </c>
      <c r="J89" s="31"/>
      <c r="K89" s="39"/>
      <c r="L89" s="33"/>
      <c r="M89" s="40"/>
      <c r="N89" s="35"/>
      <c r="O89" s="33"/>
      <c r="P89" s="33"/>
      <c r="Q89" s="35"/>
      <c r="R89" s="35"/>
      <c r="S89" s="33"/>
      <c r="T89" s="36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</row>
    <row r="90">
      <c r="A90" s="105" t="s">
        <v>27</v>
      </c>
      <c r="B90" s="43">
        <v>44283.0</v>
      </c>
      <c r="C90" s="110"/>
      <c r="D90" s="110"/>
      <c r="E90" s="110"/>
      <c r="F90" s="110"/>
      <c r="G90" s="108"/>
      <c r="H90" s="108"/>
      <c r="I90" s="30">
        <f t="shared" si="1"/>
        <v>0</v>
      </c>
      <c r="J90" s="108"/>
      <c r="K90" s="39"/>
      <c r="L90" s="108"/>
      <c r="M90" s="109"/>
      <c r="N90" s="110"/>
      <c r="O90" s="108"/>
      <c r="P90" s="108"/>
      <c r="Q90" s="110"/>
      <c r="R90" s="110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</row>
    <row r="91">
      <c r="A91" s="99" t="s">
        <v>21</v>
      </c>
      <c r="B91" s="100">
        <v>44284.0</v>
      </c>
      <c r="C91" s="116">
        <v>77018.0</v>
      </c>
      <c r="D91" s="24">
        <v>1470.0</v>
      </c>
      <c r="E91" s="25">
        <v>2200.0</v>
      </c>
      <c r="F91" s="101">
        <v>11430.0</v>
      </c>
      <c r="G91" s="161">
        <v>14650.0</v>
      </c>
      <c r="H91" s="29">
        <v>22540.0</v>
      </c>
      <c r="I91" s="30">
        <f t="shared" si="1"/>
        <v>28398</v>
      </c>
      <c r="J91" s="31"/>
      <c r="K91" s="39"/>
      <c r="L91" s="33"/>
      <c r="M91" s="40"/>
      <c r="N91" s="35"/>
      <c r="O91" s="33"/>
      <c r="P91" s="33"/>
      <c r="Q91" s="35"/>
      <c r="R91" s="35"/>
      <c r="S91" s="33"/>
      <c r="T91" s="36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>
      <c r="A92" s="99" t="s">
        <v>22</v>
      </c>
      <c r="B92" s="100">
        <v>44285.0</v>
      </c>
      <c r="C92" s="116">
        <v>49371.0</v>
      </c>
      <c r="D92" s="24">
        <v>2700.0</v>
      </c>
      <c r="E92" s="25">
        <v>1020.0</v>
      </c>
      <c r="F92" s="101">
        <v>8305.0</v>
      </c>
      <c r="G92" s="161">
        <v>2323.0</v>
      </c>
      <c r="H92" s="29">
        <v>10090.0</v>
      </c>
      <c r="I92" s="30">
        <f t="shared" si="1"/>
        <v>28653</v>
      </c>
      <c r="J92" s="31"/>
      <c r="K92" s="39"/>
      <c r="L92" s="33"/>
      <c r="M92" s="40"/>
      <c r="N92" s="35"/>
      <c r="O92" s="33"/>
      <c r="P92" s="33"/>
      <c r="Q92" s="35"/>
      <c r="R92" s="35"/>
      <c r="S92" s="33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>
      <c r="A93" s="99" t="s">
        <v>23</v>
      </c>
      <c r="B93" s="100">
        <v>44286.0</v>
      </c>
      <c r="C93" s="116">
        <v>51950.0</v>
      </c>
      <c r="D93" s="24">
        <v>1930.0</v>
      </c>
      <c r="E93" s="25">
        <v>820.0</v>
      </c>
      <c r="F93" s="101">
        <v>14550.0</v>
      </c>
      <c r="G93" s="161">
        <v>3810.0</v>
      </c>
      <c r="H93" s="29">
        <v>7350.0</v>
      </c>
      <c r="I93" s="30">
        <f t="shared" si="1"/>
        <v>26240</v>
      </c>
      <c r="J93" s="49">
        <v>10000.0</v>
      </c>
      <c r="K93" s="32" t="s">
        <v>3565</v>
      </c>
      <c r="L93" s="33"/>
      <c r="M93" s="40"/>
      <c r="N93" s="35"/>
      <c r="O93" s="33"/>
      <c r="P93" s="33"/>
      <c r="Q93" s="35"/>
      <c r="R93" s="35"/>
      <c r="S93" s="33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>
      <c r="A94" s="134" t="s">
        <v>28</v>
      </c>
      <c r="B94" s="135" t="s">
        <v>35</v>
      </c>
      <c r="C94" s="136">
        <f>SUM(C63:C93)</f>
        <v>1367371</v>
      </c>
      <c r="D94" s="136"/>
      <c r="E94" s="136"/>
      <c r="F94" s="136">
        <f>SUM(F63:F93)</f>
        <v>243469</v>
      </c>
      <c r="G94" s="136">
        <f>SUM(G58:G93)</f>
        <v>149737</v>
      </c>
      <c r="H94" s="136">
        <f>SUM(H63:H93)</f>
        <v>302743</v>
      </c>
      <c r="I94" s="30">
        <f t="shared" si="1"/>
        <v>671422</v>
      </c>
      <c r="J94" s="125"/>
      <c r="K94" s="138"/>
      <c r="L94" s="125"/>
      <c r="M94" s="126"/>
      <c r="N94" s="127"/>
      <c r="O94" s="125"/>
      <c r="P94" s="125"/>
      <c r="Q94" s="127"/>
      <c r="R94" s="127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8"/>
    </row>
    <row r="95">
      <c r="A95" s="99" t="s">
        <v>24</v>
      </c>
      <c r="B95" s="100">
        <v>44287.0</v>
      </c>
      <c r="C95" s="22">
        <v>48155.0</v>
      </c>
      <c r="D95" s="24">
        <v>1720.0</v>
      </c>
      <c r="E95" s="25">
        <v>820.0</v>
      </c>
      <c r="F95" s="101">
        <v>16530.0</v>
      </c>
      <c r="G95" s="161"/>
      <c r="H95" s="29">
        <v>16855.0</v>
      </c>
      <c r="I95" s="30">
        <f t="shared" si="1"/>
        <v>14770</v>
      </c>
      <c r="J95" s="49">
        <v>26000.0</v>
      </c>
      <c r="K95" s="39"/>
      <c r="L95" s="33"/>
      <c r="M95" s="40"/>
      <c r="N95" s="35"/>
      <c r="O95" s="33"/>
      <c r="P95" s="33"/>
      <c r="Q95" s="35"/>
      <c r="R95" s="35"/>
      <c r="S95" s="33"/>
      <c r="T95" s="36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</row>
    <row r="96">
      <c r="A96" s="99" t="s">
        <v>2596</v>
      </c>
      <c r="B96" s="100">
        <v>44288.0</v>
      </c>
      <c r="C96" s="22">
        <v>42645.0</v>
      </c>
      <c r="D96" s="24">
        <v>845.0</v>
      </c>
      <c r="E96" s="25">
        <v>400.0</v>
      </c>
      <c r="F96" s="101">
        <v>13360.0</v>
      </c>
      <c r="G96" s="161">
        <v>3835.0</v>
      </c>
      <c r="H96" s="29">
        <v>12740.0</v>
      </c>
      <c r="I96" s="30">
        <f t="shared" si="1"/>
        <v>12710</v>
      </c>
      <c r="J96" s="49">
        <v>33000.0</v>
      </c>
      <c r="K96" s="39"/>
      <c r="L96" s="33"/>
      <c r="M96" s="40"/>
      <c r="N96" s="35"/>
      <c r="O96" s="33"/>
      <c r="P96" s="33"/>
      <c r="Q96" s="35"/>
      <c r="R96" s="35"/>
      <c r="S96" s="33"/>
      <c r="T96" s="36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>
      <c r="A97" s="99" t="s">
        <v>26</v>
      </c>
      <c r="B97" s="100">
        <v>44289.0</v>
      </c>
      <c r="C97" s="22">
        <v>42190.0</v>
      </c>
      <c r="D97" s="24">
        <v>2690.0</v>
      </c>
      <c r="E97" s="25">
        <v>2120.0</v>
      </c>
      <c r="F97" s="101">
        <v>11545.0</v>
      </c>
      <c r="G97" s="161">
        <v>1390.0</v>
      </c>
      <c r="H97" s="29">
        <v>4680.0</v>
      </c>
      <c r="I97" s="30">
        <f t="shared" si="1"/>
        <v>24575</v>
      </c>
      <c r="J97" s="31"/>
      <c r="K97" s="32" t="s">
        <v>3566</v>
      </c>
      <c r="L97" s="33"/>
      <c r="M97" s="40"/>
      <c r="N97" s="35"/>
      <c r="O97" s="33"/>
      <c r="P97" s="33"/>
      <c r="Q97" s="35"/>
      <c r="R97" s="35"/>
      <c r="S97" s="33"/>
      <c r="T97" s="36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>
      <c r="A98" s="42" t="s">
        <v>27</v>
      </c>
      <c r="B98" s="51">
        <v>44290.0</v>
      </c>
      <c r="C98" s="44"/>
      <c r="D98" s="44"/>
      <c r="E98" s="44"/>
      <c r="F98" s="44"/>
      <c r="G98" s="46"/>
      <c r="H98" s="46"/>
      <c r="I98" s="30">
        <f t="shared" si="1"/>
        <v>0</v>
      </c>
      <c r="J98" s="46"/>
      <c r="K98" s="39"/>
      <c r="L98" s="46"/>
      <c r="M98" s="47"/>
      <c r="N98" s="44"/>
      <c r="O98" s="46"/>
      <c r="P98" s="46"/>
      <c r="Q98" s="44"/>
      <c r="R98" s="44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</row>
    <row r="99">
      <c r="A99" s="99" t="s">
        <v>21</v>
      </c>
      <c r="B99" s="100">
        <v>44291.0</v>
      </c>
      <c r="C99" s="22">
        <v>50174.0</v>
      </c>
      <c r="D99" s="24">
        <v>1800.0</v>
      </c>
      <c r="E99" s="25">
        <v>1800.0</v>
      </c>
      <c r="F99" s="101">
        <v>10960.0</v>
      </c>
      <c r="G99" s="161">
        <v>4990.0</v>
      </c>
      <c r="H99" s="29">
        <v>12160.0</v>
      </c>
      <c r="I99" s="30">
        <f t="shared" si="1"/>
        <v>22064</v>
      </c>
      <c r="J99" s="49">
        <v>4000.0</v>
      </c>
      <c r="K99" s="32" t="s">
        <v>3567</v>
      </c>
      <c r="L99" s="33"/>
      <c r="M99" s="40"/>
      <c r="N99" s="35"/>
      <c r="O99" s="33"/>
      <c r="P99" s="33"/>
      <c r="Q99" s="35"/>
      <c r="R99" s="35"/>
      <c r="S99" s="33"/>
      <c r="T99" s="36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</row>
    <row r="100">
      <c r="A100" s="99" t="s">
        <v>22</v>
      </c>
      <c r="B100" s="100">
        <v>44292.0</v>
      </c>
      <c r="C100" s="22">
        <v>49205.0</v>
      </c>
      <c r="D100" s="24">
        <v>2550.0</v>
      </c>
      <c r="E100" s="25">
        <v>1920.0</v>
      </c>
      <c r="F100" s="101">
        <v>7400.0</v>
      </c>
      <c r="G100" s="161">
        <v>11206.0</v>
      </c>
      <c r="H100" s="29">
        <v>8600.0</v>
      </c>
      <c r="I100" s="30">
        <f t="shared" si="1"/>
        <v>21999</v>
      </c>
      <c r="J100" s="49">
        <v>0.0</v>
      </c>
      <c r="K100" s="32" t="s">
        <v>3568</v>
      </c>
      <c r="L100" s="33"/>
      <c r="M100" s="40"/>
      <c r="N100" s="35"/>
      <c r="O100" s="33"/>
      <c r="P100" s="33"/>
      <c r="Q100" s="35"/>
      <c r="R100" s="35"/>
      <c r="S100" s="33"/>
      <c r="T100" s="36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>
      <c r="A101" s="99" t="s">
        <v>32</v>
      </c>
      <c r="B101" s="100">
        <v>44293.0</v>
      </c>
      <c r="C101" s="22">
        <v>62054.0</v>
      </c>
      <c r="D101" s="24">
        <v>2120.0</v>
      </c>
      <c r="E101" s="25">
        <v>1000.0</v>
      </c>
      <c r="F101" s="101">
        <v>7105.0</v>
      </c>
      <c r="G101" s="161">
        <v>10775.0</v>
      </c>
      <c r="H101" s="29">
        <v>4996.0</v>
      </c>
      <c r="I101" s="30">
        <f t="shared" si="1"/>
        <v>39178</v>
      </c>
      <c r="J101" s="49">
        <v>40000.0</v>
      </c>
      <c r="K101" s="32" t="s">
        <v>3569</v>
      </c>
      <c r="L101" s="33"/>
      <c r="M101" s="40"/>
      <c r="N101" s="35"/>
      <c r="O101" s="33"/>
      <c r="P101" s="33"/>
      <c r="Q101" s="35"/>
      <c r="R101" s="35"/>
      <c r="S101" s="33"/>
      <c r="T101" s="36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>
      <c r="A102" s="99" t="s">
        <v>24</v>
      </c>
      <c r="B102" s="100">
        <v>44294.0</v>
      </c>
      <c r="C102" s="22">
        <v>49820.0</v>
      </c>
      <c r="D102" s="24">
        <v>1260.0</v>
      </c>
      <c r="E102" s="25">
        <v>420.0</v>
      </c>
      <c r="F102" s="101">
        <v>9615.0</v>
      </c>
      <c r="G102" s="161">
        <v>2415.0</v>
      </c>
      <c r="H102" s="29">
        <v>11200.0</v>
      </c>
      <c r="I102" s="30">
        <f t="shared" si="1"/>
        <v>26590</v>
      </c>
      <c r="J102" s="49">
        <v>50000.0</v>
      </c>
      <c r="K102" s="32" t="s">
        <v>3570</v>
      </c>
      <c r="L102" s="33"/>
      <c r="M102" s="40"/>
      <c r="N102" s="35"/>
      <c r="O102" s="33"/>
      <c r="P102" s="33"/>
      <c r="Q102" s="35"/>
      <c r="R102" s="35"/>
      <c r="S102" s="33"/>
      <c r="T102" s="36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>
      <c r="A103" s="99" t="s">
        <v>25</v>
      </c>
      <c r="B103" s="100">
        <v>44295.0</v>
      </c>
      <c r="C103" s="862">
        <v>49093.0</v>
      </c>
      <c r="D103" s="24">
        <v>2670.0</v>
      </c>
      <c r="E103" s="25">
        <v>220.0</v>
      </c>
      <c r="F103" s="101">
        <v>10310.0</v>
      </c>
      <c r="G103" s="161">
        <v>2041.0</v>
      </c>
      <c r="H103" s="29">
        <v>9990.0</v>
      </c>
      <c r="I103" s="30">
        <f t="shared" si="1"/>
        <v>26752</v>
      </c>
      <c r="J103" s="31"/>
      <c r="K103" s="39"/>
      <c r="L103" s="33"/>
      <c r="M103" s="40"/>
      <c r="N103" s="35"/>
      <c r="O103" s="33"/>
      <c r="P103" s="33"/>
      <c r="Q103" s="35"/>
      <c r="R103" s="35"/>
      <c r="S103" s="33"/>
      <c r="T103" s="36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>
      <c r="A104" s="99" t="s">
        <v>33</v>
      </c>
      <c r="B104" s="100">
        <v>44296.0</v>
      </c>
      <c r="C104" s="22">
        <v>60830.0</v>
      </c>
      <c r="D104" s="24">
        <v>1175.0</v>
      </c>
      <c r="E104" s="25">
        <v>2700.0</v>
      </c>
      <c r="F104" s="101">
        <v>14705.0</v>
      </c>
      <c r="G104" s="161">
        <v>4460.0</v>
      </c>
      <c r="H104" s="29">
        <v>14320.0</v>
      </c>
      <c r="I104" s="30">
        <f t="shared" si="1"/>
        <v>27345</v>
      </c>
      <c r="J104" s="49">
        <v>16000.0</v>
      </c>
      <c r="K104" s="32" t="s">
        <v>3571</v>
      </c>
      <c r="L104" s="33"/>
      <c r="M104" s="40"/>
      <c r="N104" s="35"/>
      <c r="O104" s="33"/>
      <c r="P104" s="33"/>
      <c r="Q104" s="35"/>
      <c r="R104" s="35"/>
      <c r="S104" s="33"/>
      <c r="T104" s="36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>
      <c r="A105" s="105" t="s">
        <v>27</v>
      </c>
      <c r="B105" s="43">
        <v>44297.0</v>
      </c>
      <c r="C105" s="110"/>
      <c r="D105" s="110"/>
      <c r="E105" s="110"/>
      <c r="F105" s="110"/>
      <c r="G105" s="108"/>
      <c r="H105" s="108"/>
      <c r="I105" s="30">
        <f t="shared" si="1"/>
        <v>0</v>
      </c>
      <c r="J105" s="108"/>
      <c r="K105" s="39"/>
      <c r="L105" s="108"/>
      <c r="M105" s="109"/>
      <c r="N105" s="110"/>
      <c r="O105" s="108"/>
      <c r="P105" s="108"/>
      <c r="Q105" s="110"/>
      <c r="R105" s="110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</row>
    <row r="106">
      <c r="A106" s="99" t="s">
        <v>21</v>
      </c>
      <c r="B106" s="100">
        <v>44298.0</v>
      </c>
      <c r="C106" s="22">
        <v>41788.0</v>
      </c>
      <c r="D106" s="24">
        <v>765.0</v>
      </c>
      <c r="E106" s="25">
        <v>2100.0</v>
      </c>
      <c r="F106" s="101">
        <v>4935.0</v>
      </c>
      <c r="G106" s="161">
        <v>3255.0</v>
      </c>
      <c r="H106" s="29">
        <v>8495.0</v>
      </c>
      <c r="I106" s="30">
        <f t="shared" si="1"/>
        <v>25103</v>
      </c>
      <c r="J106" s="49">
        <v>15000.0</v>
      </c>
      <c r="K106" s="32" t="s">
        <v>3572</v>
      </c>
      <c r="L106" s="33"/>
      <c r="M106" s="40"/>
      <c r="N106" s="35"/>
      <c r="O106" s="33"/>
      <c r="P106" s="33"/>
      <c r="Q106" s="35"/>
      <c r="R106" s="35"/>
      <c r="S106" s="33"/>
      <c r="T106" s="36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>
      <c r="A107" s="99" t="s">
        <v>22</v>
      </c>
      <c r="B107" s="100">
        <v>44299.0</v>
      </c>
      <c r="C107" s="22">
        <v>52940.0</v>
      </c>
      <c r="D107" s="24">
        <v>2650.0</v>
      </c>
      <c r="E107" s="25">
        <v>1620.0</v>
      </c>
      <c r="F107" s="101">
        <v>12150.0</v>
      </c>
      <c r="G107" s="161">
        <v>3440.0</v>
      </c>
      <c r="H107" s="29">
        <v>11070.0</v>
      </c>
      <c r="I107" s="30">
        <f t="shared" si="1"/>
        <v>26280</v>
      </c>
      <c r="J107" s="49">
        <v>19000.0</v>
      </c>
      <c r="K107" s="32" t="s">
        <v>3573</v>
      </c>
      <c r="L107" s="33"/>
      <c r="M107" s="40"/>
      <c r="N107" s="35"/>
      <c r="O107" s="33"/>
      <c r="P107" s="33"/>
      <c r="Q107" s="35"/>
      <c r="R107" s="35"/>
      <c r="S107" s="33"/>
      <c r="T107" s="36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>
      <c r="A108" s="99" t="s">
        <v>32</v>
      </c>
      <c r="B108" s="100">
        <v>44300.0</v>
      </c>
      <c r="C108" s="22">
        <v>47924.0</v>
      </c>
      <c r="D108" s="24">
        <v>1835.0</v>
      </c>
      <c r="E108" s="25">
        <v>1100.0</v>
      </c>
      <c r="F108" s="101">
        <v>11170.0</v>
      </c>
      <c r="G108" s="161">
        <v>4864.0</v>
      </c>
      <c r="H108" s="29">
        <v>7695.0</v>
      </c>
      <c r="I108" s="30">
        <f t="shared" si="1"/>
        <v>24195</v>
      </c>
      <c r="J108" s="49">
        <v>25000.0</v>
      </c>
      <c r="K108" s="32" t="s">
        <v>3574</v>
      </c>
      <c r="L108" s="33"/>
      <c r="M108" s="40"/>
      <c r="N108" s="35"/>
      <c r="O108" s="33"/>
      <c r="P108" s="33"/>
      <c r="Q108" s="35"/>
      <c r="R108" s="35"/>
      <c r="S108" s="33"/>
      <c r="T108" s="36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>
      <c r="A109" s="99" t="s">
        <v>24</v>
      </c>
      <c r="B109" s="100">
        <v>44301.0</v>
      </c>
      <c r="C109" s="22">
        <v>56530.0</v>
      </c>
      <c r="D109" s="24">
        <v>2260.0</v>
      </c>
      <c r="E109" s="25">
        <v>220.0</v>
      </c>
      <c r="F109" s="101">
        <v>7575.0</v>
      </c>
      <c r="G109" s="161">
        <v>4010.0</v>
      </c>
      <c r="H109" s="29">
        <v>15260.0</v>
      </c>
      <c r="I109" s="30">
        <f t="shared" si="1"/>
        <v>29685</v>
      </c>
      <c r="J109" s="49">
        <v>35000.0</v>
      </c>
      <c r="K109" s="32" t="s">
        <v>3575</v>
      </c>
      <c r="L109" s="33"/>
      <c r="M109" s="40"/>
      <c r="N109" s="35"/>
      <c r="O109" s="33"/>
      <c r="P109" s="33"/>
      <c r="Q109" s="35"/>
      <c r="R109" s="35"/>
      <c r="S109" s="33"/>
      <c r="T109" s="36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>
      <c r="A110" s="99" t="s">
        <v>25</v>
      </c>
      <c r="B110" s="100">
        <v>44302.0</v>
      </c>
      <c r="C110" s="22">
        <v>60933.0</v>
      </c>
      <c r="D110" s="24">
        <v>2715.0</v>
      </c>
      <c r="E110" s="25">
        <v>500.0</v>
      </c>
      <c r="F110" s="101">
        <v>9210.0</v>
      </c>
      <c r="G110" s="161">
        <v>8202.0</v>
      </c>
      <c r="H110" s="29">
        <v>11275.0</v>
      </c>
      <c r="I110" s="30">
        <f t="shared" si="1"/>
        <v>32246</v>
      </c>
      <c r="J110" s="49">
        <v>41000.0</v>
      </c>
      <c r="K110" s="32" t="s">
        <v>3576</v>
      </c>
      <c r="L110" s="33"/>
      <c r="M110" s="40"/>
      <c r="N110" s="35"/>
      <c r="O110" s="33"/>
      <c r="P110" s="33"/>
      <c r="Q110" s="35"/>
      <c r="R110" s="35"/>
      <c r="S110" s="33"/>
      <c r="T110" s="36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>
      <c r="A111" s="99" t="s">
        <v>33</v>
      </c>
      <c r="B111" s="100">
        <v>44303.0</v>
      </c>
      <c r="C111" s="22">
        <v>74175.0</v>
      </c>
      <c r="D111" s="24">
        <v>1880.0</v>
      </c>
      <c r="E111" s="25">
        <v>1520.0</v>
      </c>
      <c r="F111" s="101">
        <v>16080.0</v>
      </c>
      <c r="G111" s="161">
        <v>6950.0</v>
      </c>
      <c r="H111" s="29">
        <v>16330.0</v>
      </c>
      <c r="I111" s="30">
        <f t="shared" si="1"/>
        <v>34815</v>
      </c>
      <c r="J111" s="49">
        <v>3000.0</v>
      </c>
      <c r="K111" s="32" t="s">
        <v>3577</v>
      </c>
      <c r="L111" s="33"/>
      <c r="M111" s="40"/>
      <c r="N111" s="35"/>
      <c r="O111" s="33"/>
      <c r="P111" s="33"/>
      <c r="Q111" s="35"/>
      <c r="R111" s="35"/>
      <c r="S111" s="33"/>
      <c r="T111" s="36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>
      <c r="A112" s="105" t="s">
        <v>27</v>
      </c>
      <c r="B112" s="43">
        <v>44304.0</v>
      </c>
      <c r="C112" s="110"/>
      <c r="D112" s="110"/>
      <c r="E112" s="110"/>
      <c r="F112" s="110"/>
      <c r="G112" s="108"/>
      <c r="H112" s="108"/>
      <c r="I112" s="30">
        <f t="shared" si="1"/>
        <v>0</v>
      </c>
      <c r="J112" s="108"/>
      <c r="K112" s="39"/>
      <c r="L112" s="108"/>
      <c r="M112" s="109"/>
      <c r="N112" s="110"/>
      <c r="O112" s="108"/>
      <c r="P112" s="108"/>
      <c r="Q112" s="110"/>
      <c r="R112" s="110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</row>
    <row r="113">
      <c r="A113" s="99" t="s">
        <v>21</v>
      </c>
      <c r="B113" s="100">
        <v>44305.0</v>
      </c>
      <c r="C113" s="22">
        <v>49700.0</v>
      </c>
      <c r="D113" s="24">
        <v>1980.0</v>
      </c>
      <c r="E113" s="25">
        <v>700.0</v>
      </c>
      <c r="F113" s="101">
        <v>4920.0</v>
      </c>
      <c r="G113" s="161">
        <v>4035.0</v>
      </c>
      <c r="H113" s="29">
        <v>12380.0</v>
      </c>
      <c r="I113" s="30">
        <f t="shared" si="1"/>
        <v>28365</v>
      </c>
      <c r="J113" s="49">
        <v>5000.0</v>
      </c>
      <c r="K113" s="32" t="s">
        <v>3578</v>
      </c>
      <c r="L113" s="35"/>
      <c r="M113" s="40"/>
      <c r="N113" s="35"/>
      <c r="O113" s="33"/>
      <c r="P113" s="33"/>
      <c r="Q113" s="35"/>
      <c r="R113" s="35"/>
      <c r="S113" s="33"/>
      <c r="T113" s="36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>
      <c r="A114" s="99" t="s">
        <v>22</v>
      </c>
      <c r="B114" s="100">
        <v>44306.0</v>
      </c>
      <c r="C114" s="22">
        <v>45033.0</v>
      </c>
      <c r="D114" s="24">
        <v>2180.0</v>
      </c>
      <c r="E114" s="25">
        <v>220.0</v>
      </c>
      <c r="F114" s="101">
        <v>7360.0</v>
      </c>
      <c r="G114" s="161">
        <v>5513.0</v>
      </c>
      <c r="H114" s="29">
        <v>7560.0</v>
      </c>
      <c r="I114" s="30">
        <f t="shared" si="1"/>
        <v>24600</v>
      </c>
      <c r="J114" s="49">
        <v>8000.0</v>
      </c>
      <c r="K114" s="32" t="s">
        <v>3579</v>
      </c>
      <c r="L114" s="33"/>
      <c r="M114" s="40"/>
      <c r="N114" s="35"/>
      <c r="O114" s="33"/>
      <c r="P114" s="33"/>
      <c r="Q114" s="35"/>
      <c r="R114" s="35"/>
      <c r="S114" s="33"/>
      <c r="T114" s="36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>
      <c r="A115" s="99" t="s">
        <v>32</v>
      </c>
      <c r="B115" s="100">
        <v>44307.0</v>
      </c>
      <c r="C115" s="22">
        <v>53970.0</v>
      </c>
      <c r="D115" s="24">
        <v>2060.0</v>
      </c>
      <c r="E115" s="25">
        <v>800.0</v>
      </c>
      <c r="F115" s="101">
        <v>5000.0</v>
      </c>
      <c r="G115" s="161">
        <v>4759.0</v>
      </c>
      <c r="H115" s="29">
        <v>9490.0</v>
      </c>
      <c r="I115" s="30">
        <f t="shared" si="1"/>
        <v>34721</v>
      </c>
      <c r="J115" s="49">
        <v>18000.0</v>
      </c>
      <c r="K115" s="32" t="s">
        <v>3580</v>
      </c>
      <c r="L115" s="33"/>
      <c r="M115" s="40"/>
      <c r="N115" s="35"/>
      <c r="O115" s="33"/>
      <c r="P115" s="33"/>
      <c r="Q115" s="35"/>
      <c r="R115" s="35"/>
      <c r="S115" s="33"/>
      <c r="T115" s="36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>
      <c r="A116" s="99" t="s">
        <v>24</v>
      </c>
      <c r="B116" s="100">
        <v>44308.0</v>
      </c>
      <c r="C116" s="22">
        <v>58481.0</v>
      </c>
      <c r="D116" s="24">
        <v>2060.0</v>
      </c>
      <c r="E116" s="25">
        <v>320.0</v>
      </c>
      <c r="F116" s="101">
        <v>7740.0</v>
      </c>
      <c r="G116" s="161">
        <v>6852.0</v>
      </c>
      <c r="H116" s="29">
        <v>10770.0</v>
      </c>
      <c r="I116" s="30">
        <f t="shared" si="1"/>
        <v>33119</v>
      </c>
      <c r="J116" s="49">
        <v>19000.0</v>
      </c>
      <c r="K116" s="32" t="s">
        <v>3581</v>
      </c>
      <c r="L116" s="33"/>
      <c r="M116" s="40"/>
      <c r="N116" s="35"/>
      <c r="O116" s="33"/>
      <c r="P116" s="33"/>
      <c r="Q116" s="35"/>
      <c r="R116" s="35"/>
      <c r="S116" s="33"/>
      <c r="T116" s="36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>
      <c r="A117" s="99" t="s">
        <v>25</v>
      </c>
      <c r="B117" s="100">
        <v>44309.0</v>
      </c>
      <c r="C117" s="22">
        <v>53480.0</v>
      </c>
      <c r="D117" s="24">
        <v>1945.0</v>
      </c>
      <c r="E117" s="25">
        <v>100.0</v>
      </c>
      <c r="F117" s="101">
        <v>8420.0</v>
      </c>
      <c r="G117" s="161">
        <v>8005.0</v>
      </c>
      <c r="H117" s="29">
        <v>11340.0</v>
      </c>
      <c r="I117" s="30">
        <f t="shared" si="1"/>
        <v>25715</v>
      </c>
      <c r="J117" s="49">
        <v>28000.0</v>
      </c>
      <c r="K117" s="32" t="s">
        <v>3582</v>
      </c>
      <c r="L117" s="33"/>
      <c r="M117" s="40"/>
      <c r="N117" s="35"/>
      <c r="O117" s="33"/>
      <c r="P117" s="33"/>
      <c r="Q117" s="35"/>
      <c r="R117" s="35"/>
      <c r="S117" s="33"/>
      <c r="T117" s="36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>
      <c r="A118" s="99" t="s">
        <v>33</v>
      </c>
      <c r="B118" s="100">
        <v>44310.0</v>
      </c>
      <c r="C118" s="22">
        <v>77135.0</v>
      </c>
      <c r="D118" s="24">
        <v>2260.0</v>
      </c>
      <c r="E118" s="25">
        <v>720.0</v>
      </c>
      <c r="F118" s="101">
        <v>21995.0</v>
      </c>
      <c r="G118" s="161">
        <v>5125.0</v>
      </c>
      <c r="H118" s="29">
        <v>16210.0</v>
      </c>
      <c r="I118" s="30">
        <f t="shared" si="1"/>
        <v>33805</v>
      </c>
      <c r="J118" s="49">
        <v>7000.0</v>
      </c>
      <c r="K118" s="32" t="s">
        <v>3583</v>
      </c>
      <c r="L118" s="33"/>
      <c r="M118" s="40"/>
      <c r="N118" s="35"/>
      <c r="O118" s="33"/>
      <c r="P118" s="33"/>
      <c r="Q118" s="35"/>
      <c r="R118" s="35"/>
      <c r="S118" s="33"/>
      <c r="T118" s="36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>
      <c r="A119" s="105" t="s">
        <v>27</v>
      </c>
      <c r="B119" s="43">
        <v>44311.0</v>
      </c>
      <c r="C119" s="110"/>
      <c r="D119" s="110"/>
      <c r="E119" s="110"/>
      <c r="F119" s="110"/>
      <c r="G119" s="108"/>
      <c r="H119" s="108"/>
      <c r="I119" s="30">
        <f t="shared" si="1"/>
        <v>0</v>
      </c>
      <c r="J119" s="108"/>
      <c r="K119" s="39"/>
      <c r="L119" s="108"/>
      <c r="M119" s="109"/>
      <c r="N119" s="110"/>
      <c r="O119" s="108"/>
      <c r="P119" s="108"/>
      <c r="Q119" s="110"/>
      <c r="R119" s="110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</row>
    <row r="120">
      <c r="A120" s="99" t="s">
        <v>21</v>
      </c>
      <c r="B120" s="100">
        <v>44312.0</v>
      </c>
      <c r="C120" s="22">
        <v>62235.0</v>
      </c>
      <c r="D120" s="24">
        <v>1607.0</v>
      </c>
      <c r="E120" s="25">
        <v>200.0</v>
      </c>
      <c r="F120" s="101">
        <v>13735.0</v>
      </c>
      <c r="G120" s="161">
        <v>4521.0</v>
      </c>
      <c r="H120" s="29">
        <v>12540.0</v>
      </c>
      <c r="I120" s="30">
        <f t="shared" si="1"/>
        <v>31439</v>
      </c>
      <c r="J120" s="49">
        <v>9000.0</v>
      </c>
      <c r="K120" s="32" t="s">
        <v>3584</v>
      </c>
      <c r="L120" s="33"/>
      <c r="M120" s="40"/>
      <c r="N120" s="35"/>
      <c r="O120" s="33"/>
      <c r="P120" s="33"/>
      <c r="Q120" s="35"/>
      <c r="R120" s="35"/>
      <c r="S120" s="33"/>
      <c r="T120" s="36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>
      <c r="A121" s="99" t="s">
        <v>22</v>
      </c>
      <c r="B121" s="100">
        <v>44313.0</v>
      </c>
      <c r="C121" s="22">
        <v>51045.0</v>
      </c>
      <c r="D121" s="24">
        <v>2580.0</v>
      </c>
      <c r="E121" s="25">
        <v>520.0</v>
      </c>
      <c r="F121" s="101">
        <v>7400.0</v>
      </c>
      <c r="G121" s="161">
        <v>5220.0</v>
      </c>
      <c r="H121" s="29">
        <v>14545.0</v>
      </c>
      <c r="I121" s="30">
        <f t="shared" si="1"/>
        <v>23880</v>
      </c>
      <c r="J121" s="49">
        <v>8000.0</v>
      </c>
      <c r="K121" s="32" t="s">
        <v>3585</v>
      </c>
      <c r="L121" s="33"/>
      <c r="M121" s="40"/>
      <c r="N121" s="35"/>
      <c r="O121" s="33"/>
      <c r="P121" s="33"/>
      <c r="Q121" s="35"/>
      <c r="R121" s="35"/>
      <c r="S121" s="33"/>
      <c r="T121" s="36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>
      <c r="A122" s="99" t="s">
        <v>32</v>
      </c>
      <c r="B122" s="100">
        <v>44314.0</v>
      </c>
      <c r="C122" s="22">
        <v>52331.0</v>
      </c>
      <c r="D122" s="24">
        <v>1402.0</v>
      </c>
      <c r="E122" s="25">
        <v>0.0</v>
      </c>
      <c r="F122" s="101">
        <v>8370.0</v>
      </c>
      <c r="G122" s="161">
        <v>6101.0</v>
      </c>
      <c r="H122" s="29">
        <v>9705.0</v>
      </c>
      <c r="I122" s="30">
        <f t="shared" si="1"/>
        <v>28155</v>
      </c>
      <c r="J122" s="49">
        <v>17000.0</v>
      </c>
      <c r="K122" s="32" t="s">
        <v>3586</v>
      </c>
      <c r="L122" s="33"/>
      <c r="M122" s="40"/>
      <c r="N122" s="35"/>
      <c r="O122" s="33"/>
      <c r="P122" s="33"/>
      <c r="Q122" s="35"/>
      <c r="R122" s="35"/>
      <c r="S122" s="33"/>
      <c r="T122" s="36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>
      <c r="A123" s="99" t="s">
        <v>24</v>
      </c>
      <c r="B123" s="100">
        <v>44315.0</v>
      </c>
      <c r="C123" s="22">
        <v>83984.0</v>
      </c>
      <c r="D123" s="24">
        <v>2370.0</v>
      </c>
      <c r="E123" s="25">
        <v>520.0</v>
      </c>
      <c r="F123" s="101">
        <v>13485.0</v>
      </c>
      <c r="G123" s="161">
        <v>8441.0</v>
      </c>
      <c r="H123" s="29">
        <v>17490.0</v>
      </c>
      <c r="I123" s="30">
        <f t="shared" si="1"/>
        <v>44568</v>
      </c>
      <c r="J123" s="49">
        <v>36000.0</v>
      </c>
      <c r="K123" s="32" t="s">
        <v>3587</v>
      </c>
      <c r="L123" s="33"/>
      <c r="M123" s="40"/>
      <c r="N123" s="35"/>
      <c r="O123" s="33"/>
      <c r="P123" s="33"/>
      <c r="Q123" s="35"/>
      <c r="R123" s="35"/>
      <c r="S123" s="33"/>
      <c r="T123" s="36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>
      <c r="A124" s="99" t="s">
        <v>25</v>
      </c>
      <c r="B124" s="100">
        <v>44316.0</v>
      </c>
      <c r="C124" s="22">
        <v>67145.0</v>
      </c>
      <c r="D124" s="24">
        <v>1465.0</v>
      </c>
      <c r="E124" s="25">
        <v>2100.0</v>
      </c>
      <c r="F124" s="101">
        <v>10545.0</v>
      </c>
      <c r="G124" s="161">
        <v>11275.0</v>
      </c>
      <c r="H124" s="29">
        <v>20060.0</v>
      </c>
      <c r="I124" s="30">
        <f t="shared" si="1"/>
        <v>25265</v>
      </c>
      <c r="J124" s="49">
        <v>50000.0</v>
      </c>
      <c r="K124" s="39"/>
      <c r="L124" s="33"/>
      <c r="M124" s="40"/>
      <c r="N124" s="35"/>
      <c r="O124" s="33"/>
      <c r="P124" s="33"/>
      <c r="Q124" s="35"/>
      <c r="R124" s="35"/>
      <c r="S124" s="33"/>
      <c r="T124" s="36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>
      <c r="A125" s="134" t="s">
        <v>28</v>
      </c>
      <c r="B125" s="135" t="s">
        <v>37</v>
      </c>
      <c r="C125" s="136">
        <f>SUM(C95:C124)</f>
        <v>1442995</v>
      </c>
      <c r="D125" s="136"/>
      <c r="E125" s="136"/>
      <c r="F125" s="136">
        <f t="shared" ref="F125:H125" si="3">SUM(F95:F124)</f>
        <v>271620</v>
      </c>
      <c r="G125" s="136">
        <f t="shared" si="3"/>
        <v>141680</v>
      </c>
      <c r="H125" s="136">
        <f t="shared" si="3"/>
        <v>307756</v>
      </c>
      <c r="I125" s="30">
        <f t="shared" si="1"/>
        <v>721939</v>
      </c>
      <c r="J125" s="125"/>
      <c r="K125" s="138"/>
      <c r="L125" s="125"/>
      <c r="M125" s="126"/>
      <c r="N125" s="127"/>
      <c r="O125" s="125"/>
      <c r="P125" s="125"/>
      <c r="Q125" s="127"/>
      <c r="R125" s="127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8"/>
    </row>
    <row r="126">
      <c r="A126" s="99" t="s">
        <v>26</v>
      </c>
      <c r="B126" s="100">
        <v>44317.0</v>
      </c>
      <c r="C126" s="22">
        <v>80305.0</v>
      </c>
      <c r="D126" s="24">
        <v>2200.0</v>
      </c>
      <c r="E126" s="25">
        <v>1320.0</v>
      </c>
      <c r="F126" s="101">
        <v>23520.0</v>
      </c>
      <c r="G126" s="161">
        <v>1965.0</v>
      </c>
      <c r="H126" s="29">
        <v>20965.0</v>
      </c>
      <c r="I126" s="30">
        <f t="shared" si="1"/>
        <v>33855</v>
      </c>
      <c r="J126" s="31"/>
      <c r="K126" s="32" t="s">
        <v>3588</v>
      </c>
      <c r="L126" s="33"/>
      <c r="M126" s="40"/>
      <c r="N126" s="35"/>
      <c r="O126" s="33"/>
      <c r="P126" s="33"/>
      <c r="Q126" s="35"/>
      <c r="R126" s="35"/>
      <c r="S126" s="33"/>
      <c r="T126" s="36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>
      <c r="A127" s="105" t="s">
        <v>27</v>
      </c>
      <c r="B127" s="43">
        <v>44318.0</v>
      </c>
      <c r="C127" s="110"/>
      <c r="D127" s="110"/>
      <c r="E127" s="110"/>
      <c r="F127" s="110"/>
      <c r="G127" s="110"/>
      <c r="H127" s="110"/>
      <c r="I127" s="30">
        <f t="shared" si="1"/>
        <v>0</v>
      </c>
      <c r="J127" s="110"/>
      <c r="K127" s="32"/>
      <c r="L127" s="33"/>
      <c r="M127" s="40"/>
      <c r="N127" s="35"/>
      <c r="O127" s="33"/>
      <c r="P127" s="33"/>
      <c r="Q127" s="35"/>
      <c r="R127" s="35"/>
      <c r="S127" s="33"/>
      <c r="T127" s="36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>
      <c r="A128" s="99" t="s">
        <v>21</v>
      </c>
      <c r="B128" s="100">
        <v>44319.0</v>
      </c>
      <c r="C128" s="22">
        <v>53735.0</v>
      </c>
      <c r="D128" s="24">
        <v>1595.0</v>
      </c>
      <c r="E128" s="25">
        <v>700.0</v>
      </c>
      <c r="F128" s="101">
        <v>6700.0</v>
      </c>
      <c r="G128" s="161">
        <v>4409.0</v>
      </c>
      <c r="H128" s="140">
        <v>15600.0</v>
      </c>
      <c r="I128" s="30">
        <f t="shared" si="1"/>
        <v>27026</v>
      </c>
      <c r="J128" s="140">
        <v>2000.0</v>
      </c>
      <c r="K128" s="141" t="s">
        <v>3589</v>
      </c>
      <c r="L128" s="33"/>
      <c r="M128" s="40"/>
      <c r="N128" s="35"/>
      <c r="O128" s="33"/>
      <c r="P128" s="33"/>
      <c r="Q128" s="35"/>
      <c r="R128" s="35"/>
      <c r="S128" s="33"/>
      <c r="T128" s="36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</row>
    <row r="129">
      <c r="A129" s="99" t="s">
        <v>22</v>
      </c>
      <c r="B129" s="100">
        <v>44320.0</v>
      </c>
      <c r="C129" s="22">
        <v>63217.0</v>
      </c>
      <c r="D129" s="24">
        <v>2470.0</v>
      </c>
      <c r="E129" s="25">
        <v>820.0</v>
      </c>
      <c r="F129" s="101">
        <v>8240.0</v>
      </c>
      <c r="G129" s="161">
        <v>9128.0</v>
      </c>
      <c r="H129" s="29">
        <v>13340.0</v>
      </c>
      <c r="I129" s="30">
        <f t="shared" si="1"/>
        <v>32509</v>
      </c>
      <c r="J129" s="49">
        <v>5000.0</v>
      </c>
      <c r="K129" s="32" t="s">
        <v>3590</v>
      </c>
      <c r="L129" s="33"/>
      <c r="M129" s="40"/>
      <c r="N129" s="35"/>
      <c r="O129" s="33"/>
      <c r="P129" s="33"/>
      <c r="Q129" s="35"/>
      <c r="R129" s="35"/>
      <c r="S129" s="33"/>
      <c r="T129" s="36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>
      <c r="A130" s="99" t="s">
        <v>23</v>
      </c>
      <c r="B130" s="100">
        <v>44321.0</v>
      </c>
      <c r="C130" s="22">
        <v>55710.0</v>
      </c>
      <c r="D130" s="24">
        <v>1751.0</v>
      </c>
      <c r="E130" s="25">
        <v>600.0</v>
      </c>
      <c r="F130" s="101">
        <v>9130.0</v>
      </c>
      <c r="G130" s="161">
        <v>5780.0</v>
      </c>
      <c r="H130" s="29">
        <v>11060.0</v>
      </c>
      <c r="I130" s="30">
        <f t="shared" si="1"/>
        <v>29740</v>
      </c>
      <c r="J130" s="49">
        <v>23000.0</v>
      </c>
      <c r="K130" s="32" t="s">
        <v>3591</v>
      </c>
      <c r="L130" s="33"/>
      <c r="M130" s="40"/>
      <c r="N130" s="35"/>
      <c r="O130" s="33"/>
      <c r="P130" s="33"/>
      <c r="Q130" s="35"/>
      <c r="R130" s="35"/>
      <c r="S130" s="33"/>
      <c r="T130" s="36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>
      <c r="A131" s="99" t="s">
        <v>24</v>
      </c>
      <c r="B131" s="100">
        <v>44322.0</v>
      </c>
      <c r="C131" s="22">
        <v>72310.0</v>
      </c>
      <c r="D131" s="24">
        <v>2600.0</v>
      </c>
      <c r="E131" s="25">
        <v>120.0</v>
      </c>
      <c r="F131" s="101">
        <v>12965.0</v>
      </c>
      <c r="G131" s="161">
        <v>3084.0</v>
      </c>
      <c r="H131" s="29">
        <v>11175.0</v>
      </c>
      <c r="I131" s="30">
        <f t="shared" si="1"/>
        <v>45086</v>
      </c>
      <c r="J131" s="49">
        <v>5000.0</v>
      </c>
      <c r="K131" s="32" t="s">
        <v>3592</v>
      </c>
      <c r="L131" s="33"/>
      <c r="M131" s="40"/>
      <c r="N131" s="35"/>
      <c r="O131" s="33"/>
      <c r="P131" s="33"/>
      <c r="Q131" s="35"/>
      <c r="R131" s="35"/>
      <c r="S131" s="33"/>
      <c r="T131" s="36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>
      <c r="A132" s="99" t="s">
        <v>25</v>
      </c>
      <c r="B132" s="100">
        <v>44323.0</v>
      </c>
      <c r="C132" s="22">
        <v>69738.0</v>
      </c>
      <c r="D132" s="24">
        <v>2100.0</v>
      </c>
      <c r="E132" s="25">
        <v>0.0</v>
      </c>
      <c r="F132" s="101">
        <v>6245.0</v>
      </c>
      <c r="G132" s="161">
        <v>13307.0</v>
      </c>
      <c r="H132" s="29">
        <v>15925.0</v>
      </c>
      <c r="I132" s="30">
        <f t="shared" si="1"/>
        <v>34261</v>
      </c>
      <c r="J132" s="49">
        <v>22000.0</v>
      </c>
      <c r="K132" s="32" t="s">
        <v>3593</v>
      </c>
      <c r="L132" s="33"/>
      <c r="M132" s="40"/>
      <c r="N132" s="35"/>
      <c r="O132" s="33"/>
      <c r="P132" s="33"/>
      <c r="Q132" s="35"/>
      <c r="R132" s="35"/>
      <c r="S132" s="33"/>
      <c r="T132" s="36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>
      <c r="A133" s="99" t="s">
        <v>26</v>
      </c>
      <c r="B133" s="100">
        <v>44324.0</v>
      </c>
      <c r="C133" s="22">
        <v>71680.0</v>
      </c>
      <c r="D133" s="24">
        <v>2870.0</v>
      </c>
      <c r="E133" s="25">
        <v>1000.0</v>
      </c>
      <c r="F133" s="101">
        <v>17110.0</v>
      </c>
      <c r="G133" s="161">
        <v>7875.0</v>
      </c>
      <c r="H133" s="29">
        <v>15260.0</v>
      </c>
      <c r="I133" s="30">
        <f t="shared" si="1"/>
        <v>31435</v>
      </c>
      <c r="J133" s="49">
        <v>6000.0</v>
      </c>
      <c r="K133" s="32" t="s">
        <v>3594</v>
      </c>
      <c r="L133" s="33"/>
      <c r="M133" s="40"/>
      <c r="N133" s="35"/>
      <c r="O133" s="33"/>
      <c r="P133" s="33"/>
      <c r="Q133" s="35"/>
      <c r="R133" s="35"/>
      <c r="S133" s="33"/>
      <c r="T133" s="36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>
      <c r="A134" s="105" t="s">
        <v>27</v>
      </c>
      <c r="B134" s="43">
        <v>44325.0</v>
      </c>
      <c r="C134" s="110"/>
      <c r="D134" s="110"/>
      <c r="E134" s="110"/>
      <c r="F134" s="110"/>
      <c r="G134" s="108"/>
      <c r="H134" s="108"/>
      <c r="I134" s="30">
        <f t="shared" si="1"/>
        <v>0</v>
      </c>
      <c r="J134" s="108"/>
      <c r="K134" s="39"/>
      <c r="L134" s="33"/>
      <c r="M134" s="40"/>
      <c r="N134" s="35"/>
      <c r="O134" s="33"/>
      <c r="P134" s="33"/>
      <c r="Q134" s="35"/>
      <c r="R134" s="35"/>
      <c r="S134" s="33"/>
      <c r="T134" s="36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>
      <c r="A135" s="99" t="s">
        <v>21</v>
      </c>
      <c r="B135" s="100">
        <v>44326.0</v>
      </c>
      <c r="C135" s="22">
        <v>72285.0</v>
      </c>
      <c r="D135" s="24">
        <v>1570.0</v>
      </c>
      <c r="E135" s="25">
        <v>300.0</v>
      </c>
      <c r="F135" s="101">
        <v>13595.0</v>
      </c>
      <c r="G135" s="161">
        <v>6065.0</v>
      </c>
      <c r="H135" s="29">
        <v>18040.0</v>
      </c>
      <c r="I135" s="30">
        <f t="shared" si="1"/>
        <v>34585</v>
      </c>
      <c r="J135" s="49">
        <v>18000.0</v>
      </c>
      <c r="K135" s="32" t="s">
        <v>3595</v>
      </c>
      <c r="L135" s="33"/>
      <c r="M135" s="40"/>
      <c r="N135" s="35"/>
      <c r="O135" s="33"/>
      <c r="P135" s="33"/>
      <c r="Q135" s="35"/>
      <c r="R135" s="35"/>
      <c r="S135" s="33"/>
      <c r="T135" s="36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</row>
    <row r="136">
      <c r="A136" s="99" t="s">
        <v>22</v>
      </c>
      <c r="B136" s="100">
        <v>44327.0</v>
      </c>
      <c r="C136" s="22">
        <v>49695.0</v>
      </c>
      <c r="D136" s="24">
        <v>2620.0</v>
      </c>
      <c r="E136" s="25">
        <v>500.0</v>
      </c>
      <c r="F136" s="101">
        <v>7300.0</v>
      </c>
      <c r="G136" s="161">
        <v>6515.0</v>
      </c>
      <c r="H136" s="29">
        <v>10200.0</v>
      </c>
      <c r="I136" s="30">
        <f t="shared" si="1"/>
        <v>25680</v>
      </c>
      <c r="J136" s="49">
        <v>3000.0</v>
      </c>
      <c r="K136" s="32" t="s">
        <v>3596</v>
      </c>
      <c r="L136" s="33"/>
      <c r="M136" s="40"/>
      <c r="N136" s="35"/>
      <c r="O136" s="33"/>
      <c r="P136" s="33"/>
      <c r="Q136" s="35"/>
      <c r="R136" s="35"/>
      <c r="S136" s="33"/>
      <c r="T136" s="36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>
      <c r="A137" s="99" t="s">
        <v>23</v>
      </c>
      <c r="B137" s="100">
        <v>44328.0</v>
      </c>
      <c r="C137" s="22">
        <v>66010.0</v>
      </c>
      <c r="D137" s="24">
        <v>2050.0</v>
      </c>
      <c r="E137" s="25"/>
      <c r="F137" s="101">
        <v>16360.0</v>
      </c>
      <c r="G137" s="161">
        <v>6315.0</v>
      </c>
      <c r="H137" s="29">
        <v>14090.0</v>
      </c>
      <c r="I137" s="30">
        <f t="shared" si="1"/>
        <v>29245</v>
      </c>
      <c r="J137" s="31"/>
      <c r="K137" s="32" t="s">
        <v>3597</v>
      </c>
      <c r="L137" s="33"/>
      <c r="M137" s="40"/>
      <c r="N137" s="35"/>
      <c r="O137" s="33"/>
      <c r="P137" s="33"/>
      <c r="Q137" s="35"/>
      <c r="R137" s="35"/>
      <c r="S137" s="33"/>
      <c r="T137" s="36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>
      <c r="A138" s="99" t="s">
        <v>24</v>
      </c>
      <c r="B138" s="100">
        <v>44329.0</v>
      </c>
      <c r="C138" s="22">
        <v>57960.0</v>
      </c>
      <c r="D138" s="24">
        <v>1970.0</v>
      </c>
      <c r="E138" s="25"/>
      <c r="F138" s="101">
        <v>13120.0</v>
      </c>
      <c r="G138" s="161">
        <v>7435.0</v>
      </c>
      <c r="H138" s="29">
        <v>14195.0</v>
      </c>
      <c r="I138" s="30">
        <f t="shared" si="1"/>
        <v>23210</v>
      </c>
      <c r="J138" s="31"/>
      <c r="K138" s="32" t="s">
        <v>3598</v>
      </c>
      <c r="L138" s="33"/>
      <c r="M138" s="40"/>
      <c r="N138" s="35"/>
      <c r="O138" s="33"/>
      <c r="P138" s="33"/>
      <c r="Q138" s="35"/>
      <c r="R138" s="35"/>
      <c r="S138" s="33"/>
      <c r="T138" s="36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>
      <c r="A139" s="99" t="s">
        <v>25</v>
      </c>
      <c r="B139" s="100">
        <v>44330.0</v>
      </c>
      <c r="C139" s="22">
        <v>69301.0</v>
      </c>
      <c r="D139" s="24">
        <v>2200.0</v>
      </c>
      <c r="E139" s="25"/>
      <c r="F139" s="101">
        <v>10420.0</v>
      </c>
      <c r="G139" s="161">
        <v>3414.0</v>
      </c>
      <c r="H139" s="29">
        <v>15435.0</v>
      </c>
      <c r="I139" s="30">
        <f t="shared" si="1"/>
        <v>40032</v>
      </c>
      <c r="J139" s="31"/>
      <c r="K139" s="39"/>
      <c r="L139" s="33"/>
      <c r="M139" s="40"/>
      <c r="N139" s="35"/>
      <c r="O139" s="33"/>
      <c r="P139" s="33"/>
      <c r="Q139" s="35"/>
      <c r="R139" s="35"/>
      <c r="S139" s="33"/>
      <c r="T139" s="36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>
      <c r="A140" s="99" t="s">
        <v>26</v>
      </c>
      <c r="B140" s="100">
        <v>44331.0</v>
      </c>
      <c r="C140" s="22">
        <v>51399.0</v>
      </c>
      <c r="D140" s="24">
        <v>2200.0</v>
      </c>
      <c r="E140" s="25">
        <v>2500.0</v>
      </c>
      <c r="F140" s="101">
        <v>9135.0</v>
      </c>
      <c r="G140" s="161">
        <v>0.0</v>
      </c>
      <c r="H140" s="29">
        <v>8010.0</v>
      </c>
      <c r="I140" s="30">
        <f t="shared" si="1"/>
        <v>34254</v>
      </c>
      <c r="J140" s="49">
        <v>4000.0</v>
      </c>
      <c r="K140" s="32" t="s">
        <v>3599</v>
      </c>
      <c r="L140" s="33"/>
      <c r="M140" s="40"/>
      <c r="N140" s="35"/>
      <c r="O140" s="33"/>
      <c r="P140" s="33"/>
      <c r="Q140" s="35"/>
      <c r="R140" s="35"/>
      <c r="S140" s="33"/>
      <c r="T140" s="36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>
      <c r="A141" s="105" t="s">
        <v>27</v>
      </c>
      <c r="B141" s="43">
        <v>44332.0</v>
      </c>
      <c r="C141" s="110"/>
      <c r="D141" s="110"/>
      <c r="E141" s="110"/>
      <c r="F141" s="110"/>
      <c r="G141" s="108"/>
      <c r="H141" s="108"/>
      <c r="I141" s="30">
        <f t="shared" si="1"/>
        <v>0</v>
      </c>
      <c r="J141" s="108"/>
      <c r="K141" s="39"/>
      <c r="L141" s="33"/>
      <c r="M141" s="40"/>
      <c r="N141" s="35"/>
      <c r="O141" s="33"/>
      <c r="P141" s="33"/>
      <c r="Q141" s="35"/>
      <c r="R141" s="35"/>
      <c r="S141" s="33"/>
      <c r="T141" s="36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>
      <c r="A142" s="99" t="s">
        <v>21</v>
      </c>
      <c r="B142" s="100">
        <v>44333.0</v>
      </c>
      <c r="C142" s="22">
        <v>57939.0</v>
      </c>
      <c r="D142" s="24">
        <v>1100.0</v>
      </c>
      <c r="E142" s="25">
        <v>1700.0</v>
      </c>
      <c r="F142" s="101">
        <v>8520.0</v>
      </c>
      <c r="G142" s="161">
        <v>5580.0</v>
      </c>
      <c r="H142" s="29">
        <v>11435.0</v>
      </c>
      <c r="I142" s="30">
        <f t="shared" si="1"/>
        <v>32404</v>
      </c>
      <c r="J142" s="49">
        <v>4000.0</v>
      </c>
      <c r="K142" s="32" t="s">
        <v>3600</v>
      </c>
      <c r="L142" s="33"/>
      <c r="M142" s="40"/>
      <c r="N142" s="35"/>
      <c r="O142" s="33"/>
      <c r="P142" s="33"/>
      <c r="Q142" s="35"/>
      <c r="R142" s="35"/>
      <c r="S142" s="33"/>
      <c r="T142" s="36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</row>
    <row r="143">
      <c r="A143" s="99" t="s">
        <v>22</v>
      </c>
      <c r="B143" s="100">
        <v>44334.0</v>
      </c>
      <c r="C143" s="22">
        <v>62030.0</v>
      </c>
      <c r="D143" s="24">
        <v>3250.0</v>
      </c>
      <c r="E143" s="25">
        <v>900.0</v>
      </c>
      <c r="F143" s="101">
        <v>7275.0</v>
      </c>
      <c r="G143" s="161">
        <v>7665.0</v>
      </c>
      <c r="H143" s="29">
        <v>18565.0</v>
      </c>
      <c r="I143" s="30">
        <f t="shared" si="1"/>
        <v>28525</v>
      </c>
      <c r="J143" s="49">
        <v>3000.0</v>
      </c>
      <c r="K143" s="32" t="s">
        <v>3601</v>
      </c>
      <c r="L143" s="33"/>
      <c r="M143" s="40"/>
      <c r="N143" s="35"/>
      <c r="O143" s="33"/>
      <c r="P143" s="33"/>
      <c r="Q143" s="35"/>
      <c r="R143" s="35"/>
      <c r="S143" s="33"/>
      <c r="T143" s="36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>
      <c r="A144" s="99" t="s">
        <v>23</v>
      </c>
      <c r="B144" s="100">
        <v>44335.0</v>
      </c>
      <c r="C144" s="22">
        <v>73125.0</v>
      </c>
      <c r="D144" s="24">
        <v>738.0</v>
      </c>
      <c r="E144" s="25">
        <v>700.0</v>
      </c>
      <c r="F144" s="101">
        <v>10760.0</v>
      </c>
      <c r="G144" s="161">
        <v>11745.0</v>
      </c>
      <c r="H144" s="29">
        <v>14295.0</v>
      </c>
      <c r="I144" s="30">
        <f t="shared" si="1"/>
        <v>36325</v>
      </c>
      <c r="J144" s="49">
        <v>18000.0</v>
      </c>
      <c r="K144" s="32" t="s">
        <v>3602</v>
      </c>
      <c r="L144" s="33"/>
      <c r="M144" s="40"/>
      <c r="N144" s="35"/>
      <c r="O144" s="33"/>
      <c r="P144" s="33"/>
      <c r="Q144" s="35"/>
      <c r="R144" s="35"/>
      <c r="S144" s="33"/>
      <c r="T144" s="36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>
      <c r="A145" s="99" t="s">
        <v>24</v>
      </c>
      <c r="B145" s="100">
        <v>44336.0</v>
      </c>
      <c r="C145" s="22">
        <v>67285.0</v>
      </c>
      <c r="D145" s="24">
        <v>2300.0</v>
      </c>
      <c r="E145" s="25">
        <v>600.0</v>
      </c>
      <c r="F145" s="101">
        <v>12205.0</v>
      </c>
      <c r="G145" s="161">
        <v>8190.0</v>
      </c>
      <c r="H145" s="29">
        <v>14015.0</v>
      </c>
      <c r="I145" s="30">
        <f t="shared" si="1"/>
        <v>32875</v>
      </c>
      <c r="J145" s="49">
        <v>5000.0</v>
      </c>
      <c r="K145" s="32" t="s">
        <v>3603</v>
      </c>
      <c r="L145" s="33"/>
      <c r="M145" s="40"/>
      <c r="N145" s="35"/>
      <c r="O145" s="33"/>
      <c r="P145" s="33"/>
      <c r="Q145" s="35"/>
      <c r="R145" s="35"/>
      <c r="S145" s="33"/>
      <c r="T145" s="36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>
      <c r="A146" s="99" t="s">
        <v>25</v>
      </c>
      <c r="B146" s="100">
        <v>44337.0</v>
      </c>
      <c r="C146" s="22">
        <v>70159.0</v>
      </c>
      <c r="D146" s="24">
        <v>1830.0</v>
      </c>
      <c r="E146" s="25">
        <v>0.0</v>
      </c>
      <c r="F146" s="101">
        <v>8420.0</v>
      </c>
      <c r="G146" s="161">
        <v>7655.0</v>
      </c>
      <c r="H146" s="29">
        <v>16945.0</v>
      </c>
      <c r="I146" s="30">
        <f t="shared" si="1"/>
        <v>37139</v>
      </c>
      <c r="J146" s="49">
        <v>10000.0</v>
      </c>
      <c r="K146" s="32" t="s">
        <v>3604</v>
      </c>
      <c r="L146" s="33"/>
      <c r="M146" s="40"/>
      <c r="N146" s="35"/>
      <c r="O146" s="33"/>
      <c r="P146" s="33"/>
      <c r="Q146" s="35"/>
      <c r="R146" s="35"/>
      <c r="S146" s="33"/>
      <c r="T146" s="36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>
      <c r="A147" s="99" t="s">
        <v>26</v>
      </c>
      <c r="B147" s="100">
        <v>44338.0</v>
      </c>
      <c r="C147" s="22">
        <v>43236.0</v>
      </c>
      <c r="D147" s="24">
        <v>2520.0</v>
      </c>
      <c r="E147" s="25">
        <v>3900.0</v>
      </c>
      <c r="F147" s="101">
        <v>4070.0</v>
      </c>
      <c r="G147" s="161">
        <v>9015.0</v>
      </c>
      <c r="H147" s="29">
        <v>17140.0</v>
      </c>
      <c r="I147" s="30">
        <f t="shared" si="1"/>
        <v>13011</v>
      </c>
      <c r="J147" s="31"/>
      <c r="K147" s="32" t="s">
        <v>3605</v>
      </c>
      <c r="L147" s="33"/>
      <c r="M147" s="40"/>
      <c r="N147" s="35"/>
      <c r="O147" s="33"/>
      <c r="P147" s="33"/>
      <c r="Q147" s="35"/>
      <c r="R147" s="35"/>
      <c r="S147" s="33"/>
      <c r="T147" s="36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>
      <c r="A148" s="105" t="s">
        <v>27</v>
      </c>
      <c r="B148" s="43">
        <v>44339.0</v>
      </c>
      <c r="C148" s="110"/>
      <c r="D148" s="110"/>
      <c r="E148" s="110"/>
      <c r="F148" s="110"/>
      <c r="G148" s="108"/>
      <c r="H148" s="108"/>
      <c r="I148" s="30">
        <f t="shared" si="1"/>
        <v>0</v>
      </c>
      <c r="J148" s="108"/>
      <c r="K148" s="39"/>
      <c r="L148" s="33"/>
      <c r="M148" s="40"/>
      <c r="N148" s="35"/>
      <c r="O148" s="33"/>
      <c r="P148" s="33"/>
      <c r="Q148" s="35"/>
      <c r="R148" s="35"/>
      <c r="S148" s="33"/>
      <c r="T148" s="36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>
      <c r="A149" s="99" t="s">
        <v>21</v>
      </c>
      <c r="B149" s="100">
        <v>44340.0</v>
      </c>
      <c r="C149" s="22"/>
      <c r="D149" s="24"/>
      <c r="E149" s="25"/>
      <c r="F149" s="101"/>
      <c r="G149" s="161"/>
      <c r="H149" s="29"/>
      <c r="I149" s="30">
        <f t="shared" si="1"/>
        <v>0</v>
      </c>
      <c r="J149" s="31"/>
      <c r="K149" s="39"/>
      <c r="L149" s="33"/>
      <c r="M149" s="40"/>
      <c r="N149" s="35"/>
      <c r="O149" s="33"/>
      <c r="P149" s="33"/>
      <c r="Q149" s="35"/>
      <c r="R149" s="35"/>
      <c r="S149" s="33"/>
      <c r="T149" s="36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</row>
    <row r="150">
      <c r="A150" s="99" t="s">
        <v>22</v>
      </c>
      <c r="B150" s="100">
        <v>44341.0</v>
      </c>
      <c r="C150" s="22">
        <v>83075.0</v>
      </c>
      <c r="D150" s="24">
        <v>2148.0</v>
      </c>
      <c r="E150" s="25">
        <v>3900.0</v>
      </c>
      <c r="F150" s="101">
        <v>16665.0</v>
      </c>
      <c r="G150" s="161">
        <v>6685.0</v>
      </c>
      <c r="H150" s="29">
        <v>19505.0</v>
      </c>
      <c r="I150" s="30">
        <f t="shared" si="1"/>
        <v>40220</v>
      </c>
      <c r="J150" s="31"/>
      <c r="K150" s="39"/>
      <c r="L150" s="33"/>
      <c r="M150" s="40"/>
      <c r="N150" s="35"/>
      <c r="O150" s="33"/>
      <c r="P150" s="33"/>
      <c r="Q150" s="35"/>
      <c r="R150" s="35"/>
      <c r="S150" s="33"/>
      <c r="T150" s="36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>
      <c r="A151" s="99" t="s">
        <v>23</v>
      </c>
      <c r="B151" s="100">
        <v>44342.0</v>
      </c>
      <c r="C151" s="22">
        <v>37840.0</v>
      </c>
      <c r="D151" s="24">
        <v>1890.0</v>
      </c>
      <c r="E151" s="25">
        <v>3900.0</v>
      </c>
      <c r="F151" s="101">
        <v>23370.0</v>
      </c>
      <c r="G151" s="161">
        <v>6840.0</v>
      </c>
      <c r="H151" s="29">
        <v>7585.0</v>
      </c>
      <c r="I151" s="30">
        <f t="shared" si="1"/>
        <v>45</v>
      </c>
      <c r="J151" s="31"/>
      <c r="K151" s="32" t="s">
        <v>3606</v>
      </c>
      <c r="L151" s="33"/>
      <c r="M151" s="40"/>
      <c r="N151" s="35"/>
      <c r="O151" s="33"/>
      <c r="P151" s="33"/>
      <c r="Q151" s="35"/>
      <c r="R151" s="35"/>
      <c r="S151" s="33"/>
      <c r="T151" s="36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>
      <c r="A152" s="99" t="s">
        <v>24</v>
      </c>
      <c r="B152" s="100">
        <v>44343.0</v>
      </c>
      <c r="C152" s="22">
        <v>45775.0</v>
      </c>
      <c r="D152" s="24">
        <v>2430.0</v>
      </c>
      <c r="E152" s="25">
        <v>2800.0</v>
      </c>
      <c r="F152" s="101">
        <v>4805.0</v>
      </c>
      <c r="G152" s="161">
        <v>3490.0</v>
      </c>
      <c r="H152" s="29">
        <v>15200.0</v>
      </c>
      <c r="I152" s="30">
        <f t="shared" si="1"/>
        <v>22280</v>
      </c>
      <c r="J152" s="49">
        <v>8000.0</v>
      </c>
      <c r="K152" s="32" t="s">
        <v>3607</v>
      </c>
      <c r="L152" s="33"/>
      <c r="M152" s="40"/>
      <c r="N152" s="35"/>
      <c r="O152" s="33"/>
      <c r="P152" s="33"/>
      <c r="Q152" s="35"/>
      <c r="R152" s="35"/>
      <c r="S152" s="33"/>
      <c r="T152" s="36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>
      <c r="A153" s="99" t="s">
        <v>25</v>
      </c>
      <c r="B153" s="100">
        <v>44344.0</v>
      </c>
      <c r="C153" s="22">
        <v>60448.0</v>
      </c>
      <c r="D153" s="24">
        <v>760.0</v>
      </c>
      <c r="E153" s="25">
        <v>1800.0</v>
      </c>
      <c r="F153" s="101">
        <v>8670.0</v>
      </c>
      <c r="G153" s="161">
        <v>7605.0</v>
      </c>
      <c r="H153" s="29">
        <v>16930.0</v>
      </c>
      <c r="I153" s="30">
        <f t="shared" si="1"/>
        <v>27243</v>
      </c>
      <c r="J153" s="49"/>
      <c r="K153" s="32">
        <v>0.0</v>
      </c>
      <c r="L153" s="33"/>
      <c r="M153" s="40"/>
      <c r="N153" s="35"/>
      <c r="O153" s="33"/>
      <c r="P153" s="33"/>
      <c r="Q153" s="35"/>
      <c r="R153" s="35"/>
      <c r="S153" s="33"/>
      <c r="T153" s="36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>
      <c r="A154" s="99" t="s">
        <v>26</v>
      </c>
      <c r="B154" s="100">
        <v>44345.0</v>
      </c>
      <c r="C154" s="22">
        <v>93784.0</v>
      </c>
      <c r="D154" s="24">
        <v>1879.0</v>
      </c>
      <c r="E154" s="25">
        <v>1500.0</v>
      </c>
      <c r="F154" s="101">
        <v>17875.0</v>
      </c>
      <c r="G154" s="161">
        <v>13064.0</v>
      </c>
      <c r="H154" s="29">
        <v>17891.0</v>
      </c>
      <c r="I154" s="30">
        <f t="shared" si="1"/>
        <v>44954</v>
      </c>
      <c r="J154" s="31"/>
      <c r="K154" s="39"/>
      <c r="L154" s="33"/>
      <c r="M154" s="40"/>
      <c r="N154" s="35"/>
      <c r="O154" s="33"/>
      <c r="P154" s="33"/>
      <c r="Q154" s="35"/>
      <c r="R154" s="35"/>
      <c r="S154" s="33"/>
      <c r="T154" s="36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>
      <c r="A155" s="99" t="s">
        <v>33</v>
      </c>
      <c r="B155" s="100">
        <v>44346.0</v>
      </c>
      <c r="C155" s="22"/>
      <c r="D155" s="24"/>
      <c r="E155" s="25"/>
      <c r="F155" s="101"/>
      <c r="G155" s="161"/>
      <c r="H155" s="29"/>
      <c r="I155" s="30">
        <f t="shared" si="1"/>
        <v>0</v>
      </c>
      <c r="J155" s="31"/>
      <c r="K155" s="39"/>
      <c r="L155" s="33"/>
      <c r="M155" s="40"/>
      <c r="N155" s="35"/>
      <c r="O155" s="33"/>
      <c r="P155" s="33"/>
      <c r="Q155" s="35"/>
      <c r="R155" s="35"/>
      <c r="S155" s="33"/>
      <c r="T155" s="36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>
      <c r="A156" s="105" t="s">
        <v>27</v>
      </c>
      <c r="B156" s="43">
        <v>44347.0</v>
      </c>
      <c r="C156" s="110"/>
      <c r="D156" s="110"/>
      <c r="E156" s="110"/>
      <c r="F156" s="110"/>
      <c r="G156" s="108"/>
      <c r="H156" s="108"/>
      <c r="I156" s="30">
        <f t="shared" si="1"/>
        <v>0</v>
      </c>
      <c r="J156" s="108"/>
      <c r="K156" s="144"/>
      <c r="L156" s="145"/>
      <c r="M156" s="146"/>
      <c r="N156" s="147"/>
      <c r="O156" s="145"/>
      <c r="P156" s="145"/>
      <c r="Q156" s="147"/>
      <c r="R156" s="147"/>
      <c r="S156" s="33"/>
      <c r="T156" s="36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8"/>
    </row>
    <row r="157">
      <c r="A157" s="134" t="s">
        <v>28</v>
      </c>
      <c r="B157" s="135" t="s">
        <v>39</v>
      </c>
      <c r="C157" s="136">
        <f>SUM(C126:C156)</f>
        <v>1528041</v>
      </c>
      <c r="D157" s="136"/>
      <c r="E157" s="136"/>
      <c r="F157" s="136"/>
      <c r="G157" s="136"/>
      <c r="H157" s="136"/>
      <c r="I157" s="30">
        <f t="shared" si="1"/>
        <v>1528041</v>
      </c>
      <c r="J157" s="31"/>
      <c r="K157" s="39"/>
      <c r="L157" s="33"/>
      <c r="M157" s="40"/>
      <c r="N157" s="35"/>
      <c r="O157" s="33"/>
      <c r="P157" s="33"/>
      <c r="Q157" s="35"/>
      <c r="R157" s="35"/>
      <c r="S157" s="33"/>
      <c r="T157" s="36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>
      <c r="A158" s="99" t="s">
        <v>21</v>
      </c>
      <c r="B158" s="100">
        <v>43983.0</v>
      </c>
      <c r="C158" s="22">
        <v>62490.0</v>
      </c>
      <c r="D158" s="24">
        <v>1464.0</v>
      </c>
      <c r="E158" s="25">
        <v>300.0</v>
      </c>
      <c r="F158" s="35">
        <v>12085.0</v>
      </c>
      <c r="G158" s="161">
        <v>6839.0</v>
      </c>
      <c r="H158" s="29">
        <v>12820.0</v>
      </c>
      <c r="I158" s="30">
        <f t="shared" si="1"/>
        <v>30746</v>
      </c>
      <c r="J158" s="31"/>
      <c r="K158" s="32" t="s">
        <v>3608</v>
      </c>
      <c r="L158" s="33"/>
      <c r="M158" s="40"/>
      <c r="N158" s="35"/>
      <c r="O158" s="33"/>
      <c r="P158" s="33"/>
      <c r="Q158" s="35"/>
      <c r="R158" s="35"/>
      <c r="S158" s="33"/>
      <c r="T158" s="36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>
      <c r="A159" s="99" t="s">
        <v>22</v>
      </c>
      <c r="B159" s="100">
        <v>43984.0</v>
      </c>
      <c r="C159" s="22">
        <v>49215.0</v>
      </c>
      <c r="D159" s="24">
        <v>2740.0</v>
      </c>
      <c r="E159" s="25">
        <v>800.0</v>
      </c>
      <c r="F159" s="35">
        <v>7100.0</v>
      </c>
      <c r="G159" s="161">
        <v>2240.0</v>
      </c>
      <c r="H159" s="29">
        <v>8885.0</v>
      </c>
      <c r="I159" s="30">
        <f t="shared" si="1"/>
        <v>30990</v>
      </c>
      <c r="J159" s="31"/>
      <c r="K159" s="32" t="s">
        <v>3609</v>
      </c>
      <c r="L159" s="33"/>
      <c r="M159" s="40"/>
      <c r="N159" s="35"/>
      <c r="O159" s="33"/>
      <c r="P159" s="33"/>
      <c r="Q159" s="35"/>
      <c r="R159" s="35"/>
      <c r="S159" s="33"/>
      <c r="T159" s="36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>
      <c r="A160" s="99" t="s">
        <v>32</v>
      </c>
      <c r="B160" s="100">
        <v>43985.0</v>
      </c>
      <c r="C160" s="22">
        <v>72107.0</v>
      </c>
      <c r="D160" s="24">
        <v>1629.0</v>
      </c>
      <c r="E160" s="25">
        <v>200.0</v>
      </c>
      <c r="F160" s="35">
        <v>9840.0</v>
      </c>
      <c r="G160" s="161">
        <v>9928.0</v>
      </c>
      <c r="H160" s="29">
        <v>24655.0</v>
      </c>
      <c r="I160" s="30">
        <f t="shared" si="1"/>
        <v>27684</v>
      </c>
      <c r="J160" s="31"/>
      <c r="K160" s="32" t="s">
        <v>3610</v>
      </c>
      <c r="L160" s="33"/>
      <c r="M160" s="40"/>
      <c r="N160" s="35"/>
      <c r="O160" s="33"/>
      <c r="P160" s="33"/>
      <c r="Q160" s="35"/>
      <c r="R160" s="35"/>
      <c r="S160" s="33"/>
      <c r="T160" s="36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>
      <c r="A161" s="99" t="s">
        <v>24</v>
      </c>
      <c r="B161" s="100">
        <v>43986.0</v>
      </c>
      <c r="C161" s="22">
        <v>61470.0</v>
      </c>
      <c r="D161" s="24">
        <v>2190.0</v>
      </c>
      <c r="E161" s="25">
        <v>400.0</v>
      </c>
      <c r="F161" s="35">
        <v>9545.0</v>
      </c>
      <c r="G161" s="161">
        <v>6340.0</v>
      </c>
      <c r="H161" s="29">
        <v>14970.0</v>
      </c>
      <c r="I161" s="30">
        <f t="shared" si="1"/>
        <v>30615</v>
      </c>
      <c r="J161" s="31"/>
      <c r="K161" s="39"/>
      <c r="L161" s="33"/>
      <c r="M161" s="40"/>
      <c r="N161" s="35"/>
      <c r="O161" s="33"/>
      <c r="P161" s="33"/>
      <c r="Q161" s="35"/>
      <c r="R161" s="35"/>
      <c r="S161" s="33"/>
      <c r="T161" s="36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>
      <c r="A162" s="99" t="s">
        <v>25</v>
      </c>
      <c r="B162" s="100">
        <v>43987.0</v>
      </c>
      <c r="C162" s="22">
        <v>73496.0</v>
      </c>
      <c r="D162" s="24">
        <v>1050.0</v>
      </c>
      <c r="E162" s="25">
        <v>0.0</v>
      </c>
      <c r="F162" s="35">
        <v>8190.0</v>
      </c>
      <c r="G162" s="161">
        <v>7396.0</v>
      </c>
      <c r="H162" s="29">
        <v>23675.0</v>
      </c>
      <c r="I162" s="30">
        <f t="shared" si="1"/>
        <v>34235</v>
      </c>
      <c r="J162" s="49">
        <v>14000.0</v>
      </c>
      <c r="K162" s="39"/>
      <c r="L162" s="33"/>
      <c r="M162" s="40"/>
      <c r="N162" s="35"/>
      <c r="O162" s="33"/>
      <c r="P162" s="33"/>
      <c r="Q162" s="35"/>
      <c r="R162" s="35"/>
      <c r="S162" s="33"/>
      <c r="T162" s="36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>
      <c r="A163" s="99" t="s">
        <v>33</v>
      </c>
      <c r="B163" s="100">
        <v>43988.0</v>
      </c>
      <c r="C163" s="22">
        <v>60354.0</v>
      </c>
      <c r="D163" s="24">
        <v>2180.0</v>
      </c>
      <c r="E163" s="25">
        <v>3200.0</v>
      </c>
      <c r="F163" s="35">
        <v>10855.0</v>
      </c>
      <c r="G163" s="161">
        <v>6843.0</v>
      </c>
      <c r="H163" s="29">
        <v>12940.0</v>
      </c>
      <c r="I163" s="30">
        <f t="shared" si="1"/>
        <v>29716</v>
      </c>
      <c r="J163" s="31"/>
      <c r="K163" s="32" t="s">
        <v>3611</v>
      </c>
      <c r="L163" s="33"/>
      <c r="M163" s="40"/>
      <c r="N163" s="35"/>
      <c r="O163" s="33"/>
      <c r="P163" s="33"/>
      <c r="Q163" s="35"/>
      <c r="R163" s="35"/>
      <c r="S163" s="33"/>
      <c r="T163" s="36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>
      <c r="A164" s="150" t="s">
        <v>27</v>
      </c>
      <c r="B164" s="162">
        <v>43989.0</v>
      </c>
      <c r="C164" s="160"/>
      <c r="D164" s="160"/>
      <c r="E164" s="160"/>
      <c r="F164" s="160"/>
      <c r="G164" s="161"/>
      <c r="H164" s="29"/>
      <c r="I164" s="30">
        <f t="shared" si="1"/>
        <v>0</v>
      </c>
      <c r="J164" s="31"/>
      <c r="K164" s="32"/>
      <c r="L164" s="33"/>
      <c r="M164" s="40"/>
      <c r="N164" s="35"/>
      <c r="O164" s="33"/>
      <c r="P164" s="33"/>
      <c r="Q164" s="35"/>
      <c r="R164" s="35"/>
      <c r="S164" s="33"/>
      <c r="T164" s="36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</row>
    <row r="165">
      <c r="A165" s="99" t="s">
        <v>21</v>
      </c>
      <c r="B165" s="100">
        <v>43990.0</v>
      </c>
      <c r="C165" s="152">
        <v>55677.0</v>
      </c>
      <c r="D165" s="154">
        <v>1325.0</v>
      </c>
      <c r="E165" s="155">
        <v>1800.0</v>
      </c>
      <c r="F165" s="156">
        <v>7100.0</v>
      </c>
      <c r="G165" s="863">
        <v>5807.0</v>
      </c>
      <c r="H165" s="158">
        <v>12955.0</v>
      </c>
      <c r="I165" s="30">
        <f t="shared" si="1"/>
        <v>29815</v>
      </c>
      <c r="J165" s="31"/>
      <c r="K165" s="141" t="s">
        <v>3612</v>
      </c>
      <c r="L165" s="33"/>
      <c r="M165" s="40"/>
      <c r="N165" s="35"/>
      <c r="O165" s="33"/>
      <c r="P165" s="33"/>
      <c r="Q165" s="35"/>
      <c r="R165" s="35"/>
      <c r="S165" s="33"/>
      <c r="T165" s="36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>
      <c r="A166" s="99" t="s">
        <v>22</v>
      </c>
      <c r="B166" s="100">
        <v>43991.0</v>
      </c>
      <c r="C166" s="22">
        <v>54385.0</v>
      </c>
      <c r="D166" s="24">
        <v>843.0</v>
      </c>
      <c r="E166" s="25">
        <v>1100.0</v>
      </c>
      <c r="F166" s="35">
        <v>12730.0</v>
      </c>
      <c r="G166" s="161">
        <v>2744.0</v>
      </c>
      <c r="H166" s="29">
        <v>15225.0</v>
      </c>
      <c r="I166" s="30">
        <f t="shared" si="1"/>
        <v>23686</v>
      </c>
      <c r="J166" s="49">
        <v>5000.0</v>
      </c>
      <c r="K166" s="32" t="s">
        <v>3613</v>
      </c>
      <c r="L166" s="33"/>
      <c r="M166" s="40"/>
      <c r="N166" s="35"/>
      <c r="O166" s="33"/>
      <c r="P166" s="33"/>
      <c r="Q166" s="35"/>
      <c r="R166" s="35"/>
      <c r="S166" s="33"/>
      <c r="T166" s="36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>
      <c r="A167" s="99" t="s">
        <v>32</v>
      </c>
      <c r="B167" s="100">
        <v>43992.0</v>
      </c>
      <c r="C167" s="22">
        <v>62145.0</v>
      </c>
      <c r="D167" s="24">
        <v>2380.0</v>
      </c>
      <c r="E167" s="25">
        <v>200.0</v>
      </c>
      <c r="F167" s="35">
        <v>7415.0</v>
      </c>
      <c r="G167" s="161">
        <v>8211.0</v>
      </c>
      <c r="H167" s="29">
        <v>19355.0</v>
      </c>
      <c r="I167" s="30">
        <f t="shared" si="1"/>
        <v>27164</v>
      </c>
      <c r="J167" s="49">
        <v>3000.0</v>
      </c>
      <c r="K167" s="32" t="s">
        <v>3614</v>
      </c>
      <c r="L167" s="33"/>
      <c r="M167" s="40"/>
      <c r="N167" s="35"/>
      <c r="O167" s="33"/>
      <c r="P167" s="33"/>
      <c r="Q167" s="35"/>
      <c r="R167" s="35"/>
      <c r="S167" s="33"/>
      <c r="T167" s="36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>
      <c r="A168" s="99" t="s">
        <v>24</v>
      </c>
      <c r="B168" s="100">
        <v>43993.0</v>
      </c>
      <c r="C168" s="22">
        <v>59845.0</v>
      </c>
      <c r="D168" s="24">
        <v>1680.0</v>
      </c>
      <c r="E168" s="25">
        <v>140.0</v>
      </c>
      <c r="F168" s="35">
        <v>10760.0</v>
      </c>
      <c r="G168" s="161">
        <v>5340.0</v>
      </c>
      <c r="H168" s="29">
        <v>11645.0</v>
      </c>
      <c r="I168" s="30">
        <f t="shared" si="1"/>
        <v>32100</v>
      </c>
      <c r="J168" s="49">
        <v>3000.0</v>
      </c>
      <c r="K168" s="39"/>
      <c r="L168" s="33"/>
      <c r="M168" s="40"/>
      <c r="N168" s="35"/>
      <c r="O168" s="33"/>
      <c r="P168" s="33"/>
      <c r="Q168" s="35"/>
      <c r="R168" s="35"/>
      <c r="S168" s="33"/>
      <c r="T168" s="36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>
      <c r="A169" s="99" t="s">
        <v>25</v>
      </c>
      <c r="B169" s="100">
        <v>43994.0</v>
      </c>
      <c r="C169" s="22">
        <v>55225.0</v>
      </c>
      <c r="D169" s="24">
        <v>1310.0</v>
      </c>
      <c r="E169" s="25">
        <v>0.0</v>
      </c>
      <c r="F169" s="35">
        <v>10520.0</v>
      </c>
      <c r="G169" s="161">
        <v>8915.0</v>
      </c>
      <c r="H169" s="29">
        <v>6925.0</v>
      </c>
      <c r="I169" s="30">
        <f t="shared" si="1"/>
        <v>28865</v>
      </c>
      <c r="J169" s="49">
        <v>7000.0</v>
      </c>
      <c r="K169" s="32" t="s">
        <v>3615</v>
      </c>
      <c r="L169" s="33"/>
      <c r="M169" s="40"/>
      <c r="N169" s="35"/>
      <c r="O169" s="33"/>
      <c r="P169" s="33"/>
      <c r="Q169" s="35"/>
      <c r="R169" s="35"/>
      <c r="S169" s="33"/>
      <c r="T169" s="36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>
      <c r="A170" s="99" t="s">
        <v>33</v>
      </c>
      <c r="B170" s="100">
        <v>43995.0</v>
      </c>
      <c r="C170" s="22">
        <v>65074.0</v>
      </c>
      <c r="D170" s="24">
        <v>1870.0</v>
      </c>
      <c r="E170" s="25">
        <v>2340.0</v>
      </c>
      <c r="F170" s="35">
        <v>17630.0</v>
      </c>
      <c r="G170" s="161">
        <v>4010.0</v>
      </c>
      <c r="H170" s="29">
        <v>14024.0</v>
      </c>
      <c r="I170" s="30">
        <f t="shared" si="1"/>
        <v>29410</v>
      </c>
      <c r="J170" s="49">
        <v>2000.0</v>
      </c>
      <c r="K170" s="32" t="s">
        <v>3616</v>
      </c>
      <c r="L170" s="33"/>
      <c r="M170" s="40"/>
      <c r="N170" s="35"/>
      <c r="O170" s="33"/>
      <c r="P170" s="33"/>
      <c r="Q170" s="35"/>
      <c r="R170" s="35"/>
      <c r="S170" s="33"/>
      <c r="T170" s="36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>
      <c r="A171" s="150" t="s">
        <v>27</v>
      </c>
      <c r="B171" s="162">
        <v>43996.0</v>
      </c>
      <c r="C171" s="160"/>
      <c r="D171" s="160"/>
      <c r="E171" s="160"/>
      <c r="F171" s="160"/>
      <c r="G171" s="161"/>
      <c r="H171" s="29"/>
      <c r="I171" s="30">
        <f t="shared" si="1"/>
        <v>0</v>
      </c>
      <c r="J171" s="49"/>
      <c r="K171" s="39"/>
      <c r="L171" s="33"/>
      <c r="M171" s="40"/>
      <c r="N171" s="35"/>
      <c r="O171" s="33"/>
      <c r="P171" s="33"/>
      <c r="Q171" s="35"/>
      <c r="R171" s="35"/>
      <c r="S171" s="33"/>
      <c r="T171" s="36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</row>
    <row r="172">
      <c r="A172" s="99" t="s">
        <v>21</v>
      </c>
      <c r="B172" s="100">
        <v>43997.0</v>
      </c>
      <c r="C172" s="160">
        <v>56075.0</v>
      </c>
      <c r="D172" s="160">
        <v>1055.0</v>
      </c>
      <c r="E172" s="160">
        <v>1500.0</v>
      </c>
      <c r="F172" s="160">
        <v>11385.0</v>
      </c>
      <c r="G172" s="161">
        <v>1800.0</v>
      </c>
      <c r="H172" s="29">
        <v>10490.0</v>
      </c>
      <c r="I172" s="30">
        <f t="shared" si="1"/>
        <v>32400</v>
      </c>
      <c r="J172" s="49">
        <v>12000.0</v>
      </c>
      <c r="K172" s="39"/>
      <c r="L172" s="33"/>
      <c r="M172" s="40"/>
      <c r="N172" s="35"/>
      <c r="O172" s="33"/>
      <c r="P172" s="33"/>
      <c r="Q172" s="35"/>
      <c r="R172" s="35"/>
      <c r="S172" s="33"/>
      <c r="T172" s="36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>
      <c r="A173" s="99" t="s">
        <v>22</v>
      </c>
      <c r="B173" s="100">
        <v>43998.0</v>
      </c>
      <c r="C173" s="22">
        <v>66315.0</v>
      </c>
      <c r="D173" s="24">
        <v>769.0</v>
      </c>
      <c r="E173" s="25">
        <v>700.0</v>
      </c>
      <c r="F173" s="35">
        <v>15910.0</v>
      </c>
      <c r="G173" s="161">
        <v>7884.0</v>
      </c>
      <c r="H173" s="29">
        <v>12660.0</v>
      </c>
      <c r="I173" s="30">
        <f t="shared" si="1"/>
        <v>29861</v>
      </c>
      <c r="J173" s="49">
        <v>19000.0</v>
      </c>
      <c r="K173" s="32" t="s">
        <v>3617</v>
      </c>
      <c r="L173" s="33"/>
      <c r="M173" s="40"/>
      <c r="N173" s="35"/>
      <c r="O173" s="33"/>
      <c r="P173" s="33"/>
      <c r="Q173" s="35"/>
      <c r="R173" s="35"/>
      <c r="S173" s="33"/>
      <c r="T173" s="36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>
      <c r="A174" s="99" t="s">
        <v>32</v>
      </c>
      <c r="B174" s="100">
        <v>43999.0</v>
      </c>
      <c r="C174" s="22">
        <v>61760.0</v>
      </c>
      <c r="D174" s="24">
        <v>2000.0</v>
      </c>
      <c r="E174" s="25">
        <v>140.0</v>
      </c>
      <c r="F174" s="35">
        <v>8358.0</v>
      </c>
      <c r="G174" s="161">
        <v>7155.0</v>
      </c>
      <c r="H174" s="29">
        <v>9230.0</v>
      </c>
      <c r="I174" s="30">
        <f t="shared" si="1"/>
        <v>37017</v>
      </c>
      <c r="J174" s="31"/>
      <c r="K174" s="32" t="s">
        <v>3618</v>
      </c>
      <c r="L174" s="33"/>
      <c r="M174" s="40"/>
      <c r="N174" s="35"/>
      <c r="O174" s="33"/>
      <c r="P174" s="33"/>
      <c r="Q174" s="35"/>
      <c r="R174" s="35"/>
      <c r="S174" s="33"/>
      <c r="T174" s="36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>
      <c r="A175" s="99" t="s">
        <v>24</v>
      </c>
      <c r="B175" s="100">
        <v>44000.0</v>
      </c>
      <c r="C175" s="22">
        <v>80673.0</v>
      </c>
      <c r="D175" s="24">
        <v>1880.0</v>
      </c>
      <c r="E175" s="25">
        <v>340.0</v>
      </c>
      <c r="F175" s="35">
        <v>8795.0</v>
      </c>
      <c r="G175" s="161">
        <v>9780.0</v>
      </c>
      <c r="H175" s="29">
        <v>19318.0</v>
      </c>
      <c r="I175" s="30">
        <f t="shared" si="1"/>
        <v>42780</v>
      </c>
      <c r="J175" s="31"/>
      <c r="K175" s="39"/>
      <c r="L175" s="33"/>
      <c r="M175" s="40"/>
      <c r="N175" s="35"/>
      <c r="O175" s="33"/>
      <c r="P175" s="33"/>
      <c r="Q175" s="35"/>
      <c r="R175" s="35"/>
      <c r="S175" s="33"/>
      <c r="T175" s="36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>
      <c r="A176" s="99" t="s">
        <v>25</v>
      </c>
      <c r="B176" s="100">
        <v>44001.0</v>
      </c>
      <c r="C176" s="22">
        <v>63615.0</v>
      </c>
      <c r="D176" s="24">
        <v>776.0</v>
      </c>
      <c r="E176" s="25">
        <v>0.0</v>
      </c>
      <c r="F176" s="35">
        <v>10810.0</v>
      </c>
      <c r="G176" s="161">
        <v>4425.0</v>
      </c>
      <c r="H176" s="29">
        <v>13980.0</v>
      </c>
      <c r="I176" s="30">
        <f t="shared" si="1"/>
        <v>34400</v>
      </c>
      <c r="J176" s="49">
        <v>8000.0</v>
      </c>
      <c r="K176" s="39"/>
      <c r="L176" s="33"/>
      <c r="M176" s="40"/>
      <c r="N176" s="35"/>
      <c r="O176" s="33"/>
      <c r="P176" s="33"/>
      <c r="Q176" s="35"/>
      <c r="R176" s="35"/>
      <c r="S176" s="33"/>
      <c r="T176" s="36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>
      <c r="A177" s="99" t="s">
        <v>33</v>
      </c>
      <c r="B177" s="100">
        <v>44002.0</v>
      </c>
      <c r="C177" s="22">
        <v>78485.0</v>
      </c>
      <c r="D177" s="24">
        <v>2000.0</v>
      </c>
      <c r="E177" s="25">
        <v>1510.0</v>
      </c>
      <c r="F177" s="35">
        <v>26075.0</v>
      </c>
      <c r="G177" s="161">
        <v>3745.0</v>
      </c>
      <c r="H177" s="29">
        <v>19620.0</v>
      </c>
      <c r="I177" s="30">
        <f t="shared" si="1"/>
        <v>29045</v>
      </c>
      <c r="J177" s="31"/>
      <c r="K177" s="32" t="s">
        <v>3619</v>
      </c>
      <c r="L177" s="33"/>
      <c r="M177" s="40"/>
      <c r="N177" s="35"/>
      <c r="O177" s="33"/>
      <c r="P177" s="33"/>
      <c r="Q177" s="35"/>
      <c r="R177" s="35"/>
      <c r="S177" s="33"/>
      <c r="T177" s="36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>
      <c r="A178" s="150" t="s">
        <v>27</v>
      </c>
      <c r="B178" s="162">
        <v>44003.0</v>
      </c>
      <c r="C178" s="160"/>
      <c r="D178" s="160"/>
      <c r="E178" s="160"/>
      <c r="F178" s="160"/>
      <c r="G178" s="161"/>
      <c r="H178" s="29"/>
      <c r="I178" s="30">
        <f t="shared" si="1"/>
        <v>0</v>
      </c>
      <c r="J178" s="31"/>
      <c r="K178" s="39"/>
      <c r="L178" s="33"/>
      <c r="M178" s="40"/>
      <c r="N178" s="35"/>
      <c r="O178" s="33"/>
      <c r="P178" s="33"/>
      <c r="Q178" s="35"/>
      <c r="R178" s="35"/>
      <c r="S178" s="33"/>
      <c r="T178" s="36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</row>
    <row r="179">
      <c r="A179" s="219" t="s">
        <v>21</v>
      </c>
      <c r="B179" s="864">
        <v>44003.0</v>
      </c>
      <c r="C179" s="32" t="s">
        <v>48</v>
      </c>
      <c r="D179" s="32"/>
      <c r="E179" s="32"/>
      <c r="F179" s="32"/>
      <c r="G179" s="32"/>
      <c r="H179" s="32"/>
      <c r="I179" s="30" t="str">
        <f t="shared" si="1"/>
        <v>#VALUE!</v>
      </c>
      <c r="J179" s="31"/>
      <c r="K179" s="39"/>
      <c r="L179" s="33"/>
      <c r="M179" s="40"/>
      <c r="N179" s="35"/>
      <c r="O179" s="33"/>
      <c r="P179" s="33"/>
      <c r="Q179" s="35"/>
      <c r="R179" s="35"/>
      <c r="S179" s="33"/>
      <c r="T179" s="36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>
      <c r="A180" s="99" t="s">
        <v>22</v>
      </c>
      <c r="B180" s="100">
        <v>44004.0</v>
      </c>
      <c r="C180" s="22">
        <v>61218.0</v>
      </c>
      <c r="D180" s="24"/>
      <c r="E180" s="25"/>
      <c r="F180" s="35">
        <v>10060.0</v>
      </c>
      <c r="G180" s="161">
        <v>2570.0</v>
      </c>
      <c r="H180" s="29">
        <v>19440.0</v>
      </c>
      <c r="I180" s="30">
        <f t="shared" si="1"/>
        <v>29148</v>
      </c>
      <c r="J180" s="31"/>
      <c r="K180" s="39"/>
      <c r="L180" s="33"/>
      <c r="M180" s="40"/>
      <c r="N180" s="35"/>
      <c r="O180" s="33"/>
      <c r="P180" s="33"/>
      <c r="Q180" s="35"/>
      <c r="R180" s="35"/>
      <c r="S180" s="33"/>
      <c r="T180" s="36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>
      <c r="A181" s="99" t="s">
        <v>32</v>
      </c>
      <c r="B181" s="100">
        <v>44005.0</v>
      </c>
      <c r="C181" s="22">
        <v>57585.0</v>
      </c>
      <c r="D181" s="24"/>
      <c r="E181" s="25"/>
      <c r="F181" s="35">
        <v>5975.0</v>
      </c>
      <c r="G181" s="161">
        <v>5950.0</v>
      </c>
      <c r="H181" s="29">
        <v>18485.0</v>
      </c>
      <c r="I181" s="30">
        <f t="shared" si="1"/>
        <v>27175</v>
      </c>
      <c r="J181" s="31"/>
      <c r="K181" s="39"/>
      <c r="L181" s="33"/>
      <c r="M181" s="40"/>
      <c r="N181" s="35"/>
      <c r="O181" s="33"/>
      <c r="P181" s="33"/>
      <c r="Q181" s="35"/>
      <c r="R181" s="35"/>
      <c r="S181" s="33"/>
      <c r="T181" s="36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>
      <c r="A182" s="99" t="s">
        <v>24</v>
      </c>
      <c r="B182" s="100">
        <v>44006.0</v>
      </c>
      <c r="C182" s="22">
        <v>60940.0</v>
      </c>
      <c r="D182" s="24"/>
      <c r="E182" s="25"/>
      <c r="F182" s="35">
        <v>7155.0</v>
      </c>
      <c r="G182" s="161">
        <v>2945.0</v>
      </c>
      <c r="H182" s="29">
        <v>14175.0</v>
      </c>
      <c r="I182" s="30">
        <f t="shared" si="1"/>
        <v>36665</v>
      </c>
      <c r="J182" s="31"/>
      <c r="K182" s="39"/>
      <c r="L182" s="33"/>
      <c r="M182" s="40"/>
      <c r="N182" s="35"/>
      <c r="O182" s="33"/>
      <c r="P182" s="33"/>
      <c r="Q182" s="35"/>
      <c r="R182" s="35"/>
      <c r="S182" s="33"/>
      <c r="T182" s="36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>
      <c r="A183" s="99" t="s">
        <v>25</v>
      </c>
      <c r="B183" s="100">
        <v>44007.0</v>
      </c>
      <c r="C183" s="22">
        <v>65208.0</v>
      </c>
      <c r="D183" s="24">
        <v>2160.0</v>
      </c>
      <c r="E183" s="25">
        <v>0.0</v>
      </c>
      <c r="F183" s="35">
        <v>12320.0</v>
      </c>
      <c r="G183" s="161">
        <v>8659.0</v>
      </c>
      <c r="H183" s="29">
        <v>15320.0</v>
      </c>
      <c r="I183" s="30">
        <f t="shared" si="1"/>
        <v>28909</v>
      </c>
      <c r="J183" s="49">
        <v>12000.0</v>
      </c>
      <c r="K183" s="39"/>
      <c r="L183" s="33"/>
      <c r="M183" s="40"/>
      <c r="N183" s="35"/>
      <c r="O183" s="33"/>
      <c r="P183" s="33"/>
      <c r="Q183" s="35"/>
      <c r="R183" s="35"/>
      <c r="S183" s="33"/>
      <c r="T183" s="36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>
      <c r="A184" s="99" t="s">
        <v>33</v>
      </c>
      <c r="B184" s="100">
        <v>44008.0</v>
      </c>
      <c r="C184" s="22">
        <v>67465.0</v>
      </c>
      <c r="D184" s="24">
        <v>1710.0</v>
      </c>
      <c r="E184" s="25">
        <v>400.0</v>
      </c>
      <c r="F184" s="35">
        <v>10490.0</v>
      </c>
      <c r="G184" s="161">
        <v>7395.0</v>
      </c>
      <c r="H184" s="29">
        <v>12760.0</v>
      </c>
      <c r="I184" s="30">
        <f t="shared" si="1"/>
        <v>36820</v>
      </c>
      <c r="J184" s="31"/>
      <c r="K184" s="39"/>
      <c r="L184" s="33"/>
      <c r="M184" s="40"/>
      <c r="N184" s="35"/>
      <c r="O184" s="33"/>
      <c r="P184" s="33"/>
      <c r="Q184" s="35"/>
      <c r="R184" s="35"/>
      <c r="S184" s="33"/>
      <c r="T184" s="36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>
      <c r="A185" s="150" t="s">
        <v>27</v>
      </c>
      <c r="B185" s="162">
        <v>44009.0</v>
      </c>
      <c r="C185" s="160"/>
      <c r="D185" s="160"/>
      <c r="E185" s="160"/>
      <c r="F185" s="160"/>
      <c r="G185" s="161"/>
      <c r="H185" s="29"/>
      <c r="I185" s="30">
        <f t="shared" si="1"/>
        <v>0</v>
      </c>
      <c r="J185" s="31"/>
      <c r="K185" s="39"/>
      <c r="L185" s="33"/>
      <c r="M185" s="40"/>
      <c r="N185" s="35"/>
      <c r="O185" s="33"/>
      <c r="P185" s="33"/>
      <c r="Q185" s="35"/>
      <c r="R185" s="35"/>
      <c r="S185" s="33"/>
      <c r="T185" s="36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</row>
    <row r="186">
      <c r="A186" s="99" t="s">
        <v>21</v>
      </c>
      <c r="B186" s="100">
        <v>44010.0</v>
      </c>
      <c r="C186" s="22">
        <v>64074.0</v>
      </c>
      <c r="D186" s="24">
        <v>2340.0</v>
      </c>
      <c r="E186" s="25"/>
      <c r="F186" s="35">
        <v>6665.0</v>
      </c>
      <c r="G186" s="161">
        <v>6165.0</v>
      </c>
      <c r="H186" s="29">
        <v>19540.0</v>
      </c>
      <c r="I186" s="30">
        <f t="shared" si="1"/>
        <v>31704</v>
      </c>
      <c r="J186" s="31"/>
      <c r="K186" s="32" t="s">
        <v>3620</v>
      </c>
      <c r="L186" s="33"/>
      <c r="M186" s="40"/>
      <c r="N186" s="35"/>
      <c r="O186" s="33"/>
      <c r="P186" s="33"/>
      <c r="Q186" s="35"/>
      <c r="R186" s="35"/>
      <c r="S186" s="33"/>
      <c r="T186" s="36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>
      <c r="A187" s="99" t="s">
        <v>22</v>
      </c>
      <c r="B187" s="100">
        <v>44011.0</v>
      </c>
      <c r="C187" s="22">
        <v>79580.0</v>
      </c>
      <c r="D187" s="24">
        <v>2160.0</v>
      </c>
      <c r="E187" s="25"/>
      <c r="F187" s="35">
        <v>11375.0</v>
      </c>
      <c r="G187" s="161">
        <v>12835.0</v>
      </c>
      <c r="H187" s="29">
        <v>17495.0</v>
      </c>
      <c r="I187" s="30">
        <f t="shared" si="1"/>
        <v>37875</v>
      </c>
      <c r="J187" s="49">
        <v>5000.0</v>
      </c>
      <c r="K187" s="39"/>
      <c r="L187" s="145"/>
      <c r="M187" s="146"/>
      <c r="N187" s="147"/>
      <c r="O187" s="145"/>
      <c r="P187" s="145"/>
      <c r="Q187" s="147"/>
      <c r="R187" s="147"/>
      <c r="S187" s="33"/>
      <c r="T187" s="36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</row>
    <row r="188">
      <c r="A188" s="99" t="s">
        <v>23</v>
      </c>
      <c r="B188" s="100">
        <v>44377.0</v>
      </c>
      <c r="C188" s="22">
        <v>60995.0</v>
      </c>
      <c r="D188" s="24"/>
      <c r="E188" s="25"/>
      <c r="F188" s="35">
        <v>6800.0</v>
      </c>
      <c r="G188" s="161">
        <v>9935.0</v>
      </c>
      <c r="H188" s="29">
        <v>10720.0</v>
      </c>
      <c r="I188" s="30">
        <f t="shared" si="1"/>
        <v>33540</v>
      </c>
      <c r="J188" s="31"/>
      <c r="K188" s="39"/>
      <c r="L188" s="33"/>
      <c r="M188" s="40"/>
      <c r="N188" s="35"/>
      <c r="O188" s="33"/>
      <c r="P188" s="33"/>
      <c r="Q188" s="35"/>
      <c r="R188" s="35"/>
      <c r="S188" s="33"/>
      <c r="T188" s="36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>
      <c r="A189" s="165" t="s">
        <v>28</v>
      </c>
      <c r="B189" s="129" t="s">
        <v>41</v>
      </c>
      <c r="C189" s="170">
        <f>SUM(C158:C188)</f>
        <v>1655471</v>
      </c>
      <c r="D189" s="170"/>
      <c r="E189" s="170"/>
      <c r="F189" s="170">
        <f t="shared" ref="F189:H189" si="4">SUM(F158:F188)</f>
        <v>275943</v>
      </c>
      <c r="G189" s="170">
        <f t="shared" si="4"/>
        <v>165856</v>
      </c>
      <c r="H189" s="170">
        <f t="shared" si="4"/>
        <v>391307</v>
      </c>
      <c r="I189" s="30">
        <f t="shared" si="1"/>
        <v>822365</v>
      </c>
      <c r="J189" s="31"/>
      <c r="K189" s="39"/>
      <c r="L189" s="33"/>
      <c r="M189" s="40"/>
      <c r="N189" s="35"/>
      <c r="O189" s="33"/>
      <c r="P189" s="33"/>
      <c r="Q189" s="35"/>
      <c r="R189" s="35"/>
      <c r="S189" s="33"/>
      <c r="T189" s="36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>
      <c r="A190" s="99" t="s">
        <v>24</v>
      </c>
      <c r="B190" s="100">
        <v>44378.0</v>
      </c>
      <c r="C190" s="22">
        <v>68888.0</v>
      </c>
      <c r="D190" s="24">
        <v>1640.0</v>
      </c>
      <c r="E190" s="25"/>
      <c r="F190" s="35">
        <v>12810.0</v>
      </c>
      <c r="G190" s="161">
        <v>7273.0</v>
      </c>
      <c r="H190" s="29">
        <v>14615.0</v>
      </c>
      <c r="I190" s="30">
        <f t="shared" si="1"/>
        <v>34190</v>
      </c>
      <c r="J190" s="31"/>
      <c r="K190" s="32" t="s">
        <v>3621</v>
      </c>
      <c r="L190" s="33"/>
      <c r="M190" s="40"/>
      <c r="N190" s="35"/>
      <c r="O190" s="33"/>
      <c r="P190" s="33"/>
      <c r="Q190" s="35"/>
      <c r="R190" s="35"/>
      <c r="S190" s="33"/>
      <c r="T190" s="36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>
      <c r="A191" s="99" t="s">
        <v>25</v>
      </c>
      <c r="B191" s="100">
        <v>44379.0</v>
      </c>
      <c r="C191" s="22">
        <v>70993.0</v>
      </c>
      <c r="D191" s="24">
        <v>1310.0</v>
      </c>
      <c r="E191" s="25"/>
      <c r="F191" s="35">
        <v>14110.0</v>
      </c>
      <c r="G191" s="161">
        <v>10338.0</v>
      </c>
      <c r="H191" s="29">
        <v>14345.0</v>
      </c>
      <c r="I191" s="30">
        <f t="shared" si="1"/>
        <v>32200</v>
      </c>
      <c r="J191" s="31"/>
      <c r="K191" s="32" t="s">
        <v>3622</v>
      </c>
      <c r="L191" s="33"/>
      <c r="M191" s="40"/>
      <c r="N191" s="35"/>
      <c r="O191" s="33"/>
      <c r="P191" s="33"/>
      <c r="Q191" s="35"/>
      <c r="R191" s="35"/>
      <c r="S191" s="33"/>
      <c r="T191" s="36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>
      <c r="A192" s="99" t="s">
        <v>26</v>
      </c>
      <c r="B192" s="100">
        <v>44380.0</v>
      </c>
      <c r="C192" s="22">
        <v>67039.0</v>
      </c>
      <c r="D192" s="24">
        <v>1810.0</v>
      </c>
      <c r="E192" s="25">
        <v>400.0</v>
      </c>
      <c r="F192" s="35">
        <v>13150.0</v>
      </c>
      <c r="G192" s="161">
        <v>6770.0</v>
      </c>
      <c r="H192" s="29">
        <v>19075.0</v>
      </c>
      <c r="I192" s="30">
        <f t="shared" si="1"/>
        <v>28044</v>
      </c>
      <c r="J192" s="31"/>
      <c r="K192" s="39"/>
      <c r="L192" s="33"/>
      <c r="M192" s="40"/>
      <c r="N192" s="35"/>
      <c r="O192" s="33"/>
      <c r="P192" s="33"/>
      <c r="Q192" s="35"/>
      <c r="R192" s="35"/>
      <c r="S192" s="33"/>
      <c r="T192" s="36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>
      <c r="A193" s="150" t="s">
        <v>27</v>
      </c>
      <c r="B193" s="162">
        <v>44381.0</v>
      </c>
      <c r="C193" s="160"/>
      <c r="D193" s="160"/>
      <c r="E193" s="160"/>
      <c r="F193" s="160"/>
      <c r="G193" s="161"/>
      <c r="H193" s="29"/>
      <c r="I193" s="30">
        <f t="shared" si="1"/>
        <v>0</v>
      </c>
      <c r="J193" s="31"/>
      <c r="K193" s="39"/>
      <c r="L193" s="33"/>
      <c r="M193" s="40"/>
      <c r="N193" s="35"/>
      <c r="O193" s="33"/>
      <c r="P193" s="33"/>
      <c r="Q193" s="35"/>
      <c r="R193" s="35"/>
      <c r="S193" s="33"/>
      <c r="T193" s="36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</row>
    <row r="194">
      <c r="A194" s="99" t="s">
        <v>21</v>
      </c>
      <c r="B194" s="100">
        <v>44382.0</v>
      </c>
      <c r="C194" s="22">
        <v>66429.0</v>
      </c>
      <c r="D194" s="24">
        <v>1530.0</v>
      </c>
      <c r="E194" s="25"/>
      <c r="F194" s="35">
        <v>9675.0</v>
      </c>
      <c r="G194" s="161">
        <v>4520.0</v>
      </c>
      <c r="H194" s="29">
        <v>16375.0</v>
      </c>
      <c r="I194" s="30">
        <f t="shared" si="1"/>
        <v>35859</v>
      </c>
      <c r="J194" s="31"/>
      <c r="K194" s="32" t="s">
        <v>3623</v>
      </c>
      <c r="L194" s="33"/>
      <c r="M194" s="40"/>
      <c r="N194" s="35"/>
      <c r="O194" s="33"/>
      <c r="P194" s="33"/>
      <c r="Q194" s="35"/>
      <c r="R194" s="35"/>
      <c r="S194" s="33"/>
      <c r="T194" s="36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>
      <c r="A195" s="99" t="s">
        <v>22</v>
      </c>
      <c r="B195" s="100">
        <v>44383.0</v>
      </c>
      <c r="C195" s="22">
        <v>55735.0</v>
      </c>
      <c r="D195" s="24">
        <v>1850.0</v>
      </c>
      <c r="E195" s="25"/>
      <c r="F195" s="35">
        <v>8330.0</v>
      </c>
      <c r="G195" s="161">
        <v>7085.0</v>
      </c>
      <c r="H195" s="29">
        <v>15315.0</v>
      </c>
      <c r="I195" s="30">
        <f t="shared" si="1"/>
        <v>25005</v>
      </c>
      <c r="J195" s="31"/>
      <c r="K195" s="32" t="s">
        <v>3624</v>
      </c>
      <c r="L195" s="33"/>
      <c r="M195" s="40"/>
      <c r="N195" s="35"/>
      <c r="O195" s="33"/>
      <c r="P195" s="33"/>
      <c r="Q195" s="35"/>
      <c r="R195" s="35"/>
      <c r="S195" s="33"/>
      <c r="T195" s="36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>
      <c r="A196" s="99" t="s">
        <v>32</v>
      </c>
      <c r="B196" s="100">
        <v>44384.0</v>
      </c>
      <c r="C196" s="22">
        <v>68290.0</v>
      </c>
      <c r="D196" s="24">
        <v>1740.0</v>
      </c>
      <c r="E196" s="25">
        <v>200.0</v>
      </c>
      <c r="F196" s="35">
        <v>13915.0</v>
      </c>
      <c r="G196" s="161">
        <v>5835.0</v>
      </c>
      <c r="H196" s="29">
        <v>11865.0</v>
      </c>
      <c r="I196" s="30">
        <f t="shared" si="1"/>
        <v>36675</v>
      </c>
      <c r="J196" s="49">
        <v>10800.0</v>
      </c>
      <c r="K196" s="39"/>
      <c r="L196" s="33"/>
      <c r="M196" s="40"/>
      <c r="N196" s="35"/>
      <c r="O196" s="33"/>
      <c r="P196" s="33"/>
      <c r="Q196" s="35"/>
      <c r="R196" s="35"/>
      <c r="S196" s="33"/>
      <c r="T196" s="36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>
      <c r="A197" s="99" t="s">
        <v>24</v>
      </c>
      <c r="B197" s="100">
        <v>44385.0</v>
      </c>
      <c r="C197" s="22">
        <v>78805.0</v>
      </c>
      <c r="D197" s="24">
        <v>1590.0</v>
      </c>
      <c r="E197" s="25"/>
      <c r="F197" s="35">
        <v>11350.0</v>
      </c>
      <c r="G197" s="161">
        <v>8680.0</v>
      </c>
      <c r="H197" s="29">
        <v>23180.0</v>
      </c>
      <c r="I197" s="30">
        <f t="shared" si="1"/>
        <v>35595</v>
      </c>
      <c r="J197" s="31"/>
      <c r="K197" s="39"/>
      <c r="L197" s="33"/>
      <c r="M197" s="40"/>
      <c r="N197" s="35"/>
      <c r="O197" s="33"/>
      <c r="P197" s="33"/>
      <c r="Q197" s="35"/>
      <c r="R197" s="35"/>
      <c r="S197" s="33"/>
      <c r="T197" s="36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>
      <c r="A198" s="99" t="s">
        <v>25</v>
      </c>
      <c r="B198" s="100">
        <v>44386.0</v>
      </c>
      <c r="C198" s="22">
        <v>86015.0</v>
      </c>
      <c r="D198" s="24">
        <v>1790.0</v>
      </c>
      <c r="E198" s="25"/>
      <c r="F198" s="35">
        <v>12380.0</v>
      </c>
      <c r="G198" s="161">
        <v>3124.0</v>
      </c>
      <c r="H198" s="29">
        <v>27180.0</v>
      </c>
      <c r="I198" s="30">
        <f t="shared" si="1"/>
        <v>43331</v>
      </c>
      <c r="J198" s="49">
        <v>1000.0</v>
      </c>
      <c r="K198" s="39"/>
      <c r="L198" s="33"/>
      <c r="M198" s="40"/>
      <c r="N198" s="35"/>
      <c r="O198" s="33"/>
      <c r="P198" s="33"/>
      <c r="Q198" s="35"/>
      <c r="R198" s="35"/>
      <c r="S198" s="33"/>
      <c r="T198" s="36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>
      <c r="A199" s="99" t="s">
        <v>33</v>
      </c>
      <c r="B199" s="100">
        <v>44387.0</v>
      </c>
      <c r="C199" s="22">
        <v>70455.0</v>
      </c>
      <c r="D199" s="24">
        <v>2260.0</v>
      </c>
      <c r="E199" s="25"/>
      <c r="F199" s="35">
        <v>16780.0</v>
      </c>
      <c r="G199" s="161">
        <v>5145.0</v>
      </c>
      <c r="H199" s="29">
        <v>18130.0</v>
      </c>
      <c r="I199" s="30">
        <f t="shared" si="1"/>
        <v>30400</v>
      </c>
      <c r="J199" s="31"/>
      <c r="K199" s="32" t="s">
        <v>3625</v>
      </c>
      <c r="L199" s="33"/>
      <c r="M199" s="40"/>
      <c r="N199" s="35"/>
      <c r="O199" s="33"/>
      <c r="P199" s="33"/>
      <c r="Q199" s="35"/>
      <c r="R199" s="35"/>
      <c r="S199" s="33"/>
      <c r="T199" s="36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>
      <c r="A200" s="150" t="s">
        <v>27</v>
      </c>
      <c r="B200" s="100">
        <v>44388.0</v>
      </c>
      <c r="C200" s="160"/>
      <c r="D200" s="160"/>
      <c r="E200" s="160"/>
      <c r="F200" s="160"/>
      <c r="G200" s="161"/>
      <c r="H200" s="29"/>
      <c r="I200" s="30">
        <f t="shared" si="1"/>
        <v>0</v>
      </c>
      <c r="J200" s="31"/>
      <c r="K200" s="39"/>
      <c r="L200" s="33"/>
      <c r="M200" s="40"/>
      <c r="N200" s="35"/>
      <c r="O200" s="33"/>
      <c r="P200" s="33"/>
      <c r="Q200" s="35"/>
      <c r="R200" s="35"/>
      <c r="S200" s="33"/>
      <c r="T200" s="36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</row>
    <row r="201">
      <c r="A201" s="99" t="s">
        <v>21</v>
      </c>
      <c r="B201" s="100">
        <v>44389.0</v>
      </c>
      <c r="C201" s="22">
        <v>62295.0</v>
      </c>
      <c r="D201" s="24">
        <v>1990.0</v>
      </c>
      <c r="E201" s="25">
        <v>200.0</v>
      </c>
      <c r="F201" s="35">
        <v>10365.0</v>
      </c>
      <c r="G201" s="161">
        <v>2080.0</v>
      </c>
      <c r="H201" s="29">
        <v>8310.0</v>
      </c>
      <c r="I201" s="30">
        <f t="shared" si="1"/>
        <v>41540</v>
      </c>
      <c r="J201" s="31"/>
      <c r="K201" s="32" t="s">
        <v>3626</v>
      </c>
      <c r="L201" s="33"/>
      <c r="M201" s="40"/>
      <c r="N201" s="35"/>
      <c r="O201" s="33"/>
      <c r="P201" s="33"/>
      <c r="Q201" s="35"/>
      <c r="R201" s="35"/>
      <c r="S201" s="33"/>
      <c r="T201" s="36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>
      <c r="A202" s="99" t="s">
        <v>22</v>
      </c>
      <c r="B202" s="100">
        <v>44390.0</v>
      </c>
      <c r="C202" s="22">
        <v>66605.0</v>
      </c>
      <c r="D202" s="24">
        <v>1500.0</v>
      </c>
      <c r="E202" s="25"/>
      <c r="F202" s="35">
        <v>13850.0</v>
      </c>
      <c r="G202" s="161">
        <v>11365.0</v>
      </c>
      <c r="H202" s="29">
        <v>9135.0</v>
      </c>
      <c r="I202" s="30">
        <f t="shared" si="1"/>
        <v>32255</v>
      </c>
      <c r="J202" s="31"/>
      <c r="K202" s="39"/>
      <c r="L202" s="33"/>
      <c r="M202" s="40"/>
      <c r="N202" s="35"/>
      <c r="O202" s="33"/>
      <c r="P202" s="33"/>
      <c r="Q202" s="35"/>
      <c r="R202" s="35"/>
      <c r="S202" s="33"/>
      <c r="T202" s="36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>
      <c r="A203" s="99" t="s">
        <v>32</v>
      </c>
      <c r="B203" s="100">
        <v>44391.0</v>
      </c>
      <c r="C203" s="22">
        <v>69000.0</v>
      </c>
      <c r="D203" s="24">
        <v>2210.0</v>
      </c>
      <c r="E203" s="25">
        <v>900.0</v>
      </c>
      <c r="F203" s="35">
        <v>9040.0</v>
      </c>
      <c r="G203" s="161">
        <v>3855.0</v>
      </c>
      <c r="H203" s="29">
        <v>12175.0</v>
      </c>
      <c r="I203" s="30">
        <f t="shared" si="1"/>
        <v>43930</v>
      </c>
      <c r="J203" s="31"/>
      <c r="K203" s="39"/>
      <c r="L203" s="33"/>
      <c r="M203" s="40"/>
      <c r="N203" s="35"/>
      <c r="O203" s="33"/>
      <c r="P203" s="33"/>
      <c r="Q203" s="35"/>
      <c r="R203" s="35"/>
      <c r="S203" s="33"/>
      <c r="T203" s="36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>
      <c r="A204" s="99" t="s">
        <v>24</v>
      </c>
      <c r="B204" s="100">
        <v>44392.0</v>
      </c>
      <c r="C204" s="22">
        <v>80942.0</v>
      </c>
      <c r="D204" s="24"/>
      <c r="E204" s="25">
        <v>2310.0</v>
      </c>
      <c r="F204" s="35">
        <v>15010.0</v>
      </c>
      <c r="G204" s="161">
        <v>7945.0</v>
      </c>
      <c r="H204" s="29">
        <v>19618.0</v>
      </c>
      <c r="I204" s="30">
        <f t="shared" si="1"/>
        <v>38369</v>
      </c>
      <c r="J204" s="31"/>
      <c r="K204" s="39"/>
      <c r="L204" s="33"/>
      <c r="M204" s="40"/>
      <c r="N204" s="35"/>
      <c r="O204" s="33"/>
      <c r="P204" s="33"/>
      <c r="Q204" s="35"/>
      <c r="R204" s="35"/>
      <c r="S204" s="33"/>
      <c r="T204" s="36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>
      <c r="A205" s="99" t="s">
        <v>25</v>
      </c>
      <c r="B205" s="100">
        <v>44393.0</v>
      </c>
      <c r="C205" s="22">
        <v>81540.0</v>
      </c>
      <c r="D205" s="24">
        <v>2540.0</v>
      </c>
      <c r="E205" s="25">
        <v>150.0</v>
      </c>
      <c r="F205" s="35">
        <v>19370.0</v>
      </c>
      <c r="G205" s="161">
        <v>7605.0</v>
      </c>
      <c r="H205" s="29">
        <v>14260.0</v>
      </c>
      <c r="I205" s="30">
        <f t="shared" si="1"/>
        <v>40305</v>
      </c>
      <c r="J205" s="31"/>
      <c r="K205" s="39"/>
      <c r="L205" s="33"/>
      <c r="M205" s="40"/>
      <c r="N205" s="35"/>
      <c r="O205" s="33"/>
      <c r="P205" s="33"/>
      <c r="Q205" s="35"/>
      <c r="R205" s="35"/>
      <c r="S205" s="33"/>
      <c r="T205" s="36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>
      <c r="A206" s="99" t="s">
        <v>33</v>
      </c>
      <c r="B206" s="100">
        <v>44394.0</v>
      </c>
      <c r="C206" s="22">
        <v>73070.0</v>
      </c>
      <c r="D206" s="24">
        <v>1550.0</v>
      </c>
      <c r="E206" s="25"/>
      <c r="F206" s="35">
        <v>16840.0</v>
      </c>
      <c r="G206" s="161">
        <v>6915.0</v>
      </c>
      <c r="H206" s="29">
        <v>18545.0</v>
      </c>
      <c r="I206" s="30">
        <f t="shared" si="1"/>
        <v>30770</v>
      </c>
      <c r="J206" s="49">
        <v>2000.0</v>
      </c>
      <c r="K206" s="32" t="s">
        <v>3627</v>
      </c>
      <c r="L206" s="33"/>
      <c r="M206" s="40"/>
      <c r="N206" s="35"/>
      <c r="O206" s="33"/>
      <c r="P206" s="33"/>
      <c r="Q206" s="35"/>
      <c r="R206" s="35"/>
      <c r="S206" s="33"/>
      <c r="T206" s="36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>
      <c r="A207" s="150" t="s">
        <v>27</v>
      </c>
      <c r="B207" s="100">
        <v>44395.0</v>
      </c>
      <c r="C207" s="160"/>
      <c r="D207" s="160"/>
      <c r="E207" s="160"/>
      <c r="F207" s="160"/>
      <c r="G207" s="161"/>
      <c r="H207" s="29"/>
      <c r="I207" s="30"/>
      <c r="J207" s="49"/>
      <c r="K207" s="39"/>
      <c r="L207" s="33"/>
      <c r="M207" s="40"/>
      <c r="N207" s="35"/>
      <c r="O207" s="33"/>
      <c r="P207" s="33"/>
      <c r="Q207" s="35"/>
      <c r="R207" s="35"/>
      <c r="S207" s="33"/>
      <c r="T207" s="36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</row>
    <row r="208">
      <c r="A208" s="99" t="s">
        <v>21</v>
      </c>
      <c r="B208" s="100">
        <v>44396.0</v>
      </c>
      <c r="C208" s="22">
        <v>77280.0</v>
      </c>
      <c r="D208" s="24">
        <v>1450.0</v>
      </c>
      <c r="E208" s="25">
        <v>160.0</v>
      </c>
      <c r="F208" s="35">
        <v>15995.0</v>
      </c>
      <c r="G208" s="161">
        <v>7030.0</v>
      </c>
      <c r="H208" s="29">
        <v>15170.0</v>
      </c>
      <c r="I208" s="30">
        <f t="shared" ref="I208:I228" si="5">SUM(C208-F208-G208-H208)</f>
        <v>39085</v>
      </c>
      <c r="J208" s="31"/>
      <c r="K208" s="39"/>
      <c r="L208" s="33"/>
      <c r="M208" s="40"/>
      <c r="N208" s="35"/>
      <c r="O208" s="33"/>
      <c r="P208" s="33"/>
      <c r="Q208" s="35"/>
      <c r="R208" s="35"/>
      <c r="S208" s="33"/>
      <c r="T208" s="36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>
      <c r="A209" s="99" t="s">
        <v>22</v>
      </c>
      <c r="B209" s="100">
        <v>44397.0</v>
      </c>
      <c r="C209" s="22">
        <v>72400.0</v>
      </c>
      <c r="D209" s="24">
        <v>1890.0</v>
      </c>
      <c r="E209" s="25"/>
      <c r="F209" s="35">
        <v>8725.0</v>
      </c>
      <c r="G209" s="161">
        <v>9385.0</v>
      </c>
      <c r="H209" s="29">
        <v>12870.0</v>
      </c>
      <c r="I209" s="30">
        <f t="shared" si="5"/>
        <v>41420</v>
      </c>
      <c r="J209" s="31"/>
      <c r="K209" s="39"/>
      <c r="L209" s="33"/>
      <c r="M209" s="40"/>
      <c r="N209" s="35"/>
      <c r="O209" s="33"/>
      <c r="P209" s="33"/>
      <c r="Q209" s="35"/>
      <c r="R209" s="35"/>
      <c r="S209" s="33"/>
      <c r="T209" s="36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>
      <c r="A210" s="99" t="s">
        <v>32</v>
      </c>
      <c r="B210" s="100">
        <v>44398.0</v>
      </c>
      <c r="C210" s="22">
        <v>81200.0</v>
      </c>
      <c r="D210" s="24">
        <v>2160.0</v>
      </c>
      <c r="E210" s="25">
        <v>500.0</v>
      </c>
      <c r="F210" s="35">
        <v>17191.0</v>
      </c>
      <c r="G210" s="161">
        <v>4250.0</v>
      </c>
      <c r="H210" s="29">
        <v>13055.0</v>
      </c>
      <c r="I210" s="30">
        <f t="shared" si="5"/>
        <v>46704</v>
      </c>
      <c r="J210" s="31"/>
      <c r="K210" s="39"/>
      <c r="L210" s="33"/>
      <c r="M210" s="40"/>
      <c r="N210" s="35"/>
      <c r="O210" s="33"/>
      <c r="P210" s="33"/>
      <c r="Q210" s="35"/>
      <c r="R210" s="35"/>
      <c r="S210" s="33"/>
      <c r="T210" s="36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>
      <c r="A211" s="99" t="s">
        <v>24</v>
      </c>
      <c r="B211" s="100">
        <v>44399.0</v>
      </c>
      <c r="C211" s="22">
        <v>91251.0</v>
      </c>
      <c r="D211" s="24">
        <v>1740.0</v>
      </c>
      <c r="E211" s="25">
        <v>300.0</v>
      </c>
      <c r="F211" s="35">
        <v>16235.0</v>
      </c>
      <c r="G211" s="161">
        <v>11105.0</v>
      </c>
      <c r="H211" s="29">
        <v>25285.0</v>
      </c>
      <c r="I211" s="30">
        <f t="shared" si="5"/>
        <v>38626</v>
      </c>
      <c r="J211" s="31"/>
      <c r="K211" s="39"/>
      <c r="L211" s="33"/>
      <c r="M211" s="40"/>
      <c r="N211" s="35"/>
      <c r="O211" s="33"/>
      <c r="P211" s="33"/>
      <c r="Q211" s="35"/>
      <c r="R211" s="35"/>
      <c r="S211" s="33"/>
      <c r="T211" s="36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>
      <c r="A212" s="99" t="s">
        <v>25</v>
      </c>
      <c r="B212" s="100">
        <v>44400.0</v>
      </c>
      <c r="C212" s="22">
        <v>69140.0</v>
      </c>
      <c r="D212" s="24">
        <v>1590.0</v>
      </c>
      <c r="E212" s="25">
        <v>600.0</v>
      </c>
      <c r="F212" s="35">
        <v>18245.0</v>
      </c>
      <c r="G212" s="161">
        <v>4425.0</v>
      </c>
      <c r="H212" s="29">
        <v>15320.0</v>
      </c>
      <c r="I212" s="30">
        <f t="shared" si="5"/>
        <v>31150</v>
      </c>
      <c r="J212" s="31"/>
      <c r="K212" s="39"/>
      <c r="L212" s="33"/>
      <c r="M212" s="40"/>
      <c r="N212" s="35"/>
      <c r="O212" s="33"/>
      <c r="P212" s="33"/>
      <c r="Q212" s="35"/>
      <c r="R212" s="35"/>
      <c r="S212" s="33"/>
      <c r="T212" s="36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>
      <c r="A213" s="99" t="s">
        <v>33</v>
      </c>
      <c r="B213" s="100">
        <v>44401.0</v>
      </c>
      <c r="C213" s="22">
        <v>77540.0</v>
      </c>
      <c r="D213" s="24">
        <v>2300.0</v>
      </c>
      <c r="E213" s="25">
        <v>400.0</v>
      </c>
      <c r="F213" s="35">
        <v>21616.0</v>
      </c>
      <c r="G213" s="161">
        <v>9675.0</v>
      </c>
      <c r="H213" s="29">
        <v>18805.0</v>
      </c>
      <c r="I213" s="30">
        <f t="shared" si="5"/>
        <v>27444</v>
      </c>
      <c r="J213" s="31"/>
      <c r="K213" s="39"/>
      <c r="L213" s="33"/>
      <c r="M213" s="40"/>
      <c r="N213" s="35"/>
      <c r="O213" s="33"/>
      <c r="P213" s="33"/>
      <c r="Q213" s="35"/>
      <c r="R213" s="35"/>
      <c r="S213" s="33"/>
      <c r="T213" s="36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>
      <c r="A214" s="150" t="s">
        <v>27</v>
      </c>
      <c r="B214" s="100">
        <v>44402.0</v>
      </c>
      <c r="C214" s="160"/>
      <c r="D214" s="160"/>
      <c r="E214" s="160"/>
      <c r="F214" s="160"/>
      <c r="G214" s="161"/>
      <c r="H214" s="29"/>
      <c r="I214" s="30">
        <f t="shared" si="5"/>
        <v>0</v>
      </c>
      <c r="J214" s="31"/>
      <c r="K214" s="39"/>
      <c r="L214" s="33"/>
      <c r="M214" s="40"/>
      <c r="N214" s="35"/>
      <c r="O214" s="33"/>
      <c r="P214" s="33"/>
      <c r="Q214" s="35"/>
      <c r="R214" s="35"/>
      <c r="S214" s="33"/>
      <c r="T214" s="36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</row>
    <row r="215">
      <c r="A215" s="99" t="s">
        <v>21</v>
      </c>
      <c r="B215" s="100">
        <v>44403.0</v>
      </c>
      <c r="C215" s="22">
        <v>75636.0</v>
      </c>
      <c r="D215" s="24">
        <v>1660.0</v>
      </c>
      <c r="E215" s="25"/>
      <c r="F215" s="35">
        <v>13280.0</v>
      </c>
      <c r="G215" s="161">
        <v>6396.0</v>
      </c>
      <c r="H215" s="29">
        <v>12895.0</v>
      </c>
      <c r="I215" s="30">
        <f t="shared" si="5"/>
        <v>43065</v>
      </c>
      <c r="J215" s="31"/>
      <c r="K215" s="39"/>
      <c r="L215" s="33"/>
      <c r="M215" s="40"/>
      <c r="N215" s="35"/>
      <c r="O215" s="33"/>
      <c r="P215" s="33"/>
      <c r="Q215" s="35"/>
      <c r="R215" s="35"/>
      <c r="S215" s="33"/>
      <c r="T215" s="36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>
      <c r="A216" s="99" t="s">
        <v>22</v>
      </c>
      <c r="B216" s="100">
        <v>44404.0</v>
      </c>
      <c r="C216" s="22">
        <v>85149.0</v>
      </c>
      <c r="D216" s="24">
        <v>2410.0</v>
      </c>
      <c r="E216" s="25"/>
      <c r="F216" s="35">
        <v>11315.0</v>
      </c>
      <c r="G216" s="161">
        <v>10935.0</v>
      </c>
      <c r="H216" s="29">
        <v>15450.0</v>
      </c>
      <c r="I216" s="30">
        <f t="shared" si="5"/>
        <v>47449</v>
      </c>
      <c r="J216" s="31"/>
      <c r="K216" s="39"/>
      <c r="L216" s="33"/>
      <c r="M216" s="40"/>
      <c r="N216" s="35"/>
      <c r="O216" s="33"/>
      <c r="P216" s="33"/>
      <c r="Q216" s="35"/>
      <c r="R216" s="35"/>
      <c r="S216" s="33"/>
      <c r="T216" s="36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>
      <c r="A217" s="99" t="s">
        <v>32</v>
      </c>
      <c r="B217" s="100">
        <v>44405.0</v>
      </c>
      <c r="C217" s="22">
        <v>62400.0</v>
      </c>
      <c r="D217" s="24">
        <v>1390.0</v>
      </c>
      <c r="E217" s="25">
        <v>1200.0</v>
      </c>
      <c r="F217" s="35">
        <v>8400.0</v>
      </c>
      <c r="G217" s="161">
        <v>5540.0</v>
      </c>
      <c r="H217" s="29">
        <v>14200.0</v>
      </c>
      <c r="I217" s="30">
        <f t="shared" si="5"/>
        <v>34260</v>
      </c>
      <c r="J217" s="31"/>
      <c r="K217" s="39"/>
      <c r="L217" s="33"/>
      <c r="M217" s="40"/>
      <c r="N217" s="35"/>
      <c r="O217" s="33"/>
      <c r="P217" s="33"/>
      <c r="Q217" s="35"/>
      <c r="R217" s="35"/>
      <c r="S217" s="33"/>
      <c r="T217" s="36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>
      <c r="A218" s="99" t="s">
        <v>24</v>
      </c>
      <c r="B218" s="100">
        <v>44406.0</v>
      </c>
      <c r="C218" s="22">
        <v>100670.0</v>
      </c>
      <c r="D218" s="24">
        <v>2600.0</v>
      </c>
      <c r="E218" s="25">
        <v>500.0</v>
      </c>
      <c r="F218" s="35">
        <v>14675.0</v>
      </c>
      <c r="G218" s="161">
        <v>20385.0</v>
      </c>
      <c r="H218" s="29">
        <v>13695.0</v>
      </c>
      <c r="I218" s="30">
        <f t="shared" si="5"/>
        <v>51915</v>
      </c>
      <c r="J218" s="31"/>
      <c r="K218" s="32" t="s">
        <v>3627</v>
      </c>
      <c r="L218" s="33"/>
      <c r="M218" s="40"/>
      <c r="N218" s="35"/>
      <c r="O218" s="33"/>
      <c r="P218" s="33"/>
      <c r="Q218" s="35"/>
      <c r="R218" s="35"/>
      <c r="S218" s="33"/>
      <c r="T218" s="36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>
      <c r="A219" s="99" t="s">
        <v>25</v>
      </c>
      <c r="B219" s="100">
        <v>44407.0</v>
      </c>
      <c r="C219" s="22">
        <v>88193.0</v>
      </c>
      <c r="D219" s="24">
        <v>2320.0</v>
      </c>
      <c r="E219" s="25">
        <v>200.0</v>
      </c>
      <c r="F219" s="35">
        <v>14025.0</v>
      </c>
      <c r="G219" s="161">
        <v>15698.0</v>
      </c>
      <c r="H219" s="29">
        <v>12870.0</v>
      </c>
      <c r="I219" s="30">
        <f t="shared" si="5"/>
        <v>45600</v>
      </c>
      <c r="J219" s="31"/>
      <c r="K219" s="39"/>
      <c r="L219" s="33"/>
      <c r="M219" s="40"/>
      <c r="N219" s="35"/>
      <c r="O219" s="33"/>
      <c r="P219" s="33"/>
      <c r="Q219" s="35"/>
      <c r="R219" s="35"/>
      <c r="S219" s="33"/>
      <c r="T219" s="36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>
      <c r="A220" s="99" t="s">
        <v>26</v>
      </c>
      <c r="B220" s="100">
        <v>44408.0</v>
      </c>
      <c r="C220" s="117">
        <v>80955.0</v>
      </c>
      <c r="D220" s="119">
        <v>1540.0</v>
      </c>
      <c r="E220" s="120">
        <v>1700.0</v>
      </c>
      <c r="F220" s="163">
        <v>18130.0</v>
      </c>
      <c r="G220" s="865">
        <v>8190.0</v>
      </c>
      <c r="H220" s="164">
        <v>18130.0</v>
      </c>
      <c r="I220" s="30">
        <f t="shared" si="5"/>
        <v>36505</v>
      </c>
      <c r="J220" s="31"/>
      <c r="K220" s="32" t="s">
        <v>3628</v>
      </c>
      <c r="L220" s="33"/>
      <c r="M220" s="40"/>
      <c r="N220" s="35"/>
      <c r="O220" s="33"/>
      <c r="P220" s="33"/>
      <c r="Q220" s="35"/>
      <c r="R220" s="35"/>
      <c r="S220" s="33"/>
      <c r="T220" s="36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>
      <c r="A221" s="93" t="s">
        <v>28</v>
      </c>
      <c r="B221" s="2" t="s">
        <v>3629</v>
      </c>
      <c r="C221" s="95">
        <f t="shared" ref="C221:E221" si="6">SUM(C190:C220)</f>
        <v>2027915</v>
      </c>
      <c r="D221" s="95">
        <f t="shared" si="6"/>
        <v>48360</v>
      </c>
      <c r="E221" s="95">
        <f t="shared" si="6"/>
        <v>9720</v>
      </c>
      <c r="F221" s="95"/>
      <c r="G221" s="866"/>
      <c r="H221" s="810"/>
      <c r="I221" s="30">
        <f t="shared" si="5"/>
        <v>2027915</v>
      </c>
      <c r="J221" s="203"/>
      <c r="K221" s="172"/>
      <c r="L221" s="173"/>
      <c r="M221" s="174"/>
      <c r="N221" s="175"/>
      <c r="O221" s="173"/>
      <c r="P221" s="173"/>
      <c r="Q221" s="175"/>
      <c r="R221" s="175"/>
      <c r="S221" s="33"/>
      <c r="T221" s="36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</row>
    <row r="222">
      <c r="A222" s="150" t="s">
        <v>27</v>
      </c>
      <c r="B222" s="100">
        <v>44409.0</v>
      </c>
      <c r="C222" s="160"/>
      <c r="D222" s="160"/>
      <c r="E222" s="160"/>
      <c r="F222" s="160"/>
      <c r="G222" s="867"/>
      <c r="H222" s="29"/>
      <c r="I222" s="30">
        <f t="shared" si="5"/>
        <v>0</v>
      </c>
      <c r="J222" s="31"/>
      <c r="K222" s="39"/>
      <c r="L222" s="33"/>
      <c r="M222" s="40"/>
      <c r="N222" s="35"/>
      <c r="O222" s="33"/>
      <c r="P222" s="33"/>
      <c r="Q222" s="35"/>
      <c r="R222" s="35"/>
      <c r="S222" s="33"/>
      <c r="T222" s="36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</row>
    <row r="223">
      <c r="A223" s="99" t="s">
        <v>21</v>
      </c>
      <c r="B223" s="100">
        <v>44410.0</v>
      </c>
      <c r="C223" s="22">
        <v>66615.0</v>
      </c>
      <c r="D223" s="24">
        <v>810.0</v>
      </c>
      <c r="E223" s="25">
        <v>1600.0</v>
      </c>
      <c r="F223" s="35">
        <v>8600.0</v>
      </c>
      <c r="G223" s="868">
        <v>6115.0</v>
      </c>
      <c r="H223" s="29">
        <v>18570.0</v>
      </c>
      <c r="I223" s="30">
        <f t="shared" si="5"/>
        <v>33330</v>
      </c>
      <c r="J223" s="31"/>
      <c r="K223" s="39"/>
      <c r="L223" s="33"/>
      <c r="M223" s="40"/>
      <c r="N223" s="35"/>
      <c r="O223" s="33"/>
      <c r="P223" s="33"/>
      <c r="Q223" s="35"/>
      <c r="R223" s="35"/>
      <c r="S223" s="33"/>
      <c r="T223" s="36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</row>
    <row r="224">
      <c r="A224" s="99" t="s">
        <v>22</v>
      </c>
      <c r="B224" s="100">
        <v>44411.0</v>
      </c>
      <c r="C224" s="22">
        <v>74332.0</v>
      </c>
      <c r="D224" s="24">
        <v>2260.0</v>
      </c>
      <c r="E224" s="25">
        <v>1400.0</v>
      </c>
      <c r="F224" s="35">
        <v>15720.0</v>
      </c>
      <c r="G224" s="868">
        <v>9859.0</v>
      </c>
      <c r="H224" s="29">
        <v>10880.0</v>
      </c>
      <c r="I224" s="30">
        <f t="shared" si="5"/>
        <v>37873</v>
      </c>
      <c r="J224" s="31"/>
      <c r="K224" s="39"/>
      <c r="L224" s="33"/>
      <c r="M224" s="40"/>
      <c r="N224" s="35"/>
      <c r="O224" s="33"/>
      <c r="P224" s="33"/>
      <c r="Q224" s="35"/>
      <c r="R224" s="35"/>
      <c r="S224" s="33"/>
      <c r="T224" s="36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</row>
    <row r="225">
      <c r="A225" s="99" t="s">
        <v>32</v>
      </c>
      <c r="B225" s="100">
        <v>44412.0</v>
      </c>
      <c r="C225" s="22">
        <v>74336.0</v>
      </c>
      <c r="D225" s="24">
        <v>1540.0</v>
      </c>
      <c r="E225" s="25">
        <v>1600.0</v>
      </c>
      <c r="F225" s="35">
        <v>18165.0</v>
      </c>
      <c r="G225" s="868">
        <v>7991.0</v>
      </c>
      <c r="H225" s="29">
        <v>6960.0</v>
      </c>
      <c r="I225" s="30">
        <f t="shared" si="5"/>
        <v>41220</v>
      </c>
      <c r="J225" s="31"/>
      <c r="K225" s="39"/>
      <c r="L225" s="33"/>
      <c r="M225" s="40"/>
      <c r="N225" s="35"/>
      <c r="O225" s="33"/>
      <c r="P225" s="33"/>
      <c r="Q225" s="35"/>
      <c r="R225" s="35"/>
      <c r="S225" s="33"/>
      <c r="T225" s="36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</row>
    <row r="226">
      <c r="A226" s="99" t="s">
        <v>24</v>
      </c>
      <c r="B226" s="100">
        <v>44413.0</v>
      </c>
      <c r="C226" s="22">
        <v>79285.0</v>
      </c>
      <c r="D226" s="24">
        <v>2290.0</v>
      </c>
      <c r="E226" s="25">
        <v>1500.0</v>
      </c>
      <c r="F226" s="35">
        <v>11740.0</v>
      </c>
      <c r="G226" s="868">
        <v>5330.0</v>
      </c>
      <c r="H226" s="29">
        <v>16515.0</v>
      </c>
      <c r="I226" s="30">
        <f t="shared" si="5"/>
        <v>45700</v>
      </c>
      <c r="J226" s="49" t="s">
        <v>3630</v>
      </c>
      <c r="K226" s="39"/>
      <c r="L226" s="33"/>
      <c r="M226" s="40"/>
      <c r="N226" s="35"/>
      <c r="O226" s="33"/>
      <c r="P226" s="33"/>
      <c r="Q226" s="35"/>
      <c r="R226" s="35"/>
      <c r="S226" s="33"/>
      <c r="T226" s="36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</row>
    <row r="227">
      <c r="A227" s="99" t="s">
        <v>25</v>
      </c>
      <c r="B227" s="100">
        <v>44414.0</v>
      </c>
      <c r="C227" s="22">
        <v>80510.0</v>
      </c>
      <c r="D227" s="24">
        <v>1530.0</v>
      </c>
      <c r="E227" s="25">
        <v>2100.0</v>
      </c>
      <c r="F227" s="35">
        <v>13080.0</v>
      </c>
      <c r="G227" s="868">
        <v>4030.0</v>
      </c>
      <c r="H227" s="29">
        <v>13651.0</v>
      </c>
      <c r="I227" s="30">
        <f t="shared" si="5"/>
        <v>49749</v>
      </c>
      <c r="J227" s="49"/>
      <c r="K227" s="39"/>
      <c r="L227" s="33"/>
      <c r="M227" s="40"/>
      <c r="N227" s="35"/>
      <c r="O227" s="33"/>
      <c r="P227" s="33"/>
      <c r="Q227" s="35"/>
      <c r="R227" s="35"/>
      <c r="S227" s="33"/>
      <c r="T227" s="36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</row>
    <row r="228">
      <c r="A228" s="99" t="s">
        <v>33</v>
      </c>
      <c r="B228" s="100">
        <v>44415.0</v>
      </c>
      <c r="C228" s="22">
        <v>86695.0</v>
      </c>
      <c r="D228" s="24">
        <v>2480.0</v>
      </c>
      <c r="E228" s="25">
        <v>1800.0</v>
      </c>
      <c r="F228" s="35">
        <v>28360.0</v>
      </c>
      <c r="G228" s="161">
        <v>7120.0</v>
      </c>
      <c r="H228" s="178">
        <v>15415.0</v>
      </c>
      <c r="I228" s="30">
        <f t="shared" si="5"/>
        <v>35800</v>
      </c>
      <c r="J228" s="49" t="s">
        <v>3631</v>
      </c>
      <c r="K228" s="39"/>
      <c r="L228" s="33"/>
      <c r="M228" s="40"/>
      <c r="N228" s="35"/>
      <c r="O228" s="33"/>
      <c r="P228" s="33"/>
      <c r="Q228" s="35"/>
      <c r="R228" s="35"/>
      <c r="S228" s="33"/>
      <c r="T228" s="36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</row>
    <row r="229">
      <c r="A229" s="150" t="s">
        <v>27</v>
      </c>
      <c r="B229" s="100">
        <v>44416.0</v>
      </c>
      <c r="C229" s="160"/>
      <c r="D229" s="160"/>
      <c r="E229" s="160"/>
      <c r="F229" s="160"/>
      <c r="G229" s="867"/>
      <c r="H229" s="29"/>
      <c r="I229" s="30">
        <f>sum(I223:I228)</f>
        <v>243672</v>
      </c>
      <c r="J229" s="31"/>
      <c r="K229" s="39"/>
      <c r="L229" s="33"/>
      <c r="M229" s="40"/>
      <c r="N229" s="35"/>
      <c r="O229" s="33"/>
      <c r="P229" s="33"/>
      <c r="Q229" s="35"/>
      <c r="R229" s="35"/>
      <c r="S229" s="33"/>
      <c r="T229" s="36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</row>
    <row r="230">
      <c r="A230" s="99" t="s">
        <v>21</v>
      </c>
      <c r="B230" s="100">
        <v>44417.0</v>
      </c>
      <c r="C230" s="22">
        <v>62765.0</v>
      </c>
      <c r="D230" s="24">
        <v>2010.0</v>
      </c>
      <c r="E230" s="25">
        <v>1800.0</v>
      </c>
      <c r="F230" s="35">
        <v>8710.0</v>
      </c>
      <c r="G230" s="161">
        <v>3330.0</v>
      </c>
      <c r="H230" s="29">
        <v>17670.0</v>
      </c>
      <c r="I230" s="30">
        <f t="shared" ref="I230:I235" si="7">SUM(C230-F230-G230-H230)</f>
        <v>33055</v>
      </c>
      <c r="J230" s="31"/>
      <c r="K230" s="39"/>
      <c r="L230" s="33"/>
      <c r="M230" s="40"/>
      <c r="N230" s="35"/>
      <c r="O230" s="33"/>
      <c r="P230" s="33"/>
      <c r="Q230" s="35"/>
      <c r="R230" s="35"/>
      <c r="S230" s="33"/>
      <c r="T230" s="36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</row>
    <row r="231">
      <c r="A231" s="99" t="s">
        <v>22</v>
      </c>
      <c r="B231" s="100">
        <v>44418.0</v>
      </c>
      <c r="C231" s="22">
        <v>85780.0</v>
      </c>
      <c r="D231" s="24">
        <v>2110.0</v>
      </c>
      <c r="E231" s="25">
        <v>900.0</v>
      </c>
      <c r="F231" s="35">
        <v>13710.0</v>
      </c>
      <c r="G231" s="161">
        <v>16890.0</v>
      </c>
      <c r="H231" s="29">
        <v>18370.0</v>
      </c>
      <c r="I231" s="30">
        <f t="shared" si="7"/>
        <v>36810</v>
      </c>
      <c r="J231" s="49" t="s">
        <v>3632</v>
      </c>
      <c r="K231" s="39"/>
      <c r="L231" s="33"/>
      <c r="M231" s="40"/>
      <c r="N231" s="35"/>
      <c r="O231" s="33"/>
      <c r="P231" s="33"/>
      <c r="Q231" s="35"/>
      <c r="R231" s="35"/>
      <c r="S231" s="33"/>
      <c r="T231" s="36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</row>
    <row r="232">
      <c r="A232" s="99" t="s">
        <v>32</v>
      </c>
      <c r="B232" s="100">
        <v>44419.0</v>
      </c>
      <c r="C232" s="22">
        <v>96663.0</v>
      </c>
      <c r="D232" s="24">
        <v>1700.0</v>
      </c>
      <c r="E232" s="25"/>
      <c r="F232" s="35">
        <f>SUM(2570,1355,670,2740,680)</f>
        <v>8015</v>
      </c>
      <c r="G232" s="161">
        <v>9590.0</v>
      </c>
      <c r="H232" s="29">
        <v>26217.0</v>
      </c>
      <c r="I232" s="30">
        <f t="shared" si="7"/>
        <v>52841</v>
      </c>
      <c r="J232" s="49" t="s">
        <v>3633</v>
      </c>
      <c r="K232" s="39"/>
      <c r="L232" s="33"/>
      <c r="M232" s="40"/>
      <c r="N232" s="35"/>
      <c r="O232" s="33"/>
      <c r="P232" s="33"/>
      <c r="Q232" s="35"/>
      <c r="R232" s="35"/>
      <c r="S232" s="33"/>
      <c r="T232" s="36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</row>
    <row r="233">
      <c r="A233" s="99" t="s">
        <v>24</v>
      </c>
      <c r="B233" s="100">
        <v>44420.0</v>
      </c>
      <c r="C233" s="22">
        <v>79820.0</v>
      </c>
      <c r="D233" s="24">
        <v>2030.0</v>
      </c>
      <c r="E233" s="25">
        <v>2500.0</v>
      </c>
      <c r="F233" s="35">
        <v>15655.0</v>
      </c>
      <c r="G233" s="161">
        <v>6320.0</v>
      </c>
      <c r="H233" s="29">
        <v>10385.0</v>
      </c>
      <c r="I233" s="30">
        <f t="shared" si="7"/>
        <v>47460</v>
      </c>
      <c r="J233" s="49" t="s">
        <v>1998</v>
      </c>
      <c r="K233" s="39"/>
      <c r="L233" s="33"/>
      <c r="M233" s="40"/>
      <c r="N233" s="35"/>
      <c r="O233" s="33"/>
      <c r="P233" s="33"/>
      <c r="Q233" s="35"/>
      <c r="R233" s="35"/>
      <c r="S233" s="33"/>
      <c r="T233" s="36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</row>
    <row r="234">
      <c r="A234" s="99" t="s">
        <v>25</v>
      </c>
      <c r="B234" s="100">
        <v>44421.0</v>
      </c>
      <c r="C234" s="22">
        <v>76815.0</v>
      </c>
      <c r="D234" s="24"/>
      <c r="E234" s="25"/>
      <c r="F234" s="35">
        <v>17435.0</v>
      </c>
      <c r="G234" s="161">
        <v>9630.0</v>
      </c>
      <c r="H234" s="29">
        <v>21865.0</v>
      </c>
      <c r="I234" s="30">
        <f t="shared" si="7"/>
        <v>27885</v>
      </c>
      <c r="J234" s="49" t="s">
        <v>3634</v>
      </c>
      <c r="K234" s="39"/>
      <c r="L234" s="33"/>
      <c r="M234" s="40"/>
      <c r="N234" s="35"/>
      <c r="O234" s="33"/>
      <c r="P234" s="33"/>
      <c r="Q234" s="35"/>
      <c r="R234" s="35"/>
      <c r="S234" s="33"/>
      <c r="T234" s="36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</row>
    <row r="235">
      <c r="A235" s="99" t="s">
        <v>33</v>
      </c>
      <c r="B235" s="100">
        <v>44422.0</v>
      </c>
      <c r="C235" s="22">
        <v>84920.0</v>
      </c>
      <c r="D235" s="24">
        <v>2580.0</v>
      </c>
      <c r="E235" s="25">
        <v>3000.0</v>
      </c>
      <c r="F235" s="35">
        <v>31130.0</v>
      </c>
      <c r="G235" s="161">
        <v>4185.0</v>
      </c>
      <c r="H235" s="29">
        <v>15420.0</v>
      </c>
      <c r="I235" s="30">
        <f t="shared" si="7"/>
        <v>34185</v>
      </c>
      <c r="J235" s="49" t="s">
        <v>3635</v>
      </c>
      <c r="K235" s="39"/>
      <c r="L235" s="33"/>
      <c r="M235" s="40"/>
      <c r="N235" s="35"/>
      <c r="O235" s="33"/>
      <c r="P235" s="33"/>
      <c r="Q235" s="35"/>
      <c r="R235" s="35"/>
      <c r="S235" s="33"/>
      <c r="T235" s="36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</row>
    <row r="236">
      <c r="A236" s="150" t="s">
        <v>27</v>
      </c>
      <c r="B236" s="100">
        <v>44423.0</v>
      </c>
      <c r="C236" s="160"/>
      <c r="D236" s="160"/>
      <c r="E236" s="160"/>
      <c r="F236" s="160"/>
      <c r="G236" s="867"/>
      <c r="H236" s="199"/>
      <c r="I236" s="30">
        <f>sum(I230:I235)</f>
        <v>232236</v>
      </c>
      <c r="J236" s="31"/>
      <c r="K236" s="39"/>
      <c r="L236" s="33"/>
      <c r="M236" s="40"/>
      <c r="N236" s="35"/>
      <c r="O236" s="33"/>
      <c r="P236" s="33"/>
      <c r="Q236" s="35"/>
      <c r="R236" s="35"/>
      <c r="S236" s="33"/>
      <c r="T236" s="36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</row>
    <row r="237">
      <c r="A237" s="38" t="s">
        <v>21</v>
      </c>
      <c r="B237" s="100">
        <v>44424.0</v>
      </c>
      <c r="C237" s="22">
        <v>63090.0</v>
      </c>
      <c r="D237" s="24">
        <v>2100.0</v>
      </c>
      <c r="E237" s="25">
        <v>2600.0</v>
      </c>
      <c r="F237" s="35">
        <v>10885.0</v>
      </c>
      <c r="G237" s="161">
        <v>6880.0</v>
      </c>
      <c r="H237" s="29">
        <v>16665.0</v>
      </c>
      <c r="I237" s="30">
        <v>23605.0</v>
      </c>
      <c r="J237" s="31"/>
      <c r="K237" s="39"/>
      <c r="L237" s="33"/>
      <c r="M237" s="40"/>
      <c r="N237" s="35"/>
      <c r="O237" s="33"/>
      <c r="P237" s="33"/>
      <c r="Q237" s="35"/>
      <c r="R237" s="35"/>
      <c r="S237" s="33"/>
      <c r="T237" s="36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</row>
    <row r="238">
      <c r="A238" s="38" t="s">
        <v>22</v>
      </c>
      <c r="B238" s="100">
        <v>44425.0</v>
      </c>
      <c r="C238" s="22">
        <v>77820.0</v>
      </c>
      <c r="D238" s="24">
        <v>2270.0</v>
      </c>
      <c r="E238" s="25">
        <v>2000.0</v>
      </c>
      <c r="F238" s="35">
        <v>23850.0</v>
      </c>
      <c r="G238" s="161">
        <v>6925.0</v>
      </c>
      <c r="H238" s="29">
        <v>11660.0</v>
      </c>
      <c r="I238" s="30">
        <f t="shared" ref="I238:I250" si="8">SUM(C238-F238-G238-H238)</f>
        <v>35385</v>
      </c>
      <c r="J238" s="49" t="s">
        <v>3636</v>
      </c>
      <c r="K238" s="39"/>
      <c r="L238" s="33"/>
      <c r="M238" s="40"/>
      <c r="N238" s="35"/>
      <c r="O238" s="33"/>
      <c r="P238" s="33"/>
      <c r="Q238" s="35"/>
      <c r="R238" s="35"/>
      <c r="S238" s="33"/>
      <c r="T238" s="36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</row>
    <row r="239">
      <c r="A239" s="38" t="s">
        <v>32</v>
      </c>
      <c r="B239" s="100">
        <v>44426.0</v>
      </c>
      <c r="C239" s="22">
        <v>75600.0</v>
      </c>
      <c r="D239" s="24">
        <v>650.0</v>
      </c>
      <c r="E239" s="25"/>
      <c r="F239" s="35">
        <f>SUM(2350,850,5320,780)</f>
        <v>9300</v>
      </c>
      <c r="G239" s="161">
        <v>7555.0</v>
      </c>
      <c r="H239" s="29">
        <v>22065.0</v>
      </c>
      <c r="I239" s="30">
        <f t="shared" si="8"/>
        <v>36680</v>
      </c>
      <c r="J239" s="49" t="s">
        <v>3637</v>
      </c>
      <c r="K239" s="39"/>
      <c r="L239" s="33"/>
      <c r="M239" s="40"/>
      <c r="N239" s="35"/>
      <c r="O239" s="33"/>
      <c r="P239" s="33"/>
      <c r="Q239" s="35"/>
      <c r="R239" s="35"/>
      <c r="S239" s="33"/>
      <c r="T239" s="36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</row>
    <row r="240">
      <c r="A240" s="38" t="s">
        <v>24</v>
      </c>
      <c r="B240" s="100">
        <v>44427.0</v>
      </c>
      <c r="C240" s="22">
        <v>91255.0</v>
      </c>
      <c r="D240" s="24">
        <v>2140.0</v>
      </c>
      <c r="E240" s="25">
        <v>1700.0</v>
      </c>
      <c r="F240" s="35">
        <v>13515.0</v>
      </c>
      <c r="G240" s="161">
        <v>12685.0</v>
      </c>
      <c r="H240" s="29">
        <v>22910.0</v>
      </c>
      <c r="I240" s="30">
        <f t="shared" si="8"/>
        <v>42145</v>
      </c>
      <c r="J240" s="49" t="s">
        <v>3638</v>
      </c>
      <c r="K240" s="32"/>
      <c r="L240" s="33"/>
      <c r="M240" s="40"/>
      <c r="N240" s="35"/>
      <c r="O240" s="33"/>
      <c r="P240" s="33"/>
      <c r="Q240" s="35"/>
      <c r="R240" s="35"/>
      <c r="S240" s="33"/>
      <c r="T240" s="36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</row>
    <row r="241">
      <c r="A241" s="38" t="s">
        <v>25</v>
      </c>
      <c r="B241" s="100">
        <v>44428.0</v>
      </c>
      <c r="C241" s="22">
        <f>5940+99625</f>
        <v>105565</v>
      </c>
      <c r="D241" s="24"/>
      <c r="E241" s="25"/>
      <c r="F241" s="35">
        <v>19020.0</v>
      </c>
      <c r="G241" s="161">
        <v>9905.0</v>
      </c>
      <c r="H241" s="29">
        <v>31375.0</v>
      </c>
      <c r="I241" s="30">
        <f t="shared" si="8"/>
        <v>45265</v>
      </c>
      <c r="J241" s="49"/>
      <c r="K241" s="39"/>
      <c r="L241" s="33"/>
      <c r="M241" s="40"/>
      <c r="N241" s="35"/>
      <c r="O241" s="33"/>
      <c r="P241" s="33"/>
      <c r="Q241" s="35"/>
      <c r="R241" s="35"/>
      <c r="S241" s="33"/>
      <c r="T241" s="36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</row>
    <row r="242">
      <c r="A242" s="38" t="s">
        <v>33</v>
      </c>
      <c r="B242" s="100">
        <v>44429.0</v>
      </c>
      <c r="C242" s="22">
        <v>75061.0</v>
      </c>
      <c r="D242" s="24">
        <v>2400.0</v>
      </c>
      <c r="E242" s="25">
        <v>2300.0</v>
      </c>
      <c r="F242" s="35">
        <v>25116.0</v>
      </c>
      <c r="G242" s="161">
        <v>7075.0</v>
      </c>
      <c r="H242" s="29">
        <v>15590.0</v>
      </c>
      <c r="I242" s="30">
        <f t="shared" si="8"/>
        <v>27280</v>
      </c>
      <c r="J242" s="49"/>
      <c r="K242" s="32" t="s">
        <v>3639</v>
      </c>
      <c r="L242" s="33"/>
      <c r="M242" s="40"/>
      <c r="N242" s="35"/>
      <c r="O242" s="33"/>
      <c r="P242" s="33"/>
      <c r="Q242" s="35"/>
      <c r="R242" s="35"/>
      <c r="S242" s="33"/>
      <c r="T242" s="36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</row>
    <row r="243">
      <c r="A243" s="150" t="s">
        <v>27</v>
      </c>
      <c r="B243" s="100">
        <v>44430.0</v>
      </c>
      <c r="C243" s="160"/>
      <c r="D243" s="160"/>
      <c r="E243" s="160"/>
      <c r="F243" s="160"/>
      <c r="G243" s="161"/>
      <c r="H243" s="29"/>
      <c r="I243" s="30">
        <f t="shared" si="8"/>
        <v>0</v>
      </c>
      <c r="J243" s="49"/>
      <c r="K243" s="39"/>
      <c r="L243" s="33"/>
      <c r="M243" s="40"/>
      <c r="N243" s="35"/>
      <c r="O243" s="33"/>
      <c r="P243" s="33"/>
      <c r="Q243" s="35"/>
      <c r="R243" s="35"/>
      <c r="S243" s="33"/>
      <c r="T243" s="36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</row>
    <row r="244">
      <c r="A244" s="38" t="s">
        <v>21</v>
      </c>
      <c r="B244" s="100">
        <v>44431.0</v>
      </c>
      <c r="C244" s="22">
        <v>77597.0</v>
      </c>
      <c r="D244" s="24">
        <v>1870.0</v>
      </c>
      <c r="E244" s="25">
        <v>2100.0</v>
      </c>
      <c r="F244" s="35">
        <v>12865.0</v>
      </c>
      <c r="G244" s="161">
        <v>5960.0</v>
      </c>
      <c r="H244" s="29">
        <v>19100.0</v>
      </c>
      <c r="I244" s="30">
        <f t="shared" si="8"/>
        <v>39672</v>
      </c>
      <c r="J244" s="49">
        <v>7000.0</v>
      </c>
      <c r="K244" s="39"/>
      <c r="L244" s="33"/>
      <c r="M244" s="40"/>
      <c r="N244" s="35"/>
      <c r="O244" s="33"/>
      <c r="P244" s="33"/>
      <c r="Q244" s="35"/>
      <c r="R244" s="35"/>
      <c r="S244" s="33"/>
      <c r="T244" s="36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</row>
    <row r="245">
      <c r="A245" s="38" t="s">
        <v>22</v>
      </c>
      <c r="B245" s="100">
        <v>44432.0</v>
      </c>
      <c r="C245" s="22">
        <v>82670.0</v>
      </c>
      <c r="D245" s="24">
        <v>2200.0</v>
      </c>
      <c r="E245" s="25">
        <v>1600.0</v>
      </c>
      <c r="F245" s="35">
        <v>15830.0</v>
      </c>
      <c r="G245" s="161">
        <v>8760.0</v>
      </c>
      <c r="H245" s="181">
        <v>20695.0</v>
      </c>
      <c r="I245" s="30">
        <f t="shared" si="8"/>
        <v>37385</v>
      </c>
      <c r="J245" s="49"/>
      <c r="K245" s="32" t="s">
        <v>3640</v>
      </c>
      <c r="L245" s="33"/>
      <c r="M245" s="40"/>
      <c r="N245" s="35"/>
      <c r="O245" s="33"/>
      <c r="P245" s="33"/>
      <c r="Q245" s="35"/>
      <c r="R245" s="35"/>
      <c r="S245" s="33"/>
      <c r="T245" s="36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</row>
    <row r="246">
      <c r="A246" s="38" t="s">
        <v>32</v>
      </c>
      <c r="B246" s="100">
        <v>44433.0</v>
      </c>
      <c r="C246" s="22">
        <v>70966.0</v>
      </c>
      <c r="D246" s="24">
        <v>1720.0</v>
      </c>
      <c r="E246" s="25">
        <v>900.0</v>
      </c>
      <c r="F246" s="35">
        <v>9975.0</v>
      </c>
      <c r="G246" s="161">
        <v>12150.0</v>
      </c>
      <c r="H246" s="178">
        <v>18510.0</v>
      </c>
      <c r="I246" s="30">
        <f t="shared" si="8"/>
        <v>30331</v>
      </c>
      <c r="J246" s="31"/>
      <c r="K246" s="32" t="s">
        <v>3641</v>
      </c>
      <c r="L246" s="33"/>
      <c r="M246" s="40"/>
      <c r="N246" s="35"/>
      <c r="O246" s="33"/>
      <c r="P246" s="33"/>
      <c r="Q246" s="35"/>
      <c r="R246" s="35"/>
      <c r="S246" s="33"/>
      <c r="T246" s="36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</row>
    <row r="247">
      <c r="A247" s="38" t="s">
        <v>24</v>
      </c>
      <c r="B247" s="100">
        <v>44434.0</v>
      </c>
      <c r="C247" s="22">
        <v>79760.0</v>
      </c>
      <c r="D247" s="24">
        <v>1870.0</v>
      </c>
      <c r="E247" s="25">
        <v>2200.0</v>
      </c>
      <c r="F247" s="35">
        <v>12325.0</v>
      </c>
      <c r="G247" s="161">
        <v>7495.0</v>
      </c>
      <c r="H247" s="178">
        <v>18020.0</v>
      </c>
      <c r="I247" s="30">
        <f t="shared" si="8"/>
        <v>41920</v>
      </c>
      <c r="J247" s="31"/>
      <c r="K247" s="32" t="s">
        <v>3642</v>
      </c>
      <c r="L247" s="33"/>
      <c r="M247" s="40"/>
      <c r="N247" s="35"/>
      <c r="O247" s="33"/>
      <c r="P247" s="33"/>
      <c r="Q247" s="35"/>
      <c r="R247" s="35"/>
      <c r="S247" s="33"/>
      <c r="T247" s="36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</row>
    <row r="248">
      <c r="A248" s="38" t="s">
        <v>25</v>
      </c>
      <c r="B248" s="100">
        <v>44435.0</v>
      </c>
      <c r="C248" s="22">
        <v>78155.0</v>
      </c>
      <c r="D248" s="24"/>
      <c r="E248" s="25"/>
      <c r="F248" s="35">
        <v>16320.0</v>
      </c>
      <c r="G248" s="161"/>
      <c r="H248" s="178">
        <v>27310.0</v>
      </c>
      <c r="I248" s="30">
        <f t="shared" si="8"/>
        <v>34525</v>
      </c>
      <c r="J248" s="31"/>
      <c r="K248" s="39"/>
      <c r="L248" s="33"/>
      <c r="M248" s="40"/>
      <c r="N248" s="35"/>
      <c r="O248" s="33"/>
      <c r="P248" s="33"/>
      <c r="Q248" s="35"/>
      <c r="R248" s="35"/>
      <c r="S248" s="33"/>
      <c r="T248" s="36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</row>
    <row r="249">
      <c r="A249" s="38" t="s">
        <v>33</v>
      </c>
      <c r="B249" s="100">
        <v>44436.0</v>
      </c>
      <c r="C249" s="182">
        <v>79440.0</v>
      </c>
      <c r="D249" s="184">
        <v>1840.0</v>
      </c>
      <c r="E249" s="185">
        <v>2200.0</v>
      </c>
      <c r="F249" s="186">
        <v>17010.0</v>
      </c>
      <c r="G249" s="868">
        <v>8445.0</v>
      </c>
      <c r="H249" s="178">
        <v>27555.0</v>
      </c>
      <c r="I249" s="30">
        <f t="shared" si="8"/>
        <v>26430</v>
      </c>
      <c r="J249" s="31"/>
      <c r="K249" s="32" t="s">
        <v>3643</v>
      </c>
      <c r="L249" s="33"/>
      <c r="M249" s="40"/>
      <c r="N249" s="35"/>
      <c r="O249" s="33"/>
      <c r="P249" s="33"/>
      <c r="Q249" s="35"/>
      <c r="R249" s="35"/>
      <c r="S249" s="33"/>
      <c r="T249" s="36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</row>
    <row r="250">
      <c r="A250" s="150" t="s">
        <v>27</v>
      </c>
      <c r="B250" s="100">
        <v>44437.0</v>
      </c>
      <c r="C250" s="160"/>
      <c r="D250" s="160"/>
      <c r="E250" s="160"/>
      <c r="F250" s="160"/>
      <c r="G250" s="867"/>
      <c r="H250" s="29"/>
      <c r="I250" s="30">
        <f t="shared" si="8"/>
        <v>0</v>
      </c>
      <c r="J250" s="31"/>
      <c r="K250" s="39"/>
      <c r="L250" s="33"/>
      <c r="M250" s="40"/>
      <c r="N250" s="35"/>
      <c r="O250" s="33"/>
      <c r="P250" s="33"/>
      <c r="Q250" s="35"/>
      <c r="R250" s="35"/>
      <c r="S250" s="33"/>
      <c r="T250" s="36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</row>
    <row r="251">
      <c r="A251" s="38" t="s">
        <v>3644</v>
      </c>
      <c r="B251" s="100">
        <v>44438.0</v>
      </c>
      <c r="C251" s="22">
        <v>79750.0</v>
      </c>
      <c r="D251" s="24">
        <v>2000.0</v>
      </c>
      <c r="E251" s="25">
        <v>800.0</v>
      </c>
      <c r="F251" s="35">
        <v>25445.0</v>
      </c>
      <c r="G251" s="867">
        <v>16865.0</v>
      </c>
      <c r="H251" s="29">
        <v>12380.0</v>
      </c>
      <c r="I251" s="30">
        <v>41415.0</v>
      </c>
      <c r="J251" s="31"/>
      <c r="K251" s="39"/>
      <c r="L251" s="33"/>
      <c r="M251" s="40"/>
      <c r="N251" s="35"/>
      <c r="O251" s="33"/>
      <c r="P251" s="33"/>
      <c r="Q251" s="35"/>
      <c r="R251" s="35"/>
      <c r="S251" s="33"/>
      <c r="T251" s="36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</row>
    <row r="252">
      <c r="A252" s="805" t="s">
        <v>738</v>
      </c>
      <c r="B252" s="100">
        <v>44439.0</v>
      </c>
      <c r="C252" s="869">
        <v>78785.0</v>
      </c>
      <c r="D252" s="870">
        <v>2720.0</v>
      </c>
      <c r="E252" s="871"/>
      <c r="F252" s="147">
        <f>9900+6665</f>
        <v>16565</v>
      </c>
      <c r="G252" s="872">
        <v>8565.0</v>
      </c>
      <c r="H252" s="873">
        <v>18685.0</v>
      </c>
      <c r="I252" s="30">
        <f t="shared" ref="I252:I312" si="9">SUM(C252-F252-G252-H252)</f>
        <v>34970</v>
      </c>
      <c r="J252" s="874"/>
      <c r="K252" s="166" t="s">
        <v>3645</v>
      </c>
      <c r="L252" s="145"/>
      <c r="M252" s="146"/>
      <c r="N252" s="147"/>
      <c r="O252" s="145"/>
      <c r="P252" s="145"/>
      <c r="Q252" s="147"/>
      <c r="R252" s="147"/>
      <c r="S252" s="33"/>
      <c r="T252" s="36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</row>
    <row r="253">
      <c r="A253" s="93" t="s">
        <v>28</v>
      </c>
      <c r="B253" s="100">
        <v>44439.0</v>
      </c>
      <c r="C253" s="95">
        <f>SUM(C222:C252)</f>
        <v>2064050</v>
      </c>
      <c r="D253" s="95"/>
      <c r="E253" s="95"/>
      <c r="F253" s="95"/>
      <c r="G253" s="866"/>
      <c r="H253" s="810"/>
      <c r="I253" s="30">
        <f t="shared" si="9"/>
        <v>2064050</v>
      </c>
      <c r="J253" s="31"/>
      <c r="K253" s="39"/>
      <c r="L253" s="33"/>
      <c r="M253" s="40"/>
      <c r="N253" s="35"/>
      <c r="O253" s="33"/>
      <c r="P253" s="33"/>
      <c r="Q253" s="35"/>
      <c r="R253" s="35"/>
      <c r="S253" s="33"/>
      <c r="T253" s="36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</row>
    <row r="254">
      <c r="A254" s="38" t="s">
        <v>23</v>
      </c>
      <c r="B254" s="100">
        <v>44440.0</v>
      </c>
      <c r="C254" s="22">
        <v>77115.0</v>
      </c>
      <c r="D254" s="24"/>
      <c r="E254" s="25">
        <v>700.0</v>
      </c>
      <c r="F254" s="35">
        <f>sum(3190,1730,270,1240,560)</f>
        <v>6990</v>
      </c>
      <c r="G254" s="867">
        <v>14200.0</v>
      </c>
      <c r="H254" s="29">
        <v>20415.0</v>
      </c>
      <c r="I254" s="30">
        <f t="shared" si="9"/>
        <v>35510</v>
      </c>
      <c r="J254" s="49">
        <v>2000.0</v>
      </c>
      <c r="K254" s="39"/>
      <c r="L254" s="33"/>
      <c r="M254" s="40"/>
      <c r="N254" s="35"/>
      <c r="O254" s="33"/>
      <c r="P254" s="33"/>
      <c r="Q254" s="35"/>
      <c r="R254" s="35"/>
      <c r="S254" s="33"/>
      <c r="T254" s="36"/>
      <c r="U254" s="194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</row>
    <row r="255">
      <c r="A255" s="38" t="s">
        <v>24</v>
      </c>
      <c r="B255" s="100">
        <v>44441.0</v>
      </c>
      <c r="C255" s="22">
        <v>79295.0</v>
      </c>
      <c r="D255" s="24">
        <v>2470.0</v>
      </c>
      <c r="E255" s="25"/>
      <c r="F255" s="35">
        <v>16080.0</v>
      </c>
      <c r="G255" s="867">
        <v>10955.0</v>
      </c>
      <c r="H255" s="178">
        <v>17335.0</v>
      </c>
      <c r="I255" s="30">
        <f t="shared" si="9"/>
        <v>34925</v>
      </c>
      <c r="J255" s="31"/>
      <c r="K255" s="32" t="s">
        <v>3646</v>
      </c>
      <c r="L255" s="33"/>
      <c r="M255" s="40"/>
      <c r="N255" s="35"/>
      <c r="O255" s="33"/>
      <c r="P255" s="33"/>
      <c r="Q255" s="35"/>
      <c r="R255" s="35"/>
      <c r="S255" s="33"/>
      <c r="T255" s="36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</row>
    <row r="256">
      <c r="A256" s="38" t="s">
        <v>25</v>
      </c>
      <c r="B256" s="100">
        <v>44442.0</v>
      </c>
      <c r="C256" s="22">
        <v>98925.0</v>
      </c>
      <c r="D256" s="24"/>
      <c r="E256" s="25"/>
      <c r="F256" s="35">
        <v>19920.0</v>
      </c>
      <c r="G256" s="867">
        <v>13505.0</v>
      </c>
      <c r="H256" s="29">
        <v>24665.0</v>
      </c>
      <c r="I256" s="30">
        <f t="shared" si="9"/>
        <v>40835</v>
      </c>
      <c r="J256" s="31"/>
      <c r="K256" s="32" t="s">
        <v>3647</v>
      </c>
      <c r="L256" s="33"/>
      <c r="M256" s="40"/>
      <c r="N256" s="35"/>
      <c r="O256" s="33"/>
      <c r="P256" s="33"/>
      <c r="Q256" s="35"/>
      <c r="R256" s="35"/>
      <c r="S256" s="33"/>
      <c r="T256" s="36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</row>
    <row r="257">
      <c r="A257" s="38" t="s">
        <v>26</v>
      </c>
      <c r="B257" s="100">
        <v>44443.0</v>
      </c>
      <c r="C257" s="22">
        <f>65547+26863</f>
        <v>92410</v>
      </c>
      <c r="D257" s="24">
        <v>2000.0</v>
      </c>
      <c r="E257" s="25">
        <v>1300.0</v>
      </c>
      <c r="F257" s="35">
        <v>27020.0</v>
      </c>
      <c r="G257" s="867">
        <v>7710.0</v>
      </c>
      <c r="H257" s="178">
        <v>23055.0</v>
      </c>
      <c r="I257" s="30">
        <f t="shared" si="9"/>
        <v>34625</v>
      </c>
      <c r="J257" s="31"/>
      <c r="K257" s="32" t="s">
        <v>3648</v>
      </c>
      <c r="L257" s="33"/>
      <c r="M257" s="40"/>
      <c r="N257" s="35"/>
      <c r="O257" s="33"/>
      <c r="P257" s="33"/>
      <c r="Q257" s="35"/>
      <c r="R257" s="35"/>
      <c r="S257" s="33"/>
      <c r="T257" s="36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</row>
    <row r="258">
      <c r="A258" s="150" t="s">
        <v>27</v>
      </c>
      <c r="B258" s="100">
        <v>44444.0</v>
      </c>
      <c r="C258" s="160"/>
      <c r="D258" s="160"/>
      <c r="E258" s="160"/>
      <c r="F258" s="160"/>
      <c r="G258" s="867"/>
      <c r="H258" s="29"/>
      <c r="I258" s="30">
        <f t="shared" si="9"/>
        <v>0</v>
      </c>
      <c r="J258" s="31"/>
      <c r="K258" s="39"/>
      <c r="L258" s="33"/>
      <c r="M258" s="40"/>
      <c r="N258" s="35"/>
      <c r="O258" s="33"/>
      <c r="P258" s="33"/>
      <c r="Q258" s="35"/>
      <c r="R258" s="35"/>
      <c r="S258" s="33"/>
      <c r="T258" s="36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</row>
    <row r="259">
      <c r="A259" s="38" t="s">
        <v>21</v>
      </c>
      <c r="B259" s="100">
        <v>44445.0</v>
      </c>
      <c r="C259" s="22">
        <v>78720.0</v>
      </c>
      <c r="D259" s="24">
        <v>2010.0</v>
      </c>
      <c r="E259" s="25">
        <v>400.0</v>
      </c>
      <c r="F259" s="186">
        <v>10345.0</v>
      </c>
      <c r="G259" s="868">
        <v>10010.0</v>
      </c>
      <c r="H259" s="29">
        <v>15970.0</v>
      </c>
      <c r="I259" s="30">
        <f t="shared" si="9"/>
        <v>42395</v>
      </c>
      <c r="J259" s="31"/>
      <c r="K259" s="32" t="s">
        <v>3649</v>
      </c>
      <c r="L259" s="33"/>
      <c r="M259" s="40"/>
      <c r="N259" s="35"/>
      <c r="O259" s="33"/>
      <c r="P259" s="33"/>
      <c r="Q259" s="35"/>
      <c r="R259" s="35"/>
      <c r="S259" s="33"/>
      <c r="T259" s="36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</row>
    <row r="260">
      <c r="A260" s="38" t="s">
        <v>22</v>
      </c>
      <c r="B260" s="100">
        <v>44446.0</v>
      </c>
      <c r="C260" s="22">
        <v>81261.0</v>
      </c>
      <c r="D260" s="24">
        <v>1050.0</v>
      </c>
      <c r="E260" s="25">
        <v>1400.0</v>
      </c>
      <c r="F260" s="186">
        <f>sum(5995,180,8920,960,3026)</f>
        <v>19081</v>
      </c>
      <c r="G260" s="868">
        <v>8995.0</v>
      </c>
      <c r="H260" s="29">
        <v>15470.0</v>
      </c>
      <c r="I260" s="30">
        <f t="shared" si="9"/>
        <v>37715</v>
      </c>
      <c r="J260" s="49">
        <v>11000.0</v>
      </c>
      <c r="K260" s="39"/>
      <c r="L260" s="33"/>
      <c r="M260" s="40"/>
      <c r="N260" s="35"/>
      <c r="O260" s="33"/>
      <c r="P260" s="33"/>
      <c r="Q260" s="35"/>
      <c r="R260" s="35"/>
      <c r="S260" s="33"/>
      <c r="T260" s="36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</row>
    <row r="261">
      <c r="A261" s="38" t="s">
        <v>32</v>
      </c>
      <c r="B261" s="100">
        <v>44447.0</v>
      </c>
      <c r="C261" s="22">
        <v>81070.0</v>
      </c>
      <c r="D261" s="24">
        <v>1000.0</v>
      </c>
      <c r="E261" s="25">
        <v>900.0</v>
      </c>
      <c r="F261" s="186">
        <f>sum(4315,5920,645)</f>
        <v>10880</v>
      </c>
      <c r="G261" s="868">
        <v>2595.0</v>
      </c>
      <c r="H261" s="29">
        <v>28755.0</v>
      </c>
      <c r="I261" s="30">
        <f t="shared" si="9"/>
        <v>38840</v>
      </c>
      <c r="J261" s="49">
        <v>5000.0</v>
      </c>
      <c r="K261" s="39"/>
      <c r="L261" s="33"/>
      <c r="M261" s="40"/>
      <c r="N261" s="35"/>
      <c r="O261" s="33"/>
      <c r="P261" s="33"/>
      <c r="Q261" s="35"/>
      <c r="R261" s="35"/>
      <c r="S261" s="33"/>
      <c r="T261" s="36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</row>
    <row r="262">
      <c r="A262" s="38" t="s">
        <v>24</v>
      </c>
      <c r="B262" s="100">
        <v>44448.0</v>
      </c>
      <c r="C262" s="22">
        <v>87570.0</v>
      </c>
      <c r="D262" s="24">
        <v>2450.0</v>
      </c>
      <c r="E262" s="25"/>
      <c r="F262" s="186">
        <f>10185+5120</f>
        <v>15305</v>
      </c>
      <c r="G262" s="868">
        <v>8200.0</v>
      </c>
      <c r="H262" s="29">
        <v>17810.0</v>
      </c>
      <c r="I262" s="30">
        <f t="shared" si="9"/>
        <v>46255</v>
      </c>
      <c r="J262" s="31"/>
      <c r="K262" s="32" t="s">
        <v>3650</v>
      </c>
      <c r="L262" s="33"/>
      <c r="M262" s="40"/>
      <c r="N262" s="35"/>
      <c r="O262" s="33"/>
      <c r="P262" s="33"/>
      <c r="Q262" s="35"/>
      <c r="R262" s="35"/>
      <c r="S262" s="33"/>
      <c r="T262" s="36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</row>
    <row r="263">
      <c r="A263" s="38" t="s">
        <v>25</v>
      </c>
      <c r="B263" s="100">
        <v>44449.0</v>
      </c>
      <c r="C263" s="22">
        <v>102280.0</v>
      </c>
      <c r="D263" s="24">
        <v>800.0</v>
      </c>
      <c r="E263" s="25">
        <v>300.0</v>
      </c>
      <c r="F263" s="186">
        <f>sum(7435,840,700,9285)</f>
        <v>18260</v>
      </c>
      <c r="G263" s="868">
        <v>7991.0</v>
      </c>
      <c r="H263" s="29">
        <v>28245.0</v>
      </c>
      <c r="I263" s="30">
        <f t="shared" si="9"/>
        <v>47784</v>
      </c>
      <c r="J263" s="31"/>
      <c r="K263" s="39"/>
      <c r="L263" s="33"/>
      <c r="M263" s="40"/>
      <c r="N263" s="35"/>
      <c r="O263" s="33"/>
      <c r="P263" s="33"/>
      <c r="Q263" s="35"/>
      <c r="R263" s="35"/>
      <c r="S263" s="33"/>
      <c r="T263" s="36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</row>
    <row r="264">
      <c r="A264" s="38" t="s">
        <v>33</v>
      </c>
      <c r="B264" s="100">
        <v>44450.0</v>
      </c>
      <c r="C264" s="22">
        <v>83998.0</v>
      </c>
      <c r="D264" s="24">
        <f>2140+350</f>
        <v>2490</v>
      </c>
      <c r="E264" s="25">
        <v>1500.0</v>
      </c>
      <c r="F264" s="186">
        <f>27170+2370</f>
        <v>29540</v>
      </c>
      <c r="G264" s="868">
        <v>4670.0</v>
      </c>
      <c r="H264" s="178">
        <v>21035.0</v>
      </c>
      <c r="I264" s="30">
        <f t="shared" si="9"/>
        <v>28753</v>
      </c>
      <c r="J264" s="31"/>
      <c r="K264" s="32" t="s">
        <v>3651</v>
      </c>
      <c r="L264" s="33"/>
      <c r="M264" s="40"/>
      <c r="N264" s="35"/>
      <c r="O264" s="33"/>
      <c r="P264" s="33"/>
      <c r="Q264" s="35"/>
      <c r="R264" s="35"/>
      <c r="S264" s="33"/>
      <c r="T264" s="36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</row>
    <row r="265">
      <c r="A265" s="150" t="s">
        <v>27</v>
      </c>
      <c r="B265" s="100">
        <v>44451.0</v>
      </c>
      <c r="C265" s="160"/>
      <c r="D265" s="160"/>
      <c r="E265" s="160"/>
      <c r="F265" s="176"/>
      <c r="G265" s="868"/>
      <c r="H265" s="29"/>
      <c r="I265" s="30">
        <f t="shared" si="9"/>
        <v>0</v>
      </c>
      <c r="J265" s="31"/>
      <c r="K265" s="39"/>
      <c r="L265" s="33"/>
      <c r="M265" s="40"/>
      <c r="N265" s="35"/>
      <c r="O265" s="33"/>
      <c r="P265" s="33"/>
      <c r="Q265" s="35"/>
      <c r="R265" s="35"/>
      <c r="S265" s="33"/>
      <c r="T265" s="36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</row>
    <row r="266">
      <c r="A266" s="38" t="s">
        <v>21</v>
      </c>
      <c r="B266" s="100">
        <v>44452.0</v>
      </c>
      <c r="C266" s="22">
        <v>101629.0</v>
      </c>
      <c r="D266" s="24">
        <v>790.0</v>
      </c>
      <c r="E266" s="25">
        <v>400.0</v>
      </c>
      <c r="F266" s="186">
        <f>sum(1200,1001,15630)</f>
        <v>17831</v>
      </c>
      <c r="G266" s="868">
        <v>17415.0</v>
      </c>
      <c r="H266" s="29">
        <v>14489.0</v>
      </c>
      <c r="I266" s="30">
        <f t="shared" si="9"/>
        <v>51894</v>
      </c>
      <c r="J266" s="49"/>
      <c r="K266" s="196">
        <v>3750.0</v>
      </c>
      <c r="L266" s="33"/>
      <c r="M266" s="40"/>
      <c r="N266" s="35"/>
      <c r="O266" s="33"/>
      <c r="P266" s="33"/>
      <c r="Q266" s="35"/>
      <c r="R266" s="35"/>
      <c r="S266" s="33"/>
      <c r="T266" s="36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</row>
    <row r="267">
      <c r="A267" s="38" t="s">
        <v>22</v>
      </c>
      <c r="B267" s="100">
        <v>44453.0</v>
      </c>
      <c r="C267" s="22">
        <v>71545.0</v>
      </c>
      <c r="D267" s="24">
        <v>490.0</v>
      </c>
      <c r="E267" s="25">
        <v>400.0</v>
      </c>
      <c r="F267" s="186">
        <v>13125.0</v>
      </c>
      <c r="G267" s="868">
        <v>8685.0</v>
      </c>
      <c r="H267" s="29">
        <v>19250.0</v>
      </c>
      <c r="I267" s="30">
        <f t="shared" si="9"/>
        <v>30485</v>
      </c>
      <c r="J267" s="31"/>
      <c r="K267" s="39"/>
      <c r="L267" s="33"/>
      <c r="M267" s="40"/>
      <c r="N267" s="35"/>
      <c r="O267" s="33"/>
      <c r="P267" s="33"/>
      <c r="Q267" s="35"/>
      <c r="R267" s="35"/>
      <c r="S267" s="33"/>
      <c r="T267" s="36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</row>
    <row r="268">
      <c r="A268" s="38" t="s">
        <v>32</v>
      </c>
      <c r="B268" s="100">
        <v>44454.0</v>
      </c>
      <c r="C268" s="22">
        <v>77581.0</v>
      </c>
      <c r="D268" s="24"/>
      <c r="E268" s="25"/>
      <c r="F268" s="35">
        <v>15085.0</v>
      </c>
      <c r="G268" s="161">
        <v>5910.0</v>
      </c>
      <c r="H268" s="29">
        <v>19726.0</v>
      </c>
      <c r="I268" s="30">
        <f t="shared" si="9"/>
        <v>36860</v>
      </c>
      <c r="J268" s="31"/>
      <c r="K268" s="39"/>
      <c r="L268" s="33"/>
      <c r="M268" s="40"/>
      <c r="N268" s="35"/>
      <c r="O268" s="33"/>
      <c r="P268" s="33"/>
      <c r="Q268" s="35"/>
      <c r="R268" s="35"/>
      <c r="S268" s="33"/>
      <c r="T268" s="36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</row>
    <row r="269">
      <c r="A269" s="38" t="s">
        <v>24</v>
      </c>
      <c r="B269" s="100">
        <v>44455.0</v>
      </c>
      <c r="C269" s="22">
        <v>100355.0</v>
      </c>
      <c r="D269" s="24">
        <v>2370.0</v>
      </c>
      <c r="E269" s="25">
        <v>900.0</v>
      </c>
      <c r="F269" s="35">
        <f>17210+900+800</f>
        <v>18910</v>
      </c>
      <c r="G269" s="161">
        <v>13255.0</v>
      </c>
      <c r="H269" s="29">
        <f>25795+900</f>
        <v>26695</v>
      </c>
      <c r="I269" s="30">
        <f t="shared" si="9"/>
        <v>41495</v>
      </c>
      <c r="J269" s="31"/>
      <c r="K269" s="32" t="s">
        <v>3652</v>
      </c>
      <c r="L269" s="33"/>
      <c r="M269" s="40"/>
      <c r="N269" s="35"/>
      <c r="O269" s="33"/>
      <c r="P269" s="33"/>
      <c r="Q269" s="35"/>
      <c r="R269" s="35"/>
      <c r="S269" s="33"/>
      <c r="T269" s="36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</row>
    <row r="270">
      <c r="A270" s="38" t="s">
        <v>25</v>
      </c>
      <c r="B270" s="100">
        <v>44456.0</v>
      </c>
      <c r="C270" s="22">
        <f>sum(6010,91630)</f>
        <v>97640</v>
      </c>
      <c r="D270" s="24">
        <v>750.0</v>
      </c>
      <c r="E270" s="25"/>
      <c r="F270" s="35">
        <f>sum(300,14390,3605)</f>
        <v>18295</v>
      </c>
      <c r="G270" s="867">
        <v>10610.0</v>
      </c>
      <c r="H270" s="29">
        <v>29570.0</v>
      </c>
      <c r="I270" s="30">
        <f t="shared" si="9"/>
        <v>39165</v>
      </c>
      <c r="J270" s="49">
        <v>14000.0</v>
      </c>
      <c r="K270" s="32" t="s">
        <v>3653</v>
      </c>
      <c r="L270" s="33"/>
      <c r="M270" s="40"/>
      <c r="N270" s="35"/>
      <c r="O270" s="33"/>
      <c r="P270" s="33"/>
      <c r="Q270" s="35"/>
      <c r="R270" s="35"/>
      <c r="S270" s="33"/>
      <c r="T270" s="36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</row>
    <row r="271">
      <c r="A271" s="38" t="s">
        <v>33</v>
      </c>
      <c r="B271" s="100">
        <v>44457.0</v>
      </c>
      <c r="C271" s="22">
        <v>91505.0</v>
      </c>
      <c r="D271" s="24">
        <v>2090.0</v>
      </c>
      <c r="E271" s="25">
        <v>900.0</v>
      </c>
      <c r="F271" s="35">
        <f>25335+850</f>
        <v>26185</v>
      </c>
      <c r="G271" s="161">
        <v>10395.0</v>
      </c>
      <c r="H271" s="29">
        <v>20630.0</v>
      </c>
      <c r="I271" s="30">
        <f t="shared" si="9"/>
        <v>34295</v>
      </c>
      <c r="J271" s="31"/>
      <c r="K271" s="32" t="s">
        <v>3654</v>
      </c>
      <c r="L271" s="33"/>
      <c r="M271" s="40"/>
      <c r="N271" s="35"/>
      <c r="O271" s="33"/>
      <c r="P271" s="33"/>
      <c r="Q271" s="35"/>
      <c r="R271" s="35"/>
      <c r="S271" s="33"/>
      <c r="T271" s="36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</row>
    <row r="272">
      <c r="A272" s="150" t="s">
        <v>27</v>
      </c>
      <c r="B272" s="100">
        <v>44458.0</v>
      </c>
      <c r="C272" s="160"/>
      <c r="D272" s="160"/>
      <c r="E272" s="160"/>
      <c r="F272" s="193"/>
      <c r="G272" s="161"/>
      <c r="H272" s="29"/>
      <c r="I272" s="30">
        <f t="shared" si="9"/>
        <v>0</v>
      </c>
      <c r="J272" s="31"/>
      <c r="K272" s="39"/>
      <c r="L272" s="33"/>
      <c r="M272" s="40"/>
      <c r="N272" s="35"/>
      <c r="O272" s="33"/>
      <c r="P272" s="33"/>
      <c r="Q272" s="35"/>
      <c r="R272" s="35"/>
      <c r="S272" s="33"/>
      <c r="T272" s="36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</row>
    <row r="273">
      <c r="A273" s="38" t="s">
        <v>21</v>
      </c>
      <c r="B273" s="100">
        <v>44459.0</v>
      </c>
      <c r="C273" s="22">
        <v>99915.0</v>
      </c>
      <c r="D273" s="24">
        <v>2080.0</v>
      </c>
      <c r="E273" s="25"/>
      <c r="F273" s="35">
        <v>18860.0</v>
      </c>
      <c r="G273" s="868">
        <v>9970.0</v>
      </c>
      <c r="H273" s="178">
        <v>22225.0</v>
      </c>
      <c r="I273" s="30">
        <f t="shared" si="9"/>
        <v>48860</v>
      </c>
      <c r="J273" s="31"/>
      <c r="K273" s="32" t="s">
        <v>3655</v>
      </c>
      <c r="L273" s="33"/>
      <c r="M273" s="40"/>
      <c r="N273" s="35"/>
      <c r="O273" s="33"/>
      <c r="P273" s="33"/>
      <c r="Q273" s="35"/>
      <c r="R273" s="35"/>
      <c r="S273" s="33"/>
      <c r="T273" s="36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</row>
    <row r="274">
      <c r="A274" s="38" t="s">
        <v>22</v>
      </c>
      <c r="B274" s="100">
        <v>44460.0</v>
      </c>
      <c r="C274" s="22">
        <v>106379.0</v>
      </c>
      <c r="D274" s="24">
        <v>860.0</v>
      </c>
      <c r="E274" s="25"/>
      <c r="F274" s="35">
        <f>sum(255,1760,1160,580,13900,560)</f>
        <v>18215</v>
      </c>
      <c r="G274" s="867">
        <v>12220.0</v>
      </c>
      <c r="H274" s="178">
        <v>23459.0</v>
      </c>
      <c r="I274" s="30">
        <f t="shared" si="9"/>
        <v>52485</v>
      </c>
      <c r="J274" s="49">
        <v>27000.0</v>
      </c>
      <c r="K274" s="32">
        <v>4800.0</v>
      </c>
      <c r="L274" s="33"/>
      <c r="M274" s="40"/>
      <c r="N274" s="35"/>
      <c r="O274" s="33"/>
      <c r="P274" s="33"/>
      <c r="Q274" s="35"/>
      <c r="R274" s="35"/>
      <c r="S274" s="33"/>
      <c r="T274" s="36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</row>
    <row r="275">
      <c r="A275" s="38" t="s">
        <v>32</v>
      </c>
      <c r="B275" s="100">
        <v>44461.0</v>
      </c>
      <c r="C275" s="22">
        <f>sum(6165,73410)</f>
        <v>79575</v>
      </c>
      <c r="D275" s="24"/>
      <c r="E275" s="25"/>
      <c r="F275" s="186">
        <f>sum(400,1380,6270,1770)</f>
        <v>9820</v>
      </c>
      <c r="G275" s="867">
        <v>7920.0</v>
      </c>
      <c r="H275" s="178">
        <v>25840.0</v>
      </c>
      <c r="I275" s="30">
        <f t="shared" si="9"/>
        <v>35995</v>
      </c>
      <c r="J275" s="31"/>
      <c r="K275" s="39"/>
      <c r="L275" s="33"/>
      <c r="M275" s="40"/>
      <c r="N275" s="35"/>
      <c r="O275" s="33"/>
      <c r="P275" s="33"/>
      <c r="Q275" s="35"/>
      <c r="R275" s="35"/>
      <c r="S275" s="33"/>
      <c r="T275" s="36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</row>
    <row r="276">
      <c r="A276" s="38" t="s">
        <v>24</v>
      </c>
      <c r="B276" s="100">
        <v>44462.0</v>
      </c>
      <c r="C276" s="22">
        <v>72810.0</v>
      </c>
      <c r="D276" s="24">
        <v>2370.0</v>
      </c>
      <c r="E276" s="25">
        <v>700.0</v>
      </c>
      <c r="F276" s="186">
        <v>14895.0</v>
      </c>
      <c r="G276" s="161">
        <v>3790.0</v>
      </c>
      <c r="H276" s="178">
        <v>15960.0</v>
      </c>
      <c r="I276" s="30">
        <f t="shared" si="9"/>
        <v>38165</v>
      </c>
      <c r="J276" s="31"/>
      <c r="K276" s="32" t="s">
        <v>3656</v>
      </c>
      <c r="L276" s="33"/>
      <c r="M276" s="40"/>
      <c r="N276" s="35"/>
      <c r="O276" s="33"/>
      <c r="P276" s="33"/>
      <c r="Q276" s="35"/>
      <c r="R276" s="35"/>
      <c r="S276" s="33"/>
      <c r="T276" s="36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</row>
    <row r="277">
      <c r="A277" s="38" t="s">
        <v>25</v>
      </c>
      <c r="B277" s="100">
        <v>44463.0</v>
      </c>
      <c r="C277" s="22">
        <v>88950.0</v>
      </c>
      <c r="D277" s="24">
        <v>1350.0</v>
      </c>
      <c r="E277" s="25">
        <v>500.0</v>
      </c>
      <c r="F277" s="35">
        <f>sum(230,8290,3470)</f>
        <v>11990</v>
      </c>
      <c r="G277" s="161">
        <v>16145.0</v>
      </c>
      <c r="H277" s="29">
        <v>20805.0</v>
      </c>
      <c r="I277" s="30">
        <f t="shared" si="9"/>
        <v>40010</v>
      </c>
      <c r="J277" s="31"/>
      <c r="K277" s="39"/>
      <c r="L277" s="33"/>
      <c r="M277" s="40"/>
      <c r="N277" s="35"/>
      <c r="O277" s="33"/>
      <c r="P277" s="33"/>
      <c r="Q277" s="35"/>
      <c r="R277" s="35"/>
      <c r="S277" s="33"/>
      <c r="T277" s="36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</row>
    <row r="278">
      <c r="A278" s="38" t="s">
        <v>33</v>
      </c>
      <c r="B278" s="100">
        <v>44464.0</v>
      </c>
      <c r="C278" s="22">
        <v>71015.0</v>
      </c>
      <c r="D278" s="24">
        <v>1880.0</v>
      </c>
      <c r="E278" s="25">
        <v>800.0</v>
      </c>
      <c r="F278" s="35">
        <v>16715.0</v>
      </c>
      <c r="G278" s="867">
        <v>8685.0</v>
      </c>
      <c r="H278" s="29">
        <v>14090.0</v>
      </c>
      <c r="I278" s="30">
        <f t="shared" si="9"/>
        <v>31525</v>
      </c>
      <c r="J278" s="31"/>
      <c r="K278" s="32" t="s">
        <v>3655</v>
      </c>
      <c r="L278" s="33"/>
      <c r="M278" s="40"/>
      <c r="N278" s="35"/>
      <c r="O278" s="33"/>
      <c r="P278" s="33"/>
      <c r="Q278" s="35"/>
      <c r="R278" s="35"/>
      <c r="S278" s="33"/>
      <c r="T278" s="36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</row>
    <row r="279">
      <c r="A279" s="150" t="s">
        <v>27</v>
      </c>
      <c r="B279" s="100">
        <v>44465.0</v>
      </c>
      <c r="C279" s="160"/>
      <c r="D279" s="160"/>
      <c r="E279" s="160"/>
      <c r="F279" s="160"/>
      <c r="G279" s="161"/>
      <c r="H279" s="199"/>
      <c r="I279" s="30">
        <f t="shared" si="9"/>
        <v>0</v>
      </c>
      <c r="J279" s="31"/>
      <c r="K279" s="39"/>
      <c r="L279" s="33"/>
      <c r="M279" s="40"/>
      <c r="N279" s="35"/>
      <c r="O279" s="33"/>
      <c r="P279" s="33"/>
      <c r="Q279" s="35"/>
      <c r="R279" s="35"/>
      <c r="S279" s="33"/>
      <c r="T279" s="36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</row>
    <row r="280">
      <c r="A280" s="38" t="s">
        <v>21</v>
      </c>
      <c r="B280" s="100">
        <v>44466.0</v>
      </c>
      <c r="C280" s="22">
        <v>92286.0</v>
      </c>
      <c r="D280" s="24">
        <v>2370.0</v>
      </c>
      <c r="E280" s="25">
        <v>200.0</v>
      </c>
      <c r="F280" s="35">
        <f>13835+11200</f>
        <v>25035</v>
      </c>
      <c r="G280" s="161">
        <v>8320.0</v>
      </c>
      <c r="H280" s="178">
        <v>15315.0</v>
      </c>
      <c r="I280" s="30">
        <f t="shared" si="9"/>
        <v>43616</v>
      </c>
      <c r="J280" s="31"/>
      <c r="K280" s="32" t="s">
        <v>3657</v>
      </c>
      <c r="L280" s="33"/>
      <c r="M280" s="40"/>
      <c r="N280" s="35"/>
      <c r="O280" s="33"/>
      <c r="P280" s="33"/>
      <c r="Q280" s="35"/>
      <c r="R280" s="35"/>
      <c r="S280" s="33"/>
      <c r="T280" s="36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</row>
    <row r="281">
      <c r="A281" s="38" t="s">
        <v>22</v>
      </c>
      <c r="B281" s="100">
        <v>44467.0</v>
      </c>
      <c r="C281" s="22">
        <v>76680.0</v>
      </c>
      <c r="D281" s="24">
        <v>2540.0</v>
      </c>
      <c r="E281" s="25"/>
      <c r="F281" s="200">
        <f>1695+850+12390+360</f>
        <v>15295</v>
      </c>
      <c r="G281" s="161">
        <v>11115.0</v>
      </c>
      <c r="H281" s="178">
        <v>20315.0</v>
      </c>
      <c r="I281" s="30">
        <f t="shared" si="9"/>
        <v>29955</v>
      </c>
      <c r="J281" s="31"/>
      <c r="K281" s="39"/>
      <c r="L281" s="33"/>
      <c r="M281" s="40"/>
      <c r="N281" s="35"/>
      <c r="O281" s="33"/>
      <c r="P281" s="33"/>
      <c r="Q281" s="35"/>
      <c r="R281" s="35"/>
      <c r="S281" s="33"/>
      <c r="T281" s="36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</row>
    <row r="282">
      <c r="A282" s="38" t="s">
        <v>32</v>
      </c>
      <c r="B282" s="100">
        <v>44468.0</v>
      </c>
      <c r="C282" s="22">
        <v>96845.0</v>
      </c>
      <c r="D282" s="24">
        <v>640.0</v>
      </c>
      <c r="E282" s="25"/>
      <c r="F282" s="35">
        <f>sum(780,11745,3540)</f>
        <v>16065</v>
      </c>
      <c r="G282" s="161">
        <v>14970.0</v>
      </c>
      <c r="H282" s="199">
        <v>23715.0</v>
      </c>
      <c r="I282" s="30">
        <f t="shared" si="9"/>
        <v>42095</v>
      </c>
      <c r="J282" s="31"/>
      <c r="K282" s="39"/>
      <c r="L282" s="33"/>
      <c r="M282" s="40"/>
      <c r="N282" s="35"/>
      <c r="O282" s="33"/>
      <c r="P282" s="33"/>
      <c r="Q282" s="35"/>
      <c r="R282" s="35"/>
      <c r="S282" s="33"/>
      <c r="T282" s="36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</row>
    <row r="283">
      <c r="A283" s="38" t="s">
        <v>24</v>
      </c>
      <c r="B283" s="100">
        <v>44469.0</v>
      </c>
      <c r="C283" s="22">
        <v>87920.0</v>
      </c>
      <c r="D283" s="24">
        <v>2380.0</v>
      </c>
      <c r="E283" s="25">
        <v>300.0</v>
      </c>
      <c r="F283" s="35">
        <v>13680.0</v>
      </c>
      <c r="G283" s="161">
        <v>7145.0</v>
      </c>
      <c r="H283" s="199">
        <v>27725.0</v>
      </c>
      <c r="I283" s="30">
        <f t="shared" si="9"/>
        <v>39370</v>
      </c>
      <c r="J283" s="31"/>
      <c r="K283" s="32" t="s">
        <v>3658</v>
      </c>
      <c r="L283" s="33"/>
      <c r="M283" s="40"/>
      <c r="N283" s="35"/>
      <c r="O283" s="33"/>
      <c r="P283" s="33"/>
      <c r="Q283" s="35"/>
      <c r="R283" s="35"/>
      <c r="S283" s="33"/>
      <c r="T283" s="36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</row>
    <row r="284">
      <c r="A284" s="93" t="s">
        <v>28</v>
      </c>
      <c r="B284" s="100"/>
      <c r="C284" s="95">
        <f>SUM(C254:C283)</f>
        <v>2275274</v>
      </c>
      <c r="D284" s="95"/>
      <c r="E284" s="95"/>
      <c r="F284" s="95"/>
      <c r="G284" s="866"/>
      <c r="H284" s="810"/>
      <c r="I284" s="30">
        <f t="shared" si="9"/>
        <v>2275274</v>
      </c>
      <c r="J284" s="203"/>
      <c r="K284" s="172"/>
      <c r="L284" s="173"/>
      <c r="M284" s="174"/>
      <c r="N284" s="175"/>
      <c r="O284" s="173"/>
      <c r="P284" s="173"/>
      <c r="Q284" s="175"/>
      <c r="R284" s="175"/>
      <c r="S284" s="33"/>
      <c r="T284" s="36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</row>
    <row r="285">
      <c r="A285" s="38" t="s">
        <v>25</v>
      </c>
      <c r="B285" s="100">
        <v>44470.0</v>
      </c>
      <c r="C285" s="22">
        <v>82735.0</v>
      </c>
      <c r="D285" s="24">
        <v>370.0</v>
      </c>
      <c r="E285" s="25">
        <v>400.0</v>
      </c>
      <c r="F285" s="35">
        <f>sum(7375,10410,1265)</f>
        <v>19050</v>
      </c>
      <c r="G285" s="161">
        <v>7250.0</v>
      </c>
      <c r="H285" s="29">
        <v>24440.0</v>
      </c>
      <c r="I285" s="30">
        <f t="shared" si="9"/>
        <v>31995</v>
      </c>
      <c r="J285" s="49">
        <v>14000.0</v>
      </c>
      <c r="K285" s="39"/>
      <c r="L285" s="33"/>
      <c r="M285" s="40"/>
      <c r="N285" s="35"/>
      <c r="O285" s="33"/>
      <c r="P285" s="33"/>
      <c r="Q285" s="35"/>
      <c r="R285" s="35"/>
      <c r="S285" s="33"/>
      <c r="T285" s="36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</row>
    <row r="286">
      <c r="A286" s="38" t="s">
        <v>26</v>
      </c>
      <c r="B286" s="100">
        <v>44471.0</v>
      </c>
      <c r="C286" s="22">
        <v>86687.0</v>
      </c>
      <c r="D286" s="24">
        <v>1930.0</v>
      </c>
      <c r="E286" s="25">
        <v>900.0</v>
      </c>
      <c r="F286" s="35">
        <v>25670.0</v>
      </c>
      <c r="G286" s="161">
        <v>5530.0</v>
      </c>
      <c r="H286" s="29">
        <v>19240.0</v>
      </c>
      <c r="I286" s="30">
        <f t="shared" si="9"/>
        <v>36247</v>
      </c>
      <c r="J286" s="31"/>
      <c r="K286" s="39"/>
      <c r="L286" s="33"/>
      <c r="M286" s="40"/>
      <c r="N286" s="35"/>
      <c r="O286" s="33"/>
      <c r="P286" s="33"/>
      <c r="Q286" s="35"/>
      <c r="R286" s="35"/>
      <c r="S286" s="33"/>
      <c r="T286" s="36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</row>
    <row r="287">
      <c r="A287" s="150" t="s">
        <v>27</v>
      </c>
      <c r="B287" s="100">
        <v>44472.0</v>
      </c>
      <c r="C287" s="160"/>
      <c r="D287" s="160"/>
      <c r="E287" s="160"/>
      <c r="F287" s="160"/>
      <c r="G287" s="161"/>
      <c r="H287" s="199"/>
      <c r="I287" s="30">
        <f t="shared" si="9"/>
        <v>0</v>
      </c>
      <c r="J287" s="31"/>
      <c r="K287" s="39"/>
      <c r="L287" s="33"/>
      <c r="M287" s="40"/>
      <c r="N287" s="35"/>
      <c r="O287" s="33"/>
      <c r="P287" s="33"/>
      <c r="Q287" s="35"/>
      <c r="R287" s="35"/>
      <c r="S287" s="33"/>
      <c r="T287" s="36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</row>
    <row r="288">
      <c r="A288" s="38" t="s">
        <v>21</v>
      </c>
      <c r="B288" s="100">
        <v>44473.0</v>
      </c>
      <c r="C288" s="22">
        <v>83220.0</v>
      </c>
      <c r="D288" s="24">
        <v>1890.0</v>
      </c>
      <c r="E288" s="25">
        <v>200.0</v>
      </c>
      <c r="F288" s="35">
        <v>16005.0</v>
      </c>
      <c r="G288" s="161">
        <v>10970.0</v>
      </c>
      <c r="H288" s="29">
        <v>19600.0</v>
      </c>
      <c r="I288" s="30">
        <f t="shared" si="9"/>
        <v>36645</v>
      </c>
      <c r="J288" s="31"/>
      <c r="K288" s="32" t="s">
        <v>3659</v>
      </c>
      <c r="L288" s="33"/>
      <c r="M288" s="40"/>
      <c r="N288" s="35"/>
      <c r="O288" s="33"/>
      <c r="P288" s="33"/>
      <c r="Q288" s="35"/>
      <c r="R288" s="35"/>
      <c r="S288" s="33"/>
      <c r="T288" s="36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</row>
    <row r="289">
      <c r="A289" s="38" t="s">
        <v>22</v>
      </c>
      <c r="B289" s="100">
        <v>44474.0</v>
      </c>
      <c r="C289" s="22">
        <v>89060.0</v>
      </c>
      <c r="D289" s="24"/>
      <c r="E289" s="25"/>
      <c r="F289" s="35">
        <v>15285.0</v>
      </c>
      <c r="G289" s="161">
        <v>9040.0</v>
      </c>
      <c r="H289" s="29">
        <v>19990.0</v>
      </c>
      <c r="I289" s="30">
        <f t="shared" si="9"/>
        <v>44745</v>
      </c>
      <c r="J289" s="31"/>
      <c r="K289" s="32" t="s">
        <v>3660</v>
      </c>
      <c r="L289" s="33"/>
      <c r="M289" s="40"/>
      <c r="N289" s="35"/>
      <c r="O289" s="33"/>
      <c r="P289" s="33"/>
      <c r="Q289" s="35"/>
      <c r="R289" s="35"/>
      <c r="S289" s="33"/>
      <c r="T289" s="36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</row>
    <row r="290">
      <c r="A290" s="38" t="s">
        <v>32</v>
      </c>
      <c r="B290" s="100">
        <v>44475.0</v>
      </c>
      <c r="C290" s="22">
        <v>99250.0</v>
      </c>
      <c r="D290" s="24">
        <v>790.0</v>
      </c>
      <c r="E290" s="25"/>
      <c r="F290" s="35">
        <v>15085.0</v>
      </c>
      <c r="G290" s="161">
        <v>15590.0</v>
      </c>
      <c r="H290" s="29">
        <v>27010.0</v>
      </c>
      <c r="I290" s="30">
        <f t="shared" si="9"/>
        <v>41565</v>
      </c>
      <c r="J290" s="31"/>
      <c r="K290" s="32" t="s">
        <v>3661</v>
      </c>
      <c r="L290" s="33"/>
      <c r="M290" s="40"/>
      <c r="N290" s="35"/>
      <c r="O290" s="33"/>
      <c r="P290" s="33"/>
      <c r="Q290" s="35"/>
      <c r="R290" s="35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</row>
    <row r="291">
      <c r="A291" s="38" t="s">
        <v>24</v>
      </c>
      <c r="B291" s="100">
        <v>44476.0</v>
      </c>
      <c r="C291" s="22">
        <v>102255.0</v>
      </c>
      <c r="D291" s="24">
        <v>1590.0</v>
      </c>
      <c r="E291" s="25"/>
      <c r="F291" s="35">
        <v>18660.0</v>
      </c>
      <c r="G291" s="161">
        <v>11990.0</v>
      </c>
      <c r="H291" s="29">
        <v>24710.0</v>
      </c>
      <c r="I291" s="30">
        <f t="shared" si="9"/>
        <v>46895</v>
      </c>
      <c r="J291" s="31"/>
      <c r="K291" s="39"/>
      <c r="L291" s="33"/>
      <c r="M291" s="40"/>
      <c r="N291" s="35"/>
      <c r="O291" s="33"/>
      <c r="P291" s="33"/>
      <c r="Q291" s="35"/>
      <c r="R291" s="35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</row>
    <row r="292">
      <c r="A292" s="38" t="s">
        <v>25</v>
      </c>
      <c r="B292" s="100">
        <v>44477.0</v>
      </c>
      <c r="C292" s="22">
        <v>73620.0</v>
      </c>
      <c r="D292" s="24">
        <v>1070.0</v>
      </c>
      <c r="E292" s="25">
        <v>400.0</v>
      </c>
      <c r="F292" s="35">
        <f>SUM(240,12235,970)</f>
        <v>13445</v>
      </c>
      <c r="G292" s="161">
        <v>5055.0</v>
      </c>
      <c r="H292" s="29">
        <v>17405.0</v>
      </c>
      <c r="I292" s="30">
        <f t="shared" si="9"/>
        <v>37715</v>
      </c>
      <c r="J292" s="31"/>
      <c r="K292" s="39"/>
      <c r="L292" s="33"/>
      <c r="M292" s="40"/>
      <c r="N292" s="35"/>
      <c r="O292" s="33"/>
      <c r="P292" s="33"/>
      <c r="Q292" s="35"/>
      <c r="R292" s="35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</row>
    <row r="293">
      <c r="A293" s="38" t="s">
        <v>33</v>
      </c>
      <c r="B293" s="100">
        <v>44478.0</v>
      </c>
      <c r="C293" s="22">
        <v>68845.0</v>
      </c>
      <c r="D293" s="24"/>
      <c r="E293" s="25">
        <v>1300.0</v>
      </c>
      <c r="F293" s="35">
        <v>20480.0</v>
      </c>
      <c r="G293" s="161">
        <v>9320.0</v>
      </c>
      <c r="H293" s="29">
        <v>17175.0</v>
      </c>
      <c r="I293" s="30">
        <f t="shared" si="9"/>
        <v>21870</v>
      </c>
      <c r="J293" s="31"/>
      <c r="K293" s="39"/>
      <c r="L293" s="33"/>
      <c r="M293" s="40"/>
      <c r="N293" s="35"/>
      <c r="O293" s="33"/>
      <c r="P293" s="33"/>
      <c r="Q293" s="35"/>
      <c r="R293" s="35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</row>
    <row r="294">
      <c r="A294" s="150" t="s">
        <v>27</v>
      </c>
      <c r="B294" s="100">
        <v>44479.0</v>
      </c>
      <c r="C294" s="167"/>
      <c r="D294" s="167"/>
      <c r="E294" s="167"/>
      <c r="F294" s="167"/>
      <c r="G294" s="865"/>
      <c r="H294" s="164"/>
      <c r="I294" s="30">
        <f t="shared" si="9"/>
        <v>0</v>
      </c>
      <c r="J294" s="811"/>
      <c r="K294" s="206"/>
      <c r="L294" s="40"/>
      <c r="M294" s="40"/>
      <c r="N294" s="34"/>
      <c r="O294" s="40"/>
      <c r="P294" s="40"/>
      <c r="Q294" s="34"/>
      <c r="R294" s="34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  <c r="AG294" s="207"/>
    </row>
    <row r="295">
      <c r="A295" s="38" t="s">
        <v>21</v>
      </c>
      <c r="B295" s="100">
        <v>44482.0</v>
      </c>
      <c r="C295" s="22">
        <v>85880.0</v>
      </c>
      <c r="D295" s="24">
        <v>1890.0</v>
      </c>
      <c r="E295" s="25">
        <v>1000.0</v>
      </c>
      <c r="F295" s="35">
        <v>21560.0</v>
      </c>
      <c r="G295" s="161">
        <v>7305.0</v>
      </c>
      <c r="H295" s="29">
        <v>22025.0</v>
      </c>
      <c r="I295" s="30">
        <f t="shared" si="9"/>
        <v>34990</v>
      </c>
      <c r="J295" s="31"/>
      <c r="K295" s="32" t="s">
        <v>3662</v>
      </c>
      <c r="L295" s="33"/>
      <c r="M295" s="40"/>
      <c r="N295" s="35"/>
      <c r="O295" s="33"/>
      <c r="P295" s="33"/>
      <c r="Q295" s="35"/>
      <c r="R295" s="35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</row>
    <row r="296">
      <c r="A296" s="38" t="s">
        <v>22</v>
      </c>
      <c r="B296" s="100">
        <v>44483.0</v>
      </c>
      <c r="C296" s="22">
        <v>85480.0</v>
      </c>
      <c r="D296" s="24">
        <v>780.0</v>
      </c>
      <c r="E296" s="25">
        <v>200.0</v>
      </c>
      <c r="F296" s="35">
        <f>sum(1650,1160,7470,380)</f>
        <v>10660</v>
      </c>
      <c r="G296" s="161">
        <v>10785.0</v>
      </c>
      <c r="H296" s="29">
        <v>16190.0</v>
      </c>
      <c r="I296" s="30">
        <f t="shared" si="9"/>
        <v>47845</v>
      </c>
      <c r="J296" s="31"/>
      <c r="K296" s="32" t="s">
        <v>3663</v>
      </c>
      <c r="L296" s="33"/>
      <c r="M296" s="40"/>
      <c r="N296" s="35"/>
      <c r="O296" s="33"/>
      <c r="P296" s="33"/>
      <c r="Q296" s="35"/>
      <c r="R296" s="35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</row>
    <row r="297">
      <c r="A297" s="38" t="s">
        <v>32</v>
      </c>
      <c r="B297" s="100">
        <v>44484.0</v>
      </c>
      <c r="C297" s="22">
        <v>102940.0</v>
      </c>
      <c r="D297" s="24">
        <v>690.0</v>
      </c>
      <c r="E297" s="25">
        <v>200.0</v>
      </c>
      <c r="F297" s="35">
        <f>SUM(770,23300,2680)</f>
        <v>26750</v>
      </c>
      <c r="G297" s="161">
        <v>8335.0</v>
      </c>
      <c r="H297" s="29">
        <v>26285.0</v>
      </c>
      <c r="I297" s="30">
        <f t="shared" si="9"/>
        <v>41570</v>
      </c>
      <c r="J297" s="31"/>
      <c r="K297" s="39"/>
      <c r="L297" s="33"/>
      <c r="M297" s="40"/>
      <c r="N297" s="35"/>
      <c r="O297" s="33"/>
      <c r="P297" s="33"/>
      <c r="Q297" s="35"/>
      <c r="R297" s="35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</row>
    <row r="298">
      <c r="A298" s="38" t="s">
        <v>24</v>
      </c>
      <c r="B298" s="100">
        <v>44485.0</v>
      </c>
      <c r="C298" s="22">
        <v>107135.0</v>
      </c>
      <c r="D298" s="24">
        <v>2000.0</v>
      </c>
      <c r="E298" s="25">
        <v>800.0</v>
      </c>
      <c r="F298" s="35">
        <v>19310.0</v>
      </c>
      <c r="G298" s="161">
        <v>13045.0</v>
      </c>
      <c r="H298" s="29">
        <v>22040.0</v>
      </c>
      <c r="I298" s="30">
        <f t="shared" si="9"/>
        <v>52740</v>
      </c>
      <c r="J298" s="31"/>
      <c r="K298" s="32" t="s">
        <v>3664</v>
      </c>
      <c r="L298" s="33"/>
      <c r="M298" s="40"/>
      <c r="N298" s="35"/>
      <c r="O298" s="33"/>
      <c r="P298" s="33"/>
      <c r="Q298" s="35"/>
      <c r="R298" s="35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</row>
    <row r="299">
      <c r="A299" s="38" t="s">
        <v>25</v>
      </c>
      <c r="B299" s="100">
        <v>44486.0</v>
      </c>
      <c r="C299" s="22">
        <v>94935.0</v>
      </c>
      <c r="D299" s="24">
        <v>1160.0</v>
      </c>
      <c r="E299" s="25">
        <v>900.0</v>
      </c>
      <c r="F299" s="35">
        <f>sum(9595,2280,6030,1260)</f>
        <v>19165</v>
      </c>
      <c r="G299" s="161">
        <v>8310.0</v>
      </c>
      <c r="H299" s="29">
        <v>24265.0</v>
      </c>
      <c r="I299" s="30">
        <f t="shared" si="9"/>
        <v>43195</v>
      </c>
      <c r="J299" s="31"/>
      <c r="K299" s="39"/>
      <c r="L299" s="33"/>
      <c r="M299" s="40"/>
      <c r="N299" s="35"/>
      <c r="O299" s="33"/>
      <c r="P299" s="33"/>
      <c r="Q299" s="35"/>
      <c r="R299" s="35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</row>
    <row r="300">
      <c r="A300" s="38" t="s">
        <v>33</v>
      </c>
      <c r="B300" s="100">
        <v>44487.0</v>
      </c>
      <c r="C300" s="22">
        <v>122970.0</v>
      </c>
      <c r="D300" s="24">
        <v>1920.0</v>
      </c>
      <c r="E300" s="25">
        <v>1100.0</v>
      </c>
      <c r="F300" s="35">
        <v>16890.0</v>
      </c>
      <c r="G300" s="161">
        <v>5935.0</v>
      </c>
      <c r="H300" s="29">
        <v>48120.0</v>
      </c>
      <c r="I300" s="30">
        <f t="shared" si="9"/>
        <v>52025</v>
      </c>
      <c r="J300" s="31"/>
      <c r="K300" s="32" t="s">
        <v>3665</v>
      </c>
      <c r="L300" s="33"/>
      <c r="M300" s="40"/>
      <c r="N300" s="35"/>
      <c r="O300" s="33"/>
      <c r="P300" s="33"/>
      <c r="Q300" s="35"/>
      <c r="R300" s="35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</row>
    <row r="301">
      <c r="A301" s="219" t="s">
        <v>27</v>
      </c>
      <c r="B301" s="864"/>
      <c r="C301" s="32"/>
      <c r="D301" s="32"/>
      <c r="E301" s="32"/>
      <c r="F301" s="32"/>
      <c r="G301" s="39"/>
      <c r="H301" s="32"/>
      <c r="I301" s="32">
        <f t="shared" si="9"/>
        <v>0</v>
      </c>
      <c r="J301" s="31"/>
      <c r="K301" s="39"/>
      <c r="L301" s="33"/>
      <c r="M301" s="40"/>
      <c r="N301" s="35"/>
      <c r="O301" s="33"/>
      <c r="P301" s="33"/>
      <c r="Q301" s="35"/>
      <c r="R301" s="35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</row>
    <row r="302">
      <c r="A302" s="38" t="s">
        <v>21</v>
      </c>
      <c r="B302" s="100">
        <v>44487.0</v>
      </c>
      <c r="C302" s="22">
        <v>88445.0</v>
      </c>
      <c r="D302" s="24">
        <v>2250.0</v>
      </c>
      <c r="E302" s="25">
        <v>200.0</v>
      </c>
      <c r="F302" s="35">
        <v>21155.0</v>
      </c>
      <c r="G302" s="161">
        <v>8940.0</v>
      </c>
      <c r="H302" s="29">
        <v>24490.0</v>
      </c>
      <c r="I302" s="30">
        <f t="shared" si="9"/>
        <v>33860</v>
      </c>
      <c r="J302" s="31"/>
      <c r="K302" s="32" t="s">
        <v>3666</v>
      </c>
      <c r="L302" s="33"/>
      <c r="M302" s="40"/>
      <c r="N302" s="35"/>
      <c r="O302" s="33"/>
      <c r="P302" s="33"/>
      <c r="Q302" s="35"/>
      <c r="R302" s="35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</row>
    <row r="303">
      <c r="A303" s="38" t="s">
        <v>22</v>
      </c>
      <c r="B303" s="100">
        <v>44488.0</v>
      </c>
      <c r="C303" s="22">
        <v>74840.0</v>
      </c>
      <c r="D303" s="24">
        <v>530.0</v>
      </c>
      <c r="E303" s="25">
        <v>500.0</v>
      </c>
      <c r="F303" s="35">
        <v>12580.0</v>
      </c>
      <c r="G303" s="161">
        <v>7860.0</v>
      </c>
      <c r="H303" s="29">
        <v>16930.0</v>
      </c>
      <c r="I303" s="30">
        <f t="shared" si="9"/>
        <v>37470</v>
      </c>
      <c r="J303" s="49">
        <v>3000.0</v>
      </c>
      <c r="K303" s="32" t="s">
        <v>3667</v>
      </c>
      <c r="L303" s="33"/>
      <c r="M303" s="40"/>
      <c r="N303" s="35"/>
      <c r="O303" s="33"/>
      <c r="P303" s="33"/>
      <c r="Q303" s="35"/>
      <c r="R303" s="35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</row>
    <row r="304">
      <c r="A304" s="38" t="s">
        <v>32</v>
      </c>
      <c r="B304" s="100">
        <v>44489.0</v>
      </c>
      <c r="C304" s="80">
        <v>84915.0</v>
      </c>
      <c r="D304" s="24">
        <v>1070.0</v>
      </c>
      <c r="E304" s="25">
        <v>500.0</v>
      </c>
      <c r="F304" s="35">
        <f>SUM(6915,365,12232,800,580)</f>
        <v>20892</v>
      </c>
      <c r="G304" s="161">
        <v>6945.0</v>
      </c>
      <c r="H304" s="29">
        <v>15600.0</v>
      </c>
      <c r="I304" s="30">
        <f t="shared" si="9"/>
        <v>41478</v>
      </c>
      <c r="J304" s="31"/>
      <c r="K304" s="32" t="s">
        <v>3668</v>
      </c>
      <c r="L304" s="33"/>
      <c r="M304" s="40"/>
      <c r="N304" s="35"/>
      <c r="O304" s="33"/>
      <c r="P304" s="33"/>
      <c r="Q304" s="35"/>
      <c r="R304" s="35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</row>
    <row r="305">
      <c r="A305" s="38" t="s">
        <v>24</v>
      </c>
      <c r="B305" s="100">
        <v>44490.0</v>
      </c>
      <c r="C305" s="22">
        <v>101180.0</v>
      </c>
      <c r="D305" s="24">
        <v>2010.0</v>
      </c>
      <c r="E305" s="25"/>
      <c r="F305" s="35">
        <v>19020.0</v>
      </c>
      <c r="G305" s="161">
        <v>10875.0</v>
      </c>
      <c r="H305" s="29">
        <v>19910.0</v>
      </c>
      <c r="I305" s="30">
        <f t="shared" si="9"/>
        <v>51375</v>
      </c>
      <c r="J305" s="31"/>
      <c r="K305" s="32" t="s">
        <v>3669</v>
      </c>
      <c r="L305" s="33"/>
      <c r="M305" s="40"/>
      <c r="N305" s="35"/>
      <c r="O305" s="33"/>
      <c r="P305" s="33"/>
      <c r="Q305" s="35"/>
      <c r="R305" s="35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</row>
    <row r="306">
      <c r="A306" s="38" t="s">
        <v>25</v>
      </c>
      <c r="B306" s="100">
        <v>44491.0</v>
      </c>
      <c r="C306" s="22">
        <v>99845.0</v>
      </c>
      <c r="D306" s="24">
        <v>530.0</v>
      </c>
      <c r="E306" s="25"/>
      <c r="F306" s="35">
        <f>sum(2800,15165,350)</f>
        <v>18315</v>
      </c>
      <c r="G306" s="161">
        <v>8170.0</v>
      </c>
      <c r="H306" s="29">
        <v>26835.0</v>
      </c>
      <c r="I306" s="30">
        <f t="shared" si="9"/>
        <v>46525</v>
      </c>
      <c r="J306" s="31"/>
      <c r="K306" s="39"/>
      <c r="L306" s="33"/>
      <c r="M306" s="40"/>
      <c r="N306" s="35"/>
      <c r="O306" s="33"/>
      <c r="P306" s="33"/>
      <c r="Q306" s="35"/>
      <c r="R306" s="35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</row>
    <row r="307">
      <c r="A307" s="38" t="s">
        <v>33</v>
      </c>
      <c r="B307" s="100">
        <v>44492.0</v>
      </c>
      <c r="C307" s="22">
        <v>107837.0</v>
      </c>
      <c r="D307" s="24">
        <v>2190.0</v>
      </c>
      <c r="E307" s="25">
        <v>1100.0</v>
      </c>
      <c r="F307" s="35">
        <v>24890.0</v>
      </c>
      <c r="G307" s="161">
        <v>13920.0</v>
      </c>
      <c r="H307" s="29">
        <v>28500.0</v>
      </c>
      <c r="I307" s="30">
        <f t="shared" si="9"/>
        <v>40527</v>
      </c>
      <c r="J307" s="31"/>
      <c r="K307" s="32" t="s">
        <v>3670</v>
      </c>
      <c r="L307" s="33"/>
      <c r="M307" s="40"/>
      <c r="N307" s="35"/>
      <c r="O307" s="33"/>
      <c r="P307" s="33"/>
      <c r="Q307" s="35"/>
      <c r="R307" s="35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</row>
    <row r="308">
      <c r="A308" s="219" t="s">
        <v>27</v>
      </c>
      <c r="B308" s="864"/>
      <c r="C308" s="32"/>
      <c r="D308" s="32"/>
      <c r="E308" s="32"/>
      <c r="F308" s="32"/>
      <c r="G308" s="32"/>
      <c r="H308" s="32"/>
      <c r="I308" s="32">
        <f t="shared" si="9"/>
        <v>0</v>
      </c>
      <c r="J308" s="31"/>
      <c r="K308" s="39"/>
      <c r="L308" s="33"/>
      <c r="M308" s="40"/>
      <c r="N308" s="35"/>
      <c r="O308" s="33"/>
      <c r="P308" s="33"/>
      <c r="Q308" s="35"/>
      <c r="R308" s="35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</row>
    <row r="309">
      <c r="A309" s="38" t="s">
        <v>21</v>
      </c>
      <c r="B309" s="100">
        <v>44494.0</v>
      </c>
      <c r="C309" s="22">
        <v>61971.0</v>
      </c>
      <c r="D309" s="24">
        <v>2220.0</v>
      </c>
      <c r="E309" s="25">
        <v>500.0</v>
      </c>
      <c r="F309" s="35">
        <v>15035.0</v>
      </c>
      <c r="G309" s="161">
        <v>8475.0</v>
      </c>
      <c r="H309" s="29">
        <v>14100.0</v>
      </c>
      <c r="I309" s="30">
        <f t="shared" si="9"/>
        <v>24361</v>
      </c>
      <c r="J309" s="31"/>
      <c r="K309" s="32" t="s">
        <v>3671</v>
      </c>
      <c r="L309" s="33"/>
      <c r="M309" s="40"/>
      <c r="N309" s="35"/>
      <c r="O309" s="33"/>
      <c r="P309" s="33"/>
      <c r="Q309" s="35"/>
      <c r="R309" s="35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</row>
    <row r="310">
      <c r="A310" s="38" t="s">
        <v>22</v>
      </c>
      <c r="B310" s="100">
        <v>44495.0</v>
      </c>
      <c r="C310" s="22">
        <v>71715.0</v>
      </c>
      <c r="D310" s="24"/>
      <c r="E310" s="25"/>
      <c r="F310" s="35">
        <v>10015.0</v>
      </c>
      <c r="G310" s="161">
        <v>5645.0</v>
      </c>
      <c r="H310" s="29">
        <v>19775.0</v>
      </c>
      <c r="I310" s="30">
        <f t="shared" si="9"/>
        <v>36280</v>
      </c>
      <c r="J310" s="31"/>
      <c r="K310" s="32" t="s">
        <v>3672</v>
      </c>
      <c r="L310" s="33"/>
      <c r="M310" s="40"/>
      <c r="N310" s="35"/>
      <c r="O310" s="33"/>
      <c r="P310" s="33"/>
      <c r="Q310" s="35"/>
      <c r="R310" s="35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</row>
    <row r="311">
      <c r="A311" s="38" t="s">
        <v>32</v>
      </c>
      <c r="B311" s="100">
        <v>44496.0</v>
      </c>
      <c r="C311" s="22">
        <v>88045.0</v>
      </c>
      <c r="D311" s="24">
        <v>820.0</v>
      </c>
      <c r="E311" s="25"/>
      <c r="F311" s="35">
        <f>SUM(20780,2865)</f>
        <v>23645</v>
      </c>
      <c r="G311" s="161">
        <v>8355.0</v>
      </c>
      <c r="H311" s="29">
        <v>15050.0</v>
      </c>
      <c r="I311" s="30">
        <f t="shared" si="9"/>
        <v>40995</v>
      </c>
      <c r="J311" s="49">
        <v>6000.0</v>
      </c>
      <c r="K311" s="39"/>
      <c r="L311" s="33"/>
      <c r="M311" s="40"/>
      <c r="N311" s="35"/>
      <c r="O311" s="33"/>
      <c r="P311" s="33"/>
      <c r="Q311" s="35"/>
      <c r="R311" s="35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</row>
    <row r="312">
      <c r="A312" s="38" t="s">
        <v>24</v>
      </c>
      <c r="B312" s="100">
        <v>44497.0</v>
      </c>
      <c r="C312" s="22">
        <v>84290.0</v>
      </c>
      <c r="D312" s="24">
        <v>1970.0</v>
      </c>
      <c r="E312" s="25"/>
      <c r="F312" s="35">
        <v>16680.0</v>
      </c>
      <c r="G312" s="161">
        <v>6335.0</v>
      </c>
      <c r="H312" s="29">
        <v>18110.0</v>
      </c>
      <c r="I312" s="30">
        <f t="shared" si="9"/>
        <v>43165</v>
      </c>
      <c r="J312" s="31"/>
      <c r="K312" s="32" t="s">
        <v>3673</v>
      </c>
      <c r="L312" s="33"/>
      <c r="M312" s="40"/>
      <c r="N312" s="35"/>
      <c r="O312" s="33"/>
      <c r="P312" s="33"/>
      <c r="Q312" s="35"/>
      <c r="R312" s="35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</row>
    <row r="313">
      <c r="A313" s="38" t="s">
        <v>25</v>
      </c>
      <c r="B313" s="100">
        <v>44498.0</v>
      </c>
      <c r="C313" s="22">
        <v>119375.0</v>
      </c>
      <c r="D313" s="24">
        <v>1120.0</v>
      </c>
      <c r="E313" s="25"/>
      <c r="F313" s="35">
        <v>24160.0</v>
      </c>
      <c r="G313" s="161">
        <v>18870.0</v>
      </c>
      <c r="H313" s="29">
        <v>27045.0</v>
      </c>
      <c r="I313" s="30">
        <v>48520.0</v>
      </c>
      <c r="J313" s="49">
        <v>7000.0</v>
      </c>
      <c r="K313" s="39"/>
      <c r="L313" s="33"/>
      <c r="M313" s="40"/>
      <c r="N313" s="35"/>
      <c r="O313" s="33"/>
      <c r="P313" s="33"/>
      <c r="Q313" s="35"/>
      <c r="R313" s="35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</row>
    <row r="314">
      <c r="A314" s="38" t="s">
        <v>33</v>
      </c>
      <c r="B314" s="100">
        <v>44499.0</v>
      </c>
      <c r="C314" s="22">
        <v>77395.0</v>
      </c>
      <c r="D314" s="24">
        <v>1980.0</v>
      </c>
      <c r="E314" s="25"/>
      <c r="F314" s="35">
        <v>17620.0</v>
      </c>
      <c r="G314" s="161">
        <v>7685.0</v>
      </c>
      <c r="H314" s="29">
        <v>19475.0</v>
      </c>
      <c r="I314" s="30">
        <f t="shared" ref="I314:I341" si="10">SUM(C314-F314-G314-H314)</f>
        <v>32615</v>
      </c>
      <c r="J314" s="31"/>
      <c r="K314" s="32" t="s">
        <v>3674</v>
      </c>
      <c r="L314" s="33"/>
      <c r="M314" s="40"/>
      <c r="N314" s="35"/>
      <c r="O314" s="33"/>
      <c r="P314" s="33"/>
      <c r="Q314" s="35"/>
      <c r="R314" s="35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</row>
    <row r="315">
      <c r="A315" s="93" t="s">
        <v>28</v>
      </c>
      <c r="B315" s="627"/>
      <c r="C315" s="95">
        <f>SUM(C285:C314)</f>
        <v>2344865</v>
      </c>
      <c r="D315" s="95"/>
      <c r="E315" s="95"/>
      <c r="F315" s="95"/>
      <c r="G315" s="95"/>
      <c r="H315" s="95"/>
      <c r="I315" s="73">
        <f t="shared" si="10"/>
        <v>2344865</v>
      </c>
      <c r="J315" s="203"/>
      <c r="K315" s="172"/>
      <c r="L315" s="211"/>
      <c r="M315" s="174"/>
      <c r="N315" s="175"/>
      <c r="O315" s="173"/>
      <c r="P315" s="173"/>
      <c r="Q315" s="211"/>
      <c r="R315" s="211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</row>
    <row r="316">
      <c r="A316" s="219" t="s">
        <v>27</v>
      </c>
      <c r="B316" s="864">
        <v>44502.0</v>
      </c>
      <c r="C316" s="32"/>
      <c r="D316" s="32"/>
      <c r="E316" s="32"/>
      <c r="F316" s="32"/>
      <c r="G316" s="32"/>
      <c r="H316" s="32"/>
      <c r="I316" s="32">
        <f t="shared" si="10"/>
        <v>0</v>
      </c>
      <c r="J316" s="39"/>
      <c r="K316" s="39"/>
      <c r="L316" s="39"/>
      <c r="M316" s="206"/>
      <c r="N316" s="32"/>
      <c r="O316" s="39"/>
      <c r="P316" s="39"/>
      <c r="Q316" s="32"/>
      <c r="R316" s="32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</row>
    <row r="317">
      <c r="A317" s="38" t="s">
        <v>21</v>
      </c>
      <c r="B317" s="100">
        <v>44501.0</v>
      </c>
      <c r="C317" s="161">
        <v>92500.0</v>
      </c>
      <c r="D317" s="24">
        <v>2110.0</v>
      </c>
      <c r="E317" s="25">
        <v>500.0</v>
      </c>
      <c r="F317" s="35">
        <v>11620.0</v>
      </c>
      <c r="G317" s="161"/>
      <c r="H317" s="29">
        <v>27165.0</v>
      </c>
      <c r="I317" s="30">
        <f t="shared" si="10"/>
        <v>53715</v>
      </c>
      <c r="J317" s="31"/>
      <c r="K317" s="32" t="s">
        <v>3675</v>
      </c>
      <c r="L317" s="33"/>
      <c r="M317" s="40"/>
      <c r="N317" s="35"/>
      <c r="O317" s="33"/>
      <c r="P317" s="33"/>
      <c r="Q317" s="35"/>
      <c r="R317" s="35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</row>
    <row r="318">
      <c r="A318" s="38" t="s">
        <v>22</v>
      </c>
      <c r="B318" s="100">
        <v>44502.0</v>
      </c>
      <c r="C318" s="22">
        <v>97805.0</v>
      </c>
      <c r="D318" s="24">
        <v>910.0</v>
      </c>
      <c r="E318" s="25">
        <v>600.0</v>
      </c>
      <c r="F318" s="35">
        <f>sum(380,16300,890)</f>
        <v>17570</v>
      </c>
      <c r="G318" s="161">
        <v>9710.0</v>
      </c>
      <c r="H318" s="29">
        <v>27865.0</v>
      </c>
      <c r="I318" s="30">
        <f t="shared" si="10"/>
        <v>42660</v>
      </c>
      <c r="J318" s="49">
        <v>10000.0</v>
      </c>
      <c r="K318" s="39"/>
      <c r="L318" s="33"/>
      <c r="M318" s="40"/>
      <c r="N318" s="35"/>
      <c r="O318" s="33"/>
      <c r="P318" s="33"/>
      <c r="Q318" s="35"/>
      <c r="R318" s="35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</row>
    <row r="319">
      <c r="A319" s="38" t="s">
        <v>32</v>
      </c>
      <c r="B319" s="100">
        <v>44503.0</v>
      </c>
      <c r="C319" s="22">
        <v>107577.0</v>
      </c>
      <c r="D319" s="24">
        <v>2360.0</v>
      </c>
      <c r="E319" s="25">
        <v>300.0</v>
      </c>
      <c r="F319" s="35">
        <v>22060.0</v>
      </c>
      <c r="G319" s="161">
        <v>11430.0</v>
      </c>
      <c r="H319" s="29">
        <v>26860.0</v>
      </c>
      <c r="I319" s="30">
        <f t="shared" si="10"/>
        <v>47227</v>
      </c>
      <c r="J319" s="31"/>
      <c r="K319" s="39"/>
      <c r="L319" s="33"/>
      <c r="M319" s="40"/>
      <c r="N319" s="35"/>
      <c r="O319" s="33"/>
      <c r="P319" s="33"/>
      <c r="Q319" s="35"/>
      <c r="R319" s="35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</row>
    <row r="320">
      <c r="A320" s="38" t="s">
        <v>24</v>
      </c>
      <c r="B320" s="100">
        <v>44504.0</v>
      </c>
      <c r="C320" s="22">
        <v>100955.0</v>
      </c>
      <c r="D320" s="24"/>
      <c r="E320" s="25"/>
      <c r="F320" s="35">
        <v>20650.0</v>
      </c>
      <c r="G320" s="161">
        <v>14190.0</v>
      </c>
      <c r="H320" s="29">
        <v>19930.0</v>
      </c>
      <c r="I320" s="30">
        <f t="shared" si="10"/>
        <v>46185</v>
      </c>
      <c r="J320" s="31"/>
      <c r="K320" s="32" t="s">
        <v>3676</v>
      </c>
      <c r="L320" s="33"/>
      <c r="M320" s="40"/>
      <c r="N320" s="35"/>
      <c r="O320" s="33"/>
      <c r="P320" s="33"/>
      <c r="Q320" s="35"/>
      <c r="R320" s="35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</row>
    <row r="321">
      <c r="A321" s="38" t="s">
        <v>25</v>
      </c>
      <c r="B321" s="100">
        <v>44505.0</v>
      </c>
      <c r="C321" s="22">
        <v>107835.0</v>
      </c>
      <c r="D321" s="24">
        <v>790.0</v>
      </c>
      <c r="E321" s="25">
        <v>800.0</v>
      </c>
      <c r="F321" s="35">
        <f>sum(817,8523,690,11010)</f>
        <v>21040</v>
      </c>
      <c r="G321" s="161">
        <v>8450.0</v>
      </c>
      <c r="H321" s="29">
        <v>30660.0</v>
      </c>
      <c r="I321" s="30">
        <f t="shared" si="10"/>
        <v>47685</v>
      </c>
      <c r="J321" s="49">
        <v>7000.0</v>
      </c>
      <c r="K321" s="32" t="s">
        <v>3677</v>
      </c>
      <c r="L321" s="33"/>
      <c r="M321" s="40"/>
      <c r="N321" s="35"/>
      <c r="O321" s="33"/>
      <c r="P321" s="33"/>
      <c r="Q321" s="35"/>
      <c r="R321" s="35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</row>
    <row r="322">
      <c r="A322" s="38" t="s">
        <v>33</v>
      </c>
      <c r="B322" s="100">
        <v>44506.0</v>
      </c>
      <c r="C322" s="22">
        <v>90835.0</v>
      </c>
      <c r="D322" s="24">
        <v>1910.0</v>
      </c>
      <c r="E322" s="25">
        <v>600.0</v>
      </c>
      <c r="F322" s="35">
        <v>10610.0</v>
      </c>
      <c r="G322" s="161">
        <v>12255.0</v>
      </c>
      <c r="H322" s="29">
        <v>29310.0</v>
      </c>
      <c r="I322" s="30">
        <f t="shared" si="10"/>
        <v>38660</v>
      </c>
      <c r="J322" s="31"/>
      <c r="K322" s="39"/>
      <c r="L322" s="33"/>
      <c r="M322" s="40"/>
      <c r="N322" s="35"/>
      <c r="O322" s="33"/>
      <c r="P322" s="33"/>
      <c r="Q322" s="35"/>
      <c r="R322" s="35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</row>
    <row r="323">
      <c r="A323" s="212" t="s">
        <v>27</v>
      </c>
      <c r="B323" s="875">
        <v>44507.0</v>
      </c>
      <c r="C323" s="104"/>
      <c r="D323" s="104"/>
      <c r="E323" s="104"/>
      <c r="F323" s="104"/>
      <c r="G323" s="104"/>
      <c r="H323" s="104"/>
      <c r="I323" s="104">
        <f t="shared" si="10"/>
        <v>0</v>
      </c>
      <c r="J323" s="213"/>
      <c r="K323" s="213"/>
      <c r="L323" s="213"/>
      <c r="M323" s="214"/>
      <c r="N323" s="104"/>
      <c r="O323" s="213"/>
      <c r="P323" s="213"/>
      <c r="Q323" s="104"/>
      <c r="R323" s="104"/>
      <c r="S323" s="213"/>
      <c r="T323" s="213"/>
      <c r="U323" s="213"/>
      <c r="V323" s="213"/>
      <c r="W323" s="213"/>
      <c r="X323" s="213"/>
      <c r="Y323" s="213"/>
      <c r="Z323" s="213"/>
      <c r="AA323" s="213"/>
      <c r="AB323" s="213"/>
      <c r="AC323" s="213"/>
      <c r="AD323" s="213"/>
      <c r="AE323" s="213"/>
      <c r="AF323" s="213"/>
      <c r="AG323" s="213"/>
    </row>
    <row r="324">
      <c r="A324" s="38" t="s">
        <v>21</v>
      </c>
      <c r="B324" s="100">
        <v>44508.0</v>
      </c>
      <c r="C324" s="22">
        <v>89855.0</v>
      </c>
      <c r="D324" s="24">
        <v>2320.0</v>
      </c>
      <c r="E324" s="25">
        <v>200.0</v>
      </c>
      <c r="F324" s="35">
        <v>18580.0</v>
      </c>
      <c r="G324" s="161">
        <v>9640.0</v>
      </c>
      <c r="H324" s="29">
        <v>22650.0</v>
      </c>
      <c r="I324" s="30">
        <f t="shared" si="10"/>
        <v>38985</v>
      </c>
      <c r="J324" s="31"/>
      <c r="K324" s="32" t="s">
        <v>3678</v>
      </c>
      <c r="L324" s="33"/>
      <c r="M324" s="40"/>
      <c r="N324" s="35"/>
      <c r="O324" s="33"/>
      <c r="P324" s="33"/>
      <c r="Q324" s="35"/>
      <c r="R324" s="35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</row>
    <row r="325">
      <c r="A325" s="38" t="s">
        <v>22</v>
      </c>
      <c r="B325" s="100">
        <v>44509.0</v>
      </c>
      <c r="C325" s="22">
        <v>105790.0</v>
      </c>
      <c r="D325" s="24"/>
      <c r="E325" s="25"/>
      <c r="F325" s="35">
        <v>29355.0</v>
      </c>
      <c r="G325" s="161">
        <v>6380.0</v>
      </c>
      <c r="H325" s="29">
        <v>26405.0</v>
      </c>
      <c r="I325" s="30">
        <f t="shared" si="10"/>
        <v>43650</v>
      </c>
      <c r="J325" s="31"/>
      <c r="K325" s="32" t="s">
        <v>3679</v>
      </c>
      <c r="L325" s="33"/>
      <c r="M325" s="40"/>
      <c r="N325" s="35"/>
      <c r="O325" s="33"/>
      <c r="P325" s="33"/>
      <c r="Q325" s="35"/>
      <c r="R325" s="35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</row>
    <row r="326">
      <c r="A326" s="38" t="s">
        <v>32</v>
      </c>
      <c r="B326" s="100">
        <v>44510.0</v>
      </c>
      <c r="C326" s="22">
        <v>110100.0</v>
      </c>
      <c r="D326" s="24">
        <v>1410.0</v>
      </c>
      <c r="E326" s="25">
        <v>400.0</v>
      </c>
      <c r="F326" s="35">
        <f>sum(710,12710,1300,4150)</f>
        <v>18870</v>
      </c>
      <c r="G326" s="161">
        <v>17280.0</v>
      </c>
      <c r="H326" s="29">
        <v>14520.0</v>
      </c>
      <c r="I326" s="30">
        <f t="shared" si="10"/>
        <v>59430</v>
      </c>
      <c r="J326" s="49">
        <v>12000.0</v>
      </c>
      <c r="K326" s="39"/>
      <c r="L326" s="33"/>
      <c r="M326" s="40"/>
      <c r="N326" s="35"/>
      <c r="O326" s="33"/>
      <c r="P326" s="33"/>
      <c r="Q326" s="35"/>
      <c r="R326" s="35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</row>
    <row r="327">
      <c r="A327" s="38" t="s">
        <v>24</v>
      </c>
      <c r="B327" s="100">
        <v>44511.0</v>
      </c>
      <c r="C327" s="22">
        <v>114445.0</v>
      </c>
      <c r="D327" s="24">
        <v>1920.0</v>
      </c>
      <c r="E327" s="25">
        <v>400.0</v>
      </c>
      <c r="F327" s="35">
        <f>22975+705</f>
        <v>23680</v>
      </c>
      <c r="G327" s="161">
        <v>13040.0</v>
      </c>
      <c r="H327" s="29">
        <v>28570.0</v>
      </c>
      <c r="I327" s="30">
        <f t="shared" si="10"/>
        <v>49155</v>
      </c>
      <c r="J327" s="31"/>
      <c r="K327" s="32" t="s">
        <v>3680</v>
      </c>
      <c r="L327" s="33"/>
      <c r="M327" s="40"/>
      <c r="N327" s="35"/>
      <c r="O327" s="33"/>
      <c r="P327" s="33"/>
      <c r="Q327" s="35"/>
      <c r="R327" s="35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</row>
    <row r="328">
      <c r="A328" s="38" t="s">
        <v>25</v>
      </c>
      <c r="B328" s="100">
        <v>44512.0</v>
      </c>
      <c r="C328" s="22">
        <v>110900.0</v>
      </c>
      <c r="D328" s="24">
        <v>940.0</v>
      </c>
      <c r="E328" s="25"/>
      <c r="F328" s="35">
        <f>sum(21640,4100)</f>
        <v>25740</v>
      </c>
      <c r="G328" s="161">
        <v>10290.0</v>
      </c>
      <c r="H328" s="29">
        <v>27095.0</v>
      </c>
      <c r="I328" s="30">
        <f t="shared" si="10"/>
        <v>47775</v>
      </c>
      <c r="J328" s="49">
        <v>6000.0</v>
      </c>
      <c r="K328" s="39"/>
      <c r="L328" s="33"/>
      <c r="M328" s="40"/>
      <c r="N328" s="35"/>
      <c r="O328" s="33"/>
      <c r="P328" s="33"/>
      <c r="Q328" s="35"/>
      <c r="R328" s="35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</row>
    <row r="329">
      <c r="A329" s="38" t="s">
        <v>33</v>
      </c>
      <c r="B329" s="100">
        <v>44513.0</v>
      </c>
      <c r="C329" s="22">
        <v>76205.0</v>
      </c>
      <c r="D329" s="24">
        <v>2580.0</v>
      </c>
      <c r="E329" s="25">
        <v>800.0</v>
      </c>
      <c r="F329" s="35">
        <v>18310.0</v>
      </c>
      <c r="G329" s="161">
        <v>1620.0</v>
      </c>
      <c r="H329" s="29">
        <v>23410.0</v>
      </c>
      <c r="I329" s="30">
        <f t="shared" si="10"/>
        <v>32865</v>
      </c>
      <c r="J329" s="31"/>
      <c r="K329" s="32" t="s">
        <v>3681</v>
      </c>
      <c r="L329" s="33"/>
      <c r="M329" s="40"/>
      <c r="N329" s="35"/>
      <c r="O329" s="33"/>
      <c r="P329" s="33"/>
      <c r="Q329" s="35"/>
      <c r="R329" s="35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</row>
    <row r="330">
      <c r="A330" s="150" t="s">
        <v>27</v>
      </c>
      <c r="B330" s="162">
        <v>44514.0</v>
      </c>
      <c r="C330" s="160"/>
      <c r="D330" s="160"/>
      <c r="E330" s="160"/>
      <c r="F330" s="160"/>
      <c r="G330" s="160"/>
      <c r="H330" s="160"/>
      <c r="I330" s="160">
        <f t="shared" si="10"/>
        <v>0</v>
      </c>
      <c r="J330" s="37"/>
      <c r="K330" s="37"/>
      <c r="L330" s="37"/>
      <c r="M330" s="207"/>
      <c r="N330" s="160"/>
      <c r="O330" s="37"/>
      <c r="P330" s="37"/>
      <c r="Q330" s="160"/>
      <c r="R330" s="160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</row>
    <row r="331">
      <c r="A331" s="38" t="s">
        <v>21</v>
      </c>
      <c r="B331" s="100">
        <v>44515.0</v>
      </c>
      <c r="C331" s="22">
        <v>85700.0</v>
      </c>
      <c r="D331" s="24"/>
      <c r="E331" s="25"/>
      <c r="F331" s="35">
        <v>13190.0</v>
      </c>
      <c r="G331" s="161">
        <v>11280.0</v>
      </c>
      <c r="H331" s="29">
        <v>15070.0</v>
      </c>
      <c r="I331" s="30">
        <f t="shared" si="10"/>
        <v>46160</v>
      </c>
      <c r="J331" s="31"/>
      <c r="K331" s="32" t="s">
        <v>3682</v>
      </c>
      <c r="L331" s="33"/>
      <c r="M331" s="40"/>
      <c r="N331" s="35"/>
      <c r="O331" s="33"/>
      <c r="P331" s="33"/>
      <c r="Q331" s="35"/>
      <c r="R331" s="35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</row>
    <row r="332">
      <c r="A332" s="38" t="s">
        <v>22</v>
      </c>
      <c r="B332" s="100">
        <v>44516.0</v>
      </c>
      <c r="C332" s="22">
        <v>102795.0</v>
      </c>
      <c r="D332" s="24">
        <v>1120.0</v>
      </c>
      <c r="E332" s="25">
        <v>400.0</v>
      </c>
      <c r="F332" s="35">
        <f>sum(12300,3520)</f>
        <v>15820</v>
      </c>
      <c r="G332" s="161">
        <v>16060.0</v>
      </c>
      <c r="H332" s="29">
        <v>18785.0</v>
      </c>
      <c r="I332" s="30">
        <f t="shared" si="10"/>
        <v>52130</v>
      </c>
      <c r="J332" s="31"/>
      <c r="K332" s="32" t="s">
        <v>3683</v>
      </c>
      <c r="L332" s="33"/>
      <c r="M332" s="40"/>
      <c r="N332" s="35"/>
      <c r="O332" s="33"/>
      <c r="P332" s="33"/>
      <c r="Q332" s="35"/>
      <c r="R332" s="35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</row>
    <row r="333">
      <c r="A333" s="38" t="s">
        <v>32</v>
      </c>
      <c r="B333" s="100">
        <v>44517.0</v>
      </c>
      <c r="C333" s="22">
        <v>100340.0</v>
      </c>
      <c r="D333" s="24">
        <v>2490.0</v>
      </c>
      <c r="E333" s="25">
        <v>500.0</v>
      </c>
      <c r="F333" s="35">
        <f>13450+530+5420</f>
        <v>19400</v>
      </c>
      <c r="G333" s="161">
        <v>12950.0</v>
      </c>
      <c r="H333" s="29">
        <v>22630.0</v>
      </c>
      <c r="I333" s="30">
        <f t="shared" si="10"/>
        <v>45360</v>
      </c>
      <c r="J333" s="31"/>
      <c r="K333" s="32" t="s">
        <v>3684</v>
      </c>
      <c r="L333" s="33"/>
      <c r="M333" s="40"/>
      <c r="N333" s="35"/>
      <c r="O333" s="33"/>
      <c r="P333" s="33"/>
      <c r="Q333" s="35"/>
      <c r="R333" s="35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</row>
    <row r="334">
      <c r="A334" s="38" t="s">
        <v>24</v>
      </c>
      <c r="B334" s="100">
        <v>44518.0</v>
      </c>
      <c r="C334" s="22">
        <v>101915.0</v>
      </c>
      <c r="D334" s="24">
        <v>2200.0</v>
      </c>
      <c r="E334" s="25">
        <v>1100.0</v>
      </c>
      <c r="F334" s="35">
        <f>11330+230+3320+9930</f>
        <v>24810</v>
      </c>
      <c r="G334" s="161">
        <v>14120.0</v>
      </c>
      <c r="H334" s="29">
        <v>25930.0</v>
      </c>
      <c r="I334" s="30">
        <f t="shared" si="10"/>
        <v>37055</v>
      </c>
      <c r="J334" s="31"/>
      <c r="K334" s="32" t="s">
        <v>3685</v>
      </c>
      <c r="L334" s="33"/>
      <c r="M334" s="40"/>
      <c r="N334" s="35"/>
      <c r="O334" s="33"/>
      <c r="P334" s="33"/>
      <c r="Q334" s="35"/>
      <c r="R334" s="35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</row>
    <row r="335">
      <c r="A335" s="38" t="s">
        <v>25</v>
      </c>
      <c r="B335" s="100">
        <v>44519.0</v>
      </c>
      <c r="C335" s="22">
        <v>98436.0</v>
      </c>
      <c r="D335" s="24"/>
      <c r="E335" s="25"/>
      <c r="F335" s="35">
        <v>16330.0</v>
      </c>
      <c r="G335" s="161">
        <v>10360.0</v>
      </c>
      <c r="H335" s="29">
        <v>22470.0</v>
      </c>
      <c r="I335" s="30">
        <f t="shared" si="10"/>
        <v>49276</v>
      </c>
      <c r="J335" s="31"/>
      <c r="K335" s="32"/>
      <c r="L335" s="33"/>
      <c r="M335" s="40"/>
      <c r="N335" s="35"/>
      <c r="O335" s="33"/>
      <c r="P335" s="33"/>
      <c r="Q335" s="35"/>
      <c r="R335" s="35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</row>
    <row r="336">
      <c r="A336" s="38" t="s">
        <v>33</v>
      </c>
      <c r="B336" s="100">
        <v>44520.0</v>
      </c>
      <c r="C336" s="22">
        <v>66560.0</v>
      </c>
      <c r="D336" s="24">
        <f>1700+160+220</f>
        <v>2080</v>
      </c>
      <c r="E336" s="25">
        <v>1900.0</v>
      </c>
      <c r="F336" s="35">
        <f>11060+180</f>
        <v>11240</v>
      </c>
      <c r="G336" s="161">
        <v>3930.0</v>
      </c>
      <c r="H336" s="29">
        <v>19080.0</v>
      </c>
      <c r="I336" s="30">
        <f t="shared" si="10"/>
        <v>32310</v>
      </c>
      <c r="J336" s="31"/>
      <c r="K336" s="39"/>
      <c r="L336" s="33"/>
      <c r="M336" s="40"/>
      <c r="N336" s="35"/>
      <c r="O336" s="33"/>
      <c r="P336" s="33"/>
      <c r="Q336" s="35"/>
      <c r="R336" s="35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</row>
    <row r="337">
      <c r="A337" s="212" t="s">
        <v>27</v>
      </c>
      <c r="B337" s="875">
        <v>44523.0</v>
      </c>
      <c r="C337" s="104"/>
      <c r="D337" s="104"/>
      <c r="E337" s="104"/>
      <c r="F337" s="104"/>
      <c r="G337" s="104"/>
      <c r="H337" s="104"/>
      <c r="I337" s="104">
        <f t="shared" si="10"/>
        <v>0</v>
      </c>
      <c r="J337" s="213"/>
      <c r="K337" s="213"/>
      <c r="L337" s="213"/>
      <c r="M337" s="214"/>
      <c r="N337" s="104"/>
      <c r="O337" s="213"/>
      <c r="P337" s="213"/>
      <c r="Q337" s="104"/>
      <c r="R337" s="104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3"/>
      <c r="AC337" s="213"/>
      <c r="AD337" s="213"/>
      <c r="AE337" s="213"/>
      <c r="AF337" s="213"/>
      <c r="AG337" s="213"/>
    </row>
    <row r="338">
      <c r="A338" s="38" t="s">
        <v>21</v>
      </c>
      <c r="B338" s="100">
        <v>44522.0</v>
      </c>
      <c r="C338" s="22">
        <v>29820.0</v>
      </c>
      <c r="D338" s="24">
        <v>2390.0</v>
      </c>
      <c r="E338" s="25">
        <v>1900.0</v>
      </c>
      <c r="F338" s="35">
        <f>5020+1770</f>
        <v>6790</v>
      </c>
      <c r="G338" s="248">
        <v>9370.0</v>
      </c>
      <c r="H338" s="29">
        <v>3120.0</v>
      </c>
      <c r="I338" s="30">
        <f t="shared" si="10"/>
        <v>10540</v>
      </c>
      <c r="J338" s="31"/>
      <c r="K338" s="32" t="s">
        <v>3686</v>
      </c>
      <c r="L338" s="33"/>
      <c r="M338" s="40"/>
      <c r="N338" s="35"/>
      <c r="O338" s="33"/>
      <c r="P338" s="33"/>
      <c r="Q338" s="35"/>
      <c r="R338" s="35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</row>
    <row r="339">
      <c r="A339" s="38" t="s">
        <v>22</v>
      </c>
      <c r="B339" s="100">
        <v>44523.0</v>
      </c>
      <c r="C339" s="22">
        <v>108230.0</v>
      </c>
      <c r="D339" s="24">
        <v>1000.0</v>
      </c>
      <c r="E339" s="25">
        <v>1000.0</v>
      </c>
      <c r="F339" s="35">
        <f>sum(18250,3700)</f>
        <v>21950</v>
      </c>
      <c r="G339" s="161">
        <v>12070.0</v>
      </c>
      <c r="H339" s="29">
        <v>27631.0</v>
      </c>
      <c r="I339" s="30">
        <f t="shared" si="10"/>
        <v>46579</v>
      </c>
      <c r="J339" s="49">
        <v>10000.0</v>
      </c>
      <c r="K339" s="32" t="s">
        <v>3687</v>
      </c>
      <c r="L339" s="33"/>
      <c r="M339" s="40"/>
      <c r="N339" s="35"/>
      <c r="O339" s="33"/>
      <c r="P339" s="33"/>
      <c r="Q339" s="35"/>
      <c r="R339" s="35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</row>
    <row r="340">
      <c r="A340" s="38" t="s">
        <v>32</v>
      </c>
      <c r="B340" s="100">
        <v>44524.0</v>
      </c>
      <c r="C340" s="22">
        <v>108235.0</v>
      </c>
      <c r="D340" s="24">
        <v>780.0</v>
      </c>
      <c r="E340" s="25">
        <v>500.0</v>
      </c>
      <c r="F340" s="35">
        <f>SUM(13380,2190,6660)</f>
        <v>22230</v>
      </c>
      <c r="G340" s="161">
        <v>6900.0</v>
      </c>
      <c r="H340" s="29">
        <v>27030.0</v>
      </c>
      <c r="I340" s="30">
        <f t="shared" si="10"/>
        <v>52075</v>
      </c>
      <c r="J340" s="49">
        <v>6000.0</v>
      </c>
      <c r="K340" s="39"/>
      <c r="L340" s="33"/>
      <c r="M340" s="40"/>
      <c r="N340" s="35"/>
      <c r="O340" s="33"/>
      <c r="P340" s="33"/>
      <c r="Q340" s="35"/>
      <c r="R340" s="35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</row>
    <row r="341">
      <c r="A341" s="38" t="s">
        <v>24</v>
      </c>
      <c r="B341" s="100">
        <v>44525.0</v>
      </c>
      <c r="C341" s="22">
        <v>110700.0</v>
      </c>
      <c r="D341" s="24">
        <v>2320.0</v>
      </c>
      <c r="E341" s="25">
        <v>900.0</v>
      </c>
      <c r="F341" s="35">
        <v>18120.0</v>
      </c>
      <c r="G341" s="161">
        <v>12770.0</v>
      </c>
      <c r="H341" s="29">
        <v>28285.0</v>
      </c>
      <c r="I341" s="30">
        <f t="shared" si="10"/>
        <v>51525</v>
      </c>
      <c r="J341" s="31"/>
      <c r="K341" s="32" t="s">
        <v>3688</v>
      </c>
      <c r="L341" s="33"/>
      <c r="M341" s="40"/>
      <c r="N341" s="35"/>
      <c r="O341" s="33"/>
      <c r="P341" s="33"/>
      <c r="Q341" s="35"/>
      <c r="R341" s="35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</row>
    <row r="342">
      <c r="A342" s="38" t="s">
        <v>25</v>
      </c>
      <c r="B342" s="100">
        <v>44526.0</v>
      </c>
      <c r="C342" s="22">
        <v>103870.0</v>
      </c>
      <c r="D342" s="24">
        <v>700.0</v>
      </c>
      <c r="E342" s="25">
        <v>1100.0</v>
      </c>
      <c r="F342" s="35">
        <v>16920.0</v>
      </c>
      <c r="G342" s="161">
        <v>12890.0</v>
      </c>
      <c r="H342" s="29">
        <v>15860.0</v>
      </c>
      <c r="I342" s="30">
        <v>54510.0</v>
      </c>
      <c r="J342" s="31"/>
      <c r="K342" s="32" t="s">
        <v>3689</v>
      </c>
      <c r="L342" s="33"/>
      <c r="M342" s="40"/>
      <c r="N342" s="35"/>
      <c r="O342" s="33"/>
      <c r="P342" s="33"/>
      <c r="Q342" s="35"/>
      <c r="R342" s="35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</row>
    <row r="343">
      <c r="A343" s="38" t="s">
        <v>33</v>
      </c>
      <c r="B343" s="100">
        <v>44527.0</v>
      </c>
      <c r="C343" s="22">
        <v>69611.0</v>
      </c>
      <c r="D343" s="24">
        <v>1660.0</v>
      </c>
      <c r="E343" s="25">
        <v>1400.0</v>
      </c>
      <c r="F343" s="35">
        <v>13660.0</v>
      </c>
      <c r="G343" s="161">
        <v>9450.0</v>
      </c>
      <c r="H343" s="29">
        <v>14280.0</v>
      </c>
      <c r="I343" s="30">
        <v>32991.0</v>
      </c>
      <c r="J343" s="31"/>
      <c r="K343" s="32" t="s">
        <v>3690</v>
      </c>
      <c r="L343" s="33"/>
      <c r="M343" s="40"/>
      <c r="N343" s="35"/>
      <c r="O343" s="33"/>
      <c r="P343" s="33"/>
      <c r="Q343" s="35"/>
      <c r="R343" s="35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</row>
    <row r="344">
      <c r="A344" s="38" t="s">
        <v>27</v>
      </c>
      <c r="B344" s="100">
        <v>44528.0</v>
      </c>
      <c r="C344" s="22"/>
      <c r="D344" s="24"/>
      <c r="E344" s="25"/>
      <c r="F344" s="35"/>
      <c r="G344" s="161"/>
      <c r="H344" s="29"/>
      <c r="I344" s="30">
        <f t="shared" ref="I344:I377" si="11">SUM(C344-F344-G344-H344)</f>
        <v>0</v>
      </c>
      <c r="J344" s="31"/>
      <c r="K344" s="32"/>
      <c r="L344" s="33"/>
      <c r="M344" s="40"/>
      <c r="N344" s="35"/>
      <c r="O344" s="33"/>
      <c r="P344" s="33"/>
      <c r="Q344" s="35"/>
      <c r="R344" s="35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</row>
    <row r="345">
      <c r="A345" s="38" t="s">
        <v>21</v>
      </c>
      <c r="B345" s="100">
        <v>44529.0</v>
      </c>
      <c r="C345" s="22">
        <v>121710.0</v>
      </c>
      <c r="D345" s="24">
        <v>1960.0</v>
      </c>
      <c r="E345" s="25"/>
      <c r="F345" s="35">
        <v>19230.0</v>
      </c>
      <c r="G345" s="161">
        <v>20680.0</v>
      </c>
      <c r="H345" s="29">
        <v>24890.0</v>
      </c>
      <c r="I345" s="30">
        <f t="shared" si="11"/>
        <v>56910</v>
      </c>
      <c r="J345" s="31"/>
      <c r="K345" s="32" t="s">
        <v>3691</v>
      </c>
      <c r="L345" s="33"/>
      <c r="M345" s="40"/>
      <c r="N345" s="35"/>
      <c r="O345" s="33"/>
      <c r="P345" s="33"/>
      <c r="Q345" s="35"/>
      <c r="R345" s="35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</row>
    <row r="346">
      <c r="A346" s="38" t="s">
        <v>22</v>
      </c>
      <c r="B346" s="100">
        <v>44530.0</v>
      </c>
      <c r="C346" s="22">
        <v>107510.0</v>
      </c>
      <c r="D346" s="24">
        <v>290.0</v>
      </c>
      <c r="E346" s="25">
        <v>300.0</v>
      </c>
      <c r="F346" s="35">
        <f>sum(1030,17350,2240,)</f>
        <v>20620</v>
      </c>
      <c r="G346" s="161">
        <v>10730.0</v>
      </c>
      <c r="H346" s="29">
        <v>18550.0</v>
      </c>
      <c r="I346" s="30">
        <f t="shared" si="11"/>
        <v>57610</v>
      </c>
      <c r="J346" s="49">
        <v>16000.0</v>
      </c>
      <c r="K346" s="32" t="s">
        <v>3692</v>
      </c>
      <c r="L346" s="33"/>
      <c r="M346" s="40"/>
      <c r="N346" s="35"/>
      <c r="O346" s="33"/>
      <c r="P346" s="33"/>
      <c r="Q346" s="35"/>
      <c r="R346" s="35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</row>
    <row r="347">
      <c r="A347" s="215" t="s">
        <v>28</v>
      </c>
      <c r="B347" s="100"/>
      <c r="C347" s="70">
        <f>SUM(C317:C346)</f>
        <v>2520234</v>
      </c>
      <c r="D347" s="71"/>
      <c r="E347" s="71"/>
      <c r="F347" s="70"/>
      <c r="G347" s="853"/>
      <c r="H347" s="854"/>
      <c r="I347" s="30">
        <f t="shared" si="11"/>
        <v>2520234</v>
      </c>
      <c r="J347" s="74"/>
      <c r="K347" s="75"/>
      <c r="L347" s="76"/>
      <c r="M347" s="77"/>
      <c r="N347" s="77"/>
      <c r="O347" s="77"/>
      <c r="P347" s="77"/>
      <c r="Q347" s="76"/>
      <c r="R347" s="76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</row>
    <row r="348">
      <c r="A348" s="38" t="s">
        <v>32</v>
      </c>
      <c r="B348" s="100">
        <v>44531.0</v>
      </c>
      <c r="C348" s="22">
        <v>126020.0</v>
      </c>
      <c r="D348" s="24">
        <v>800.0</v>
      </c>
      <c r="E348" s="25">
        <v>300.0</v>
      </c>
      <c r="F348" s="35">
        <f>sum(23880,2910)</f>
        <v>26790</v>
      </c>
      <c r="G348" s="876">
        <v>14360.0</v>
      </c>
      <c r="H348" s="29">
        <v>28400.0</v>
      </c>
      <c r="I348" s="30">
        <f t="shared" si="11"/>
        <v>56470</v>
      </c>
      <c r="J348" s="49">
        <v>16000.0</v>
      </c>
      <c r="K348" s="32">
        <v>0.0</v>
      </c>
      <c r="L348" s="33"/>
      <c r="M348" s="40"/>
      <c r="N348" s="35"/>
      <c r="O348" s="33"/>
      <c r="P348" s="33"/>
      <c r="Q348" s="35"/>
      <c r="R348" s="35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</row>
    <row r="349">
      <c r="A349" s="38" t="s">
        <v>24</v>
      </c>
      <c r="B349" s="100">
        <v>44532.0</v>
      </c>
      <c r="C349" s="22">
        <v>113625.0</v>
      </c>
      <c r="D349" s="24">
        <v>2490.0</v>
      </c>
      <c r="E349" s="25">
        <v>100.0</v>
      </c>
      <c r="F349" s="35">
        <v>19640.0</v>
      </c>
      <c r="G349" s="161">
        <v>9080.0</v>
      </c>
      <c r="H349" s="29">
        <v>31370.0</v>
      </c>
      <c r="I349" s="30">
        <f t="shared" si="11"/>
        <v>53535</v>
      </c>
      <c r="J349" s="31"/>
      <c r="K349" s="32" t="s">
        <v>3683</v>
      </c>
      <c r="L349" s="33"/>
      <c r="M349" s="40"/>
      <c r="N349" s="35"/>
      <c r="O349" s="33"/>
      <c r="P349" s="33"/>
      <c r="Q349" s="35"/>
      <c r="R349" s="35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</row>
    <row r="350">
      <c r="A350" s="38" t="s">
        <v>25</v>
      </c>
      <c r="B350" s="100">
        <v>44533.0</v>
      </c>
      <c r="C350" s="22">
        <f>118755+250</f>
        <v>119005</v>
      </c>
      <c r="D350" s="24">
        <f>1820+250</f>
        <v>2070</v>
      </c>
      <c r="E350" s="25">
        <v>300.0</v>
      </c>
      <c r="F350" s="35">
        <f>SUM(1690,14875,3130,3120)</f>
        <v>22815</v>
      </c>
      <c r="G350" s="161">
        <v>12020.0</v>
      </c>
      <c r="H350" s="29">
        <v>32975.0</v>
      </c>
      <c r="I350" s="30">
        <f t="shared" si="11"/>
        <v>51195</v>
      </c>
      <c r="J350" s="31"/>
      <c r="K350" s="39"/>
      <c r="L350" s="33"/>
      <c r="M350" s="40"/>
      <c r="N350" s="35"/>
      <c r="O350" s="33"/>
      <c r="P350" s="33"/>
      <c r="Q350" s="35"/>
      <c r="R350" s="35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</row>
    <row r="351">
      <c r="A351" s="38" t="s">
        <v>33</v>
      </c>
      <c r="B351" s="100">
        <v>44534.0</v>
      </c>
      <c r="C351" s="22">
        <v>91053.0</v>
      </c>
      <c r="D351" s="24">
        <v>1830.0</v>
      </c>
      <c r="E351" s="25">
        <v>400.0</v>
      </c>
      <c r="F351" s="35">
        <v>19650.0</v>
      </c>
      <c r="G351" s="161">
        <v>14950.0</v>
      </c>
      <c r="H351" s="29">
        <v>18810.0</v>
      </c>
      <c r="I351" s="30">
        <f t="shared" si="11"/>
        <v>37643</v>
      </c>
      <c r="J351" s="31"/>
      <c r="K351" s="32" t="s">
        <v>3693</v>
      </c>
      <c r="L351" s="33"/>
      <c r="M351" s="40"/>
      <c r="N351" s="35"/>
      <c r="O351" s="33"/>
      <c r="P351" s="33"/>
      <c r="Q351" s="35"/>
      <c r="R351" s="35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</row>
    <row r="352">
      <c r="A352" s="219" t="s">
        <v>27</v>
      </c>
      <c r="B352" s="864">
        <v>44535.0</v>
      </c>
      <c r="C352" s="32"/>
      <c r="D352" s="32"/>
      <c r="E352" s="32"/>
      <c r="F352" s="32"/>
      <c r="G352" s="32"/>
      <c r="H352" s="32"/>
      <c r="I352" s="32">
        <f t="shared" si="11"/>
        <v>0</v>
      </c>
      <c r="J352" s="39"/>
      <c r="K352" s="39"/>
      <c r="L352" s="39"/>
      <c r="M352" s="206"/>
      <c r="N352" s="32"/>
      <c r="O352" s="39"/>
      <c r="P352" s="39"/>
      <c r="Q352" s="32"/>
      <c r="R352" s="32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</row>
    <row r="353">
      <c r="A353" s="38" t="s">
        <v>21</v>
      </c>
      <c r="B353" s="100">
        <v>44536.0</v>
      </c>
      <c r="C353" s="22">
        <v>102075.0</v>
      </c>
      <c r="D353" s="24">
        <f>700+1400+100+300+220</f>
        <v>2720</v>
      </c>
      <c r="E353" s="25">
        <v>300.0</v>
      </c>
      <c r="F353" s="35">
        <f>10890+270</f>
        <v>11160</v>
      </c>
      <c r="G353" s="161">
        <v>3580.0</v>
      </c>
      <c r="H353" s="29">
        <v>16440.0</v>
      </c>
      <c r="I353" s="30">
        <f t="shared" si="11"/>
        <v>70895</v>
      </c>
      <c r="J353" s="31"/>
      <c r="K353" s="32" t="s">
        <v>3694</v>
      </c>
      <c r="L353" s="33"/>
      <c r="M353" s="40"/>
      <c r="N353" s="35"/>
      <c r="O353" s="33"/>
      <c r="P353" s="33"/>
      <c r="Q353" s="35"/>
      <c r="R353" s="35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</row>
    <row r="354">
      <c r="A354" s="38" t="s">
        <v>22</v>
      </c>
      <c r="B354" s="100">
        <v>44537.0</v>
      </c>
      <c r="C354" s="22">
        <v>100430.0</v>
      </c>
      <c r="D354" s="24">
        <v>1810.0</v>
      </c>
      <c r="E354" s="25">
        <v>100.0</v>
      </c>
      <c r="F354" s="35">
        <v>19940.0</v>
      </c>
      <c r="G354" s="161">
        <v>0.0</v>
      </c>
      <c r="H354" s="29">
        <v>21590.0</v>
      </c>
      <c r="I354" s="30">
        <f t="shared" si="11"/>
        <v>58900</v>
      </c>
      <c r="J354" s="49">
        <v>8000.0</v>
      </c>
      <c r="K354" s="32"/>
      <c r="L354" s="33"/>
      <c r="M354" s="40"/>
      <c r="N354" s="35"/>
      <c r="O354" s="33"/>
      <c r="P354" s="33"/>
      <c r="Q354" s="35"/>
      <c r="R354" s="35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</row>
    <row r="355">
      <c r="A355" s="38" t="s">
        <v>32</v>
      </c>
      <c r="B355" s="100">
        <v>44538.0</v>
      </c>
      <c r="C355" s="22">
        <v>100510.0</v>
      </c>
      <c r="D355" s="24">
        <v>1410.0</v>
      </c>
      <c r="E355" s="25">
        <v>700.0</v>
      </c>
      <c r="F355" s="35">
        <f>SUM(11870,470,4350)</f>
        <v>16690</v>
      </c>
      <c r="G355" s="161">
        <v>17630.0</v>
      </c>
      <c r="H355" s="29">
        <v>21440.0</v>
      </c>
      <c r="I355" s="30">
        <f t="shared" si="11"/>
        <v>44750</v>
      </c>
      <c r="J355" s="49">
        <v>6000.0</v>
      </c>
      <c r="K355" s="39"/>
      <c r="L355" s="33"/>
      <c r="M355" s="40"/>
      <c r="N355" s="35"/>
      <c r="O355" s="33"/>
      <c r="P355" s="33"/>
      <c r="Q355" s="35"/>
      <c r="R355" s="35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</row>
    <row r="356">
      <c r="A356" s="38" t="s">
        <v>24</v>
      </c>
      <c r="B356" s="100">
        <v>44539.0</v>
      </c>
      <c r="C356" s="22">
        <v>116110.0</v>
      </c>
      <c r="D356" s="24">
        <f>1200+500+150+280+170</f>
        <v>2300</v>
      </c>
      <c r="E356" s="25">
        <v>600.0</v>
      </c>
      <c r="F356" s="35">
        <f>1270+3550+10605+530</f>
        <v>15955</v>
      </c>
      <c r="G356" s="161">
        <v>12490.0</v>
      </c>
      <c r="H356" s="29">
        <v>36150.0</v>
      </c>
      <c r="I356" s="30">
        <f t="shared" si="11"/>
        <v>51515</v>
      </c>
      <c r="J356" s="31"/>
      <c r="K356" s="32" t="s">
        <v>3695</v>
      </c>
      <c r="L356" s="33"/>
      <c r="M356" s="40"/>
      <c r="N356" s="35"/>
      <c r="O356" s="33"/>
      <c r="P356" s="33"/>
      <c r="Q356" s="35"/>
      <c r="R356" s="35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</row>
    <row r="357">
      <c r="A357" s="38" t="s">
        <v>25</v>
      </c>
      <c r="B357" s="100">
        <v>44540.0</v>
      </c>
      <c r="C357" s="22">
        <v>108320.0</v>
      </c>
      <c r="D357" s="24">
        <v>440.0</v>
      </c>
      <c r="E357" s="25">
        <v>500.0</v>
      </c>
      <c r="F357" s="35">
        <f>sum(13050,1190)</f>
        <v>14240</v>
      </c>
      <c r="G357" s="161">
        <v>14700.0</v>
      </c>
      <c r="H357" s="29">
        <v>20140.0</v>
      </c>
      <c r="I357" s="30">
        <f t="shared" si="11"/>
        <v>59240</v>
      </c>
      <c r="J357" s="49">
        <v>8000.0</v>
      </c>
      <c r="K357" s="39"/>
      <c r="L357" s="33"/>
      <c r="M357" s="40"/>
      <c r="N357" s="35"/>
      <c r="O357" s="33"/>
      <c r="P357" s="33"/>
      <c r="Q357" s="35"/>
      <c r="R357" s="35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</row>
    <row r="358">
      <c r="A358" s="38" t="s">
        <v>33</v>
      </c>
      <c r="B358" s="100">
        <v>44541.0</v>
      </c>
      <c r="C358" s="22">
        <v>90830.0</v>
      </c>
      <c r="D358" s="24">
        <f>700+1000+60+200+270</f>
        <v>2230</v>
      </c>
      <c r="E358" s="25">
        <v>1100.0</v>
      </c>
      <c r="F358" s="35">
        <f>18955+1550</f>
        <v>20505</v>
      </c>
      <c r="G358" s="161">
        <v>13160.0</v>
      </c>
      <c r="H358" s="29">
        <v>24110.0</v>
      </c>
      <c r="I358" s="30">
        <f t="shared" si="11"/>
        <v>33055</v>
      </c>
      <c r="J358" s="31"/>
      <c r="K358" s="39"/>
      <c r="L358" s="33"/>
      <c r="M358" s="40"/>
      <c r="N358" s="35"/>
      <c r="O358" s="33"/>
      <c r="P358" s="33"/>
      <c r="Q358" s="35"/>
      <c r="R358" s="35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</row>
    <row r="359">
      <c r="A359" s="219" t="s">
        <v>27</v>
      </c>
      <c r="B359" s="864">
        <v>44542.0</v>
      </c>
      <c r="C359" s="32"/>
      <c r="D359" s="32"/>
      <c r="E359" s="32"/>
      <c r="F359" s="32"/>
      <c r="G359" s="32"/>
      <c r="H359" s="32"/>
      <c r="I359" s="32">
        <f t="shared" si="11"/>
        <v>0</v>
      </c>
      <c r="J359" s="39"/>
      <c r="K359" s="39"/>
      <c r="L359" s="39"/>
      <c r="M359" s="206"/>
      <c r="N359" s="32"/>
      <c r="O359" s="39"/>
      <c r="P359" s="39"/>
      <c r="Q359" s="32"/>
      <c r="R359" s="32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</row>
    <row r="360">
      <c r="A360" s="38" t="s">
        <v>21</v>
      </c>
      <c r="B360" s="100">
        <v>44543.0</v>
      </c>
      <c r="C360" s="22">
        <v>109530.0</v>
      </c>
      <c r="D360" s="24">
        <f>700+1400+50+100+210</f>
        <v>2460</v>
      </c>
      <c r="E360" s="25">
        <v>200.0</v>
      </c>
      <c r="F360" s="35">
        <f>1330+2920+2390</f>
        <v>6640</v>
      </c>
      <c r="G360" s="161">
        <v>10970.0</v>
      </c>
      <c r="H360" s="29">
        <v>21020.0</v>
      </c>
      <c r="I360" s="30">
        <f t="shared" si="11"/>
        <v>70900</v>
      </c>
      <c r="J360" s="31"/>
      <c r="K360" s="32" t="s">
        <v>3696</v>
      </c>
      <c r="L360" s="33"/>
      <c r="M360" s="40"/>
      <c r="N360" s="35"/>
      <c r="O360" s="33"/>
      <c r="P360" s="33"/>
      <c r="Q360" s="35"/>
      <c r="R360" s="35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</row>
    <row r="361">
      <c r="A361" s="38" t="s">
        <v>22</v>
      </c>
      <c r="B361" s="100">
        <v>44544.0</v>
      </c>
      <c r="C361" s="22">
        <v>107790.0</v>
      </c>
      <c r="D361" s="24">
        <v>220.0</v>
      </c>
      <c r="E361" s="25">
        <v>900.0</v>
      </c>
      <c r="F361" s="35">
        <f>sum(270,15108,2870)</f>
        <v>18248</v>
      </c>
      <c r="G361" s="161">
        <v>10340.0</v>
      </c>
      <c r="H361" s="29">
        <v>23360.0</v>
      </c>
      <c r="I361" s="30">
        <f t="shared" si="11"/>
        <v>55842</v>
      </c>
      <c r="J361" s="31"/>
      <c r="K361" s="39"/>
      <c r="L361" s="33"/>
      <c r="M361" s="40"/>
      <c r="N361" s="35"/>
      <c r="O361" s="33"/>
      <c r="P361" s="33"/>
      <c r="Q361" s="35"/>
      <c r="R361" s="35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</row>
    <row r="362">
      <c r="A362" s="38" t="s">
        <v>32</v>
      </c>
      <c r="B362" s="100">
        <v>44545.0</v>
      </c>
      <c r="C362" s="22">
        <v>109440.0</v>
      </c>
      <c r="D362" s="24">
        <v>1190.0</v>
      </c>
      <c r="E362" s="25">
        <v>400.0</v>
      </c>
      <c r="F362" s="35">
        <f>sum(21120,580,500)</f>
        <v>22200</v>
      </c>
      <c r="G362" s="161">
        <v>13430.0</v>
      </c>
      <c r="H362" s="29">
        <v>22910.0</v>
      </c>
      <c r="I362" s="30">
        <f t="shared" si="11"/>
        <v>50900</v>
      </c>
      <c r="J362" s="31"/>
      <c r="K362" s="39"/>
      <c r="L362" s="33"/>
      <c r="M362" s="40"/>
      <c r="N362" s="35"/>
      <c r="O362" s="33"/>
      <c r="P362" s="33"/>
      <c r="Q362" s="35"/>
      <c r="R362" s="35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</row>
    <row r="363">
      <c r="A363" s="38" t="s">
        <v>24</v>
      </c>
      <c r="B363" s="100">
        <v>44546.0</v>
      </c>
      <c r="C363" s="22">
        <v>124520.0</v>
      </c>
      <c r="D363" s="24">
        <f>2200+200+1001+120+90</f>
        <v>3611</v>
      </c>
      <c r="E363" s="25"/>
      <c r="F363" s="35">
        <f>23540+4330+1000</f>
        <v>28870</v>
      </c>
      <c r="G363" s="161">
        <v>7640.0</v>
      </c>
      <c r="H363" s="29">
        <v>22170.0</v>
      </c>
      <c r="I363" s="30">
        <f t="shared" si="11"/>
        <v>65840</v>
      </c>
      <c r="J363" s="31"/>
      <c r="K363" s="32" t="s">
        <v>3697</v>
      </c>
      <c r="L363" s="33"/>
      <c r="M363" s="40"/>
      <c r="N363" s="35"/>
      <c r="O363" s="33"/>
      <c r="P363" s="33"/>
      <c r="Q363" s="35"/>
      <c r="R363" s="35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</row>
    <row r="364">
      <c r="A364" s="38" t="s">
        <v>25</v>
      </c>
      <c r="B364" s="100">
        <v>44547.0</v>
      </c>
      <c r="C364" s="22">
        <v>140870.0</v>
      </c>
      <c r="D364" s="24">
        <v>670.0</v>
      </c>
      <c r="E364" s="25">
        <v>600.0</v>
      </c>
      <c r="F364" s="35">
        <f>sum(6820,817,3900,1350,570,6250,5210)</f>
        <v>24917</v>
      </c>
      <c r="G364" s="161">
        <v>16000.0</v>
      </c>
      <c r="H364" s="29">
        <v>37700.0</v>
      </c>
      <c r="I364" s="30">
        <f t="shared" si="11"/>
        <v>62253</v>
      </c>
      <c r="J364" s="31"/>
      <c r="K364" s="39"/>
      <c r="L364" s="33"/>
      <c r="M364" s="40"/>
      <c r="N364" s="35"/>
      <c r="O364" s="33"/>
      <c r="P364" s="33"/>
      <c r="Q364" s="35"/>
      <c r="R364" s="35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</row>
    <row r="365">
      <c r="A365" s="38" t="s">
        <v>33</v>
      </c>
      <c r="B365" s="100">
        <v>44548.0</v>
      </c>
      <c r="C365" s="22">
        <v>80030.0</v>
      </c>
      <c r="D365" s="24">
        <f>1700+160+150+160</f>
        <v>2170</v>
      </c>
      <c r="E365" s="25">
        <v>1100.0</v>
      </c>
      <c r="F365" s="35">
        <f>13980+4420+2000</f>
        <v>20400</v>
      </c>
      <c r="G365" s="161">
        <v>8100.0</v>
      </c>
      <c r="H365" s="29">
        <v>22420.0</v>
      </c>
      <c r="I365" s="30">
        <f t="shared" si="11"/>
        <v>29110</v>
      </c>
      <c r="J365" s="31"/>
      <c r="K365" s="39"/>
      <c r="L365" s="33"/>
      <c r="M365" s="40"/>
      <c r="N365" s="35"/>
      <c r="O365" s="33"/>
      <c r="P365" s="33"/>
      <c r="Q365" s="35"/>
      <c r="R365" s="35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</row>
    <row r="366">
      <c r="A366" s="219" t="s">
        <v>27</v>
      </c>
      <c r="B366" s="864">
        <v>44549.0</v>
      </c>
      <c r="C366" s="32"/>
      <c r="D366" s="32"/>
      <c r="E366" s="32"/>
      <c r="F366" s="32"/>
      <c r="G366" s="32"/>
      <c r="H366" s="32"/>
      <c r="I366" s="32">
        <f t="shared" si="11"/>
        <v>0</v>
      </c>
      <c r="J366" s="39"/>
      <c r="K366" s="32"/>
      <c r="L366" s="39"/>
      <c r="M366" s="206"/>
      <c r="N366" s="32"/>
      <c r="O366" s="39"/>
      <c r="P366" s="39"/>
      <c r="Q366" s="32"/>
      <c r="R366" s="32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</row>
    <row r="367">
      <c r="A367" s="38" t="s">
        <v>21</v>
      </c>
      <c r="B367" s="100">
        <v>44550.0</v>
      </c>
      <c r="C367" s="22">
        <v>112590.0</v>
      </c>
      <c r="D367" s="24">
        <v>2200.0</v>
      </c>
      <c r="E367" s="25">
        <v>200.0</v>
      </c>
      <c r="F367" s="35">
        <v>22440.0</v>
      </c>
      <c r="G367" s="161">
        <v>8230.0</v>
      </c>
      <c r="H367" s="29">
        <v>28740.0</v>
      </c>
      <c r="I367" s="30">
        <f t="shared" si="11"/>
        <v>53180</v>
      </c>
      <c r="J367" s="31"/>
      <c r="K367" s="32" t="s">
        <v>3698</v>
      </c>
      <c r="L367" s="33"/>
      <c r="M367" s="40"/>
      <c r="N367" s="35"/>
      <c r="O367" s="33"/>
      <c r="P367" s="33"/>
      <c r="Q367" s="35"/>
      <c r="R367" s="35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</row>
    <row r="368">
      <c r="A368" s="38" t="s">
        <v>22</v>
      </c>
      <c r="B368" s="100">
        <v>44551.0</v>
      </c>
      <c r="C368" s="22">
        <v>117120.0</v>
      </c>
      <c r="D368" s="24">
        <v>550.0</v>
      </c>
      <c r="E368" s="25">
        <v>600.0</v>
      </c>
      <c r="F368" s="35">
        <f>SUM(7390,11740,520,620)</f>
        <v>20270</v>
      </c>
      <c r="G368" s="161">
        <v>8450.0</v>
      </c>
      <c r="H368" s="29">
        <v>20180.0</v>
      </c>
      <c r="I368" s="30">
        <f t="shared" si="11"/>
        <v>68220</v>
      </c>
      <c r="J368" s="31"/>
      <c r="K368" s="39"/>
      <c r="L368" s="33"/>
      <c r="M368" s="40"/>
      <c r="N368" s="35"/>
      <c r="O368" s="33"/>
      <c r="P368" s="33"/>
      <c r="Q368" s="35"/>
      <c r="R368" s="35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</row>
    <row r="369">
      <c r="A369" s="38" t="s">
        <v>32</v>
      </c>
      <c r="B369" s="100">
        <v>44552.0</v>
      </c>
      <c r="C369" s="22">
        <v>76810.0</v>
      </c>
      <c r="D369" s="24">
        <v>2000.0</v>
      </c>
      <c r="E369" s="25"/>
      <c r="F369" s="35">
        <v>21412.0</v>
      </c>
      <c r="G369" s="161">
        <v>1800.0</v>
      </c>
      <c r="H369" s="29">
        <v>18700.0</v>
      </c>
      <c r="I369" s="30">
        <f t="shared" si="11"/>
        <v>34898</v>
      </c>
      <c r="J369" s="31"/>
      <c r="K369" s="39"/>
      <c r="L369" s="33"/>
      <c r="M369" s="40"/>
      <c r="N369" s="35"/>
      <c r="O369" s="33"/>
      <c r="P369" s="33"/>
      <c r="Q369" s="35"/>
      <c r="R369" s="35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</row>
    <row r="370">
      <c r="A370" s="38" t="s">
        <v>24</v>
      </c>
      <c r="B370" s="100">
        <v>44553.0</v>
      </c>
      <c r="C370" s="22">
        <v>123580.0</v>
      </c>
      <c r="D370" s="24">
        <f>700+400+100+180+80</f>
        <v>1460</v>
      </c>
      <c r="E370" s="25"/>
      <c r="F370" s="35">
        <v>23740.0</v>
      </c>
      <c r="G370" s="161">
        <v>21240.0</v>
      </c>
      <c r="H370" s="29">
        <v>16740.0</v>
      </c>
      <c r="I370" s="30">
        <f t="shared" si="11"/>
        <v>61860</v>
      </c>
      <c r="J370" s="31"/>
      <c r="K370" s="39"/>
      <c r="L370" s="33"/>
      <c r="M370" s="40"/>
      <c r="N370" s="35"/>
      <c r="O370" s="33"/>
      <c r="P370" s="33"/>
      <c r="Q370" s="35"/>
      <c r="R370" s="35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</row>
    <row r="371">
      <c r="A371" s="38" t="s">
        <v>25</v>
      </c>
      <c r="B371" s="100">
        <v>44554.0</v>
      </c>
      <c r="C371" s="22">
        <v>40645.0</v>
      </c>
      <c r="D371" s="24">
        <f>700+900+50+20+100</f>
        <v>1770</v>
      </c>
      <c r="E371" s="25"/>
      <c r="F371" s="35">
        <v>1870.0</v>
      </c>
      <c r="G371" s="161">
        <v>4570.0</v>
      </c>
      <c r="H371" s="29">
        <v>12680.0</v>
      </c>
      <c r="I371" s="30">
        <f t="shared" si="11"/>
        <v>21525</v>
      </c>
      <c r="J371" s="31"/>
      <c r="K371" s="32" t="s">
        <v>3699</v>
      </c>
      <c r="L371" s="33"/>
      <c r="M371" s="40"/>
      <c r="N371" s="35"/>
      <c r="O371" s="33"/>
      <c r="P371" s="33"/>
      <c r="Q371" s="35"/>
      <c r="R371" s="35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</row>
    <row r="372">
      <c r="A372" s="38" t="s">
        <v>33</v>
      </c>
      <c r="B372" s="100">
        <v>44555.0</v>
      </c>
      <c r="C372" s="22"/>
      <c r="D372" s="24"/>
      <c r="E372" s="25"/>
      <c r="F372" s="35"/>
      <c r="G372" s="161"/>
      <c r="H372" s="29"/>
      <c r="I372" s="30">
        <f t="shared" si="11"/>
        <v>0</v>
      </c>
      <c r="J372" s="31"/>
      <c r="K372" s="39"/>
      <c r="L372" s="33"/>
      <c r="M372" s="40"/>
      <c r="N372" s="35"/>
      <c r="O372" s="33"/>
      <c r="P372" s="33"/>
      <c r="Q372" s="35"/>
      <c r="R372" s="35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</row>
    <row r="373">
      <c r="A373" s="212" t="s">
        <v>27</v>
      </c>
      <c r="B373" s="875">
        <v>44556.0</v>
      </c>
      <c r="C373" s="104"/>
      <c r="D373" s="104"/>
      <c r="E373" s="104"/>
      <c r="F373" s="104"/>
      <c r="G373" s="104"/>
      <c r="H373" s="104"/>
      <c r="I373" s="104">
        <f t="shared" si="11"/>
        <v>0</v>
      </c>
      <c r="J373" s="213"/>
      <c r="K373" s="213"/>
      <c r="L373" s="213"/>
      <c r="M373" s="214"/>
      <c r="N373" s="104"/>
      <c r="O373" s="213"/>
      <c r="P373" s="213"/>
      <c r="Q373" s="104"/>
      <c r="R373" s="104"/>
      <c r="S373" s="213"/>
      <c r="T373" s="213"/>
      <c r="U373" s="213"/>
      <c r="V373" s="213"/>
      <c r="W373" s="213"/>
      <c r="X373" s="213"/>
      <c r="Y373" s="213"/>
      <c r="Z373" s="213"/>
      <c r="AA373" s="213"/>
      <c r="AB373" s="213"/>
      <c r="AC373" s="213"/>
      <c r="AD373" s="213"/>
      <c r="AE373" s="213"/>
      <c r="AF373" s="213"/>
      <c r="AG373" s="213"/>
    </row>
    <row r="374">
      <c r="A374" s="38" t="s">
        <v>21</v>
      </c>
      <c r="B374" s="100">
        <v>44557.0</v>
      </c>
      <c r="C374" s="22">
        <v>84430.0</v>
      </c>
      <c r="D374" s="24">
        <f>900+1300+850+220+130</f>
        <v>3400</v>
      </c>
      <c r="E374" s="25">
        <v>400.0</v>
      </c>
      <c r="F374" s="35">
        <f>500+8590+6360</f>
        <v>15450</v>
      </c>
      <c r="G374" s="161">
        <v>8060.0</v>
      </c>
      <c r="H374" s="29">
        <v>16020.0</v>
      </c>
      <c r="I374" s="30">
        <f t="shared" si="11"/>
        <v>44900</v>
      </c>
      <c r="J374" s="31"/>
      <c r="K374" s="32" t="s">
        <v>3700</v>
      </c>
      <c r="L374" s="33"/>
      <c r="M374" s="40"/>
      <c r="N374" s="35"/>
      <c r="O374" s="33"/>
      <c r="P374" s="33"/>
      <c r="Q374" s="35"/>
      <c r="R374" s="35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</row>
    <row r="375">
      <c r="A375" s="38" t="s">
        <v>22</v>
      </c>
      <c r="B375" s="100">
        <v>44558.0</v>
      </c>
      <c r="C375" s="22">
        <v>109050.0</v>
      </c>
      <c r="D375" s="24">
        <v>3000.0</v>
      </c>
      <c r="E375" s="25">
        <v>1100.0</v>
      </c>
      <c r="F375" s="35">
        <v>23470.0</v>
      </c>
      <c r="G375" s="161">
        <v>23530.0</v>
      </c>
      <c r="H375" s="29">
        <v>21640.0</v>
      </c>
      <c r="I375" s="30">
        <f t="shared" si="11"/>
        <v>40410</v>
      </c>
      <c r="J375" s="31"/>
      <c r="K375" s="39"/>
      <c r="L375" s="33"/>
      <c r="M375" s="40"/>
      <c r="N375" s="35"/>
      <c r="O375" s="33"/>
      <c r="P375" s="33"/>
      <c r="Q375" s="35"/>
      <c r="R375" s="35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</row>
    <row r="376">
      <c r="A376" s="38" t="s">
        <v>32</v>
      </c>
      <c r="B376" s="100">
        <v>44559.0</v>
      </c>
      <c r="C376" s="22">
        <v>99140.0</v>
      </c>
      <c r="D376" s="24">
        <v>790.0</v>
      </c>
      <c r="E376" s="25">
        <v>400.0</v>
      </c>
      <c r="F376" s="35">
        <f>SUM(10430,1600,4480)</f>
        <v>16510</v>
      </c>
      <c r="G376" s="161">
        <v>13400.0</v>
      </c>
      <c r="H376" s="29">
        <v>17280.0</v>
      </c>
      <c r="I376" s="30">
        <f t="shared" si="11"/>
        <v>51950</v>
      </c>
      <c r="J376" s="31"/>
      <c r="K376" s="39"/>
      <c r="L376" s="33"/>
      <c r="M376" s="40"/>
      <c r="N376" s="35"/>
      <c r="O376" s="33"/>
      <c r="P376" s="33"/>
      <c r="Q376" s="35"/>
      <c r="R376" s="35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</row>
    <row r="377">
      <c r="A377" s="38" t="s">
        <v>24</v>
      </c>
      <c r="B377" s="100">
        <v>44560.0</v>
      </c>
      <c r="C377" s="22">
        <v>93080.0</v>
      </c>
      <c r="D377" s="24">
        <f>700+1400+450+340+160</f>
        <v>3050</v>
      </c>
      <c r="E377" s="25">
        <v>1100.0</v>
      </c>
      <c r="F377" s="35">
        <v>17240.0</v>
      </c>
      <c r="G377" s="161">
        <v>8500.0</v>
      </c>
      <c r="H377" s="29">
        <v>13540.0</v>
      </c>
      <c r="I377" s="30">
        <f t="shared" si="11"/>
        <v>53800</v>
      </c>
      <c r="J377" s="31"/>
      <c r="K377" s="39"/>
      <c r="L377" s="33"/>
      <c r="M377" s="40"/>
      <c r="N377" s="35"/>
      <c r="O377" s="33"/>
      <c r="P377" s="33"/>
      <c r="Q377" s="35"/>
      <c r="R377" s="35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</row>
    <row r="378">
      <c r="A378" s="38" t="s">
        <v>25</v>
      </c>
      <c r="B378" s="100">
        <v>44561.0</v>
      </c>
      <c r="C378" s="22"/>
      <c r="D378" s="24"/>
      <c r="E378" s="25"/>
      <c r="F378" s="35"/>
      <c r="G378" s="161"/>
      <c r="H378" s="29"/>
      <c r="I378" s="30"/>
      <c r="J378" s="31"/>
      <c r="K378" s="39"/>
      <c r="L378" s="33"/>
      <c r="M378" s="40"/>
      <c r="N378" s="35"/>
      <c r="O378" s="33"/>
      <c r="P378" s="33"/>
      <c r="Q378" s="35"/>
      <c r="R378" s="35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</row>
    <row r="379">
      <c r="A379" s="68" t="s">
        <v>28</v>
      </c>
      <c r="B379" s="627"/>
      <c r="C379" s="70">
        <f>SUM(C348:C378)</f>
        <v>2596603</v>
      </c>
      <c r="D379" s="71"/>
      <c r="E379" s="71"/>
      <c r="F379" s="70"/>
      <c r="G379" s="853"/>
      <c r="H379" s="854"/>
      <c r="I379" s="30">
        <f t="shared" ref="I379:I417" si="12">SUM(C379-F379-G379-H379)</f>
        <v>2596603</v>
      </c>
      <c r="J379" s="74"/>
      <c r="K379" s="75"/>
      <c r="L379" s="76"/>
      <c r="M379" s="77"/>
      <c r="N379" s="77"/>
      <c r="O379" s="77"/>
      <c r="P379" s="77"/>
      <c r="Q379" s="76"/>
      <c r="R379" s="76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</row>
    <row r="380">
      <c r="A380" s="221" t="s">
        <v>21</v>
      </c>
      <c r="B380" s="100">
        <v>44564.0</v>
      </c>
      <c r="C380" s="22">
        <v>35835.0</v>
      </c>
      <c r="D380" s="24">
        <v>1612.0</v>
      </c>
      <c r="E380" s="25">
        <v>900.0</v>
      </c>
      <c r="F380" s="35">
        <v>6420.0</v>
      </c>
      <c r="G380" s="161">
        <v>1860.0</v>
      </c>
      <c r="H380" s="29">
        <v>7770.0</v>
      </c>
      <c r="I380" s="30">
        <f t="shared" si="12"/>
        <v>19785</v>
      </c>
      <c r="J380" s="31"/>
      <c r="K380" s="32"/>
      <c r="L380" s="33"/>
      <c r="M380" s="33"/>
      <c r="N380" s="35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</row>
    <row r="381">
      <c r="A381" s="221" t="s">
        <v>738</v>
      </c>
      <c r="B381" s="100">
        <v>44565.0</v>
      </c>
      <c r="C381" s="22"/>
      <c r="D381" s="24"/>
      <c r="E381" s="25"/>
      <c r="F381" s="33"/>
      <c r="G381" s="852"/>
      <c r="H381" s="112"/>
      <c r="I381" s="30">
        <f t="shared" si="12"/>
        <v>0</v>
      </c>
      <c r="J381" s="31"/>
      <c r="K381" s="39"/>
      <c r="L381" s="33"/>
      <c r="M381" s="33"/>
      <c r="N381" s="35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</row>
    <row r="382">
      <c r="A382" s="224"/>
      <c r="B382" s="100">
        <v>44566.0</v>
      </c>
      <c r="C382" s="225"/>
      <c r="D382" s="227"/>
      <c r="E382" s="228"/>
      <c r="F382" s="33"/>
      <c r="G382" s="852"/>
      <c r="H382" s="112"/>
      <c r="I382" s="30">
        <f t="shared" si="12"/>
        <v>0</v>
      </c>
      <c r="J382" s="31"/>
      <c r="K382" s="39"/>
      <c r="L382" s="33"/>
      <c r="M382" s="33"/>
      <c r="N382" s="35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</row>
    <row r="383">
      <c r="A383" s="224"/>
      <c r="B383" s="100">
        <v>44567.0</v>
      </c>
      <c r="C383" s="225"/>
      <c r="D383" s="227"/>
      <c r="E383" s="228"/>
      <c r="F383" s="33"/>
      <c r="G383" s="852"/>
      <c r="H383" s="112"/>
      <c r="I383" s="30">
        <f t="shared" si="12"/>
        <v>0</v>
      </c>
      <c r="J383" s="31"/>
      <c r="K383" s="39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</row>
    <row r="384">
      <c r="A384" s="224"/>
      <c r="B384" s="100">
        <v>44568.0</v>
      </c>
      <c r="C384" s="225"/>
      <c r="D384" s="227"/>
      <c r="E384" s="228"/>
      <c r="F384" s="33"/>
      <c r="G384" s="852"/>
      <c r="H384" s="112"/>
      <c r="I384" s="30">
        <f t="shared" si="12"/>
        <v>0</v>
      </c>
      <c r="J384" s="31"/>
      <c r="K384" s="39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</row>
    <row r="385">
      <c r="A385" s="224"/>
      <c r="B385" s="100">
        <v>44569.0</v>
      </c>
      <c r="C385" s="225"/>
      <c r="D385" s="227"/>
      <c r="E385" s="228"/>
      <c r="F385" s="33"/>
      <c r="G385" s="852"/>
      <c r="H385" s="112"/>
      <c r="I385" s="30">
        <f t="shared" si="12"/>
        <v>0</v>
      </c>
      <c r="J385" s="31"/>
      <c r="K385" s="39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</row>
    <row r="386">
      <c r="A386" s="224"/>
      <c r="B386" s="100">
        <v>44570.0</v>
      </c>
      <c r="C386" s="225"/>
      <c r="D386" s="227"/>
      <c r="E386" s="228"/>
      <c r="F386" s="33"/>
      <c r="G386" s="852"/>
      <c r="H386" s="112"/>
      <c r="I386" s="30">
        <f t="shared" si="12"/>
        <v>0</v>
      </c>
      <c r="J386" s="31"/>
      <c r="K386" s="39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</row>
    <row r="387">
      <c r="A387" s="224"/>
      <c r="B387" s="100">
        <v>44571.0</v>
      </c>
      <c r="C387" s="225"/>
      <c r="D387" s="227"/>
      <c r="E387" s="228"/>
      <c r="F387" s="33"/>
      <c r="G387" s="852"/>
      <c r="H387" s="112"/>
      <c r="I387" s="30">
        <f t="shared" si="12"/>
        <v>0</v>
      </c>
      <c r="J387" s="31"/>
      <c r="K387" s="39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</row>
    <row r="388">
      <c r="A388" s="224"/>
      <c r="B388" s="100">
        <v>44572.0</v>
      </c>
      <c r="C388" s="225"/>
      <c r="D388" s="227"/>
      <c r="E388" s="228"/>
      <c r="F388" s="33"/>
      <c r="G388" s="852"/>
      <c r="H388" s="112"/>
      <c r="I388" s="30">
        <f t="shared" si="12"/>
        <v>0</v>
      </c>
      <c r="J388" s="31"/>
      <c r="K388" s="39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</row>
    <row r="389">
      <c r="A389" s="224"/>
      <c r="B389" s="100">
        <v>44573.0</v>
      </c>
      <c r="C389" s="225"/>
      <c r="D389" s="227"/>
      <c r="E389" s="228"/>
      <c r="F389" s="33"/>
      <c r="G389" s="852"/>
      <c r="H389" s="112"/>
      <c r="I389" s="30">
        <f t="shared" si="12"/>
        <v>0</v>
      </c>
      <c r="J389" s="31"/>
      <c r="K389" s="39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</row>
    <row r="390">
      <c r="A390" s="224"/>
      <c r="B390" s="100">
        <v>44574.0</v>
      </c>
      <c r="C390" s="225"/>
      <c r="D390" s="227"/>
      <c r="E390" s="228"/>
      <c r="F390" s="33"/>
      <c r="G390" s="852"/>
      <c r="H390" s="112"/>
      <c r="I390" s="30">
        <f t="shared" si="12"/>
        <v>0</v>
      </c>
      <c r="J390" s="31"/>
      <c r="K390" s="39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</row>
    <row r="391">
      <c r="A391" s="224"/>
      <c r="B391" s="100">
        <v>44575.0</v>
      </c>
      <c r="C391" s="225"/>
      <c r="D391" s="227"/>
      <c r="E391" s="228"/>
      <c r="F391" s="33"/>
      <c r="G391" s="852"/>
      <c r="H391" s="112"/>
      <c r="I391" s="30">
        <f t="shared" si="12"/>
        <v>0</v>
      </c>
      <c r="J391" s="31"/>
      <c r="K391" s="39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</row>
    <row r="392">
      <c r="A392" s="224"/>
      <c r="B392" s="100">
        <v>44576.0</v>
      </c>
      <c r="C392" s="225"/>
      <c r="D392" s="227"/>
      <c r="E392" s="228"/>
      <c r="F392" s="33"/>
      <c r="G392" s="852"/>
      <c r="H392" s="112"/>
      <c r="I392" s="30">
        <f t="shared" si="12"/>
        <v>0</v>
      </c>
      <c r="J392" s="31"/>
      <c r="K392" s="39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</row>
    <row r="393">
      <c r="A393" s="224"/>
      <c r="B393" s="100">
        <v>44577.0</v>
      </c>
      <c r="C393" s="225"/>
      <c r="D393" s="227"/>
      <c r="E393" s="228"/>
      <c r="F393" s="33"/>
      <c r="G393" s="852"/>
      <c r="H393" s="112"/>
      <c r="I393" s="30">
        <f t="shared" si="12"/>
        <v>0</v>
      </c>
      <c r="J393" s="31"/>
      <c r="K393" s="39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</row>
    <row r="394">
      <c r="A394" s="224"/>
      <c r="B394" s="100">
        <v>44578.0</v>
      </c>
      <c r="C394" s="225"/>
      <c r="D394" s="227"/>
      <c r="E394" s="228"/>
      <c r="F394" s="33"/>
      <c r="G394" s="852"/>
      <c r="H394" s="112"/>
      <c r="I394" s="30">
        <f t="shared" si="12"/>
        <v>0</v>
      </c>
      <c r="J394" s="31"/>
      <c r="K394" s="39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</row>
    <row r="395">
      <c r="A395" s="224"/>
      <c r="B395" s="100">
        <v>44579.0</v>
      </c>
      <c r="C395" s="225"/>
      <c r="D395" s="227"/>
      <c r="E395" s="228"/>
      <c r="F395" s="33"/>
      <c r="G395" s="852"/>
      <c r="H395" s="112"/>
      <c r="I395" s="30">
        <f t="shared" si="12"/>
        <v>0</v>
      </c>
      <c r="J395" s="31"/>
      <c r="K395" s="39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</row>
    <row r="396">
      <c r="A396" s="224"/>
      <c r="B396" s="100">
        <v>44580.0</v>
      </c>
      <c r="C396" s="225"/>
      <c r="D396" s="227"/>
      <c r="E396" s="228"/>
      <c r="F396" s="33"/>
      <c r="G396" s="852"/>
      <c r="H396" s="112"/>
      <c r="I396" s="30">
        <f t="shared" si="12"/>
        <v>0</v>
      </c>
      <c r="J396" s="31"/>
      <c r="K396" s="39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</row>
    <row r="397">
      <c r="A397" s="224"/>
      <c r="B397" s="100">
        <v>44581.0</v>
      </c>
      <c r="C397" s="225"/>
      <c r="D397" s="227"/>
      <c r="E397" s="228"/>
      <c r="F397" s="33"/>
      <c r="G397" s="852"/>
      <c r="H397" s="112"/>
      <c r="I397" s="30">
        <f t="shared" si="12"/>
        <v>0</v>
      </c>
      <c r="J397" s="31"/>
      <c r="K397" s="39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</row>
    <row r="398">
      <c r="A398" s="224"/>
      <c r="B398" s="100">
        <v>44582.0</v>
      </c>
      <c r="C398" s="225"/>
      <c r="D398" s="227"/>
      <c r="E398" s="228"/>
      <c r="F398" s="33"/>
      <c r="G398" s="852"/>
      <c r="H398" s="112"/>
      <c r="I398" s="30">
        <f t="shared" si="12"/>
        <v>0</v>
      </c>
      <c r="J398" s="31"/>
      <c r="K398" s="39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</row>
    <row r="399">
      <c r="A399" s="224"/>
      <c r="B399" s="100">
        <v>44583.0</v>
      </c>
      <c r="C399" s="225"/>
      <c r="D399" s="227"/>
      <c r="E399" s="228"/>
      <c r="F399" s="33"/>
      <c r="G399" s="852"/>
      <c r="H399" s="112"/>
      <c r="I399" s="30">
        <f t="shared" si="12"/>
        <v>0</v>
      </c>
      <c r="J399" s="31"/>
      <c r="K399" s="39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</row>
    <row r="400">
      <c r="A400" s="224"/>
      <c r="B400" s="100">
        <v>44584.0</v>
      </c>
      <c r="C400" s="225"/>
      <c r="D400" s="227"/>
      <c r="E400" s="228"/>
      <c r="F400" s="33"/>
      <c r="G400" s="852"/>
      <c r="H400" s="112"/>
      <c r="I400" s="30">
        <f t="shared" si="12"/>
        <v>0</v>
      </c>
      <c r="J400" s="31"/>
      <c r="K400" s="39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</row>
    <row r="401">
      <c r="A401" s="224"/>
      <c r="B401" s="100">
        <v>44585.0</v>
      </c>
      <c r="C401" s="225"/>
      <c r="D401" s="227"/>
      <c r="E401" s="228"/>
      <c r="F401" s="33"/>
      <c r="G401" s="852"/>
      <c r="H401" s="112"/>
      <c r="I401" s="30">
        <f t="shared" si="12"/>
        <v>0</v>
      </c>
      <c r="J401" s="31"/>
      <c r="K401" s="39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</row>
    <row r="402">
      <c r="A402" s="224"/>
      <c r="B402" s="100">
        <v>44586.0</v>
      </c>
      <c r="C402" s="225"/>
      <c r="D402" s="227"/>
      <c r="E402" s="228"/>
      <c r="F402" s="33"/>
      <c r="G402" s="852"/>
      <c r="H402" s="112"/>
      <c r="I402" s="30">
        <f t="shared" si="12"/>
        <v>0</v>
      </c>
      <c r="J402" s="31"/>
      <c r="K402" s="39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</row>
    <row r="403">
      <c r="A403" s="224"/>
      <c r="B403" s="229"/>
      <c r="C403" s="225"/>
      <c r="D403" s="227"/>
      <c r="E403" s="228"/>
      <c r="F403" s="33"/>
      <c r="G403" s="852"/>
      <c r="H403" s="112"/>
      <c r="I403" s="30">
        <f t="shared" si="12"/>
        <v>0</v>
      </c>
      <c r="J403" s="31"/>
      <c r="K403" s="39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</row>
    <row r="404">
      <c r="A404" s="224"/>
      <c r="B404" s="229"/>
      <c r="C404" s="225"/>
      <c r="D404" s="227"/>
      <c r="E404" s="228"/>
      <c r="F404" s="33"/>
      <c r="G404" s="852"/>
      <c r="H404" s="112"/>
      <c r="I404" s="30">
        <f t="shared" si="12"/>
        <v>0</v>
      </c>
      <c r="J404" s="31"/>
      <c r="K404" s="39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</row>
    <row r="405">
      <c r="A405" s="224"/>
      <c r="B405" s="229"/>
      <c r="C405" s="225"/>
      <c r="D405" s="227"/>
      <c r="E405" s="228"/>
      <c r="F405" s="33"/>
      <c r="G405" s="852"/>
      <c r="H405" s="112"/>
      <c r="I405" s="30">
        <f t="shared" si="12"/>
        <v>0</v>
      </c>
      <c r="J405" s="31"/>
      <c r="K405" s="39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</row>
    <row r="406">
      <c r="A406" s="224"/>
      <c r="B406" s="229"/>
      <c r="C406" s="225"/>
      <c r="D406" s="227"/>
      <c r="E406" s="228"/>
      <c r="F406" s="33"/>
      <c r="G406" s="852"/>
      <c r="H406" s="112"/>
      <c r="I406" s="30">
        <f t="shared" si="12"/>
        <v>0</v>
      </c>
      <c r="J406" s="31"/>
      <c r="K406" s="39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</row>
    <row r="407">
      <c r="A407" s="224"/>
      <c r="B407" s="229"/>
      <c r="C407" s="225"/>
      <c r="D407" s="227"/>
      <c r="E407" s="228"/>
      <c r="F407" s="33"/>
      <c r="G407" s="852"/>
      <c r="H407" s="112"/>
      <c r="I407" s="30">
        <f t="shared" si="12"/>
        <v>0</v>
      </c>
      <c r="J407" s="31"/>
      <c r="K407" s="39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</row>
    <row r="408">
      <c r="A408" s="224"/>
      <c r="B408" s="229"/>
      <c r="C408" s="225"/>
      <c r="D408" s="227"/>
      <c r="E408" s="228"/>
      <c r="F408" s="33"/>
      <c r="G408" s="852"/>
      <c r="H408" s="112"/>
      <c r="I408" s="30">
        <f t="shared" si="12"/>
        <v>0</v>
      </c>
      <c r="J408" s="31"/>
      <c r="K408" s="39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</row>
    <row r="409">
      <c r="A409" s="224"/>
      <c r="B409" s="229"/>
      <c r="C409" s="225"/>
      <c r="D409" s="227"/>
      <c r="E409" s="228"/>
      <c r="F409" s="33"/>
      <c r="G409" s="852"/>
      <c r="H409" s="112"/>
      <c r="I409" s="30">
        <f t="shared" si="12"/>
        <v>0</v>
      </c>
      <c r="J409" s="31"/>
      <c r="K409" s="39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</row>
    <row r="410">
      <c r="A410" s="224"/>
      <c r="B410" s="229"/>
      <c r="C410" s="225"/>
      <c r="D410" s="227"/>
      <c r="E410" s="228"/>
      <c r="F410" s="33"/>
      <c r="G410" s="852"/>
      <c r="H410" s="112"/>
      <c r="I410" s="30">
        <f t="shared" si="12"/>
        <v>0</v>
      </c>
      <c r="J410" s="31"/>
      <c r="K410" s="39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</row>
    <row r="411">
      <c r="A411" s="224"/>
      <c r="B411" s="229"/>
      <c r="C411" s="225"/>
      <c r="D411" s="227"/>
      <c r="E411" s="228"/>
      <c r="F411" s="33"/>
      <c r="G411" s="852"/>
      <c r="H411" s="112"/>
      <c r="I411" s="30">
        <f t="shared" si="12"/>
        <v>0</v>
      </c>
      <c r="J411" s="31"/>
      <c r="K411" s="39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</row>
    <row r="412">
      <c r="A412" s="224"/>
      <c r="B412" s="229"/>
      <c r="C412" s="225"/>
      <c r="D412" s="227"/>
      <c r="E412" s="228"/>
      <c r="F412" s="33"/>
      <c r="G412" s="852"/>
      <c r="H412" s="112"/>
      <c r="I412" s="30">
        <f t="shared" si="12"/>
        <v>0</v>
      </c>
      <c r="J412" s="31"/>
      <c r="K412" s="39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</row>
    <row r="413">
      <c r="A413" s="224"/>
      <c r="B413" s="229"/>
      <c r="C413" s="225"/>
      <c r="D413" s="227"/>
      <c r="E413" s="228"/>
      <c r="F413" s="33"/>
      <c r="G413" s="852"/>
      <c r="H413" s="112"/>
      <c r="I413" s="30">
        <f t="shared" si="12"/>
        <v>0</v>
      </c>
      <c r="J413" s="31"/>
      <c r="K413" s="39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</row>
    <row r="414">
      <c r="A414" s="224"/>
      <c r="B414" s="229"/>
      <c r="C414" s="225"/>
      <c r="D414" s="227"/>
      <c r="E414" s="228"/>
      <c r="F414" s="33"/>
      <c r="G414" s="852"/>
      <c r="H414" s="112"/>
      <c r="I414" s="30">
        <f t="shared" si="12"/>
        <v>0</v>
      </c>
      <c r="J414" s="31"/>
      <c r="K414" s="39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</row>
    <row r="415">
      <c r="A415" s="224"/>
      <c r="B415" s="229"/>
      <c r="C415" s="225"/>
      <c r="D415" s="227"/>
      <c r="E415" s="228"/>
      <c r="F415" s="33"/>
      <c r="G415" s="852"/>
      <c r="H415" s="112"/>
      <c r="I415" s="30">
        <f t="shared" si="12"/>
        <v>0</v>
      </c>
      <c r="J415" s="31"/>
      <c r="K415" s="39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</row>
    <row r="416">
      <c r="A416" s="224"/>
      <c r="B416" s="229"/>
      <c r="C416" s="225"/>
      <c r="D416" s="227"/>
      <c r="E416" s="228"/>
      <c r="F416" s="33"/>
      <c r="G416" s="852"/>
      <c r="H416" s="112"/>
      <c r="I416" s="30">
        <f t="shared" si="12"/>
        <v>0</v>
      </c>
      <c r="J416" s="31"/>
      <c r="K416" s="39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</row>
    <row r="417">
      <c r="A417" s="224"/>
      <c r="B417" s="229"/>
      <c r="C417" s="225"/>
      <c r="D417" s="227"/>
      <c r="E417" s="228"/>
      <c r="F417" s="33"/>
      <c r="G417" s="852"/>
      <c r="H417" s="112"/>
      <c r="I417" s="30">
        <f t="shared" si="12"/>
        <v>0</v>
      </c>
      <c r="J417" s="31"/>
      <c r="K417" s="39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</row>
    <row r="418">
      <c r="A418" s="224"/>
      <c r="B418" s="229"/>
      <c r="C418" s="225"/>
      <c r="D418" s="227"/>
      <c r="E418" s="228"/>
      <c r="F418" s="33"/>
      <c r="G418" s="852"/>
      <c r="H418" s="112"/>
      <c r="I418" s="230"/>
      <c r="J418" s="31"/>
      <c r="K418" s="39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</row>
    <row r="419">
      <c r="A419" s="224"/>
      <c r="B419" s="229"/>
      <c r="C419" s="225"/>
      <c r="D419" s="227"/>
      <c r="E419" s="228"/>
      <c r="F419" s="33"/>
      <c r="G419" s="852"/>
      <c r="H419" s="112"/>
      <c r="I419" s="230"/>
      <c r="J419" s="31"/>
      <c r="K419" s="39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</row>
    <row r="420">
      <c r="A420" s="224"/>
      <c r="B420" s="229"/>
      <c r="C420" s="225"/>
      <c r="D420" s="227"/>
      <c r="E420" s="228"/>
      <c r="F420" s="33"/>
      <c r="G420" s="852"/>
      <c r="H420" s="112"/>
      <c r="I420" s="230"/>
      <c r="J420" s="31"/>
      <c r="K420" s="39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</row>
    <row r="421">
      <c r="A421" s="224"/>
      <c r="B421" s="229"/>
      <c r="C421" s="225"/>
      <c r="D421" s="227"/>
      <c r="E421" s="228"/>
      <c r="F421" s="33"/>
      <c r="G421" s="852"/>
      <c r="H421" s="112"/>
      <c r="I421" s="230"/>
      <c r="J421" s="31"/>
      <c r="K421" s="39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</row>
    <row r="422">
      <c r="A422" s="224"/>
      <c r="B422" s="229"/>
      <c r="C422" s="225"/>
      <c r="D422" s="227"/>
      <c r="E422" s="228"/>
      <c r="F422" s="33"/>
      <c r="G422" s="852"/>
      <c r="H422" s="112"/>
      <c r="I422" s="230"/>
      <c r="J422" s="31"/>
      <c r="K422" s="39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</row>
    <row r="423">
      <c r="A423" s="224"/>
      <c r="B423" s="229"/>
      <c r="C423" s="225"/>
      <c r="D423" s="227"/>
      <c r="E423" s="228"/>
      <c r="F423" s="33"/>
      <c r="G423" s="852"/>
      <c r="H423" s="112"/>
      <c r="I423" s="230"/>
      <c r="J423" s="31"/>
      <c r="K423" s="39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</row>
    <row r="424">
      <c r="A424" s="224"/>
      <c r="B424" s="229"/>
      <c r="C424" s="225"/>
      <c r="D424" s="227"/>
      <c r="E424" s="228"/>
      <c r="F424" s="33"/>
      <c r="G424" s="852"/>
      <c r="H424" s="112"/>
      <c r="I424" s="230"/>
      <c r="J424" s="31"/>
      <c r="K424" s="39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</row>
    <row r="425">
      <c r="A425" s="224"/>
      <c r="B425" s="229"/>
      <c r="C425" s="225"/>
      <c r="D425" s="227"/>
      <c r="E425" s="228"/>
      <c r="F425" s="33"/>
      <c r="G425" s="852"/>
      <c r="H425" s="112"/>
      <c r="I425" s="230"/>
      <c r="J425" s="31"/>
      <c r="K425" s="39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</row>
    <row r="426">
      <c r="A426" s="224"/>
      <c r="B426" s="229"/>
      <c r="C426" s="225"/>
      <c r="D426" s="227"/>
      <c r="E426" s="228"/>
      <c r="F426" s="33"/>
      <c r="G426" s="852"/>
      <c r="H426" s="112"/>
      <c r="I426" s="230"/>
      <c r="J426" s="31"/>
      <c r="K426" s="39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</row>
    <row r="427">
      <c r="A427" s="224"/>
      <c r="B427" s="229"/>
      <c r="C427" s="225"/>
      <c r="D427" s="227"/>
      <c r="E427" s="228"/>
      <c r="F427" s="33"/>
      <c r="G427" s="852"/>
      <c r="H427" s="112"/>
      <c r="I427" s="230"/>
      <c r="J427" s="31"/>
      <c r="K427" s="39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</row>
    <row r="428">
      <c r="A428" s="224"/>
      <c r="B428" s="229"/>
      <c r="C428" s="225"/>
      <c r="D428" s="227"/>
      <c r="E428" s="228"/>
      <c r="F428" s="33"/>
      <c r="G428" s="852"/>
      <c r="H428" s="112"/>
      <c r="I428" s="230"/>
      <c r="J428" s="31"/>
      <c r="K428" s="39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</row>
    <row r="429">
      <c r="A429" s="224"/>
      <c r="B429" s="229"/>
      <c r="C429" s="225"/>
      <c r="D429" s="227"/>
      <c r="E429" s="228"/>
      <c r="F429" s="33"/>
      <c r="G429" s="852"/>
      <c r="H429" s="112"/>
      <c r="I429" s="230"/>
      <c r="J429" s="31"/>
      <c r="K429" s="39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</row>
    <row r="430">
      <c r="A430" s="224"/>
      <c r="B430" s="229"/>
      <c r="C430" s="225"/>
      <c r="D430" s="227"/>
      <c r="E430" s="228"/>
      <c r="F430" s="33"/>
      <c r="G430" s="852"/>
      <c r="H430" s="112"/>
      <c r="I430" s="230"/>
      <c r="J430" s="31"/>
      <c r="K430" s="39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</row>
    <row r="431">
      <c r="A431" s="224"/>
      <c r="B431" s="229"/>
      <c r="C431" s="225"/>
      <c r="D431" s="227"/>
      <c r="E431" s="228"/>
      <c r="F431" s="33"/>
      <c r="G431" s="852"/>
      <c r="H431" s="112"/>
      <c r="I431" s="230"/>
      <c r="J431" s="31"/>
      <c r="K431" s="39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</row>
    <row r="432">
      <c r="A432" s="224"/>
      <c r="B432" s="229"/>
      <c r="C432" s="225"/>
      <c r="D432" s="227"/>
      <c r="E432" s="228"/>
      <c r="F432" s="33"/>
      <c r="G432" s="852"/>
      <c r="H432" s="112"/>
      <c r="I432" s="230"/>
      <c r="J432" s="31"/>
      <c r="K432" s="39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</row>
    <row r="433">
      <c r="A433" s="224"/>
      <c r="B433" s="229"/>
      <c r="C433" s="225"/>
      <c r="D433" s="227"/>
      <c r="E433" s="228"/>
      <c r="F433" s="33"/>
      <c r="G433" s="852"/>
      <c r="H433" s="112"/>
      <c r="I433" s="230"/>
      <c r="J433" s="31"/>
      <c r="K433" s="39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</row>
    <row r="434">
      <c r="A434" s="224"/>
      <c r="B434" s="229"/>
      <c r="C434" s="225"/>
      <c r="D434" s="227"/>
      <c r="E434" s="228"/>
      <c r="F434" s="33"/>
      <c r="G434" s="852"/>
      <c r="H434" s="112"/>
      <c r="I434" s="230"/>
      <c r="J434" s="31"/>
      <c r="K434" s="39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</row>
    <row r="435">
      <c r="A435" s="224"/>
      <c r="B435" s="229"/>
      <c r="C435" s="225"/>
      <c r="D435" s="227"/>
      <c r="E435" s="228"/>
      <c r="F435" s="33"/>
      <c r="G435" s="852"/>
      <c r="H435" s="112"/>
      <c r="I435" s="230"/>
      <c r="J435" s="31"/>
      <c r="K435" s="39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</row>
    <row r="436">
      <c r="A436" s="224"/>
      <c r="B436" s="229"/>
      <c r="C436" s="225"/>
      <c r="D436" s="227"/>
      <c r="E436" s="228"/>
      <c r="F436" s="33"/>
      <c r="G436" s="852"/>
      <c r="H436" s="112"/>
      <c r="I436" s="230"/>
      <c r="J436" s="31"/>
      <c r="K436" s="39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</row>
    <row r="437">
      <c r="A437" s="224"/>
      <c r="B437" s="229"/>
      <c r="C437" s="225"/>
      <c r="D437" s="227"/>
      <c r="E437" s="228"/>
      <c r="F437" s="33"/>
      <c r="G437" s="852"/>
      <c r="H437" s="112"/>
      <c r="I437" s="230"/>
      <c r="J437" s="31"/>
      <c r="K437" s="39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</row>
    <row r="438">
      <c r="A438" s="224"/>
      <c r="B438" s="229"/>
      <c r="C438" s="225"/>
      <c r="D438" s="227"/>
      <c r="E438" s="228"/>
      <c r="F438" s="33"/>
      <c r="G438" s="852"/>
      <c r="H438" s="112"/>
      <c r="I438" s="230"/>
      <c r="J438" s="31"/>
      <c r="K438" s="39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</row>
    <row r="439">
      <c r="A439" s="224"/>
      <c r="B439" s="229"/>
      <c r="C439" s="225"/>
      <c r="D439" s="227"/>
      <c r="E439" s="228"/>
      <c r="F439" s="33"/>
      <c r="G439" s="852"/>
      <c r="H439" s="112"/>
      <c r="I439" s="230"/>
      <c r="J439" s="31"/>
      <c r="K439" s="39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</row>
    <row r="440">
      <c r="A440" s="224"/>
      <c r="B440" s="229"/>
      <c r="C440" s="225"/>
      <c r="D440" s="227"/>
      <c r="E440" s="228"/>
      <c r="F440" s="33"/>
      <c r="G440" s="852"/>
      <c r="H440" s="112"/>
      <c r="I440" s="230"/>
      <c r="J440" s="31"/>
      <c r="K440" s="39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</row>
    <row r="441">
      <c r="A441" s="224"/>
      <c r="B441" s="229"/>
      <c r="C441" s="225"/>
      <c r="D441" s="227"/>
      <c r="E441" s="228"/>
      <c r="F441" s="33"/>
      <c r="G441" s="852"/>
      <c r="H441" s="112"/>
      <c r="I441" s="230"/>
      <c r="J441" s="31"/>
      <c r="K441" s="39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</row>
    <row r="442">
      <c r="A442" s="224"/>
      <c r="B442" s="229"/>
      <c r="C442" s="225"/>
      <c r="D442" s="227"/>
      <c r="E442" s="228"/>
      <c r="F442" s="33"/>
      <c r="G442" s="852"/>
      <c r="H442" s="112"/>
      <c r="I442" s="230"/>
      <c r="J442" s="31"/>
      <c r="K442" s="39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</row>
    <row r="443">
      <c r="A443" s="224"/>
      <c r="B443" s="229"/>
      <c r="C443" s="225"/>
      <c r="D443" s="227"/>
      <c r="E443" s="228"/>
      <c r="F443" s="33"/>
      <c r="G443" s="852"/>
      <c r="H443" s="112"/>
      <c r="I443" s="230"/>
      <c r="J443" s="31"/>
      <c r="K443" s="39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</row>
    <row r="444">
      <c r="A444" s="224"/>
      <c r="B444" s="229"/>
      <c r="C444" s="225"/>
      <c r="D444" s="227"/>
      <c r="E444" s="228"/>
      <c r="F444" s="33"/>
      <c r="G444" s="852"/>
      <c r="H444" s="112"/>
      <c r="I444" s="230"/>
      <c r="J444" s="31"/>
      <c r="K444" s="39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</row>
    <row r="445">
      <c r="A445" s="224"/>
      <c r="B445" s="229"/>
      <c r="C445" s="225"/>
      <c r="D445" s="227"/>
      <c r="E445" s="228"/>
      <c r="F445" s="33"/>
      <c r="G445" s="852"/>
      <c r="H445" s="112"/>
      <c r="I445" s="230"/>
      <c r="J445" s="31"/>
      <c r="K445" s="39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</row>
    <row r="446">
      <c r="A446" s="224"/>
      <c r="B446" s="229"/>
      <c r="C446" s="225"/>
      <c r="D446" s="227"/>
      <c r="E446" s="228"/>
      <c r="F446" s="33"/>
      <c r="G446" s="852"/>
      <c r="H446" s="112"/>
      <c r="I446" s="230"/>
      <c r="J446" s="31"/>
      <c r="K446" s="39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</row>
    <row r="447">
      <c r="A447" s="224"/>
      <c r="B447" s="229"/>
      <c r="C447" s="225"/>
      <c r="D447" s="227"/>
      <c r="E447" s="228"/>
      <c r="F447" s="33"/>
      <c r="G447" s="852"/>
      <c r="H447" s="112"/>
      <c r="I447" s="230"/>
      <c r="J447" s="31"/>
      <c r="K447" s="39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</row>
    <row r="448">
      <c r="A448" s="224"/>
      <c r="B448" s="229"/>
      <c r="C448" s="225"/>
      <c r="D448" s="227"/>
      <c r="E448" s="228"/>
      <c r="F448" s="33"/>
      <c r="G448" s="852"/>
      <c r="H448" s="112"/>
      <c r="I448" s="230"/>
      <c r="J448" s="31"/>
      <c r="K448" s="39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</row>
    <row r="449">
      <c r="A449" s="224"/>
      <c r="B449" s="229"/>
      <c r="C449" s="225"/>
      <c r="D449" s="227"/>
      <c r="E449" s="228"/>
      <c r="F449" s="33"/>
      <c r="G449" s="852"/>
      <c r="H449" s="112"/>
      <c r="I449" s="230"/>
      <c r="J449" s="31"/>
      <c r="K449" s="39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</row>
    <row r="450">
      <c r="A450" s="224"/>
      <c r="B450" s="229"/>
      <c r="C450" s="225"/>
      <c r="D450" s="227"/>
      <c r="E450" s="228"/>
      <c r="F450" s="33"/>
      <c r="G450" s="852"/>
      <c r="H450" s="112"/>
      <c r="I450" s="230"/>
      <c r="J450" s="31"/>
      <c r="K450" s="39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</row>
    <row r="451">
      <c r="A451" s="224"/>
      <c r="B451" s="229"/>
      <c r="C451" s="225"/>
      <c r="D451" s="227"/>
      <c r="E451" s="228"/>
      <c r="F451" s="33"/>
      <c r="G451" s="852"/>
      <c r="H451" s="112"/>
      <c r="I451" s="230"/>
      <c r="J451" s="31"/>
      <c r="K451" s="39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</row>
    <row r="452">
      <c r="A452" s="224"/>
      <c r="B452" s="229"/>
      <c r="C452" s="225"/>
      <c r="D452" s="227"/>
      <c r="E452" s="228"/>
      <c r="F452" s="33"/>
      <c r="G452" s="852"/>
      <c r="H452" s="112"/>
      <c r="I452" s="230"/>
      <c r="J452" s="31"/>
      <c r="K452" s="39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</row>
    <row r="453">
      <c r="A453" s="224"/>
      <c r="B453" s="229"/>
      <c r="C453" s="225"/>
      <c r="D453" s="227"/>
      <c r="E453" s="228"/>
      <c r="F453" s="33"/>
      <c r="G453" s="852"/>
      <c r="H453" s="112"/>
      <c r="I453" s="230"/>
      <c r="J453" s="31"/>
      <c r="K453" s="39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</row>
    <row r="454">
      <c r="A454" s="224"/>
      <c r="B454" s="229"/>
      <c r="C454" s="225"/>
      <c r="D454" s="227"/>
      <c r="E454" s="228"/>
      <c r="F454" s="33"/>
      <c r="G454" s="852"/>
      <c r="H454" s="112"/>
      <c r="I454" s="230"/>
      <c r="J454" s="31"/>
      <c r="K454" s="39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</row>
    <row r="455">
      <c r="A455" s="224"/>
      <c r="B455" s="229"/>
      <c r="C455" s="225"/>
      <c r="D455" s="227"/>
      <c r="E455" s="228"/>
      <c r="F455" s="33"/>
      <c r="G455" s="852"/>
      <c r="H455" s="112"/>
      <c r="I455" s="230"/>
      <c r="J455" s="31"/>
      <c r="K455" s="39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</row>
    <row r="456">
      <c r="A456" s="224"/>
      <c r="B456" s="229"/>
      <c r="C456" s="225"/>
      <c r="D456" s="227"/>
      <c r="E456" s="228"/>
      <c r="F456" s="33"/>
      <c r="G456" s="852"/>
      <c r="H456" s="112"/>
      <c r="I456" s="230"/>
      <c r="J456" s="31"/>
      <c r="K456" s="39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</row>
    <row r="457">
      <c r="A457" s="224"/>
      <c r="B457" s="229"/>
      <c r="C457" s="225"/>
      <c r="D457" s="227"/>
      <c r="E457" s="228"/>
      <c r="F457" s="33"/>
      <c r="G457" s="852"/>
      <c r="H457" s="112"/>
      <c r="I457" s="230"/>
      <c r="J457" s="31"/>
      <c r="K457" s="39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</row>
    <row r="458">
      <c r="A458" s="224"/>
      <c r="B458" s="229"/>
      <c r="C458" s="225"/>
      <c r="D458" s="227"/>
      <c r="E458" s="228"/>
      <c r="F458" s="33"/>
      <c r="G458" s="852"/>
      <c r="H458" s="112"/>
      <c r="I458" s="230"/>
      <c r="J458" s="31"/>
      <c r="K458" s="39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</row>
    <row r="459">
      <c r="A459" s="224"/>
      <c r="B459" s="229"/>
      <c r="C459" s="225"/>
      <c r="D459" s="227"/>
      <c r="E459" s="228"/>
      <c r="F459" s="33"/>
      <c r="G459" s="852"/>
      <c r="H459" s="112"/>
      <c r="I459" s="230"/>
      <c r="J459" s="31"/>
      <c r="K459" s="39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</row>
    <row r="460">
      <c r="A460" s="224"/>
      <c r="B460" s="229"/>
      <c r="C460" s="225"/>
      <c r="D460" s="227"/>
      <c r="E460" s="228"/>
      <c r="F460" s="33"/>
      <c r="G460" s="852"/>
      <c r="H460" s="112"/>
      <c r="I460" s="230"/>
      <c r="J460" s="31"/>
      <c r="K460" s="39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</row>
    <row r="461">
      <c r="A461" s="224"/>
      <c r="B461" s="229"/>
      <c r="C461" s="225"/>
      <c r="D461" s="227"/>
      <c r="E461" s="228"/>
      <c r="F461" s="33"/>
      <c r="G461" s="852"/>
      <c r="H461" s="112"/>
      <c r="I461" s="230"/>
      <c r="J461" s="31"/>
      <c r="K461" s="39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</row>
    <row r="462">
      <c r="A462" s="224"/>
      <c r="B462" s="229"/>
      <c r="C462" s="225"/>
      <c r="D462" s="227"/>
      <c r="E462" s="228"/>
      <c r="F462" s="33"/>
      <c r="G462" s="852"/>
      <c r="H462" s="112"/>
      <c r="I462" s="230"/>
      <c r="J462" s="31"/>
      <c r="K462" s="39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</row>
    <row r="463">
      <c r="A463" s="224"/>
      <c r="B463" s="229"/>
      <c r="C463" s="225"/>
      <c r="D463" s="227"/>
      <c r="E463" s="228"/>
      <c r="F463" s="33"/>
      <c r="G463" s="852"/>
      <c r="H463" s="112"/>
      <c r="I463" s="230"/>
      <c r="J463" s="31"/>
      <c r="K463" s="39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</row>
    <row r="464">
      <c r="A464" s="224"/>
      <c r="B464" s="229"/>
      <c r="C464" s="225"/>
      <c r="D464" s="227"/>
      <c r="E464" s="228"/>
      <c r="F464" s="33"/>
      <c r="G464" s="852"/>
      <c r="H464" s="112"/>
      <c r="I464" s="230"/>
      <c r="J464" s="31"/>
      <c r="K464" s="39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</row>
    <row r="465">
      <c r="A465" s="224"/>
      <c r="B465" s="229"/>
      <c r="C465" s="225"/>
      <c r="D465" s="227"/>
      <c r="E465" s="228"/>
      <c r="F465" s="33"/>
      <c r="G465" s="852"/>
      <c r="H465" s="112"/>
      <c r="I465" s="230"/>
      <c r="J465" s="31"/>
      <c r="K465" s="39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</row>
    <row r="466">
      <c r="A466" s="224"/>
      <c r="B466" s="229"/>
      <c r="C466" s="225"/>
      <c r="D466" s="227"/>
      <c r="E466" s="228"/>
      <c r="F466" s="33"/>
      <c r="G466" s="852"/>
      <c r="H466" s="112"/>
      <c r="I466" s="230"/>
      <c r="J466" s="31"/>
      <c r="K466" s="39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</row>
    <row r="467">
      <c r="A467" s="224"/>
      <c r="B467" s="229"/>
      <c r="C467" s="225"/>
      <c r="D467" s="227"/>
      <c r="E467" s="228"/>
      <c r="F467" s="33"/>
      <c r="G467" s="852"/>
      <c r="H467" s="112"/>
      <c r="I467" s="230"/>
      <c r="J467" s="31"/>
      <c r="K467" s="39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</row>
    <row r="468">
      <c r="A468" s="224"/>
      <c r="B468" s="229"/>
      <c r="C468" s="225"/>
      <c r="D468" s="227"/>
      <c r="E468" s="228"/>
      <c r="F468" s="33"/>
      <c r="G468" s="852"/>
      <c r="H468" s="112"/>
      <c r="I468" s="230"/>
      <c r="J468" s="31"/>
      <c r="K468" s="39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</row>
    <row r="469">
      <c r="A469" s="224"/>
      <c r="B469" s="229"/>
      <c r="C469" s="225"/>
      <c r="D469" s="227"/>
      <c r="E469" s="228"/>
      <c r="F469" s="33"/>
      <c r="G469" s="852"/>
      <c r="H469" s="112"/>
      <c r="I469" s="230"/>
      <c r="J469" s="31"/>
      <c r="K469" s="39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</row>
    <row r="470">
      <c r="A470" s="224"/>
      <c r="B470" s="229"/>
      <c r="C470" s="225"/>
      <c r="D470" s="227"/>
      <c r="E470" s="228"/>
      <c r="F470" s="33"/>
      <c r="G470" s="852"/>
      <c r="H470" s="112"/>
      <c r="I470" s="230"/>
      <c r="J470" s="31"/>
      <c r="K470" s="39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</row>
    <row r="471">
      <c r="A471" s="224"/>
      <c r="B471" s="229"/>
      <c r="C471" s="225"/>
      <c r="D471" s="227"/>
      <c r="E471" s="228"/>
      <c r="F471" s="33"/>
      <c r="G471" s="852"/>
      <c r="H471" s="112"/>
      <c r="I471" s="230"/>
      <c r="J471" s="31"/>
      <c r="K471" s="39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</row>
    <row r="472">
      <c r="A472" s="224"/>
      <c r="B472" s="229"/>
      <c r="C472" s="225"/>
      <c r="D472" s="227"/>
      <c r="E472" s="228"/>
      <c r="F472" s="33"/>
      <c r="G472" s="852"/>
      <c r="H472" s="112"/>
      <c r="I472" s="230"/>
      <c r="J472" s="31"/>
      <c r="K472" s="39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</row>
    <row r="473">
      <c r="A473" s="224"/>
      <c r="B473" s="229"/>
      <c r="C473" s="225"/>
      <c r="D473" s="227"/>
      <c r="E473" s="228"/>
      <c r="F473" s="33"/>
      <c r="G473" s="852"/>
      <c r="H473" s="112"/>
      <c r="I473" s="230"/>
      <c r="J473" s="31"/>
      <c r="K473" s="39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</row>
    <row r="474">
      <c r="A474" s="224"/>
      <c r="B474" s="229"/>
      <c r="C474" s="225"/>
      <c r="D474" s="227"/>
      <c r="E474" s="228"/>
      <c r="F474" s="33"/>
      <c r="G474" s="852"/>
      <c r="H474" s="112"/>
      <c r="I474" s="230"/>
      <c r="J474" s="31"/>
      <c r="K474" s="39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</row>
    <row r="475">
      <c r="A475" s="224"/>
      <c r="B475" s="229"/>
      <c r="C475" s="225"/>
      <c r="D475" s="227"/>
      <c r="E475" s="228"/>
      <c r="F475" s="33"/>
      <c r="G475" s="852"/>
      <c r="H475" s="112"/>
      <c r="I475" s="230"/>
      <c r="J475" s="31"/>
      <c r="K475" s="39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</row>
    <row r="476">
      <c r="A476" s="224"/>
      <c r="B476" s="229"/>
      <c r="C476" s="225"/>
      <c r="D476" s="227"/>
      <c r="E476" s="228"/>
      <c r="F476" s="33"/>
      <c r="G476" s="852"/>
      <c r="H476" s="112"/>
      <c r="I476" s="230"/>
      <c r="J476" s="31"/>
      <c r="K476" s="39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</row>
    <row r="477">
      <c r="A477" s="224"/>
      <c r="B477" s="229"/>
      <c r="C477" s="225"/>
      <c r="D477" s="227"/>
      <c r="E477" s="228"/>
      <c r="F477" s="33"/>
      <c r="G477" s="852"/>
      <c r="H477" s="112"/>
      <c r="I477" s="230"/>
      <c r="J477" s="31"/>
      <c r="K477" s="39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</row>
    <row r="478">
      <c r="A478" s="224"/>
      <c r="B478" s="229"/>
      <c r="C478" s="225"/>
      <c r="D478" s="227"/>
      <c r="E478" s="228"/>
      <c r="F478" s="33"/>
      <c r="G478" s="852"/>
      <c r="H478" s="112"/>
      <c r="I478" s="230"/>
      <c r="J478" s="31"/>
      <c r="K478" s="39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</row>
    <row r="479">
      <c r="A479" s="224"/>
      <c r="B479" s="229"/>
      <c r="C479" s="225"/>
      <c r="D479" s="227"/>
      <c r="E479" s="228"/>
      <c r="F479" s="33"/>
      <c r="G479" s="852"/>
      <c r="H479" s="112"/>
      <c r="I479" s="230"/>
      <c r="J479" s="31"/>
      <c r="K479" s="39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</row>
    <row r="480">
      <c r="A480" s="224"/>
      <c r="B480" s="229"/>
      <c r="C480" s="225"/>
      <c r="D480" s="227"/>
      <c r="E480" s="228"/>
      <c r="F480" s="33"/>
      <c r="G480" s="852"/>
      <c r="H480" s="112"/>
      <c r="I480" s="230"/>
      <c r="J480" s="31"/>
      <c r="K480" s="39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</row>
    <row r="481">
      <c r="A481" s="224"/>
      <c r="B481" s="229"/>
      <c r="C481" s="225"/>
      <c r="D481" s="227"/>
      <c r="E481" s="228"/>
      <c r="F481" s="33"/>
      <c r="G481" s="852"/>
      <c r="H481" s="112"/>
      <c r="I481" s="230"/>
      <c r="J481" s="31"/>
      <c r="K481" s="39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</row>
    <row r="482">
      <c r="A482" s="224"/>
      <c r="B482" s="229"/>
      <c r="C482" s="225"/>
      <c r="D482" s="227"/>
      <c r="E482" s="228"/>
      <c r="F482" s="33"/>
      <c r="G482" s="852"/>
      <c r="H482" s="112"/>
      <c r="I482" s="230"/>
      <c r="J482" s="31"/>
      <c r="K482" s="39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</row>
    <row r="483">
      <c r="A483" s="224"/>
      <c r="B483" s="229"/>
      <c r="C483" s="225"/>
      <c r="D483" s="227"/>
      <c r="E483" s="228"/>
      <c r="F483" s="33"/>
      <c r="G483" s="852"/>
      <c r="H483" s="112"/>
      <c r="I483" s="230"/>
      <c r="J483" s="31"/>
      <c r="K483" s="39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</row>
    <row r="484">
      <c r="A484" s="224"/>
      <c r="B484" s="229"/>
      <c r="C484" s="225"/>
      <c r="D484" s="227"/>
      <c r="E484" s="228"/>
      <c r="F484" s="33"/>
      <c r="G484" s="852"/>
      <c r="H484" s="112"/>
      <c r="I484" s="230"/>
      <c r="J484" s="31"/>
      <c r="K484" s="39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</row>
    <row r="485">
      <c r="A485" s="224"/>
      <c r="B485" s="229"/>
      <c r="C485" s="225"/>
      <c r="D485" s="227"/>
      <c r="E485" s="228"/>
      <c r="F485" s="33"/>
      <c r="G485" s="852"/>
      <c r="H485" s="112"/>
      <c r="I485" s="230"/>
      <c r="J485" s="31"/>
      <c r="K485" s="39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</row>
    <row r="486">
      <c r="A486" s="224"/>
      <c r="B486" s="229"/>
      <c r="C486" s="225"/>
      <c r="D486" s="227"/>
      <c r="E486" s="228"/>
      <c r="F486" s="33"/>
      <c r="G486" s="852"/>
      <c r="H486" s="112"/>
      <c r="I486" s="230"/>
      <c r="J486" s="31"/>
      <c r="K486" s="39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</row>
    <row r="487">
      <c r="A487" s="224"/>
      <c r="B487" s="229"/>
      <c r="C487" s="225"/>
      <c r="D487" s="227"/>
      <c r="E487" s="228"/>
      <c r="F487" s="33"/>
      <c r="G487" s="852"/>
      <c r="H487" s="112"/>
      <c r="I487" s="230"/>
      <c r="J487" s="31"/>
      <c r="K487" s="39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</row>
    <row r="488">
      <c r="A488" s="224"/>
      <c r="B488" s="229"/>
      <c r="C488" s="225"/>
      <c r="D488" s="227"/>
      <c r="E488" s="228"/>
      <c r="F488" s="33"/>
      <c r="G488" s="852"/>
      <c r="H488" s="112"/>
      <c r="I488" s="230"/>
      <c r="J488" s="31"/>
      <c r="K488" s="39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</row>
    <row r="489">
      <c r="A489" s="224"/>
      <c r="B489" s="229"/>
      <c r="C489" s="225"/>
      <c r="D489" s="227"/>
      <c r="E489" s="228"/>
      <c r="F489" s="33"/>
      <c r="G489" s="852"/>
      <c r="H489" s="112"/>
      <c r="I489" s="230"/>
      <c r="J489" s="31"/>
      <c r="K489" s="39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</row>
    <row r="490">
      <c r="A490" s="224"/>
      <c r="B490" s="229"/>
      <c r="C490" s="225"/>
      <c r="D490" s="227"/>
      <c r="E490" s="228"/>
      <c r="F490" s="33"/>
      <c r="G490" s="852"/>
      <c r="H490" s="112"/>
      <c r="I490" s="230"/>
      <c r="J490" s="31"/>
      <c r="K490" s="39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</row>
    <row r="491">
      <c r="A491" s="224"/>
      <c r="B491" s="229"/>
      <c r="C491" s="225"/>
      <c r="D491" s="227"/>
      <c r="E491" s="228"/>
      <c r="F491" s="33"/>
      <c r="G491" s="852"/>
      <c r="H491" s="112"/>
      <c r="I491" s="230"/>
      <c r="J491" s="31"/>
      <c r="K491" s="39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</row>
    <row r="492">
      <c r="A492" s="224"/>
      <c r="B492" s="229"/>
      <c r="C492" s="225"/>
      <c r="D492" s="227"/>
      <c r="E492" s="228"/>
      <c r="F492" s="33"/>
      <c r="G492" s="852"/>
      <c r="H492" s="112"/>
      <c r="I492" s="230"/>
      <c r="J492" s="31"/>
      <c r="K492" s="39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</row>
    <row r="493">
      <c r="A493" s="224"/>
      <c r="B493" s="229"/>
      <c r="C493" s="225"/>
      <c r="D493" s="227"/>
      <c r="E493" s="228"/>
      <c r="F493" s="33"/>
      <c r="G493" s="852"/>
      <c r="H493" s="112"/>
      <c r="I493" s="230"/>
      <c r="J493" s="31"/>
      <c r="K493" s="39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</row>
    <row r="494">
      <c r="A494" s="224"/>
      <c r="B494" s="229"/>
      <c r="C494" s="225"/>
      <c r="D494" s="227"/>
      <c r="E494" s="228"/>
      <c r="F494" s="33"/>
      <c r="G494" s="852"/>
      <c r="H494" s="112"/>
      <c r="I494" s="230"/>
      <c r="J494" s="31"/>
      <c r="K494" s="39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</row>
    <row r="495">
      <c r="A495" s="224"/>
      <c r="B495" s="229"/>
      <c r="C495" s="225"/>
      <c r="D495" s="227"/>
      <c r="E495" s="228"/>
      <c r="F495" s="33"/>
      <c r="G495" s="852"/>
      <c r="H495" s="112"/>
      <c r="I495" s="230"/>
      <c r="J495" s="31"/>
      <c r="K495" s="39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</row>
    <row r="496">
      <c r="A496" s="224"/>
      <c r="B496" s="229"/>
      <c r="C496" s="225"/>
      <c r="D496" s="227"/>
      <c r="E496" s="228"/>
      <c r="F496" s="33"/>
      <c r="G496" s="852"/>
      <c r="H496" s="112"/>
      <c r="I496" s="230"/>
      <c r="J496" s="31"/>
      <c r="K496" s="39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</row>
    <row r="497">
      <c r="A497" s="224"/>
      <c r="B497" s="229"/>
      <c r="C497" s="225"/>
      <c r="D497" s="227"/>
      <c r="E497" s="228"/>
      <c r="F497" s="33"/>
      <c r="G497" s="852"/>
      <c r="H497" s="112"/>
      <c r="I497" s="230"/>
      <c r="J497" s="31"/>
      <c r="K497" s="39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</row>
    <row r="498">
      <c r="A498" s="224"/>
      <c r="B498" s="229"/>
      <c r="C498" s="225"/>
      <c r="D498" s="227"/>
      <c r="E498" s="228"/>
      <c r="F498" s="33"/>
      <c r="G498" s="852"/>
      <c r="H498" s="112"/>
      <c r="I498" s="230"/>
      <c r="J498" s="31"/>
      <c r="K498" s="39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</row>
    <row r="499">
      <c r="A499" s="224"/>
      <c r="B499" s="229"/>
      <c r="C499" s="225"/>
      <c r="D499" s="227"/>
      <c r="E499" s="228"/>
      <c r="F499" s="33"/>
      <c r="G499" s="852"/>
      <c r="H499" s="112"/>
      <c r="I499" s="230"/>
      <c r="J499" s="31"/>
      <c r="K499" s="39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</row>
    <row r="500">
      <c r="A500" s="224"/>
      <c r="B500" s="229"/>
      <c r="C500" s="225"/>
      <c r="D500" s="227"/>
      <c r="E500" s="228"/>
      <c r="F500" s="33"/>
      <c r="G500" s="852"/>
      <c r="H500" s="112"/>
      <c r="I500" s="230"/>
      <c r="J500" s="31"/>
      <c r="K500" s="39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</row>
    <row r="501">
      <c r="A501" s="224"/>
      <c r="B501" s="229"/>
      <c r="C501" s="225"/>
      <c r="D501" s="227"/>
      <c r="E501" s="228"/>
      <c r="F501" s="33"/>
      <c r="G501" s="852"/>
      <c r="H501" s="112"/>
      <c r="I501" s="230"/>
      <c r="J501" s="31"/>
      <c r="K501" s="39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</row>
    <row r="502">
      <c r="A502" s="224"/>
      <c r="B502" s="229"/>
      <c r="C502" s="225"/>
      <c r="D502" s="227"/>
      <c r="E502" s="228"/>
      <c r="F502" s="33"/>
      <c r="G502" s="852"/>
      <c r="H502" s="112"/>
      <c r="I502" s="230"/>
      <c r="J502" s="31"/>
      <c r="K502" s="39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</row>
    <row r="503">
      <c r="A503" s="224"/>
      <c r="B503" s="229"/>
      <c r="C503" s="225"/>
      <c r="D503" s="227"/>
      <c r="E503" s="228"/>
      <c r="F503" s="33"/>
      <c r="G503" s="852"/>
      <c r="H503" s="112"/>
      <c r="I503" s="230"/>
      <c r="J503" s="31"/>
      <c r="K503" s="39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</row>
    <row r="504">
      <c r="A504" s="224"/>
      <c r="B504" s="229"/>
      <c r="C504" s="225"/>
      <c r="D504" s="227"/>
      <c r="E504" s="228"/>
      <c r="F504" s="33"/>
      <c r="G504" s="852"/>
      <c r="H504" s="112"/>
      <c r="I504" s="230"/>
      <c r="J504" s="31"/>
      <c r="K504" s="39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</row>
    <row r="505">
      <c r="A505" s="224"/>
      <c r="B505" s="229"/>
      <c r="C505" s="225"/>
      <c r="D505" s="227"/>
      <c r="E505" s="228"/>
      <c r="F505" s="33"/>
      <c r="G505" s="852"/>
      <c r="H505" s="112"/>
      <c r="I505" s="230"/>
      <c r="J505" s="31"/>
      <c r="K505" s="39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</row>
    <row r="506">
      <c r="A506" s="224"/>
      <c r="B506" s="229"/>
      <c r="C506" s="225"/>
      <c r="D506" s="227"/>
      <c r="E506" s="228"/>
      <c r="F506" s="33"/>
      <c r="G506" s="852"/>
      <c r="H506" s="112"/>
      <c r="I506" s="230"/>
      <c r="J506" s="31"/>
      <c r="K506" s="39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</row>
    <row r="507">
      <c r="A507" s="224"/>
      <c r="B507" s="229"/>
      <c r="C507" s="225"/>
      <c r="D507" s="227"/>
      <c r="E507" s="228"/>
      <c r="F507" s="33"/>
      <c r="G507" s="852"/>
      <c r="H507" s="112"/>
      <c r="I507" s="230"/>
      <c r="J507" s="31"/>
      <c r="K507" s="39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</row>
    <row r="508">
      <c r="A508" s="224"/>
      <c r="B508" s="229"/>
      <c r="C508" s="225"/>
      <c r="D508" s="227"/>
      <c r="E508" s="228"/>
      <c r="F508" s="33"/>
      <c r="G508" s="852"/>
      <c r="H508" s="112"/>
      <c r="I508" s="230"/>
      <c r="J508" s="31"/>
      <c r="K508" s="39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</row>
    <row r="509">
      <c r="A509" s="224"/>
      <c r="B509" s="229"/>
      <c r="C509" s="225"/>
      <c r="D509" s="227"/>
      <c r="E509" s="228"/>
      <c r="F509" s="33"/>
      <c r="G509" s="852"/>
      <c r="H509" s="112"/>
      <c r="I509" s="230"/>
      <c r="J509" s="31"/>
      <c r="K509" s="39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</row>
    <row r="510">
      <c r="A510" s="224"/>
      <c r="B510" s="229"/>
      <c r="C510" s="225"/>
      <c r="D510" s="227"/>
      <c r="E510" s="228"/>
      <c r="F510" s="33"/>
      <c r="G510" s="852"/>
      <c r="H510" s="112"/>
      <c r="I510" s="230"/>
      <c r="J510" s="31"/>
      <c r="K510" s="39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</row>
    <row r="511">
      <c r="A511" s="224"/>
      <c r="B511" s="229"/>
      <c r="C511" s="225"/>
      <c r="D511" s="227"/>
      <c r="E511" s="228"/>
      <c r="F511" s="33"/>
      <c r="G511" s="852"/>
      <c r="H511" s="112"/>
      <c r="I511" s="230"/>
      <c r="J511" s="31"/>
      <c r="K511" s="39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</row>
    <row r="512">
      <c r="A512" s="224"/>
      <c r="B512" s="229"/>
      <c r="C512" s="225"/>
      <c r="D512" s="227"/>
      <c r="E512" s="228"/>
      <c r="F512" s="33"/>
      <c r="G512" s="852"/>
      <c r="H512" s="112"/>
      <c r="I512" s="230"/>
      <c r="J512" s="31"/>
      <c r="K512" s="39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</row>
    <row r="513">
      <c r="A513" s="224"/>
      <c r="B513" s="229"/>
      <c r="C513" s="225"/>
      <c r="D513" s="227"/>
      <c r="E513" s="228"/>
      <c r="F513" s="33"/>
      <c r="G513" s="852"/>
      <c r="H513" s="112"/>
      <c r="I513" s="230"/>
      <c r="J513" s="31"/>
      <c r="K513" s="39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</row>
    <row r="514">
      <c r="A514" s="224"/>
      <c r="B514" s="229"/>
      <c r="C514" s="225"/>
      <c r="D514" s="227"/>
      <c r="E514" s="228"/>
      <c r="F514" s="33"/>
      <c r="G514" s="852"/>
      <c r="H514" s="112"/>
      <c r="I514" s="230"/>
      <c r="J514" s="31"/>
      <c r="K514" s="39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</row>
    <row r="515">
      <c r="A515" s="224"/>
      <c r="B515" s="229"/>
      <c r="C515" s="225"/>
      <c r="D515" s="227"/>
      <c r="E515" s="228"/>
      <c r="F515" s="33"/>
      <c r="G515" s="852"/>
      <c r="H515" s="112"/>
      <c r="I515" s="230"/>
      <c r="J515" s="31"/>
      <c r="K515" s="39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</row>
    <row r="516">
      <c r="A516" s="224"/>
      <c r="B516" s="229"/>
      <c r="C516" s="225"/>
      <c r="D516" s="227"/>
      <c r="E516" s="228"/>
      <c r="F516" s="33"/>
      <c r="G516" s="852"/>
      <c r="H516" s="112"/>
      <c r="I516" s="230"/>
      <c r="J516" s="31"/>
      <c r="K516" s="39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</row>
    <row r="517">
      <c r="A517" s="224"/>
      <c r="B517" s="229"/>
      <c r="C517" s="225"/>
      <c r="D517" s="227"/>
      <c r="E517" s="228"/>
      <c r="F517" s="33"/>
      <c r="G517" s="852"/>
      <c r="H517" s="112"/>
      <c r="I517" s="230"/>
      <c r="J517" s="31"/>
      <c r="K517" s="39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</row>
    <row r="518">
      <c r="A518" s="224"/>
      <c r="B518" s="229"/>
      <c r="C518" s="225"/>
      <c r="D518" s="227"/>
      <c r="E518" s="228"/>
      <c r="F518" s="33"/>
      <c r="G518" s="852"/>
      <c r="H518" s="112"/>
      <c r="I518" s="230"/>
      <c r="J518" s="31"/>
      <c r="K518" s="39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</row>
    <row r="519">
      <c r="A519" s="224"/>
      <c r="B519" s="229"/>
      <c r="C519" s="225"/>
      <c r="D519" s="227"/>
      <c r="E519" s="228"/>
      <c r="F519" s="33"/>
      <c r="G519" s="852"/>
      <c r="H519" s="112"/>
      <c r="I519" s="230"/>
      <c r="J519" s="31"/>
      <c r="K519" s="39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</row>
    <row r="520">
      <c r="A520" s="224"/>
      <c r="B520" s="229"/>
      <c r="C520" s="225"/>
      <c r="D520" s="227"/>
      <c r="E520" s="228"/>
      <c r="F520" s="33"/>
      <c r="G520" s="852"/>
      <c r="H520" s="112"/>
      <c r="I520" s="230"/>
      <c r="J520" s="31"/>
      <c r="K520" s="39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</row>
    <row r="521">
      <c r="A521" s="224"/>
      <c r="B521" s="229"/>
      <c r="C521" s="225"/>
      <c r="D521" s="227"/>
      <c r="E521" s="228"/>
      <c r="F521" s="33"/>
      <c r="G521" s="852"/>
      <c r="H521" s="112"/>
      <c r="I521" s="230"/>
      <c r="J521" s="31"/>
      <c r="K521" s="39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</row>
    <row r="522">
      <c r="A522" s="224"/>
      <c r="B522" s="229"/>
      <c r="C522" s="225"/>
      <c r="D522" s="227"/>
      <c r="E522" s="228"/>
      <c r="F522" s="33"/>
      <c r="G522" s="852"/>
      <c r="H522" s="112"/>
      <c r="I522" s="230"/>
      <c r="J522" s="31"/>
      <c r="K522" s="39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</row>
    <row r="523">
      <c r="A523" s="224"/>
      <c r="B523" s="229"/>
      <c r="C523" s="225"/>
      <c r="D523" s="227"/>
      <c r="E523" s="228"/>
      <c r="F523" s="33"/>
      <c r="G523" s="852"/>
      <c r="H523" s="112"/>
      <c r="I523" s="230"/>
      <c r="J523" s="31"/>
      <c r="K523" s="39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</row>
    <row r="524">
      <c r="A524" s="224"/>
      <c r="B524" s="229"/>
      <c r="C524" s="225"/>
      <c r="D524" s="227"/>
      <c r="E524" s="228"/>
      <c r="F524" s="33"/>
      <c r="G524" s="852"/>
      <c r="H524" s="112"/>
      <c r="I524" s="230"/>
      <c r="J524" s="31"/>
      <c r="K524" s="39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</row>
    <row r="525">
      <c r="A525" s="224"/>
      <c r="B525" s="229"/>
      <c r="C525" s="225"/>
      <c r="D525" s="227"/>
      <c r="E525" s="228"/>
      <c r="F525" s="33"/>
      <c r="G525" s="852"/>
      <c r="H525" s="112"/>
      <c r="I525" s="230"/>
      <c r="J525" s="31"/>
      <c r="K525" s="39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</row>
    <row r="526">
      <c r="A526" s="224"/>
      <c r="B526" s="229"/>
      <c r="C526" s="225"/>
      <c r="D526" s="227"/>
      <c r="E526" s="228"/>
      <c r="F526" s="33"/>
      <c r="G526" s="852"/>
      <c r="H526" s="112"/>
      <c r="I526" s="230"/>
      <c r="J526" s="31"/>
      <c r="K526" s="39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</row>
    <row r="527">
      <c r="A527" s="224"/>
      <c r="B527" s="229"/>
      <c r="C527" s="225"/>
      <c r="D527" s="227"/>
      <c r="E527" s="228"/>
      <c r="F527" s="33"/>
      <c r="G527" s="852"/>
      <c r="H527" s="112"/>
      <c r="I527" s="230"/>
      <c r="J527" s="31"/>
      <c r="K527" s="39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</row>
    <row r="528">
      <c r="A528" s="224"/>
      <c r="B528" s="229"/>
      <c r="C528" s="225"/>
      <c r="D528" s="227"/>
      <c r="E528" s="228"/>
      <c r="F528" s="33"/>
      <c r="G528" s="852"/>
      <c r="H528" s="112"/>
      <c r="I528" s="230"/>
      <c r="J528" s="31"/>
      <c r="K528" s="39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</row>
    <row r="529">
      <c r="A529" s="224"/>
      <c r="B529" s="229"/>
      <c r="C529" s="225"/>
      <c r="D529" s="227"/>
      <c r="E529" s="228"/>
      <c r="F529" s="33"/>
      <c r="G529" s="852"/>
      <c r="H529" s="112"/>
      <c r="I529" s="230"/>
      <c r="J529" s="31"/>
      <c r="K529" s="39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</row>
    <row r="530">
      <c r="A530" s="224"/>
      <c r="B530" s="229"/>
      <c r="C530" s="225"/>
      <c r="D530" s="227"/>
      <c r="E530" s="228"/>
      <c r="F530" s="33"/>
      <c r="G530" s="852"/>
      <c r="H530" s="112"/>
      <c r="I530" s="230"/>
      <c r="J530" s="31"/>
      <c r="K530" s="39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</row>
    <row r="531">
      <c r="A531" s="224"/>
      <c r="B531" s="229"/>
      <c r="C531" s="225"/>
      <c r="D531" s="227"/>
      <c r="E531" s="228"/>
      <c r="F531" s="33"/>
      <c r="G531" s="852"/>
      <c r="H531" s="112"/>
      <c r="I531" s="230"/>
      <c r="J531" s="31"/>
      <c r="K531" s="39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</row>
    <row r="532">
      <c r="A532" s="224"/>
      <c r="B532" s="229"/>
      <c r="C532" s="225"/>
      <c r="D532" s="227"/>
      <c r="E532" s="228"/>
      <c r="F532" s="33"/>
      <c r="G532" s="852"/>
      <c r="H532" s="112"/>
      <c r="I532" s="230"/>
      <c r="J532" s="31"/>
      <c r="K532" s="39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</row>
    <row r="533">
      <c r="A533" s="224"/>
      <c r="B533" s="229"/>
      <c r="C533" s="225"/>
      <c r="D533" s="227"/>
      <c r="E533" s="228"/>
      <c r="F533" s="33"/>
      <c r="G533" s="852"/>
      <c r="H533" s="112"/>
      <c r="I533" s="230"/>
      <c r="J533" s="31"/>
      <c r="K533" s="39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</row>
    <row r="534">
      <c r="A534" s="224"/>
      <c r="B534" s="229"/>
      <c r="C534" s="225"/>
      <c r="D534" s="227"/>
      <c r="E534" s="228"/>
      <c r="F534" s="33"/>
      <c r="G534" s="852"/>
      <c r="H534" s="112"/>
      <c r="I534" s="230"/>
      <c r="J534" s="31"/>
      <c r="K534" s="39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</row>
    <row r="535">
      <c r="A535" s="224"/>
      <c r="B535" s="229"/>
      <c r="C535" s="225"/>
      <c r="D535" s="227"/>
      <c r="E535" s="228"/>
      <c r="F535" s="33"/>
      <c r="G535" s="852"/>
      <c r="H535" s="112"/>
      <c r="I535" s="230"/>
      <c r="J535" s="31"/>
      <c r="K535" s="39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</row>
    <row r="536">
      <c r="A536" s="224"/>
      <c r="B536" s="229"/>
      <c r="C536" s="225"/>
      <c r="D536" s="227"/>
      <c r="E536" s="228"/>
      <c r="F536" s="33"/>
      <c r="G536" s="852"/>
      <c r="H536" s="112"/>
      <c r="I536" s="230"/>
      <c r="J536" s="31"/>
      <c r="K536" s="39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</row>
    <row r="537">
      <c r="A537" s="224"/>
      <c r="B537" s="229"/>
      <c r="C537" s="225"/>
      <c r="D537" s="227"/>
      <c r="E537" s="228"/>
      <c r="F537" s="33"/>
      <c r="G537" s="852"/>
      <c r="H537" s="112"/>
      <c r="I537" s="230"/>
      <c r="J537" s="31"/>
      <c r="K537" s="39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</row>
    <row r="538">
      <c r="A538" s="224"/>
      <c r="B538" s="229"/>
      <c r="C538" s="225"/>
      <c r="D538" s="227"/>
      <c r="E538" s="228"/>
      <c r="F538" s="33"/>
      <c r="G538" s="852"/>
      <c r="H538" s="112"/>
      <c r="I538" s="230"/>
      <c r="J538" s="31"/>
      <c r="K538" s="39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</row>
    <row r="539">
      <c r="A539" s="224"/>
      <c r="B539" s="229"/>
      <c r="C539" s="225"/>
      <c r="D539" s="227"/>
      <c r="E539" s="228"/>
      <c r="F539" s="33"/>
      <c r="G539" s="852"/>
      <c r="H539" s="112"/>
      <c r="I539" s="230"/>
      <c r="J539" s="31"/>
      <c r="K539" s="39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</row>
    <row r="540">
      <c r="A540" s="224"/>
      <c r="B540" s="229"/>
      <c r="C540" s="225"/>
      <c r="D540" s="227"/>
      <c r="E540" s="228"/>
      <c r="F540" s="33"/>
      <c r="G540" s="852"/>
      <c r="H540" s="112"/>
      <c r="I540" s="230"/>
      <c r="J540" s="31"/>
      <c r="K540" s="39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</row>
    <row r="541">
      <c r="A541" s="224"/>
      <c r="B541" s="229"/>
      <c r="C541" s="225"/>
      <c r="D541" s="227"/>
      <c r="E541" s="228"/>
      <c r="F541" s="33"/>
      <c r="G541" s="852"/>
      <c r="H541" s="112"/>
      <c r="I541" s="230"/>
      <c r="J541" s="31"/>
      <c r="K541" s="39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</row>
    <row r="542">
      <c r="A542" s="224"/>
      <c r="B542" s="229"/>
      <c r="C542" s="225"/>
      <c r="D542" s="227"/>
      <c r="E542" s="228"/>
      <c r="F542" s="33"/>
      <c r="G542" s="852"/>
      <c r="H542" s="112"/>
      <c r="I542" s="230"/>
      <c r="J542" s="31"/>
      <c r="K542" s="39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</row>
    <row r="543">
      <c r="A543" s="224"/>
      <c r="B543" s="229"/>
      <c r="C543" s="225"/>
      <c r="D543" s="227"/>
      <c r="E543" s="228"/>
      <c r="F543" s="33"/>
      <c r="G543" s="852"/>
      <c r="H543" s="112"/>
      <c r="I543" s="230"/>
      <c r="J543" s="31"/>
      <c r="K543" s="39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</row>
    <row r="544">
      <c r="A544" s="224"/>
      <c r="B544" s="229"/>
      <c r="C544" s="225"/>
      <c r="D544" s="227"/>
      <c r="E544" s="228"/>
      <c r="F544" s="33"/>
      <c r="G544" s="852"/>
      <c r="H544" s="112"/>
      <c r="I544" s="230"/>
      <c r="J544" s="31"/>
      <c r="K544" s="39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</row>
    <row r="545">
      <c r="A545" s="224"/>
      <c r="B545" s="229"/>
      <c r="C545" s="225"/>
      <c r="D545" s="227"/>
      <c r="E545" s="228"/>
      <c r="F545" s="33"/>
      <c r="G545" s="852"/>
      <c r="H545" s="112"/>
      <c r="I545" s="230"/>
      <c r="J545" s="31"/>
      <c r="K545" s="39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</row>
    <row r="546">
      <c r="A546" s="224"/>
      <c r="B546" s="229"/>
      <c r="C546" s="225"/>
      <c r="D546" s="227"/>
      <c r="E546" s="228"/>
      <c r="F546" s="33"/>
      <c r="G546" s="852"/>
      <c r="H546" s="112"/>
      <c r="I546" s="230"/>
      <c r="J546" s="31"/>
      <c r="K546" s="39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</row>
    <row r="547">
      <c r="A547" s="224"/>
      <c r="B547" s="229"/>
      <c r="C547" s="225"/>
      <c r="D547" s="227"/>
      <c r="E547" s="228"/>
      <c r="F547" s="33"/>
      <c r="G547" s="852"/>
      <c r="H547" s="112"/>
      <c r="I547" s="230"/>
      <c r="J547" s="31"/>
      <c r="K547" s="39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</row>
    <row r="548">
      <c r="A548" s="224"/>
      <c r="B548" s="229"/>
      <c r="C548" s="225"/>
      <c r="D548" s="227"/>
      <c r="E548" s="228"/>
      <c r="F548" s="33"/>
      <c r="G548" s="852"/>
      <c r="H548" s="112"/>
      <c r="I548" s="230"/>
      <c r="J548" s="31"/>
      <c r="K548" s="39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</row>
    <row r="549">
      <c r="A549" s="224"/>
      <c r="B549" s="229"/>
      <c r="C549" s="225"/>
      <c r="D549" s="227"/>
      <c r="E549" s="228"/>
      <c r="F549" s="33"/>
      <c r="G549" s="852"/>
      <c r="H549" s="112"/>
      <c r="I549" s="230"/>
      <c r="J549" s="31"/>
      <c r="K549" s="39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</row>
    <row r="550">
      <c r="A550" s="224"/>
      <c r="B550" s="229"/>
      <c r="C550" s="225"/>
      <c r="D550" s="227"/>
      <c r="E550" s="228"/>
      <c r="F550" s="33"/>
      <c r="G550" s="852"/>
      <c r="H550" s="112"/>
      <c r="I550" s="230"/>
      <c r="J550" s="31"/>
      <c r="K550" s="39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</row>
    <row r="551">
      <c r="A551" s="224"/>
      <c r="B551" s="229"/>
      <c r="C551" s="225"/>
      <c r="D551" s="227"/>
      <c r="E551" s="228"/>
      <c r="F551" s="33"/>
      <c r="G551" s="852"/>
      <c r="H551" s="112"/>
      <c r="I551" s="230"/>
      <c r="J551" s="31"/>
      <c r="K551" s="39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</row>
    <row r="552">
      <c r="A552" s="224"/>
      <c r="B552" s="229"/>
      <c r="C552" s="225"/>
      <c r="D552" s="227"/>
      <c r="E552" s="228"/>
      <c r="F552" s="33"/>
      <c r="G552" s="852"/>
      <c r="H552" s="112"/>
      <c r="I552" s="230"/>
      <c r="J552" s="31"/>
      <c r="K552" s="39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</row>
    <row r="553">
      <c r="A553" s="224"/>
      <c r="B553" s="229"/>
      <c r="C553" s="225"/>
      <c r="D553" s="227"/>
      <c r="E553" s="228"/>
      <c r="F553" s="33"/>
      <c r="G553" s="852"/>
      <c r="H553" s="112"/>
      <c r="I553" s="230"/>
      <c r="J553" s="31"/>
      <c r="K553" s="39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</row>
    <row r="554">
      <c r="A554" s="224"/>
      <c r="B554" s="229"/>
      <c r="C554" s="225"/>
      <c r="D554" s="227"/>
      <c r="E554" s="228"/>
      <c r="F554" s="33"/>
      <c r="G554" s="852"/>
      <c r="H554" s="112"/>
      <c r="I554" s="230"/>
      <c r="J554" s="31"/>
      <c r="K554" s="39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</row>
    <row r="555">
      <c r="A555" s="224"/>
      <c r="B555" s="229"/>
      <c r="C555" s="225"/>
      <c r="D555" s="227"/>
      <c r="E555" s="228"/>
      <c r="F555" s="33"/>
      <c r="G555" s="852"/>
      <c r="H555" s="112"/>
      <c r="I555" s="230"/>
      <c r="J555" s="31"/>
      <c r="K555" s="39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</row>
    <row r="556">
      <c r="A556" s="224"/>
      <c r="B556" s="229"/>
      <c r="C556" s="225"/>
      <c r="D556" s="227"/>
      <c r="E556" s="228"/>
      <c r="F556" s="33"/>
      <c r="G556" s="852"/>
      <c r="H556" s="112"/>
      <c r="I556" s="230"/>
      <c r="J556" s="31"/>
      <c r="K556" s="39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</row>
    <row r="557">
      <c r="A557" s="224"/>
      <c r="B557" s="229"/>
      <c r="C557" s="225"/>
      <c r="D557" s="227"/>
      <c r="E557" s="228"/>
      <c r="F557" s="33"/>
      <c r="G557" s="852"/>
      <c r="H557" s="112"/>
      <c r="I557" s="230"/>
      <c r="J557" s="31"/>
      <c r="K557" s="39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</row>
    <row r="558">
      <c r="A558" s="224"/>
      <c r="B558" s="229"/>
      <c r="C558" s="225"/>
      <c r="D558" s="227"/>
      <c r="E558" s="228"/>
      <c r="F558" s="33"/>
      <c r="G558" s="852"/>
      <c r="H558" s="112"/>
      <c r="I558" s="230"/>
      <c r="J558" s="31"/>
      <c r="K558" s="39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</row>
    <row r="559">
      <c r="A559" s="224"/>
      <c r="B559" s="229"/>
      <c r="C559" s="225"/>
      <c r="D559" s="227"/>
      <c r="E559" s="228"/>
      <c r="F559" s="33"/>
      <c r="G559" s="852"/>
      <c r="H559" s="112"/>
      <c r="I559" s="230"/>
      <c r="J559" s="31"/>
      <c r="K559" s="39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</row>
    <row r="560">
      <c r="A560" s="224"/>
      <c r="B560" s="229"/>
      <c r="C560" s="225"/>
      <c r="D560" s="227"/>
      <c r="E560" s="228"/>
      <c r="F560" s="33"/>
      <c r="G560" s="852"/>
      <c r="H560" s="112"/>
      <c r="I560" s="230"/>
      <c r="J560" s="31"/>
      <c r="K560" s="39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</row>
    <row r="561">
      <c r="A561" s="224"/>
      <c r="B561" s="229"/>
      <c r="C561" s="225"/>
      <c r="D561" s="227"/>
      <c r="E561" s="228"/>
      <c r="F561" s="33"/>
      <c r="G561" s="852"/>
      <c r="H561" s="112"/>
      <c r="I561" s="230"/>
      <c r="J561" s="31"/>
      <c r="K561" s="39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</row>
    <row r="562">
      <c r="A562" s="224"/>
      <c r="B562" s="229"/>
      <c r="C562" s="225"/>
      <c r="D562" s="227"/>
      <c r="E562" s="228"/>
      <c r="F562" s="33"/>
      <c r="G562" s="852"/>
      <c r="H562" s="112"/>
      <c r="I562" s="230"/>
      <c r="J562" s="31"/>
      <c r="K562" s="39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</row>
    <row r="563">
      <c r="A563" s="224"/>
      <c r="B563" s="229"/>
      <c r="C563" s="225"/>
      <c r="D563" s="227"/>
      <c r="E563" s="228"/>
      <c r="F563" s="33"/>
      <c r="G563" s="852"/>
      <c r="H563" s="112"/>
      <c r="I563" s="230"/>
      <c r="J563" s="31"/>
      <c r="K563" s="39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</row>
    <row r="564">
      <c r="A564" s="224"/>
      <c r="B564" s="229"/>
      <c r="C564" s="225"/>
      <c r="D564" s="227"/>
      <c r="E564" s="228"/>
      <c r="F564" s="33"/>
      <c r="G564" s="852"/>
      <c r="H564" s="112"/>
      <c r="I564" s="230"/>
      <c r="J564" s="31"/>
      <c r="K564" s="39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</row>
    <row r="565">
      <c r="A565" s="224"/>
      <c r="B565" s="229"/>
      <c r="C565" s="225"/>
      <c r="D565" s="227"/>
      <c r="E565" s="228"/>
      <c r="F565" s="33"/>
      <c r="G565" s="852"/>
      <c r="H565" s="112"/>
      <c r="I565" s="230"/>
      <c r="J565" s="31"/>
      <c r="K565" s="39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</row>
    <row r="566">
      <c r="A566" s="224"/>
      <c r="B566" s="229"/>
      <c r="C566" s="225"/>
      <c r="D566" s="227"/>
      <c r="E566" s="228"/>
      <c r="F566" s="33"/>
      <c r="G566" s="852"/>
      <c r="H566" s="112"/>
      <c r="I566" s="230"/>
      <c r="J566" s="31"/>
      <c r="K566" s="39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</row>
    <row r="567">
      <c r="A567" s="224"/>
      <c r="B567" s="229"/>
      <c r="C567" s="225"/>
      <c r="D567" s="227"/>
      <c r="E567" s="228"/>
      <c r="F567" s="33"/>
      <c r="G567" s="852"/>
      <c r="H567" s="112"/>
      <c r="I567" s="230"/>
      <c r="J567" s="31"/>
      <c r="K567" s="39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</row>
    <row r="568">
      <c r="A568" s="224"/>
      <c r="B568" s="229"/>
      <c r="C568" s="225"/>
      <c r="D568" s="227"/>
      <c r="E568" s="228"/>
      <c r="F568" s="33"/>
      <c r="G568" s="852"/>
      <c r="H568" s="112"/>
      <c r="I568" s="230"/>
      <c r="J568" s="31"/>
      <c r="K568" s="39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</row>
    <row r="569">
      <c r="A569" s="224"/>
      <c r="B569" s="229"/>
      <c r="C569" s="225"/>
      <c r="D569" s="227"/>
      <c r="E569" s="228"/>
      <c r="F569" s="33"/>
      <c r="G569" s="852"/>
      <c r="H569" s="112"/>
      <c r="I569" s="230"/>
      <c r="J569" s="31"/>
      <c r="K569" s="39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</row>
    <row r="570">
      <c r="A570" s="224"/>
      <c r="B570" s="229"/>
      <c r="C570" s="225"/>
      <c r="D570" s="227"/>
      <c r="E570" s="228"/>
      <c r="F570" s="33"/>
      <c r="G570" s="852"/>
      <c r="H570" s="112"/>
      <c r="I570" s="230"/>
      <c r="J570" s="31"/>
      <c r="K570" s="39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</row>
    <row r="571">
      <c r="A571" s="224"/>
      <c r="B571" s="229"/>
      <c r="C571" s="225"/>
      <c r="D571" s="227"/>
      <c r="E571" s="228"/>
      <c r="F571" s="33"/>
      <c r="G571" s="852"/>
      <c r="H571" s="112"/>
      <c r="I571" s="230"/>
      <c r="J571" s="31"/>
      <c r="K571" s="39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</row>
    <row r="572">
      <c r="A572" s="224"/>
      <c r="B572" s="229"/>
      <c r="C572" s="225"/>
      <c r="D572" s="227"/>
      <c r="E572" s="228"/>
      <c r="F572" s="33"/>
      <c r="G572" s="852"/>
      <c r="H572" s="112"/>
      <c r="I572" s="230"/>
      <c r="J572" s="31"/>
      <c r="K572" s="39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</row>
    <row r="573">
      <c r="A573" s="224"/>
      <c r="B573" s="229"/>
      <c r="C573" s="225"/>
      <c r="D573" s="227"/>
      <c r="E573" s="228"/>
      <c r="F573" s="33"/>
      <c r="G573" s="852"/>
      <c r="H573" s="112"/>
      <c r="I573" s="230"/>
      <c r="J573" s="31"/>
      <c r="K573" s="39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</row>
    <row r="574">
      <c r="A574" s="224"/>
      <c r="B574" s="229"/>
      <c r="C574" s="225"/>
      <c r="D574" s="227"/>
      <c r="E574" s="228"/>
      <c r="F574" s="33"/>
      <c r="G574" s="852"/>
      <c r="H574" s="112"/>
      <c r="I574" s="230"/>
      <c r="J574" s="31"/>
      <c r="K574" s="39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</row>
    <row r="575">
      <c r="A575" s="224"/>
      <c r="B575" s="229"/>
      <c r="C575" s="225"/>
      <c r="D575" s="227"/>
      <c r="E575" s="228"/>
      <c r="F575" s="33"/>
      <c r="G575" s="852"/>
      <c r="H575" s="112"/>
      <c r="I575" s="230"/>
      <c r="J575" s="31"/>
      <c r="K575" s="39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</row>
    <row r="576">
      <c r="A576" s="224"/>
      <c r="B576" s="229"/>
      <c r="C576" s="225"/>
      <c r="D576" s="227"/>
      <c r="E576" s="228"/>
      <c r="F576" s="33"/>
      <c r="G576" s="852"/>
      <c r="H576" s="112"/>
      <c r="I576" s="230"/>
      <c r="J576" s="31"/>
      <c r="K576" s="39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</row>
    <row r="577">
      <c r="A577" s="224"/>
      <c r="B577" s="229"/>
      <c r="C577" s="225"/>
      <c r="D577" s="227"/>
      <c r="E577" s="228"/>
      <c r="F577" s="33"/>
      <c r="G577" s="852"/>
      <c r="H577" s="112"/>
      <c r="I577" s="230"/>
      <c r="J577" s="31"/>
      <c r="K577" s="39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</row>
    <row r="578">
      <c r="A578" s="224"/>
      <c r="B578" s="229"/>
      <c r="C578" s="225"/>
      <c r="D578" s="227"/>
      <c r="E578" s="228"/>
      <c r="F578" s="33"/>
      <c r="G578" s="852"/>
      <c r="H578" s="112"/>
      <c r="I578" s="230"/>
      <c r="J578" s="31"/>
      <c r="K578" s="39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</row>
    <row r="579">
      <c r="A579" s="224"/>
      <c r="B579" s="229"/>
      <c r="C579" s="225"/>
      <c r="D579" s="227"/>
      <c r="E579" s="228"/>
      <c r="F579" s="33"/>
      <c r="G579" s="852"/>
      <c r="H579" s="112"/>
      <c r="I579" s="230"/>
      <c r="J579" s="31"/>
      <c r="K579" s="39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</row>
    <row r="580">
      <c r="A580" s="224"/>
      <c r="B580" s="229"/>
      <c r="C580" s="225"/>
      <c r="D580" s="227"/>
      <c r="E580" s="228"/>
      <c r="F580" s="33"/>
      <c r="G580" s="852"/>
      <c r="H580" s="112"/>
      <c r="I580" s="230"/>
      <c r="J580" s="31"/>
      <c r="K580" s="39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</row>
    <row r="581">
      <c r="A581" s="224"/>
      <c r="B581" s="229"/>
      <c r="C581" s="225"/>
      <c r="D581" s="227"/>
      <c r="E581" s="228"/>
      <c r="F581" s="33"/>
      <c r="G581" s="852"/>
      <c r="H581" s="112"/>
      <c r="I581" s="230"/>
      <c r="J581" s="31"/>
      <c r="K581" s="39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</row>
    <row r="582">
      <c r="A582" s="224"/>
      <c r="B582" s="229"/>
      <c r="C582" s="225"/>
      <c r="D582" s="227"/>
      <c r="E582" s="228"/>
      <c r="F582" s="33"/>
      <c r="G582" s="852"/>
      <c r="H582" s="112"/>
      <c r="I582" s="230"/>
      <c r="J582" s="31"/>
      <c r="K582" s="39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</row>
    <row r="583">
      <c r="A583" s="224"/>
      <c r="B583" s="229"/>
      <c r="C583" s="225"/>
      <c r="D583" s="227"/>
      <c r="E583" s="228"/>
      <c r="F583" s="33"/>
      <c r="G583" s="852"/>
      <c r="H583" s="112"/>
      <c r="I583" s="230"/>
      <c r="J583" s="31"/>
      <c r="K583" s="39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</row>
    <row r="584">
      <c r="A584" s="224"/>
      <c r="B584" s="229"/>
      <c r="C584" s="225"/>
      <c r="D584" s="227"/>
      <c r="E584" s="228"/>
      <c r="F584" s="33"/>
      <c r="G584" s="852"/>
      <c r="H584" s="112"/>
      <c r="I584" s="230"/>
      <c r="J584" s="31"/>
      <c r="K584" s="39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</row>
    <row r="585">
      <c r="A585" s="224"/>
      <c r="B585" s="229"/>
      <c r="C585" s="225"/>
      <c r="D585" s="227"/>
      <c r="E585" s="228"/>
      <c r="F585" s="33"/>
      <c r="G585" s="852"/>
      <c r="H585" s="112"/>
      <c r="I585" s="230"/>
      <c r="J585" s="31"/>
      <c r="K585" s="39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</row>
    <row r="586">
      <c r="A586" s="224"/>
      <c r="B586" s="229"/>
      <c r="C586" s="225"/>
      <c r="D586" s="227"/>
      <c r="E586" s="228"/>
      <c r="F586" s="33"/>
      <c r="G586" s="852"/>
      <c r="H586" s="112"/>
      <c r="I586" s="230"/>
      <c r="J586" s="31"/>
      <c r="K586" s="39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</row>
    <row r="587">
      <c r="A587" s="224"/>
      <c r="B587" s="229"/>
      <c r="C587" s="225"/>
      <c r="D587" s="227"/>
      <c r="E587" s="228"/>
      <c r="F587" s="33"/>
      <c r="G587" s="852"/>
      <c r="H587" s="112"/>
      <c r="I587" s="230"/>
      <c r="J587" s="31"/>
      <c r="K587" s="39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</row>
    <row r="588">
      <c r="A588" s="224"/>
      <c r="B588" s="229"/>
      <c r="C588" s="225"/>
      <c r="D588" s="227"/>
      <c r="E588" s="228"/>
      <c r="F588" s="33"/>
      <c r="G588" s="852"/>
      <c r="H588" s="112"/>
      <c r="I588" s="230"/>
      <c r="J588" s="31"/>
      <c r="K588" s="39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</row>
    <row r="589">
      <c r="A589" s="224"/>
      <c r="B589" s="229"/>
      <c r="C589" s="225"/>
      <c r="D589" s="227"/>
      <c r="E589" s="228"/>
      <c r="F589" s="33"/>
      <c r="G589" s="852"/>
      <c r="H589" s="112"/>
      <c r="I589" s="230"/>
      <c r="J589" s="31"/>
      <c r="K589" s="39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</row>
    <row r="590">
      <c r="A590" s="224"/>
      <c r="B590" s="229"/>
      <c r="C590" s="225"/>
      <c r="D590" s="227"/>
      <c r="E590" s="228"/>
      <c r="F590" s="33"/>
      <c r="G590" s="852"/>
      <c r="H590" s="112"/>
      <c r="I590" s="230"/>
      <c r="J590" s="31"/>
      <c r="K590" s="39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</row>
    <row r="591">
      <c r="A591" s="224"/>
      <c r="B591" s="229"/>
      <c r="C591" s="225"/>
      <c r="D591" s="227"/>
      <c r="E591" s="228"/>
      <c r="F591" s="33"/>
      <c r="G591" s="852"/>
      <c r="H591" s="112"/>
      <c r="I591" s="230"/>
      <c r="J591" s="31"/>
      <c r="K591" s="39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</row>
    <row r="592">
      <c r="A592" s="224"/>
      <c r="B592" s="229"/>
      <c r="C592" s="225"/>
      <c r="D592" s="227"/>
      <c r="E592" s="228"/>
      <c r="F592" s="33"/>
      <c r="G592" s="852"/>
      <c r="H592" s="112"/>
      <c r="I592" s="230"/>
      <c r="J592" s="31"/>
      <c r="K592" s="39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</row>
    <row r="593">
      <c r="A593" s="224"/>
      <c r="B593" s="229"/>
      <c r="C593" s="225"/>
      <c r="D593" s="227"/>
      <c r="E593" s="228"/>
      <c r="F593" s="33"/>
      <c r="G593" s="852"/>
      <c r="H593" s="112"/>
      <c r="I593" s="230"/>
      <c r="J593" s="31"/>
      <c r="K593" s="39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</row>
    <row r="594">
      <c r="A594" s="224"/>
      <c r="B594" s="229"/>
      <c r="C594" s="225"/>
      <c r="D594" s="227"/>
      <c r="E594" s="228"/>
      <c r="F594" s="33"/>
      <c r="G594" s="852"/>
      <c r="H594" s="112"/>
      <c r="I594" s="230"/>
      <c r="J594" s="31"/>
      <c r="K594" s="39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</row>
    <row r="595">
      <c r="A595" s="224"/>
      <c r="B595" s="229"/>
      <c r="C595" s="225"/>
      <c r="D595" s="227"/>
      <c r="E595" s="228"/>
      <c r="F595" s="33"/>
      <c r="G595" s="852"/>
      <c r="H595" s="112"/>
      <c r="I595" s="230"/>
      <c r="J595" s="31"/>
      <c r="K595" s="39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</row>
    <row r="596">
      <c r="A596" s="224"/>
      <c r="B596" s="229"/>
      <c r="C596" s="225"/>
      <c r="D596" s="227"/>
      <c r="E596" s="228"/>
      <c r="F596" s="33"/>
      <c r="G596" s="852"/>
      <c r="H596" s="112"/>
      <c r="I596" s="230"/>
      <c r="J596" s="31"/>
      <c r="K596" s="39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</row>
    <row r="597">
      <c r="A597" s="224"/>
      <c r="B597" s="229"/>
      <c r="C597" s="225"/>
      <c r="D597" s="227"/>
      <c r="E597" s="228"/>
      <c r="F597" s="33"/>
      <c r="G597" s="852"/>
      <c r="H597" s="112"/>
      <c r="I597" s="230"/>
      <c r="J597" s="31"/>
      <c r="K597" s="39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</row>
    <row r="598">
      <c r="A598" s="224"/>
      <c r="B598" s="229"/>
      <c r="C598" s="225"/>
      <c r="D598" s="227"/>
      <c r="E598" s="228"/>
      <c r="F598" s="33"/>
      <c r="G598" s="852"/>
      <c r="H598" s="112"/>
      <c r="I598" s="230"/>
      <c r="J598" s="31"/>
      <c r="K598" s="39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</row>
    <row r="599">
      <c r="A599" s="224"/>
      <c r="B599" s="229"/>
      <c r="C599" s="225"/>
      <c r="D599" s="227"/>
      <c r="E599" s="228"/>
      <c r="F599" s="33"/>
      <c r="G599" s="852"/>
      <c r="H599" s="112"/>
      <c r="I599" s="230"/>
      <c r="J599" s="31"/>
      <c r="K599" s="39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</row>
    <row r="600">
      <c r="A600" s="224"/>
      <c r="B600" s="229"/>
      <c r="C600" s="225"/>
      <c r="D600" s="227"/>
      <c r="E600" s="228"/>
      <c r="F600" s="33"/>
      <c r="G600" s="852"/>
      <c r="H600" s="112"/>
      <c r="I600" s="230"/>
      <c r="J600" s="31"/>
      <c r="K600" s="39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</row>
    <row r="601">
      <c r="A601" s="224"/>
      <c r="B601" s="229"/>
      <c r="C601" s="225"/>
      <c r="D601" s="227"/>
      <c r="E601" s="228"/>
      <c r="F601" s="33"/>
      <c r="G601" s="852"/>
      <c r="H601" s="112"/>
      <c r="I601" s="230"/>
      <c r="J601" s="31"/>
      <c r="K601" s="39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</row>
    <row r="602">
      <c r="A602" s="224"/>
      <c r="B602" s="229"/>
      <c r="C602" s="225"/>
      <c r="D602" s="227"/>
      <c r="E602" s="228"/>
      <c r="F602" s="33"/>
      <c r="G602" s="852"/>
      <c r="H602" s="112"/>
      <c r="I602" s="230"/>
      <c r="J602" s="31"/>
      <c r="K602" s="39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</row>
    <row r="603">
      <c r="A603" s="224"/>
      <c r="B603" s="229"/>
      <c r="C603" s="225"/>
      <c r="D603" s="227"/>
      <c r="E603" s="228"/>
      <c r="F603" s="33"/>
      <c r="G603" s="852"/>
      <c r="H603" s="112"/>
      <c r="I603" s="230"/>
      <c r="J603" s="31"/>
      <c r="K603" s="39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</row>
    <row r="604">
      <c r="A604" s="224"/>
      <c r="B604" s="229"/>
      <c r="C604" s="225"/>
      <c r="D604" s="227"/>
      <c r="E604" s="228"/>
      <c r="F604" s="33"/>
      <c r="G604" s="852"/>
      <c r="H604" s="112"/>
      <c r="I604" s="230"/>
      <c r="J604" s="31"/>
      <c r="K604" s="39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</row>
    <row r="605">
      <c r="A605" s="224"/>
      <c r="B605" s="229"/>
      <c r="C605" s="225"/>
      <c r="D605" s="227"/>
      <c r="E605" s="228"/>
      <c r="F605" s="33"/>
      <c r="G605" s="852"/>
      <c r="H605" s="112"/>
      <c r="I605" s="230"/>
      <c r="J605" s="31"/>
      <c r="K605" s="39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</row>
    <row r="606">
      <c r="A606" s="224"/>
      <c r="B606" s="229"/>
      <c r="C606" s="225"/>
      <c r="D606" s="227"/>
      <c r="E606" s="228"/>
      <c r="F606" s="33"/>
      <c r="G606" s="852"/>
      <c r="H606" s="112"/>
      <c r="I606" s="230"/>
      <c r="J606" s="31"/>
      <c r="K606" s="39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</row>
    <row r="607">
      <c r="A607" s="224"/>
      <c r="B607" s="229"/>
      <c r="C607" s="225"/>
      <c r="D607" s="227"/>
      <c r="E607" s="228"/>
      <c r="F607" s="33"/>
      <c r="G607" s="852"/>
      <c r="H607" s="112"/>
      <c r="I607" s="230"/>
      <c r="J607" s="31"/>
      <c r="K607" s="39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</row>
    <row r="608">
      <c r="A608" s="224"/>
      <c r="B608" s="229"/>
      <c r="C608" s="225"/>
      <c r="D608" s="227"/>
      <c r="E608" s="228"/>
      <c r="F608" s="33"/>
      <c r="G608" s="852"/>
      <c r="H608" s="112"/>
      <c r="I608" s="230"/>
      <c r="J608" s="31"/>
      <c r="K608" s="39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</row>
    <row r="609">
      <c r="A609" s="224"/>
      <c r="B609" s="229"/>
      <c r="C609" s="225"/>
      <c r="D609" s="227"/>
      <c r="E609" s="228"/>
      <c r="F609" s="33"/>
      <c r="G609" s="852"/>
      <c r="H609" s="112"/>
      <c r="I609" s="230"/>
      <c r="J609" s="31"/>
      <c r="K609" s="39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</row>
    <row r="610">
      <c r="A610" s="224"/>
      <c r="B610" s="229"/>
      <c r="C610" s="225"/>
      <c r="D610" s="227"/>
      <c r="E610" s="228"/>
      <c r="F610" s="33"/>
      <c r="G610" s="852"/>
      <c r="H610" s="112"/>
      <c r="I610" s="230"/>
      <c r="J610" s="31"/>
      <c r="K610" s="39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</row>
    <row r="611">
      <c r="A611" s="224"/>
      <c r="B611" s="229"/>
      <c r="C611" s="225"/>
      <c r="D611" s="227"/>
      <c r="E611" s="228"/>
      <c r="F611" s="33"/>
      <c r="G611" s="852"/>
      <c r="H611" s="112"/>
      <c r="I611" s="230"/>
      <c r="J611" s="31"/>
      <c r="K611" s="39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</row>
    <row r="612">
      <c r="A612" s="224"/>
      <c r="B612" s="229"/>
      <c r="C612" s="225"/>
      <c r="D612" s="227"/>
      <c r="E612" s="228"/>
      <c r="F612" s="33"/>
      <c r="G612" s="852"/>
      <c r="H612" s="112"/>
      <c r="I612" s="230"/>
      <c r="J612" s="31"/>
      <c r="K612" s="39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</row>
    <row r="613">
      <c r="A613" s="224"/>
      <c r="B613" s="229"/>
      <c r="C613" s="225"/>
      <c r="D613" s="227"/>
      <c r="E613" s="228"/>
      <c r="F613" s="33"/>
      <c r="G613" s="852"/>
      <c r="H613" s="112"/>
      <c r="I613" s="230"/>
      <c r="J613" s="31"/>
      <c r="K613" s="39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</row>
    <row r="614">
      <c r="A614" s="224"/>
      <c r="B614" s="229"/>
      <c r="C614" s="225"/>
      <c r="D614" s="227"/>
      <c r="E614" s="228"/>
      <c r="F614" s="33"/>
      <c r="G614" s="852"/>
      <c r="H614" s="112"/>
      <c r="I614" s="230"/>
      <c r="J614" s="31"/>
      <c r="K614" s="39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</row>
    <row r="615">
      <c r="A615" s="224"/>
      <c r="B615" s="229"/>
      <c r="C615" s="225"/>
      <c r="D615" s="227"/>
      <c r="E615" s="228"/>
      <c r="F615" s="33"/>
      <c r="G615" s="852"/>
      <c r="H615" s="112"/>
      <c r="I615" s="230"/>
      <c r="J615" s="31"/>
      <c r="K615" s="39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</row>
    <row r="616">
      <c r="A616" s="224"/>
      <c r="B616" s="229"/>
      <c r="C616" s="225"/>
      <c r="D616" s="227"/>
      <c r="E616" s="228"/>
      <c r="F616" s="33"/>
      <c r="G616" s="852"/>
      <c r="H616" s="112"/>
      <c r="I616" s="230"/>
      <c r="J616" s="31"/>
      <c r="K616" s="39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</row>
    <row r="617">
      <c r="A617" s="224"/>
      <c r="B617" s="229"/>
      <c r="C617" s="225"/>
      <c r="D617" s="227"/>
      <c r="E617" s="228"/>
      <c r="F617" s="33"/>
      <c r="G617" s="852"/>
      <c r="H617" s="112"/>
      <c r="I617" s="230"/>
      <c r="J617" s="31"/>
      <c r="K617" s="39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</row>
    <row r="618">
      <c r="A618" s="224"/>
      <c r="B618" s="229"/>
      <c r="C618" s="225"/>
      <c r="D618" s="227"/>
      <c r="E618" s="228"/>
      <c r="F618" s="33"/>
      <c r="G618" s="852"/>
      <c r="H618" s="112"/>
      <c r="I618" s="230"/>
      <c r="J618" s="31"/>
      <c r="K618" s="39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</row>
    <row r="619">
      <c r="A619" s="224"/>
      <c r="B619" s="229"/>
      <c r="C619" s="225"/>
      <c r="D619" s="227"/>
      <c r="E619" s="228"/>
      <c r="F619" s="33"/>
      <c r="G619" s="852"/>
      <c r="H619" s="112"/>
      <c r="I619" s="230"/>
      <c r="J619" s="31"/>
      <c r="K619" s="39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</row>
    <row r="620">
      <c r="A620" s="224"/>
      <c r="B620" s="229"/>
      <c r="C620" s="225"/>
      <c r="D620" s="227"/>
      <c r="E620" s="228"/>
      <c r="F620" s="33"/>
      <c r="G620" s="852"/>
      <c r="H620" s="112"/>
      <c r="I620" s="230"/>
      <c r="J620" s="31"/>
      <c r="K620" s="39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</row>
    <row r="621">
      <c r="A621" s="224"/>
      <c r="B621" s="229"/>
      <c r="C621" s="225"/>
      <c r="D621" s="227"/>
      <c r="E621" s="228"/>
      <c r="F621" s="33"/>
      <c r="G621" s="852"/>
      <c r="H621" s="112"/>
      <c r="I621" s="230"/>
      <c r="J621" s="31"/>
      <c r="K621" s="39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</row>
    <row r="622">
      <c r="A622" s="224"/>
      <c r="B622" s="229"/>
      <c r="C622" s="225"/>
      <c r="D622" s="227"/>
      <c r="E622" s="228"/>
      <c r="F622" s="33"/>
      <c r="G622" s="852"/>
      <c r="H622" s="112"/>
      <c r="I622" s="230"/>
      <c r="J622" s="31"/>
      <c r="K622" s="39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</row>
    <row r="623">
      <c r="A623" s="224"/>
      <c r="B623" s="229"/>
      <c r="C623" s="225"/>
      <c r="D623" s="227"/>
      <c r="E623" s="228"/>
      <c r="F623" s="33"/>
      <c r="G623" s="852"/>
      <c r="H623" s="112"/>
      <c r="I623" s="230"/>
      <c r="J623" s="31"/>
      <c r="K623" s="39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</row>
    <row r="624">
      <c r="A624" s="224"/>
      <c r="B624" s="229"/>
      <c r="C624" s="225"/>
      <c r="D624" s="227"/>
      <c r="E624" s="228"/>
      <c r="F624" s="33"/>
      <c r="G624" s="852"/>
      <c r="H624" s="112"/>
      <c r="I624" s="230"/>
      <c r="J624" s="31"/>
      <c r="K624" s="39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</row>
    <row r="625">
      <c r="A625" s="224"/>
      <c r="B625" s="229"/>
      <c r="C625" s="225"/>
      <c r="D625" s="227"/>
      <c r="E625" s="228"/>
      <c r="F625" s="33"/>
      <c r="G625" s="852"/>
      <c r="H625" s="112"/>
      <c r="I625" s="230"/>
      <c r="J625" s="31"/>
      <c r="K625" s="39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</row>
    <row r="626">
      <c r="A626" s="224"/>
      <c r="B626" s="229"/>
      <c r="C626" s="225"/>
      <c r="D626" s="227"/>
      <c r="E626" s="228"/>
      <c r="F626" s="33"/>
      <c r="G626" s="852"/>
      <c r="H626" s="112"/>
      <c r="I626" s="230"/>
      <c r="J626" s="31"/>
      <c r="K626" s="39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</row>
    <row r="627">
      <c r="A627" s="224"/>
      <c r="B627" s="229"/>
      <c r="C627" s="225"/>
      <c r="D627" s="227"/>
      <c r="E627" s="228"/>
      <c r="F627" s="33"/>
      <c r="G627" s="852"/>
      <c r="H627" s="112"/>
      <c r="I627" s="230"/>
      <c r="J627" s="31"/>
      <c r="K627" s="39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</row>
    <row r="628">
      <c r="A628" s="224"/>
      <c r="B628" s="229"/>
      <c r="C628" s="225"/>
      <c r="D628" s="227"/>
      <c r="E628" s="228"/>
      <c r="F628" s="33"/>
      <c r="G628" s="852"/>
      <c r="H628" s="112"/>
      <c r="I628" s="230"/>
      <c r="J628" s="31"/>
      <c r="K628" s="39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</row>
    <row r="629">
      <c r="A629" s="224"/>
      <c r="B629" s="229"/>
      <c r="C629" s="225"/>
      <c r="D629" s="227"/>
      <c r="E629" s="228"/>
      <c r="F629" s="33"/>
      <c r="G629" s="852"/>
      <c r="H629" s="112"/>
      <c r="I629" s="230"/>
      <c r="J629" s="31"/>
      <c r="K629" s="39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</row>
    <row r="630">
      <c r="A630" s="224"/>
      <c r="B630" s="229"/>
      <c r="C630" s="225"/>
      <c r="D630" s="227"/>
      <c r="E630" s="228"/>
      <c r="F630" s="33"/>
      <c r="G630" s="852"/>
      <c r="H630" s="112"/>
      <c r="I630" s="230"/>
      <c r="J630" s="31"/>
      <c r="K630" s="39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</row>
    <row r="631">
      <c r="A631" s="224"/>
      <c r="B631" s="229"/>
      <c r="C631" s="225"/>
      <c r="D631" s="227"/>
      <c r="E631" s="228"/>
      <c r="F631" s="33"/>
      <c r="G631" s="852"/>
      <c r="H631" s="112"/>
      <c r="I631" s="230"/>
      <c r="J631" s="31"/>
      <c r="K631" s="39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</row>
    <row r="632">
      <c r="A632" s="224"/>
      <c r="B632" s="229"/>
      <c r="C632" s="225"/>
      <c r="D632" s="227"/>
      <c r="E632" s="228"/>
      <c r="F632" s="33"/>
      <c r="G632" s="852"/>
      <c r="H632" s="112"/>
      <c r="I632" s="230"/>
      <c r="J632" s="31"/>
      <c r="K632" s="39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</row>
    <row r="633">
      <c r="A633" s="224"/>
      <c r="B633" s="229"/>
      <c r="C633" s="225"/>
      <c r="D633" s="227"/>
      <c r="E633" s="228"/>
      <c r="F633" s="33"/>
      <c r="G633" s="852"/>
      <c r="H633" s="112"/>
      <c r="I633" s="230"/>
      <c r="J633" s="31"/>
      <c r="K633" s="39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</row>
    <row r="634">
      <c r="A634" s="224"/>
      <c r="B634" s="229"/>
      <c r="C634" s="225"/>
      <c r="D634" s="227"/>
      <c r="E634" s="228"/>
      <c r="F634" s="33"/>
      <c r="G634" s="852"/>
      <c r="H634" s="112"/>
      <c r="I634" s="230"/>
      <c r="J634" s="31"/>
      <c r="K634" s="39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</row>
    <row r="635">
      <c r="A635" s="224"/>
      <c r="B635" s="229"/>
      <c r="C635" s="225"/>
      <c r="D635" s="227"/>
      <c r="E635" s="228"/>
      <c r="F635" s="33"/>
      <c r="G635" s="852"/>
      <c r="H635" s="112"/>
      <c r="I635" s="230"/>
      <c r="J635" s="31"/>
      <c r="K635" s="39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</row>
    <row r="636">
      <c r="A636" s="224"/>
      <c r="B636" s="229"/>
      <c r="C636" s="225"/>
      <c r="D636" s="227"/>
      <c r="E636" s="228"/>
      <c r="F636" s="33"/>
      <c r="G636" s="852"/>
      <c r="H636" s="112"/>
      <c r="I636" s="230"/>
      <c r="J636" s="31"/>
      <c r="K636" s="39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</row>
    <row r="637">
      <c r="A637" s="224"/>
      <c r="B637" s="229"/>
      <c r="C637" s="225"/>
      <c r="D637" s="227"/>
      <c r="E637" s="228"/>
      <c r="F637" s="33"/>
      <c r="G637" s="852"/>
      <c r="H637" s="112"/>
      <c r="I637" s="230"/>
      <c r="J637" s="31"/>
      <c r="K637" s="39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</row>
    <row r="638">
      <c r="A638" s="224"/>
      <c r="B638" s="229"/>
      <c r="C638" s="225"/>
      <c r="D638" s="227"/>
      <c r="E638" s="228"/>
      <c r="F638" s="33"/>
      <c r="G638" s="852"/>
      <c r="H638" s="112"/>
      <c r="I638" s="230"/>
      <c r="J638" s="31"/>
      <c r="K638" s="39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</row>
    <row r="639">
      <c r="A639" s="224"/>
      <c r="B639" s="229"/>
      <c r="C639" s="225"/>
      <c r="D639" s="227"/>
      <c r="E639" s="228"/>
      <c r="F639" s="33"/>
      <c r="G639" s="852"/>
      <c r="H639" s="112"/>
      <c r="I639" s="230"/>
      <c r="J639" s="31"/>
      <c r="K639" s="39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</row>
    <row r="640">
      <c r="A640" s="224"/>
      <c r="B640" s="229"/>
      <c r="C640" s="225"/>
      <c r="D640" s="227"/>
      <c r="E640" s="228"/>
      <c r="F640" s="33"/>
      <c r="G640" s="852"/>
      <c r="H640" s="112"/>
      <c r="I640" s="230"/>
      <c r="J640" s="31"/>
      <c r="K640" s="39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</row>
    <row r="641">
      <c r="A641" s="224"/>
      <c r="B641" s="229"/>
      <c r="C641" s="225"/>
      <c r="D641" s="227"/>
      <c r="E641" s="228"/>
      <c r="F641" s="33"/>
      <c r="G641" s="852"/>
      <c r="H641" s="112"/>
      <c r="I641" s="230"/>
      <c r="J641" s="31"/>
      <c r="K641" s="39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</row>
    <row r="642">
      <c r="A642" s="224"/>
      <c r="B642" s="229"/>
      <c r="C642" s="225"/>
      <c r="D642" s="227"/>
      <c r="E642" s="228"/>
      <c r="F642" s="33"/>
      <c r="G642" s="852"/>
      <c r="H642" s="112"/>
      <c r="I642" s="230"/>
      <c r="J642" s="31"/>
      <c r="K642" s="39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</row>
    <row r="643">
      <c r="A643" s="224"/>
      <c r="B643" s="229"/>
      <c r="C643" s="225"/>
      <c r="D643" s="227"/>
      <c r="E643" s="228"/>
      <c r="F643" s="33"/>
      <c r="G643" s="852"/>
      <c r="H643" s="112"/>
      <c r="I643" s="230"/>
      <c r="J643" s="31"/>
      <c r="K643" s="39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</row>
    <row r="644">
      <c r="A644" s="224"/>
      <c r="B644" s="229"/>
      <c r="C644" s="225"/>
      <c r="D644" s="227"/>
      <c r="E644" s="228"/>
      <c r="F644" s="33"/>
      <c r="G644" s="852"/>
      <c r="H644" s="112"/>
      <c r="I644" s="230"/>
      <c r="J644" s="31"/>
      <c r="K644" s="39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</row>
    <row r="645">
      <c r="A645" s="224"/>
      <c r="B645" s="229"/>
      <c r="C645" s="225"/>
      <c r="D645" s="227"/>
      <c r="E645" s="228"/>
      <c r="F645" s="33"/>
      <c r="G645" s="852"/>
      <c r="H645" s="112"/>
      <c r="I645" s="230"/>
      <c r="J645" s="31"/>
      <c r="K645" s="39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</row>
    <row r="646">
      <c r="A646" s="224"/>
      <c r="B646" s="229"/>
      <c r="C646" s="225"/>
      <c r="D646" s="227"/>
      <c r="E646" s="228"/>
      <c r="F646" s="33"/>
      <c r="G646" s="852"/>
      <c r="H646" s="112"/>
      <c r="I646" s="230"/>
      <c r="J646" s="31"/>
      <c r="K646" s="39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</row>
    <row r="647">
      <c r="A647" s="224"/>
      <c r="B647" s="229"/>
      <c r="C647" s="225"/>
      <c r="D647" s="227"/>
      <c r="E647" s="228"/>
      <c r="F647" s="33"/>
      <c r="G647" s="852"/>
      <c r="H647" s="112"/>
      <c r="I647" s="230"/>
      <c r="J647" s="31"/>
      <c r="K647" s="39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</row>
    <row r="648">
      <c r="A648" s="224"/>
      <c r="B648" s="229"/>
      <c r="C648" s="225"/>
      <c r="D648" s="227"/>
      <c r="E648" s="228"/>
      <c r="F648" s="33"/>
      <c r="G648" s="852"/>
      <c r="H648" s="112"/>
      <c r="I648" s="230"/>
      <c r="J648" s="31"/>
      <c r="K648" s="39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</row>
    <row r="649">
      <c r="A649" s="224"/>
      <c r="B649" s="229"/>
      <c r="C649" s="225"/>
      <c r="D649" s="227"/>
      <c r="E649" s="228"/>
      <c r="F649" s="33"/>
      <c r="G649" s="852"/>
      <c r="H649" s="112"/>
      <c r="I649" s="230"/>
      <c r="J649" s="31"/>
      <c r="K649" s="39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</row>
    <row r="650">
      <c r="A650" s="224"/>
      <c r="B650" s="229"/>
      <c r="C650" s="225"/>
      <c r="D650" s="227"/>
      <c r="E650" s="228"/>
      <c r="F650" s="33"/>
      <c r="G650" s="852"/>
      <c r="H650" s="112"/>
      <c r="I650" s="230"/>
      <c r="J650" s="31"/>
      <c r="K650" s="39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</row>
    <row r="651">
      <c r="A651" s="224"/>
      <c r="B651" s="229"/>
      <c r="C651" s="225"/>
      <c r="D651" s="227"/>
      <c r="E651" s="228"/>
      <c r="F651" s="33"/>
      <c r="G651" s="852"/>
      <c r="H651" s="112"/>
      <c r="I651" s="230"/>
      <c r="J651" s="31"/>
      <c r="K651" s="39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</row>
    <row r="652">
      <c r="A652" s="224"/>
      <c r="B652" s="229"/>
      <c r="C652" s="225"/>
      <c r="D652" s="227"/>
      <c r="E652" s="228"/>
      <c r="F652" s="33"/>
      <c r="G652" s="852"/>
      <c r="H652" s="112"/>
      <c r="I652" s="230"/>
      <c r="J652" s="31"/>
      <c r="K652" s="39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</row>
    <row r="653">
      <c r="A653" s="224"/>
      <c r="B653" s="229"/>
      <c r="C653" s="225"/>
      <c r="D653" s="227"/>
      <c r="E653" s="228"/>
      <c r="F653" s="33"/>
      <c r="G653" s="852"/>
      <c r="H653" s="112"/>
      <c r="I653" s="230"/>
      <c r="J653" s="31"/>
      <c r="K653" s="39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</row>
    <row r="654">
      <c r="A654" s="224"/>
      <c r="B654" s="229"/>
      <c r="C654" s="225"/>
      <c r="D654" s="227"/>
      <c r="E654" s="228"/>
      <c r="F654" s="33"/>
      <c r="G654" s="852"/>
      <c r="H654" s="112"/>
      <c r="I654" s="230"/>
      <c r="J654" s="31"/>
      <c r="K654" s="39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</row>
    <row r="655">
      <c r="A655" s="224"/>
      <c r="B655" s="229"/>
      <c r="C655" s="225"/>
      <c r="D655" s="227"/>
      <c r="E655" s="228"/>
      <c r="F655" s="33"/>
      <c r="G655" s="852"/>
      <c r="H655" s="112"/>
      <c r="I655" s="230"/>
      <c r="J655" s="31"/>
      <c r="K655" s="39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</row>
    <row r="656">
      <c r="A656" s="224"/>
      <c r="B656" s="229"/>
      <c r="C656" s="225"/>
      <c r="D656" s="227"/>
      <c r="E656" s="228"/>
      <c r="F656" s="33"/>
      <c r="G656" s="852"/>
      <c r="H656" s="112"/>
      <c r="I656" s="230"/>
      <c r="J656" s="31"/>
      <c r="K656" s="39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</row>
    <row r="657">
      <c r="A657" s="224"/>
      <c r="B657" s="229"/>
      <c r="C657" s="225"/>
      <c r="D657" s="227"/>
      <c r="E657" s="228"/>
      <c r="F657" s="33"/>
      <c r="G657" s="852"/>
      <c r="H657" s="112"/>
      <c r="I657" s="230"/>
      <c r="J657" s="31"/>
      <c r="K657" s="39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</row>
    <row r="658">
      <c r="A658" s="224"/>
      <c r="B658" s="229"/>
      <c r="C658" s="225"/>
      <c r="D658" s="227"/>
      <c r="E658" s="228"/>
      <c r="F658" s="33"/>
      <c r="G658" s="852"/>
      <c r="H658" s="112"/>
      <c r="I658" s="230"/>
      <c r="J658" s="31"/>
      <c r="K658" s="39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</row>
    <row r="659">
      <c r="A659" s="224"/>
      <c r="B659" s="229"/>
      <c r="C659" s="225"/>
      <c r="D659" s="227"/>
      <c r="E659" s="228"/>
      <c r="F659" s="33"/>
      <c r="G659" s="852"/>
      <c r="H659" s="112"/>
      <c r="I659" s="230"/>
      <c r="J659" s="31"/>
      <c r="K659" s="39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</row>
    <row r="660">
      <c r="A660" s="224"/>
      <c r="B660" s="229"/>
      <c r="C660" s="225"/>
      <c r="D660" s="227"/>
      <c r="E660" s="228"/>
      <c r="F660" s="33"/>
      <c r="G660" s="852"/>
      <c r="H660" s="112"/>
      <c r="I660" s="230"/>
      <c r="J660" s="31"/>
      <c r="K660" s="39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</row>
    <row r="661">
      <c r="A661" s="224"/>
      <c r="B661" s="229"/>
      <c r="C661" s="225"/>
      <c r="D661" s="227"/>
      <c r="E661" s="228"/>
      <c r="F661" s="33"/>
      <c r="G661" s="852"/>
      <c r="H661" s="112"/>
      <c r="I661" s="230"/>
      <c r="J661" s="31"/>
      <c r="K661" s="39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</row>
    <row r="662">
      <c r="A662" s="224"/>
      <c r="B662" s="229"/>
      <c r="C662" s="225"/>
      <c r="D662" s="227"/>
      <c r="E662" s="228"/>
      <c r="F662" s="33"/>
      <c r="G662" s="852"/>
      <c r="H662" s="112"/>
      <c r="I662" s="230"/>
      <c r="J662" s="31"/>
      <c r="K662" s="39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</row>
    <row r="663">
      <c r="A663" s="224"/>
      <c r="B663" s="229"/>
      <c r="C663" s="225"/>
      <c r="D663" s="227"/>
      <c r="E663" s="228"/>
      <c r="F663" s="33"/>
      <c r="G663" s="852"/>
      <c r="H663" s="112"/>
      <c r="I663" s="230"/>
      <c r="J663" s="31"/>
      <c r="K663" s="39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</row>
    <row r="664">
      <c r="A664" s="224"/>
      <c r="B664" s="229"/>
      <c r="C664" s="225"/>
      <c r="D664" s="227"/>
      <c r="E664" s="228"/>
      <c r="F664" s="33"/>
      <c r="G664" s="852"/>
      <c r="H664" s="112"/>
      <c r="I664" s="230"/>
      <c r="J664" s="31"/>
      <c r="K664" s="39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</row>
    <row r="665">
      <c r="A665" s="224"/>
      <c r="B665" s="229"/>
      <c r="C665" s="225"/>
      <c r="D665" s="227"/>
      <c r="E665" s="228"/>
      <c r="F665" s="33"/>
      <c r="G665" s="852"/>
      <c r="H665" s="112"/>
      <c r="I665" s="230"/>
      <c r="J665" s="31"/>
      <c r="K665" s="39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</row>
    <row r="666">
      <c r="A666" s="224"/>
      <c r="B666" s="229"/>
      <c r="C666" s="225"/>
      <c r="D666" s="227"/>
      <c r="E666" s="228"/>
      <c r="F666" s="33"/>
      <c r="G666" s="852"/>
      <c r="H666" s="112"/>
      <c r="I666" s="230"/>
      <c r="J666" s="31"/>
      <c r="K666" s="39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</row>
    <row r="667">
      <c r="A667" s="224"/>
      <c r="B667" s="229"/>
      <c r="C667" s="225"/>
      <c r="D667" s="227"/>
      <c r="E667" s="228"/>
      <c r="F667" s="33"/>
      <c r="G667" s="852"/>
      <c r="H667" s="112"/>
      <c r="I667" s="230"/>
      <c r="J667" s="31"/>
      <c r="K667" s="39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</row>
    <row r="668">
      <c r="A668" s="224"/>
      <c r="B668" s="229"/>
      <c r="C668" s="225"/>
      <c r="D668" s="227"/>
      <c r="E668" s="228"/>
      <c r="F668" s="33"/>
      <c r="G668" s="852"/>
      <c r="H668" s="112"/>
      <c r="I668" s="230"/>
      <c r="J668" s="31"/>
      <c r="K668" s="39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</row>
    <row r="669">
      <c r="A669" s="224"/>
      <c r="B669" s="229"/>
      <c r="C669" s="225"/>
      <c r="D669" s="227"/>
      <c r="E669" s="228"/>
      <c r="F669" s="33"/>
      <c r="G669" s="852"/>
      <c r="H669" s="112"/>
      <c r="I669" s="230"/>
      <c r="J669" s="31"/>
      <c r="K669" s="39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</row>
    <row r="670">
      <c r="A670" s="224"/>
      <c r="B670" s="229"/>
      <c r="C670" s="225"/>
      <c r="D670" s="227"/>
      <c r="E670" s="228"/>
      <c r="F670" s="33"/>
      <c r="G670" s="852"/>
      <c r="H670" s="112"/>
      <c r="I670" s="230"/>
      <c r="J670" s="31"/>
      <c r="K670" s="39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</row>
    <row r="671">
      <c r="A671" s="224"/>
      <c r="B671" s="229"/>
      <c r="C671" s="225"/>
      <c r="D671" s="227"/>
      <c r="E671" s="228"/>
      <c r="F671" s="33"/>
      <c r="G671" s="852"/>
      <c r="H671" s="112"/>
      <c r="I671" s="230"/>
      <c r="J671" s="31"/>
      <c r="K671" s="39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</row>
    <row r="672">
      <c r="A672" s="224"/>
      <c r="B672" s="229"/>
      <c r="C672" s="225"/>
      <c r="D672" s="227"/>
      <c r="E672" s="228"/>
      <c r="F672" s="33"/>
      <c r="G672" s="852"/>
      <c r="H672" s="112"/>
      <c r="I672" s="230"/>
      <c r="J672" s="31"/>
      <c r="K672" s="39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</row>
    <row r="673">
      <c r="A673" s="224"/>
      <c r="B673" s="229"/>
      <c r="C673" s="225"/>
      <c r="D673" s="227"/>
      <c r="E673" s="228"/>
      <c r="F673" s="33"/>
      <c r="G673" s="852"/>
      <c r="H673" s="112"/>
      <c r="I673" s="230"/>
      <c r="J673" s="31"/>
      <c r="K673" s="39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</row>
    <row r="674">
      <c r="A674" s="224"/>
      <c r="B674" s="229"/>
      <c r="C674" s="225"/>
      <c r="D674" s="227"/>
      <c r="E674" s="228"/>
      <c r="F674" s="33"/>
      <c r="G674" s="852"/>
      <c r="H674" s="112"/>
      <c r="I674" s="230"/>
      <c r="J674" s="31"/>
      <c r="K674" s="39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</row>
    <row r="675">
      <c r="A675" s="224"/>
      <c r="B675" s="229"/>
      <c r="C675" s="225"/>
      <c r="D675" s="227"/>
      <c r="E675" s="228"/>
      <c r="F675" s="33"/>
      <c r="G675" s="852"/>
      <c r="H675" s="112"/>
      <c r="I675" s="230"/>
      <c r="J675" s="31"/>
      <c r="K675" s="39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</row>
    <row r="676">
      <c r="A676" s="224"/>
      <c r="B676" s="229"/>
      <c r="C676" s="225"/>
      <c r="D676" s="227"/>
      <c r="E676" s="228"/>
      <c r="F676" s="33"/>
      <c r="G676" s="852"/>
      <c r="H676" s="112"/>
      <c r="I676" s="230"/>
      <c r="J676" s="31"/>
      <c r="K676" s="39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</row>
    <row r="677">
      <c r="A677" s="224"/>
      <c r="B677" s="229"/>
      <c r="C677" s="225"/>
      <c r="D677" s="227"/>
      <c r="E677" s="228"/>
      <c r="F677" s="33"/>
      <c r="G677" s="852"/>
      <c r="H677" s="112"/>
      <c r="I677" s="230"/>
      <c r="J677" s="31"/>
      <c r="K677" s="39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</row>
    <row r="678">
      <c r="A678" s="224"/>
      <c r="B678" s="229"/>
      <c r="C678" s="225"/>
      <c r="D678" s="227"/>
      <c r="E678" s="228"/>
      <c r="F678" s="33"/>
      <c r="G678" s="852"/>
      <c r="H678" s="112"/>
      <c r="I678" s="230"/>
      <c r="J678" s="31"/>
      <c r="K678" s="39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</row>
    <row r="679">
      <c r="A679" s="224"/>
      <c r="B679" s="229"/>
      <c r="C679" s="225"/>
      <c r="D679" s="227"/>
      <c r="E679" s="228"/>
      <c r="F679" s="33"/>
      <c r="G679" s="852"/>
      <c r="H679" s="112"/>
      <c r="I679" s="230"/>
      <c r="J679" s="31"/>
      <c r="K679" s="39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</row>
    <row r="680">
      <c r="A680" s="224"/>
      <c r="B680" s="229"/>
      <c r="C680" s="225"/>
      <c r="D680" s="227"/>
      <c r="E680" s="228"/>
      <c r="F680" s="33"/>
      <c r="G680" s="852"/>
      <c r="H680" s="112"/>
      <c r="I680" s="230"/>
      <c r="J680" s="31"/>
      <c r="K680" s="39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</row>
    <row r="681">
      <c r="A681" s="224"/>
      <c r="B681" s="229"/>
      <c r="C681" s="225"/>
      <c r="D681" s="227"/>
      <c r="E681" s="228"/>
      <c r="F681" s="33"/>
      <c r="G681" s="852"/>
      <c r="H681" s="112"/>
      <c r="I681" s="230"/>
      <c r="J681" s="31"/>
      <c r="K681" s="39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</row>
    <row r="682">
      <c r="A682" s="224"/>
      <c r="B682" s="229"/>
      <c r="C682" s="225"/>
      <c r="D682" s="227"/>
      <c r="E682" s="228"/>
      <c r="F682" s="33"/>
      <c r="G682" s="852"/>
      <c r="H682" s="112"/>
      <c r="I682" s="230"/>
      <c r="J682" s="31"/>
      <c r="K682" s="39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</row>
    <row r="683">
      <c r="A683" s="224"/>
      <c r="B683" s="229"/>
      <c r="C683" s="225"/>
      <c r="D683" s="227"/>
      <c r="E683" s="228"/>
      <c r="F683" s="33"/>
      <c r="G683" s="852"/>
      <c r="H683" s="112"/>
      <c r="I683" s="230"/>
      <c r="J683" s="31"/>
      <c r="K683" s="39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</row>
    <row r="684">
      <c r="A684" s="224"/>
      <c r="B684" s="229"/>
      <c r="C684" s="225"/>
      <c r="D684" s="227"/>
      <c r="E684" s="228"/>
      <c r="F684" s="33"/>
      <c r="G684" s="852"/>
      <c r="H684" s="112"/>
      <c r="I684" s="230"/>
      <c r="J684" s="31"/>
      <c r="K684" s="39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</row>
    <row r="685">
      <c r="A685" s="224"/>
      <c r="B685" s="229"/>
      <c r="C685" s="225"/>
      <c r="D685" s="227"/>
      <c r="E685" s="228"/>
      <c r="F685" s="33"/>
      <c r="G685" s="852"/>
      <c r="H685" s="112"/>
      <c r="I685" s="230"/>
      <c r="J685" s="31"/>
      <c r="K685" s="39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</row>
    <row r="686">
      <c r="A686" s="224"/>
      <c r="B686" s="229"/>
      <c r="C686" s="225"/>
      <c r="D686" s="227"/>
      <c r="E686" s="228"/>
      <c r="F686" s="33"/>
      <c r="G686" s="852"/>
      <c r="H686" s="112"/>
      <c r="I686" s="230"/>
      <c r="J686" s="31"/>
      <c r="K686" s="39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</row>
    <row r="687">
      <c r="A687" s="224"/>
      <c r="B687" s="229"/>
      <c r="C687" s="225"/>
      <c r="D687" s="227"/>
      <c r="E687" s="228"/>
      <c r="F687" s="33"/>
      <c r="G687" s="852"/>
      <c r="H687" s="112"/>
      <c r="I687" s="230"/>
      <c r="J687" s="31"/>
      <c r="K687" s="39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</row>
    <row r="688">
      <c r="A688" s="224"/>
      <c r="B688" s="229"/>
      <c r="C688" s="225"/>
      <c r="D688" s="227"/>
      <c r="E688" s="228"/>
      <c r="F688" s="33"/>
      <c r="G688" s="852"/>
      <c r="H688" s="112"/>
      <c r="I688" s="230"/>
      <c r="J688" s="31"/>
      <c r="K688" s="39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</row>
    <row r="689">
      <c r="A689" s="224"/>
      <c r="B689" s="229"/>
      <c r="C689" s="225"/>
      <c r="D689" s="227"/>
      <c r="E689" s="228"/>
      <c r="F689" s="33"/>
      <c r="G689" s="852"/>
      <c r="H689" s="112"/>
      <c r="I689" s="230"/>
      <c r="J689" s="31"/>
      <c r="K689" s="39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</row>
    <row r="690">
      <c r="A690" s="224"/>
      <c r="B690" s="229"/>
      <c r="C690" s="225"/>
      <c r="D690" s="227"/>
      <c r="E690" s="228"/>
      <c r="F690" s="33"/>
      <c r="G690" s="852"/>
      <c r="H690" s="112"/>
      <c r="I690" s="230"/>
      <c r="J690" s="31"/>
      <c r="K690" s="39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</row>
    <row r="691">
      <c r="A691" s="224"/>
      <c r="B691" s="229"/>
      <c r="C691" s="225"/>
      <c r="D691" s="227"/>
      <c r="E691" s="228"/>
      <c r="F691" s="33"/>
      <c r="G691" s="852"/>
      <c r="H691" s="112"/>
      <c r="I691" s="230"/>
      <c r="J691" s="31"/>
      <c r="K691" s="39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</row>
    <row r="692">
      <c r="A692" s="224"/>
      <c r="B692" s="229"/>
      <c r="C692" s="225"/>
      <c r="D692" s="227"/>
      <c r="E692" s="228"/>
      <c r="F692" s="33"/>
      <c r="G692" s="852"/>
      <c r="H692" s="112"/>
      <c r="I692" s="230"/>
      <c r="J692" s="31"/>
      <c r="K692" s="39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</row>
    <row r="693">
      <c r="A693" s="224"/>
      <c r="B693" s="229"/>
      <c r="C693" s="225"/>
      <c r="D693" s="227"/>
      <c r="E693" s="228"/>
      <c r="F693" s="33"/>
      <c r="G693" s="852"/>
      <c r="H693" s="112"/>
      <c r="I693" s="230"/>
      <c r="J693" s="31"/>
      <c r="K693" s="39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</row>
    <row r="694">
      <c r="A694" s="224"/>
      <c r="B694" s="229"/>
      <c r="C694" s="225"/>
      <c r="D694" s="227"/>
      <c r="E694" s="228"/>
      <c r="F694" s="33"/>
      <c r="G694" s="852"/>
      <c r="H694" s="112"/>
      <c r="I694" s="230"/>
      <c r="J694" s="31"/>
      <c r="K694" s="39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</row>
    <row r="695">
      <c r="A695" s="224"/>
      <c r="B695" s="229"/>
      <c r="C695" s="225"/>
      <c r="D695" s="227"/>
      <c r="E695" s="228"/>
      <c r="F695" s="33"/>
      <c r="G695" s="852"/>
      <c r="H695" s="112"/>
      <c r="I695" s="230"/>
      <c r="J695" s="31"/>
      <c r="K695" s="39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</row>
    <row r="696">
      <c r="A696" s="224"/>
      <c r="B696" s="229"/>
      <c r="C696" s="225"/>
      <c r="D696" s="227"/>
      <c r="E696" s="228"/>
      <c r="F696" s="33"/>
      <c r="G696" s="852"/>
      <c r="H696" s="112"/>
      <c r="I696" s="230"/>
      <c r="J696" s="31"/>
      <c r="K696" s="39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</row>
    <row r="697">
      <c r="A697" s="224"/>
      <c r="B697" s="229"/>
      <c r="C697" s="225"/>
      <c r="D697" s="227"/>
      <c r="E697" s="228"/>
      <c r="F697" s="33"/>
      <c r="G697" s="852"/>
      <c r="H697" s="112"/>
      <c r="I697" s="230"/>
      <c r="J697" s="31"/>
      <c r="K697" s="39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</row>
    <row r="698">
      <c r="A698" s="224"/>
      <c r="B698" s="229"/>
      <c r="C698" s="225"/>
      <c r="D698" s="227"/>
      <c r="E698" s="228"/>
      <c r="F698" s="33"/>
      <c r="G698" s="852"/>
      <c r="H698" s="112"/>
      <c r="I698" s="230"/>
      <c r="J698" s="31"/>
      <c r="K698" s="39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</row>
    <row r="699">
      <c r="A699" s="224"/>
      <c r="B699" s="229"/>
      <c r="C699" s="225"/>
      <c r="D699" s="227"/>
      <c r="E699" s="228"/>
      <c r="F699" s="33"/>
      <c r="G699" s="852"/>
      <c r="H699" s="112"/>
      <c r="I699" s="230"/>
      <c r="J699" s="31"/>
      <c r="K699" s="39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</row>
    <row r="700">
      <c r="A700" s="224"/>
      <c r="B700" s="229"/>
      <c r="C700" s="225"/>
      <c r="D700" s="227"/>
      <c r="E700" s="228"/>
      <c r="F700" s="33"/>
      <c r="G700" s="852"/>
      <c r="H700" s="112"/>
      <c r="I700" s="230"/>
      <c r="J700" s="31"/>
      <c r="K700" s="39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</row>
    <row r="701">
      <c r="A701" s="224"/>
      <c r="B701" s="229"/>
      <c r="C701" s="225"/>
      <c r="D701" s="227"/>
      <c r="E701" s="228"/>
      <c r="F701" s="33"/>
      <c r="G701" s="852"/>
      <c r="H701" s="112"/>
      <c r="I701" s="230"/>
      <c r="J701" s="31"/>
      <c r="K701" s="39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</row>
    <row r="702">
      <c r="A702" s="224"/>
      <c r="B702" s="229"/>
      <c r="C702" s="225"/>
      <c r="D702" s="227"/>
      <c r="E702" s="228"/>
      <c r="F702" s="33"/>
      <c r="G702" s="852"/>
      <c r="H702" s="112"/>
      <c r="I702" s="230"/>
      <c r="J702" s="31"/>
      <c r="K702" s="39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</row>
    <row r="703">
      <c r="A703" s="224"/>
      <c r="B703" s="229"/>
      <c r="C703" s="225"/>
      <c r="D703" s="227"/>
      <c r="E703" s="228"/>
      <c r="F703" s="33"/>
      <c r="G703" s="852"/>
      <c r="H703" s="112"/>
      <c r="I703" s="230"/>
      <c r="J703" s="31"/>
      <c r="K703" s="39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</row>
    <row r="704">
      <c r="A704" s="224"/>
      <c r="B704" s="229"/>
      <c r="C704" s="225"/>
      <c r="D704" s="227"/>
      <c r="E704" s="228"/>
      <c r="F704" s="33"/>
      <c r="G704" s="852"/>
      <c r="H704" s="112"/>
      <c r="I704" s="230"/>
      <c r="J704" s="31"/>
      <c r="K704" s="39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</row>
    <row r="705">
      <c r="A705" s="224"/>
      <c r="B705" s="229"/>
      <c r="C705" s="225"/>
      <c r="D705" s="227"/>
      <c r="E705" s="228"/>
      <c r="F705" s="33"/>
      <c r="G705" s="852"/>
      <c r="H705" s="112"/>
      <c r="I705" s="230"/>
      <c r="J705" s="31"/>
      <c r="K705" s="39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</row>
    <row r="706">
      <c r="A706" s="224"/>
      <c r="B706" s="229"/>
      <c r="C706" s="225"/>
      <c r="D706" s="227"/>
      <c r="E706" s="228"/>
      <c r="F706" s="33"/>
      <c r="G706" s="852"/>
      <c r="H706" s="112"/>
      <c r="I706" s="230"/>
      <c r="J706" s="31"/>
      <c r="K706" s="39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</row>
    <row r="707">
      <c r="A707" s="224"/>
      <c r="B707" s="229"/>
      <c r="C707" s="225"/>
      <c r="D707" s="227"/>
      <c r="E707" s="228"/>
      <c r="F707" s="33"/>
      <c r="G707" s="852"/>
      <c r="H707" s="112"/>
      <c r="I707" s="230"/>
      <c r="J707" s="31"/>
      <c r="K707" s="39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</row>
    <row r="708">
      <c r="A708" s="224"/>
      <c r="B708" s="229"/>
      <c r="C708" s="225"/>
      <c r="D708" s="227"/>
      <c r="E708" s="228"/>
      <c r="F708" s="33"/>
      <c r="G708" s="852"/>
      <c r="H708" s="112"/>
      <c r="I708" s="230"/>
      <c r="J708" s="31"/>
      <c r="K708" s="39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</row>
    <row r="709">
      <c r="A709" s="224"/>
      <c r="B709" s="229"/>
      <c r="C709" s="225"/>
      <c r="D709" s="227"/>
      <c r="E709" s="228"/>
      <c r="F709" s="33"/>
      <c r="G709" s="852"/>
      <c r="H709" s="112"/>
      <c r="I709" s="230"/>
      <c r="J709" s="31"/>
      <c r="K709" s="39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</row>
    <row r="710">
      <c r="A710" s="224"/>
      <c r="B710" s="229"/>
      <c r="C710" s="225"/>
      <c r="D710" s="227"/>
      <c r="E710" s="228"/>
      <c r="F710" s="33"/>
      <c r="G710" s="852"/>
      <c r="H710" s="112"/>
      <c r="I710" s="230"/>
      <c r="J710" s="31"/>
      <c r="K710" s="39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</row>
    <row r="711">
      <c r="A711" s="224"/>
      <c r="B711" s="229"/>
      <c r="C711" s="225"/>
      <c r="D711" s="227"/>
      <c r="E711" s="228"/>
      <c r="F711" s="33"/>
      <c r="G711" s="852"/>
      <c r="H711" s="112"/>
      <c r="I711" s="230"/>
      <c r="J711" s="31"/>
      <c r="K711" s="39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</row>
    <row r="712">
      <c r="A712" s="224"/>
      <c r="B712" s="229"/>
      <c r="C712" s="225"/>
      <c r="D712" s="227"/>
      <c r="E712" s="228"/>
      <c r="F712" s="33"/>
      <c r="G712" s="852"/>
      <c r="H712" s="112"/>
      <c r="I712" s="230"/>
      <c r="J712" s="31"/>
      <c r="K712" s="39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</row>
    <row r="713">
      <c r="A713" s="224"/>
      <c r="B713" s="229"/>
      <c r="C713" s="225"/>
      <c r="D713" s="227"/>
      <c r="E713" s="228"/>
      <c r="F713" s="33"/>
      <c r="G713" s="852"/>
      <c r="H713" s="112"/>
      <c r="I713" s="230"/>
      <c r="J713" s="31"/>
      <c r="K713" s="39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</row>
    <row r="714">
      <c r="A714" s="224"/>
      <c r="B714" s="229"/>
      <c r="C714" s="225"/>
      <c r="D714" s="227"/>
      <c r="E714" s="228"/>
      <c r="F714" s="33"/>
      <c r="G714" s="852"/>
      <c r="H714" s="112"/>
      <c r="I714" s="230"/>
      <c r="J714" s="31"/>
      <c r="K714" s="39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</row>
    <row r="715">
      <c r="A715" s="224"/>
      <c r="B715" s="229"/>
      <c r="C715" s="225"/>
      <c r="D715" s="227"/>
      <c r="E715" s="228"/>
      <c r="F715" s="33"/>
      <c r="G715" s="852"/>
      <c r="H715" s="112"/>
      <c r="I715" s="230"/>
      <c r="J715" s="31"/>
      <c r="K715" s="39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</row>
    <row r="716">
      <c r="A716" s="224"/>
      <c r="B716" s="229"/>
      <c r="C716" s="225"/>
      <c r="D716" s="227"/>
      <c r="E716" s="228"/>
      <c r="F716" s="33"/>
      <c r="G716" s="852"/>
      <c r="H716" s="112"/>
      <c r="I716" s="230"/>
      <c r="J716" s="31"/>
      <c r="K716" s="39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</row>
    <row r="717">
      <c r="A717" s="224"/>
      <c r="B717" s="229"/>
      <c r="C717" s="225"/>
      <c r="D717" s="227"/>
      <c r="E717" s="228"/>
      <c r="F717" s="33"/>
      <c r="G717" s="852"/>
      <c r="H717" s="112"/>
      <c r="I717" s="230"/>
      <c r="J717" s="31"/>
      <c r="K717" s="39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</row>
    <row r="718">
      <c r="A718" s="224"/>
      <c r="B718" s="229"/>
      <c r="C718" s="225"/>
      <c r="D718" s="227"/>
      <c r="E718" s="228"/>
      <c r="F718" s="33"/>
      <c r="G718" s="852"/>
      <c r="H718" s="112"/>
      <c r="I718" s="230"/>
      <c r="J718" s="31"/>
      <c r="K718" s="39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</row>
    <row r="719">
      <c r="A719" s="224"/>
      <c r="B719" s="229"/>
      <c r="C719" s="225"/>
      <c r="D719" s="227"/>
      <c r="E719" s="228"/>
      <c r="F719" s="33"/>
      <c r="G719" s="852"/>
      <c r="H719" s="112"/>
      <c r="I719" s="230"/>
      <c r="J719" s="31"/>
      <c r="K719" s="39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</row>
    <row r="720">
      <c r="A720" s="224"/>
      <c r="B720" s="229"/>
      <c r="C720" s="225"/>
      <c r="D720" s="227"/>
      <c r="E720" s="228"/>
      <c r="F720" s="33"/>
      <c r="G720" s="852"/>
      <c r="H720" s="112"/>
      <c r="I720" s="230"/>
      <c r="J720" s="31"/>
      <c r="K720" s="39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</row>
    <row r="721">
      <c r="A721" s="224"/>
      <c r="B721" s="229"/>
      <c r="C721" s="225"/>
      <c r="D721" s="227"/>
      <c r="E721" s="228"/>
      <c r="F721" s="33"/>
      <c r="G721" s="852"/>
      <c r="H721" s="112"/>
      <c r="I721" s="230"/>
      <c r="J721" s="31"/>
      <c r="K721" s="39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</row>
    <row r="722">
      <c r="A722" s="224"/>
      <c r="B722" s="229"/>
      <c r="C722" s="225"/>
      <c r="D722" s="227"/>
      <c r="E722" s="228"/>
      <c r="F722" s="33"/>
      <c r="G722" s="852"/>
      <c r="H722" s="112"/>
      <c r="I722" s="230"/>
      <c r="J722" s="31"/>
      <c r="K722" s="39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</row>
    <row r="723">
      <c r="A723" s="224"/>
      <c r="B723" s="229"/>
      <c r="C723" s="225"/>
      <c r="D723" s="227"/>
      <c r="E723" s="228"/>
      <c r="F723" s="33"/>
      <c r="G723" s="852"/>
      <c r="H723" s="112"/>
      <c r="I723" s="230"/>
      <c r="J723" s="31"/>
      <c r="K723" s="39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</row>
    <row r="724">
      <c r="A724" s="224"/>
      <c r="B724" s="229"/>
      <c r="C724" s="225"/>
      <c r="D724" s="227"/>
      <c r="E724" s="228"/>
      <c r="F724" s="33"/>
      <c r="G724" s="852"/>
      <c r="H724" s="112"/>
      <c r="I724" s="230"/>
      <c r="J724" s="31"/>
      <c r="K724" s="39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</row>
    <row r="725">
      <c r="A725" s="224"/>
      <c r="B725" s="229"/>
      <c r="C725" s="225"/>
      <c r="D725" s="227"/>
      <c r="E725" s="228"/>
      <c r="F725" s="33"/>
      <c r="G725" s="852"/>
      <c r="H725" s="112"/>
      <c r="I725" s="230"/>
      <c r="J725" s="31"/>
      <c r="K725" s="39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</row>
    <row r="726">
      <c r="A726" s="224"/>
      <c r="B726" s="229"/>
      <c r="C726" s="225"/>
      <c r="D726" s="227"/>
      <c r="E726" s="228"/>
      <c r="F726" s="33"/>
      <c r="G726" s="852"/>
      <c r="H726" s="112"/>
      <c r="I726" s="230"/>
      <c r="J726" s="31"/>
      <c r="K726" s="39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</row>
    <row r="727">
      <c r="A727" s="224"/>
      <c r="B727" s="229"/>
      <c r="C727" s="225"/>
      <c r="D727" s="227"/>
      <c r="E727" s="228"/>
      <c r="F727" s="33"/>
      <c r="G727" s="852"/>
      <c r="H727" s="112"/>
      <c r="I727" s="230"/>
      <c r="J727" s="31"/>
      <c r="K727" s="39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</row>
    <row r="728">
      <c r="A728" s="224"/>
      <c r="B728" s="229"/>
      <c r="C728" s="225"/>
      <c r="D728" s="227"/>
      <c r="E728" s="228"/>
      <c r="F728" s="33"/>
      <c r="G728" s="852"/>
      <c r="H728" s="112"/>
      <c r="I728" s="230"/>
      <c r="J728" s="31"/>
      <c r="K728" s="39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</row>
    <row r="729">
      <c r="A729" s="224"/>
      <c r="B729" s="229"/>
      <c r="C729" s="225"/>
      <c r="D729" s="227"/>
      <c r="E729" s="228"/>
      <c r="F729" s="33"/>
      <c r="G729" s="852"/>
      <c r="H729" s="112"/>
      <c r="I729" s="230"/>
      <c r="J729" s="31"/>
      <c r="K729" s="39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</row>
    <row r="730">
      <c r="A730" s="224"/>
      <c r="B730" s="229"/>
      <c r="C730" s="225"/>
      <c r="D730" s="227"/>
      <c r="E730" s="228"/>
      <c r="F730" s="33"/>
      <c r="G730" s="852"/>
      <c r="H730" s="112"/>
      <c r="I730" s="230"/>
      <c r="J730" s="31"/>
      <c r="K730" s="39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</row>
    <row r="731">
      <c r="A731" s="224"/>
      <c r="B731" s="229"/>
      <c r="C731" s="225"/>
      <c r="D731" s="227"/>
      <c r="E731" s="228"/>
      <c r="F731" s="33"/>
      <c r="G731" s="852"/>
      <c r="H731" s="112"/>
      <c r="I731" s="230"/>
      <c r="J731" s="31"/>
      <c r="K731" s="39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</row>
    <row r="732">
      <c r="A732" s="224"/>
      <c r="B732" s="229"/>
      <c r="C732" s="225"/>
      <c r="D732" s="227"/>
      <c r="E732" s="228"/>
      <c r="F732" s="33"/>
      <c r="G732" s="852"/>
      <c r="H732" s="112"/>
      <c r="I732" s="230"/>
      <c r="J732" s="31"/>
      <c r="K732" s="39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</row>
    <row r="733">
      <c r="A733" s="224"/>
      <c r="B733" s="229"/>
      <c r="C733" s="225"/>
      <c r="D733" s="227"/>
      <c r="E733" s="228"/>
      <c r="F733" s="33"/>
      <c r="G733" s="852"/>
      <c r="H733" s="112"/>
      <c r="I733" s="230"/>
      <c r="J733" s="31"/>
      <c r="K733" s="39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</row>
    <row r="734">
      <c r="A734" s="224"/>
      <c r="B734" s="229"/>
      <c r="C734" s="225"/>
      <c r="D734" s="227"/>
      <c r="E734" s="228"/>
      <c r="F734" s="33"/>
      <c r="G734" s="852"/>
      <c r="H734" s="112"/>
      <c r="I734" s="230"/>
      <c r="J734" s="31"/>
      <c r="K734" s="39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</row>
    <row r="735">
      <c r="A735" s="224"/>
      <c r="B735" s="229"/>
      <c r="C735" s="225"/>
      <c r="D735" s="227"/>
      <c r="E735" s="228"/>
      <c r="F735" s="33"/>
      <c r="G735" s="852"/>
      <c r="H735" s="112"/>
      <c r="I735" s="230"/>
      <c r="J735" s="31"/>
      <c r="K735" s="39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</row>
    <row r="736">
      <c r="A736" s="224"/>
      <c r="B736" s="229"/>
      <c r="C736" s="225"/>
      <c r="D736" s="227"/>
      <c r="E736" s="228"/>
      <c r="F736" s="33"/>
      <c r="G736" s="852"/>
      <c r="H736" s="112"/>
      <c r="I736" s="230"/>
      <c r="J736" s="31"/>
      <c r="K736" s="39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</row>
    <row r="737">
      <c r="A737" s="224"/>
      <c r="B737" s="229"/>
      <c r="C737" s="225"/>
      <c r="D737" s="227"/>
      <c r="E737" s="228"/>
      <c r="F737" s="33"/>
      <c r="G737" s="852"/>
      <c r="H737" s="112"/>
      <c r="I737" s="230"/>
      <c r="J737" s="31"/>
      <c r="K737" s="39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</row>
    <row r="738">
      <c r="A738" s="224"/>
      <c r="B738" s="229"/>
      <c r="C738" s="225"/>
      <c r="D738" s="227"/>
      <c r="E738" s="228"/>
      <c r="F738" s="33"/>
      <c r="G738" s="852"/>
      <c r="H738" s="112"/>
      <c r="I738" s="230"/>
      <c r="J738" s="31"/>
      <c r="K738" s="39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</row>
    <row r="739">
      <c r="A739" s="224"/>
      <c r="B739" s="229"/>
      <c r="C739" s="225"/>
      <c r="D739" s="227"/>
      <c r="E739" s="228"/>
      <c r="F739" s="33"/>
      <c r="G739" s="852"/>
      <c r="H739" s="112"/>
      <c r="I739" s="230"/>
      <c r="J739" s="31"/>
      <c r="K739" s="39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</row>
    <row r="740">
      <c r="A740" s="224"/>
      <c r="B740" s="229"/>
      <c r="C740" s="225"/>
      <c r="D740" s="227"/>
      <c r="E740" s="228"/>
      <c r="F740" s="33"/>
      <c r="G740" s="852"/>
      <c r="H740" s="112"/>
      <c r="I740" s="230"/>
      <c r="J740" s="31"/>
      <c r="K740" s="39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</row>
    <row r="741">
      <c r="A741" s="224"/>
      <c r="B741" s="229"/>
      <c r="C741" s="225"/>
      <c r="D741" s="227"/>
      <c r="E741" s="228"/>
      <c r="F741" s="33"/>
      <c r="G741" s="852"/>
      <c r="H741" s="112"/>
      <c r="I741" s="230"/>
      <c r="J741" s="31"/>
      <c r="K741" s="39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</row>
    <row r="742">
      <c r="A742" s="224"/>
      <c r="B742" s="229"/>
      <c r="C742" s="225"/>
      <c r="D742" s="227"/>
      <c r="E742" s="228"/>
      <c r="F742" s="33"/>
      <c r="G742" s="852"/>
      <c r="H742" s="112"/>
      <c r="I742" s="230"/>
      <c r="J742" s="31"/>
      <c r="K742" s="39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</row>
    <row r="743">
      <c r="A743" s="224"/>
      <c r="B743" s="229"/>
      <c r="C743" s="225"/>
      <c r="D743" s="227"/>
      <c r="E743" s="228"/>
      <c r="F743" s="33"/>
      <c r="G743" s="852"/>
      <c r="H743" s="112"/>
      <c r="I743" s="230"/>
      <c r="J743" s="31"/>
      <c r="K743" s="39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</row>
    <row r="744">
      <c r="A744" s="224"/>
      <c r="B744" s="229"/>
      <c r="C744" s="225"/>
      <c r="D744" s="227"/>
      <c r="E744" s="228"/>
      <c r="F744" s="33"/>
      <c r="G744" s="852"/>
      <c r="H744" s="112"/>
      <c r="I744" s="230"/>
      <c r="J744" s="31"/>
      <c r="K744" s="39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</row>
    <row r="745">
      <c r="A745" s="224"/>
      <c r="B745" s="229"/>
      <c r="C745" s="225"/>
      <c r="D745" s="227"/>
      <c r="E745" s="228"/>
      <c r="F745" s="33"/>
      <c r="G745" s="852"/>
      <c r="H745" s="112"/>
      <c r="I745" s="230"/>
      <c r="J745" s="31"/>
      <c r="K745" s="39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</row>
    <row r="746">
      <c r="A746" s="224"/>
      <c r="B746" s="229"/>
      <c r="C746" s="225"/>
      <c r="D746" s="227"/>
      <c r="E746" s="228"/>
      <c r="F746" s="33"/>
      <c r="G746" s="852"/>
      <c r="H746" s="112"/>
      <c r="I746" s="230"/>
      <c r="J746" s="31"/>
      <c r="K746" s="39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</row>
    <row r="747">
      <c r="A747" s="224"/>
      <c r="B747" s="229"/>
      <c r="C747" s="225"/>
      <c r="D747" s="227"/>
      <c r="E747" s="228"/>
      <c r="F747" s="33"/>
      <c r="G747" s="852"/>
      <c r="H747" s="112"/>
      <c r="I747" s="230"/>
      <c r="J747" s="31"/>
      <c r="K747" s="39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</row>
    <row r="748">
      <c r="A748" s="224"/>
      <c r="B748" s="229"/>
      <c r="C748" s="225"/>
      <c r="D748" s="227"/>
      <c r="E748" s="228"/>
      <c r="F748" s="33"/>
      <c r="G748" s="852"/>
      <c r="H748" s="112"/>
      <c r="I748" s="230"/>
      <c r="J748" s="31"/>
      <c r="K748" s="39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</row>
    <row r="749">
      <c r="A749" s="224"/>
      <c r="B749" s="229"/>
      <c r="C749" s="225"/>
      <c r="D749" s="227"/>
      <c r="E749" s="228"/>
      <c r="F749" s="33"/>
      <c r="G749" s="852"/>
      <c r="H749" s="112"/>
      <c r="I749" s="230"/>
      <c r="J749" s="31"/>
      <c r="K749" s="39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</row>
    <row r="750">
      <c r="A750" s="224"/>
      <c r="B750" s="229"/>
      <c r="C750" s="225"/>
      <c r="D750" s="227"/>
      <c r="E750" s="228"/>
      <c r="F750" s="33"/>
      <c r="G750" s="852"/>
      <c r="H750" s="112"/>
      <c r="I750" s="230"/>
      <c r="J750" s="31"/>
      <c r="K750" s="39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</row>
    <row r="751">
      <c r="A751" s="224"/>
      <c r="B751" s="229"/>
      <c r="C751" s="225"/>
      <c r="D751" s="227"/>
      <c r="E751" s="228"/>
      <c r="F751" s="33"/>
      <c r="G751" s="852"/>
      <c r="H751" s="112"/>
      <c r="I751" s="230"/>
      <c r="J751" s="31"/>
      <c r="K751" s="39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</row>
    <row r="752">
      <c r="A752" s="224"/>
      <c r="B752" s="229"/>
      <c r="C752" s="225"/>
      <c r="D752" s="227"/>
      <c r="E752" s="228"/>
      <c r="F752" s="33"/>
      <c r="G752" s="852"/>
      <c r="H752" s="112"/>
      <c r="I752" s="230"/>
      <c r="J752" s="31"/>
      <c r="K752" s="39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</row>
    <row r="753">
      <c r="A753" s="224"/>
      <c r="B753" s="229"/>
      <c r="C753" s="225"/>
      <c r="D753" s="227"/>
      <c r="E753" s="228"/>
      <c r="F753" s="33"/>
      <c r="G753" s="852"/>
      <c r="H753" s="112"/>
      <c r="I753" s="230"/>
      <c r="J753" s="31"/>
      <c r="K753" s="39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</row>
    <row r="754">
      <c r="A754" s="224"/>
      <c r="B754" s="229"/>
      <c r="C754" s="225"/>
      <c r="D754" s="227"/>
      <c r="E754" s="228"/>
      <c r="F754" s="33"/>
      <c r="G754" s="852"/>
      <c r="H754" s="112"/>
      <c r="I754" s="230"/>
      <c r="J754" s="31"/>
      <c r="K754" s="39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</row>
    <row r="755">
      <c r="A755" s="224"/>
      <c r="B755" s="229"/>
      <c r="C755" s="225"/>
      <c r="D755" s="227"/>
      <c r="E755" s="228"/>
      <c r="F755" s="33"/>
      <c r="G755" s="852"/>
      <c r="H755" s="112"/>
      <c r="I755" s="230"/>
      <c r="J755" s="31"/>
      <c r="K755" s="39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</row>
    <row r="756">
      <c r="A756" s="224"/>
      <c r="B756" s="229"/>
      <c r="C756" s="225"/>
      <c r="D756" s="227"/>
      <c r="E756" s="228"/>
      <c r="F756" s="33"/>
      <c r="G756" s="852"/>
      <c r="H756" s="112"/>
      <c r="I756" s="230"/>
      <c r="J756" s="31"/>
      <c r="K756" s="39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</row>
    <row r="757">
      <c r="A757" s="224"/>
      <c r="B757" s="229"/>
      <c r="C757" s="225"/>
      <c r="D757" s="227"/>
      <c r="E757" s="228"/>
      <c r="F757" s="33"/>
      <c r="G757" s="852"/>
      <c r="H757" s="112"/>
      <c r="I757" s="230"/>
      <c r="J757" s="31"/>
      <c r="K757" s="39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</row>
    <row r="758">
      <c r="A758" s="224"/>
      <c r="B758" s="229"/>
      <c r="C758" s="225"/>
      <c r="D758" s="227"/>
      <c r="E758" s="228"/>
      <c r="F758" s="33"/>
      <c r="G758" s="852"/>
      <c r="H758" s="112"/>
      <c r="I758" s="230"/>
      <c r="J758" s="31"/>
      <c r="K758" s="39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</row>
    <row r="759">
      <c r="A759" s="224"/>
      <c r="B759" s="229"/>
      <c r="C759" s="225"/>
      <c r="D759" s="227"/>
      <c r="E759" s="228"/>
      <c r="F759" s="33"/>
      <c r="G759" s="852"/>
      <c r="H759" s="112"/>
      <c r="I759" s="230"/>
      <c r="J759" s="31"/>
      <c r="K759" s="39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</row>
    <row r="760">
      <c r="A760" s="224"/>
      <c r="B760" s="229"/>
      <c r="C760" s="225"/>
      <c r="D760" s="227"/>
      <c r="E760" s="228"/>
      <c r="F760" s="33"/>
      <c r="G760" s="852"/>
      <c r="H760" s="112"/>
      <c r="I760" s="230"/>
      <c r="J760" s="31"/>
      <c r="K760" s="39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</row>
    <row r="761">
      <c r="A761" s="224"/>
      <c r="B761" s="229"/>
      <c r="C761" s="225"/>
      <c r="D761" s="227"/>
      <c r="E761" s="228"/>
      <c r="F761" s="33"/>
      <c r="G761" s="852"/>
      <c r="H761" s="112"/>
      <c r="I761" s="230"/>
      <c r="J761" s="31"/>
      <c r="K761" s="39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</row>
    <row r="762">
      <c r="A762" s="224"/>
      <c r="B762" s="229"/>
      <c r="C762" s="225"/>
      <c r="D762" s="227"/>
      <c r="E762" s="228"/>
      <c r="F762" s="33"/>
      <c r="G762" s="852"/>
      <c r="H762" s="112"/>
      <c r="I762" s="230"/>
      <c r="J762" s="31"/>
      <c r="K762" s="39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</row>
    <row r="763">
      <c r="A763" s="224"/>
      <c r="B763" s="229"/>
      <c r="C763" s="225"/>
      <c r="D763" s="227"/>
      <c r="E763" s="228"/>
      <c r="F763" s="33"/>
      <c r="G763" s="852"/>
      <c r="H763" s="112"/>
      <c r="I763" s="230"/>
      <c r="J763" s="31"/>
      <c r="K763" s="39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</row>
    <row r="764">
      <c r="A764" s="224"/>
      <c r="B764" s="229"/>
      <c r="C764" s="225"/>
      <c r="D764" s="227"/>
      <c r="E764" s="228"/>
      <c r="F764" s="33"/>
      <c r="G764" s="852"/>
      <c r="H764" s="112"/>
      <c r="I764" s="230"/>
      <c r="J764" s="31"/>
      <c r="K764" s="39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</row>
    <row r="765">
      <c r="A765" s="224"/>
      <c r="B765" s="229"/>
      <c r="C765" s="225"/>
      <c r="D765" s="227"/>
      <c r="E765" s="228"/>
      <c r="F765" s="33"/>
      <c r="G765" s="852"/>
      <c r="H765" s="112"/>
      <c r="I765" s="230"/>
      <c r="J765" s="31"/>
      <c r="K765" s="39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</row>
    <row r="766">
      <c r="A766" s="224"/>
      <c r="B766" s="229"/>
      <c r="C766" s="225"/>
      <c r="D766" s="227"/>
      <c r="E766" s="228"/>
      <c r="F766" s="33"/>
      <c r="G766" s="852"/>
      <c r="H766" s="112"/>
      <c r="I766" s="230"/>
      <c r="J766" s="31"/>
      <c r="K766" s="39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</row>
    <row r="767">
      <c r="A767" s="224"/>
      <c r="B767" s="229"/>
      <c r="C767" s="225"/>
      <c r="D767" s="227"/>
      <c r="E767" s="228"/>
      <c r="F767" s="33"/>
      <c r="G767" s="852"/>
      <c r="H767" s="112"/>
      <c r="I767" s="230"/>
      <c r="J767" s="31"/>
      <c r="K767" s="39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</row>
    <row r="768">
      <c r="A768" s="224"/>
      <c r="B768" s="229"/>
      <c r="C768" s="225"/>
      <c r="D768" s="227"/>
      <c r="E768" s="228"/>
      <c r="F768" s="33"/>
      <c r="G768" s="852"/>
      <c r="H768" s="112"/>
      <c r="I768" s="230"/>
      <c r="J768" s="31"/>
      <c r="K768" s="39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</row>
    <row r="769">
      <c r="A769" s="224"/>
      <c r="B769" s="229"/>
      <c r="C769" s="225"/>
      <c r="D769" s="227"/>
      <c r="E769" s="228"/>
      <c r="F769" s="33"/>
      <c r="G769" s="852"/>
      <c r="H769" s="112"/>
      <c r="I769" s="230"/>
      <c r="J769" s="31"/>
      <c r="K769" s="39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</row>
    <row r="770">
      <c r="A770" s="224"/>
      <c r="B770" s="229"/>
      <c r="C770" s="225"/>
      <c r="D770" s="227"/>
      <c r="E770" s="228"/>
      <c r="F770" s="33"/>
      <c r="G770" s="852"/>
      <c r="H770" s="112"/>
      <c r="I770" s="230"/>
      <c r="J770" s="31"/>
      <c r="K770" s="39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</row>
    <row r="771">
      <c r="A771" s="224"/>
      <c r="B771" s="229"/>
      <c r="C771" s="225"/>
      <c r="D771" s="227"/>
      <c r="E771" s="228"/>
      <c r="F771" s="33"/>
      <c r="G771" s="852"/>
      <c r="H771" s="112"/>
      <c r="I771" s="230"/>
      <c r="J771" s="31"/>
      <c r="K771" s="39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</row>
    <row r="772">
      <c r="A772" s="224"/>
      <c r="B772" s="229"/>
      <c r="C772" s="225"/>
      <c r="D772" s="227"/>
      <c r="E772" s="228"/>
      <c r="F772" s="33"/>
      <c r="G772" s="852"/>
      <c r="H772" s="112"/>
      <c r="I772" s="230"/>
      <c r="J772" s="31"/>
      <c r="K772" s="39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</row>
    <row r="773">
      <c r="A773" s="224"/>
      <c r="B773" s="229"/>
      <c r="C773" s="225"/>
      <c r="D773" s="227"/>
      <c r="E773" s="228"/>
      <c r="F773" s="33"/>
      <c r="G773" s="852"/>
      <c r="H773" s="112"/>
      <c r="I773" s="230"/>
      <c r="J773" s="31"/>
      <c r="K773" s="39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</row>
    <row r="774">
      <c r="A774" s="224"/>
      <c r="B774" s="229"/>
      <c r="C774" s="225"/>
      <c r="D774" s="227"/>
      <c r="E774" s="228"/>
      <c r="F774" s="33"/>
      <c r="G774" s="852"/>
      <c r="H774" s="112"/>
      <c r="I774" s="230"/>
      <c r="J774" s="31"/>
      <c r="K774" s="39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</row>
    <row r="775">
      <c r="A775" s="224"/>
      <c r="B775" s="229"/>
      <c r="C775" s="225"/>
      <c r="D775" s="227"/>
      <c r="E775" s="228"/>
      <c r="F775" s="33"/>
      <c r="G775" s="852"/>
      <c r="H775" s="112"/>
      <c r="I775" s="230"/>
      <c r="J775" s="31"/>
      <c r="K775" s="39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</row>
    <row r="776">
      <c r="A776" s="224"/>
      <c r="B776" s="229"/>
      <c r="C776" s="225"/>
      <c r="D776" s="227"/>
      <c r="E776" s="228"/>
      <c r="F776" s="33"/>
      <c r="G776" s="852"/>
      <c r="H776" s="112"/>
      <c r="I776" s="230"/>
      <c r="J776" s="31"/>
      <c r="K776" s="39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</row>
    <row r="777">
      <c r="A777" s="224"/>
      <c r="B777" s="229"/>
      <c r="C777" s="225"/>
      <c r="D777" s="227"/>
      <c r="E777" s="228"/>
      <c r="F777" s="33"/>
      <c r="G777" s="852"/>
      <c r="H777" s="112"/>
      <c r="I777" s="230"/>
      <c r="J777" s="31"/>
      <c r="K777" s="39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</row>
    <row r="778">
      <c r="A778" s="224"/>
      <c r="B778" s="229"/>
      <c r="C778" s="225"/>
      <c r="D778" s="227"/>
      <c r="E778" s="228"/>
      <c r="F778" s="33"/>
      <c r="G778" s="852"/>
      <c r="H778" s="112"/>
      <c r="I778" s="230"/>
      <c r="J778" s="31"/>
      <c r="K778" s="39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</row>
    <row r="779">
      <c r="A779" s="224"/>
      <c r="B779" s="229"/>
      <c r="C779" s="225"/>
      <c r="D779" s="227"/>
      <c r="E779" s="228"/>
      <c r="F779" s="33"/>
      <c r="G779" s="852"/>
      <c r="H779" s="112"/>
      <c r="I779" s="230"/>
      <c r="J779" s="31"/>
      <c r="K779" s="39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</row>
    <row r="780">
      <c r="A780" s="224"/>
      <c r="B780" s="229"/>
      <c r="C780" s="225"/>
      <c r="D780" s="227"/>
      <c r="E780" s="228"/>
      <c r="F780" s="33"/>
      <c r="G780" s="852"/>
      <c r="H780" s="112"/>
      <c r="I780" s="230"/>
      <c r="J780" s="31"/>
      <c r="K780" s="39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</row>
    <row r="781">
      <c r="A781" s="224"/>
      <c r="B781" s="229"/>
      <c r="C781" s="225"/>
      <c r="D781" s="227"/>
      <c r="E781" s="228"/>
      <c r="F781" s="33"/>
      <c r="G781" s="852"/>
      <c r="H781" s="112"/>
      <c r="I781" s="230"/>
      <c r="J781" s="31"/>
      <c r="K781" s="39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</row>
    <row r="782">
      <c r="A782" s="224"/>
      <c r="B782" s="229"/>
      <c r="C782" s="225"/>
      <c r="D782" s="227"/>
      <c r="E782" s="228"/>
      <c r="F782" s="33"/>
      <c r="G782" s="852"/>
      <c r="H782" s="112"/>
      <c r="I782" s="230"/>
      <c r="J782" s="31"/>
      <c r="K782" s="39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</row>
    <row r="783">
      <c r="A783" s="224"/>
      <c r="B783" s="229"/>
      <c r="C783" s="225"/>
      <c r="D783" s="227"/>
      <c r="E783" s="228"/>
      <c r="F783" s="33"/>
      <c r="G783" s="852"/>
      <c r="H783" s="112"/>
      <c r="I783" s="230"/>
      <c r="J783" s="31"/>
      <c r="K783" s="39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</row>
    <row r="784">
      <c r="A784" s="224"/>
      <c r="B784" s="229"/>
      <c r="C784" s="225"/>
      <c r="D784" s="227"/>
      <c r="E784" s="228"/>
      <c r="F784" s="33"/>
      <c r="G784" s="852"/>
      <c r="H784" s="112"/>
      <c r="I784" s="230"/>
      <c r="J784" s="31"/>
      <c r="K784" s="39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</row>
    <row r="785">
      <c r="A785" s="224"/>
      <c r="B785" s="229"/>
      <c r="C785" s="225"/>
      <c r="D785" s="227"/>
      <c r="E785" s="228"/>
      <c r="F785" s="33"/>
      <c r="G785" s="852"/>
      <c r="H785" s="112"/>
      <c r="I785" s="230"/>
      <c r="J785" s="31"/>
      <c r="K785" s="39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</row>
    <row r="786">
      <c r="A786" s="224"/>
      <c r="B786" s="229"/>
      <c r="C786" s="225"/>
      <c r="D786" s="227"/>
      <c r="E786" s="228"/>
      <c r="F786" s="33"/>
      <c r="G786" s="852"/>
      <c r="H786" s="112"/>
      <c r="I786" s="230"/>
      <c r="J786" s="31"/>
      <c r="K786" s="39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</row>
    <row r="787">
      <c r="A787" s="224"/>
      <c r="B787" s="229"/>
      <c r="C787" s="225"/>
      <c r="D787" s="227"/>
      <c r="E787" s="228"/>
      <c r="F787" s="33"/>
      <c r="G787" s="852"/>
      <c r="H787" s="112"/>
      <c r="I787" s="230"/>
      <c r="J787" s="31"/>
      <c r="K787" s="39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</row>
    <row r="788">
      <c r="A788" s="224"/>
      <c r="B788" s="229"/>
      <c r="C788" s="225"/>
      <c r="D788" s="227"/>
      <c r="E788" s="228"/>
      <c r="F788" s="33"/>
      <c r="G788" s="852"/>
      <c r="H788" s="112"/>
      <c r="I788" s="230"/>
      <c r="J788" s="31"/>
      <c r="K788" s="39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</row>
    <row r="789">
      <c r="A789" s="224"/>
      <c r="B789" s="229"/>
      <c r="C789" s="225"/>
      <c r="D789" s="227"/>
      <c r="E789" s="228"/>
      <c r="F789" s="33"/>
      <c r="G789" s="852"/>
      <c r="H789" s="112"/>
      <c r="I789" s="230"/>
      <c r="J789" s="31"/>
      <c r="K789" s="39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</row>
    <row r="790">
      <c r="A790" s="224"/>
      <c r="B790" s="229"/>
      <c r="C790" s="225"/>
      <c r="D790" s="227"/>
      <c r="E790" s="228"/>
      <c r="F790" s="33"/>
      <c r="G790" s="852"/>
      <c r="H790" s="112"/>
      <c r="I790" s="230"/>
      <c r="J790" s="31"/>
      <c r="K790" s="39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</row>
    <row r="791">
      <c r="A791" s="224"/>
      <c r="B791" s="229"/>
      <c r="C791" s="225"/>
      <c r="D791" s="227"/>
      <c r="E791" s="228"/>
      <c r="F791" s="33"/>
      <c r="G791" s="852"/>
      <c r="H791" s="112"/>
      <c r="I791" s="230"/>
      <c r="J791" s="31"/>
      <c r="K791" s="39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</row>
    <row r="792">
      <c r="A792" s="224"/>
      <c r="B792" s="229"/>
      <c r="C792" s="225"/>
      <c r="D792" s="227"/>
      <c r="E792" s="228"/>
      <c r="F792" s="33"/>
      <c r="G792" s="852"/>
      <c r="H792" s="112"/>
      <c r="I792" s="230"/>
      <c r="J792" s="31"/>
      <c r="K792" s="39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</row>
    <row r="793">
      <c r="A793" s="224"/>
      <c r="B793" s="229"/>
      <c r="C793" s="225"/>
      <c r="D793" s="227"/>
      <c r="E793" s="228"/>
      <c r="F793" s="33"/>
      <c r="G793" s="852"/>
      <c r="H793" s="112"/>
      <c r="I793" s="230"/>
      <c r="J793" s="31"/>
      <c r="K793" s="39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</row>
    <row r="794">
      <c r="A794" s="224"/>
      <c r="B794" s="229"/>
      <c r="C794" s="225"/>
      <c r="D794" s="227"/>
      <c r="E794" s="228"/>
      <c r="F794" s="33"/>
      <c r="G794" s="852"/>
      <c r="H794" s="112"/>
      <c r="I794" s="230"/>
      <c r="J794" s="31"/>
      <c r="K794" s="39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</row>
    <row r="795">
      <c r="A795" s="224"/>
      <c r="B795" s="229"/>
      <c r="C795" s="225"/>
      <c r="D795" s="227"/>
      <c r="E795" s="228"/>
      <c r="F795" s="33"/>
      <c r="G795" s="852"/>
      <c r="H795" s="112"/>
      <c r="I795" s="230"/>
      <c r="J795" s="31"/>
      <c r="K795" s="39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</row>
    <row r="796">
      <c r="A796" s="224"/>
      <c r="B796" s="229"/>
      <c r="C796" s="225"/>
      <c r="D796" s="227"/>
      <c r="E796" s="228"/>
      <c r="F796" s="33"/>
      <c r="G796" s="852"/>
      <c r="H796" s="112"/>
      <c r="I796" s="230"/>
      <c r="J796" s="31"/>
      <c r="K796" s="39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</row>
    <row r="797">
      <c r="A797" s="224"/>
      <c r="B797" s="229"/>
      <c r="C797" s="225"/>
      <c r="D797" s="227"/>
      <c r="E797" s="228"/>
      <c r="F797" s="33"/>
      <c r="G797" s="852"/>
      <c r="H797" s="112"/>
      <c r="I797" s="230"/>
      <c r="J797" s="31"/>
      <c r="K797" s="39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</row>
    <row r="798">
      <c r="A798" s="224"/>
      <c r="B798" s="229"/>
      <c r="C798" s="225"/>
      <c r="D798" s="227"/>
      <c r="E798" s="228"/>
      <c r="F798" s="33"/>
      <c r="G798" s="852"/>
      <c r="H798" s="112"/>
      <c r="I798" s="230"/>
      <c r="J798" s="31"/>
      <c r="K798" s="39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</row>
    <row r="799">
      <c r="A799" s="224"/>
      <c r="B799" s="229"/>
      <c r="C799" s="225"/>
      <c r="D799" s="227"/>
      <c r="E799" s="228"/>
      <c r="F799" s="33"/>
      <c r="G799" s="852"/>
      <c r="H799" s="112"/>
      <c r="I799" s="230"/>
      <c r="J799" s="31"/>
      <c r="K799" s="39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</row>
    <row r="800">
      <c r="A800" s="224"/>
      <c r="B800" s="229"/>
      <c r="C800" s="225"/>
      <c r="D800" s="227"/>
      <c r="E800" s="228"/>
      <c r="F800" s="33"/>
      <c r="G800" s="852"/>
      <c r="H800" s="112"/>
      <c r="I800" s="230"/>
      <c r="J800" s="31"/>
      <c r="K800" s="39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</row>
    <row r="801">
      <c r="A801" s="224"/>
      <c r="B801" s="229"/>
      <c r="C801" s="225"/>
      <c r="D801" s="227"/>
      <c r="E801" s="228"/>
      <c r="F801" s="33"/>
      <c r="G801" s="852"/>
      <c r="H801" s="112"/>
      <c r="I801" s="230"/>
      <c r="J801" s="31"/>
      <c r="K801" s="39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</row>
    <row r="802">
      <c r="A802" s="224"/>
      <c r="B802" s="229"/>
      <c r="C802" s="225"/>
      <c r="D802" s="227"/>
      <c r="E802" s="228"/>
      <c r="F802" s="33"/>
      <c r="G802" s="852"/>
      <c r="H802" s="112"/>
      <c r="I802" s="230"/>
      <c r="J802" s="31"/>
      <c r="K802" s="39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</row>
    <row r="803">
      <c r="A803" s="224"/>
      <c r="B803" s="229"/>
      <c r="C803" s="225"/>
      <c r="D803" s="227"/>
      <c r="E803" s="228"/>
      <c r="F803" s="33"/>
      <c r="G803" s="852"/>
      <c r="H803" s="112"/>
      <c r="I803" s="230"/>
      <c r="J803" s="31"/>
      <c r="K803" s="39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</row>
    <row r="804">
      <c r="A804" s="224"/>
      <c r="B804" s="229"/>
      <c r="C804" s="225"/>
      <c r="D804" s="227"/>
      <c r="E804" s="228"/>
      <c r="F804" s="33"/>
      <c r="G804" s="852"/>
      <c r="H804" s="112"/>
      <c r="I804" s="230"/>
      <c r="J804" s="31"/>
      <c r="K804" s="39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</row>
    <row r="805">
      <c r="A805" s="224"/>
      <c r="B805" s="229"/>
      <c r="C805" s="225"/>
      <c r="D805" s="227"/>
      <c r="E805" s="228"/>
      <c r="F805" s="33"/>
      <c r="G805" s="852"/>
      <c r="H805" s="112"/>
      <c r="I805" s="230"/>
      <c r="J805" s="31"/>
      <c r="K805" s="39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</row>
    <row r="806">
      <c r="A806" s="224"/>
      <c r="B806" s="229"/>
      <c r="C806" s="225"/>
      <c r="D806" s="227"/>
      <c r="E806" s="228"/>
      <c r="F806" s="33"/>
      <c r="G806" s="852"/>
      <c r="H806" s="112"/>
      <c r="I806" s="230"/>
      <c r="J806" s="31"/>
      <c r="K806" s="39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</row>
    <row r="807">
      <c r="A807" s="224"/>
      <c r="B807" s="229"/>
      <c r="C807" s="225"/>
      <c r="D807" s="227"/>
      <c r="E807" s="228"/>
      <c r="F807" s="33"/>
      <c r="G807" s="852"/>
      <c r="H807" s="112"/>
      <c r="I807" s="230"/>
      <c r="J807" s="31"/>
      <c r="K807" s="39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</row>
    <row r="808">
      <c r="A808" s="224"/>
      <c r="B808" s="229"/>
      <c r="C808" s="225"/>
      <c r="D808" s="227"/>
      <c r="E808" s="228"/>
      <c r="F808" s="33"/>
      <c r="G808" s="852"/>
      <c r="H808" s="112"/>
      <c r="I808" s="230"/>
      <c r="J808" s="31"/>
      <c r="K808" s="39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</row>
    <row r="809">
      <c r="A809" s="224"/>
      <c r="B809" s="229"/>
      <c r="C809" s="225"/>
      <c r="D809" s="227"/>
      <c r="E809" s="228"/>
      <c r="F809" s="33"/>
      <c r="G809" s="852"/>
      <c r="H809" s="112"/>
      <c r="I809" s="230"/>
      <c r="J809" s="31"/>
      <c r="K809" s="39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</row>
    <row r="810">
      <c r="A810" s="224"/>
      <c r="B810" s="229"/>
      <c r="C810" s="225"/>
      <c r="D810" s="227"/>
      <c r="E810" s="228"/>
      <c r="F810" s="33"/>
      <c r="G810" s="852"/>
      <c r="H810" s="112"/>
      <c r="I810" s="230"/>
      <c r="J810" s="31"/>
      <c r="K810" s="39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</row>
    <row r="811">
      <c r="A811" s="224"/>
      <c r="B811" s="229"/>
      <c r="C811" s="225"/>
      <c r="D811" s="227"/>
      <c r="E811" s="228"/>
      <c r="F811" s="33"/>
      <c r="G811" s="852"/>
      <c r="H811" s="112"/>
      <c r="I811" s="230"/>
      <c r="J811" s="31"/>
      <c r="K811" s="39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</row>
    <row r="812">
      <c r="A812" s="224"/>
      <c r="B812" s="229"/>
      <c r="C812" s="225"/>
      <c r="D812" s="227"/>
      <c r="E812" s="228"/>
      <c r="F812" s="33"/>
      <c r="G812" s="852"/>
      <c r="H812" s="112"/>
      <c r="I812" s="230"/>
      <c r="J812" s="31"/>
      <c r="K812" s="39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</row>
    <row r="813">
      <c r="A813" s="224"/>
      <c r="B813" s="229"/>
      <c r="C813" s="225"/>
      <c r="D813" s="227"/>
      <c r="E813" s="228"/>
      <c r="F813" s="33"/>
      <c r="G813" s="852"/>
      <c r="H813" s="112"/>
      <c r="I813" s="230"/>
      <c r="J813" s="31"/>
      <c r="K813" s="39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</row>
    <row r="814">
      <c r="A814" s="224"/>
      <c r="B814" s="229"/>
      <c r="C814" s="225"/>
      <c r="D814" s="227"/>
      <c r="E814" s="228"/>
      <c r="F814" s="33"/>
      <c r="G814" s="852"/>
      <c r="H814" s="112"/>
      <c r="I814" s="230"/>
      <c r="J814" s="31"/>
      <c r="K814" s="39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</row>
    <row r="815">
      <c r="A815" s="224"/>
      <c r="B815" s="229"/>
      <c r="C815" s="225"/>
      <c r="D815" s="227"/>
      <c r="E815" s="228"/>
      <c r="F815" s="33"/>
      <c r="G815" s="852"/>
      <c r="H815" s="112"/>
      <c r="I815" s="230"/>
      <c r="J815" s="31"/>
      <c r="K815" s="39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</row>
    <row r="816">
      <c r="A816" s="224"/>
      <c r="B816" s="229"/>
      <c r="C816" s="225"/>
      <c r="D816" s="227"/>
      <c r="E816" s="228"/>
      <c r="F816" s="33"/>
      <c r="G816" s="852"/>
      <c r="H816" s="112"/>
      <c r="I816" s="230"/>
      <c r="J816" s="31"/>
      <c r="K816" s="39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</row>
    <row r="817">
      <c r="A817" s="224"/>
      <c r="B817" s="229"/>
      <c r="C817" s="225"/>
      <c r="D817" s="227"/>
      <c r="E817" s="228"/>
      <c r="F817" s="33"/>
      <c r="G817" s="852"/>
      <c r="H817" s="112"/>
      <c r="I817" s="230"/>
      <c r="J817" s="31"/>
      <c r="K817" s="39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</row>
    <row r="818">
      <c r="A818" s="224"/>
      <c r="B818" s="229"/>
      <c r="C818" s="225"/>
      <c r="D818" s="227"/>
      <c r="E818" s="228"/>
      <c r="F818" s="33"/>
      <c r="G818" s="852"/>
      <c r="H818" s="112"/>
      <c r="I818" s="230"/>
      <c r="J818" s="31"/>
      <c r="K818" s="39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</row>
    <row r="819">
      <c r="A819" s="224"/>
      <c r="B819" s="229"/>
      <c r="C819" s="225"/>
      <c r="D819" s="227"/>
      <c r="E819" s="228"/>
      <c r="F819" s="33"/>
      <c r="G819" s="852"/>
      <c r="H819" s="112"/>
      <c r="I819" s="230"/>
      <c r="J819" s="31"/>
      <c r="K819" s="39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</row>
    <row r="820">
      <c r="A820" s="224"/>
      <c r="B820" s="229"/>
      <c r="C820" s="225"/>
      <c r="D820" s="227"/>
      <c r="E820" s="228"/>
      <c r="F820" s="33"/>
      <c r="G820" s="852"/>
      <c r="H820" s="112"/>
      <c r="I820" s="230"/>
      <c r="J820" s="31"/>
      <c r="K820" s="39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</row>
    <row r="821">
      <c r="A821" s="224"/>
      <c r="B821" s="229"/>
      <c r="C821" s="225"/>
      <c r="D821" s="227"/>
      <c r="E821" s="228"/>
      <c r="F821" s="33"/>
      <c r="G821" s="852"/>
      <c r="H821" s="112"/>
      <c r="I821" s="230"/>
      <c r="J821" s="31"/>
      <c r="K821" s="39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</row>
    <row r="822">
      <c r="A822" s="224"/>
      <c r="B822" s="229"/>
      <c r="C822" s="225"/>
      <c r="D822" s="227"/>
      <c r="E822" s="228"/>
      <c r="F822" s="33"/>
      <c r="G822" s="852"/>
      <c r="H822" s="112"/>
      <c r="I822" s="230"/>
      <c r="J822" s="31"/>
      <c r="K822" s="39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</row>
    <row r="823">
      <c r="A823" s="224"/>
      <c r="B823" s="229"/>
      <c r="C823" s="225"/>
      <c r="D823" s="227"/>
      <c r="E823" s="228"/>
      <c r="F823" s="33"/>
      <c r="G823" s="852"/>
      <c r="H823" s="112"/>
      <c r="I823" s="230"/>
      <c r="J823" s="31"/>
      <c r="K823" s="39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</row>
    <row r="824">
      <c r="A824" s="224"/>
      <c r="B824" s="229"/>
      <c r="C824" s="225"/>
      <c r="D824" s="227"/>
      <c r="E824" s="228"/>
      <c r="F824" s="33"/>
      <c r="G824" s="852"/>
      <c r="H824" s="112"/>
      <c r="I824" s="230"/>
      <c r="J824" s="31"/>
      <c r="K824" s="39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</row>
    <row r="825">
      <c r="A825" s="224"/>
      <c r="B825" s="229"/>
      <c r="C825" s="225"/>
      <c r="D825" s="227"/>
      <c r="E825" s="228"/>
      <c r="F825" s="33"/>
      <c r="G825" s="852"/>
      <c r="H825" s="112"/>
      <c r="I825" s="230"/>
      <c r="J825" s="31"/>
      <c r="K825" s="39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</row>
    <row r="826">
      <c r="A826" s="224"/>
      <c r="B826" s="229"/>
      <c r="C826" s="225"/>
      <c r="D826" s="227"/>
      <c r="E826" s="228"/>
      <c r="F826" s="33"/>
      <c r="G826" s="852"/>
      <c r="H826" s="112"/>
      <c r="I826" s="230"/>
      <c r="J826" s="31"/>
      <c r="K826" s="39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</row>
    <row r="827">
      <c r="A827" s="224"/>
      <c r="B827" s="229"/>
      <c r="C827" s="225"/>
      <c r="D827" s="227"/>
      <c r="E827" s="228"/>
      <c r="F827" s="33"/>
      <c r="G827" s="852"/>
      <c r="H827" s="112"/>
      <c r="I827" s="230"/>
      <c r="J827" s="31"/>
      <c r="K827" s="39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</row>
    <row r="828">
      <c r="A828" s="224"/>
      <c r="B828" s="229"/>
      <c r="C828" s="225"/>
      <c r="D828" s="227"/>
      <c r="E828" s="228"/>
      <c r="F828" s="33"/>
      <c r="G828" s="852"/>
      <c r="H828" s="112"/>
      <c r="I828" s="230"/>
      <c r="J828" s="31"/>
      <c r="K828" s="39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</row>
    <row r="829">
      <c r="A829" s="224"/>
      <c r="B829" s="229"/>
      <c r="C829" s="225"/>
      <c r="D829" s="227"/>
      <c r="E829" s="228"/>
      <c r="F829" s="33"/>
      <c r="G829" s="852"/>
      <c r="H829" s="112"/>
      <c r="I829" s="230"/>
      <c r="J829" s="31"/>
      <c r="K829" s="39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</row>
    <row r="830">
      <c r="A830" s="224"/>
      <c r="B830" s="229"/>
      <c r="C830" s="225"/>
      <c r="D830" s="227"/>
      <c r="E830" s="228"/>
      <c r="F830" s="33"/>
      <c r="G830" s="852"/>
      <c r="H830" s="112"/>
      <c r="I830" s="230"/>
      <c r="J830" s="31"/>
      <c r="K830" s="39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</row>
    <row r="831">
      <c r="A831" s="224"/>
      <c r="B831" s="229"/>
      <c r="C831" s="225"/>
      <c r="D831" s="227"/>
      <c r="E831" s="228"/>
      <c r="F831" s="33"/>
      <c r="G831" s="852"/>
      <c r="H831" s="112"/>
      <c r="I831" s="230"/>
      <c r="J831" s="31"/>
      <c r="K831" s="39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</row>
    <row r="832">
      <c r="A832" s="224"/>
      <c r="B832" s="229"/>
      <c r="C832" s="225"/>
      <c r="D832" s="227"/>
      <c r="E832" s="228"/>
      <c r="F832" s="33"/>
      <c r="G832" s="852"/>
      <c r="H832" s="112"/>
      <c r="I832" s="230"/>
      <c r="J832" s="31"/>
      <c r="K832" s="39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</row>
    <row r="833">
      <c r="A833" s="224"/>
      <c r="B833" s="229"/>
      <c r="C833" s="225"/>
      <c r="D833" s="227"/>
      <c r="E833" s="228"/>
      <c r="F833" s="33"/>
      <c r="G833" s="852"/>
      <c r="H833" s="112"/>
      <c r="I833" s="230"/>
      <c r="J833" s="31"/>
      <c r="K833" s="39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</row>
    <row r="834">
      <c r="A834" s="224"/>
      <c r="B834" s="229"/>
      <c r="C834" s="225"/>
      <c r="D834" s="227"/>
      <c r="E834" s="228"/>
      <c r="F834" s="33"/>
      <c r="G834" s="852"/>
      <c r="H834" s="112"/>
      <c r="I834" s="230"/>
      <c r="J834" s="31"/>
      <c r="K834" s="39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</row>
    <row r="835">
      <c r="A835" s="224"/>
      <c r="B835" s="229"/>
      <c r="C835" s="225"/>
      <c r="D835" s="227"/>
      <c r="E835" s="228"/>
      <c r="F835" s="33"/>
      <c r="G835" s="852"/>
      <c r="H835" s="112"/>
      <c r="I835" s="230"/>
      <c r="J835" s="31"/>
      <c r="K835" s="39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</row>
    <row r="836">
      <c r="A836" s="224"/>
      <c r="B836" s="229"/>
      <c r="C836" s="225"/>
      <c r="D836" s="227"/>
      <c r="E836" s="228"/>
      <c r="F836" s="33"/>
      <c r="G836" s="852"/>
      <c r="H836" s="112"/>
      <c r="I836" s="230"/>
      <c r="J836" s="31"/>
      <c r="K836" s="39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</row>
    <row r="837">
      <c r="A837" s="224"/>
      <c r="B837" s="229"/>
      <c r="C837" s="225"/>
      <c r="D837" s="227"/>
      <c r="E837" s="228"/>
      <c r="F837" s="33"/>
      <c r="G837" s="852"/>
      <c r="H837" s="112"/>
      <c r="I837" s="230"/>
      <c r="J837" s="31"/>
      <c r="K837" s="39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</row>
    <row r="838">
      <c r="A838" s="224"/>
      <c r="B838" s="229"/>
      <c r="C838" s="225"/>
      <c r="D838" s="227"/>
      <c r="E838" s="228"/>
      <c r="F838" s="33"/>
      <c r="G838" s="852"/>
      <c r="H838" s="112"/>
      <c r="I838" s="230"/>
      <c r="J838" s="31"/>
      <c r="K838" s="39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</row>
    <row r="839">
      <c r="A839" s="224"/>
      <c r="B839" s="229"/>
      <c r="C839" s="225"/>
      <c r="D839" s="227"/>
      <c r="E839" s="228"/>
      <c r="F839" s="33"/>
      <c r="G839" s="852"/>
      <c r="H839" s="112"/>
      <c r="I839" s="230"/>
      <c r="J839" s="31"/>
      <c r="K839" s="39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</row>
    <row r="840">
      <c r="A840" s="224"/>
      <c r="B840" s="229"/>
      <c r="C840" s="225"/>
      <c r="D840" s="227"/>
      <c r="E840" s="228"/>
      <c r="F840" s="33"/>
      <c r="G840" s="852"/>
      <c r="H840" s="112"/>
      <c r="I840" s="230"/>
      <c r="J840" s="31"/>
      <c r="K840" s="39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</row>
    <row r="841">
      <c r="A841" s="224"/>
      <c r="B841" s="229"/>
      <c r="C841" s="225"/>
      <c r="D841" s="227"/>
      <c r="E841" s="228"/>
      <c r="F841" s="33"/>
      <c r="G841" s="852"/>
      <c r="H841" s="112"/>
      <c r="I841" s="230"/>
      <c r="J841" s="31"/>
      <c r="K841" s="39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</row>
    <row r="842">
      <c r="A842" s="224"/>
      <c r="B842" s="229"/>
      <c r="C842" s="225"/>
      <c r="D842" s="227"/>
      <c r="E842" s="228"/>
      <c r="F842" s="33"/>
      <c r="G842" s="852"/>
      <c r="H842" s="112"/>
      <c r="I842" s="230"/>
      <c r="J842" s="31"/>
      <c r="K842" s="39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</row>
    <row r="843">
      <c r="A843" s="224"/>
      <c r="B843" s="229"/>
      <c r="C843" s="225"/>
      <c r="D843" s="227"/>
      <c r="E843" s="228"/>
      <c r="F843" s="33"/>
      <c r="G843" s="852"/>
      <c r="H843" s="112"/>
      <c r="I843" s="230"/>
      <c r="J843" s="31"/>
      <c r="K843" s="39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</row>
    <row r="844">
      <c r="A844" s="224"/>
      <c r="B844" s="229"/>
      <c r="C844" s="225"/>
      <c r="D844" s="227"/>
      <c r="E844" s="228"/>
      <c r="F844" s="33"/>
      <c r="G844" s="852"/>
      <c r="H844" s="112"/>
      <c r="I844" s="230"/>
      <c r="J844" s="31"/>
      <c r="K844" s="39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</row>
    <row r="845">
      <c r="A845" s="224"/>
      <c r="B845" s="229"/>
      <c r="C845" s="225"/>
      <c r="D845" s="227"/>
      <c r="E845" s="228"/>
      <c r="F845" s="33"/>
      <c r="G845" s="852"/>
      <c r="H845" s="112"/>
      <c r="I845" s="230"/>
      <c r="J845" s="31"/>
      <c r="K845" s="39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</row>
    <row r="846">
      <c r="A846" s="224"/>
      <c r="B846" s="229"/>
      <c r="C846" s="225"/>
      <c r="D846" s="227"/>
      <c r="E846" s="228"/>
      <c r="F846" s="33"/>
      <c r="G846" s="852"/>
      <c r="H846" s="112"/>
      <c r="I846" s="230"/>
      <c r="J846" s="31"/>
      <c r="K846" s="39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</row>
    <row r="847">
      <c r="A847" s="224"/>
      <c r="B847" s="229"/>
      <c r="C847" s="225"/>
      <c r="D847" s="227"/>
      <c r="E847" s="228"/>
      <c r="F847" s="33"/>
      <c r="G847" s="852"/>
      <c r="H847" s="112"/>
      <c r="I847" s="230"/>
      <c r="J847" s="31"/>
      <c r="K847" s="39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</row>
    <row r="848">
      <c r="A848" s="224"/>
      <c r="B848" s="229"/>
      <c r="C848" s="225"/>
      <c r="D848" s="227"/>
      <c r="E848" s="228"/>
      <c r="F848" s="33"/>
      <c r="G848" s="852"/>
      <c r="H848" s="112"/>
      <c r="I848" s="230"/>
      <c r="J848" s="31"/>
      <c r="K848" s="39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</row>
    <row r="849">
      <c r="A849" s="224"/>
      <c r="B849" s="229"/>
      <c r="C849" s="225"/>
      <c r="D849" s="227"/>
      <c r="E849" s="228"/>
      <c r="F849" s="33"/>
      <c r="G849" s="852"/>
      <c r="H849" s="112"/>
      <c r="I849" s="230"/>
      <c r="J849" s="31"/>
      <c r="K849" s="39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</row>
  </sheetData>
  <mergeCells count="1">
    <mergeCell ref="M1:N1"/>
  </mergeCells>
  <conditionalFormatting sqref="L2:L314 L316:L841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conditionalFormatting sqref="I418:I435">
    <cfRule type="notContainsBlanks" dxfId="0" priority="2">
      <formula>LEN(TRIM(I418))&gt;0</formula>
    </cfRule>
  </conditionalFormatting>
  <printOptions gridLines="1" horizontalCentered="1"/>
  <pageMargins bottom="0.18897637795275593" footer="0.0" header="0.0" left="0.16190187764990918" right="0.18897637795275593" top="0.7735311932162329"/>
  <pageSetup paperSize="9" cellComments="atEnd" orientation="landscape" pageOrder="overThenDown"/>
  <drawing r:id="rId4"/>
  <legacyDrawing r:id="rId5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13"/>
    <col customWidth="1" min="2" max="2" width="13.25"/>
    <col customWidth="1" min="3" max="3" width="9.13"/>
    <col customWidth="1" min="4" max="4" width="7.75"/>
    <col customWidth="1" min="5" max="5" width="8.0"/>
    <col customWidth="1" min="6" max="6" width="9.13"/>
    <col customWidth="1" min="7" max="7" width="10.75"/>
    <col customWidth="1" min="8" max="10" width="9.13"/>
    <col customWidth="1" min="11" max="11" width="16.88"/>
    <col customWidth="1" min="12" max="34" width="9.13"/>
  </cols>
  <sheetData>
    <row r="1" ht="25.5" customHeight="1">
      <c r="A1" s="6" t="s">
        <v>3701</v>
      </c>
      <c r="B1" s="6" t="s">
        <v>9</v>
      </c>
      <c r="C1" s="7" t="s">
        <v>10</v>
      </c>
      <c r="D1" s="9" t="s">
        <v>12</v>
      </c>
      <c r="E1" s="10" t="s">
        <v>13</v>
      </c>
      <c r="F1" s="6" t="s">
        <v>14</v>
      </c>
      <c r="G1" s="6" t="s">
        <v>3702</v>
      </c>
      <c r="H1" s="6" t="s">
        <v>17</v>
      </c>
      <c r="I1" s="6" t="s">
        <v>3703</v>
      </c>
      <c r="J1" s="14" t="s">
        <v>18</v>
      </c>
      <c r="K1" s="877" t="s">
        <v>3704</v>
      </c>
      <c r="L1" s="878" t="s">
        <v>3705</v>
      </c>
      <c r="M1" s="6" t="s">
        <v>3706</v>
      </c>
      <c r="N1" s="17" t="s">
        <v>3707</v>
      </c>
      <c r="O1" s="18"/>
      <c r="P1" s="6" t="s">
        <v>3708</v>
      </c>
      <c r="Q1" s="6" t="s">
        <v>3709</v>
      </c>
      <c r="R1" s="879" t="s">
        <v>3710</v>
      </c>
      <c r="S1" s="6" t="s">
        <v>3711</v>
      </c>
      <c r="T1" s="6"/>
      <c r="U1" s="6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>
      <c r="A2" s="150" t="s">
        <v>32</v>
      </c>
      <c r="B2" s="162">
        <v>43831.0</v>
      </c>
      <c r="C2" s="160">
        <v>0.0</v>
      </c>
      <c r="D2" s="160">
        <v>0.0</v>
      </c>
      <c r="E2" s="160">
        <v>0.0</v>
      </c>
      <c r="F2" s="160">
        <v>0.0</v>
      </c>
      <c r="G2" s="37"/>
      <c r="H2" s="37"/>
      <c r="I2" s="37"/>
      <c r="J2" s="160">
        <v>0.0</v>
      </c>
      <c r="K2" s="37">
        <f t="shared" ref="K2:K92" si="1">D2+E2</f>
        <v>0</v>
      </c>
      <c r="L2" s="37">
        <f t="shared" ref="L2:L92" si="2">(D2+E2+J2)-K2</f>
        <v>0</v>
      </c>
      <c r="M2" s="37">
        <f>SUM(D2:J2)-(C2+E2)</f>
        <v>0</v>
      </c>
      <c r="N2" s="167">
        <v>17000.0</v>
      </c>
      <c r="O2" s="160" t="str">
        <f>'PAGOS DIC19'!B455</f>
        <v/>
      </c>
      <c r="P2" s="37">
        <f t="shared" ref="P2:P92" si="3">N2-O2</f>
        <v>17000</v>
      </c>
      <c r="Q2" s="37">
        <f t="shared" ref="Q2:Q92" si="4">(N2+J2)-O2</f>
        <v>17000</v>
      </c>
      <c r="R2" s="160"/>
      <c r="S2" s="160">
        <f t="shared" ref="S2:S92" si="5">Q2+R2</f>
        <v>17000</v>
      </c>
      <c r="T2" s="33"/>
      <c r="U2" s="3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>
      <c r="A3" s="38" t="s">
        <v>24</v>
      </c>
      <c r="B3" s="41">
        <v>43832.0</v>
      </c>
      <c r="C3" s="22">
        <v>36108.0</v>
      </c>
      <c r="D3" s="24">
        <v>2410.0</v>
      </c>
      <c r="E3" s="25">
        <v>400.0</v>
      </c>
      <c r="F3" s="35">
        <v>19285.0</v>
      </c>
      <c r="G3" s="35">
        <v>319.0</v>
      </c>
      <c r="H3" s="35">
        <v>1385.0</v>
      </c>
      <c r="I3" s="880">
        <f>410+90</f>
        <v>500</v>
      </c>
      <c r="J3" s="30">
        <v>11731.0</v>
      </c>
      <c r="K3" s="114">
        <f t="shared" si="1"/>
        <v>2810</v>
      </c>
      <c r="L3" s="881">
        <f t="shared" si="2"/>
        <v>11731</v>
      </c>
      <c r="M3" s="33">
        <f t="shared" ref="M3:M92" si="6">SUM(D3:J3)-(C3)</f>
        <v>-78</v>
      </c>
      <c r="N3" s="40">
        <f t="shared" ref="N3:N92" si="7">S2</f>
        <v>17000</v>
      </c>
      <c r="O3" s="35">
        <f>PAGOSENE20!B15</f>
        <v>6731.27</v>
      </c>
      <c r="P3" s="33">
        <f t="shared" si="3"/>
        <v>10268.73</v>
      </c>
      <c r="Q3" s="33">
        <f t="shared" si="4"/>
        <v>21999.73</v>
      </c>
      <c r="R3" s="882"/>
      <c r="S3" s="35">
        <f t="shared" si="5"/>
        <v>21999.73</v>
      </c>
      <c r="T3" s="33"/>
      <c r="U3" s="36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>
      <c r="A4" s="38" t="s">
        <v>25</v>
      </c>
      <c r="B4" s="41">
        <v>43833.0</v>
      </c>
      <c r="C4" s="22">
        <v>31220.0</v>
      </c>
      <c r="D4" s="24">
        <v>2040.0</v>
      </c>
      <c r="E4" s="25">
        <v>700.0</v>
      </c>
      <c r="F4" s="35">
        <v>16180.0</v>
      </c>
      <c r="G4" s="33">
        <f>319+309+739+299</f>
        <v>1666</v>
      </c>
      <c r="H4" s="35">
        <v>2618.0</v>
      </c>
      <c r="I4" s="880">
        <v>610.0</v>
      </c>
      <c r="J4" s="30">
        <v>8789.0</v>
      </c>
      <c r="K4" s="114">
        <f t="shared" si="1"/>
        <v>2740</v>
      </c>
      <c r="L4" s="881">
        <f t="shared" si="2"/>
        <v>8789</v>
      </c>
      <c r="M4" s="33">
        <f t="shared" si="6"/>
        <v>1383</v>
      </c>
      <c r="N4" s="40">
        <f t="shared" si="7"/>
        <v>21999.73</v>
      </c>
      <c r="O4" s="35">
        <f>PAGOSENE20!B33</f>
        <v>108788.55</v>
      </c>
      <c r="P4" s="33">
        <f t="shared" si="3"/>
        <v>-86788.82</v>
      </c>
      <c r="Q4" s="33">
        <f t="shared" si="4"/>
        <v>-77999.82</v>
      </c>
      <c r="R4" s="882">
        <v>90000.0</v>
      </c>
      <c r="S4" s="35">
        <f t="shared" si="5"/>
        <v>12000.18</v>
      </c>
      <c r="T4" s="33"/>
      <c r="U4" s="36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38" t="s">
        <v>33</v>
      </c>
      <c r="B5" s="41">
        <v>43834.0</v>
      </c>
      <c r="C5" s="22">
        <v>14915.0</v>
      </c>
      <c r="D5" s="24">
        <f>1400+150+280+340+220+140</f>
        <v>2530</v>
      </c>
      <c r="E5" s="25">
        <v>700.0</v>
      </c>
      <c r="F5" s="35">
        <f>680+2330+450+180</f>
        <v>3640</v>
      </c>
      <c r="G5" s="35">
        <v>1009.0</v>
      </c>
      <c r="H5" s="35">
        <v>1625.0</v>
      </c>
      <c r="I5" s="880">
        <v>0.0</v>
      </c>
      <c r="J5" s="30">
        <v>6110.0</v>
      </c>
      <c r="K5" s="114">
        <f t="shared" si="1"/>
        <v>3230</v>
      </c>
      <c r="L5" s="881">
        <f t="shared" si="2"/>
        <v>6110</v>
      </c>
      <c r="M5" s="33">
        <f t="shared" si="6"/>
        <v>699</v>
      </c>
      <c r="N5" s="40">
        <f t="shared" si="7"/>
        <v>12000.18</v>
      </c>
      <c r="O5" s="35">
        <f>PAGOSENE20!B36</f>
        <v>110</v>
      </c>
      <c r="P5" s="33">
        <f t="shared" si="3"/>
        <v>11890.18</v>
      </c>
      <c r="Q5" s="33">
        <f t="shared" si="4"/>
        <v>18000.18</v>
      </c>
      <c r="R5" s="882"/>
      <c r="S5" s="35">
        <f t="shared" si="5"/>
        <v>18000.18</v>
      </c>
      <c r="T5" s="33"/>
      <c r="U5" s="36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50" t="s">
        <v>27</v>
      </c>
      <c r="B6" s="788">
        <v>43835.0</v>
      </c>
      <c r="C6" s="45">
        <v>0.0</v>
      </c>
      <c r="D6" s="45">
        <v>0.0</v>
      </c>
      <c r="E6" s="45">
        <v>0.0</v>
      </c>
      <c r="F6" s="45">
        <v>0.0</v>
      </c>
      <c r="G6" s="48"/>
      <c r="H6" s="48"/>
      <c r="I6" s="883"/>
      <c r="J6" s="45">
        <v>0.0</v>
      </c>
      <c r="K6" s="48">
        <f t="shared" si="1"/>
        <v>0</v>
      </c>
      <c r="L6" s="48">
        <f t="shared" si="2"/>
        <v>0</v>
      </c>
      <c r="M6" s="33">
        <f t="shared" si="6"/>
        <v>0</v>
      </c>
      <c r="N6" s="52">
        <f t="shared" si="7"/>
        <v>18000.18</v>
      </c>
      <c r="O6" s="45" t="str">
        <f>'PAGOS DIC19'!B459</f>
        <v/>
      </c>
      <c r="P6" s="48">
        <f t="shared" si="3"/>
        <v>18000.18</v>
      </c>
      <c r="Q6" s="48">
        <f t="shared" si="4"/>
        <v>18000.18</v>
      </c>
      <c r="R6" s="45"/>
      <c r="S6" s="45">
        <f t="shared" si="5"/>
        <v>18000.18</v>
      </c>
      <c r="T6" s="33"/>
      <c r="U6" s="36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>
      <c r="A7" s="38" t="s">
        <v>21</v>
      </c>
      <c r="B7" s="41">
        <v>43836.0</v>
      </c>
      <c r="C7" s="22">
        <v>43130.0</v>
      </c>
      <c r="D7" s="24">
        <f>1400+60+380+230+140</f>
        <v>2210</v>
      </c>
      <c r="E7" s="25">
        <v>700.0</v>
      </c>
      <c r="F7" s="35">
        <f>630+6315+4505+1640+480+12200+1620</f>
        <v>27390</v>
      </c>
      <c r="G7" s="33">
        <f>309+389</f>
        <v>698</v>
      </c>
      <c r="H7" s="35">
        <v>2010.0</v>
      </c>
      <c r="I7" s="884">
        <f>110+390</f>
        <v>500</v>
      </c>
      <c r="J7" s="30">
        <v>11359.0</v>
      </c>
      <c r="K7" s="114">
        <f t="shared" si="1"/>
        <v>2910</v>
      </c>
      <c r="L7" s="881">
        <f t="shared" si="2"/>
        <v>11359</v>
      </c>
      <c r="M7" s="33">
        <f t="shared" si="6"/>
        <v>1737</v>
      </c>
      <c r="N7" s="40">
        <f t="shared" si="7"/>
        <v>18000.18</v>
      </c>
      <c r="O7" s="35">
        <f>PAGOSENE20!B53</f>
        <v>9358.7</v>
      </c>
      <c r="P7" s="33">
        <f t="shared" si="3"/>
        <v>8641.48</v>
      </c>
      <c r="Q7" s="33">
        <f t="shared" si="4"/>
        <v>20000.48</v>
      </c>
      <c r="R7" s="882"/>
      <c r="S7" s="35">
        <f t="shared" si="5"/>
        <v>20000.48</v>
      </c>
      <c r="T7" s="33"/>
      <c r="U7" s="36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38" t="s">
        <v>22</v>
      </c>
      <c r="B8" s="41">
        <v>43837.0</v>
      </c>
      <c r="C8" s="22">
        <v>49158.0</v>
      </c>
      <c r="D8" s="24">
        <f>200+20+700+200+140</f>
        <v>1260</v>
      </c>
      <c r="E8" s="25">
        <v>400.0</v>
      </c>
      <c r="F8" s="35">
        <f>235+650+400+375+8085+1820+6690+650+450+11675+2105+465</f>
        <v>33600</v>
      </c>
      <c r="G8" s="33">
        <f>379</f>
        <v>379</v>
      </c>
      <c r="H8" s="35">
        <v>3045.0</v>
      </c>
      <c r="I8" s="884">
        <f>305+200+305</f>
        <v>810</v>
      </c>
      <c r="J8" s="30">
        <v>12296.0</v>
      </c>
      <c r="K8" s="114">
        <f t="shared" si="1"/>
        <v>1660</v>
      </c>
      <c r="L8" s="881">
        <f t="shared" si="2"/>
        <v>12296</v>
      </c>
      <c r="M8" s="33">
        <f t="shared" si="6"/>
        <v>2632</v>
      </c>
      <c r="N8" s="40">
        <f t="shared" si="7"/>
        <v>20000.48</v>
      </c>
      <c r="O8" s="35">
        <f>PAGOSENE20!B68</f>
        <v>12296.82</v>
      </c>
      <c r="P8" s="33">
        <f t="shared" si="3"/>
        <v>7703.66</v>
      </c>
      <c r="Q8" s="33">
        <f t="shared" si="4"/>
        <v>19999.66</v>
      </c>
      <c r="R8" s="882"/>
      <c r="S8" s="35">
        <f t="shared" si="5"/>
        <v>19999.66</v>
      </c>
      <c r="T8" s="33"/>
      <c r="U8" s="36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>
      <c r="A9" s="38" t="s">
        <v>32</v>
      </c>
      <c r="B9" s="41">
        <v>43838.0</v>
      </c>
      <c r="C9" s="22">
        <v>36780.0</v>
      </c>
      <c r="D9" s="24">
        <v>1420.0</v>
      </c>
      <c r="E9" s="25">
        <v>200.0</v>
      </c>
      <c r="F9" s="35">
        <f>8855+1150+230+5630+1675+1160+760+410+405</f>
        <v>20275</v>
      </c>
      <c r="G9" s="35">
        <v>0.0</v>
      </c>
      <c r="H9" s="35">
        <v>1780.0</v>
      </c>
      <c r="I9" s="884">
        <f>415+110+345+455</f>
        <v>1325</v>
      </c>
      <c r="J9" s="30">
        <v>11604.0</v>
      </c>
      <c r="K9" s="114">
        <f t="shared" si="1"/>
        <v>1620</v>
      </c>
      <c r="L9" s="881">
        <f t="shared" si="2"/>
        <v>11604</v>
      </c>
      <c r="M9" s="33">
        <f t="shared" si="6"/>
        <v>-176</v>
      </c>
      <c r="N9" s="40">
        <f t="shared" si="7"/>
        <v>19999.66</v>
      </c>
      <c r="O9" s="35">
        <f>PAGOSENE20!B83</f>
        <v>4603.2</v>
      </c>
      <c r="P9" s="33">
        <f t="shared" si="3"/>
        <v>15396.46</v>
      </c>
      <c r="Q9" s="33">
        <f t="shared" si="4"/>
        <v>27000.46</v>
      </c>
      <c r="R9" s="882"/>
      <c r="S9" s="35">
        <f t="shared" si="5"/>
        <v>27000.46</v>
      </c>
      <c r="T9" s="33"/>
      <c r="U9" s="36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>
      <c r="A10" s="38" t="s">
        <v>24</v>
      </c>
      <c r="B10" s="41">
        <v>43839.0</v>
      </c>
      <c r="C10" s="22">
        <v>54415.0</v>
      </c>
      <c r="D10" s="24">
        <v>1825.0</v>
      </c>
      <c r="E10" s="25">
        <v>400.0</v>
      </c>
      <c r="F10" s="35">
        <v>36755.0</v>
      </c>
      <c r="G10" s="33">
        <f>200+579</f>
        <v>779</v>
      </c>
      <c r="H10" s="35">
        <v>3603.5</v>
      </c>
      <c r="I10" s="884">
        <f>305+95</f>
        <v>400</v>
      </c>
      <c r="J10" s="30">
        <v>11252.0</v>
      </c>
      <c r="K10" s="114">
        <f t="shared" si="1"/>
        <v>2225</v>
      </c>
      <c r="L10" s="881">
        <f t="shared" si="2"/>
        <v>11252</v>
      </c>
      <c r="M10" s="33">
        <f t="shared" si="6"/>
        <v>599.5</v>
      </c>
      <c r="N10" s="40">
        <f t="shared" si="7"/>
        <v>27000.46</v>
      </c>
      <c r="O10" s="35">
        <f>PAGOSENE20!B98</f>
        <v>23252.84</v>
      </c>
      <c r="P10" s="33">
        <f t="shared" si="3"/>
        <v>3747.62</v>
      </c>
      <c r="Q10" s="33">
        <f t="shared" si="4"/>
        <v>14999.62</v>
      </c>
      <c r="R10" s="882"/>
      <c r="S10" s="35">
        <f t="shared" si="5"/>
        <v>14999.62</v>
      </c>
      <c r="T10" s="33"/>
      <c r="U10" s="36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38" t="s">
        <v>25</v>
      </c>
      <c r="B11" s="41">
        <v>43840.0</v>
      </c>
      <c r="C11" s="22">
        <v>49370.0</v>
      </c>
      <c r="D11" s="24">
        <v>1935.0</v>
      </c>
      <c r="E11" s="25">
        <v>400.0</v>
      </c>
      <c r="F11" s="35">
        <v>25880.0</v>
      </c>
      <c r="G11" s="33">
        <f>559+619+1419+639</f>
        <v>3236</v>
      </c>
      <c r="H11" s="35">
        <v>4080.0</v>
      </c>
      <c r="I11" s="884">
        <f>105+825</f>
        <v>930</v>
      </c>
      <c r="J11" s="30">
        <v>13090.0</v>
      </c>
      <c r="K11" s="114">
        <f t="shared" si="1"/>
        <v>2335</v>
      </c>
      <c r="L11" s="881">
        <f t="shared" si="2"/>
        <v>13090</v>
      </c>
      <c r="M11" s="33">
        <f t="shared" si="6"/>
        <v>181</v>
      </c>
      <c r="N11" s="40">
        <f t="shared" si="7"/>
        <v>14999.62</v>
      </c>
      <c r="O11" s="35">
        <f>PAGOSENE20!B113</f>
        <v>35890</v>
      </c>
      <c r="P11" s="33">
        <f t="shared" si="3"/>
        <v>-20890.38</v>
      </c>
      <c r="Q11" s="33">
        <f t="shared" si="4"/>
        <v>-7800.38</v>
      </c>
      <c r="R11" s="882">
        <v>14000.0</v>
      </c>
      <c r="S11" s="35">
        <f t="shared" si="5"/>
        <v>6199.62</v>
      </c>
      <c r="T11" s="33"/>
      <c r="U11" s="36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38" t="s">
        <v>33</v>
      </c>
      <c r="B12" s="41">
        <v>43841.0</v>
      </c>
      <c r="C12" s="22">
        <f>10821+2885</f>
        <v>13706</v>
      </c>
      <c r="D12" s="24">
        <f>600+50+100+320+125+110</f>
        <v>1305</v>
      </c>
      <c r="E12" s="25">
        <v>400.0</v>
      </c>
      <c r="F12" s="35">
        <f>695+1295+530+250+1905</f>
        <v>4675</v>
      </c>
      <c r="G12" s="33">
        <f>609</f>
        <v>609</v>
      </c>
      <c r="H12" s="35">
        <v>850.0</v>
      </c>
      <c r="I12" s="880">
        <v>0.0</v>
      </c>
      <c r="J12" s="30">
        <v>6778.0</v>
      </c>
      <c r="K12" s="114">
        <f t="shared" si="1"/>
        <v>1705</v>
      </c>
      <c r="L12" s="881">
        <f t="shared" si="2"/>
        <v>6778</v>
      </c>
      <c r="M12" s="33">
        <f t="shared" si="6"/>
        <v>911</v>
      </c>
      <c r="N12" s="40">
        <f t="shared" si="7"/>
        <v>6199.62</v>
      </c>
      <c r="O12" s="35">
        <f>PAGOSENE20!B128</f>
        <v>24978.05</v>
      </c>
      <c r="P12" s="33">
        <f t="shared" si="3"/>
        <v>-18778.43</v>
      </c>
      <c r="Q12" s="33">
        <f t="shared" si="4"/>
        <v>-12000.43</v>
      </c>
      <c r="R12" s="882">
        <v>21000.0</v>
      </c>
      <c r="S12" s="35">
        <f t="shared" si="5"/>
        <v>8999.57</v>
      </c>
      <c r="T12" s="33"/>
      <c r="U12" s="36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42" t="s">
        <v>27</v>
      </c>
      <c r="B13" s="51">
        <v>43842.0</v>
      </c>
      <c r="C13" s="44">
        <v>0.0</v>
      </c>
      <c r="D13" s="44">
        <v>0.0</v>
      </c>
      <c r="E13" s="44">
        <v>0.0</v>
      </c>
      <c r="F13" s="44">
        <v>0.0</v>
      </c>
      <c r="G13" s="46"/>
      <c r="H13" s="46"/>
      <c r="I13" s="885"/>
      <c r="J13" s="44">
        <v>0.0</v>
      </c>
      <c r="K13" s="46">
        <f t="shared" si="1"/>
        <v>0</v>
      </c>
      <c r="L13" s="46">
        <f t="shared" si="2"/>
        <v>0</v>
      </c>
      <c r="M13" s="33">
        <f t="shared" si="6"/>
        <v>0</v>
      </c>
      <c r="N13" s="47">
        <f t="shared" si="7"/>
        <v>8999.57</v>
      </c>
      <c r="O13" s="44" t="str">
        <f>'PAGOS DIC19'!B466</f>
        <v/>
      </c>
      <c r="P13" s="46">
        <f t="shared" si="3"/>
        <v>8999.57</v>
      </c>
      <c r="Q13" s="46">
        <f t="shared" si="4"/>
        <v>8999.57</v>
      </c>
      <c r="R13" s="44"/>
      <c r="S13" s="44">
        <f t="shared" si="5"/>
        <v>8999.57</v>
      </c>
      <c r="T13" s="33"/>
      <c r="U13" s="3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>
      <c r="A14" s="38" t="s">
        <v>21</v>
      </c>
      <c r="B14" s="41">
        <v>43843.0</v>
      </c>
      <c r="C14" s="22">
        <v>54976.0</v>
      </c>
      <c r="D14" s="24">
        <f>900+50+300+290+130</f>
        <v>1670</v>
      </c>
      <c r="E14" s="25">
        <v>500.0</v>
      </c>
      <c r="F14" s="35">
        <f>3350+840+10550+2940+430+9270+3720+1200</f>
        <v>32300</v>
      </c>
      <c r="G14" s="33">
        <f>559+319</f>
        <v>878</v>
      </c>
      <c r="H14" s="35">
        <v>4773.5</v>
      </c>
      <c r="I14" s="884">
        <f>630+125+815</f>
        <v>1570</v>
      </c>
      <c r="J14" s="30">
        <v>12701.0</v>
      </c>
      <c r="K14" s="114">
        <f t="shared" si="1"/>
        <v>2170</v>
      </c>
      <c r="L14" s="881">
        <f t="shared" si="2"/>
        <v>12701</v>
      </c>
      <c r="M14" s="33">
        <f t="shared" si="6"/>
        <v>-583.5</v>
      </c>
      <c r="N14" s="40">
        <f t="shared" si="7"/>
        <v>8999.57</v>
      </c>
      <c r="O14" s="35">
        <f>PAGOSENE20!B145</f>
        <v>6700.5</v>
      </c>
      <c r="P14" s="33">
        <f t="shared" si="3"/>
        <v>2299.07</v>
      </c>
      <c r="Q14" s="33">
        <f t="shared" si="4"/>
        <v>15000.07</v>
      </c>
      <c r="R14" s="882"/>
      <c r="S14" s="35">
        <f t="shared" si="5"/>
        <v>15000.07</v>
      </c>
      <c r="T14" s="33"/>
      <c r="U14" s="36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38" t="s">
        <v>22</v>
      </c>
      <c r="B15" s="41">
        <v>43844.0</v>
      </c>
      <c r="C15" s="22">
        <v>59310.0</v>
      </c>
      <c r="D15" s="24">
        <f>600+130+300+270</f>
        <v>1300</v>
      </c>
      <c r="E15" s="25">
        <v>200.0</v>
      </c>
      <c r="F15" s="35">
        <f>15938+2835+500+3795+1325+5575+745+6365</f>
        <v>37078</v>
      </c>
      <c r="G15" s="33">
        <f>569+1924+434</f>
        <v>2927</v>
      </c>
      <c r="H15" s="35">
        <v>4120.0</v>
      </c>
      <c r="I15" s="880">
        <v>0.0</v>
      </c>
      <c r="J15" s="30">
        <v>15342.0</v>
      </c>
      <c r="K15" s="114">
        <f t="shared" si="1"/>
        <v>1500</v>
      </c>
      <c r="L15" s="881">
        <f t="shared" si="2"/>
        <v>15342</v>
      </c>
      <c r="M15" s="33">
        <f t="shared" si="6"/>
        <v>1657</v>
      </c>
      <c r="N15" s="40">
        <f t="shared" si="7"/>
        <v>15000.07</v>
      </c>
      <c r="O15" s="35">
        <f>PAGOSENE20!B160</f>
        <v>16342.37</v>
      </c>
      <c r="P15" s="33">
        <f t="shared" si="3"/>
        <v>-1342.3</v>
      </c>
      <c r="Q15" s="33">
        <f t="shared" si="4"/>
        <v>13999.7</v>
      </c>
      <c r="R15" s="882"/>
      <c r="S15" s="35">
        <f t="shared" si="5"/>
        <v>13999.7</v>
      </c>
      <c r="T15" s="33"/>
      <c r="U15" s="36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>
      <c r="A16" s="38" t="s">
        <v>32</v>
      </c>
      <c r="B16" s="41">
        <v>43845.0</v>
      </c>
      <c r="C16" s="22">
        <v>63136.0</v>
      </c>
      <c r="D16" s="24">
        <f>600+60+190+200+130</f>
        <v>1180</v>
      </c>
      <c r="E16" s="25">
        <v>100.0</v>
      </c>
      <c r="F16" s="35">
        <f>7670+2515+5190+470+13240+220+5800+2655+180+615</f>
        <v>38555</v>
      </c>
      <c r="G16" s="33">
        <f>349+279</f>
        <v>628</v>
      </c>
      <c r="H16" s="35">
        <v>5547.0</v>
      </c>
      <c r="I16" s="880">
        <v>695.0</v>
      </c>
      <c r="J16" s="30">
        <v>17651.0</v>
      </c>
      <c r="K16" s="114">
        <f t="shared" si="1"/>
        <v>1280</v>
      </c>
      <c r="L16" s="881">
        <f t="shared" si="2"/>
        <v>17651</v>
      </c>
      <c r="M16" s="33">
        <f t="shared" si="6"/>
        <v>1220</v>
      </c>
      <c r="N16" s="40">
        <f t="shared" si="7"/>
        <v>13999.7</v>
      </c>
      <c r="O16" s="35">
        <f>PAGOSENE20!B175</f>
        <v>10650.82</v>
      </c>
      <c r="P16" s="33">
        <f t="shared" si="3"/>
        <v>3348.88</v>
      </c>
      <c r="Q16" s="33">
        <f t="shared" si="4"/>
        <v>20999.88</v>
      </c>
      <c r="R16" s="882"/>
      <c r="S16" s="35">
        <f t="shared" si="5"/>
        <v>20999.88</v>
      </c>
      <c r="T16" s="33"/>
      <c r="U16" s="36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>
      <c r="A17" s="38" t="s">
        <v>24</v>
      </c>
      <c r="B17" s="41">
        <v>43846.0</v>
      </c>
      <c r="C17" s="22">
        <v>64988.0</v>
      </c>
      <c r="D17" s="24">
        <v>1820.0</v>
      </c>
      <c r="E17" s="25">
        <v>100.0</v>
      </c>
      <c r="F17" s="35">
        <v>38775.0</v>
      </c>
      <c r="G17" s="33">
        <f>319+299+299</f>
        <v>917</v>
      </c>
      <c r="H17" s="35">
        <v>5522.0</v>
      </c>
      <c r="I17" s="884">
        <f>400+105+605</f>
        <v>1110</v>
      </c>
      <c r="J17" s="30">
        <v>17695.0</v>
      </c>
      <c r="K17" s="114">
        <f t="shared" si="1"/>
        <v>1920</v>
      </c>
      <c r="L17" s="881">
        <f t="shared" si="2"/>
        <v>17695</v>
      </c>
      <c r="M17" s="33">
        <f t="shared" si="6"/>
        <v>951</v>
      </c>
      <c r="N17" s="40">
        <f t="shared" si="7"/>
        <v>20999.88</v>
      </c>
      <c r="O17" s="35">
        <f>PAGOSENE20!B190</f>
        <v>13195.35</v>
      </c>
      <c r="P17" s="33">
        <f t="shared" si="3"/>
        <v>7804.53</v>
      </c>
      <c r="Q17" s="33">
        <f t="shared" si="4"/>
        <v>25499.53</v>
      </c>
      <c r="R17" s="882"/>
      <c r="S17" s="35">
        <f t="shared" si="5"/>
        <v>25499.53</v>
      </c>
      <c r="T17" s="33"/>
      <c r="U17" s="36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38" t="s">
        <v>25</v>
      </c>
      <c r="B18" s="41">
        <v>43847.0</v>
      </c>
      <c r="C18" s="22">
        <v>41150.0</v>
      </c>
      <c r="D18" s="24">
        <f>400+150+350+130+145</f>
        <v>1175</v>
      </c>
      <c r="E18" s="25">
        <v>400.0</v>
      </c>
      <c r="F18" s="35">
        <f>20055+775+915+300+0</f>
        <v>22045</v>
      </c>
      <c r="G18" s="35">
        <v>0.0</v>
      </c>
      <c r="H18" s="35">
        <v>4061.0</v>
      </c>
      <c r="I18" s="884">
        <f>680</f>
        <v>680</v>
      </c>
      <c r="J18" s="30">
        <f>9988+1500</f>
        <v>11488</v>
      </c>
      <c r="K18" s="114">
        <f t="shared" si="1"/>
        <v>1575</v>
      </c>
      <c r="L18" s="881">
        <f t="shared" si="2"/>
        <v>11488</v>
      </c>
      <c r="M18" s="33">
        <f t="shared" si="6"/>
        <v>-1301</v>
      </c>
      <c r="N18" s="40">
        <f t="shared" si="7"/>
        <v>25499.53</v>
      </c>
      <c r="O18" s="35">
        <f>PAGOSENE20!B207</f>
        <v>55987.74</v>
      </c>
      <c r="P18" s="33">
        <f t="shared" si="3"/>
        <v>-30488.21</v>
      </c>
      <c r="Q18" s="33">
        <f t="shared" si="4"/>
        <v>-19000.21</v>
      </c>
      <c r="R18" s="882">
        <v>30000.0</v>
      </c>
      <c r="S18" s="35">
        <f t="shared" si="5"/>
        <v>10999.79</v>
      </c>
      <c r="T18" s="33"/>
      <c r="U18" s="36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>
      <c r="A19" s="38" t="s">
        <v>33</v>
      </c>
      <c r="B19" s="41">
        <v>43848.0</v>
      </c>
      <c r="C19" s="22">
        <v>14428.0</v>
      </c>
      <c r="D19" s="24">
        <f>600+150+20+460+240+150+310</f>
        <v>1930</v>
      </c>
      <c r="E19" s="25">
        <v>400.0</v>
      </c>
      <c r="F19" s="35">
        <f>1860+195+195+1545</f>
        <v>3795</v>
      </c>
      <c r="G19" s="35">
        <v>439.0</v>
      </c>
      <c r="H19" s="35">
        <v>2350.0</v>
      </c>
      <c r="I19" s="880">
        <v>0.0</v>
      </c>
      <c r="J19" s="30">
        <v>5505.0</v>
      </c>
      <c r="K19" s="114">
        <f t="shared" si="1"/>
        <v>2330</v>
      </c>
      <c r="L19" s="881">
        <f t="shared" si="2"/>
        <v>5505</v>
      </c>
      <c r="M19" s="33">
        <f t="shared" si="6"/>
        <v>-9</v>
      </c>
      <c r="N19" s="40">
        <f t="shared" si="7"/>
        <v>10999.79</v>
      </c>
      <c r="O19" s="35">
        <f>PAGOSENE20!B222</f>
        <v>7504.7</v>
      </c>
      <c r="P19" s="33">
        <f t="shared" si="3"/>
        <v>3495.09</v>
      </c>
      <c r="Q19" s="33">
        <f t="shared" si="4"/>
        <v>9000.09</v>
      </c>
      <c r="R19" s="882"/>
      <c r="S19" s="35">
        <f t="shared" si="5"/>
        <v>9000.09</v>
      </c>
      <c r="T19" s="33"/>
      <c r="U19" s="36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50" t="s">
        <v>27</v>
      </c>
      <c r="B20" s="788">
        <v>43849.0</v>
      </c>
      <c r="C20" s="45">
        <v>0.0</v>
      </c>
      <c r="D20" s="45">
        <v>0.0</v>
      </c>
      <c r="E20" s="45">
        <v>0.0</v>
      </c>
      <c r="F20" s="45">
        <v>0.0</v>
      </c>
      <c r="G20" s="48"/>
      <c r="H20" s="48"/>
      <c r="I20" s="886" t="s">
        <v>1385</v>
      </c>
      <c r="J20" s="45">
        <v>0.0</v>
      </c>
      <c r="K20" s="48">
        <f t="shared" si="1"/>
        <v>0</v>
      </c>
      <c r="L20" s="48">
        <f t="shared" si="2"/>
        <v>0</v>
      </c>
      <c r="M20" s="48">
        <f t="shared" si="6"/>
        <v>0</v>
      </c>
      <c r="N20" s="52">
        <f t="shared" si="7"/>
        <v>9000.09</v>
      </c>
      <c r="O20" s="45" t="str">
        <f>'PAGOS DIC19'!B473</f>
        <v/>
      </c>
      <c r="P20" s="48">
        <f t="shared" si="3"/>
        <v>9000.09</v>
      </c>
      <c r="Q20" s="48">
        <f t="shared" si="4"/>
        <v>9000.09</v>
      </c>
      <c r="R20" s="45"/>
      <c r="S20" s="45">
        <f t="shared" si="5"/>
        <v>9000.09</v>
      </c>
      <c r="T20" s="33"/>
      <c r="U20" s="36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</row>
    <row r="21">
      <c r="A21" s="38" t="s">
        <v>21</v>
      </c>
      <c r="B21" s="41">
        <v>43850.0</v>
      </c>
      <c r="C21" s="22">
        <v>47019.0</v>
      </c>
      <c r="D21" s="24">
        <f>800+380+215+120+500</f>
        <v>2015</v>
      </c>
      <c r="E21" s="25">
        <v>0.0</v>
      </c>
      <c r="F21" s="35">
        <f>3430+6965+250+4360+11265+2285+495</f>
        <v>29050</v>
      </c>
      <c r="G21" s="33">
        <f>299+2509+294+294+299</f>
        <v>3695</v>
      </c>
      <c r="H21" s="35">
        <v>1955.0</v>
      </c>
      <c r="I21" s="880">
        <v>490.0</v>
      </c>
      <c r="J21" s="30">
        <v>10322.0</v>
      </c>
      <c r="K21" s="114">
        <f t="shared" si="1"/>
        <v>2015</v>
      </c>
      <c r="L21" s="881">
        <f t="shared" si="2"/>
        <v>10322</v>
      </c>
      <c r="M21" s="33">
        <f t="shared" si="6"/>
        <v>508</v>
      </c>
      <c r="N21" s="40">
        <f t="shared" si="7"/>
        <v>9000.09</v>
      </c>
      <c r="O21" s="35">
        <f>PAGOSENE20!B239</f>
        <v>9322.35</v>
      </c>
      <c r="P21" s="33">
        <f t="shared" si="3"/>
        <v>-322.26</v>
      </c>
      <c r="Q21" s="33">
        <f t="shared" si="4"/>
        <v>9999.74</v>
      </c>
      <c r="R21" s="882"/>
      <c r="S21" s="35">
        <f t="shared" si="5"/>
        <v>9999.74</v>
      </c>
      <c r="T21" s="33"/>
      <c r="U21" s="36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>
      <c r="A22" s="38" t="s">
        <v>22</v>
      </c>
      <c r="B22" s="41">
        <v>43851.0</v>
      </c>
      <c r="C22" s="22">
        <v>53276.0</v>
      </c>
      <c r="D22" s="24">
        <f>400+50+40+320+85+80+45</f>
        <v>1020</v>
      </c>
      <c r="E22" s="25">
        <v>0.0</v>
      </c>
      <c r="F22" s="35">
        <f>1835+375+440+12060+2385+3245+130+11975+2830</f>
        <v>35275</v>
      </c>
      <c r="G22" s="33">
        <f>350+279+559+539</f>
        <v>1727</v>
      </c>
      <c r="H22" s="35">
        <v>2850.0</v>
      </c>
      <c r="I22" s="880">
        <v>295.0</v>
      </c>
      <c r="J22" s="30">
        <v>13813.0</v>
      </c>
      <c r="K22" s="114">
        <f t="shared" si="1"/>
        <v>1020</v>
      </c>
      <c r="L22" s="881">
        <f t="shared" si="2"/>
        <v>13813</v>
      </c>
      <c r="M22" s="33">
        <f t="shared" si="6"/>
        <v>1704</v>
      </c>
      <c r="N22" s="40">
        <f t="shared" si="7"/>
        <v>9999.74</v>
      </c>
      <c r="O22" s="35">
        <f>PAGOSENE20!B254</f>
        <v>7813.18</v>
      </c>
      <c r="P22" s="33">
        <f t="shared" si="3"/>
        <v>2186.56</v>
      </c>
      <c r="Q22" s="33">
        <f t="shared" si="4"/>
        <v>15999.56</v>
      </c>
      <c r="R22" s="882"/>
      <c r="S22" s="35">
        <f t="shared" si="5"/>
        <v>15999.56</v>
      </c>
      <c r="T22" s="33"/>
      <c r="U22" s="36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>
      <c r="A23" s="38" t="s">
        <v>32</v>
      </c>
      <c r="B23" s="41">
        <v>43852.0</v>
      </c>
      <c r="C23" s="22">
        <v>38203.0</v>
      </c>
      <c r="D23" s="24">
        <v>1595.0</v>
      </c>
      <c r="E23" s="25">
        <v>300.0</v>
      </c>
      <c r="F23" s="35">
        <f>12600+5325+2775</f>
        <v>20700</v>
      </c>
      <c r="G23" s="33">
        <f>369+319</f>
        <v>688</v>
      </c>
      <c r="H23" s="35">
        <v>2184.0</v>
      </c>
      <c r="I23" s="884">
        <f>230+210+440+215+115</f>
        <v>1210</v>
      </c>
      <c r="J23" s="30">
        <v>11753.0</v>
      </c>
      <c r="K23" s="114">
        <f t="shared" si="1"/>
        <v>1895</v>
      </c>
      <c r="L23" s="881">
        <f t="shared" si="2"/>
        <v>11753</v>
      </c>
      <c r="M23" s="33">
        <f t="shared" si="6"/>
        <v>227</v>
      </c>
      <c r="N23" s="40">
        <f t="shared" si="7"/>
        <v>15999.56</v>
      </c>
      <c r="O23" s="35">
        <f>PAGOSENE20!B269</f>
        <v>5752.5</v>
      </c>
      <c r="P23" s="33">
        <f t="shared" si="3"/>
        <v>10247.06</v>
      </c>
      <c r="Q23" s="33">
        <f t="shared" si="4"/>
        <v>22000.06</v>
      </c>
      <c r="R23" s="882"/>
      <c r="S23" s="35">
        <f t="shared" si="5"/>
        <v>22000.06</v>
      </c>
      <c r="T23" s="33"/>
      <c r="U23" s="36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>
      <c r="A24" s="38" t="s">
        <v>24</v>
      </c>
      <c r="B24" s="41">
        <v>43853.0</v>
      </c>
      <c r="C24" s="22">
        <v>51854.0</v>
      </c>
      <c r="D24" s="24">
        <v>1595.0</v>
      </c>
      <c r="E24" s="25">
        <v>0.0</v>
      </c>
      <c r="F24" s="35">
        <v>28964.0</v>
      </c>
      <c r="G24" s="33">
        <f>319+319+150</f>
        <v>788</v>
      </c>
      <c r="H24" s="35">
        <v>5035.0</v>
      </c>
      <c r="I24" s="884">
        <f>755</f>
        <v>755</v>
      </c>
      <c r="J24" s="30">
        <v>14642.0</v>
      </c>
      <c r="K24" s="114">
        <f t="shared" si="1"/>
        <v>1595</v>
      </c>
      <c r="L24" s="881">
        <f t="shared" si="2"/>
        <v>14642</v>
      </c>
      <c r="M24" s="33">
        <f t="shared" si="6"/>
        <v>-75</v>
      </c>
      <c r="N24" s="40">
        <f t="shared" si="7"/>
        <v>22000.06</v>
      </c>
      <c r="O24" s="35">
        <f>PAGOSENE20!B284</f>
        <v>15642.03</v>
      </c>
      <c r="P24" s="33">
        <f t="shared" si="3"/>
        <v>6358.03</v>
      </c>
      <c r="Q24" s="33">
        <f t="shared" si="4"/>
        <v>21000.03</v>
      </c>
      <c r="R24" s="882"/>
      <c r="S24" s="35">
        <f t="shared" si="5"/>
        <v>21000.03</v>
      </c>
      <c r="T24" s="33"/>
      <c r="U24" s="36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>
      <c r="A25" s="38" t="s">
        <v>25</v>
      </c>
      <c r="B25" s="41">
        <v>43854.0</v>
      </c>
      <c r="C25" s="22">
        <v>39620.0</v>
      </c>
      <c r="D25" s="24">
        <f>700+100+40+150+260+150+40</f>
        <v>1440</v>
      </c>
      <c r="E25" s="25">
        <v>0.0</v>
      </c>
      <c r="F25" s="35">
        <f>220+7920+1600+7665+605+1860+550+240</f>
        <v>20660</v>
      </c>
      <c r="G25" s="33">
        <f>609+319+459</f>
        <v>1387</v>
      </c>
      <c r="H25" s="35">
        <v>6612.0</v>
      </c>
      <c r="I25" s="884">
        <f>330+110</f>
        <v>440</v>
      </c>
      <c r="J25" s="30">
        <v>7432.0</v>
      </c>
      <c r="K25" s="114">
        <f t="shared" si="1"/>
        <v>1440</v>
      </c>
      <c r="L25" s="881">
        <f t="shared" si="2"/>
        <v>7432</v>
      </c>
      <c r="M25" s="33">
        <f t="shared" si="6"/>
        <v>-1649</v>
      </c>
      <c r="N25" s="40">
        <f t="shared" si="7"/>
        <v>21000.03</v>
      </c>
      <c r="O25" s="35">
        <f>PAGOSENE20!B299</f>
        <v>28432.189</v>
      </c>
      <c r="P25" s="33">
        <f t="shared" si="3"/>
        <v>-7432.159</v>
      </c>
      <c r="Q25" s="33">
        <f t="shared" si="4"/>
        <v>-0.159</v>
      </c>
      <c r="R25" s="882">
        <v>19000.0</v>
      </c>
      <c r="S25" s="35">
        <f t="shared" si="5"/>
        <v>18999.841</v>
      </c>
      <c r="T25" s="33"/>
      <c r="U25" s="36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>
      <c r="A26" s="38" t="s">
        <v>33</v>
      </c>
      <c r="B26" s="41">
        <v>43855.0</v>
      </c>
      <c r="C26" s="22">
        <v>9692.0</v>
      </c>
      <c r="D26" s="24">
        <v>2285.0</v>
      </c>
      <c r="E26" s="25">
        <v>0.0</v>
      </c>
      <c r="F26" s="35">
        <v>2850.0</v>
      </c>
      <c r="G26" s="35">
        <v>0.0</v>
      </c>
      <c r="H26" s="35">
        <v>1345.0</v>
      </c>
      <c r="I26" s="880">
        <v>0.0</v>
      </c>
      <c r="J26" s="30">
        <v>4071.0</v>
      </c>
      <c r="K26" s="114">
        <f t="shared" si="1"/>
        <v>2285</v>
      </c>
      <c r="L26" s="881">
        <f t="shared" si="2"/>
        <v>4071</v>
      </c>
      <c r="M26" s="33">
        <f t="shared" si="6"/>
        <v>859</v>
      </c>
      <c r="N26" s="40">
        <f t="shared" si="7"/>
        <v>18999.841</v>
      </c>
      <c r="O26" s="35">
        <f>PAGOSENE20!B314</f>
        <v>33071.34</v>
      </c>
      <c r="P26" s="33">
        <f t="shared" si="3"/>
        <v>-14071.499</v>
      </c>
      <c r="Q26" s="33">
        <f t="shared" si="4"/>
        <v>-10000.499</v>
      </c>
      <c r="R26" s="882">
        <v>31000.0</v>
      </c>
      <c r="S26" s="35">
        <f t="shared" si="5"/>
        <v>20999.501</v>
      </c>
      <c r="T26" s="33"/>
      <c r="U26" s="36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>
      <c r="A27" s="50" t="s">
        <v>27</v>
      </c>
      <c r="B27" s="788">
        <v>43856.0</v>
      </c>
      <c r="C27" s="45">
        <v>0.0</v>
      </c>
      <c r="D27" s="45">
        <v>0.0</v>
      </c>
      <c r="E27" s="45">
        <v>0.0</v>
      </c>
      <c r="F27" s="45">
        <v>0.0</v>
      </c>
      <c r="G27" s="48"/>
      <c r="H27" s="48"/>
      <c r="I27" s="883"/>
      <c r="J27" s="45">
        <v>0.0</v>
      </c>
      <c r="K27" s="48">
        <f t="shared" si="1"/>
        <v>0</v>
      </c>
      <c r="L27" s="48">
        <f t="shared" si="2"/>
        <v>0</v>
      </c>
      <c r="M27" s="48">
        <f t="shared" si="6"/>
        <v>0</v>
      </c>
      <c r="N27" s="52">
        <f t="shared" si="7"/>
        <v>20999.501</v>
      </c>
      <c r="O27" s="45" t="str">
        <f>'PAGOS DIC19'!B480</f>
        <v/>
      </c>
      <c r="P27" s="48">
        <f t="shared" si="3"/>
        <v>20999.501</v>
      </c>
      <c r="Q27" s="48">
        <f t="shared" si="4"/>
        <v>20999.501</v>
      </c>
      <c r="R27" s="45"/>
      <c r="S27" s="45">
        <f t="shared" si="5"/>
        <v>20999.501</v>
      </c>
      <c r="T27" s="33"/>
      <c r="U27" s="36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</row>
    <row r="28">
      <c r="A28" s="38" t="s">
        <v>21</v>
      </c>
      <c r="B28" s="41">
        <v>43857.0</v>
      </c>
      <c r="C28" s="22">
        <v>49025.0</v>
      </c>
      <c r="D28" s="24">
        <f>800+100+380+170+90+150+20+20</f>
        <v>1730</v>
      </c>
      <c r="E28" s="25">
        <v>200.0</v>
      </c>
      <c r="F28" s="35">
        <f>440+12940+1240+13250+2775+220+460</f>
        <v>31325</v>
      </c>
      <c r="G28" s="33">
        <f>1119+349</f>
        <v>1468</v>
      </c>
      <c r="H28" s="35">
        <v>2845.0</v>
      </c>
      <c r="I28" s="884">
        <f>220+320+105</f>
        <v>645</v>
      </c>
      <c r="J28" s="30">
        <v>10799.0</v>
      </c>
      <c r="K28" s="114">
        <f t="shared" si="1"/>
        <v>1930</v>
      </c>
      <c r="L28" s="881">
        <f t="shared" si="2"/>
        <v>10799</v>
      </c>
      <c r="M28" s="33">
        <f t="shared" si="6"/>
        <v>-13</v>
      </c>
      <c r="N28" s="40">
        <f t="shared" si="7"/>
        <v>20999.501</v>
      </c>
      <c r="O28" s="35">
        <f>PAGOSENE20!B331</f>
        <v>8798.35</v>
      </c>
      <c r="P28" s="33">
        <f t="shared" si="3"/>
        <v>12201.151</v>
      </c>
      <c r="Q28" s="33">
        <f t="shared" si="4"/>
        <v>23000.151</v>
      </c>
      <c r="R28" s="882"/>
      <c r="S28" s="35">
        <f t="shared" si="5"/>
        <v>23000.151</v>
      </c>
      <c r="T28" s="33"/>
      <c r="U28" s="36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>
      <c r="A29" s="38" t="s">
        <v>22</v>
      </c>
      <c r="B29" s="41">
        <v>43858.0</v>
      </c>
      <c r="C29" s="22">
        <v>46327.0</v>
      </c>
      <c r="D29" s="24">
        <f>1100+100+320+250+100+180</f>
        <v>2050</v>
      </c>
      <c r="E29" s="25">
        <v>500.0</v>
      </c>
      <c r="F29" s="35">
        <f>2230+220+11030+950+615+11290+1400+250</f>
        <v>27985</v>
      </c>
      <c r="G29" s="33">
        <f>789+349+719</f>
        <v>1857</v>
      </c>
      <c r="H29" s="35">
        <v>3550.0</v>
      </c>
      <c r="I29" s="880">
        <v>555.0</v>
      </c>
      <c r="J29" s="30">
        <v>12731.0</v>
      </c>
      <c r="K29" s="114">
        <f t="shared" si="1"/>
        <v>2550</v>
      </c>
      <c r="L29" s="881">
        <f t="shared" si="2"/>
        <v>12731</v>
      </c>
      <c r="M29" s="33">
        <f t="shared" si="6"/>
        <v>2901</v>
      </c>
      <c r="N29" s="40">
        <f t="shared" si="7"/>
        <v>23000.151</v>
      </c>
      <c r="O29" s="35">
        <f>PAGOSENE20!B346</f>
        <v>12730.93</v>
      </c>
      <c r="P29" s="33">
        <f t="shared" si="3"/>
        <v>10269.221</v>
      </c>
      <c r="Q29" s="33">
        <f t="shared" si="4"/>
        <v>23000.221</v>
      </c>
      <c r="R29" s="882"/>
      <c r="S29" s="35">
        <f t="shared" si="5"/>
        <v>23000.221</v>
      </c>
      <c r="T29" s="33"/>
      <c r="U29" s="36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>
      <c r="A30" s="38" t="s">
        <v>32</v>
      </c>
      <c r="B30" s="41">
        <v>43859.0</v>
      </c>
      <c r="C30" s="22">
        <f>44253.5+12504.5</f>
        <v>56758</v>
      </c>
      <c r="D30" s="24">
        <f>800+420+25+200</f>
        <v>1445</v>
      </c>
      <c r="E30" s="25">
        <v>0.0</v>
      </c>
      <c r="F30" s="35">
        <f>3130+155+120+2660+14603+1170+12440+2300</f>
        <v>36578</v>
      </c>
      <c r="G30" s="33">
        <f>579+319</f>
        <v>898</v>
      </c>
      <c r="H30" s="35">
        <v>4561.0</v>
      </c>
      <c r="I30" s="880">
        <v>330.0</v>
      </c>
      <c r="J30" s="30">
        <v>14859.0</v>
      </c>
      <c r="K30" s="114">
        <f t="shared" si="1"/>
        <v>1445</v>
      </c>
      <c r="L30" s="881">
        <f t="shared" si="2"/>
        <v>14859</v>
      </c>
      <c r="M30" s="33">
        <f t="shared" si="6"/>
        <v>1913</v>
      </c>
      <c r="N30" s="40">
        <f t="shared" si="7"/>
        <v>23000.221</v>
      </c>
      <c r="O30" s="35">
        <f>PAGOSENE20!B361</f>
        <v>16359.35</v>
      </c>
      <c r="P30" s="33">
        <f t="shared" si="3"/>
        <v>6640.871</v>
      </c>
      <c r="Q30" s="33">
        <f t="shared" si="4"/>
        <v>21499.871</v>
      </c>
      <c r="R30" s="882"/>
      <c r="S30" s="35">
        <f t="shared" si="5"/>
        <v>21499.871</v>
      </c>
      <c r="T30" s="33"/>
      <c r="U30" s="36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>
      <c r="A31" s="38" t="s">
        <v>24</v>
      </c>
      <c r="B31" s="41">
        <v>43860.0</v>
      </c>
      <c r="C31" s="22">
        <v>57034.0</v>
      </c>
      <c r="D31" s="24">
        <v>1290.0</v>
      </c>
      <c r="E31" s="25">
        <v>0.0</v>
      </c>
      <c r="F31" s="35">
        <f>1045+1490+815+250+490+11340+2340+12030+1085+3950</f>
        <v>34835</v>
      </c>
      <c r="G31" s="33">
        <f>599+854</f>
        <v>1453</v>
      </c>
      <c r="H31" s="35">
        <v>6105.0</v>
      </c>
      <c r="I31" s="887">
        <f>105+225+235</f>
        <v>565</v>
      </c>
      <c r="J31" s="30">
        <v>14146.0</v>
      </c>
      <c r="K31" s="114">
        <f t="shared" si="1"/>
        <v>1290</v>
      </c>
      <c r="L31" s="881">
        <f t="shared" si="2"/>
        <v>14146</v>
      </c>
      <c r="M31" s="33">
        <f t="shared" si="6"/>
        <v>1360</v>
      </c>
      <c r="N31" s="40">
        <f t="shared" si="7"/>
        <v>21499.871</v>
      </c>
      <c r="O31" s="35">
        <f>PAGOSENE20!B376</f>
        <v>12646</v>
      </c>
      <c r="P31" s="33">
        <f t="shared" si="3"/>
        <v>8853.871</v>
      </c>
      <c r="Q31" s="33">
        <f t="shared" si="4"/>
        <v>22999.871</v>
      </c>
      <c r="R31" s="882"/>
      <c r="S31" s="35">
        <f t="shared" si="5"/>
        <v>22999.871</v>
      </c>
      <c r="T31" s="33"/>
      <c r="U31" s="36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>
      <c r="A32" s="38" t="s">
        <v>25</v>
      </c>
      <c r="B32" s="41">
        <v>43861.0</v>
      </c>
      <c r="C32" s="22">
        <v>44405.0</v>
      </c>
      <c r="D32" s="24">
        <f>1200+440+10+100</f>
        <v>1750</v>
      </c>
      <c r="E32" s="25">
        <v>0.0</v>
      </c>
      <c r="F32" s="35">
        <f>8745+1960+5860+2010+720+360</f>
        <v>19655</v>
      </c>
      <c r="G32" s="33">
        <f>429+349</f>
        <v>778</v>
      </c>
      <c r="H32" s="35">
        <v>5775.0</v>
      </c>
      <c r="I32" s="884">
        <f>330+300+430</f>
        <v>1060</v>
      </c>
      <c r="J32" s="30">
        <v>14027.0</v>
      </c>
      <c r="K32" s="114">
        <f t="shared" si="1"/>
        <v>1750</v>
      </c>
      <c r="L32" s="881">
        <f t="shared" si="2"/>
        <v>14027</v>
      </c>
      <c r="M32" s="33">
        <f t="shared" si="6"/>
        <v>-1360</v>
      </c>
      <c r="N32" s="40">
        <f t="shared" si="7"/>
        <v>22999.871</v>
      </c>
      <c r="O32" s="35">
        <f>PAGOSENE20!B391</f>
        <v>41527.27</v>
      </c>
      <c r="P32" s="33">
        <f t="shared" si="3"/>
        <v>-18527.399</v>
      </c>
      <c r="Q32" s="33">
        <f t="shared" si="4"/>
        <v>-4500.399</v>
      </c>
      <c r="R32" s="882">
        <v>25000.0</v>
      </c>
      <c r="S32" s="35">
        <f t="shared" si="5"/>
        <v>20499.601</v>
      </c>
      <c r="T32" s="33"/>
      <c r="U32" s="36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>
      <c r="A33" s="789" t="s">
        <v>33</v>
      </c>
      <c r="B33" s="79">
        <v>43862.0</v>
      </c>
      <c r="C33" s="790">
        <v>17916.0</v>
      </c>
      <c r="D33" s="792">
        <f>1000+50+80+490</f>
        <v>1620</v>
      </c>
      <c r="E33" s="793">
        <v>0.0</v>
      </c>
      <c r="F33" s="794">
        <f>985+2785+855</f>
        <v>4625</v>
      </c>
      <c r="G33" s="799">
        <f>214+739+349</f>
        <v>1302</v>
      </c>
      <c r="H33" s="794">
        <v>3865.0</v>
      </c>
      <c r="I33" s="888">
        <v>0.0</v>
      </c>
      <c r="J33" s="889">
        <v>6786.0</v>
      </c>
      <c r="K33" s="890">
        <f t="shared" si="1"/>
        <v>1620</v>
      </c>
      <c r="L33" s="891">
        <f t="shared" si="2"/>
        <v>6786</v>
      </c>
      <c r="M33" s="799">
        <f t="shared" si="6"/>
        <v>282</v>
      </c>
      <c r="N33" s="800">
        <f t="shared" si="7"/>
        <v>20499.601</v>
      </c>
      <c r="O33" s="794">
        <f>PAGOSFEB20!B8</f>
        <v>6285.53</v>
      </c>
      <c r="P33" s="799">
        <f t="shared" si="3"/>
        <v>14214.071</v>
      </c>
      <c r="Q33" s="799">
        <f t="shared" si="4"/>
        <v>21000.071</v>
      </c>
      <c r="R33" s="892"/>
      <c r="S33" s="794">
        <f t="shared" si="5"/>
        <v>21000.071</v>
      </c>
      <c r="T33" s="33"/>
      <c r="U33" s="36"/>
      <c r="V33" s="799"/>
      <c r="W33" s="799"/>
      <c r="X33" s="799"/>
      <c r="Y33" s="799"/>
      <c r="Z33" s="799"/>
      <c r="AA33" s="799"/>
      <c r="AB33" s="799"/>
      <c r="AC33" s="799"/>
      <c r="AD33" s="799"/>
      <c r="AE33" s="799"/>
      <c r="AF33" s="799"/>
      <c r="AG33" s="799"/>
      <c r="AH33" s="799"/>
    </row>
    <row r="34">
      <c r="A34" s="50" t="s">
        <v>27</v>
      </c>
      <c r="B34" s="788">
        <v>43863.0</v>
      </c>
      <c r="C34" s="45">
        <v>0.0</v>
      </c>
      <c r="D34" s="45">
        <v>0.0</v>
      </c>
      <c r="E34" s="45">
        <v>0.0</v>
      </c>
      <c r="F34" s="45">
        <v>0.0</v>
      </c>
      <c r="G34" s="48"/>
      <c r="H34" s="48"/>
      <c r="I34" s="883"/>
      <c r="J34" s="45">
        <v>0.0</v>
      </c>
      <c r="K34" s="48">
        <f t="shared" si="1"/>
        <v>0</v>
      </c>
      <c r="L34" s="48">
        <f t="shared" si="2"/>
        <v>0</v>
      </c>
      <c r="M34" s="48">
        <f t="shared" si="6"/>
        <v>0</v>
      </c>
      <c r="N34" s="52">
        <f t="shared" si="7"/>
        <v>21000.071</v>
      </c>
      <c r="O34" s="45" t="str">
        <f>'PAGOS DIC19'!B487</f>
        <v/>
      </c>
      <c r="P34" s="48">
        <f t="shared" si="3"/>
        <v>21000.071</v>
      </c>
      <c r="Q34" s="48">
        <f t="shared" si="4"/>
        <v>21000.071</v>
      </c>
      <c r="R34" s="45"/>
      <c r="S34" s="45">
        <f t="shared" si="5"/>
        <v>21000.071</v>
      </c>
      <c r="T34" s="33"/>
      <c r="U34" s="36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>
      <c r="A35" s="38" t="s">
        <v>21</v>
      </c>
      <c r="B35" s="41">
        <v>43864.0</v>
      </c>
      <c r="C35" s="22">
        <v>47105.0</v>
      </c>
      <c r="D35" s="24">
        <v>1110.0</v>
      </c>
      <c r="E35" s="25">
        <v>0.0</v>
      </c>
      <c r="F35" s="35">
        <f>280+10825+1505+280+13605+1140+1135</f>
        <v>28770</v>
      </c>
      <c r="G35" s="33">
        <f>299</f>
        <v>299</v>
      </c>
      <c r="H35" s="35">
        <v>3190.0</v>
      </c>
      <c r="I35" s="880">
        <v>0.0</v>
      </c>
      <c r="J35" s="30">
        <v>15500.0</v>
      </c>
      <c r="K35" s="114">
        <f t="shared" si="1"/>
        <v>1110</v>
      </c>
      <c r="L35" s="881">
        <f t="shared" si="2"/>
        <v>15500</v>
      </c>
      <c r="M35" s="33">
        <f t="shared" si="6"/>
        <v>1764</v>
      </c>
      <c r="N35" s="40">
        <f t="shared" si="7"/>
        <v>21000.071</v>
      </c>
      <c r="O35" s="35">
        <f>PAGOSFEB20!B25</f>
        <v>10500.09</v>
      </c>
      <c r="P35" s="33">
        <f t="shared" si="3"/>
        <v>10499.981</v>
      </c>
      <c r="Q35" s="33">
        <f t="shared" si="4"/>
        <v>25999.981</v>
      </c>
      <c r="R35" s="882"/>
      <c r="S35" s="35">
        <f t="shared" si="5"/>
        <v>25999.981</v>
      </c>
      <c r="T35" s="33"/>
      <c r="U35" s="36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>
      <c r="A36" s="38" t="s">
        <v>22</v>
      </c>
      <c r="B36" s="41">
        <v>43865.0</v>
      </c>
      <c r="C36" s="22">
        <v>45414.0</v>
      </c>
      <c r="D36" s="24">
        <f>900+150+120+400+150</f>
        <v>1720</v>
      </c>
      <c r="E36" s="25">
        <v>0.0</v>
      </c>
      <c r="F36" s="35">
        <f>11025+2150+1510+12320+1350+220</f>
        <v>28575</v>
      </c>
      <c r="G36" s="33">
        <f>924+889</f>
        <v>1813</v>
      </c>
      <c r="H36" s="35">
        <v>4535.0</v>
      </c>
      <c r="I36" s="880">
        <v>0.0</v>
      </c>
      <c r="J36" s="30">
        <v>8946.0</v>
      </c>
      <c r="K36" s="114">
        <f t="shared" si="1"/>
        <v>1720</v>
      </c>
      <c r="L36" s="881">
        <f t="shared" si="2"/>
        <v>8946</v>
      </c>
      <c r="M36" s="33">
        <f t="shared" si="6"/>
        <v>175</v>
      </c>
      <c r="N36" s="40">
        <f t="shared" si="7"/>
        <v>25999.981</v>
      </c>
      <c r="O36" s="35">
        <f>PAGOSFEB20!B40</f>
        <v>15946.13</v>
      </c>
      <c r="P36" s="33">
        <f t="shared" si="3"/>
        <v>10053.851</v>
      </c>
      <c r="Q36" s="33">
        <f t="shared" si="4"/>
        <v>18999.851</v>
      </c>
      <c r="R36" s="882"/>
      <c r="S36" s="35">
        <f t="shared" si="5"/>
        <v>18999.851</v>
      </c>
      <c r="T36" s="33"/>
      <c r="U36" s="36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>
      <c r="A37" s="38" t="s">
        <v>32</v>
      </c>
      <c r="B37" s="41">
        <v>43866.0</v>
      </c>
      <c r="C37" s="22">
        <v>64517.0</v>
      </c>
      <c r="D37" s="24">
        <f>420+80+150+900+125</f>
        <v>1675</v>
      </c>
      <c r="E37" s="25">
        <v>0.0</v>
      </c>
      <c r="F37" s="35">
        <f>14884+1660+455+12085+2935+1900+1380+880+7065</f>
        <v>43244</v>
      </c>
      <c r="G37" s="35">
        <v>799.0</v>
      </c>
      <c r="H37" s="35">
        <v>4763.0</v>
      </c>
      <c r="I37" s="880">
        <v>0.0</v>
      </c>
      <c r="J37" s="30">
        <v>14918.0</v>
      </c>
      <c r="K37" s="114">
        <f t="shared" si="1"/>
        <v>1675</v>
      </c>
      <c r="L37" s="881">
        <f t="shared" si="2"/>
        <v>14918</v>
      </c>
      <c r="M37" s="33">
        <f t="shared" si="6"/>
        <v>882</v>
      </c>
      <c r="N37" s="40">
        <f t="shared" si="7"/>
        <v>18999.851</v>
      </c>
      <c r="O37" s="35">
        <f>PAGOSFEB20!B55</f>
        <v>6917.53</v>
      </c>
      <c r="P37" s="33">
        <f t="shared" si="3"/>
        <v>12082.321</v>
      </c>
      <c r="Q37" s="33">
        <f t="shared" si="4"/>
        <v>27000.321</v>
      </c>
      <c r="R37" s="882"/>
      <c r="S37" s="35">
        <f t="shared" si="5"/>
        <v>27000.321</v>
      </c>
      <c r="T37" s="33"/>
      <c r="U37" s="36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>
      <c r="A38" s="38" t="s">
        <v>24</v>
      </c>
      <c r="B38" s="41">
        <v>43867.0</v>
      </c>
      <c r="C38" s="22">
        <v>48866.0</v>
      </c>
      <c r="D38" s="24">
        <v>930.0</v>
      </c>
      <c r="E38" s="25">
        <v>0.0</v>
      </c>
      <c r="F38" s="35">
        <v>33408.0</v>
      </c>
      <c r="G38" s="35">
        <v>349.0</v>
      </c>
      <c r="H38" s="35">
        <v>5535.0</v>
      </c>
      <c r="I38" s="880">
        <v>0.0</v>
      </c>
      <c r="J38" s="30">
        <v>7597.0</v>
      </c>
      <c r="K38" s="114">
        <f t="shared" si="1"/>
        <v>930</v>
      </c>
      <c r="L38" s="881">
        <f t="shared" si="2"/>
        <v>7597</v>
      </c>
      <c r="M38" s="33">
        <f t="shared" si="6"/>
        <v>-1047</v>
      </c>
      <c r="N38" s="40">
        <f t="shared" si="7"/>
        <v>27000.321</v>
      </c>
      <c r="O38" s="35">
        <f>PAGOSFEB20!B70</f>
        <v>49597.35</v>
      </c>
      <c r="P38" s="33">
        <f t="shared" si="3"/>
        <v>-22597.029</v>
      </c>
      <c r="Q38" s="33">
        <f t="shared" si="4"/>
        <v>-15000.029</v>
      </c>
      <c r="R38" s="882">
        <v>28500.0</v>
      </c>
      <c r="S38" s="35">
        <f t="shared" si="5"/>
        <v>13499.971</v>
      </c>
      <c r="T38" s="33"/>
      <c r="U38" s="36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>
      <c r="A39" s="38" t="s">
        <v>25</v>
      </c>
      <c r="B39" s="41">
        <v>43868.0</v>
      </c>
      <c r="C39" s="22">
        <v>59258.0</v>
      </c>
      <c r="D39" s="24">
        <f>640+15+460+400+400+130</f>
        <v>2045</v>
      </c>
      <c r="E39" s="25">
        <v>0.0</v>
      </c>
      <c r="F39" s="35">
        <f>4965+1020+12400+1090+1815+1775+11100+1085+605+235</f>
        <v>36090</v>
      </c>
      <c r="G39" s="35">
        <v>1207.0</v>
      </c>
      <c r="H39" s="35">
        <v>5810.0</v>
      </c>
      <c r="I39" s="880">
        <v>0.0</v>
      </c>
      <c r="J39" s="30">
        <v>14408.0</v>
      </c>
      <c r="K39" s="114">
        <f t="shared" si="1"/>
        <v>2045</v>
      </c>
      <c r="L39" s="881">
        <f t="shared" si="2"/>
        <v>14408</v>
      </c>
      <c r="M39" s="33">
        <f t="shared" si="6"/>
        <v>302</v>
      </c>
      <c r="N39" s="40">
        <f t="shared" si="7"/>
        <v>13499.971</v>
      </c>
      <c r="O39" s="35">
        <f>PAGOSFEB20!B85</f>
        <v>20908.35</v>
      </c>
      <c r="P39" s="33">
        <f t="shared" si="3"/>
        <v>-7408.379</v>
      </c>
      <c r="Q39" s="33">
        <f t="shared" si="4"/>
        <v>6999.621</v>
      </c>
      <c r="R39" s="882"/>
      <c r="S39" s="35">
        <f t="shared" si="5"/>
        <v>6999.621</v>
      </c>
      <c r="T39" s="33"/>
      <c r="U39" s="36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>
      <c r="A40" s="38" t="s">
        <v>33</v>
      </c>
      <c r="B40" s="41">
        <v>43869.0</v>
      </c>
      <c r="C40" s="22">
        <v>14689.0</v>
      </c>
      <c r="D40" s="24">
        <f>700+50+640+360+40+130</f>
        <v>1920</v>
      </c>
      <c r="E40" s="25">
        <f>600</f>
        <v>600</v>
      </c>
      <c r="F40" s="35">
        <f>735+1305+630+300</f>
        <v>2970</v>
      </c>
      <c r="G40" s="35">
        <v>300.0</v>
      </c>
      <c r="H40" s="35">
        <v>3500.0</v>
      </c>
      <c r="I40" s="880">
        <v>0.0</v>
      </c>
      <c r="J40" s="30">
        <v>5845.0</v>
      </c>
      <c r="K40" s="114">
        <f t="shared" si="1"/>
        <v>2520</v>
      </c>
      <c r="L40" s="881">
        <f t="shared" si="2"/>
        <v>5845</v>
      </c>
      <c r="M40" s="33">
        <f t="shared" si="6"/>
        <v>446</v>
      </c>
      <c r="N40" s="40">
        <f t="shared" si="7"/>
        <v>6999.621</v>
      </c>
      <c r="O40" s="35">
        <f>PAGOSFEB20!B100</f>
        <v>4845</v>
      </c>
      <c r="P40" s="33">
        <f t="shared" si="3"/>
        <v>2154.621</v>
      </c>
      <c r="Q40" s="33">
        <f t="shared" si="4"/>
        <v>7999.621</v>
      </c>
      <c r="R40" s="882"/>
      <c r="S40" s="35">
        <f t="shared" si="5"/>
        <v>7999.621</v>
      </c>
      <c r="T40" s="33"/>
      <c r="U40" s="36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>
      <c r="A41" s="42" t="s">
        <v>27</v>
      </c>
      <c r="B41" s="51">
        <v>43870.0</v>
      </c>
      <c r="C41" s="44">
        <v>0.0</v>
      </c>
      <c r="D41" s="44">
        <v>0.0</v>
      </c>
      <c r="E41" s="44">
        <v>0.0</v>
      </c>
      <c r="F41" s="44">
        <v>0.0</v>
      </c>
      <c r="G41" s="46"/>
      <c r="H41" s="46"/>
      <c r="I41" s="885"/>
      <c r="J41" s="44">
        <v>0.0</v>
      </c>
      <c r="K41" s="46">
        <f t="shared" si="1"/>
        <v>0</v>
      </c>
      <c r="L41" s="46">
        <f t="shared" si="2"/>
        <v>0</v>
      </c>
      <c r="M41" s="46">
        <f t="shared" si="6"/>
        <v>0</v>
      </c>
      <c r="N41" s="47">
        <f t="shared" si="7"/>
        <v>7999.621</v>
      </c>
      <c r="O41" s="44" t="str">
        <f>'PAGOS DIC19'!B494</f>
        <v/>
      </c>
      <c r="P41" s="46">
        <f t="shared" si="3"/>
        <v>7999.621</v>
      </c>
      <c r="Q41" s="46">
        <f t="shared" si="4"/>
        <v>7999.621</v>
      </c>
      <c r="R41" s="44"/>
      <c r="S41" s="44">
        <f t="shared" si="5"/>
        <v>7999.621</v>
      </c>
      <c r="T41" s="33"/>
      <c r="U41" s="3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>
      <c r="A42" s="38" t="s">
        <v>21</v>
      </c>
      <c r="B42" s="41">
        <v>43871.0</v>
      </c>
      <c r="C42" s="22">
        <v>56296.0</v>
      </c>
      <c r="D42" s="24">
        <f>600+600+130+50+380+170</f>
        <v>1930</v>
      </c>
      <c r="E42" s="25">
        <v>600.0</v>
      </c>
      <c r="F42" s="35">
        <f>12175+1350+400+945+15540+2480+905</f>
        <v>33795</v>
      </c>
      <c r="G42" s="33">
        <f>399+884</f>
        <v>1283</v>
      </c>
      <c r="H42" s="35">
        <v>5350.0</v>
      </c>
      <c r="I42" s="884">
        <f>230+800</f>
        <v>1030</v>
      </c>
      <c r="J42" s="30">
        <v>14607.0</v>
      </c>
      <c r="K42" s="114">
        <f t="shared" si="1"/>
        <v>2530</v>
      </c>
      <c r="L42" s="881">
        <f t="shared" si="2"/>
        <v>14607</v>
      </c>
      <c r="M42" s="33">
        <f t="shared" si="6"/>
        <v>2299</v>
      </c>
      <c r="N42" s="40">
        <f t="shared" si="7"/>
        <v>7999.621</v>
      </c>
      <c r="O42" s="35">
        <f>PAGOSFEB20!B117</f>
        <v>10606.37</v>
      </c>
      <c r="P42" s="33">
        <f t="shared" si="3"/>
        <v>-2606.749</v>
      </c>
      <c r="Q42" s="33">
        <f t="shared" si="4"/>
        <v>12000.251</v>
      </c>
      <c r="R42" s="882"/>
      <c r="S42" s="35">
        <f t="shared" si="5"/>
        <v>12000.251</v>
      </c>
      <c r="T42" s="33"/>
      <c r="U42" s="36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>
      <c r="A43" s="38" t="s">
        <v>22</v>
      </c>
      <c r="B43" s="41">
        <v>43872.0</v>
      </c>
      <c r="C43" s="22">
        <v>53434.0</v>
      </c>
      <c r="D43" s="24">
        <f>750+180+120+70+140</f>
        <v>1260</v>
      </c>
      <c r="E43" s="25">
        <v>600.0</v>
      </c>
      <c r="F43" s="35">
        <f>3600+155+11975+2650+11905+555+440</f>
        <v>31280</v>
      </c>
      <c r="G43" s="33">
        <f>334+200</f>
        <v>534</v>
      </c>
      <c r="H43" s="35">
        <v>6524.0</v>
      </c>
      <c r="I43" s="884">
        <f>110+290+885</f>
        <v>1285</v>
      </c>
      <c r="J43" s="30">
        <v>13644.0</v>
      </c>
      <c r="K43" s="114">
        <f t="shared" si="1"/>
        <v>1860</v>
      </c>
      <c r="L43" s="881">
        <f t="shared" si="2"/>
        <v>13644</v>
      </c>
      <c r="M43" s="33">
        <f t="shared" si="6"/>
        <v>1693</v>
      </c>
      <c r="N43" s="40">
        <f t="shared" si="7"/>
        <v>12000.251</v>
      </c>
      <c r="O43" s="35">
        <f>PAGOSFEB20!B132</f>
        <v>19644.18</v>
      </c>
      <c r="P43" s="33">
        <f t="shared" si="3"/>
        <v>-7643.929</v>
      </c>
      <c r="Q43" s="33">
        <f t="shared" si="4"/>
        <v>6000.071</v>
      </c>
      <c r="R43" s="882">
        <v>9000.0</v>
      </c>
      <c r="S43" s="35">
        <f t="shared" si="5"/>
        <v>15000.071</v>
      </c>
      <c r="T43" s="33"/>
      <c r="U43" s="36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>
      <c r="A44" s="38" t="s">
        <v>32</v>
      </c>
      <c r="B44" s="41">
        <v>43873.0</v>
      </c>
      <c r="C44" s="22">
        <v>53629.0</v>
      </c>
      <c r="D44" s="24">
        <f>900+240+330+120+130</f>
        <v>1720</v>
      </c>
      <c r="E44" s="25">
        <v>400.0</v>
      </c>
      <c r="F44" s="35">
        <f>2545+11025+2065+17495+2240+220+395+740+475</f>
        <v>37200</v>
      </c>
      <c r="G44" s="33">
        <f>579+349+349+719</f>
        <v>1996</v>
      </c>
      <c r="H44" s="35">
        <v>3990.0</v>
      </c>
      <c r="I44" s="880">
        <v>0.0</v>
      </c>
      <c r="J44" s="30">
        <v>10135.0</v>
      </c>
      <c r="K44" s="114">
        <f t="shared" si="1"/>
        <v>2120</v>
      </c>
      <c r="L44" s="881">
        <f t="shared" si="2"/>
        <v>10135</v>
      </c>
      <c r="M44" s="33">
        <f t="shared" si="6"/>
        <v>1812</v>
      </c>
      <c r="N44" s="40">
        <f t="shared" si="7"/>
        <v>15000.071</v>
      </c>
      <c r="O44" s="35">
        <f>PAGOSFEB20!B147</f>
        <v>6135</v>
      </c>
      <c r="P44" s="33">
        <f t="shared" si="3"/>
        <v>8865.071</v>
      </c>
      <c r="Q44" s="33">
        <f t="shared" si="4"/>
        <v>19000.071</v>
      </c>
      <c r="R44" s="882">
        <v>9000.0</v>
      </c>
      <c r="S44" s="35">
        <f t="shared" si="5"/>
        <v>28000.071</v>
      </c>
      <c r="T44" s="33"/>
      <c r="U44" s="36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>
      <c r="A45" s="38" t="s">
        <v>24</v>
      </c>
      <c r="B45" s="41">
        <v>43874.0</v>
      </c>
      <c r="C45" s="22">
        <v>57754.0</v>
      </c>
      <c r="D45" s="24">
        <v>1655.0</v>
      </c>
      <c r="E45" s="25">
        <v>400.0</v>
      </c>
      <c r="F45" s="35">
        <v>39503.0</v>
      </c>
      <c r="G45" s="33">
        <f>669+579</f>
        <v>1248</v>
      </c>
      <c r="H45" s="35">
        <v>6031.0</v>
      </c>
      <c r="I45" s="880">
        <v>105.0</v>
      </c>
      <c r="J45" s="30">
        <v>10309.0</v>
      </c>
      <c r="K45" s="114">
        <f t="shared" si="1"/>
        <v>2055</v>
      </c>
      <c r="L45" s="881">
        <f t="shared" si="2"/>
        <v>10309</v>
      </c>
      <c r="M45" s="33">
        <f t="shared" si="6"/>
        <v>1497</v>
      </c>
      <c r="N45" s="40">
        <f t="shared" si="7"/>
        <v>28000.071</v>
      </c>
      <c r="O45" s="35">
        <f>PAGOSFEB20!B162</f>
        <v>38809.36</v>
      </c>
      <c r="P45" s="33">
        <f t="shared" si="3"/>
        <v>-10809.289</v>
      </c>
      <c r="Q45" s="33">
        <f t="shared" si="4"/>
        <v>-500.289</v>
      </c>
      <c r="R45" s="882">
        <v>20000.0</v>
      </c>
      <c r="S45" s="35">
        <f t="shared" si="5"/>
        <v>19499.711</v>
      </c>
      <c r="T45" s="33"/>
      <c r="U45" s="36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>
      <c r="A46" s="38" t="s">
        <v>25</v>
      </c>
      <c r="B46" s="41">
        <v>43875.0</v>
      </c>
      <c r="C46" s="22">
        <v>48427.0</v>
      </c>
      <c r="D46" s="24">
        <v>1730.0</v>
      </c>
      <c r="E46" s="25">
        <v>300.0</v>
      </c>
      <c r="F46" s="35">
        <v>27750.0</v>
      </c>
      <c r="G46" s="33">
        <f t="shared" ref="G46:G47" si="8">349</f>
        <v>349</v>
      </c>
      <c r="H46" s="35">
        <v>3440.0</v>
      </c>
      <c r="I46" s="880">
        <v>0.0</v>
      </c>
      <c r="J46" s="30">
        <v>9314.0</v>
      </c>
      <c r="K46" s="114">
        <f t="shared" si="1"/>
        <v>2030</v>
      </c>
      <c r="L46" s="881">
        <f t="shared" si="2"/>
        <v>9314</v>
      </c>
      <c r="M46" s="33">
        <f t="shared" si="6"/>
        <v>-5544</v>
      </c>
      <c r="N46" s="40">
        <f t="shared" si="7"/>
        <v>19499.711</v>
      </c>
      <c r="O46" s="35">
        <f>PAGOSFEB20!B177</f>
        <v>68814.18</v>
      </c>
      <c r="P46" s="33">
        <f t="shared" si="3"/>
        <v>-49314.469</v>
      </c>
      <c r="Q46" s="33">
        <f t="shared" si="4"/>
        <v>-40000.469</v>
      </c>
      <c r="R46" s="882">
        <v>60000.0</v>
      </c>
      <c r="S46" s="35">
        <f t="shared" si="5"/>
        <v>19999.531</v>
      </c>
      <c r="T46" s="33"/>
      <c r="U46" s="36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>
      <c r="A47" s="38" t="s">
        <v>33</v>
      </c>
      <c r="B47" s="41">
        <v>43876.0</v>
      </c>
      <c r="C47" s="22">
        <v>17674.0</v>
      </c>
      <c r="D47" s="24">
        <v>2085.0</v>
      </c>
      <c r="E47" s="25">
        <v>500.0</v>
      </c>
      <c r="F47" s="35">
        <v>4905.0</v>
      </c>
      <c r="G47" s="33">
        <f t="shared" si="8"/>
        <v>349</v>
      </c>
      <c r="H47" s="35">
        <v>1715.0</v>
      </c>
      <c r="I47" s="880">
        <v>0.0</v>
      </c>
      <c r="J47" s="30">
        <v>9000.0</v>
      </c>
      <c r="K47" s="114">
        <f t="shared" si="1"/>
        <v>2585</v>
      </c>
      <c r="L47" s="881">
        <f t="shared" si="2"/>
        <v>9000</v>
      </c>
      <c r="M47" s="33">
        <f t="shared" si="6"/>
        <v>880</v>
      </c>
      <c r="N47" s="40">
        <f t="shared" si="7"/>
        <v>19999.531</v>
      </c>
      <c r="O47" s="35">
        <f>PAGOSFEB20!B192</f>
        <v>2000</v>
      </c>
      <c r="P47" s="33">
        <f t="shared" si="3"/>
        <v>17999.531</v>
      </c>
      <c r="Q47" s="33">
        <f t="shared" si="4"/>
        <v>26999.531</v>
      </c>
      <c r="R47" s="882"/>
      <c r="S47" s="35">
        <f t="shared" si="5"/>
        <v>26999.531</v>
      </c>
      <c r="T47" s="33"/>
      <c r="U47" s="36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>
      <c r="A48" s="42" t="s">
        <v>27</v>
      </c>
      <c r="B48" s="51">
        <v>43877.0</v>
      </c>
      <c r="C48" s="44">
        <v>0.0</v>
      </c>
      <c r="D48" s="44">
        <v>0.0</v>
      </c>
      <c r="E48" s="44">
        <v>0.0</v>
      </c>
      <c r="F48" s="44">
        <v>0.0</v>
      </c>
      <c r="G48" s="46"/>
      <c r="H48" s="46"/>
      <c r="I48" s="47"/>
      <c r="J48" s="44">
        <v>0.0</v>
      </c>
      <c r="K48" s="46">
        <f t="shared" si="1"/>
        <v>0</v>
      </c>
      <c r="L48" s="46">
        <f t="shared" si="2"/>
        <v>0</v>
      </c>
      <c r="M48" s="46">
        <f t="shared" si="6"/>
        <v>0</v>
      </c>
      <c r="N48" s="47">
        <f t="shared" si="7"/>
        <v>26999.531</v>
      </c>
      <c r="O48" s="44" t="str">
        <f>'PAGOS DIC19'!B501</f>
        <v/>
      </c>
      <c r="P48" s="46">
        <f t="shared" si="3"/>
        <v>26999.531</v>
      </c>
      <c r="Q48" s="46">
        <f t="shared" si="4"/>
        <v>26999.531</v>
      </c>
      <c r="R48" s="44"/>
      <c r="S48" s="44">
        <f t="shared" si="5"/>
        <v>26999.531</v>
      </c>
      <c r="T48" s="33"/>
      <c r="U48" s="3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>
      <c r="A49" s="38" t="s">
        <v>21</v>
      </c>
      <c r="B49" s="41">
        <v>43878.0</v>
      </c>
      <c r="C49" s="22">
        <v>44985.0</v>
      </c>
      <c r="D49" s="24">
        <v>2610.0</v>
      </c>
      <c r="E49" s="25">
        <v>500.0</v>
      </c>
      <c r="F49" s="35">
        <v>28920.0</v>
      </c>
      <c r="G49" s="33">
        <f>349+1109+399+180+1269+589+180</f>
        <v>4075</v>
      </c>
      <c r="H49" s="35">
        <v>3525.0</v>
      </c>
      <c r="I49" s="34">
        <v>0.0</v>
      </c>
      <c r="J49" s="30">
        <v>2395.0</v>
      </c>
      <c r="K49" s="114">
        <f t="shared" si="1"/>
        <v>3110</v>
      </c>
      <c r="L49" s="881">
        <f t="shared" si="2"/>
        <v>2395</v>
      </c>
      <c r="M49" s="33">
        <f t="shared" si="6"/>
        <v>-2960</v>
      </c>
      <c r="N49" s="40">
        <f t="shared" si="7"/>
        <v>26999.531</v>
      </c>
      <c r="O49" s="35">
        <f>PAGOSFEB20!B209</f>
        <v>12394.06</v>
      </c>
      <c r="P49" s="33">
        <f t="shared" si="3"/>
        <v>14605.471</v>
      </c>
      <c r="Q49" s="33">
        <f t="shared" si="4"/>
        <v>17000.471</v>
      </c>
      <c r="R49" s="882"/>
      <c r="S49" s="35">
        <f t="shared" si="5"/>
        <v>17000.471</v>
      </c>
      <c r="T49" s="33"/>
      <c r="U49" s="36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>
      <c r="A50" s="38" t="s">
        <v>22</v>
      </c>
      <c r="B50" s="41">
        <v>43879.0</v>
      </c>
      <c r="C50" s="22">
        <v>48575.0</v>
      </c>
      <c r="D50" s="24">
        <v>1560.0</v>
      </c>
      <c r="E50" s="25">
        <v>600.0</v>
      </c>
      <c r="F50" s="35">
        <v>31675.0</v>
      </c>
      <c r="G50" s="35">
        <v>0.0</v>
      </c>
      <c r="H50" s="35">
        <v>1628.75</v>
      </c>
      <c r="I50" s="884">
        <f>465+215</f>
        <v>680</v>
      </c>
      <c r="J50" s="30">
        <v>14029.0</v>
      </c>
      <c r="K50" s="114">
        <f t="shared" si="1"/>
        <v>2160</v>
      </c>
      <c r="L50" s="881">
        <f t="shared" si="2"/>
        <v>14029</v>
      </c>
      <c r="M50" s="33">
        <f t="shared" si="6"/>
        <v>1597.75</v>
      </c>
      <c r="N50" s="40">
        <f t="shared" si="7"/>
        <v>17000.471</v>
      </c>
      <c r="O50" s="35">
        <f>PAGOSFEB20!B224</f>
        <v>9029.28</v>
      </c>
      <c r="P50" s="33">
        <f t="shared" si="3"/>
        <v>7971.191</v>
      </c>
      <c r="Q50" s="33">
        <f t="shared" si="4"/>
        <v>22000.191</v>
      </c>
      <c r="R50" s="882"/>
      <c r="S50" s="35">
        <f t="shared" si="5"/>
        <v>22000.191</v>
      </c>
      <c r="T50" s="33"/>
      <c r="U50" s="36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>
      <c r="A51" s="38" t="s">
        <v>32</v>
      </c>
      <c r="B51" s="41">
        <v>43880.0</v>
      </c>
      <c r="C51" s="22">
        <v>59125.0</v>
      </c>
      <c r="D51" s="24">
        <v>1650.0</v>
      </c>
      <c r="E51" s="25">
        <v>700.0</v>
      </c>
      <c r="F51" s="35">
        <v>35220.0</v>
      </c>
      <c r="G51" s="33">
        <f>719+319</f>
        <v>1038</v>
      </c>
      <c r="H51" s="35">
        <v>8700.0</v>
      </c>
      <c r="I51" s="884">
        <f>560</f>
        <v>560</v>
      </c>
      <c r="J51" s="30">
        <v>11589.0</v>
      </c>
      <c r="K51" s="114">
        <f t="shared" si="1"/>
        <v>2350</v>
      </c>
      <c r="L51" s="881">
        <f t="shared" si="2"/>
        <v>11589</v>
      </c>
      <c r="M51" s="33">
        <f t="shared" si="6"/>
        <v>332</v>
      </c>
      <c r="N51" s="40">
        <f t="shared" si="7"/>
        <v>22000.191</v>
      </c>
      <c r="O51" s="35">
        <f>PAGOSFEB20!B239</f>
        <v>19589.35</v>
      </c>
      <c r="P51" s="33">
        <f t="shared" si="3"/>
        <v>2410.841</v>
      </c>
      <c r="Q51" s="33">
        <f t="shared" si="4"/>
        <v>13999.841</v>
      </c>
      <c r="R51" s="882">
        <v>10000.0</v>
      </c>
      <c r="S51" s="35">
        <f t="shared" si="5"/>
        <v>23999.841</v>
      </c>
      <c r="T51" s="33"/>
      <c r="U51" s="36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>
      <c r="A52" s="38" t="s">
        <v>24</v>
      </c>
      <c r="B52" s="41">
        <v>43881.0</v>
      </c>
      <c r="C52" s="22">
        <v>61444.0</v>
      </c>
      <c r="D52" s="24">
        <v>2180.0</v>
      </c>
      <c r="E52" s="25">
        <v>0.0</v>
      </c>
      <c r="F52" s="35">
        <v>40930.0</v>
      </c>
      <c r="G52" s="33">
        <f>380</f>
        <v>380</v>
      </c>
      <c r="H52" s="35">
        <v>4790.0</v>
      </c>
      <c r="I52" s="884">
        <f>265</f>
        <v>265</v>
      </c>
      <c r="J52" s="30">
        <v>14605.0</v>
      </c>
      <c r="K52" s="114">
        <f t="shared" si="1"/>
        <v>2180</v>
      </c>
      <c r="L52" s="881">
        <f t="shared" si="2"/>
        <v>14605</v>
      </c>
      <c r="M52" s="33">
        <f t="shared" si="6"/>
        <v>1706</v>
      </c>
      <c r="N52" s="40">
        <f t="shared" si="7"/>
        <v>23999.841</v>
      </c>
      <c r="O52" s="35">
        <f>PAGOSFEB20!B254</f>
        <v>25605</v>
      </c>
      <c r="P52" s="33">
        <f t="shared" si="3"/>
        <v>-1605.159</v>
      </c>
      <c r="Q52" s="33">
        <f t="shared" si="4"/>
        <v>12999.841</v>
      </c>
      <c r="R52" s="882"/>
      <c r="S52" s="35">
        <f t="shared" si="5"/>
        <v>12999.841</v>
      </c>
      <c r="T52" s="33"/>
      <c r="U52" s="36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>
      <c r="A53" s="38" t="s">
        <v>25</v>
      </c>
      <c r="B53" s="41">
        <v>43882.0</v>
      </c>
      <c r="C53" s="22">
        <v>62135.0</v>
      </c>
      <c r="D53" s="24">
        <v>1660.0</v>
      </c>
      <c r="E53" s="25">
        <v>0.0</v>
      </c>
      <c r="F53" s="35">
        <v>42920.0</v>
      </c>
      <c r="G53" s="35">
        <v>0.0</v>
      </c>
      <c r="H53" s="35">
        <v>5940.0</v>
      </c>
      <c r="I53" s="884">
        <f>355</f>
        <v>355</v>
      </c>
      <c r="J53" s="30">
        <v>12738.0</v>
      </c>
      <c r="K53" s="114">
        <f t="shared" si="1"/>
        <v>1660</v>
      </c>
      <c r="L53" s="881">
        <f t="shared" si="2"/>
        <v>12738</v>
      </c>
      <c r="M53" s="33">
        <f t="shared" si="6"/>
        <v>1478</v>
      </c>
      <c r="N53" s="40">
        <f t="shared" si="7"/>
        <v>12999.841</v>
      </c>
      <c r="O53" s="35">
        <f>PAGOSFEB20!B269</f>
        <v>9237.64</v>
      </c>
      <c r="P53" s="33">
        <f t="shared" si="3"/>
        <v>3762.201</v>
      </c>
      <c r="Q53" s="33">
        <f t="shared" si="4"/>
        <v>16500.201</v>
      </c>
      <c r="R53" s="882">
        <v>5500.0</v>
      </c>
      <c r="S53" s="35">
        <f t="shared" si="5"/>
        <v>22000.201</v>
      </c>
      <c r="T53" s="33"/>
      <c r="U53" s="36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>
      <c r="A54" s="150" t="s">
        <v>33</v>
      </c>
      <c r="B54" s="162">
        <v>43883.0</v>
      </c>
      <c r="C54" s="160">
        <v>0.0</v>
      </c>
      <c r="D54" s="160">
        <v>0.0</v>
      </c>
      <c r="E54" s="160">
        <v>0.0</v>
      </c>
      <c r="F54" s="160">
        <v>0.0</v>
      </c>
      <c r="G54" s="893" t="s">
        <v>3712</v>
      </c>
      <c r="H54" s="893"/>
      <c r="I54" s="894"/>
      <c r="J54" s="160">
        <v>0.0</v>
      </c>
      <c r="K54" s="37">
        <f t="shared" si="1"/>
        <v>0</v>
      </c>
      <c r="L54" s="37">
        <f t="shared" si="2"/>
        <v>0</v>
      </c>
      <c r="M54" s="37">
        <f t="shared" si="6"/>
        <v>0</v>
      </c>
      <c r="N54" s="207">
        <f t="shared" si="7"/>
        <v>22000.201</v>
      </c>
      <c r="O54" s="160" t="str">
        <f>'PAGOS DIC19'!B507</f>
        <v/>
      </c>
      <c r="P54" s="37">
        <f t="shared" si="3"/>
        <v>22000.201</v>
      </c>
      <c r="Q54" s="37">
        <f t="shared" si="4"/>
        <v>22000.201</v>
      </c>
      <c r="R54" s="160"/>
      <c r="S54" s="160">
        <f t="shared" si="5"/>
        <v>22000.201</v>
      </c>
      <c r="T54" s="33"/>
      <c r="U54" s="36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>
      <c r="A55" s="42" t="s">
        <v>27</v>
      </c>
      <c r="B55" s="51">
        <v>43884.0</v>
      </c>
      <c r="C55" s="44">
        <v>0.0</v>
      </c>
      <c r="D55" s="44">
        <v>0.0</v>
      </c>
      <c r="E55" s="44">
        <v>0.0</v>
      </c>
      <c r="F55" s="44">
        <v>0.0</v>
      </c>
      <c r="G55" s="46"/>
      <c r="H55" s="46"/>
      <c r="I55" s="885"/>
      <c r="J55" s="44">
        <v>0.0</v>
      </c>
      <c r="K55" s="46">
        <f t="shared" si="1"/>
        <v>0</v>
      </c>
      <c r="L55" s="46">
        <f t="shared" si="2"/>
        <v>0</v>
      </c>
      <c r="M55" s="46">
        <f t="shared" si="6"/>
        <v>0</v>
      </c>
      <c r="N55" s="47">
        <f t="shared" si="7"/>
        <v>22000.201</v>
      </c>
      <c r="O55" s="44" t="str">
        <f>'PAGOS DIC19'!B508</f>
        <v/>
      </c>
      <c r="P55" s="46">
        <f t="shared" si="3"/>
        <v>22000.201</v>
      </c>
      <c r="Q55" s="46">
        <f t="shared" si="4"/>
        <v>22000.201</v>
      </c>
      <c r="R55" s="44"/>
      <c r="S55" s="44">
        <f t="shared" si="5"/>
        <v>22000.201</v>
      </c>
      <c r="T55" s="33"/>
      <c r="U55" s="3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>
      <c r="A56" s="150" t="s">
        <v>21</v>
      </c>
      <c r="B56" s="162">
        <v>43885.0</v>
      </c>
      <c r="C56" s="160">
        <v>0.0</v>
      </c>
      <c r="D56" s="160">
        <v>0.0</v>
      </c>
      <c r="E56" s="160">
        <v>0.0</v>
      </c>
      <c r="F56" s="160">
        <v>0.0</v>
      </c>
      <c r="G56" s="895" t="s">
        <v>3713</v>
      </c>
      <c r="H56" s="895"/>
      <c r="I56" s="896"/>
      <c r="J56" s="160">
        <v>0.0</v>
      </c>
      <c r="K56" s="37">
        <f t="shared" si="1"/>
        <v>0</v>
      </c>
      <c r="L56" s="37">
        <f t="shared" si="2"/>
        <v>0</v>
      </c>
      <c r="M56" s="37">
        <f t="shared" si="6"/>
        <v>0</v>
      </c>
      <c r="N56" s="207">
        <f t="shared" si="7"/>
        <v>22000.201</v>
      </c>
      <c r="O56" s="160" t="str">
        <f>'PAGOS DIC19'!B509</f>
        <v/>
      </c>
      <c r="P56" s="37">
        <f t="shared" si="3"/>
        <v>22000.201</v>
      </c>
      <c r="Q56" s="37">
        <f t="shared" si="4"/>
        <v>22000.201</v>
      </c>
      <c r="R56" s="160"/>
      <c r="S56" s="160">
        <f t="shared" si="5"/>
        <v>22000.201</v>
      </c>
      <c r="T56" s="33"/>
      <c r="U56" s="36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>
      <c r="A57" s="150" t="s">
        <v>22</v>
      </c>
      <c r="B57" s="162">
        <v>43886.0</v>
      </c>
      <c r="C57" s="160">
        <v>0.0</v>
      </c>
      <c r="D57" s="160">
        <v>0.0</v>
      </c>
      <c r="E57" s="160">
        <v>0.0</v>
      </c>
      <c r="F57" s="160">
        <v>0.0</v>
      </c>
      <c r="G57" s="895"/>
      <c r="H57" s="895"/>
      <c r="I57" s="896"/>
      <c r="J57" s="160">
        <v>0.0</v>
      </c>
      <c r="K57" s="37">
        <f t="shared" si="1"/>
        <v>0</v>
      </c>
      <c r="L57" s="37">
        <f t="shared" si="2"/>
        <v>0</v>
      </c>
      <c r="M57" s="37">
        <f t="shared" si="6"/>
        <v>0</v>
      </c>
      <c r="N57" s="207">
        <f t="shared" si="7"/>
        <v>22000.201</v>
      </c>
      <c r="O57" s="160" t="str">
        <f>'PAGOS DIC19'!B510</f>
        <v/>
      </c>
      <c r="P57" s="37">
        <f t="shared" si="3"/>
        <v>22000.201</v>
      </c>
      <c r="Q57" s="37">
        <f t="shared" si="4"/>
        <v>22000.201</v>
      </c>
      <c r="R57" s="160"/>
      <c r="S57" s="160">
        <f t="shared" si="5"/>
        <v>22000.201</v>
      </c>
      <c r="T57" s="33"/>
      <c r="U57" s="36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>
      <c r="A58" s="38" t="s">
        <v>32</v>
      </c>
      <c r="B58" s="41">
        <v>43887.0</v>
      </c>
      <c r="C58" s="22">
        <v>54535.0</v>
      </c>
      <c r="D58" s="24">
        <f>1500+85+100</f>
        <v>1685</v>
      </c>
      <c r="E58" s="25">
        <v>0.0</v>
      </c>
      <c r="F58" s="35">
        <f>17286+4068.5+885+8075+1280+3825+820</f>
        <v>36239.5</v>
      </c>
      <c r="G58" s="33">
        <f>260+59</f>
        <v>319</v>
      </c>
      <c r="H58" s="35">
        <v>4210.0</v>
      </c>
      <c r="I58" s="880">
        <v>440.0</v>
      </c>
      <c r="J58" s="30">
        <v>12670.0</v>
      </c>
      <c r="K58" s="114">
        <f t="shared" si="1"/>
        <v>1685</v>
      </c>
      <c r="L58" s="881">
        <f t="shared" si="2"/>
        <v>12670</v>
      </c>
      <c r="M58" s="33">
        <f t="shared" si="6"/>
        <v>1028.5</v>
      </c>
      <c r="N58" s="40">
        <f t="shared" si="7"/>
        <v>22000.201</v>
      </c>
      <c r="O58" s="35">
        <f>PAGOSFEB20!B295</f>
        <v>13170.35</v>
      </c>
      <c r="P58" s="33">
        <f t="shared" si="3"/>
        <v>8829.851</v>
      </c>
      <c r="Q58" s="33">
        <f t="shared" si="4"/>
        <v>21499.851</v>
      </c>
      <c r="R58" s="882"/>
      <c r="S58" s="35">
        <f t="shared" si="5"/>
        <v>21499.851</v>
      </c>
      <c r="T58" s="33"/>
      <c r="U58" s="36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>
      <c r="A59" s="38" t="s">
        <v>24</v>
      </c>
      <c r="B59" s="41">
        <v>43888.0</v>
      </c>
      <c r="C59" s="22">
        <v>71634.0</v>
      </c>
      <c r="D59" s="24">
        <v>1710.0</v>
      </c>
      <c r="E59" s="25">
        <v>0.0</v>
      </c>
      <c r="F59" s="35">
        <v>44860.0</v>
      </c>
      <c r="G59" s="33">
        <f>290+240+380</f>
        <v>910</v>
      </c>
      <c r="H59" s="35">
        <v>4128.0</v>
      </c>
      <c r="I59" s="884">
        <f>225+355</f>
        <v>580</v>
      </c>
      <c r="J59" s="30">
        <v>19624.0</v>
      </c>
      <c r="K59" s="114">
        <f t="shared" si="1"/>
        <v>1710</v>
      </c>
      <c r="L59" s="881">
        <f t="shared" si="2"/>
        <v>19624</v>
      </c>
      <c r="M59" s="33">
        <f t="shared" si="6"/>
        <v>178</v>
      </c>
      <c r="N59" s="40">
        <f t="shared" si="7"/>
        <v>21499.851</v>
      </c>
      <c r="O59" s="35">
        <f>PAGOSFEB20!B310</f>
        <v>14123.71</v>
      </c>
      <c r="P59" s="33">
        <f t="shared" si="3"/>
        <v>7376.141</v>
      </c>
      <c r="Q59" s="33">
        <f t="shared" si="4"/>
        <v>27000.141</v>
      </c>
      <c r="R59" s="882"/>
      <c r="S59" s="35">
        <f t="shared" si="5"/>
        <v>27000.141</v>
      </c>
      <c r="T59" s="33"/>
      <c r="U59" s="36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>
      <c r="A60" s="38" t="s">
        <v>25</v>
      </c>
      <c r="B60" s="41">
        <v>43889.0</v>
      </c>
      <c r="C60" s="22">
        <v>50261.0</v>
      </c>
      <c r="D60" s="24">
        <v>2425.0</v>
      </c>
      <c r="E60" s="25">
        <v>0.0</v>
      </c>
      <c r="F60" s="35">
        <v>31615.0</v>
      </c>
      <c r="G60" s="33">
        <f>180+365+265+290+520</f>
        <v>1620</v>
      </c>
      <c r="H60" s="35">
        <v>4710.0</v>
      </c>
      <c r="I60" s="880">
        <v>880.0</v>
      </c>
      <c r="J60" s="30">
        <v>9919.0</v>
      </c>
      <c r="K60" s="114">
        <f t="shared" si="1"/>
        <v>2425</v>
      </c>
      <c r="L60" s="881">
        <f t="shared" si="2"/>
        <v>9919</v>
      </c>
      <c r="M60" s="33">
        <f t="shared" si="6"/>
        <v>908</v>
      </c>
      <c r="N60" s="40">
        <f t="shared" si="7"/>
        <v>27000.141</v>
      </c>
      <c r="O60" s="35">
        <f>PAGOSFEB20!B326</f>
        <v>42919.51</v>
      </c>
      <c r="P60" s="33">
        <f t="shared" si="3"/>
        <v>-15919.369</v>
      </c>
      <c r="Q60" s="33">
        <f t="shared" si="4"/>
        <v>-6000.369</v>
      </c>
      <c r="R60" s="882">
        <v>35000.0</v>
      </c>
      <c r="S60" s="35">
        <f t="shared" si="5"/>
        <v>28999.631</v>
      </c>
      <c r="T60" s="33"/>
      <c r="U60" s="36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>
      <c r="A61" s="38" t="s">
        <v>33</v>
      </c>
      <c r="B61" s="41">
        <v>43890.0</v>
      </c>
      <c r="C61" s="22">
        <v>22587.0</v>
      </c>
      <c r="D61" s="24">
        <f>800+100+320</f>
        <v>1220</v>
      </c>
      <c r="E61" s="25">
        <v>0.0</v>
      </c>
      <c r="F61" s="35">
        <f>620+290+535+2030+1410+845+600+700</f>
        <v>7030</v>
      </c>
      <c r="G61" s="33">
        <f>530</f>
        <v>530</v>
      </c>
      <c r="H61" s="35">
        <v>2595.0</v>
      </c>
      <c r="I61" s="880">
        <v>0.0</v>
      </c>
      <c r="J61" s="30">
        <v>11947.0</v>
      </c>
      <c r="K61" s="114">
        <f t="shared" si="1"/>
        <v>1220</v>
      </c>
      <c r="L61" s="881">
        <f t="shared" si="2"/>
        <v>11947</v>
      </c>
      <c r="M61" s="33">
        <f t="shared" si="6"/>
        <v>735</v>
      </c>
      <c r="N61" s="40">
        <f t="shared" si="7"/>
        <v>28999.631</v>
      </c>
      <c r="O61" s="35">
        <f>PAGOSFEB20!B341</f>
        <v>24946.8</v>
      </c>
      <c r="P61" s="33">
        <f t="shared" si="3"/>
        <v>4052.831</v>
      </c>
      <c r="Q61" s="33">
        <f t="shared" si="4"/>
        <v>15999.831</v>
      </c>
      <c r="R61" s="882"/>
      <c r="S61" s="35">
        <f t="shared" si="5"/>
        <v>15999.831</v>
      </c>
      <c r="T61" s="33"/>
      <c r="U61" s="36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>
      <c r="A62" s="897" t="s">
        <v>27</v>
      </c>
      <c r="B62" s="898">
        <v>43891.0</v>
      </c>
      <c r="C62" s="899">
        <v>0.0</v>
      </c>
      <c r="D62" s="899">
        <v>0.0</v>
      </c>
      <c r="E62" s="899">
        <v>0.0</v>
      </c>
      <c r="F62" s="899">
        <v>0.0</v>
      </c>
      <c r="G62" s="900"/>
      <c r="H62" s="900"/>
      <c r="I62" s="900"/>
      <c r="J62" s="899">
        <v>0.0</v>
      </c>
      <c r="K62" s="900">
        <f t="shared" si="1"/>
        <v>0</v>
      </c>
      <c r="L62" s="900">
        <f t="shared" si="2"/>
        <v>0</v>
      </c>
      <c r="M62" s="900">
        <f t="shared" si="6"/>
        <v>0</v>
      </c>
      <c r="N62" s="901">
        <f t="shared" si="7"/>
        <v>15999.831</v>
      </c>
      <c r="O62" s="899" t="str">
        <f>'PAGOS DIC19'!B515</f>
        <v/>
      </c>
      <c r="P62" s="900">
        <f t="shared" si="3"/>
        <v>15999.831</v>
      </c>
      <c r="Q62" s="900">
        <f t="shared" si="4"/>
        <v>15999.831</v>
      </c>
      <c r="R62" s="899"/>
      <c r="S62" s="899">
        <f t="shared" si="5"/>
        <v>15999.831</v>
      </c>
      <c r="T62" s="33"/>
      <c r="U62" s="36"/>
      <c r="V62" s="900"/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</row>
    <row r="63">
      <c r="A63" s="38" t="s">
        <v>21</v>
      </c>
      <c r="B63" s="41">
        <v>43892.0</v>
      </c>
      <c r="C63" s="22">
        <v>50793.0</v>
      </c>
      <c r="D63" s="24">
        <f>1000+110+365</f>
        <v>1475</v>
      </c>
      <c r="E63" s="25">
        <v>300.0</v>
      </c>
      <c r="F63" s="35">
        <f>12725+3355+930+725+880+8685+2100+1200</f>
        <v>30600</v>
      </c>
      <c r="G63" s="33">
        <f>324+1019</f>
        <v>1343</v>
      </c>
      <c r="H63" s="35">
        <v>3735.0</v>
      </c>
      <c r="I63" s="35">
        <v>995.0</v>
      </c>
      <c r="J63" s="30">
        <v>12556.0</v>
      </c>
      <c r="K63" s="114">
        <f t="shared" si="1"/>
        <v>1775</v>
      </c>
      <c r="L63" s="881">
        <f t="shared" si="2"/>
        <v>12556</v>
      </c>
      <c r="M63" s="33">
        <f t="shared" si="6"/>
        <v>211</v>
      </c>
      <c r="N63" s="40">
        <f t="shared" si="7"/>
        <v>15999.831</v>
      </c>
      <c r="O63" s="35">
        <f>PAGOSMAR20!B18</f>
        <v>10555.85</v>
      </c>
      <c r="P63" s="33">
        <f t="shared" si="3"/>
        <v>5443.981</v>
      </c>
      <c r="Q63" s="33">
        <f t="shared" si="4"/>
        <v>17999.981</v>
      </c>
      <c r="R63" s="882"/>
      <c r="S63" s="35">
        <f t="shared" si="5"/>
        <v>17999.981</v>
      </c>
      <c r="T63" s="33"/>
      <c r="U63" s="36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>
      <c r="A64" s="38" t="s">
        <v>22</v>
      </c>
      <c r="B64" s="41">
        <v>43893.0</v>
      </c>
      <c r="C64" s="22">
        <v>53139.0</v>
      </c>
      <c r="D64" s="24">
        <f>300+50+1400+120+300</f>
        <v>2170</v>
      </c>
      <c r="E64" s="25">
        <v>0.0</v>
      </c>
      <c r="F64" s="35">
        <f>12000+1980+220+470+11605+2795+1205</f>
        <v>30275</v>
      </c>
      <c r="G64" s="33">
        <f>334+319+699</f>
        <v>1352</v>
      </c>
      <c r="H64" s="35">
        <v>4260.0</v>
      </c>
      <c r="I64" s="33">
        <f>1010+460</f>
        <v>1470</v>
      </c>
      <c r="J64" s="30">
        <v>14893.0</v>
      </c>
      <c r="K64" s="114">
        <f t="shared" si="1"/>
        <v>2170</v>
      </c>
      <c r="L64" s="881">
        <f t="shared" si="2"/>
        <v>14893</v>
      </c>
      <c r="M64" s="33">
        <f t="shared" si="6"/>
        <v>1281</v>
      </c>
      <c r="N64" s="40">
        <f t="shared" si="7"/>
        <v>17999.981</v>
      </c>
      <c r="O64" s="35">
        <f>PAGOSMAR20!B33</f>
        <v>13892.78</v>
      </c>
      <c r="P64" s="33">
        <f t="shared" si="3"/>
        <v>4107.201</v>
      </c>
      <c r="Q64" s="33">
        <f t="shared" si="4"/>
        <v>19000.201</v>
      </c>
      <c r="R64" s="882"/>
      <c r="S64" s="35">
        <f t="shared" si="5"/>
        <v>19000.201</v>
      </c>
      <c r="T64" s="33"/>
      <c r="U64" s="36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>
      <c r="A65" s="38" t="s">
        <v>32</v>
      </c>
      <c r="B65" s="41">
        <v>43894.0</v>
      </c>
      <c r="C65" s="22">
        <v>57906.0</v>
      </c>
      <c r="D65" s="24">
        <f>600+100+140+320+75+60+60</f>
        <v>1355</v>
      </c>
      <c r="E65" s="25">
        <v>0.0</v>
      </c>
      <c r="F65" s="35">
        <f>20035+3500+620+2195+10065+2065+165</f>
        <v>38645</v>
      </c>
      <c r="G65" s="35">
        <v>0.0</v>
      </c>
      <c r="H65" s="35">
        <v>4180.0</v>
      </c>
      <c r="I65" s="33">
        <f>775+230+460</f>
        <v>1465</v>
      </c>
      <c r="J65" s="30">
        <v>13999.0</v>
      </c>
      <c r="K65" s="114">
        <f t="shared" si="1"/>
        <v>1355</v>
      </c>
      <c r="L65" s="881">
        <f t="shared" si="2"/>
        <v>13999</v>
      </c>
      <c r="M65" s="33">
        <f t="shared" si="6"/>
        <v>1738</v>
      </c>
      <c r="N65" s="40">
        <f t="shared" si="7"/>
        <v>19000.201</v>
      </c>
      <c r="O65" s="35">
        <f>PAGOSMAR20!B48</f>
        <v>10999.44</v>
      </c>
      <c r="P65" s="33">
        <f t="shared" si="3"/>
        <v>8000.761</v>
      </c>
      <c r="Q65" s="33">
        <f t="shared" si="4"/>
        <v>21999.761</v>
      </c>
      <c r="R65" s="882"/>
      <c r="S65" s="35">
        <f t="shared" si="5"/>
        <v>21999.761</v>
      </c>
      <c r="T65" s="33"/>
      <c r="U65" s="36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>
      <c r="A66" s="38" t="s">
        <v>24</v>
      </c>
      <c r="B66" s="41">
        <v>43895.0</v>
      </c>
      <c r="C66" s="22">
        <v>59630.0</v>
      </c>
      <c r="D66" s="24">
        <v>1050.0</v>
      </c>
      <c r="E66" s="25">
        <v>400.0</v>
      </c>
      <c r="F66" s="35">
        <f>43264</f>
        <v>43264</v>
      </c>
      <c r="G66" s="35">
        <v>0.0</v>
      </c>
      <c r="H66" s="35">
        <v>3780.0</v>
      </c>
      <c r="I66" s="35">
        <f>480+115+230</f>
        <v>825</v>
      </c>
      <c r="J66" s="30">
        <f>10261+1200</f>
        <v>11461</v>
      </c>
      <c r="K66" s="114">
        <f t="shared" si="1"/>
        <v>1450</v>
      </c>
      <c r="L66" s="881">
        <f t="shared" si="2"/>
        <v>11461</v>
      </c>
      <c r="M66" s="33">
        <f t="shared" si="6"/>
        <v>1150</v>
      </c>
      <c r="N66" s="40">
        <f t="shared" si="7"/>
        <v>21999.761</v>
      </c>
      <c r="O66" s="35">
        <f>PAGOSMAR20!B63</f>
        <v>26460.46</v>
      </c>
      <c r="P66" s="33">
        <f t="shared" si="3"/>
        <v>-4460.699</v>
      </c>
      <c r="Q66" s="33">
        <f t="shared" si="4"/>
        <v>7000.301</v>
      </c>
      <c r="R66" s="882">
        <v>6000.0</v>
      </c>
      <c r="S66" s="35">
        <f t="shared" si="5"/>
        <v>13000.301</v>
      </c>
      <c r="T66" s="33"/>
      <c r="U66" s="36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>
      <c r="A67" s="38" t="s">
        <v>25</v>
      </c>
      <c r="B67" s="41">
        <v>43896.0</v>
      </c>
      <c r="C67" s="22">
        <v>48595.0</v>
      </c>
      <c r="D67" s="24">
        <v>1040.0</v>
      </c>
      <c r="E67" s="25">
        <v>0.0</v>
      </c>
      <c r="F67" s="168">
        <v>16310.0</v>
      </c>
      <c r="G67" s="33">
        <f>349+300</f>
        <v>649</v>
      </c>
      <c r="H67" s="35">
        <v>3563.0</v>
      </c>
      <c r="I67" s="33">
        <f>295+210+225+230+575</f>
        <v>1535</v>
      </c>
      <c r="J67" s="30">
        <v>17383.0</v>
      </c>
      <c r="K67" s="114">
        <f t="shared" si="1"/>
        <v>1040</v>
      </c>
      <c r="L67" s="881">
        <f t="shared" si="2"/>
        <v>17383</v>
      </c>
      <c r="M67" s="33">
        <f t="shared" si="6"/>
        <v>-8115</v>
      </c>
      <c r="N67" s="40">
        <f t="shared" si="7"/>
        <v>13000.301</v>
      </c>
      <c r="O67" s="35">
        <f>PAGOSMAR20!B84</f>
        <v>98383.68</v>
      </c>
      <c r="P67" s="33">
        <f t="shared" si="3"/>
        <v>-85383.379</v>
      </c>
      <c r="Q67" s="33">
        <f t="shared" si="4"/>
        <v>-68000.379</v>
      </c>
      <c r="R67" s="882">
        <f>36000+14000+30000</f>
        <v>80000</v>
      </c>
      <c r="S67" s="35">
        <f t="shared" si="5"/>
        <v>11999.621</v>
      </c>
      <c r="T67" s="33"/>
      <c r="U67" s="36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>
      <c r="A68" s="38" t="s">
        <v>33</v>
      </c>
      <c r="B68" s="41">
        <v>43897.0</v>
      </c>
      <c r="C68" s="22">
        <v>16221.0</v>
      </c>
      <c r="D68" s="24">
        <f>900+200+100+500</f>
        <v>1700</v>
      </c>
      <c r="E68" s="25">
        <v>0.0</v>
      </c>
      <c r="F68" s="35">
        <f>820+4210+600</f>
        <v>5630</v>
      </c>
      <c r="G68" s="35">
        <v>729.0</v>
      </c>
      <c r="H68" s="35">
        <v>1856.0</v>
      </c>
      <c r="I68" s="35">
        <v>0.0</v>
      </c>
      <c r="J68" s="30">
        <v>6864.0</v>
      </c>
      <c r="K68" s="114">
        <f t="shared" si="1"/>
        <v>1700</v>
      </c>
      <c r="L68" s="881">
        <f t="shared" si="2"/>
        <v>6864</v>
      </c>
      <c r="M68" s="33">
        <f t="shared" si="6"/>
        <v>558</v>
      </c>
      <c r="N68" s="40">
        <f t="shared" si="7"/>
        <v>11999.621</v>
      </c>
      <c r="O68" s="35">
        <f>PAGOSMAR20!B99</f>
        <v>2863.68</v>
      </c>
      <c r="P68" s="33">
        <f t="shared" si="3"/>
        <v>9135.941</v>
      </c>
      <c r="Q68" s="33">
        <f t="shared" si="4"/>
        <v>15999.941</v>
      </c>
      <c r="R68" s="882"/>
      <c r="S68" s="35">
        <f t="shared" si="5"/>
        <v>15999.941</v>
      </c>
      <c r="T68" s="33"/>
      <c r="U68" s="36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>
      <c r="A69" s="105" t="s">
        <v>27</v>
      </c>
      <c r="B69" s="43">
        <v>43898.0</v>
      </c>
      <c r="C69" s="110">
        <v>0.0</v>
      </c>
      <c r="D69" s="110">
        <v>0.0</v>
      </c>
      <c r="E69" s="110">
        <v>0.0</v>
      </c>
      <c r="F69" s="110">
        <v>0.0</v>
      </c>
      <c r="G69" s="108"/>
      <c r="H69" s="108"/>
      <c r="I69" s="108"/>
      <c r="J69" s="110">
        <v>0.0</v>
      </c>
      <c r="K69" s="108">
        <f t="shared" si="1"/>
        <v>0</v>
      </c>
      <c r="L69" s="108">
        <f t="shared" si="2"/>
        <v>0</v>
      </c>
      <c r="M69" s="108">
        <f t="shared" si="6"/>
        <v>0</v>
      </c>
      <c r="N69" s="109">
        <f t="shared" si="7"/>
        <v>15999.941</v>
      </c>
      <c r="O69" s="110" t="str">
        <f>'PAGOS DIC19'!B522</f>
        <v/>
      </c>
      <c r="P69" s="108">
        <f t="shared" si="3"/>
        <v>15999.941</v>
      </c>
      <c r="Q69" s="108">
        <f t="shared" si="4"/>
        <v>15999.941</v>
      </c>
      <c r="R69" s="110"/>
      <c r="S69" s="110">
        <f t="shared" si="5"/>
        <v>15999.941</v>
      </c>
      <c r="T69" s="33"/>
      <c r="U69" s="36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38" t="s">
        <v>21</v>
      </c>
      <c r="B70" s="41">
        <v>43899.0</v>
      </c>
      <c r="C70" s="22">
        <v>61230.0</v>
      </c>
      <c r="D70" s="24">
        <f>400+150+400+300+725</f>
        <v>1975</v>
      </c>
      <c r="E70" s="25">
        <v>0.0</v>
      </c>
      <c r="F70" s="35">
        <f>1590+435+15785+1740+540+11810+2130+415+245+490</f>
        <v>35180</v>
      </c>
      <c r="G70" s="33">
        <f>529</f>
        <v>529</v>
      </c>
      <c r="H70" s="35">
        <v>6278.0</v>
      </c>
      <c r="I70" s="35">
        <v>800.0</v>
      </c>
      <c r="J70" s="30">
        <v>16485.0</v>
      </c>
      <c r="K70" s="114">
        <f t="shared" si="1"/>
        <v>1975</v>
      </c>
      <c r="L70" s="881">
        <f t="shared" si="2"/>
        <v>16485</v>
      </c>
      <c r="M70" s="33">
        <f t="shared" si="6"/>
        <v>17</v>
      </c>
      <c r="N70" s="40">
        <f t="shared" si="7"/>
        <v>15999.941</v>
      </c>
      <c r="O70" s="35">
        <f>PAGOSMAR20!B116</f>
        <v>13485</v>
      </c>
      <c r="P70" s="33">
        <f t="shared" si="3"/>
        <v>2514.941</v>
      </c>
      <c r="Q70" s="33">
        <f t="shared" si="4"/>
        <v>18999.941</v>
      </c>
      <c r="R70" s="882"/>
      <c r="S70" s="35">
        <f t="shared" si="5"/>
        <v>18999.941</v>
      </c>
      <c r="T70" s="33"/>
      <c r="U70" s="36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>
      <c r="A71" s="38" t="s">
        <v>22</v>
      </c>
      <c r="B71" s="41">
        <v>43900.0</v>
      </c>
      <c r="C71" s="22">
        <v>64685.0</v>
      </c>
      <c r="D71" s="24">
        <v>1040.0</v>
      </c>
      <c r="E71" s="25">
        <v>0.0</v>
      </c>
      <c r="F71" s="35">
        <v>44750.0</v>
      </c>
      <c r="G71" s="33">
        <f>839+679</f>
        <v>1518</v>
      </c>
      <c r="H71" s="35">
        <v>5920.0</v>
      </c>
      <c r="I71" s="35">
        <v>0.0</v>
      </c>
      <c r="J71" s="30">
        <v>12395.0</v>
      </c>
      <c r="K71" s="114">
        <f t="shared" si="1"/>
        <v>1040</v>
      </c>
      <c r="L71" s="881">
        <f t="shared" si="2"/>
        <v>12395</v>
      </c>
      <c r="M71" s="33">
        <f t="shared" si="6"/>
        <v>938</v>
      </c>
      <c r="N71" s="40">
        <f t="shared" si="7"/>
        <v>18999.941</v>
      </c>
      <c r="O71" s="35">
        <f>PAGOSMAR20!B131</f>
        <v>7395</v>
      </c>
      <c r="P71" s="33">
        <f t="shared" si="3"/>
        <v>11604.941</v>
      </c>
      <c r="Q71" s="33">
        <f t="shared" si="4"/>
        <v>23999.941</v>
      </c>
      <c r="R71" s="882"/>
      <c r="S71" s="35">
        <f t="shared" si="5"/>
        <v>23999.941</v>
      </c>
      <c r="T71" s="33"/>
      <c r="U71" s="36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>
      <c r="A72" s="38" t="s">
        <v>32</v>
      </c>
      <c r="B72" s="41">
        <v>43901.0</v>
      </c>
      <c r="C72" s="22">
        <v>52511.0</v>
      </c>
      <c r="D72" s="24">
        <v>980.0</v>
      </c>
      <c r="E72" s="25">
        <v>0.0</v>
      </c>
      <c r="F72" s="35">
        <v>30185.0</v>
      </c>
      <c r="G72" s="35">
        <v>0.0</v>
      </c>
      <c r="H72" s="35">
        <v>4355.0</v>
      </c>
      <c r="I72" s="35">
        <v>0.0</v>
      </c>
      <c r="J72" s="30">
        <v>15356.0</v>
      </c>
      <c r="K72" s="114">
        <f t="shared" si="1"/>
        <v>980</v>
      </c>
      <c r="L72" s="881">
        <f t="shared" si="2"/>
        <v>15356</v>
      </c>
      <c r="M72" s="33">
        <f t="shared" si="6"/>
        <v>-1635</v>
      </c>
      <c r="N72" s="40">
        <f t="shared" si="7"/>
        <v>23999.941</v>
      </c>
      <c r="O72" s="35">
        <f>PAGOSMAR20!B146</f>
        <v>17355.7</v>
      </c>
      <c r="P72" s="33">
        <f t="shared" si="3"/>
        <v>6644.241</v>
      </c>
      <c r="Q72" s="33">
        <f t="shared" si="4"/>
        <v>22000.241</v>
      </c>
      <c r="R72" s="882"/>
      <c r="S72" s="35">
        <f t="shared" si="5"/>
        <v>22000.241</v>
      </c>
      <c r="T72" s="33"/>
      <c r="U72" s="36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>
      <c r="A73" s="38" t="s">
        <v>24</v>
      </c>
      <c r="B73" s="41">
        <v>43902.0</v>
      </c>
      <c r="C73" s="22">
        <v>63657.0</v>
      </c>
      <c r="D73" s="24">
        <v>1600.0</v>
      </c>
      <c r="E73" s="25">
        <v>300.0</v>
      </c>
      <c r="F73" s="35">
        <v>41075.0</v>
      </c>
      <c r="G73" s="33">
        <f>200</f>
        <v>200</v>
      </c>
      <c r="H73" s="35">
        <v>6911.0</v>
      </c>
      <c r="I73" s="35">
        <v>555.0</v>
      </c>
      <c r="J73" s="30">
        <v>15621.0</v>
      </c>
      <c r="K73" s="114">
        <f t="shared" si="1"/>
        <v>1900</v>
      </c>
      <c r="L73" s="881">
        <f t="shared" si="2"/>
        <v>15621</v>
      </c>
      <c r="M73" s="33">
        <f t="shared" si="6"/>
        <v>2605</v>
      </c>
      <c r="N73" s="40">
        <f t="shared" si="7"/>
        <v>22000.241</v>
      </c>
      <c r="O73" s="35">
        <f>PAGOSMAR20!B163</f>
        <v>25621</v>
      </c>
      <c r="P73" s="33">
        <f t="shared" si="3"/>
        <v>-3620.759</v>
      </c>
      <c r="Q73" s="33">
        <f t="shared" si="4"/>
        <v>12000.241</v>
      </c>
      <c r="R73" s="882">
        <v>5000.0</v>
      </c>
      <c r="S73" s="35">
        <f t="shared" si="5"/>
        <v>17000.241</v>
      </c>
      <c r="T73" s="33"/>
      <c r="U73" s="36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>
      <c r="A74" s="38" t="s">
        <v>25</v>
      </c>
      <c r="B74" s="41">
        <v>43903.0</v>
      </c>
      <c r="C74" s="22">
        <v>52082.0</v>
      </c>
      <c r="D74" s="24">
        <v>1240.0</v>
      </c>
      <c r="E74" s="25">
        <v>0.0</v>
      </c>
      <c r="F74" s="35">
        <v>30308.0</v>
      </c>
      <c r="G74" s="35">
        <v>0.0</v>
      </c>
      <c r="H74" s="33"/>
      <c r="I74" s="35">
        <v>0.0</v>
      </c>
      <c r="J74" s="30">
        <v>12115.0</v>
      </c>
      <c r="K74" s="114">
        <f t="shared" si="1"/>
        <v>1240</v>
      </c>
      <c r="L74" s="881">
        <f t="shared" si="2"/>
        <v>12115</v>
      </c>
      <c r="M74" s="33">
        <f t="shared" si="6"/>
        <v>-8419</v>
      </c>
      <c r="N74" s="40">
        <f t="shared" si="7"/>
        <v>17000.241</v>
      </c>
      <c r="O74" s="35">
        <f>PAGOSMAR20!B181</f>
        <v>65115.18</v>
      </c>
      <c r="P74" s="33">
        <f t="shared" si="3"/>
        <v>-48114.939</v>
      </c>
      <c r="Q74" s="33">
        <f t="shared" si="4"/>
        <v>-35999.939</v>
      </c>
      <c r="R74" s="882">
        <v>52000.0</v>
      </c>
      <c r="S74" s="35">
        <f t="shared" si="5"/>
        <v>16000.061</v>
      </c>
      <c r="T74" s="33"/>
      <c r="U74" s="36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>
      <c r="A75" s="38" t="s">
        <v>33</v>
      </c>
      <c r="B75" s="41">
        <v>43904.0</v>
      </c>
      <c r="C75" s="22">
        <v>18150.0</v>
      </c>
      <c r="D75" s="24">
        <f>800+1100+350+310+200</f>
        <v>2760</v>
      </c>
      <c r="E75" s="25">
        <v>0.0</v>
      </c>
      <c r="F75" s="35">
        <f>450+310+220+2220+550+1175+1010</f>
        <v>5935</v>
      </c>
      <c r="G75" s="35">
        <v>499.0</v>
      </c>
      <c r="H75" s="35">
        <v>3730.0</v>
      </c>
      <c r="I75" s="35">
        <v>0.0</v>
      </c>
      <c r="J75" s="30">
        <v>5531.0</v>
      </c>
      <c r="K75" s="114">
        <f t="shared" si="1"/>
        <v>2760</v>
      </c>
      <c r="L75" s="881">
        <f t="shared" si="2"/>
        <v>5531</v>
      </c>
      <c r="M75" s="33">
        <f t="shared" si="6"/>
        <v>305</v>
      </c>
      <c r="N75" s="40">
        <f t="shared" si="7"/>
        <v>16000.061</v>
      </c>
      <c r="O75" s="35">
        <f>PAGOSMAR20!B196</f>
        <v>4531.18</v>
      </c>
      <c r="P75" s="33">
        <f t="shared" si="3"/>
        <v>11468.881</v>
      </c>
      <c r="Q75" s="33">
        <f t="shared" si="4"/>
        <v>16999.881</v>
      </c>
      <c r="R75" s="882"/>
      <c r="S75" s="35">
        <f t="shared" si="5"/>
        <v>16999.881</v>
      </c>
      <c r="T75" s="33"/>
      <c r="U75" s="36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>
      <c r="A76" s="105" t="s">
        <v>27</v>
      </c>
      <c r="B76" s="43">
        <v>43905.0</v>
      </c>
      <c r="C76" s="110">
        <v>0.0</v>
      </c>
      <c r="D76" s="110">
        <v>0.0</v>
      </c>
      <c r="E76" s="110">
        <v>0.0</v>
      </c>
      <c r="F76" s="110">
        <v>0.0</v>
      </c>
      <c r="G76" s="108"/>
      <c r="H76" s="108"/>
      <c r="I76" s="108"/>
      <c r="J76" s="110">
        <v>0.0</v>
      </c>
      <c r="K76" s="108">
        <f t="shared" si="1"/>
        <v>0</v>
      </c>
      <c r="L76" s="108">
        <f t="shared" si="2"/>
        <v>0</v>
      </c>
      <c r="M76" s="108">
        <f t="shared" si="6"/>
        <v>0</v>
      </c>
      <c r="N76" s="109">
        <f t="shared" si="7"/>
        <v>16999.881</v>
      </c>
      <c r="O76" s="110"/>
      <c r="P76" s="108">
        <f t="shared" si="3"/>
        <v>16999.881</v>
      </c>
      <c r="Q76" s="108">
        <f t="shared" si="4"/>
        <v>16999.881</v>
      </c>
      <c r="R76" s="110"/>
      <c r="S76" s="110">
        <f t="shared" si="5"/>
        <v>16999.881</v>
      </c>
      <c r="T76" s="33"/>
      <c r="U76" s="36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99" t="s">
        <v>21</v>
      </c>
      <c r="B77" s="100">
        <v>43906.0</v>
      </c>
      <c r="C77" s="22">
        <v>24004.0</v>
      </c>
      <c r="D77" s="24">
        <f>1300+350+120+430+100</f>
        <v>2300</v>
      </c>
      <c r="E77" s="25">
        <v>500.0</v>
      </c>
      <c r="F77" s="101">
        <f>505+1765+1425+1020+2230+4395</f>
        <v>11340</v>
      </c>
      <c r="G77" s="101">
        <v>0.0</v>
      </c>
      <c r="H77" s="101">
        <v>1440.0</v>
      </c>
      <c r="I77" s="101">
        <v>0.0</v>
      </c>
      <c r="J77" s="30">
        <v>11925.0</v>
      </c>
      <c r="K77" s="114">
        <f t="shared" si="1"/>
        <v>2800</v>
      </c>
      <c r="L77" s="114">
        <f t="shared" si="2"/>
        <v>11925</v>
      </c>
      <c r="M77" s="114">
        <f t="shared" si="6"/>
        <v>3501</v>
      </c>
      <c r="N77" s="902">
        <f t="shared" si="7"/>
        <v>16999.881</v>
      </c>
      <c r="O77" s="101">
        <f>PAGOSMAR20!B213</f>
        <v>12924.7</v>
      </c>
      <c r="P77" s="114">
        <f t="shared" si="3"/>
        <v>4075.181</v>
      </c>
      <c r="Q77" s="114">
        <f t="shared" si="4"/>
        <v>16000.181</v>
      </c>
      <c r="R77" s="882"/>
      <c r="S77" s="101">
        <f t="shared" si="5"/>
        <v>16000.181</v>
      </c>
      <c r="T77" s="33"/>
      <c r="U77" s="36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</row>
    <row r="78">
      <c r="A78" s="99" t="s">
        <v>22</v>
      </c>
      <c r="B78" s="100">
        <v>43907.0</v>
      </c>
      <c r="C78" s="22">
        <v>9917.0</v>
      </c>
      <c r="D78" s="24">
        <f>500+150+440</f>
        <v>1090</v>
      </c>
      <c r="E78" s="25">
        <v>500.0</v>
      </c>
      <c r="F78" s="101">
        <f>1090+230+130+420</f>
        <v>1870</v>
      </c>
      <c r="G78" s="101">
        <v>349.0</v>
      </c>
      <c r="H78" s="101">
        <v>1725.0</v>
      </c>
      <c r="I78" s="101">
        <v>0.0</v>
      </c>
      <c r="J78" s="30">
        <v>6605.0</v>
      </c>
      <c r="K78" s="114">
        <f t="shared" si="1"/>
        <v>1590</v>
      </c>
      <c r="L78" s="114">
        <f t="shared" si="2"/>
        <v>6605</v>
      </c>
      <c r="M78" s="114">
        <f t="shared" si="6"/>
        <v>2222</v>
      </c>
      <c r="N78" s="902">
        <f t="shared" si="7"/>
        <v>16000.181</v>
      </c>
      <c r="O78" s="101">
        <f>PAGOSMAR20!B228</f>
        <v>12605.21</v>
      </c>
      <c r="P78" s="114">
        <f t="shared" si="3"/>
        <v>3394.971</v>
      </c>
      <c r="Q78" s="114">
        <f t="shared" si="4"/>
        <v>9999.971</v>
      </c>
      <c r="R78" s="882"/>
      <c r="S78" s="101">
        <f t="shared" si="5"/>
        <v>9999.971</v>
      </c>
      <c r="T78" s="33"/>
      <c r="U78" s="36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</row>
    <row r="79">
      <c r="A79" s="99" t="s">
        <v>32</v>
      </c>
      <c r="B79" s="100">
        <v>43908.0</v>
      </c>
      <c r="C79" s="22">
        <v>8645.0</v>
      </c>
      <c r="D79" s="24">
        <v>1710.0</v>
      </c>
      <c r="E79" s="25">
        <v>0.0</v>
      </c>
      <c r="F79" s="101">
        <v>1565.0</v>
      </c>
      <c r="G79" s="101">
        <v>0.0</v>
      </c>
      <c r="H79" s="101">
        <v>875.0</v>
      </c>
      <c r="I79" s="101">
        <v>0.0</v>
      </c>
      <c r="J79" s="30">
        <v>5000.0</v>
      </c>
      <c r="K79" s="114">
        <f t="shared" si="1"/>
        <v>1710</v>
      </c>
      <c r="L79" s="114">
        <f t="shared" si="2"/>
        <v>5000</v>
      </c>
      <c r="M79" s="114">
        <f t="shared" si="6"/>
        <v>505</v>
      </c>
      <c r="N79" s="902">
        <f t="shared" si="7"/>
        <v>9999.971</v>
      </c>
      <c r="O79" s="101">
        <f>PAGOSMAR20!B230</f>
        <v>0</v>
      </c>
      <c r="P79" s="114">
        <f t="shared" si="3"/>
        <v>9999.971</v>
      </c>
      <c r="Q79" s="114">
        <f t="shared" si="4"/>
        <v>14999.971</v>
      </c>
      <c r="R79" s="882"/>
      <c r="S79" s="101">
        <f t="shared" si="5"/>
        <v>14999.971</v>
      </c>
      <c r="T79" s="33"/>
      <c r="U79" s="36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</row>
    <row r="80">
      <c r="A80" s="99" t="s">
        <v>24</v>
      </c>
      <c r="B80" s="100">
        <v>43909.0</v>
      </c>
      <c r="C80" s="22">
        <v>9404.0</v>
      </c>
      <c r="D80" s="24">
        <v>1930.0</v>
      </c>
      <c r="E80" s="25">
        <v>0.0</v>
      </c>
      <c r="F80" s="101">
        <f>620+260+1010</f>
        <v>1890</v>
      </c>
      <c r="G80" s="101">
        <v>300.0</v>
      </c>
      <c r="H80" s="101">
        <v>1420.0</v>
      </c>
      <c r="I80" s="101">
        <v>0.0</v>
      </c>
      <c r="J80" s="30">
        <v>6305.0</v>
      </c>
      <c r="K80" s="114">
        <f t="shared" si="1"/>
        <v>1930</v>
      </c>
      <c r="L80" s="114">
        <f t="shared" si="2"/>
        <v>6305</v>
      </c>
      <c r="M80" s="114">
        <f t="shared" si="6"/>
        <v>2441</v>
      </c>
      <c r="N80" s="902">
        <f t="shared" si="7"/>
        <v>14999.971</v>
      </c>
      <c r="O80" s="101">
        <f>PAGOSMAR20!B245</f>
        <v>53304.7</v>
      </c>
      <c r="P80" s="114">
        <f t="shared" si="3"/>
        <v>-38304.729</v>
      </c>
      <c r="Q80" s="114">
        <f t="shared" si="4"/>
        <v>-31999.729</v>
      </c>
      <c r="R80" s="882">
        <v>50000.0</v>
      </c>
      <c r="S80" s="101">
        <f t="shared" si="5"/>
        <v>18000.271</v>
      </c>
      <c r="T80" s="33"/>
      <c r="U80" s="36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</row>
    <row r="81">
      <c r="A81" s="105" t="s">
        <v>25</v>
      </c>
      <c r="B81" s="43">
        <v>43910.0</v>
      </c>
      <c r="C81" s="110">
        <v>0.0</v>
      </c>
      <c r="D81" s="110">
        <v>0.0</v>
      </c>
      <c r="E81" s="110">
        <v>0.0</v>
      </c>
      <c r="F81" s="110">
        <v>0.0</v>
      </c>
      <c r="G81" s="108"/>
      <c r="H81" s="108"/>
      <c r="I81" s="108"/>
      <c r="J81" s="110">
        <v>-10000.0</v>
      </c>
      <c r="K81" s="108">
        <f t="shared" si="1"/>
        <v>0</v>
      </c>
      <c r="L81" s="108">
        <f t="shared" si="2"/>
        <v>-10000</v>
      </c>
      <c r="M81" s="108">
        <f t="shared" si="6"/>
        <v>-10000</v>
      </c>
      <c r="N81" s="109">
        <f t="shared" si="7"/>
        <v>18000.271</v>
      </c>
      <c r="O81" s="110">
        <f>PAGOSMAR20!B247</f>
        <v>0</v>
      </c>
      <c r="P81" s="108">
        <f t="shared" si="3"/>
        <v>18000.271</v>
      </c>
      <c r="Q81" s="108">
        <f t="shared" si="4"/>
        <v>8000.271</v>
      </c>
      <c r="R81" s="110"/>
      <c r="S81" s="110">
        <f t="shared" si="5"/>
        <v>8000.271</v>
      </c>
      <c r="T81" s="33"/>
      <c r="U81" s="36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5" t="s">
        <v>33</v>
      </c>
      <c r="B82" s="43">
        <v>43911.0</v>
      </c>
      <c r="C82" s="110">
        <v>0.0</v>
      </c>
      <c r="D82" s="110">
        <v>0.0</v>
      </c>
      <c r="E82" s="110">
        <v>0.0</v>
      </c>
      <c r="F82" s="110">
        <v>0.0</v>
      </c>
      <c r="G82" s="108"/>
      <c r="H82" s="108"/>
      <c r="I82" s="108"/>
      <c r="J82" s="110">
        <v>0.0</v>
      </c>
      <c r="K82" s="108">
        <f t="shared" si="1"/>
        <v>0</v>
      </c>
      <c r="L82" s="108">
        <f t="shared" si="2"/>
        <v>0</v>
      </c>
      <c r="M82" s="108">
        <f t="shared" si="6"/>
        <v>0</v>
      </c>
      <c r="N82" s="109">
        <f t="shared" si="7"/>
        <v>8000.271</v>
      </c>
      <c r="O82" s="110">
        <f>PAGOSMAR20!B249</f>
        <v>0</v>
      </c>
      <c r="P82" s="108">
        <f t="shared" si="3"/>
        <v>8000.271</v>
      </c>
      <c r="Q82" s="108">
        <f t="shared" si="4"/>
        <v>8000.271</v>
      </c>
      <c r="R82" s="110"/>
      <c r="S82" s="110">
        <f t="shared" si="5"/>
        <v>8000.271</v>
      </c>
      <c r="T82" s="33"/>
      <c r="U82" s="36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5" t="s">
        <v>27</v>
      </c>
      <c r="B83" s="43">
        <v>43912.0</v>
      </c>
      <c r="C83" s="110">
        <v>0.0</v>
      </c>
      <c r="D83" s="110">
        <v>0.0</v>
      </c>
      <c r="E83" s="110">
        <v>0.0</v>
      </c>
      <c r="F83" s="110">
        <v>0.0</v>
      </c>
      <c r="G83" s="108"/>
      <c r="H83" s="108"/>
      <c r="I83" s="108"/>
      <c r="J83" s="110">
        <v>0.0</v>
      </c>
      <c r="K83" s="108">
        <f t="shared" si="1"/>
        <v>0</v>
      </c>
      <c r="L83" s="108">
        <f t="shared" si="2"/>
        <v>0</v>
      </c>
      <c r="M83" s="108">
        <f t="shared" si="6"/>
        <v>0</v>
      </c>
      <c r="N83" s="109">
        <f t="shared" si="7"/>
        <v>8000.271</v>
      </c>
      <c r="O83" s="110" t="str">
        <f>'PAGOS DIC19'!B536</f>
        <v/>
      </c>
      <c r="P83" s="108">
        <f t="shared" si="3"/>
        <v>8000.271</v>
      </c>
      <c r="Q83" s="108">
        <f t="shared" si="4"/>
        <v>8000.271</v>
      </c>
      <c r="R83" s="110"/>
      <c r="S83" s="110">
        <f t="shared" si="5"/>
        <v>8000.271</v>
      </c>
      <c r="T83" s="33"/>
      <c r="U83" s="36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5" t="s">
        <v>21</v>
      </c>
      <c r="B84" s="43">
        <v>43913.0</v>
      </c>
      <c r="C84" s="110">
        <v>0.0</v>
      </c>
      <c r="D84" s="110">
        <v>0.0</v>
      </c>
      <c r="E84" s="110">
        <v>0.0</v>
      </c>
      <c r="F84" s="110">
        <v>0.0</v>
      </c>
      <c r="G84" s="108"/>
      <c r="H84" s="108"/>
      <c r="I84" s="108"/>
      <c r="J84" s="110">
        <v>0.0</v>
      </c>
      <c r="K84" s="108">
        <f t="shared" si="1"/>
        <v>0</v>
      </c>
      <c r="L84" s="108">
        <f t="shared" si="2"/>
        <v>0</v>
      </c>
      <c r="M84" s="108">
        <f t="shared" si="6"/>
        <v>0</v>
      </c>
      <c r="N84" s="109">
        <f t="shared" si="7"/>
        <v>8000.271</v>
      </c>
      <c r="O84" s="110">
        <f>PAGOSMAR20!B253</f>
        <v>0</v>
      </c>
      <c r="P84" s="108">
        <f t="shared" si="3"/>
        <v>8000.271</v>
      </c>
      <c r="Q84" s="108">
        <f t="shared" si="4"/>
        <v>8000.271</v>
      </c>
      <c r="R84" s="110"/>
      <c r="S84" s="110">
        <f t="shared" si="5"/>
        <v>8000.271</v>
      </c>
      <c r="T84" s="33"/>
      <c r="U84" s="36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5" t="s">
        <v>22</v>
      </c>
      <c r="B85" s="43">
        <v>43914.0</v>
      </c>
      <c r="C85" s="110">
        <v>0.0</v>
      </c>
      <c r="D85" s="110">
        <v>0.0</v>
      </c>
      <c r="E85" s="110">
        <v>0.0</v>
      </c>
      <c r="F85" s="110">
        <v>0.0</v>
      </c>
      <c r="G85" s="108"/>
      <c r="H85" s="108"/>
      <c r="I85" s="108"/>
      <c r="J85" s="110">
        <v>0.0</v>
      </c>
      <c r="K85" s="108">
        <f t="shared" si="1"/>
        <v>0</v>
      </c>
      <c r="L85" s="108">
        <f t="shared" si="2"/>
        <v>0</v>
      </c>
      <c r="M85" s="108">
        <f t="shared" si="6"/>
        <v>0</v>
      </c>
      <c r="N85" s="109">
        <f t="shared" si="7"/>
        <v>8000.271</v>
      </c>
      <c r="O85" s="110">
        <f>PAGOSMAR20!B255</f>
        <v>0</v>
      </c>
      <c r="P85" s="108">
        <f t="shared" si="3"/>
        <v>8000.271</v>
      </c>
      <c r="Q85" s="108">
        <f t="shared" si="4"/>
        <v>8000.271</v>
      </c>
      <c r="R85" s="110"/>
      <c r="S85" s="110">
        <f t="shared" si="5"/>
        <v>8000.271</v>
      </c>
      <c r="T85" s="33"/>
      <c r="U85" s="36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99" t="s">
        <v>32</v>
      </c>
      <c r="B86" s="100">
        <v>43915.0</v>
      </c>
      <c r="C86" s="22">
        <v>3600.0</v>
      </c>
      <c r="D86" s="24">
        <f>1000+500</f>
        <v>1500</v>
      </c>
      <c r="E86" s="25">
        <v>100.0</v>
      </c>
      <c r="F86" s="101">
        <v>880.0</v>
      </c>
      <c r="G86" s="114">
        <f>290+430+320+290+640</f>
        <v>1970</v>
      </c>
      <c r="H86" s="101">
        <v>0.0</v>
      </c>
      <c r="I86" s="101">
        <v>0.0</v>
      </c>
      <c r="J86" s="30">
        <v>-150.0</v>
      </c>
      <c r="K86" s="114">
        <f t="shared" si="1"/>
        <v>1600</v>
      </c>
      <c r="L86" s="114">
        <f t="shared" si="2"/>
        <v>-150</v>
      </c>
      <c r="M86" s="114">
        <f t="shared" si="6"/>
        <v>700</v>
      </c>
      <c r="N86" s="902">
        <f t="shared" si="7"/>
        <v>8000.271</v>
      </c>
      <c r="O86" s="101">
        <f>PAGOSMAR20!B270</f>
        <v>2850.66</v>
      </c>
      <c r="P86" s="114">
        <f t="shared" si="3"/>
        <v>5149.611</v>
      </c>
      <c r="Q86" s="114">
        <f t="shared" si="4"/>
        <v>4999.611</v>
      </c>
      <c r="R86" s="882"/>
      <c r="S86" s="101">
        <f t="shared" si="5"/>
        <v>4999.611</v>
      </c>
      <c r="T86" s="33"/>
      <c r="U86" s="36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</row>
    <row r="87">
      <c r="A87" s="99" t="s">
        <v>24</v>
      </c>
      <c r="B87" s="100">
        <v>43916.0</v>
      </c>
      <c r="C87" s="22">
        <v>3300.0</v>
      </c>
      <c r="D87" s="24">
        <v>1570.0</v>
      </c>
      <c r="E87" s="25">
        <v>0.0</v>
      </c>
      <c r="F87" s="101">
        <v>0.0</v>
      </c>
      <c r="G87" s="114">
        <f>380+320</f>
        <v>700</v>
      </c>
      <c r="H87" s="101">
        <v>400.0</v>
      </c>
      <c r="I87" s="101">
        <v>0.0</v>
      </c>
      <c r="J87" s="30">
        <v>2050.0</v>
      </c>
      <c r="K87" s="114">
        <f t="shared" si="1"/>
        <v>1570</v>
      </c>
      <c r="L87" s="114">
        <f t="shared" si="2"/>
        <v>2050</v>
      </c>
      <c r="M87" s="114">
        <f t="shared" si="6"/>
        <v>1420</v>
      </c>
      <c r="N87" s="902">
        <f t="shared" si="7"/>
        <v>4999.611</v>
      </c>
      <c r="O87" s="101">
        <f>PAGOSMAR20!B285</f>
        <v>50</v>
      </c>
      <c r="P87" s="114">
        <f t="shared" si="3"/>
        <v>4949.611</v>
      </c>
      <c r="Q87" s="114">
        <f t="shared" si="4"/>
        <v>6999.611</v>
      </c>
      <c r="R87" s="882">
        <v>20000.0</v>
      </c>
      <c r="S87" s="101">
        <f t="shared" si="5"/>
        <v>26999.611</v>
      </c>
      <c r="T87" s="33"/>
      <c r="U87" s="36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</row>
    <row r="88">
      <c r="A88" s="99" t="s">
        <v>25</v>
      </c>
      <c r="B88" s="100">
        <v>43917.0</v>
      </c>
      <c r="C88" s="22">
        <v>6745.0</v>
      </c>
      <c r="D88" s="24">
        <f>600+150</f>
        <v>750</v>
      </c>
      <c r="E88" s="25">
        <v>0.0</v>
      </c>
      <c r="F88" s="101">
        <f>650</f>
        <v>650</v>
      </c>
      <c r="G88" s="114">
        <f>250+520+660+680+1260</f>
        <v>3370</v>
      </c>
      <c r="H88" s="101">
        <v>970.0</v>
      </c>
      <c r="I88" s="101">
        <v>0.0</v>
      </c>
      <c r="J88" s="30">
        <v>2350.0</v>
      </c>
      <c r="K88" s="114">
        <f t="shared" si="1"/>
        <v>750</v>
      </c>
      <c r="L88" s="114">
        <f t="shared" si="2"/>
        <v>2350</v>
      </c>
      <c r="M88" s="114">
        <f t="shared" si="6"/>
        <v>1345</v>
      </c>
      <c r="N88" s="902">
        <f t="shared" si="7"/>
        <v>26999.611</v>
      </c>
      <c r="O88" s="101">
        <f>PAGOSMAR20!B300</f>
        <v>21350</v>
      </c>
      <c r="P88" s="114">
        <f t="shared" si="3"/>
        <v>5649.611</v>
      </c>
      <c r="Q88" s="114">
        <f t="shared" si="4"/>
        <v>7999.611</v>
      </c>
      <c r="R88" s="882"/>
      <c r="S88" s="101">
        <f t="shared" si="5"/>
        <v>7999.611</v>
      </c>
      <c r="T88" s="33"/>
      <c r="U88" s="36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</row>
    <row r="89">
      <c r="A89" s="99" t="s">
        <v>33</v>
      </c>
      <c r="B89" s="100">
        <v>43918.0</v>
      </c>
      <c r="C89" s="22">
        <v>5163.0</v>
      </c>
      <c r="D89" s="24">
        <v>1100.0</v>
      </c>
      <c r="E89" s="25">
        <v>0.0</v>
      </c>
      <c r="F89" s="101">
        <v>670.0</v>
      </c>
      <c r="G89" s="114">
        <f>300+870+250</f>
        <v>1420</v>
      </c>
      <c r="H89" s="101">
        <v>340.0</v>
      </c>
      <c r="I89" s="101">
        <v>0.0</v>
      </c>
      <c r="J89" s="30">
        <v>2300.0</v>
      </c>
      <c r="K89" s="114">
        <f t="shared" si="1"/>
        <v>1100</v>
      </c>
      <c r="L89" s="114">
        <f t="shared" si="2"/>
        <v>2300</v>
      </c>
      <c r="M89" s="114">
        <f t="shared" si="6"/>
        <v>667</v>
      </c>
      <c r="N89" s="902">
        <f t="shared" si="7"/>
        <v>7999.611</v>
      </c>
      <c r="O89" s="101">
        <f>PAGOSMAR20!B315</f>
        <v>19300</v>
      </c>
      <c r="P89" s="114">
        <f t="shared" si="3"/>
        <v>-11300.389</v>
      </c>
      <c r="Q89" s="114">
        <f t="shared" si="4"/>
        <v>-9000.389</v>
      </c>
      <c r="R89" s="882">
        <v>14000.0</v>
      </c>
      <c r="S89" s="101">
        <f t="shared" si="5"/>
        <v>4999.611</v>
      </c>
      <c r="T89" s="33"/>
      <c r="U89" s="36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</row>
    <row r="90">
      <c r="A90" s="105" t="s">
        <v>27</v>
      </c>
      <c r="B90" s="43">
        <v>43919.0</v>
      </c>
      <c r="C90" s="110">
        <v>0.0</v>
      </c>
      <c r="D90" s="110">
        <v>0.0</v>
      </c>
      <c r="E90" s="110">
        <v>0.0</v>
      </c>
      <c r="F90" s="110">
        <v>0.0</v>
      </c>
      <c r="G90" s="108"/>
      <c r="H90" s="108"/>
      <c r="I90" s="108"/>
      <c r="J90" s="110">
        <v>0.0</v>
      </c>
      <c r="K90" s="108">
        <f t="shared" si="1"/>
        <v>0</v>
      </c>
      <c r="L90" s="108">
        <f t="shared" si="2"/>
        <v>0</v>
      </c>
      <c r="M90" s="108">
        <f t="shared" si="6"/>
        <v>0</v>
      </c>
      <c r="N90" s="109">
        <f t="shared" si="7"/>
        <v>4999.611</v>
      </c>
      <c r="O90" s="110" t="str">
        <f>'PAGOS DIC19'!B543</f>
        <v/>
      </c>
      <c r="P90" s="108">
        <f t="shared" si="3"/>
        <v>4999.611</v>
      </c>
      <c r="Q90" s="108">
        <f t="shared" si="4"/>
        <v>4999.611</v>
      </c>
      <c r="R90" s="110"/>
      <c r="S90" s="110">
        <f t="shared" si="5"/>
        <v>4999.611</v>
      </c>
      <c r="T90" s="33"/>
      <c r="U90" s="36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99" t="s">
        <v>21</v>
      </c>
      <c r="B91" s="100">
        <v>43920.0</v>
      </c>
      <c r="C91" s="22">
        <v>5095.0</v>
      </c>
      <c r="D91" s="24">
        <f>200+300+160+210+50</f>
        <v>920</v>
      </c>
      <c r="E91" s="25">
        <v>0.0</v>
      </c>
      <c r="F91" s="35">
        <v>0.0</v>
      </c>
      <c r="G91" s="33">
        <f>340+640+580+295</f>
        <v>1855</v>
      </c>
      <c r="H91" s="35">
        <v>0.0</v>
      </c>
      <c r="I91" s="35">
        <v>0.0</v>
      </c>
      <c r="J91" s="30">
        <v>3270.0</v>
      </c>
      <c r="K91" s="114">
        <f t="shared" si="1"/>
        <v>920</v>
      </c>
      <c r="L91" s="881">
        <f t="shared" si="2"/>
        <v>3270</v>
      </c>
      <c r="M91" s="33">
        <f t="shared" si="6"/>
        <v>950</v>
      </c>
      <c r="N91" s="40">
        <f t="shared" si="7"/>
        <v>4999.611</v>
      </c>
      <c r="O91" s="35">
        <f>PAGOSMAR20!B332</f>
        <v>270</v>
      </c>
      <c r="P91" s="33">
        <f t="shared" si="3"/>
        <v>4729.611</v>
      </c>
      <c r="Q91" s="33">
        <f t="shared" si="4"/>
        <v>7999.611</v>
      </c>
      <c r="R91" s="882"/>
      <c r="S91" s="35">
        <f t="shared" si="5"/>
        <v>7999.611</v>
      </c>
      <c r="T91" s="33"/>
      <c r="U91" s="36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>
      <c r="A92" s="903" t="s">
        <v>22</v>
      </c>
      <c r="B92" s="904">
        <v>43921.0</v>
      </c>
      <c r="C92" s="905">
        <v>0.0</v>
      </c>
      <c r="D92" s="905">
        <v>0.0</v>
      </c>
      <c r="E92" s="905">
        <v>0.0</v>
      </c>
      <c r="F92" s="905">
        <v>0.0</v>
      </c>
      <c r="G92" s="36"/>
      <c r="H92" s="36"/>
      <c r="I92" s="905">
        <v>0.0</v>
      </c>
      <c r="J92" s="905">
        <v>0.0</v>
      </c>
      <c r="K92" s="36">
        <f t="shared" si="1"/>
        <v>0</v>
      </c>
      <c r="L92" s="36">
        <f t="shared" si="2"/>
        <v>0</v>
      </c>
      <c r="M92" s="36">
        <f t="shared" si="6"/>
        <v>0</v>
      </c>
      <c r="N92" s="906">
        <f t="shared" si="7"/>
        <v>7999.611</v>
      </c>
      <c r="O92" s="905">
        <f>PAGOSMAR20!B347</f>
        <v>0</v>
      </c>
      <c r="P92" s="36">
        <f t="shared" si="3"/>
        <v>7999.611</v>
      </c>
      <c r="Q92" s="36">
        <f t="shared" si="4"/>
        <v>7999.611</v>
      </c>
      <c r="R92" s="905"/>
      <c r="S92" s="905">
        <f t="shared" si="5"/>
        <v>7999.611</v>
      </c>
      <c r="T92" s="33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>
      <c r="A93" s="93" t="s">
        <v>28</v>
      </c>
      <c r="B93" s="94" t="s">
        <v>35</v>
      </c>
      <c r="C93" s="95">
        <f>SUM(C62:C92)</f>
        <v>674472</v>
      </c>
      <c r="D93" s="95"/>
      <c r="E93" s="95"/>
      <c r="F93" s="95">
        <f t="shared" ref="F93:H93" si="9">SUM(F62:F92)</f>
        <v>371022</v>
      </c>
      <c r="G93" s="95">
        <f t="shared" si="9"/>
        <v>16783</v>
      </c>
      <c r="H93" s="95">
        <f t="shared" si="9"/>
        <v>55738</v>
      </c>
      <c r="I93" s="95"/>
      <c r="J93" s="95">
        <f>SUM(J62:J92)</f>
        <v>184314</v>
      </c>
      <c r="K93" s="36"/>
      <c r="L93" s="36"/>
      <c r="M93" s="36"/>
      <c r="N93" s="906"/>
      <c r="O93" s="905"/>
      <c r="P93" s="36"/>
      <c r="Q93" s="36"/>
      <c r="R93" s="905"/>
      <c r="S93" s="905"/>
      <c r="T93" s="33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>
      <c r="A94" s="907" t="s">
        <v>32</v>
      </c>
      <c r="B94" s="908">
        <v>43922.0</v>
      </c>
      <c r="C94" s="909">
        <v>7252.0</v>
      </c>
      <c r="D94" s="910">
        <f>1100+400+120+220+100</f>
        <v>1940</v>
      </c>
      <c r="E94" s="911">
        <v>0.0</v>
      </c>
      <c r="F94" s="175">
        <v>0.0</v>
      </c>
      <c r="G94" s="175">
        <v>3005.0</v>
      </c>
      <c r="H94" s="175">
        <v>0.0</v>
      </c>
      <c r="I94" s="175">
        <v>0.0</v>
      </c>
      <c r="J94" s="912">
        <v>2700.0</v>
      </c>
      <c r="K94" s="913">
        <f t="shared" ref="K94:K123" si="10">D94+E94</f>
        <v>1940</v>
      </c>
      <c r="L94" s="914">
        <f t="shared" ref="L94:L123" si="11">(D94+E94+J94)-K94</f>
        <v>2700</v>
      </c>
      <c r="M94" s="173">
        <f t="shared" ref="M94:M123" si="12">SUM(D94:J94)-(C94)</f>
        <v>393</v>
      </c>
      <c r="N94" s="174">
        <f>S92</f>
        <v>7999.611</v>
      </c>
      <c r="O94" s="175">
        <f>PAGOSABR20!B11</f>
        <v>700</v>
      </c>
      <c r="P94" s="173">
        <f t="shared" ref="P94:P123" si="13">N94-O94</f>
        <v>7299.611</v>
      </c>
      <c r="Q94" s="173">
        <f t="shared" ref="Q94:Q123" si="14">(N94+J94)-O94</f>
        <v>9999.611</v>
      </c>
      <c r="R94" s="915"/>
      <c r="S94" s="175">
        <f t="shared" ref="S94:S123" si="15">Q94+R94</f>
        <v>9999.611</v>
      </c>
      <c r="T94" s="33"/>
      <c r="U94" s="36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</row>
    <row r="95">
      <c r="A95" s="99" t="s">
        <v>24</v>
      </c>
      <c r="B95" s="100">
        <v>43923.0</v>
      </c>
      <c r="C95" s="22">
        <v>7448.0</v>
      </c>
      <c r="D95" s="24">
        <v>1260.0</v>
      </c>
      <c r="E95" s="25">
        <v>0.0</v>
      </c>
      <c r="F95" s="35">
        <v>0.0</v>
      </c>
      <c r="G95" s="35">
        <v>4409.0</v>
      </c>
      <c r="H95" s="35">
        <v>200.0</v>
      </c>
      <c r="I95" s="35">
        <v>0.0</v>
      </c>
      <c r="J95" s="30">
        <v>2910.0</v>
      </c>
      <c r="K95" s="114">
        <f t="shared" si="10"/>
        <v>1260</v>
      </c>
      <c r="L95" s="881">
        <f t="shared" si="11"/>
        <v>2910</v>
      </c>
      <c r="M95" s="33">
        <f t="shared" si="12"/>
        <v>1331</v>
      </c>
      <c r="N95" s="40">
        <f t="shared" ref="N95:N123" si="16">S94</f>
        <v>9999.611</v>
      </c>
      <c r="O95" s="35">
        <f>PAGOSABR20!B21</f>
        <v>6910</v>
      </c>
      <c r="P95" s="33">
        <f t="shared" si="13"/>
        <v>3089.611</v>
      </c>
      <c r="Q95" s="33">
        <f t="shared" si="14"/>
        <v>5999.611</v>
      </c>
      <c r="R95" s="882">
        <v>18000.0</v>
      </c>
      <c r="S95" s="35">
        <f t="shared" si="15"/>
        <v>23999.611</v>
      </c>
      <c r="T95" s="33"/>
      <c r="U95" s="36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>
      <c r="A96" s="99" t="s">
        <v>25</v>
      </c>
      <c r="B96" s="100">
        <v>43924.0</v>
      </c>
      <c r="C96" s="22">
        <v>7011.0</v>
      </c>
      <c r="D96" s="24">
        <f>800+100+190+100</f>
        <v>1190</v>
      </c>
      <c r="E96" s="25">
        <v>0.0</v>
      </c>
      <c r="F96" s="35">
        <v>2015.0</v>
      </c>
      <c r="G96" s="33">
        <f>1229+729+379</f>
        <v>2337</v>
      </c>
      <c r="H96" s="35">
        <v>400.0</v>
      </c>
      <c r="I96" s="35">
        <v>0.0</v>
      </c>
      <c r="J96" s="30">
        <v>1940.0</v>
      </c>
      <c r="K96" s="114">
        <f t="shared" si="10"/>
        <v>1190</v>
      </c>
      <c r="L96" s="881">
        <f t="shared" si="11"/>
        <v>1940</v>
      </c>
      <c r="M96" s="33">
        <f t="shared" si="12"/>
        <v>871</v>
      </c>
      <c r="N96" s="40">
        <f t="shared" si="16"/>
        <v>23999.611</v>
      </c>
      <c r="O96" s="35">
        <f>PAGOSABR20!B31</f>
        <v>21940</v>
      </c>
      <c r="P96" s="33">
        <f t="shared" si="13"/>
        <v>2059.611</v>
      </c>
      <c r="Q96" s="33">
        <f t="shared" si="14"/>
        <v>3999.611</v>
      </c>
      <c r="R96" s="882"/>
      <c r="S96" s="35">
        <f t="shared" si="15"/>
        <v>3999.611</v>
      </c>
      <c r="T96" s="33"/>
      <c r="U96" s="36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>
      <c r="A97" s="99" t="s">
        <v>33</v>
      </c>
      <c r="B97" s="100">
        <v>43925.0</v>
      </c>
      <c r="C97" s="22">
        <v>6102.0</v>
      </c>
      <c r="D97" s="24">
        <v>1780.0</v>
      </c>
      <c r="E97" s="25">
        <v>0.0</v>
      </c>
      <c r="F97" s="35">
        <v>1735.0</v>
      </c>
      <c r="G97" s="35">
        <v>1449.0</v>
      </c>
      <c r="H97" s="35">
        <v>530.0</v>
      </c>
      <c r="I97" s="35">
        <v>0.0</v>
      </c>
      <c r="J97" s="30">
        <v>1131.0</v>
      </c>
      <c r="K97" s="114">
        <f t="shared" si="10"/>
        <v>1780</v>
      </c>
      <c r="L97" s="881">
        <f t="shared" si="11"/>
        <v>1131</v>
      </c>
      <c r="M97" s="33">
        <f t="shared" si="12"/>
        <v>523</v>
      </c>
      <c r="N97" s="40">
        <f t="shared" si="16"/>
        <v>3999.611</v>
      </c>
      <c r="O97" s="35">
        <f>PAGOSABR20!B41</f>
        <v>20631</v>
      </c>
      <c r="P97" s="33">
        <f t="shared" si="13"/>
        <v>-16631.389</v>
      </c>
      <c r="Q97" s="33">
        <f t="shared" si="14"/>
        <v>-15500.389</v>
      </c>
      <c r="R97" s="882">
        <v>20000.0</v>
      </c>
      <c r="S97" s="35">
        <f t="shared" si="15"/>
        <v>4499.611</v>
      </c>
      <c r="T97" s="33"/>
      <c r="U97" s="36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>
      <c r="A98" s="42" t="s">
        <v>27</v>
      </c>
      <c r="B98" s="51">
        <v>43926.0</v>
      </c>
      <c r="C98" s="44">
        <v>0.0</v>
      </c>
      <c r="D98" s="44">
        <v>0.0</v>
      </c>
      <c r="E98" s="44">
        <v>0.0</v>
      </c>
      <c r="F98" s="44">
        <v>0.0</v>
      </c>
      <c r="G98" s="46"/>
      <c r="H98" s="46"/>
      <c r="I98" s="46"/>
      <c r="J98" s="44">
        <v>0.0</v>
      </c>
      <c r="K98" s="46">
        <f t="shared" si="10"/>
        <v>0</v>
      </c>
      <c r="L98" s="46">
        <f t="shared" si="11"/>
        <v>0</v>
      </c>
      <c r="M98" s="46">
        <f t="shared" si="12"/>
        <v>0</v>
      </c>
      <c r="N98" s="47">
        <f t="shared" si="16"/>
        <v>4499.611</v>
      </c>
      <c r="O98" s="44">
        <f>PAGOSABR20!B51</f>
        <v>0</v>
      </c>
      <c r="P98" s="46">
        <f t="shared" si="13"/>
        <v>4499.611</v>
      </c>
      <c r="Q98" s="46">
        <f t="shared" si="14"/>
        <v>4499.611</v>
      </c>
      <c r="R98" s="44"/>
      <c r="S98" s="44">
        <f t="shared" si="15"/>
        <v>4499.611</v>
      </c>
      <c r="T98" s="33"/>
      <c r="U98" s="3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</row>
    <row r="99">
      <c r="A99" s="99" t="s">
        <v>21</v>
      </c>
      <c r="B99" s="100">
        <v>43927.0</v>
      </c>
      <c r="C99" s="22">
        <v>8665.0</v>
      </c>
      <c r="D99" s="24">
        <f>870+120</f>
        <v>990</v>
      </c>
      <c r="E99" s="25">
        <v>0.0</v>
      </c>
      <c r="F99" s="35">
        <v>245.0</v>
      </c>
      <c r="G99" s="35">
        <v>3712.0</v>
      </c>
      <c r="H99" s="33">
        <f>790+120</f>
        <v>910</v>
      </c>
      <c r="I99" s="35">
        <v>0.0</v>
      </c>
      <c r="J99" s="30">
        <v>4500.0</v>
      </c>
      <c r="K99" s="114">
        <f t="shared" si="10"/>
        <v>990</v>
      </c>
      <c r="L99" s="881">
        <f t="shared" si="11"/>
        <v>4500</v>
      </c>
      <c r="M99" s="33">
        <f t="shared" si="12"/>
        <v>1692</v>
      </c>
      <c r="N99" s="40">
        <f t="shared" si="16"/>
        <v>4499.611</v>
      </c>
      <c r="O99" s="35">
        <f>PAGOSABR20!B61</f>
        <v>0</v>
      </c>
      <c r="P99" s="33">
        <f t="shared" si="13"/>
        <v>4499.611</v>
      </c>
      <c r="Q99" s="33">
        <f t="shared" si="14"/>
        <v>8999.611</v>
      </c>
      <c r="R99" s="882"/>
      <c r="S99" s="35">
        <f t="shared" si="15"/>
        <v>8999.611</v>
      </c>
      <c r="T99" s="33"/>
      <c r="U99" s="36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>
      <c r="A100" s="99" t="s">
        <v>22</v>
      </c>
      <c r="B100" s="100">
        <v>43928.0</v>
      </c>
      <c r="C100" s="22">
        <v>5471.0</v>
      </c>
      <c r="D100" s="24">
        <v>680.0</v>
      </c>
      <c r="E100" s="25">
        <v>0.0</v>
      </c>
      <c r="F100" s="35">
        <f>1415+1135</f>
        <v>2550</v>
      </c>
      <c r="G100" s="35">
        <v>1581.0</v>
      </c>
      <c r="H100" s="35">
        <v>490.0</v>
      </c>
      <c r="I100" s="35">
        <v>0.0</v>
      </c>
      <c r="J100" s="30">
        <v>1429.0</v>
      </c>
      <c r="K100" s="114">
        <f t="shared" si="10"/>
        <v>680</v>
      </c>
      <c r="L100" s="881">
        <f t="shared" si="11"/>
        <v>1429</v>
      </c>
      <c r="M100" s="33">
        <f t="shared" si="12"/>
        <v>1259</v>
      </c>
      <c r="N100" s="40">
        <f t="shared" si="16"/>
        <v>8999.611</v>
      </c>
      <c r="O100" s="35">
        <f>PAGOSABR20!B71</f>
        <v>2429</v>
      </c>
      <c r="P100" s="33">
        <f t="shared" si="13"/>
        <v>6570.611</v>
      </c>
      <c r="Q100" s="33">
        <f t="shared" si="14"/>
        <v>7999.611</v>
      </c>
      <c r="R100" s="882"/>
      <c r="S100" s="35">
        <f t="shared" si="15"/>
        <v>7999.611</v>
      </c>
      <c r="T100" s="33"/>
      <c r="U100" s="36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>
      <c r="A101" s="99" t="s">
        <v>32</v>
      </c>
      <c r="B101" s="100">
        <v>43929.0</v>
      </c>
      <c r="C101" s="22">
        <v>4401.0</v>
      </c>
      <c r="D101" s="24">
        <f>800+100+60+360+100</f>
        <v>1420</v>
      </c>
      <c r="E101" s="25">
        <v>0.0</v>
      </c>
      <c r="F101" s="35">
        <v>715.0</v>
      </c>
      <c r="G101" s="33">
        <f>379+909+409</f>
        <v>1697</v>
      </c>
      <c r="H101" s="35">
        <v>0.0</v>
      </c>
      <c r="I101" s="35">
        <v>0.0</v>
      </c>
      <c r="J101" s="30">
        <v>1134.0</v>
      </c>
      <c r="K101" s="114">
        <f t="shared" si="10"/>
        <v>1420</v>
      </c>
      <c r="L101" s="881">
        <f t="shared" si="11"/>
        <v>1134</v>
      </c>
      <c r="M101" s="33">
        <f t="shared" si="12"/>
        <v>565</v>
      </c>
      <c r="N101" s="40">
        <f t="shared" si="16"/>
        <v>7999.611</v>
      </c>
      <c r="O101" s="35">
        <f>PAGOSABR20!B81</f>
        <v>4134</v>
      </c>
      <c r="P101" s="33">
        <f t="shared" si="13"/>
        <v>3865.611</v>
      </c>
      <c r="Q101" s="33">
        <f t="shared" si="14"/>
        <v>4999.611</v>
      </c>
      <c r="R101" s="882"/>
      <c r="S101" s="35">
        <f t="shared" si="15"/>
        <v>4999.611</v>
      </c>
      <c r="T101" s="33"/>
      <c r="U101" s="36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>
      <c r="A102" s="99" t="s">
        <v>24</v>
      </c>
      <c r="B102" s="100">
        <v>43930.0</v>
      </c>
      <c r="C102" s="22">
        <v>6218.0</v>
      </c>
      <c r="D102" s="24">
        <v>1660.0</v>
      </c>
      <c r="E102" s="25">
        <v>0.0</v>
      </c>
      <c r="F102" s="35">
        <v>220.0</v>
      </c>
      <c r="G102" s="35">
        <f>319+300+734+579</f>
        <v>1932</v>
      </c>
      <c r="H102" s="35">
        <v>1890.0</v>
      </c>
      <c r="I102" s="35">
        <v>0.0</v>
      </c>
      <c r="J102" s="30">
        <v>1528.0</v>
      </c>
      <c r="K102" s="114">
        <f t="shared" si="10"/>
        <v>1660</v>
      </c>
      <c r="L102" s="881">
        <f t="shared" si="11"/>
        <v>1528</v>
      </c>
      <c r="M102" s="33">
        <f t="shared" si="12"/>
        <v>1012</v>
      </c>
      <c r="N102" s="40">
        <f t="shared" si="16"/>
        <v>4999.611</v>
      </c>
      <c r="O102" s="35">
        <f>PAGOSABR20!B91</f>
        <v>2828</v>
      </c>
      <c r="P102" s="33">
        <f t="shared" si="13"/>
        <v>2171.611</v>
      </c>
      <c r="Q102" s="33">
        <f t="shared" si="14"/>
        <v>3699.611</v>
      </c>
      <c r="R102" s="882">
        <v>20000.0</v>
      </c>
      <c r="S102" s="35">
        <f t="shared" si="15"/>
        <v>23699.611</v>
      </c>
      <c r="T102" s="33"/>
      <c r="U102" s="36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>
      <c r="A103" s="99" t="s">
        <v>25</v>
      </c>
      <c r="B103" s="100">
        <v>43931.0</v>
      </c>
      <c r="C103" s="22">
        <v>8138.0</v>
      </c>
      <c r="D103" s="24">
        <f>1100+40+320</f>
        <v>1460</v>
      </c>
      <c r="E103" s="25">
        <v>0.0</v>
      </c>
      <c r="F103" s="35">
        <v>855.0</v>
      </c>
      <c r="G103" s="33">
        <f>499+254+1349+1394+469+424</f>
        <v>4389</v>
      </c>
      <c r="H103" s="35">
        <v>250.0</v>
      </c>
      <c r="I103" s="35">
        <v>0.0</v>
      </c>
      <c r="J103" s="30">
        <v>2370.0</v>
      </c>
      <c r="K103" s="114">
        <f t="shared" si="10"/>
        <v>1460</v>
      </c>
      <c r="L103" s="881">
        <f t="shared" si="11"/>
        <v>2370</v>
      </c>
      <c r="M103" s="33">
        <f t="shared" si="12"/>
        <v>1186</v>
      </c>
      <c r="N103" s="40">
        <f t="shared" si="16"/>
        <v>23699.611</v>
      </c>
      <c r="O103" s="35">
        <f>PAGOSABR20!B101</f>
        <v>20370</v>
      </c>
      <c r="P103" s="33">
        <f t="shared" si="13"/>
        <v>3329.611</v>
      </c>
      <c r="Q103" s="33">
        <f t="shared" si="14"/>
        <v>5699.611</v>
      </c>
      <c r="R103" s="882"/>
      <c r="S103" s="35">
        <f t="shared" si="15"/>
        <v>5699.611</v>
      </c>
      <c r="T103" s="33"/>
      <c r="U103" s="36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>
      <c r="A104" s="99" t="s">
        <v>33</v>
      </c>
      <c r="B104" s="100">
        <v>43932.0</v>
      </c>
      <c r="C104" s="22">
        <v>8783.0</v>
      </c>
      <c r="D104" s="24">
        <v>2355.0</v>
      </c>
      <c r="E104" s="25">
        <v>0.0</v>
      </c>
      <c r="F104" s="35">
        <v>1650.0</v>
      </c>
      <c r="G104" s="35">
        <v>4498.0</v>
      </c>
      <c r="H104" s="35">
        <v>600.0</v>
      </c>
      <c r="I104" s="33"/>
      <c r="J104" s="30">
        <v>3333.0</v>
      </c>
      <c r="K104" s="114">
        <f t="shared" si="10"/>
        <v>2355</v>
      </c>
      <c r="L104" s="881">
        <f t="shared" si="11"/>
        <v>3333</v>
      </c>
      <c r="M104" s="33">
        <f t="shared" si="12"/>
        <v>3653</v>
      </c>
      <c r="N104" s="40">
        <f t="shared" si="16"/>
        <v>5699.611</v>
      </c>
      <c r="O104" s="35">
        <f>PAGOSABR20!B111</f>
        <v>25033</v>
      </c>
      <c r="P104" s="33">
        <f t="shared" si="13"/>
        <v>-19333.389</v>
      </c>
      <c r="Q104" s="33">
        <f t="shared" si="14"/>
        <v>-16000.389</v>
      </c>
      <c r="R104" s="882">
        <v>20000.0</v>
      </c>
      <c r="S104" s="35">
        <f t="shared" si="15"/>
        <v>3999.611</v>
      </c>
      <c r="T104" s="33"/>
      <c r="U104" s="36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>
      <c r="A105" s="105" t="s">
        <v>27</v>
      </c>
      <c r="B105" s="43">
        <v>43933.0</v>
      </c>
      <c r="C105" s="110">
        <v>0.0</v>
      </c>
      <c r="D105" s="110">
        <v>0.0</v>
      </c>
      <c r="E105" s="110">
        <v>0.0</v>
      </c>
      <c r="F105" s="110">
        <v>0.0</v>
      </c>
      <c r="G105" s="108"/>
      <c r="H105" s="108"/>
      <c r="I105" s="108"/>
      <c r="J105" s="110">
        <v>0.0</v>
      </c>
      <c r="K105" s="108">
        <f t="shared" si="10"/>
        <v>0</v>
      </c>
      <c r="L105" s="108">
        <f t="shared" si="11"/>
        <v>0</v>
      </c>
      <c r="M105" s="108">
        <f t="shared" si="12"/>
        <v>0</v>
      </c>
      <c r="N105" s="109">
        <f t="shared" si="16"/>
        <v>3999.611</v>
      </c>
      <c r="O105" s="110">
        <f>PAGOSABR20!B121</f>
        <v>0</v>
      </c>
      <c r="P105" s="108">
        <f t="shared" si="13"/>
        <v>3999.611</v>
      </c>
      <c r="Q105" s="108">
        <f t="shared" si="14"/>
        <v>3999.611</v>
      </c>
      <c r="R105" s="110"/>
      <c r="S105" s="110">
        <f t="shared" si="15"/>
        <v>3999.611</v>
      </c>
      <c r="T105" s="33"/>
      <c r="U105" s="36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99" t="s">
        <v>21</v>
      </c>
      <c r="B106" s="100">
        <v>43934.0</v>
      </c>
      <c r="C106" s="22">
        <v>4628.0</v>
      </c>
      <c r="D106" s="24">
        <f>1100+100+220+440+200</f>
        <v>2060</v>
      </c>
      <c r="E106" s="25">
        <v>0.0</v>
      </c>
      <c r="F106" s="35">
        <v>510.0</v>
      </c>
      <c r="G106" s="35">
        <v>2170.0</v>
      </c>
      <c r="H106" s="35">
        <v>208.0</v>
      </c>
      <c r="I106" s="33"/>
      <c r="J106" s="30">
        <v>1779.0</v>
      </c>
      <c r="K106" s="114">
        <f t="shared" si="10"/>
        <v>2060</v>
      </c>
      <c r="L106" s="881">
        <f t="shared" si="11"/>
        <v>1779</v>
      </c>
      <c r="M106" s="33">
        <f t="shared" si="12"/>
        <v>2099</v>
      </c>
      <c r="N106" s="40">
        <f t="shared" si="16"/>
        <v>3999.611</v>
      </c>
      <c r="O106" s="35">
        <f>PAGOSABR20!B131</f>
        <v>1778.29</v>
      </c>
      <c r="P106" s="33">
        <f t="shared" si="13"/>
        <v>2221.321</v>
      </c>
      <c r="Q106" s="33">
        <f t="shared" si="14"/>
        <v>4000.321</v>
      </c>
      <c r="R106" s="882"/>
      <c r="S106" s="35">
        <f t="shared" si="15"/>
        <v>4000.321</v>
      </c>
      <c r="T106" s="33"/>
      <c r="U106" s="36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>
      <c r="A107" s="99" t="s">
        <v>22</v>
      </c>
      <c r="B107" s="100">
        <v>43935.0</v>
      </c>
      <c r="C107" s="22">
        <v>9759.0</v>
      </c>
      <c r="D107" s="24">
        <v>1530.0</v>
      </c>
      <c r="E107" s="25">
        <v>0.0</v>
      </c>
      <c r="F107" s="35">
        <v>400.0</v>
      </c>
      <c r="G107" s="35">
        <v>5669.0</v>
      </c>
      <c r="H107" s="35">
        <v>645.0</v>
      </c>
      <c r="I107" s="33"/>
      <c r="J107" s="30">
        <v>3480.0</v>
      </c>
      <c r="K107" s="114">
        <f t="shared" si="10"/>
        <v>1530</v>
      </c>
      <c r="L107" s="881">
        <f t="shared" si="11"/>
        <v>3480</v>
      </c>
      <c r="M107" s="33">
        <f t="shared" si="12"/>
        <v>1965</v>
      </c>
      <c r="N107" s="40">
        <f t="shared" si="16"/>
        <v>4000.321</v>
      </c>
      <c r="O107" s="35">
        <f>PAGOSABR20!B141</f>
        <v>480</v>
      </c>
      <c r="P107" s="33">
        <f t="shared" si="13"/>
        <v>3520.321</v>
      </c>
      <c r="Q107" s="33">
        <f t="shared" si="14"/>
        <v>7000.321</v>
      </c>
      <c r="R107" s="882"/>
      <c r="S107" s="35">
        <f t="shared" si="15"/>
        <v>7000.321</v>
      </c>
      <c r="T107" s="33"/>
      <c r="U107" s="36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>
      <c r="A108" s="99" t="s">
        <v>32</v>
      </c>
      <c r="B108" s="100">
        <v>43936.0</v>
      </c>
      <c r="C108" s="22">
        <v>10339.0</v>
      </c>
      <c r="D108" s="24">
        <f>700+80+220+300+150</f>
        <v>1450</v>
      </c>
      <c r="E108" s="25">
        <v>0.0</v>
      </c>
      <c r="F108" s="35">
        <f>95</f>
        <v>95</v>
      </c>
      <c r="G108" s="33">
        <f>480+1965+499+555+1435</f>
        <v>4934</v>
      </c>
      <c r="H108" s="35">
        <v>440.0</v>
      </c>
      <c r="I108" s="33"/>
      <c r="J108" s="30">
        <v>3600.0</v>
      </c>
      <c r="K108" s="114">
        <f t="shared" si="10"/>
        <v>1450</v>
      </c>
      <c r="L108" s="881">
        <f t="shared" si="11"/>
        <v>3600</v>
      </c>
      <c r="M108" s="33">
        <f t="shared" si="12"/>
        <v>180</v>
      </c>
      <c r="N108" s="40">
        <f t="shared" si="16"/>
        <v>7000.321</v>
      </c>
      <c r="O108" s="35">
        <f>PAGOSABR20!B151</f>
        <v>1400</v>
      </c>
      <c r="P108" s="33">
        <f t="shared" si="13"/>
        <v>5600.321</v>
      </c>
      <c r="Q108" s="33">
        <f t="shared" si="14"/>
        <v>9200.321</v>
      </c>
      <c r="R108" s="882"/>
      <c r="S108" s="35">
        <f t="shared" si="15"/>
        <v>9200.321</v>
      </c>
      <c r="T108" s="33"/>
      <c r="U108" s="36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>
      <c r="A109" s="99" t="s">
        <v>24</v>
      </c>
      <c r="B109" s="100">
        <v>43937.0</v>
      </c>
      <c r="C109" s="22">
        <v>5729.0</v>
      </c>
      <c r="D109" s="24">
        <v>1310.0</v>
      </c>
      <c r="E109" s="25">
        <v>0.0</v>
      </c>
      <c r="F109" s="35">
        <v>340.0</v>
      </c>
      <c r="G109" s="35">
        <v>1814.0</v>
      </c>
      <c r="H109" s="35">
        <v>1800.0</v>
      </c>
      <c r="I109" s="33"/>
      <c r="J109" s="30">
        <v>2751.0</v>
      </c>
      <c r="K109" s="114">
        <f t="shared" si="10"/>
        <v>1310</v>
      </c>
      <c r="L109" s="881">
        <f t="shared" si="11"/>
        <v>2751</v>
      </c>
      <c r="M109" s="33">
        <f t="shared" si="12"/>
        <v>2286</v>
      </c>
      <c r="N109" s="40">
        <f t="shared" si="16"/>
        <v>9200.321</v>
      </c>
      <c r="O109" s="35">
        <f>PAGOSABR20!B161</f>
        <v>1951</v>
      </c>
      <c r="P109" s="33">
        <f t="shared" si="13"/>
        <v>7249.321</v>
      </c>
      <c r="Q109" s="33">
        <f t="shared" si="14"/>
        <v>10000.321</v>
      </c>
      <c r="R109" s="882">
        <v>15000.0</v>
      </c>
      <c r="S109" s="35">
        <f t="shared" si="15"/>
        <v>25000.321</v>
      </c>
      <c r="T109" s="33"/>
      <c r="U109" s="36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>
      <c r="A110" s="99" t="s">
        <v>25</v>
      </c>
      <c r="B110" s="100">
        <v>43938.0</v>
      </c>
      <c r="C110" s="22">
        <v>10219.0</v>
      </c>
      <c r="D110" s="24">
        <f>800+200+300+240+200</f>
        <v>1740</v>
      </c>
      <c r="E110" s="25">
        <v>0.0</v>
      </c>
      <c r="F110" s="35">
        <v>1345.0</v>
      </c>
      <c r="G110" s="33">
        <f>1005+555+499+1575</f>
        <v>3634</v>
      </c>
      <c r="H110" s="35">
        <v>965.0</v>
      </c>
      <c r="I110" s="33"/>
      <c r="J110" s="30">
        <v>3838.0</v>
      </c>
      <c r="K110" s="114">
        <f t="shared" si="10"/>
        <v>1740</v>
      </c>
      <c r="L110" s="881">
        <f t="shared" si="11"/>
        <v>3838</v>
      </c>
      <c r="M110" s="33">
        <f t="shared" si="12"/>
        <v>1303</v>
      </c>
      <c r="N110" s="40">
        <f t="shared" si="16"/>
        <v>25000.321</v>
      </c>
      <c r="O110" s="35">
        <f>PAGOSABR20!B171</f>
        <v>23838</v>
      </c>
      <c r="P110" s="33">
        <f t="shared" si="13"/>
        <v>1162.321</v>
      </c>
      <c r="Q110" s="33">
        <f t="shared" si="14"/>
        <v>5000.321</v>
      </c>
      <c r="R110" s="882"/>
      <c r="S110" s="35">
        <f t="shared" si="15"/>
        <v>5000.321</v>
      </c>
      <c r="T110" s="33"/>
      <c r="U110" s="36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>
      <c r="A111" s="99" t="s">
        <v>33</v>
      </c>
      <c r="B111" s="100">
        <v>43939.0</v>
      </c>
      <c r="C111" s="22">
        <v>8564.0</v>
      </c>
      <c r="D111" s="24">
        <v>2710.0</v>
      </c>
      <c r="E111" s="25">
        <v>0.0</v>
      </c>
      <c r="F111" s="35">
        <v>1550.0</v>
      </c>
      <c r="G111" s="35">
        <v>6004.0</v>
      </c>
      <c r="H111" s="35">
        <v>0.0</v>
      </c>
      <c r="I111" s="33"/>
      <c r="J111" s="30">
        <v>1866.0</v>
      </c>
      <c r="K111" s="114">
        <f t="shared" si="10"/>
        <v>2710</v>
      </c>
      <c r="L111" s="881">
        <f t="shared" si="11"/>
        <v>1866</v>
      </c>
      <c r="M111" s="33">
        <f t="shared" si="12"/>
        <v>3566</v>
      </c>
      <c r="N111" s="40">
        <f t="shared" si="16"/>
        <v>5000.321</v>
      </c>
      <c r="O111" s="35">
        <f>PAGOSABR20!B183</f>
        <v>32866</v>
      </c>
      <c r="P111" s="33">
        <f t="shared" si="13"/>
        <v>-27865.679</v>
      </c>
      <c r="Q111" s="33">
        <f t="shared" si="14"/>
        <v>-25999.679</v>
      </c>
      <c r="R111" s="882">
        <v>31000.0</v>
      </c>
      <c r="S111" s="35">
        <f t="shared" si="15"/>
        <v>5000.321</v>
      </c>
      <c r="T111" s="33"/>
      <c r="U111" s="36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>
      <c r="A112" s="105" t="s">
        <v>27</v>
      </c>
      <c r="B112" s="43">
        <v>43940.0</v>
      </c>
      <c r="C112" s="110">
        <v>0.0</v>
      </c>
      <c r="D112" s="110">
        <v>0.0</v>
      </c>
      <c r="E112" s="110">
        <v>0.0</v>
      </c>
      <c r="F112" s="110">
        <v>0.0</v>
      </c>
      <c r="G112" s="108"/>
      <c r="H112" s="108"/>
      <c r="I112" s="108"/>
      <c r="J112" s="110">
        <v>0.0</v>
      </c>
      <c r="K112" s="108">
        <f t="shared" si="10"/>
        <v>0</v>
      </c>
      <c r="L112" s="108">
        <f t="shared" si="11"/>
        <v>0</v>
      </c>
      <c r="M112" s="108">
        <f t="shared" si="12"/>
        <v>0</v>
      </c>
      <c r="N112" s="109">
        <f t="shared" si="16"/>
        <v>5000.321</v>
      </c>
      <c r="O112" s="110">
        <f>PAGOSABR20!B193</f>
        <v>0</v>
      </c>
      <c r="P112" s="108">
        <f t="shared" si="13"/>
        <v>5000.321</v>
      </c>
      <c r="Q112" s="108">
        <f t="shared" si="14"/>
        <v>5000.321</v>
      </c>
      <c r="R112" s="110"/>
      <c r="S112" s="110">
        <f t="shared" si="15"/>
        <v>5000.321</v>
      </c>
      <c r="T112" s="33"/>
      <c r="U112" s="36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99" t="s">
        <v>21</v>
      </c>
      <c r="B113" s="100">
        <v>43941.0</v>
      </c>
      <c r="C113" s="22">
        <f>5235+800</f>
        <v>6035</v>
      </c>
      <c r="D113" s="24">
        <f>820+190+500+200</f>
        <v>1710</v>
      </c>
      <c r="E113" s="25">
        <v>0.0</v>
      </c>
      <c r="F113" s="35">
        <f>200+440</f>
        <v>640</v>
      </c>
      <c r="G113" s="33">
        <f>1980</f>
        <v>1980</v>
      </c>
      <c r="H113" s="35">
        <v>1000.0</v>
      </c>
      <c r="I113" s="33"/>
      <c r="J113" s="30">
        <f>3262</f>
        <v>3262</v>
      </c>
      <c r="K113" s="114">
        <f t="shared" si="10"/>
        <v>1710</v>
      </c>
      <c r="L113" s="881">
        <f t="shared" si="11"/>
        <v>3262</v>
      </c>
      <c r="M113" s="33">
        <f t="shared" si="12"/>
        <v>2557</v>
      </c>
      <c r="N113" s="40">
        <f t="shared" si="16"/>
        <v>5000.321</v>
      </c>
      <c r="O113" s="35">
        <f>PAGOSABR20!B203</f>
        <v>2262.02</v>
      </c>
      <c r="P113" s="33">
        <f t="shared" si="13"/>
        <v>2738.301</v>
      </c>
      <c r="Q113" s="33">
        <f t="shared" si="14"/>
        <v>6000.301</v>
      </c>
      <c r="R113" s="882"/>
      <c r="S113" s="35">
        <f t="shared" si="15"/>
        <v>6000.301</v>
      </c>
      <c r="T113" s="33"/>
      <c r="U113" s="36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>
      <c r="A114" s="99" t="s">
        <v>22</v>
      </c>
      <c r="B114" s="100">
        <v>43942.0</v>
      </c>
      <c r="C114" s="22">
        <v>2825.0</v>
      </c>
      <c r="D114" s="24">
        <v>2030.0</v>
      </c>
      <c r="E114" s="25">
        <v>0.0</v>
      </c>
      <c r="F114" s="35">
        <v>360.0</v>
      </c>
      <c r="G114" s="35">
        <v>499.0</v>
      </c>
      <c r="H114" s="35">
        <v>1300.0</v>
      </c>
      <c r="I114" s="33"/>
      <c r="J114" s="30">
        <v>1504.0</v>
      </c>
      <c r="K114" s="114">
        <f t="shared" si="10"/>
        <v>2030</v>
      </c>
      <c r="L114" s="881">
        <f t="shared" si="11"/>
        <v>1504</v>
      </c>
      <c r="M114" s="33">
        <f t="shared" si="12"/>
        <v>2868</v>
      </c>
      <c r="N114" s="40">
        <f t="shared" si="16"/>
        <v>6000.301</v>
      </c>
      <c r="O114" s="35">
        <f>PAGOSABR20!B213</f>
        <v>1504</v>
      </c>
      <c r="P114" s="33">
        <f t="shared" si="13"/>
        <v>4496.301</v>
      </c>
      <c r="Q114" s="33">
        <f t="shared" si="14"/>
        <v>6000.301</v>
      </c>
      <c r="R114" s="882"/>
      <c r="S114" s="35">
        <f t="shared" si="15"/>
        <v>6000.301</v>
      </c>
      <c r="T114" s="33"/>
      <c r="U114" s="36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>
      <c r="A115" s="99" t="s">
        <v>32</v>
      </c>
      <c r="B115" s="100">
        <v>43943.0</v>
      </c>
      <c r="C115" s="22">
        <v>12535.0</v>
      </c>
      <c r="D115" s="24">
        <f>500+200+1070+200+200</f>
        <v>2170</v>
      </c>
      <c r="E115" s="25">
        <v>0.0</v>
      </c>
      <c r="F115" s="35">
        <f>1220+1525</f>
        <v>2745</v>
      </c>
      <c r="G115" s="33">
        <f>870+555+530+585+870</f>
        <v>3410</v>
      </c>
      <c r="H115" s="35">
        <f>2820+315</f>
        <v>3135</v>
      </c>
      <c r="I115" s="33"/>
      <c r="J115" s="30">
        <v>3384.0</v>
      </c>
      <c r="K115" s="114">
        <f t="shared" si="10"/>
        <v>2170</v>
      </c>
      <c r="L115" s="881">
        <f t="shared" si="11"/>
        <v>3384</v>
      </c>
      <c r="M115" s="33">
        <f t="shared" si="12"/>
        <v>2309</v>
      </c>
      <c r="N115" s="40">
        <f t="shared" si="16"/>
        <v>6000.301</v>
      </c>
      <c r="O115" s="35">
        <f>PAGOSABR20!B223</f>
        <v>1384.6</v>
      </c>
      <c r="P115" s="33">
        <f t="shared" si="13"/>
        <v>4615.701</v>
      </c>
      <c r="Q115" s="33">
        <f t="shared" si="14"/>
        <v>7999.701</v>
      </c>
      <c r="R115" s="882"/>
      <c r="S115" s="35">
        <f t="shared" si="15"/>
        <v>7999.701</v>
      </c>
      <c r="T115" s="33"/>
      <c r="U115" s="36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>
      <c r="A116" s="99" t="s">
        <v>24</v>
      </c>
      <c r="B116" s="100">
        <v>43944.0</v>
      </c>
      <c r="C116" s="22">
        <v>9108.0</v>
      </c>
      <c r="D116" s="24">
        <v>2890.0</v>
      </c>
      <c r="E116" s="25">
        <v>0.0</v>
      </c>
      <c r="F116" s="35">
        <v>380.0</v>
      </c>
      <c r="G116" s="35">
        <v>2524.0</v>
      </c>
      <c r="H116" s="35">
        <v>970.0</v>
      </c>
      <c r="I116" s="33"/>
      <c r="J116" s="30">
        <v>3824.0</v>
      </c>
      <c r="K116" s="114">
        <f t="shared" si="10"/>
        <v>2890</v>
      </c>
      <c r="L116" s="881">
        <f t="shared" si="11"/>
        <v>3824</v>
      </c>
      <c r="M116" s="33">
        <f t="shared" si="12"/>
        <v>1480</v>
      </c>
      <c r="N116" s="40">
        <f t="shared" si="16"/>
        <v>7999.701</v>
      </c>
      <c r="O116" s="35">
        <f>PAGOSABR20!B233</f>
        <v>824</v>
      </c>
      <c r="P116" s="33">
        <f t="shared" si="13"/>
        <v>7175.701</v>
      </c>
      <c r="Q116" s="33">
        <f t="shared" si="14"/>
        <v>10999.701</v>
      </c>
      <c r="R116" s="882"/>
      <c r="S116" s="35">
        <f t="shared" si="15"/>
        <v>10999.701</v>
      </c>
      <c r="T116" s="33"/>
      <c r="U116" s="36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>
      <c r="A117" s="99" t="s">
        <v>25</v>
      </c>
      <c r="B117" s="100">
        <v>43945.0</v>
      </c>
      <c r="C117" s="22">
        <v>11705.0</v>
      </c>
      <c r="D117" s="24">
        <f>800+400+140+500+260+150</f>
        <v>2250</v>
      </c>
      <c r="E117" s="25">
        <v>0.0</v>
      </c>
      <c r="F117" s="35">
        <v>490.0</v>
      </c>
      <c r="G117" s="35">
        <v>4745.0</v>
      </c>
      <c r="H117" s="35">
        <v>3280.0</v>
      </c>
      <c r="I117" s="33"/>
      <c r="J117" s="30">
        <v>3670.0</v>
      </c>
      <c r="K117" s="114">
        <f t="shared" si="10"/>
        <v>2250</v>
      </c>
      <c r="L117" s="881">
        <f t="shared" si="11"/>
        <v>3670</v>
      </c>
      <c r="M117" s="33">
        <f t="shared" si="12"/>
        <v>2730</v>
      </c>
      <c r="N117" s="40">
        <f t="shared" si="16"/>
        <v>10999.701</v>
      </c>
      <c r="O117" s="35">
        <f>PAGOSABR20!B243</f>
        <v>8670</v>
      </c>
      <c r="P117" s="33">
        <f t="shared" si="13"/>
        <v>2329.701</v>
      </c>
      <c r="Q117" s="33">
        <f t="shared" si="14"/>
        <v>5999.701</v>
      </c>
      <c r="R117" s="882"/>
      <c r="S117" s="35">
        <f t="shared" si="15"/>
        <v>5999.701</v>
      </c>
      <c r="T117" s="33"/>
      <c r="U117" s="36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>
      <c r="A118" s="99" t="s">
        <v>33</v>
      </c>
      <c r="B118" s="100">
        <v>43946.0</v>
      </c>
      <c r="C118" s="22">
        <v>9975.0</v>
      </c>
      <c r="D118" s="24">
        <v>3625.0</v>
      </c>
      <c r="E118" s="25">
        <v>700.0</v>
      </c>
      <c r="F118" s="35">
        <v>1175.0</v>
      </c>
      <c r="G118" s="35">
        <v>840.0</v>
      </c>
      <c r="H118" s="35">
        <v>3080.0</v>
      </c>
      <c r="I118" s="33"/>
      <c r="J118" s="30">
        <v>2263.0</v>
      </c>
      <c r="K118" s="114">
        <f t="shared" si="10"/>
        <v>4325</v>
      </c>
      <c r="L118" s="881">
        <f t="shared" si="11"/>
        <v>2263</v>
      </c>
      <c r="M118" s="33">
        <f t="shared" si="12"/>
        <v>1708</v>
      </c>
      <c r="N118" s="40">
        <f t="shared" si="16"/>
        <v>5999.701</v>
      </c>
      <c r="O118" s="35">
        <f>PAGOSABR20!B253</f>
        <v>20963</v>
      </c>
      <c r="P118" s="33">
        <f t="shared" si="13"/>
        <v>-14963.299</v>
      </c>
      <c r="Q118" s="33">
        <f t="shared" si="14"/>
        <v>-12700.299</v>
      </c>
      <c r="R118" s="882">
        <v>36700.0</v>
      </c>
      <c r="S118" s="35">
        <f t="shared" si="15"/>
        <v>23999.701</v>
      </c>
      <c r="T118" s="33"/>
      <c r="U118" s="36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>
      <c r="A119" s="150" t="s">
        <v>27</v>
      </c>
      <c r="B119" s="162">
        <v>43947.0</v>
      </c>
      <c r="C119" s="160">
        <v>7500.0</v>
      </c>
      <c r="D119" s="160">
        <f>240+340+500+700+150</f>
        <v>1930</v>
      </c>
      <c r="E119" s="160">
        <v>800.0</v>
      </c>
      <c r="F119" s="160">
        <v>440.0</v>
      </c>
      <c r="G119" s="160">
        <v>4839.0</v>
      </c>
      <c r="H119" s="160">
        <v>630.0</v>
      </c>
      <c r="I119" s="37"/>
      <c r="J119" s="160">
        <v>2050.0</v>
      </c>
      <c r="K119" s="37">
        <f t="shared" si="10"/>
        <v>2730</v>
      </c>
      <c r="L119" s="37">
        <f t="shared" si="11"/>
        <v>2050</v>
      </c>
      <c r="M119" s="37">
        <f t="shared" si="12"/>
        <v>3189</v>
      </c>
      <c r="N119" s="207">
        <f t="shared" si="16"/>
        <v>23999.701</v>
      </c>
      <c r="O119" s="160">
        <f>PAGOSABR20!B263</f>
        <v>21050</v>
      </c>
      <c r="P119" s="37">
        <f t="shared" si="13"/>
        <v>2949.701</v>
      </c>
      <c r="Q119" s="37">
        <f t="shared" si="14"/>
        <v>4999.701</v>
      </c>
      <c r="R119" s="160"/>
      <c r="S119" s="160">
        <f t="shared" si="15"/>
        <v>4999.701</v>
      </c>
      <c r="T119" s="33"/>
      <c r="U119" s="36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>
      <c r="A120" s="99" t="s">
        <v>21</v>
      </c>
      <c r="B120" s="100">
        <v>43948.0</v>
      </c>
      <c r="C120" s="22">
        <v>8745.0</v>
      </c>
      <c r="D120" s="24">
        <v>2310.0</v>
      </c>
      <c r="E120" s="25">
        <v>800.0</v>
      </c>
      <c r="F120" s="35">
        <v>560.0</v>
      </c>
      <c r="G120" s="35">
        <v>2635.0</v>
      </c>
      <c r="H120" s="35">
        <v>910.0</v>
      </c>
      <c r="I120" s="33"/>
      <c r="J120" s="30">
        <v>4129.0</v>
      </c>
      <c r="K120" s="114">
        <f t="shared" si="10"/>
        <v>3110</v>
      </c>
      <c r="L120" s="881">
        <f t="shared" si="11"/>
        <v>4129</v>
      </c>
      <c r="M120" s="33">
        <f t="shared" si="12"/>
        <v>2599</v>
      </c>
      <c r="N120" s="40">
        <f t="shared" si="16"/>
        <v>4999.701</v>
      </c>
      <c r="O120" s="35">
        <f>PAGOSABR20!B273</f>
        <v>2128.71</v>
      </c>
      <c r="P120" s="33">
        <f t="shared" si="13"/>
        <v>2870.991</v>
      </c>
      <c r="Q120" s="33">
        <f t="shared" si="14"/>
        <v>6999.991</v>
      </c>
      <c r="R120" s="882"/>
      <c r="S120" s="35">
        <f t="shared" si="15"/>
        <v>6999.991</v>
      </c>
      <c r="T120" s="33"/>
      <c r="U120" s="36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>
      <c r="A121" s="99" t="s">
        <v>22</v>
      </c>
      <c r="B121" s="100">
        <v>43949.0</v>
      </c>
      <c r="C121" s="22">
        <v>4345.0</v>
      </c>
      <c r="D121" s="24">
        <f>1000+350+320+270+200+150+150</f>
        <v>2440</v>
      </c>
      <c r="E121" s="25">
        <v>800.0</v>
      </c>
      <c r="F121" s="35">
        <v>0.0</v>
      </c>
      <c r="G121" s="35">
        <v>1820.0</v>
      </c>
      <c r="H121" s="33">
        <f>440+785</f>
        <v>1225</v>
      </c>
      <c r="I121" s="33"/>
      <c r="J121" s="30">
        <v>1058.0</v>
      </c>
      <c r="K121" s="114">
        <f t="shared" si="10"/>
        <v>3240</v>
      </c>
      <c r="L121" s="881">
        <f t="shared" si="11"/>
        <v>1058</v>
      </c>
      <c r="M121" s="33">
        <f t="shared" si="12"/>
        <v>2998</v>
      </c>
      <c r="N121" s="40">
        <f t="shared" si="16"/>
        <v>6999.991</v>
      </c>
      <c r="O121" s="35">
        <f>PAGOSABR20!B283</f>
        <v>5058.43</v>
      </c>
      <c r="P121" s="33">
        <f t="shared" si="13"/>
        <v>1941.561</v>
      </c>
      <c r="Q121" s="33">
        <f t="shared" si="14"/>
        <v>2999.561</v>
      </c>
      <c r="R121" s="882"/>
      <c r="S121" s="35">
        <f t="shared" si="15"/>
        <v>2999.561</v>
      </c>
      <c r="T121" s="33"/>
      <c r="U121" s="36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>
      <c r="A122" s="99" t="s">
        <v>32</v>
      </c>
      <c r="B122" s="100">
        <v>43950.0</v>
      </c>
      <c r="C122" s="22">
        <v>11325.0</v>
      </c>
      <c r="D122" s="24">
        <v>1960.0</v>
      </c>
      <c r="E122" s="25">
        <v>1000.0</v>
      </c>
      <c r="F122" s="35">
        <v>1300.0</v>
      </c>
      <c r="G122" s="35">
        <v>3305.0</v>
      </c>
      <c r="H122" s="35">
        <v>2595.0</v>
      </c>
      <c r="I122" s="33"/>
      <c r="J122" s="30">
        <v>4178.0</v>
      </c>
      <c r="K122" s="114">
        <f t="shared" si="10"/>
        <v>2960</v>
      </c>
      <c r="L122" s="881">
        <f t="shared" si="11"/>
        <v>4178</v>
      </c>
      <c r="M122" s="33">
        <f t="shared" si="12"/>
        <v>3013</v>
      </c>
      <c r="N122" s="40">
        <f t="shared" si="16"/>
        <v>2999.561</v>
      </c>
      <c r="O122" s="35">
        <f>PAGOSABR20!B293</f>
        <v>2177.77</v>
      </c>
      <c r="P122" s="33">
        <f t="shared" si="13"/>
        <v>821.791</v>
      </c>
      <c r="Q122" s="33">
        <f t="shared" si="14"/>
        <v>4999.791</v>
      </c>
      <c r="R122" s="882"/>
      <c r="S122" s="35">
        <f t="shared" si="15"/>
        <v>4999.791</v>
      </c>
      <c r="T122" s="33"/>
      <c r="U122" s="36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>
      <c r="A123" s="99" t="s">
        <v>24</v>
      </c>
      <c r="B123" s="100">
        <v>43951.0</v>
      </c>
      <c r="C123" s="22">
        <v>6680.0</v>
      </c>
      <c r="D123" s="24">
        <f>1100+350+340+170+150+200</f>
        <v>2310</v>
      </c>
      <c r="E123" s="25">
        <v>1000.0</v>
      </c>
      <c r="F123" s="35">
        <f>380+700</f>
        <v>1080</v>
      </c>
      <c r="G123" s="33">
        <f>585+770</f>
        <v>1355</v>
      </c>
      <c r="H123" s="35">
        <v>610.0</v>
      </c>
      <c r="I123" s="33"/>
      <c r="J123" s="30">
        <v>3300.0</v>
      </c>
      <c r="K123" s="114">
        <f t="shared" si="10"/>
        <v>3310</v>
      </c>
      <c r="L123" s="881">
        <f t="shared" si="11"/>
        <v>3300</v>
      </c>
      <c r="M123" s="33">
        <f t="shared" si="12"/>
        <v>2975</v>
      </c>
      <c r="N123" s="40">
        <f t="shared" si="16"/>
        <v>4999.791</v>
      </c>
      <c r="O123" s="35">
        <f>PAGOSABR20!B303</f>
        <v>300</v>
      </c>
      <c r="P123" s="33">
        <f t="shared" si="13"/>
        <v>4699.791</v>
      </c>
      <c r="Q123" s="33">
        <f t="shared" si="14"/>
        <v>7999.791</v>
      </c>
      <c r="R123" s="882"/>
      <c r="S123" s="35">
        <f t="shared" si="15"/>
        <v>7999.791</v>
      </c>
      <c r="T123" s="33"/>
      <c r="U123" s="36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>
      <c r="A124" s="165" t="s">
        <v>28</v>
      </c>
      <c r="B124" s="129" t="s">
        <v>37</v>
      </c>
      <c r="C124" s="170">
        <f>SUM(C94:C123)</f>
        <v>209505</v>
      </c>
      <c r="D124" s="170"/>
      <c r="E124" s="170"/>
      <c r="F124" s="170">
        <f t="shared" ref="F124:H124" si="17">SUM(F94:F123)</f>
        <v>23395</v>
      </c>
      <c r="G124" s="170">
        <f t="shared" si="17"/>
        <v>81186</v>
      </c>
      <c r="H124" s="170">
        <f t="shared" si="17"/>
        <v>28063</v>
      </c>
      <c r="I124" s="170"/>
      <c r="J124" s="170">
        <f>SUM(J94:J123)</f>
        <v>72911</v>
      </c>
      <c r="K124" s="114"/>
      <c r="L124" s="881"/>
      <c r="M124" s="33"/>
      <c r="N124" s="40"/>
      <c r="O124" s="35"/>
      <c r="P124" s="33"/>
      <c r="Q124" s="33"/>
      <c r="R124" s="882"/>
      <c r="S124" s="35"/>
      <c r="T124" s="33"/>
      <c r="U124" s="36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>
      <c r="A125" s="907" t="s">
        <v>25</v>
      </c>
      <c r="B125" s="908">
        <v>43952.0</v>
      </c>
      <c r="C125" s="909">
        <v>8664.0</v>
      </c>
      <c r="D125" s="910">
        <v>2730.0</v>
      </c>
      <c r="E125" s="911">
        <v>1000.0</v>
      </c>
      <c r="F125" s="175">
        <v>200.0</v>
      </c>
      <c r="G125" s="175">
        <v>3120.0</v>
      </c>
      <c r="H125" s="175">
        <v>965.0</v>
      </c>
      <c r="I125" s="173"/>
      <c r="J125" s="912">
        <v>3899.0</v>
      </c>
      <c r="K125" s="913">
        <f t="shared" ref="K125:K155" si="18">D125+E125</f>
        <v>3730</v>
      </c>
      <c r="L125" s="914">
        <f t="shared" ref="L125:L155" si="19">(D125+E125+J125)-K125</f>
        <v>3899</v>
      </c>
      <c r="M125" s="173">
        <f t="shared" ref="M125:M155" si="20">SUM(D125:J125)-(C125)</f>
        <v>3250</v>
      </c>
      <c r="N125" s="174">
        <f>S123</f>
        <v>7999.791</v>
      </c>
      <c r="O125" s="175">
        <f>PAGOSMAYO20!B11</f>
        <v>599</v>
      </c>
      <c r="P125" s="173">
        <f t="shared" ref="P125:P155" si="21">N125-O125</f>
        <v>7400.791</v>
      </c>
      <c r="Q125" s="173">
        <f t="shared" ref="Q125:Q155" si="22">(N125+J125)-O125</f>
        <v>11299.791</v>
      </c>
      <c r="R125" s="915">
        <v>9700.0</v>
      </c>
      <c r="S125" s="175">
        <f t="shared" ref="S125:S155" si="23">Q125+R125</f>
        <v>20999.791</v>
      </c>
      <c r="T125" s="33"/>
      <c r="U125" s="36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</row>
    <row r="126">
      <c r="A126" s="99" t="s">
        <v>33</v>
      </c>
      <c r="B126" s="100">
        <v>43953.0</v>
      </c>
      <c r="C126" s="22">
        <v>13757.0</v>
      </c>
      <c r="D126" s="24">
        <f>270+400+150+200+250+500</f>
        <v>1770</v>
      </c>
      <c r="E126" s="25">
        <v>0.0</v>
      </c>
      <c r="F126" s="35">
        <f>335+1045</f>
        <v>1380</v>
      </c>
      <c r="G126" s="33">
        <f>450+535+1320+1520+540+350</f>
        <v>4715</v>
      </c>
      <c r="H126" s="35">
        <f>745+250+420</f>
        <v>1415</v>
      </c>
      <c r="I126" s="33"/>
      <c r="J126" s="30">
        <v>7150.0</v>
      </c>
      <c r="K126" s="114">
        <f t="shared" si="18"/>
        <v>1770</v>
      </c>
      <c r="L126" s="881">
        <f t="shared" si="19"/>
        <v>7150</v>
      </c>
      <c r="M126" s="33">
        <f t="shared" si="20"/>
        <v>2673</v>
      </c>
      <c r="N126" s="40">
        <f t="shared" ref="N126:N155" si="24">S125</f>
        <v>20999.791</v>
      </c>
      <c r="O126" s="35">
        <f>PAGOSMAYO20!B21</f>
        <v>22150</v>
      </c>
      <c r="P126" s="33">
        <f t="shared" si="21"/>
        <v>-1150.209</v>
      </c>
      <c r="Q126" s="33">
        <f t="shared" si="22"/>
        <v>5999.791</v>
      </c>
      <c r="R126" s="882"/>
      <c r="S126" s="35">
        <f t="shared" si="23"/>
        <v>5999.791</v>
      </c>
      <c r="T126" s="33"/>
      <c r="U126" s="36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>
      <c r="A127" s="150" t="s">
        <v>27</v>
      </c>
      <c r="B127" s="162">
        <v>43954.0</v>
      </c>
      <c r="C127" s="160">
        <v>5005.0</v>
      </c>
      <c r="D127" s="160">
        <v>1410.0</v>
      </c>
      <c r="E127" s="160">
        <v>1000.0</v>
      </c>
      <c r="F127" s="160">
        <v>1000.0</v>
      </c>
      <c r="G127" s="160">
        <v>1210.0</v>
      </c>
      <c r="H127" s="160">
        <v>0.0</v>
      </c>
      <c r="I127" s="37"/>
      <c r="J127" s="160">
        <v>3058.0</v>
      </c>
      <c r="K127" s="37">
        <f t="shared" si="18"/>
        <v>2410</v>
      </c>
      <c r="L127" s="37">
        <f t="shared" si="19"/>
        <v>3058</v>
      </c>
      <c r="M127" s="37">
        <f t="shared" si="20"/>
        <v>2673</v>
      </c>
      <c r="N127" s="207">
        <f t="shared" si="24"/>
        <v>5999.791</v>
      </c>
      <c r="O127" s="160">
        <f>PAGOSMAYO20!B31</f>
        <v>28058</v>
      </c>
      <c r="P127" s="37">
        <f t="shared" si="21"/>
        <v>-22058.209</v>
      </c>
      <c r="Q127" s="37">
        <f t="shared" si="22"/>
        <v>-19000.209</v>
      </c>
      <c r="R127" s="160">
        <v>25500.0</v>
      </c>
      <c r="S127" s="160">
        <f t="shared" si="23"/>
        <v>6499.791</v>
      </c>
      <c r="T127" s="33"/>
      <c r="U127" s="36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>
      <c r="A128" s="99" t="s">
        <v>21</v>
      </c>
      <c r="B128" s="100">
        <v>43955.0</v>
      </c>
      <c r="C128" s="22">
        <v>10844.0</v>
      </c>
      <c r="D128" s="24">
        <f>1000+100+500+360+200</f>
        <v>2160</v>
      </c>
      <c r="E128" s="25">
        <v>1000.0</v>
      </c>
      <c r="F128" s="35">
        <v>0.0</v>
      </c>
      <c r="G128" s="35">
        <v>2655.0</v>
      </c>
      <c r="H128" s="35">
        <v>1485.0</v>
      </c>
      <c r="I128" s="33"/>
      <c r="J128" s="30">
        <v>5244.0</v>
      </c>
      <c r="K128" s="114">
        <f t="shared" si="18"/>
        <v>3160</v>
      </c>
      <c r="L128" s="881">
        <f t="shared" si="19"/>
        <v>5244</v>
      </c>
      <c r="M128" s="33">
        <f t="shared" si="20"/>
        <v>1700</v>
      </c>
      <c r="N128" s="40">
        <f t="shared" si="24"/>
        <v>6499.791</v>
      </c>
      <c r="O128" s="35">
        <f>PAGOSMAYO20!B41</f>
        <v>2744</v>
      </c>
      <c r="P128" s="33">
        <f t="shared" si="21"/>
        <v>3755.791</v>
      </c>
      <c r="Q128" s="33">
        <f t="shared" si="22"/>
        <v>8999.791</v>
      </c>
      <c r="R128" s="882"/>
      <c r="S128" s="35">
        <f t="shared" si="23"/>
        <v>8999.791</v>
      </c>
      <c r="T128" s="33"/>
      <c r="U128" s="36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>
      <c r="A129" s="99" t="s">
        <v>22</v>
      </c>
      <c r="B129" s="100">
        <v>43956.0</v>
      </c>
      <c r="C129" s="22">
        <v>5885.0</v>
      </c>
      <c r="D129" s="24">
        <v>2550.0</v>
      </c>
      <c r="E129" s="25">
        <v>1000.0</v>
      </c>
      <c r="F129" s="35">
        <v>620.0</v>
      </c>
      <c r="G129" s="35">
        <v>1060.0</v>
      </c>
      <c r="H129" s="33">
        <f>160+285</f>
        <v>445</v>
      </c>
      <c r="I129" s="33"/>
      <c r="J129" s="30">
        <v>2758.0</v>
      </c>
      <c r="K129" s="114">
        <f t="shared" si="18"/>
        <v>3550</v>
      </c>
      <c r="L129" s="881">
        <f t="shared" si="19"/>
        <v>2758</v>
      </c>
      <c r="M129" s="33">
        <f t="shared" si="20"/>
        <v>2548</v>
      </c>
      <c r="N129" s="40">
        <f t="shared" si="24"/>
        <v>8999.791</v>
      </c>
      <c r="O129" s="35">
        <f>PAGOSMAYO20!B51</f>
        <v>11257.78</v>
      </c>
      <c r="P129" s="33">
        <f t="shared" si="21"/>
        <v>-2257.989</v>
      </c>
      <c r="Q129" s="33">
        <f t="shared" si="22"/>
        <v>500.011</v>
      </c>
      <c r="R129" s="882">
        <v>3500.0</v>
      </c>
      <c r="S129" s="35">
        <f t="shared" si="23"/>
        <v>4000.011</v>
      </c>
      <c r="T129" s="33"/>
      <c r="U129" s="36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>
      <c r="A130" s="99" t="s">
        <v>32</v>
      </c>
      <c r="B130" s="100">
        <v>43957.0</v>
      </c>
      <c r="C130" s="22">
        <v>12395.0</v>
      </c>
      <c r="D130" s="24">
        <f>800+600+580+510+200+240</f>
        <v>2930</v>
      </c>
      <c r="E130" s="25">
        <v>1000.0</v>
      </c>
      <c r="F130" s="35">
        <v>1245.0</v>
      </c>
      <c r="G130" s="35">
        <v>1520.0</v>
      </c>
      <c r="H130" s="33">
        <f>370+790+780</f>
        <v>1940</v>
      </c>
      <c r="I130" s="33"/>
      <c r="J130" s="30">
        <v>5402.0</v>
      </c>
      <c r="K130" s="114">
        <f t="shared" si="18"/>
        <v>3930</v>
      </c>
      <c r="L130" s="881">
        <f t="shared" si="19"/>
        <v>5402</v>
      </c>
      <c r="M130" s="33">
        <f t="shared" si="20"/>
        <v>1642</v>
      </c>
      <c r="N130" s="40">
        <f t="shared" si="24"/>
        <v>4000.011</v>
      </c>
      <c r="O130" s="35">
        <f>PAGOSMAYO20!B61</f>
        <v>402</v>
      </c>
      <c r="P130" s="33">
        <f t="shared" si="21"/>
        <v>3598.011</v>
      </c>
      <c r="Q130" s="33">
        <f t="shared" si="22"/>
        <v>9000.011</v>
      </c>
      <c r="R130" s="882"/>
      <c r="S130" s="35">
        <f t="shared" si="23"/>
        <v>9000.011</v>
      </c>
      <c r="T130" s="33"/>
      <c r="U130" s="36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>
      <c r="A131" s="99" t="s">
        <v>24</v>
      </c>
      <c r="B131" s="100">
        <v>43958.0</v>
      </c>
      <c r="C131" s="22">
        <v>12670.0</v>
      </c>
      <c r="D131" s="24">
        <v>3380.0</v>
      </c>
      <c r="E131" s="25">
        <v>1000.0</v>
      </c>
      <c r="F131" s="35">
        <v>1735.0</v>
      </c>
      <c r="G131" s="35">
        <v>1829.0</v>
      </c>
      <c r="H131" s="35">
        <v>3950.0</v>
      </c>
      <c r="I131" s="33"/>
      <c r="J131" s="30">
        <v>4496.0</v>
      </c>
      <c r="K131" s="114">
        <f t="shared" si="18"/>
        <v>4380</v>
      </c>
      <c r="L131" s="881">
        <f t="shared" si="19"/>
        <v>4496</v>
      </c>
      <c r="M131" s="33">
        <f t="shared" si="20"/>
        <v>3720</v>
      </c>
      <c r="N131" s="40">
        <f t="shared" si="24"/>
        <v>9000.011</v>
      </c>
      <c r="O131" s="35">
        <f>PAGOSMAYO20!B71</f>
        <v>1496</v>
      </c>
      <c r="P131" s="33">
        <f t="shared" si="21"/>
        <v>7504.011</v>
      </c>
      <c r="Q131" s="33">
        <f t="shared" si="22"/>
        <v>12000.011</v>
      </c>
      <c r="R131" s="882"/>
      <c r="S131" s="35">
        <f t="shared" si="23"/>
        <v>12000.011</v>
      </c>
      <c r="T131" s="33"/>
      <c r="U131" s="36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>
      <c r="A132" s="99" t="s">
        <v>25</v>
      </c>
      <c r="B132" s="100">
        <v>43959.0</v>
      </c>
      <c r="C132" s="22">
        <v>11834.0</v>
      </c>
      <c r="D132" s="24">
        <f>800+500+660+600+250</f>
        <v>2810</v>
      </c>
      <c r="E132" s="25">
        <v>1000.0</v>
      </c>
      <c r="F132" s="35">
        <v>725.0</v>
      </c>
      <c r="G132" s="35">
        <v>530.0</v>
      </c>
      <c r="H132" s="35">
        <v>5225.0</v>
      </c>
      <c r="I132" s="33"/>
      <c r="J132" s="30">
        <v>5859.0</v>
      </c>
      <c r="K132" s="114">
        <f t="shared" si="18"/>
        <v>3810</v>
      </c>
      <c r="L132" s="881">
        <f t="shared" si="19"/>
        <v>5859</v>
      </c>
      <c r="M132" s="33">
        <f t="shared" si="20"/>
        <v>4315</v>
      </c>
      <c r="N132" s="40">
        <f t="shared" si="24"/>
        <v>12000.011</v>
      </c>
      <c r="O132" s="35">
        <f>PAGOSMAYO20!B81</f>
        <v>5859.36</v>
      </c>
      <c r="P132" s="33">
        <f t="shared" si="21"/>
        <v>6140.651</v>
      </c>
      <c r="Q132" s="33">
        <f t="shared" si="22"/>
        <v>11999.651</v>
      </c>
      <c r="R132" s="882"/>
      <c r="S132" s="35">
        <f t="shared" si="23"/>
        <v>11999.651</v>
      </c>
      <c r="T132" s="33"/>
      <c r="U132" s="36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>
      <c r="A133" s="99" t="s">
        <v>33</v>
      </c>
      <c r="B133" s="100">
        <v>43960.0</v>
      </c>
      <c r="C133" s="22">
        <v>14038.0</v>
      </c>
      <c r="D133" s="24">
        <v>3090.0</v>
      </c>
      <c r="E133" s="25">
        <v>1000.0</v>
      </c>
      <c r="F133" s="35">
        <v>3420.0</v>
      </c>
      <c r="G133" s="35">
        <v>590.0</v>
      </c>
      <c r="H133" s="35">
        <v>1825.0</v>
      </c>
      <c r="I133" s="33"/>
      <c r="J133" s="30">
        <v>8066.0</v>
      </c>
      <c r="K133" s="114">
        <f t="shared" si="18"/>
        <v>4090</v>
      </c>
      <c r="L133" s="881">
        <f t="shared" si="19"/>
        <v>8066</v>
      </c>
      <c r="M133" s="33">
        <f t="shared" si="20"/>
        <v>3953</v>
      </c>
      <c r="N133" s="40">
        <f t="shared" si="24"/>
        <v>11999.651</v>
      </c>
      <c r="O133" s="35">
        <f>PAGOSMAYO20!B92</f>
        <v>8066</v>
      </c>
      <c r="P133" s="33">
        <f t="shared" si="21"/>
        <v>3933.651</v>
      </c>
      <c r="Q133" s="33">
        <f t="shared" si="22"/>
        <v>11999.651</v>
      </c>
      <c r="R133" s="882"/>
      <c r="S133" s="35">
        <f t="shared" si="23"/>
        <v>11999.651</v>
      </c>
      <c r="T133" s="33"/>
      <c r="U133" s="36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>
      <c r="A134" s="150" t="s">
        <v>27</v>
      </c>
      <c r="B134" s="162">
        <v>43961.0</v>
      </c>
      <c r="C134" s="160">
        <v>6905.0</v>
      </c>
      <c r="D134" s="160">
        <f>700+500+680+590+200+136</f>
        <v>2806</v>
      </c>
      <c r="E134" s="160">
        <v>1000.0</v>
      </c>
      <c r="F134" s="160">
        <v>435.0</v>
      </c>
      <c r="G134" s="160">
        <v>2015.0</v>
      </c>
      <c r="H134" s="160">
        <v>0.0</v>
      </c>
      <c r="I134" s="37"/>
      <c r="J134" s="160">
        <v>4716.0</v>
      </c>
      <c r="K134" s="37">
        <f t="shared" si="18"/>
        <v>3806</v>
      </c>
      <c r="L134" s="37">
        <f t="shared" si="19"/>
        <v>4716</v>
      </c>
      <c r="M134" s="37">
        <f t="shared" si="20"/>
        <v>4067</v>
      </c>
      <c r="N134" s="207">
        <f t="shared" si="24"/>
        <v>11999.651</v>
      </c>
      <c r="O134" s="160">
        <f>PAGOSMAYO20!B102</f>
        <v>1716</v>
      </c>
      <c r="P134" s="37">
        <f t="shared" si="21"/>
        <v>10283.651</v>
      </c>
      <c r="Q134" s="37">
        <f t="shared" si="22"/>
        <v>14999.651</v>
      </c>
      <c r="R134" s="160"/>
      <c r="S134" s="160">
        <f t="shared" si="23"/>
        <v>14999.651</v>
      </c>
      <c r="T134" s="33"/>
      <c r="U134" s="36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>
      <c r="A135" s="99" t="s">
        <v>21</v>
      </c>
      <c r="B135" s="100">
        <v>43962.0</v>
      </c>
      <c r="C135" s="22">
        <v>12545.0</v>
      </c>
      <c r="D135" s="24">
        <v>2170.0</v>
      </c>
      <c r="E135" s="25">
        <v>1500.0</v>
      </c>
      <c r="F135" s="35">
        <v>1080.0</v>
      </c>
      <c r="G135" s="35">
        <v>3379.0</v>
      </c>
      <c r="H135" s="35">
        <v>2040.0</v>
      </c>
      <c r="I135" s="33"/>
      <c r="J135" s="30">
        <v>4403.0</v>
      </c>
      <c r="K135" s="114">
        <f t="shared" si="18"/>
        <v>3670</v>
      </c>
      <c r="L135" s="881">
        <f t="shared" si="19"/>
        <v>4403</v>
      </c>
      <c r="M135" s="33">
        <f t="shared" si="20"/>
        <v>2027</v>
      </c>
      <c r="N135" s="40">
        <f t="shared" si="24"/>
        <v>14999.651</v>
      </c>
      <c r="O135" s="35">
        <f>PAGOSMAYO20!B112</f>
        <v>403</v>
      </c>
      <c r="P135" s="33">
        <f t="shared" si="21"/>
        <v>14596.651</v>
      </c>
      <c r="Q135" s="33">
        <f t="shared" si="22"/>
        <v>18999.651</v>
      </c>
      <c r="R135" s="882"/>
      <c r="S135" s="35">
        <f t="shared" si="23"/>
        <v>18999.651</v>
      </c>
      <c r="T135" s="33"/>
      <c r="U135" s="36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>
      <c r="A136" s="99" t="s">
        <v>22</v>
      </c>
      <c r="B136" s="100">
        <v>43963.0</v>
      </c>
      <c r="C136" s="22">
        <v>11265.0</v>
      </c>
      <c r="D136" s="24">
        <f>700+150+160+290+200</f>
        <v>1500</v>
      </c>
      <c r="E136" s="25">
        <v>1500.0</v>
      </c>
      <c r="F136" s="35">
        <f>890+780</f>
        <v>1670</v>
      </c>
      <c r="G136" s="35">
        <v>4390.0</v>
      </c>
      <c r="H136" s="35">
        <v>1465.0</v>
      </c>
      <c r="I136" s="33"/>
      <c r="J136" s="30">
        <v>4518.0</v>
      </c>
      <c r="K136" s="114">
        <f t="shared" si="18"/>
        <v>3000</v>
      </c>
      <c r="L136" s="881">
        <f t="shared" si="19"/>
        <v>4518</v>
      </c>
      <c r="M136" s="33">
        <f t="shared" si="20"/>
        <v>3778</v>
      </c>
      <c r="N136" s="40">
        <f t="shared" si="24"/>
        <v>18999.651</v>
      </c>
      <c r="O136" s="35">
        <f>PAGOSMAYO20!B122</f>
        <v>8517.38</v>
      </c>
      <c r="P136" s="33">
        <f t="shared" si="21"/>
        <v>10482.271</v>
      </c>
      <c r="Q136" s="33">
        <f t="shared" si="22"/>
        <v>15000.271</v>
      </c>
      <c r="R136" s="882"/>
      <c r="S136" s="35">
        <f t="shared" si="23"/>
        <v>15000.271</v>
      </c>
      <c r="T136" s="33"/>
      <c r="U136" s="36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>
      <c r="A137" s="99" t="s">
        <v>32</v>
      </c>
      <c r="B137" s="100">
        <v>43964.0</v>
      </c>
      <c r="C137" s="22">
        <v>11495.0</v>
      </c>
      <c r="D137" s="24">
        <v>1950.0</v>
      </c>
      <c r="E137" s="25">
        <v>1500.0</v>
      </c>
      <c r="F137" s="35">
        <v>935.0</v>
      </c>
      <c r="G137" s="35">
        <v>3030.0</v>
      </c>
      <c r="H137" s="35">
        <v>2405.0</v>
      </c>
      <c r="I137" s="33"/>
      <c r="J137" s="30">
        <v>4491.0</v>
      </c>
      <c r="K137" s="114">
        <f t="shared" si="18"/>
        <v>3450</v>
      </c>
      <c r="L137" s="881">
        <f t="shared" si="19"/>
        <v>4491</v>
      </c>
      <c r="M137" s="33">
        <f t="shared" si="20"/>
        <v>2816</v>
      </c>
      <c r="N137" s="40">
        <f t="shared" si="24"/>
        <v>15000.271</v>
      </c>
      <c r="O137" s="35">
        <f>PAGOSMAYO20!B132</f>
        <v>23491</v>
      </c>
      <c r="P137" s="33">
        <f t="shared" si="21"/>
        <v>-8490.729</v>
      </c>
      <c r="Q137" s="33">
        <f t="shared" si="22"/>
        <v>-3999.729</v>
      </c>
      <c r="R137" s="882">
        <v>10000.0</v>
      </c>
      <c r="S137" s="35">
        <f t="shared" si="23"/>
        <v>6000.271</v>
      </c>
      <c r="T137" s="33"/>
      <c r="U137" s="36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>
      <c r="A138" s="99" t="s">
        <v>24</v>
      </c>
      <c r="B138" s="100">
        <v>43965.0</v>
      </c>
      <c r="C138" s="22">
        <v>16985.0</v>
      </c>
      <c r="D138" s="24">
        <f>500+300+450</f>
        <v>1250</v>
      </c>
      <c r="E138" s="25">
        <f>1500</f>
        <v>1500</v>
      </c>
      <c r="F138" s="35">
        <f>1955+660</f>
        <v>2615</v>
      </c>
      <c r="G138" s="35">
        <v>1271.0</v>
      </c>
      <c r="H138" s="35">
        <v>6280.0</v>
      </c>
      <c r="I138" s="33"/>
      <c r="J138" s="30">
        <v>7208.0</v>
      </c>
      <c r="K138" s="114">
        <f t="shared" si="18"/>
        <v>2750</v>
      </c>
      <c r="L138" s="881">
        <f t="shared" si="19"/>
        <v>7208</v>
      </c>
      <c r="M138" s="33">
        <f t="shared" si="20"/>
        <v>3139</v>
      </c>
      <c r="N138" s="40">
        <f t="shared" si="24"/>
        <v>6000.271</v>
      </c>
      <c r="O138" s="35">
        <f>PAGOSMAYO20!B142</f>
        <v>8207.9</v>
      </c>
      <c r="P138" s="33">
        <f t="shared" si="21"/>
        <v>-2207.629</v>
      </c>
      <c r="Q138" s="33">
        <f t="shared" si="22"/>
        <v>5000.371</v>
      </c>
      <c r="R138" s="882"/>
      <c r="S138" s="35">
        <f t="shared" si="23"/>
        <v>5000.371</v>
      </c>
      <c r="T138" s="33"/>
      <c r="U138" s="36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>
      <c r="A139" s="99" t="s">
        <v>25</v>
      </c>
      <c r="B139" s="100">
        <v>43966.0</v>
      </c>
      <c r="C139" s="22">
        <v>15140.0</v>
      </c>
      <c r="D139" s="24">
        <v>1900.0</v>
      </c>
      <c r="E139" s="25">
        <v>1500.0</v>
      </c>
      <c r="F139" s="35">
        <v>1010.0</v>
      </c>
      <c r="G139" s="35">
        <v>2395.0</v>
      </c>
      <c r="H139" s="35">
        <v>4390.0</v>
      </c>
      <c r="I139" s="33"/>
      <c r="J139" s="30">
        <v>6483.0</v>
      </c>
      <c r="K139" s="114">
        <f t="shared" si="18"/>
        <v>3400</v>
      </c>
      <c r="L139" s="881">
        <f t="shared" si="19"/>
        <v>6483</v>
      </c>
      <c r="M139" s="33">
        <f t="shared" si="20"/>
        <v>2538</v>
      </c>
      <c r="N139" s="40">
        <f t="shared" si="24"/>
        <v>5000.371</v>
      </c>
      <c r="O139" s="35">
        <f>PAGOSMAYO20!B152</f>
        <v>483</v>
      </c>
      <c r="P139" s="33">
        <f t="shared" si="21"/>
        <v>4517.371</v>
      </c>
      <c r="Q139" s="33">
        <f t="shared" si="22"/>
        <v>11000.371</v>
      </c>
      <c r="R139" s="882"/>
      <c r="S139" s="35">
        <f t="shared" si="23"/>
        <v>11000.371</v>
      </c>
      <c r="T139" s="33"/>
      <c r="U139" s="36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>
      <c r="A140" s="99" t="s">
        <v>33</v>
      </c>
      <c r="B140" s="100">
        <v>43967.0</v>
      </c>
      <c r="C140" s="22">
        <v>10520.0</v>
      </c>
      <c r="D140" s="24">
        <f>400+50+360+290+200+455</f>
        <v>1755</v>
      </c>
      <c r="E140" s="25">
        <v>1000.0</v>
      </c>
      <c r="F140" s="35">
        <f>1795+270</f>
        <v>2065</v>
      </c>
      <c r="G140" s="35">
        <v>395.0</v>
      </c>
      <c r="H140" s="35">
        <v>3110.0</v>
      </c>
      <c r="I140" s="33"/>
      <c r="J140" s="30">
        <v>5620.0</v>
      </c>
      <c r="K140" s="114">
        <f t="shared" si="18"/>
        <v>2755</v>
      </c>
      <c r="L140" s="881">
        <f t="shared" si="19"/>
        <v>5620</v>
      </c>
      <c r="M140" s="33">
        <f t="shared" si="20"/>
        <v>3425</v>
      </c>
      <c r="N140" s="40">
        <f t="shared" si="24"/>
        <v>11000.371</v>
      </c>
      <c r="O140" s="35">
        <f>PAGOSMAYO20!B162</f>
        <v>9620</v>
      </c>
      <c r="P140" s="33">
        <f t="shared" si="21"/>
        <v>1380.371</v>
      </c>
      <c r="Q140" s="33">
        <f t="shared" si="22"/>
        <v>7000.371</v>
      </c>
      <c r="R140" s="882"/>
      <c r="S140" s="35">
        <f t="shared" si="23"/>
        <v>7000.371</v>
      </c>
      <c r="T140" s="33"/>
      <c r="U140" s="36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>
      <c r="A141" s="150" t="s">
        <v>27</v>
      </c>
      <c r="B141" s="162">
        <v>43968.0</v>
      </c>
      <c r="C141" s="160">
        <v>13195.0</v>
      </c>
      <c r="D141" s="160">
        <v>2290.0</v>
      </c>
      <c r="E141" s="160">
        <v>1000.0</v>
      </c>
      <c r="F141" s="160">
        <v>570.0</v>
      </c>
      <c r="G141" s="160">
        <v>3235.0</v>
      </c>
      <c r="H141" s="160">
        <v>620.0</v>
      </c>
      <c r="I141" s="37"/>
      <c r="J141" s="160">
        <v>8000.0</v>
      </c>
      <c r="K141" s="37">
        <f t="shared" si="18"/>
        <v>3290</v>
      </c>
      <c r="L141" s="37">
        <f t="shared" si="19"/>
        <v>8000</v>
      </c>
      <c r="M141" s="37">
        <f t="shared" si="20"/>
        <v>2520</v>
      </c>
      <c r="N141" s="207">
        <f t="shared" si="24"/>
        <v>7000.371</v>
      </c>
      <c r="O141" s="160">
        <f>PAGOSMAYO20!B174</f>
        <v>10000</v>
      </c>
      <c r="P141" s="37">
        <f t="shared" si="21"/>
        <v>-2999.629</v>
      </c>
      <c r="Q141" s="37">
        <f t="shared" si="22"/>
        <v>5000.371</v>
      </c>
      <c r="R141" s="160"/>
      <c r="S141" s="160">
        <f t="shared" si="23"/>
        <v>5000.371</v>
      </c>
      <c r="T141" s="33"/>
      <c r="U141" s="36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>
      <c r="A142" s="99" t="s">
        <v>21</v>
      </c>
      <c r="B142" s="100">
        <v>43969.0</v>
      </c>
      <c r="C142" s="22">
        <v>7330.0</v>
      </c>
      <c r="D142" s="24">
        <f>1100+100+550+200+35</f>
        <v>1985</v>
      </c>
      <c r="E142" s="25">
        <v>1000.0</v>
      </c>
      <c r="F142" s="35">
        <f>625+580</f>
        <v>1205</v>
      </c>
      <c r="G142" s="35">
        <v>789.0</v>
      </c>
      <c r="H142" s="35">
        <v>1220.0</v>
      </c>
      <c r="I142" s="33"/>
      <c r="J142" s="30">
        <v>4330.0</v>
      </c>
      <c r="K142" s="114">
        <f t="shared" si="18"/>
        <v>2985</v>
      </c>
      <c r="L142" s="881">
        <f t="shared" si="19"/>
        <v>4330</v>
      </c>
      <c r="M142" s="33">
        <f t="shared" si="20"/>
        <v>3199</v>
      </c>
      <c r="N142" s="40">
        <f t="shared" si="24"/>
        <v>5000.371</v>
      </c>
      <c r="O142" s="35">
        <f>PAGOSMAYO20!B184</f>
        <v>5330.8</v>
      </c>
      <c r="P142" s="33">
        <f t="shared" si="21"/>
        <v>-330.429</v>
      </c>
      <c r="Q142" s="33">
        <f t="shared" si="22"/>
        <v>3999.571</v>
      </c>
      <c r="R142" s="882"/>
      <c r="S142" s="35">
        <f t="shared" si="23"/>
        <v>3999.571</v>
      </c>
      <c r="T142" s="33"/>
      <c r="U142" s="36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>
      <c r="A143" s="99" t="s">
        <v>22</v>
      </c>
      <c r="B143" s="100">
        <v>43970.0</v>
      </c>
      <c r="C143" s="22">
        <v>14600.0</v>
      </c>
      <c r="D143" s="24">
        <v>1590.0</v>
      </c>
      <c r="E143" s="25">
        <v>1000.0</v>
      </c>
      <c r="F143" s="35">
        <v>1410.0</v>
      </c>
      <c r="G143" s="35">
        <v>2215.0</v>
      </c>
      <c r="H143" s="35">
        <v>2710.0</v>
      </c>
      <c r="I143" s="33"/>
      <c r="J143" s="30">
        <v>8900.0</v>
      </c>
      <c r="K143" s="114">
        <f t="shared" si="18"/>
        <v>2590</v>
      </c>
      <c r="L143" s="881">
        <f t="shared" si="19"/>
        <v>8900</v>
      </c>
      <c r="M143" s="33">
        <f t="shared" si="20"/>
        <v>3225</v>
      </c>
      <c r="N143" s="40">
        <f t="shared" si="24"/>
        <v>3999.571</v>
      </c>
      <c r="O143" s="35">
        <f>PAGOSMAYO20!B194</f>
        <v>2900</v>
      </c>
      <c r="P143" s="33">
        <f t="shared" si="21"/>
        <v>1099.571</v>
      </c>
      <c r="Q143" s="33">
        <f t="shared" si="22"/>
        <v>9999.571</v>
      </c>
      <c r="R143" s="882"/>
      <c r="S143" s="35">
        <f t="shared" si="23"/>
        <v>9999.571</v>
      </c>
      <c r="T143" s="33"/>
      <c r="U143" s="36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>
      <c r="A144" s="99" t="s">
        <v>32</v>
      </c>
      <c r="B144" s="100">
        <v>43971.0</v>
      </c>
      <c r="C144" s="22">
        <v>11968.0</v>
      </c>
      <c r="D144" s="24">
        <f>400+490+200+200</f>
        <v>1290</v>
      </c>
      <c r="E144" s="25">
        <v>1000.0</v>
      </c>
      <c r="F144" s="35">
        <f>1590</f>
        <v>1590</v>
      </c>
      <c r="G144" s="35">
        <v>1785.0</v>
      </c>
      <c r="H144" s="35">
        <v>3640.0</v>
      </c>
      <c r="I144" s="33"/>
      <c r="J144" s="30">
        <v>5218.0</v>
      </c>
      <c r="K144" s="114">
        <f t="shared" si="18"/>
        <v>2290</v>
      </c>
      <c r="L144" s="881">
        <f t="shared" si="19"/>
        <v>5218</v>
      </c>
      <c r="M144" s="33">
        <f t="shared" si="20"/>
        <v>2555</v>
      </c>
      <c r="N144" s="40">
        <f t="shared" si="24"/>
        <v>9999.571</v>
      </c>
      <c r="O144" s="35">
        <f>PAGOSMAYO20!B204</f>
        <v>1217.37</v>
      </c>
      <c r="P144" s="33">
        <f t="shared" si="21"/>
        <v>8782.201</v>
      </c>
      <c r="Q144" s="33">
        <f t="shared" si="22"/>
        <v>14000.201</v>
      </c>
      <c r="R144" s="882"/>
      <c r="S144" s="35">
        <f t="shared" si="23"/>
        <v>14000.201</v>
      </c>
      <c r="T144" s="33"/>
      <c r="U144" s="36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>
      <c r="A145" s="99" t="s">
        <v>24</v>
      </c>
      <c r="B145" s="100">
        <v>43972.0</v>
      </c>
      <c r="C145" s="22">
        <v>13804.0</v>
      </c>
      <c r="D145" s="24">
        <v>2840.0</v>
      </c>
      <c r="E145" s="25">
        <v>1000.0</v>
      </c>
      <c r="F145" s="35">
        <v>1725.0</v>
      </c>
      <c r="G145" s="35">
        <v>3400.0</v>
      </c>
      <c r="H145" s="35">
        <v>1150.0</v>
      </c>
      <c r="I145" s="33"/>
      <c r="J145" s="30">
        <v>8512.0</v>
      </c>
      <c r="K145" s="114">
        <f t="shared" si="18"/>
        <v>3840</v>
      </c>
      <c r="L145" s="881">
        <f t="shared" si="19"/>
        <v>8512</v>
      </c>
      <c r="M145" s="33">
        <f t="shared" si="20"/>
        <v>4823</v>
      </c>
      <c r="N145" s="40">
        <f t="shared" si="24"/>
        <v>14000.201</v>
      </c>
      <c r="O145" s="35">
        <f>PAGOSMAYO20!B214</f>
        <v>2512</v>
      </c>
      <c r="P145" s="33">
        <f t="shared" si="21"/>
        <v>11488.201</v>
      </c>
      <c r="Q145" s="33">
        <f t="shared" si="22"/>
        <v>20000.201</v>
      </c>
      <c r="R145" s="882"/>
      <c r="S145" s="35">
        <f t="shared" si="23"/>
        <v>20000.201</v>
      </c>
      <c r="T145" s="33"/>
      <c r="U145" s="36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>
      <c r="A146" s="99" t="s">
        <v>25</v>
      </c>
      <c r="B146" s="100">
        <v>43973.0</v>
      </c>
      <c r="C146" s="22">
        <v>10085.0</v>
      </c>
      <c r="D146" s="24">
        <v>910.0</v>
      </c>
      <c r="E146" s="25">
        <v>1000.0</v>
      </c>
      <c r="F146" s="35">
        <v>400.0</v>
      </c>
      <c r="G146" s="35">
        <v>240.0</v>
      </c>
      <c r="H146" s="35">
        <v>3390.0</v>
      </c>
      <c r="I146" s="33"/>
      <c r="J146" s="30">
        <v>7481.0</v>
      </c>
      <c r="K146" s="114">
        <f t="shared" si="18"/>
        <v>1910</v>
      </c>
      <c r="L146" s="881">
        <f t="shared" si="19"/>
        <v>7481</v>
      </c>
      <c r="M146" s="33">
        <f t="shared" si="20"/>
        <v>3336</v>
      </c>
      <c r="N146" s="40">
        <f t="shared" si="24"/>
        <v>20000.201</v>
      </c>
      <c r="O146" s="35">
        <f>PAGOSMAYO20!B224</f>
        <v>20481.19</v>
      </c>
      <c r="P146" s="33">
        <f t="shared" si="21"/>
        <v>-480.989</v>
      </c>
      <c r="Q146" s="33">
        <f t="shared" si="22"/>
        <v>7000.011</v>
      </c>
      <c r="R146" s="882"/>
      <c r="S146" s="35">
        <f t="shared" si="23"/>
        <v>7000.011</v>
      </c>
      <c r="T146" s="33"/>
      <c r="U146" s="36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>
      <c r="A147" s="99" t="s">
        <v>33</v>
      </c>
      <c r="B147" s="100">
        <v>43974.0</v>
      </c>
      <c r="C147" s="22">
        <v>16190.0</v>
      </c>
      <c r="D147" s="24">
        <v>1900.0</v>
      </c>
      <c r="E147" s="25">
        <v>1000.0</v>
      </c>
      <c r="F147" s="35">
        <v>3075.0</v>
      </c>
      <c r="G147" s="35">
        <v>875.0</v>
      </c>
      <c r="H147" s="35">
        <v>3590.0</v>
      </c>
      <c r="I147" s="33"/>
      <c r="J147" s="30">
        <v>8768.0</v>
      </c>
      <c r="K147" s="114">
        <f t="shared" si="18"/>
        <v>2900</v>
      </c>
      <c r="L147" s="881">
        <f t="shared" si="19"/>
        <v>8768</v>
      </c>
      <c r="M147" s="33">
        <f t="shared" si="20"/>
        <v>3018</v>
      </c>
      <c r="N147" s="40">
        <f t="shared" si="24"/>
        <v>7000.011</v>
      </c>
      <c r="O147" s="35">
        <f>PAGOSMAYO20!B239</f>
        <v>30767.58</v>
      </c>
      <c r="P147" s="33">
        <f t="shared" si="21"/>
        <v>-23767.569</v>
      </c>
      <c r="Q147" s="33">
        <f t="shared" si="22"/>
        <v>-14999.569</v>
      </c>
      <c r="R147" s="882">
        <v>22000.0</v>
      </c>
      <c r="S147" s="35">
        <f t="shared" si="23"/>
        <v>7000.431</v>
      </c>
      <c r="T147" s="33"/>
      <c r="U147" s="36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>
      <c r="A148" s="150" t="s">
        <v>27</v>
      </c>
      <c r="B148" s="162">
        <v>43975.0</v>
      </c>
      <c r="C148" s="160">
        <v>14459.0</v>
      </c>
      <c r="D148" s="160">
        <f>460+490+250</f>
        <v>1200</v>
      </c>
      <c r="E148" s="160">
        <v>1000.0</v>
      </c>
      <c r="F148" s="160">
        <v>1205.0</v>
      </c>
      <c r="G148" s="160">
        <v>2615.0</v>
      </c>
      <c r="H148" s="160">
        <f>5075+1150</f>
        <v>6225</v>
      </c>
      <c r="I148" s="37"/>
      <c r="J148" s="160">
        <v>5000.0</v>
      </c>
      <c r="K148" s="37">
        <f t="shared" si="18"/>
        <v>2200</v>
      </c>
      <c r="L148" s="37">
        <f t="shared" si="19"/>
        <v>5000</v>
      </c>
      <c r="M148" s="37">
        <f t="shared" si="20"/>
        <v>2786</v>
      </c>
      <c r="N148" s="207">
        <f t="shared" si="24"/>
        <v>7000.431</v>
      </c>
      <c r="O148" s="160">
        <f>PAGOSMAYO20!B249</f>
        <v>0</v>
      </c>
      <c r="P148" s="37">
        <f t="shared" si="21"/>
        <v>7000.431</v>
      </c>
      <c r="Q148" s="37">
        <f t="shared" si="22"/>
        <v>12000.431</v>
      </c>
      <c r="R148" s="160"/>
      <c r="S148" s="160">
        <f t="shared" si="23"/>
        <v>12000.431</v>
      </c>
      <c r="T148" s="33"/>
      <c r="U148" s="36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>
      <c r="A149" s="99" t="s">
        <v>21</v>
      </c>
      <c r="B149" s="100">
        <v>43976.0</v>
      </c>
      <c r="C149" s="22">
        <v>19224.0</v>
      </c>
      <c r="D149" s="24">
        <v>2220.0</v>
      </c>
      <c r="E149" s="25">
        <v>1000.0</v>
      </c>
      <c r="F149" s="35">
        <v>1500.0</v>
      </c>
      <c r="G149" s="35">
        <v>1429.0</v>
      </c>
      <c r="H149" s="35">
        <v>8750.0</v>
      </c>
      <c r="I149" s="33"/>
      <c r="J149" s="30">
        <v>8045.0</v>
      </c>
      <c r="K149" s="114">
        <f t="shared" si="18"/>
        <v>3220</v>
      </c>
      <c r="L149" s="881">
        <f t="shared" si="19"/>
        <v>8045</v>
      </c>
      <c r="M149" s="33">
        <f t="shared" si="20"/>
        <v>3720</v>
      </c>
      <c r="N149" s="40">
        <f t="shared" si="24"/>
        <v>12000.431</v>
      </c>
      <c r="O149" s="35">
        <f>PAGOSMAYO20!B259</f>
        <v>2045</v>
      </c>
      <c r="P149" s="33">
        <f t="shared" si="21"/>
        <v>9955.431</v>
      </c>
      <c r="Q149" s="33">
        <f t="shared" si="22"/>
        <v>18000.431</v>
      </c>
      <c r="R149" s="882"/>
      <c r="S149" s="35">
        <f t="shared" si="23"/>
        <v>18000.431</v>
      </c>
      <c r="T149" s="33"/>
      <c r="U149" s="36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>
      <c r="A150" s="99" t="s">
        <v>22</v>
      </c>
      <c r="B150" s="100">
        <v>43977.0</v>
      </c>
      <c r="C150" s="22">
        <v>9930.0</v>
      </c>
      <c r="D150" s="24">
        <f>600+50+180+250</f>
        <v>1080</v>
      </c>
      <c r="E150" s="25">
        <v>1000.0</v>
      </c>
      <c r="F150" s="35">
        <v>1150.0</v>
      </c>
      <c r="G150" s="35">
        <v>2020.0</v>
      </c>
      <c r="H150" s="35">
        <v>985.0</v>
      </c>
      <c r="I150" s="33"/>
      <c r="J150" s="30">
        <v>7272.0</v>
      </c>
      <c r="K150" s="114">
        <f t="shared" si="18"/>
        <v>2080</v>
      </c>
      <c r="L150" s="881">
        <f t="shared" si="19"/>
        <v>7272</v>
      </c>
      <c r="M150" s="33">
        <f t="shared" si="20"/>
        <v>3577</v>
      </c>
      <c r="N150" s="40">
        <f t="shared" si="24"/>
        <v>18000.431</v>
      </c>
      <c r="O150" s="35">
        <f>PAGOSMAYO20!B269</f>
        <v>3272.53</v>
      </c>
      <c r="P150" s="33">
        <f t="shared" si="21"/>
        <v>14727.901</v>
      </c>
      <c r="Q150" s="33">
        <f t="shared" si="22"/>
        <v>21999.901</v>
      </c>
      <c r="R150" s="882"/>
      <c r="S150" s="35">
        <f t="shared" si="23"/>
        <v>21999.901</v>
      </c>
      <c r="T150" s="33"/>
      <c r="U150" s="36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>
      <c r="A151" s="99" t="s">
        <v>32</v>
      </c>
      <c r="B151" s="100">
        <v>43978.0</v>
      </c>
      <c r="C151" s="22">
        <v>15084.0</v>
      </c>
      <c r="D151" s="24">
        <v>1680.0</v>
      </c>
      <c r="E151" s="25">
        <v>1000.0</v>
      </c>
      <c r="F151" s="35">
        <v>2760.0</v>
      </c>
      <c r="G151" s="35">
        <v>4264.0</v>
      </c>
      <c r="H151" s="35">
        <v>2190.0</v>
      </c>
      <c r="I151" s="33"/>
      <c r="J151" s="30">
        <v>5853.0</v>
      </c>
      <c r="K151" s="114">
        <f t="shared" si="18"/>
        <v>2680</v>
      </c>
      <c r="L151" s="881">
        <f t="shared" si="19"/>
        <v>5853</v>
      </c>
      <c r="M151" s="33">
        <f t="shared" si="20"/>
        <v>2663</v>
      </c>
      <c r="N151" s="40">
        <f t="shared" si="24"/>
        <v>21999.901</v>
      </c>
      <c r="O151" s="35">
        <f>PAGOSMAYO20!B279</f>
        <v>7853</v>
      </c>
      <c r="P151" s="33">
        <f t="shared" si="21"/>
        <v>14146.901</v>
      </c>
      <c r="Q151" s="33">
        <f t="shared" si="22"/>
        <v>19999.901</v>
      </c>
      <c r="R151" s="882"/>
      <c r="S151" s="35">
        <f t="shared" si="23"/>
        <v>19999.901</v>
      </c>
      <c r="T151" s="33"/>
      <c r="U151" s="36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>
      <c r="A152" s="99" t="s">
        <v>24</v>
      </c>
      <c r="B152" s="100">
        <v>43979.0</v>
      </c>
      <c r="C152" s="22">
        <v>14415.0</v>
      </c>
      <c r="D152" s="24">
        <f>1000+200+300+300</f>
        <v>1800</v>
      </c>
      <c r="E152" s="25">
        <v>1000.0</v>
      </c>
      <c r="F152" s="35">
        <f>2055+350</f>
        <v>2405</v>
      </c>
      <c r="G152" s="35">
        <v>1365.0</v>
      </c>
      <c r="H152" s="35">
        <v>3070.0</v>
      </c>
      <c r="I152" s="33"/>
      <c r="J152" s="30">
        <v>6847.0</v>
      </c>
      <c r="K152" s="114">
        <f t="shared" si="18"/>
        <v>2800</v>
      </c>
      <c r="L152" s="881">
        <f t="shared" si="19"/>
        <v>6847</v>
      </c>
      <c r="M152" s="33">
        <f t="shared" si="20"/>
        <v>2072</v>
      </c>
      <c r="N152" s="40">
        <f t="shared" si="24"/>
        <v>19999.901</v>
      </c>
      <c r="O152" s="35">
        <f>PAGOSMAYO20!B289</f>
        <v>4846.89</v>
      </c>
      <c r="P152" s="33">
        <f t="shared" si="21"/>
        <v>15153.011</v>
      </c>
      <c r="Q152" s="33">
        <f t="shared" si="22"/>
        <v>22000.011</v>
      </c>
      <c r="R152" s="882"/>
      <c r="S152" s="35">
        <f t="shared" si="23"/>
        <v>22000.011</v>
      </c>
      <c r="T152" s="33"/>
      <c r="U152" s="36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>
      <c r="A153" s="99" t="s">
        <v>25</v>
      </c>
      <c r="B153" s="100">
        <v>43980.0</v>
      </c>
      <c r="C153" s="22">
        <v>20175.0</v>
      </c>
      <c r="D153" s="24">
        <v>2560.0</v>
      </c>
      <c r="E153" s="25">
        <v>1000.0</v>
      </c>
      <c r="F153" s="35">
        <v>2510.0</v>
      </c>
      <c r="G153" s="35">
        <v>5575.0</v>
      </c>
      <c r="H153" s="35">
        <v>4675.0</v>
      </c>
      <c r="I153" s="33"/>
      <c r="J153" s="30">
        <v>4800.0</v>
      </c>
      <c r="K153" s="114">
        <f t="shared" si="18"/>
        <v>3560</v>
      </c>
      <c r="L153" s="881">
        <f t="shared" si="19"/>
        <v>4800</v>
      </c>
      <c r="M153" s="33">
        <f t="shared" si="20"/>
        <v>945</v>
      </c>
      <c r="N153" s="40">
        <f t="shared" si="24"/>
        <v>22000.011</v>
      </c>
      <c r="O153" s="35">
        <f>PAGOSMAYO20!B303</f>
        <v>10800.5</v>
      </c>
      <c r="P153" s="33">
        <f t="shared" si="21"/>
        <v>11199.511</v>
      </c>
      <c r="Q153" s="33">
        <f t="shared" si="22"/>
        <v>15999.511</v>
      </c>
      <c r="R153" s="882"/>
      <c r="S153" s="35">
        <f t="shared" si="23"/>
        <v>15999.511</v>
      </c>
      <c r="T153" s="33"/>
      <c r="U153" s="36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>
      <c r="A154" s="99" t="s">
        <v>33</v>
      </c>
      <c r="B154" s="100">
        <v>43981.0</v>
      </c>
      <c r="C154" s="22">
        <v>17651.0</v>
      </c>
      <c r="D154" s="24">
        <f>300+200+100+190+300</f>
        <v>1090</v>
      </c>
      <c r="E154" s="25">
        <v>1000.0</v>
      </c>
      <c r="F154" s="35">
        <f>2070+790+390</f>
        <v>3250</v>
      </c>
      <c r="G154" s="35">
        <v>2855.0</v>
      </c>
      <c r="H154" s="35">
        <v>4485.0</v>
      </c>
      <c r="I154" s="33"/>
      <c r="J154" s="30">
        <v>7345.0</v>
      </c>
      <c r="K154" s="114">
        <f t="shared" si="18"/>
        <v>2090</v>
      </c>
      <c r="L154" s="881">
        <f t="shared" si="19"/>
        <v>7345</v>
      </c>
      <c r="M154" s="33">
        <f t="shared" si="20"/>
        <v>2374</v>
      </c>
      <c r="N154" s="40">
        <f t="shared" si="24"/>
        <v>15999.511</v>
      </c>
      <c r="O154" s="35">
        <f>PAGOSMAYO20!B313</f>
        <v>14345</v>
      </c>
      <c r="P154" s="33">
        <f t="shared" si="21"/>
        <v>1654.511</v>
      </c>
      <c r="Q154" s="33">
        <f t="shared" si="22"/>
        <v>8999.511</v>
      </c>
      <c r="R154" s="882"/>
      <c r="S154" s="35">
        <f t="shared" si="23"/>
        <v>8999.511</v>
      </c>
      <c r="T154" s="33"/>
      <c r="U154" s="36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>
      <c r="A155" s="916" t="s">
        <v>27</v>
      </c>
      <c r="B155" s="917">
        <v>43982.0</v>
      </c>
      <c r="C155" s="918">
        <v>11965.0</v>
      </c>
      <c r="D155" s="918">
        <v>1310.0</v>
      </c>
      <c r="E155" s="918">
        <v>800.0</v>
      </c>
      <c r="F155" s="918">
        <v>2865.0</v>
      </c>
      <c r="G155" s="918">
        <v>650.0</v>
      </c>
      <c r="H155" s="918">
        <v>1630.0</v>
      </c>
      <c r="I155" s="148"/>
      <c r="J155" s="918">
        <v>6948.0</v>
      </c>
      <c r="K155" s="148">
        <f t="shared" si="18"/>
        <v>2110</v>
      </c>
      <c r="L155" s="148">
        <f t="shared" si="19"/>
        <v>6948</v>
      </c>
      <c r="M155" s="148">
        <f t="shared" si="20"/>
        <v>2238</v>
      </c>
      <c r="N155" s="919">
        <f t="shared" si="24"/>
        <v>8999.511</v>
      </c>
      <c r="O155" s="918">
        <f>PAGOSMAYO20!B323</f>
        <v>28948</v>
      </c>
      <c r="P155" s="148">
        <f t="shared" si="21"/>
        <v>-19948.489</v>
      </c>
      <c r="Q155" s="148">
        <f t="shared" si="22"/>
        <v>-13000.489</v>
      </c>
      <c r="R155" s="918">
        <v>30000.0</v>
      </c>
      <c r="S155" s="918">
        <f t="shared" si="23"/>
        <v>16999.511</v>
      </c>
      <c r="T155" s="33"/>
      <c r="U155" s="36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48"/>
    </row>
    <row r="156">
      <c r="A156" s="165" t="s">
        <v>28</v>
      </c>
      <c r="B156" s="129" t="s">
        <v>39</v>
      </c>
      <c r="C156" s="170">
        <f>SUM(C125:C155)</f>
        <v>390022</v>
      </c>
      <c r="D156" s="170"/>
      <c r="E156" s="170"/>
      <c r="F156" s="170">
        <f t="shared" ref="F156:H156" si="25">SUM(F125:F155)</f>
        <v>47755</v>
      </c>
      <c r="G156" s="170">
        <f t="shared" si="25"/>
        <v>67416</v>
      </c>
      <c r="H156" s="170">
        <f t="shared" si="25"/>
        <v>85270</v>
      </c>
      <c r="I156" s="170"/>
      <c r="J156" s="170">
        <f>SUM(J125:J155)</f>
        <v>186690</v>
      </c>
      <c r="K156" s="114"/>
      <c r="L156" s="881"/>
      <c r="M156" s="33"/>
      <c r="N156" s="40"/>
      <c r="O156" s="35"/>
      <c r="P156" s="33"/>
      <c r="Q156" s="33"/>
      <c r="R156" s="882"/>
      <c r="S156" s="35"/>
      <c r="T156" s="33"/>
      <c r="U156" s="36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>
      <c r="A157" s="99" t="s">
        <v>21</v>
      </c>
      <c r="B157" s="100">
        <v>43983.0</v>
      </c>
      <c r="C157" s="22">
        <v>10240.0</v>
      </c>
      <c r="D157" s="24">
        <f>1000+160+250</f>
        <v>1410</v>
      </c>
      <c r="E157" s="25">
        <v>800.0</v>
      </c>
      <c r="F157" s="35">
        <f>210+410</f>
        <v>620</v>
      </c>
      <c r="G157" s="35">
        <v>2150.0</v>
      </c>
      <c r="H157" s="35">
        <v>2180.0</v>
      </c>
      <c r="I157" s="33"/>
      <c r="J157" s="30">
        <v>5326.0</v>
      </c>
      <c r="K157" s="114">
        <f t="shared" ref="K157:K186" si="26">D157+E157</f>
        <v>2210</v>
      </c>
      <c r="L157" s="881">
        <f t="shared" ref="L157:L186" si="27">(D157+E157+J157)-K157</f>
        <v>5326</v>
      </c>
      <c r="M157" s="33">
        <f t="shared" ref="M157:M186" si="28">SUM(D157:J157)-(C157)</f>
        <v>2246</v>
      </c>
      <c r="N157" s="40">
        <f>S155</f>
        <v>16999.511</v>
      </c>
      <c r="O157" s="35">
        <f>PAGOSJUN20!B11</f>
        <v>1325.68</v>
      </c>
      <c r="P157" s="33">
        <f t="shared" ref="P157:P186" si="29">N157-O157</f>
        <v>15673.831</v>
      </c>
      <c r="Q157" s="33">
        <f t="shared" ref="Q157:Q186" si="30">(N157+J157)-O157</f>
        <v>20999.831</v>
      </c>
      <c r="R157" s="882"/>
      <c r="S157" s="35">
        <f t="shared" ref="S157:S186" si="31">Q157+R157</f>
        <v>20999.831</v>
      </c>
      <c r="T157" s="33"/>
      <c r="U157" s="36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>
      <c r="A158" s="99" t="s">
        <v>22</v>
      </c>
      <c r="B158" s="100">
        <v>43984.0</v>
      </c>
      <c r="C158" s="22">
        <v>15219.0</v>
      </c>
      <c r="D158" s="24">
        <v>1760.0</v>
      </c>
      <c r="E158" s="25">
        <v>400.0</v>
      </c>
      <c r="F158" s="35">
        <v>1680.0</v>
      </c>
      <c r="G158" s="35">
        <v>2784.0</v>
      </c>
      <c r="H158" s="35">
        <v>3800.0</v>
      </c>
      <c r="I158" s="33"/>
      <c r="J158" s="30">
        <v>7158.0</v>
      </c>
      <c r="K158" s="114">
        <f t="shared" si="26"/>
        <v>2160</v>
      </c>
      <c r="L158" s="881">
        <f t="shared" si="27"/>
        <v>7158</v>
      </c>
      <c r="M158" s="33">
        <f t="shared" si="28"/>
        <v>2363</v>
      </c>
      <c r="N158" s="40">
        <f t="shared" ref="N158:N186" si="32">S157</f>
        <v>20999.831</v>
      </c>
      <c r="O158" s="35">
        <f>PAGOSJUN20!B21</f>
        <v>8157.336</v>
      </c>
      <c r="P158" s="33">
        <f t="shared" si="29"/>
        <v>12842.495</v>
      </c>
      <c r="Q158" s="33">
        <f t="shared" si="30"/>
        <v>20000.495</v>
      </c>
      <c r="R158" s="882"/>
      <c r="S158" s="35">
        <f t="shared" si="31"/>
        <v>20000.495</v>
      </c>
      <c r="T158" s="33"/>
      <c r="U158" s="36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>
      <c r="A159" s="99" t="s">
        <v>32</v>
      </c>
      <c r="B159" s="100">
        <v>43985.0</v>
      </c>
      <c r="C159" s="22">
        <v>15250.0</v>
      </c>
      <c r="D159" s="24">
        <f>1300+150+180+220+150</f>
        <v>2000</v>
      </c>
      <c r="E159" s="25">
        <v>400.0</v>
      </c>
      <c r="F159" s="35">
        <f>735+880</f>
        <v>1615</v>
      </c>
      <c r="G159" s="35">
        <v>2475.0</v>
      </c>
      <c r="H159" s="35">
        <v>4745.0</v>
      </c>
      <c r="I159" s="33"/>
      <c r="J159" s="30">
        <v>5980.0</v>
      </c>
      <c r="K159" s="114">
        <f t="shared" si="26"/>
        <v>2400</v>
      </c>
      <c r="L159" s="881">
        <f t="shared" si="27"/>
        <v>5980</v>
      </c>
      <c r="M159" s="33">
        <f t="shared" si="28"/>
        <v>1965</v>
      </c>
      <c r="N159" s="40">
        <f t="shared" si="32"/>
        <v>20000.495</v>
      </c>
      <c r="O159" s="35">
        <f>PAGOSJUN20!B31</f>
        <v>1980.8</v>
      </c>
      <c r="P159" s="33">
        <f t="shared" si="29"/>
        <v>18019.695</v>
      </c>
      <c r="Q159" s="33">
        <f t="shared" si="30"/>
        <v>23999.695</v>
      </c>
      <c r="R159" s="882"/>
      <c r="S159" s="35">
        <f t="shared" si="31"/>
        <v>23999.695</v>
      </c>
      <c r="T159" s="33"/>
      <c r="U159" s="36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>
      <c r="A160" s="99" t="s">
        <v>24</v>
      </c>
      <c r="B160" s="100">
        <v>43986.0</v>
      </c>
      <c r="C160" s="22">
        <v>18584.0</v>
      </c>
      <c r="D160" s="24">
        <v>1420.0</v>
      </c>
      <c r="E160" s="25">
        <v>400.0</v>
      </c>
      <c r="F160" s="35">
        <v>4335.0</v>
      </c>
      <c r="G160" s="35">
        <v>2784.0</v>
      </c>
      <c r="H160" s="35">
        <v>2350.0</v>
      </c>
      <c r="I160" s="33"/>
      <c r="J160" s="30">
        <v>9757.0</v>
      </c>
      <c r="K160" s="114">
        <f t="shared" si="26"/>
        <v>1820</v>
      </c>
      <c r="L160" s="881">
        <f t="shared" si="27"/>
        <v>9757</v>
      </c>
      <c r="M160" s="33">
        <f t="shared" si="28"/>
        <v>2462</v>
      </c>
      <c r="N160" s="40">
        <f t="shared" si="32"/>
        <v>23999.695</v>
      </c>
      <c r="O160" s="35">
        <f>PAGOSJUN20!B41</f>
        <v>3756.53</v>
      </c>
      <c r="P160" s="33">
        <f t="shared" si="29"/>
        <v>20243.165</v>
      </c>
      <c r="Q160" s="33">
        <f t="shared" si="30"/>
        <v>30000.165</v>
      </c>
      <c r="R160" s="882"/>
      <c r="S160" s="35">
        <f t="shared" si="31"/>
        <v>30000.165</v>
      </c>
      <c r="T160" s="33"/>
      <c r="U160" s="36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>
      <c r="A161" s="99" t="s">
        <v>25</v>
      </c>
      <c r="B161" s="100">
        <v>43987.0</v>
      </c>
      <c r="C161" s="22">
        <v>17255.0</v>
      </c>
      <c r="D161" s="24">
        <f>700+100+280+250</f>
        <v>1330</v>
      </c>
      <c r="E161" s="25">
        <v>400.0</v>
      </c>
      <c r="F161" s="35">
        <v>2885.0</v>
      </c>
      <c r="G161" s="35">
        <v>750.0</v>
      </c>
      <c r="H161" s="35">
        <v>3705.0</v>
      </c>
      <c r="I161" s="33"/>
      <c r="J161" s="30">
        <v>10850.0</v>
      </c>
      <c r="K161" s="114">
        <f t="shared" si="26"/>
        <v>1730</v>
      </c>
      <c r="L161" s="881">
        <f t="shared" si="27"/>
        <v>10850</v>
      </c>
      <c r="M161" s="33">
        <f t="shared" si="28"/>
        <v>2665</v>
      </c>
      <c r="N161" s="40">
        <f t="shared" si="32"/>
        <v>30000.165</v>
      </c>
      <c r="O161" s="35">
        <f>PAGOSJUN20!B51</f>
        <v>3850.38</v>
      </c>
      <c r="P161" s="33">
        <f t="shared" si="29"/>
        <v>26149.785</v>
      </c>
      <c r="Q161" s="33">
        <f t="shared" si="30"/>
        <v>36999.785</v>
      </c>
      <c r="R161" s="882"/>
      <c r="S161" s="35">
        <f t="shared" si="31"/>
        <v>36999.785</v>
      </c>
      <c r="T161" s="33"/>
      <c r="U161" s="36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>
      <c r="A162" s="99" t="s">
        <v>33</v>
      </c>
      <c r="B162" s="100">
        <v>43988.0</v>
      </c>
      <c r="C162" s="22">
        <v>23376.0</v>
      </c>
      <c r="D162" s="24">
        <f>1950</f>
        <v>1950</v>
      </c>
      <c r="E162" s="25">
        <v>400.0</v>
      </c>
      <c r="F162" s="35">
        <f>3305+470</f>
        <v>3775</v>
      </c>
      <c r="G162" s="35">
        <v>4210.0</v>
      </c>
      <c r="H162" s="35">
        <v>6655.0</v>
      </c>
      <c r="I162" s="33"/>
      <c r="J162" s="30">
        <v>7867.0</v>
      </c>
      <c r="K162" s="114">
        <f t="shared" si="26"/>
        <v>2350</v>
      </c>
      <c r="L162" s="881">
        <f t="shared" si="27"/>
        <v>7867</v>
      </c>
      <c r="M162" s="33">
        <f t="shared" si="28"/>
        <v>1481</v>
      </c>
      <c r="N162" s="40">
        <f t="shared" si="32"/>
        <v>36999.785</v>
      </c>
      <c r="O162" s="35">
        <f>PAGOSJUN20!B61</f>
        <v>11866.5</v>
      </c>
      <c r="P162" s="33">
        <f t="shared" si="29"/>
        <v>25133.285</v>
      </c>
      <c r="Q162" s="33">
        <f t="shared" si="30"/>
        <v>33000.285</v>
      </c>
      <c r="R162" s="882"/>
      <c r="S162" s="35">
        <f t="shared" si="31"/>
        <v>33000.285</v>
      </c>
      <c r="T162" s="33"/>
      <c r="U162" s="36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>
      <c r="A163" s="150" t="s">
        <v>27</v>
      </c>
      <c r="B163" s="162">
        <v>43989.0</v>
      </c>
      <c r="C163" s="160">
        <v>13795.0</v>
      </c>
      <c r="D163" s="160">
        <v>2870.0</v>
      </c>
      <c r="E163" s="160">
        <v>400.0</v>
      </c>
      <c r="F163" s="160">
        <v>2535.0</v>
      </c>
      <c r="G163" s="160">
        <v>1210.0</v>
      </c>
      <c r="H163" s="160">
        <v>2410.0</v>
      </c>
      <c r="I163" s="37"/>
      <c r="J163" s="160">
        <v>6615.0</v>
      </c>
      <c r="K163" s="37">
        <f t="shared" si="26"/>
        <v>3270</v>
      </c>
      <c r="L163" s="37">
        <f t="shared" si="27"/>
        <v>6615</v>
      </c>
      <c r="M163" s="37">
        <f t="shared" si="28"/>
        <v>2245</v>
      </c>
      <c r="N163" s="207">
        <f t="shared" si="32"/>
        <v>33000.285</v>
      </c>
      <c r="O163" s="160">
        <f>PAGOSJUN20!B71</f>
        <v>29615</v>
      </c>
      <c r="P163" s="37">
        <f t="shared" si="29"/>
        <v>3385.285</v>
      </c>
      <c r="Q163" s="37">
        <f t="shared" si="30"/>
        <v>10000.285</v>
      </c>
      <c r="R163" s="160"/>
      <c r="S163" s="160">
        <f t="shared" si="31"/>
        <v>10000.285</v>
      </c>
      <c r="T163" s="33"/>
      <c r="U163" s="36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>
      <c r="A164" s="99" t="s">
        <v>21</v>
      </c>
      <c r="B164" s="100">
        <v>43990.0</v>
      </c>
      <c r="C164" s="22">
        <v>13170.0</v>
      </c>
      <c r="D164" s="24">
        <f>500+200+170+200</f>
        <v>1070</v>
      </c>
      <c r="E164" s="25">
        <v>400.0</v>
      </c>
      <c r="F164" s="35">
        <f>430+1220+310</f>
        <v>1960</v>
      </c>
      <c r="G164" s="35">
        <v>1780.0</v>
      </c>
      <c r="H164" s="35">
        <v>2120.0</v>
      </c>
      <c r="I164" s="33"/>
      <c r="J164" s="30">
        <f>8360</f>
        <v>8360</v>
      </c>
      <c r="K164" s="114">
        <f t="shared" si="26"/>
        <v>1470</v>
      </c>
      <c r="L164" s="881">
        <f t="shared" si="27"/>
        <v>8360</v>
      </c>
      <c r="M164" s="33">
        <f t="shared" si="28"/>
        <v>2520</v>
      </c>
      <c r="N164" s="40">
        <f t="shared" si="32"/>
        <v>10000.285</v>
      </c>
      <c r="O164" s="35">
        <f>PAGOSJUN20!B81</f>
        <v>6360.59</v>
      </c>
      <c r="P164" s="33">
        <f t="shared" si="29"/>
        <v>3639.695</v>
      </c>
      <c r="Q164" s="33">
        <f t="shared" si="30"/>
        <v>11999.695</v>
      </c>
      <c r="R164" s="882"/>
      <c r="S164" s="35">
        <f t="shared" si="31"/>
        <v>11999.695</v>
      </c>
      <c r="T164" s="33"/>
      <c r="U164" s="36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>
      <c r="A165" s="99" t="s">
        <v>22</v>
      </c>
      <c r="B165" s="100">
        <v>43991.0</v>
      </c>
      <c r="C165" s="22">
        <v>14760.0</v>
      </c>
      <c r="D165" s="24">
        <v>3535.0</v>
      </c>
      <c r="E165" s="25">
        <v>400.0</v>
      </c>
      <c r="F165" s="35">
        <v>790.0</v>
      </c>
      <c r="G165" s="35">
        <v>1620.0</v>
      </c>
      <c r="H165" s="35">
        <v>3945.0</v>
      </c>
      <c r="I165" s="33"/>
      <c r="J165" s="30">
        <v>6900.0</v>
      </c>
      <c r="K165" s="114">
        <f t="shared" si="26"/>
        <v>3935</v>
      </c>
      <c r="L165" s="881">
        <f t="shared" si="27"/>
        <v>6900</v>
      </c>
      <c r="M165" s="33">
        <f t="shared" si="28"/>
        <v>2430</v>
      </c>
      <c r="N165" s="40">
        <f t="shared" si="32"/>
        <v>11999.695</v>
      </c>
      <c r="O165" s="35">
        <f>PAGOSJUN20!B91</f>
        <v>3900</v>
      </c>
      <c r="P165" s="33">
        <f t="shared" si="29"/>
        <v>8099.695</v>
      </c>
      <c r="Q165" s="33">
        <f t="shared" si="30"/>
        <v>14999.695</v>
      </c>
      <c r="R165" s="882"/>
      <c r="S165" s="35">
        <f t="shared" si="31"/>
        <v>14999.695</v>
      </c>
      <c r="T165" s="33"/>
      <c r="U165" s="36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>
      <c r="A166" s="99" t="s">
        <v>32</v>
      </c>
      <c r="B166" s="100">
        <v>43992.0</v>
      </c>
      <c r="C166" s="22">
        <v>14885.0</v>
      </c>
      <c r="D166" s="24">
        <f>1100+300+360+200+40</f>
        <v>2000</v>
      </c>
      <c r="E166" s="25">
        <v>800.0</v>
      </c>
      <c r="F166" s="35">
        <v>340.0</v>
      </c>
      <c r="G166" s="35">
        <v>2190.0</v>
      </c>
      <c r="H166" s="35">
        <v>4070.0</v>
      </c>
      <c r="I166" s="33"/>
      <c r="J166" s="30">
        <v>9014.0</v>
      </c>
      <c r="K166" s="114">
        <f t="shared" si="26"/>
        <v>2800</v>
      </c>
      <c r="L166" s="881">
        <f t="shared" si="27"/>
        <v>9014</v>
      </c>
      <c r="M166" s="33">
        <f t="shared" si="28"/>
        <v>3529</v>
      </c>
      <c r="N166" s="40">
        <f t="shared" si="32"/>
        <v>14999.695</v>
      </c>
      <c r="O166" s="35">
        <f>PAGOSJUN20!B101</f>
        <v>5773.77</v>
      </c>
      <c r="P166" s="33">
        <f t="shared" si="29"/>
        <v>9225.925</v>
      </c>
      <c r="Q166" s="33">
        <f t="shared" si="30"/>
        <v>18239.925</v>
      </c>
      <c r="R166" s="882"/>
      <c r="S166" s="35">
        <f t="shared" si="31"/>
        <v>18239.925</v>
      </c>
      <c r="T166" s="33"/>
      <c r="U166" s="36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>
      <c r="A167" s="99" t="s">
        <v>24</v>
      </c>
      <c r="B167" s="100">
        <v>43993.0</v>
      </c>
      <c r="C167" s="22">
        <v>19800.0</v>
      </c>
      <c r="D167" s="24">
        <v>2910.0</v>
      </c>
      <c r="E167" s="25">
        <v>800.0</v>
      </c>
      <c r="F167" s="35">
        <v>3505.0</v>
      </c>
      <c r="G167" s="35">
        <v>2400.0</v>
      </c>
      <c r="H167" s="35">
        <v>4565.0</v>
      </c>
      <c r="I167" s="33"/>
      <c r="J167" s="30">
        <v>8393.0</v>
      </c>
      <c r="K167" s="114">
        <f t="shared" si="26"/>
        <v>3710</v>
      </c>
      <c r="L167" s="881">
        <f t="shared" si="27"/>
        <v>8393</v>
      </c>
      <c r="M167" s="33">
        <f t="shared" si="28"/>
        <v>2773</v>
      </c>
      <c r="N167" s="40">
        <f t="shared" si="32"/>
        <v>18239.925</v>
      </c>
      <c r="O167" s="35">
        <f>PAGOSJUN20!B111</f>
        <v>13133</v>
      </c>
      <c r="P167" s="33">
        <f t="shared" si="29"/>
        <v>5106.925</v>
      </c>
      <c r="Q167" s="33">
        <f t="shared" si="30"/>
        <v>13499.925</v>
      </c>
      <c r="R167" s="882"/>
      <c r="S167" s="35">
        <f t="shared" si="31"/>
        <v>13499.925</v>
      </c>
      <c r="T167" s="33"/>
      <c r="U167" s="36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>
      <c r="A168" s="99" t="s">
        <v>25</v>
      </c>
      <c r="B168" s="100">
        <v>43994.0</v>
      </c>
      <c r="C168" s="22">
        <v>17565.0</v>
      </c>
      <c r="D168" s="24">
        <f>700+150+300+330+300</f>
        <v>1780</v>
      </c>
      <c r="E168" s="25">
        <v>800.0</v>
      </c>
      <c r="F168" s="35">
        <f>860+345</f>
        <v>1205</v>
      </c>
      <c r="G168" s="35">
        <v>1575.0</v>
      </c>
      <c r="H168" s="35">
        <f>5565+2500</f>
        <v>8065</v>
      </c>
      <c r="I168" s="33"/>
      <c r="J168" s="30">
        <v>7870.0</v>
      </c>
      <c r="K168" s="114">
        <f t="shared" si="26"/>
        <v>2580</v>
      </c>
      <c r="L168" s="881">
        <f t="shared" si="27"/>
        <v>7870</v>
      </c>
      <c r="M168" s="33">
        <f t="shared" si="28"/>
        <v>3730</v>
      </c>
      <c r="N168" s="40">
        <f t="shared" si="32"/>
        <v>13499.925</v>
      </c>
      <c r="O168" s="35">
        <f>PAGOSJUN20!B121</f>
        <v>2369.7</v>
      </c>
      <c r="P168" s="33">
        <f t="shared" si="29"/>
        <v>11130.225</v>
      </c>
      <c r="Q168" s="33">
        <f t="shared" si="30"/>
        <v>19000.225</v>
      </c>
      <c r="R168" s="882"/>
      <c r="S168" s="35">
        <f t="shared" si="31"/>
        <v>19000.225</v>
      </c>
      <c r="T168" s="33"/>
      <c r="U168" s="36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>
      <c r="A169" s="99" t="s">
        <v>33</v>
      </c>
      <c r="B169" s="100">
        <v>43995.0</v>
      </c>
      <c r="C169" s="22">
        <v>24454.0</v>
      </c>
      <c r="D169" s="24">
        <f>1300</f>
        <v>1300</v>
      </c>
      <c r="E169" s="25">
        <v>800.0</v>
      </c>
      <c r="F169" s="35">
        <f>4885+560</f>
        <v>5445</v>
      </c>
      <c r="G169" s="35">
        <v>3624.0</v>
      </c>
      <c r="H169" s="35">
        <v>5750.0</v>
      </c>
      <c r="I169" s="33"/>
      <c r="J169" s="30">
        <v>10245.0</v>
      </c>
      <c r="K169" s="114">
        <f t="shared" si="26"/>
        <v>2100</v>
      </c>
      <c r="L169" s="881">
        <f t="shared" si="27"/>
        <v>10245</v>
      </c>
      <c r="M169" s="33">
        <f t="shared" si="28"/>
        <v>2710</v>
      </c>
      <c r="N169" s="40">
        <f t="shared" si="32"/>
        <v>19000.225</v>
      </c>
      <c r="O169" s="35">
        <f>PAGOSJUN20!B131</f>
        <v>3245</v>
      </c>
      <c r="P169" s="33">
        <f t="shared" si="29"/>
        <v>15755.225</v>
      </c>
      <c r="Q169" s="33">
        <f t="shared" si="30"/>
        <v>26000.225</v>
      </c>
      <c r="R169" s="882"/>
      <c r="S169" s="35">
        <f t="shared" si="31"/>
        <v>26000.225</v>
      </c>
      <c r="T169" s="33"/>
      <c r="U169" s="36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>
      <c r="A170" s="150" t="s">
        <v>27</v>
      </c>
      <c r="B170" s="162">
        <v>43996.0</v>
      </c>
      <c r="C170" s="160">
        <v>20484.0</v>
      </c>
      <c r="D170" s="160">
        <f>1500+250+150</f>
        <v>1900</v>
      </c>
      <c r="E170" s="160">
        <v>800.0</v>
      </c>
      <c r="F170" s="160">
        <f>1215+1070</f>
        <v>2285</v>
      </c>
      <c r="G170" s="160">
        <v>657.0</v>
      </c>
      <c r="H170" s="160">
        <v>4225.0</v>
      </c>
      <c r="I170" s="37"/>
      <c r="J170" s="160">
        <v>12904.0</v>
      </c>
      <c r="K170" s="37">
        <f t="shared" si="26"/>
        <v>2700</v>
      </c>
      <c r="L170" s="37">
        <f t="shared" si="27"/>
        <v>12904</v>
      </c>
      <c r="M170" s="37">
        <f t="shared" si="28"/>
        <v>2287</v>
      </c>
      <c r="N170" s="207">
        <f t="shared" si="32"/>
        <v>26000.225</v>
      </c>
      <c r="O170" s="160">
        <f>PAGOSJUN20!B142</f>
        <v>904</v>
      </c>
      <c r="P170" s="37">
        <f t="shared" si="29"/>
        <v>25096.225</v>
      </c>
      <c r="Q170" s="37">
        <f t="shared" si="30"/>
        <v>38000.225</v>
      </c>
      <c r="R170" s="160">
        <v>-20000.0</v>
      </c>
      <c r="S170" s="160">
        <f t="shared" si="31"/>
        <v>18000.225</v>
      </c>
      <c r="T170" s="33"/>
      <c r="U170" s="36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>
      <c r="A171" s="99" t="s">
        <v>21</v>
      </c>
      <c r="B171" s="100">
        <v>43997.0</v>
      </c>
      <c r="C171" s="22">
        <v>15938.0</v>
      </c>
      <c r="D171" s="24">
        <v>2460.0</v>
      </c>
      <c r="E171" s="25">
        <v>800.0</v>
      </c>
      <c r="F171" s="35">
        <v>2470.0</v>
      </c>
      <c r="G171" s="35">
        <v>4013.0</v>
      </c>
      <c r="H171" s="35">
        <v>4850.0</v>
      </c>
      <c r="I171" s="33"/>
      <c r="J171" s="30">
        <v>6037.0</v>
      </c>
      <c r="K171" s="114">
        <f t="shared" si="26"/>
        <v>3260</v>
      </c>
      <c r="L171" s="881">
        <f t="shared" si="27"/>
        <v>6037</v>
      </c>
      <c r="M171" s="33">
        <f t="shared" si="28"/>
        <v>4692</v>
      </c>
      <c r="N171" s="40">
        <f t="shared" si="32"/>
        <v>18000.225</v>
      </c>
      <c r="O171" s="35">
        <f>PAGOSJUN20!B152</f>
        <v>3037</v>
      </c>
      <c r="P171" s="33">
        <f t="shared" si="29"/>
        <v>14963.225</v>
      </c>
      <c r="Q171" s="33">
        <f t="shared" si="30"/>
        <v>21000.225</v>
      </c>
      <c r="R171" s="882"/>
      <c r="S171" s="35">
        <f t="shared" si="31"/>
        <v>21000.225</v>
      </c>
      <c r="T171" s="33"/>
      <c r="U171" s="36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>
      <c r="A172" s="99" t="s">
        <v>22</v>
      </c>
      <c r="B172" s="100">
        <v>43998.0</v>
      </c>
      <c r="C172" s="22">
        <v>16757.0</v>
      </c>
      <c r="D172" s="24">
        <f>600+150+460+726+100+800</f>
        <v>2836</v>
      </c>
      <c r="E172" s="25">
        <v>800.0</v>
      </c>
      <c r="F172" s="35">
        <v>930.0</v>
      </c>
      <c r="G172" s="35">
        <v>3024.0</v>
      </c>
      <c r="H172" s="35">
        <v>2755.0</v>
      </c>
      <c r="I172" s="33"/>
      <c r="J172" s="30">
        <v>7865.0</v>
      </c>
      <c r="K172" s="114">
        <f t="shared" si="26"/>
        <v>3636</v>
      </c>
      <c r="L172" s="881">
        <f t="shared" si="27"/>
        <v>7865</v>
      </c>
      <c r="M172" s="33">
        <f t="shared" si="28"/>
        <v>1453</v>
      </c>
      <c r="N172" s="40">
        <f t="shared" si="32"/>
        <v>21000.225</v>
      </c>
      <c r="O172" s="35">
        <f>PAGOSJUN20!B162</f>
        <v>5865.4</v>
      </c>
      <c r="P172" s="33">
        <f t="shared" si="29"/>
        <v>15134.825</v>
      </c>
      <c r="Q172" s="33">
        <f t="shared" si="30"/>
        <v>22999.825</v>
      </c>
      <c r="R172" s="882"/>
      <c r="S172" s="35">
        <f t="shared" si="31"/>
        <v>22999.825</v>
      </c>
      <c r="T172" s="33"/>
      <c r="U172" s="36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>
      <c r="A173" s="99" t="s">
        <v>32</v>
      </c>
      <c r="B173" s="100">
        <v>43999.0</v>
      </c>
      <c r="C173" s="22">
        <v>18410.0</v>
      </c>
      <c r="D173" s="24">
        <f>650+340+820+100</f>
        <v>1910</v>
      </c>
      <c r="E173" s="25">
        <v>800.0</v>
      </c>
      <c r="F173" s="35">
        <v>895.0</v>
      </c>
      <c r="G173" s="35">
        <v>2425.0</v>
      </c>
      <c r="H173" s="35">
        <v>6615.0</v>
      </c>
      <c r="I173" s="33"/>
      <c r="J173" s="30">
        <v>9687.0</v>
      </c>
      <c r="K173" s="114">
        <f t="shared" si="26"/>
        <v>2710</v>
      </c>
      <c r="L173" s="881">
        <f t="shared" si="27"/>
        <v>9687</v>
      </c>
      <c r="M173" s="33">
        <f t="shared" si="28"/>
        <v>3922</v>
      </c>
      <c r="N173" s="40">
        <f t="shared" si="32"/>
        <v>22999.825</v>
      </c>
      <c r="O173" s="35">
        <f>PAGOSJUN20!B172</f>
        <v>7187</v>
      </c>
      <c r="P173" s="33">
        <f t="shared" si="29"/>
        <v>15812.825</v>
      </c>
      <c r="Q173" s="33">
        <f t="shared" si="30"/>
        <v>25499.825</v>
      </c>
      <c r="R173" s="882"/>
      <c r="S173" s="35">
        <f t="shared" si="31"/>
        <v>25499.825</v>
      </c>
      <c r="T173" s="33"/>
      <c r="U173" s="36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>
      <c r="A174" s="99" t="s">
        <v>24</v>
      </c>
      <c r="B174" s="100">
        <v>44000.0</v>
      </c>
      <c r="C174" s="22">
        <v>15268.75</v>
      </c>
      <c r="D174" s="24">
        <v>300.0</v>
      </c>
      <c r="E174" s="25">
        <v>800.0</v>
      </c>
      <c r="F174" s="35">
        <v>1930.0</v>
      </c>
      <c r="G174" s="35">
        <v>1990.0</v>
      </c>
      <c r="H174" s="35">
        <v>7160.0</v>
      </c>
      <c r="I174" s="33"/>
      <c r="J174" s="30">
        <v>5569.0</v>
      </c>
      <c r="K174" s="114">
        <f t="shared" si="26"/>
        <v>1100</v>
      </c>
      <c r="L174" s="881">
        <f t="shared" si="27"/>
        <v>5569</v>
      </c>
      <c r="M174" s="33">
        <f t="shared" si="28"/>
        <v>2480.25</v>
      </c>
      <c r="N174" s="40">
        <f t="shared" si="32"/>
        <v>25499.825</v>
      </c>
      <c r="O174" s="35">
        <f>PAGOSJUN20!B185</f>
        <v>14068.93</v>
      </c>
      <c r="P174" s="33">
        <f t="shared" si="29"/>
        <v>11430.895</v>
      </c>
      <c r="Q174" s="33">
        <f t="shared" si="30"/>
        <v>16999.895</v>
      </c>
      <c r="R174" s="882"/>
      <c r="S174" s="35">
        <f t="shared" si="31"/>
        <v>16999.895</v>
      </c>
      <c r="T174" s="33"/>
      <c r="U174" s="36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>
      <c r="A175" s="99" t="s">
        <v>25</v>
      </c>
      <c r="B175" s="100">
        <v>44001.0</v>
      </c>
      <c r="C175" s="22">
        <v>18029.0</v>
      </c>
      <c r="D175" s="24">
        <v>1600.0</v>
      </c>
      <c r="E175" s="25">
        <v>800.0</v>
      </c>
      <c r="F175" s="35">
        <f>3400+590</f>
        <v>3990</v>
      </c>
      <c r="G175" s="35">
        <v>1344.0</v>
      </c>
      <c r="H175" s="35">
        <v>2110.0</v>
      </c>
      <c r="I175" s="33"/>
      <c r="J175" s="30">
        <v>8406.0</v>
      </c>
      <c r="K175" s="114">
        <f t="shared" si="26"/>
        <v>2400</v>
      </c>
      <c r="L175" s="881">
        <f t="shared" si="27"/>
        <v>8406</v>
      </c>
      <c r="M175" s="33">
        <f t="shared" si="28"/>
        <v>221</v>
      </c>
      <c r="N175" s="40">
        <f t="shared" si="32"/>
        <v>16999.895</v>
      </c>
      <c r="O175" s="35">
        <f>PAGOSJUN20!B195</f>
        <v>14406.28</v>
      </c>
      <c r="P175" s="33">
        <f t="shared" si="29"/>
        <v>2593.615</v>
      </c>
      <c r="Q175" s="33">
        <f t="shared" si="30"/>
        <v>10999.615</v>
      </c>
      <c r="R175" s="882"/>
      <c r="S175" s="35">
        <f t="shared" si="31"/>
        <v>10999.615</v>
      </c>
      <c r="T175" s="33"/>
      <c r="U175" s="36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>
      <c r="A176" s="99" t="s">
        <v>33</v>
      </c>
      <c r="B176" s="100">
        <v>44002.0</v>
      </c>
      <c r="C176" s="22">
        <v>33655.0</v>
      </c>
      <c r="D176" s="24">
        <f>390+40+150+400+100+500</f>
        <v>1580</v>
      </c>
      <c r="E176" s="25">
        <v>800.0</v>
      </c>
      <c r="F176" s="35">
        <f>8730+220</f>
        <v>8950</v>
      </c>
      <c r="G176" s="35">
        <v>2995.0</v>
      </c>
      <c r="H176" s="35">
        <v>8945.0</v>
      </c>
      <c r="I176" s="33"/>
      <c r="J176" s="30">
        <v>12150.0</v>
      </c>
      <c r="K176" s="114">
        <f t="shared" si="26"/>
        <v>2380</v>
      </c>
      <c r="L176" s="881">
        <f t="shared" si="27"/>
        <v>12150</v>
      </c>
      <c r="M176" s="33">
        <f t="shared" si="28"/>
        <v>1765</v>
      </c>
      <c r="N176" s="40">
        <f t="shared" si="32"/>
        <v>10999.615</v>
      </c>
      <c r="O176" s="35">
        <f>PAGOSJUN20!B205</f>
        <v>24150</v>
      </c>
      <c r="P176" s="33">
        <f t="shared" si="29"/>
        <v>-13150.385</v>
      </c>
      <c r="Q176" s="33">
        <f t="shared" si="30"/>
        <v>-1000.385</v>
      </c>
      <c r="R176" s="882">
        <v>10000.0</v>
      </c>
      <c r="S176" s="35">
        <f t="shared" si="31"/>
        <v>8999.615</v>
      </c>
      <c r="T176" s="33"/>
      <c r="U176" s="36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>
      <c r="A177" s="150" t="s">
        <v>27</v>
      </c>
      <c r="B177" s="162">
        <v>44003.0</v>
      </c>
      <c r="C177" s="160">
        <v>16160.0</v>
      </c>
      <c r="D177" s="160">
        <f>1100+250+80+630+200</f>
        <v>2260</v>
      </c>
      <c r="E177" s="160">
        <v>800.0</v>
      </c>
      <c r="F177" s="160">
        <f>995+720</f>
        <v>1715</v>
      </c>
      <c r="G177" s="160">
        <v>265.0</v>
      </c>
      <c r="H177" s="160">
        <v>5230.0</v>
      </c>
      <c r="I177" s="37"/>
      <c r="J177" s="160">
        <v>7755.0</v>
      </c>
      <c r="K177" s="37">
        <f t="shared" si="26"/>
        <v>3060</v>
      </c>
      <c r="L177" s="37">
        <f t="shared" si="27"/>
        <v>7755</v>
      </c>
      <c r="M177" s="37">
        <f t="shared" si="28"/>
        <v>1865</v>
      </c>
      <c r="N177" s="207">
        <f t="shared" si="32"/>
        <v>8999.615</v>
      </c>
      <c r="O177" s="160">
        <f>PAGOSJUN20!B215</f>
        <v>2755</v>
      </c>
      <c r="P177" s="37">
        <f t="shared" si="29"/>
        <v>6244.615</v>
      </c>
      <c r="Q177" s="37">
        <f t="shared" si="30"/>
        <v>13999.615</v>
      </c>
      <c r="R177" s="160"/>
      <c r="S177" s="160">
        <f t="shared" si="31"/>
        <v>13999.615</v>
      </c>
      <c r="T177" s="33"/>
      <c r="U177" s="36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>
      <c r="A178" s="99" t="s">
        <v>21</v>
      </c>
      <c r="B178" s="100">
        <v>44004.0</v>
      </c>
      <c r="C178" s="22">
        <v>13822.0</v>
      </c>
      <c r="D178" s="24">
        <v>630.0</v>
      </c>
      <c r="E178" s="25">
        <v>800.0</v>
      </c>
      <c r="F178" s="35">
        <v>3115.0</v>
      </c>
      <c r="G178" s="35">
        <v>720.0</v>
      </c>
      <c r="H178" s="35">
        <v>1455.0</v>
      </c>
      <c r="I178" s="33"/>
      <c r="J178" s="30">
        <v>10286.0</v>
      </c>
      <c r="K178" s="114">
        <f t="shared" si="26"/>
        <v>1430</v>
      </c>
      <c r="L178" s="881">
        <f t="shared" si="27"/>
        <v>10286</v>
      </c>
      <c r="M178" s="33">
        <f t="shared" si="28"/>
        <v>3184</v>
      </c>
      <c r="N178" s="40">
        <f t="shared" si="32"/>
        <v>13999.615</v>
      </c>
      <c r="O178" s="35">
        <f>PAGOSJUN20!B225</f>
        <v>1285.72</v>
      </c>
      <c r="P178" s="33">
        <f t="shared" si="29"/>
        <v>12713.895</v>
      </c>
      <c r="Q178" s="33">
        <f t="shared" si="30"/>
        <v>22999.895</v>
      </c>
      <c r="R178" s="882"/>
      <c r="S178" s="35">
        <f t="shared" si="31"/>
        <v>22999.895</v>
      </c>
      <c r="T178" s="33"/>
      <c r="U178" s="36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>
      <c r="A179" s="99" t="s">
        <v>22</v>
      </c>
      <c r="B179" s="100">
        <v>44005.0</v>
      </c>
      <c r="C179" s="22">
        <v>14899.0</v>
      </c>
      <c r="D179" s="24">
        <f>500+150+60+590+150+500</f>
        <v>1950</v>
      </c>
      <c r="E179" s="25">
        <v>800.0</v>
      </c>
      <c r="F179" s="35">
        <f>220+420+330+1380</f>
        <v>2350</v>
      </c>
      <c r="G179" s="35">
        <v>1430.0</v>
      </c>
      <c r="H179" s="35">
        <v>3360.0</v>
      </c>
      <c r="I179" s="33"/>
      <c r="J179" s="30">
        <v>6557.0</v>
      </c>
      <c r="K179" s="114">
        <f t="shared" si="26"/>
        <v>2750</v>
      </c>
      <c r="L179" s="881">
        <f t="shared" si="27"/>
        <v>6557</v>
      </c>
      <c r="M179" s="33">
        <f t="shared" si="28"/>
        <v>1548</v>
      </c>
      <c r="N179" s="40">
        <f t="shared" si="32"/>
        <v>22999.895</v>
      </c>
      <c r="O179" s="35">
        <f>PAGOSJUN20!B235</f>
        <v>7556.52</v>
      </c>
      <c r="P179" s="33">
        <f t="shared" si="29"/>
        <v>15443.375</v>
      </c>
      <c r="Q179" s="33">
        <f t="shared" si="30"/>
        <v>22000.375</v>
      </c>
      <c r="R179" s="882"/>
      <c r="S179" s="35">
        <f t="shared" si="31"/>
        <v>22000.375</v>
      </c>
      <c r="T179" s="33"/>
      <c r="U179" s="36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>
      <c r="A180" s="99" t="s">
        <v>32</v>
      </c>
      <c r="B180" s="100">
        <v>44006.0</v>
      </c>
      <c r="C180" s="22">
        <v>12268.0</v>
      </c>
      <c r="D180" s="24">
        <v>1530.0</v>
      </c>
      <c r="E180" s="25">
        <v>800.0</v>
      </c>
      <c r="F180" s="35">
        <v>295.0</v>
      </c>
      <c r="G180" s="35">
        <v>3070.0</v>
      </c>
      <c r="H180" s="35">
        <v>1575.0</v>
      </c>
      <c r="I180" s="33"/>
      <c r="J180" s="30">
        <v>6639.0</v>
      </c>
      <c r="K180" s="114">
        <f t="shared" si="26"/>
        <v>2330</v>
      </c>
      <c r="L180" s="881">
        <f t="shared" si="27"/>
        <v>6639</v>
      </c>
      <c r="M180" s="33">
        <f t="shared" si="28"/>
        <v>1641</v>
      </c>
      <c r="N180" s="40">
        <f t="shared" si="32"/>
        <v>22000.375</v>
      </c>
      <c r="O180" s="35">
        <f>PAGOSJUN20!B247</f>
        <v>11639.7</v>
      </c>
      <c r="P180" s="33">
        <f t="shared" si="29"/>
        <v>10360.675</v>
      </c>
      <c r="Q180" s="33">
        <f t="shared" si="30"/>
        <v>16999.675</v>
      </c>
      <c r="R180" s="882"/>
      <c r="S180" s="35">
        <f t="shared" si="31"/>
        <v>16999.675</v>
      </c>
      <c r="T180" s="33"/>
      <c r="U180" s="36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>
      <c r="A181" s="99" t="s">
        <v>24</v>
      </c>
      <c r="B181" s="100">
        <v>44007.0</v>
      </c>
      <c r="C181" s="22">
        <v>19895.0</v>
      </c>
      <c r="D181" s="24">
        <f>500+200+480+580+140</f>
        <v>1900</v>
      </c>
      <c r="E181" s="25">
        <v>800.0</v>
      </c>
      <c r="F181" s="35">
        <f>60+875+440</f>
        <v>1375</v>
      </c>
      <c r="G181" s="35">
        <v>3340.0</v>
      </c>
      <c r="H181" s="35">
        <v>6745.0</v>
      </c>
      <c r="I181" s="33"/>
      <c r="J181" s="30">
        <v>7120.0</v>
      </c>
      <c r="K181" s="114">
        <f t="shared" si="26"/>
        <v>2700</v>
      </c>
      <c r="L181" s="881">
        <f t="shared" si="27"/>
        <v>7120</v>
      </c>
      <c r="M181" s="33">
        <f t="shared" si="28"/>
        <v>1385</v>
      </c>
      <c r="N181" s="40">
        <f t="shared" si="32"/>
        <v>16999.675</v>
      </c>
      <c r="O181" s="35">
        <f>PAGOSJUN20!B257</f>
        <v>6119.23</v>
      </c>
      <c r="P181" s="33">
        <f t="shared" si="29"/>
        <v>10880.445</v>
      </c>
      <c r="Q181" s="33">
        <f t="shared" si="30"/>
        <v>18000.445</v>
      </c>
      <c r="R181" s="882"/>
      <c r="S181" s="35">
        <f t="shared" si="31"/>
        <v>18000.445</v>
      </c>
      <c r="T181" s="33"/>
      <c r="U181" s="36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>
      <c r="A182" s="99" t="s">
        <v>25</v>
      </c>
      <c r="B182" s="100">
        <v>44008.0</v>
      </c>
      <c r="C182" s="22">
        <v>22581.0</v>
      </c>
      <c r="D182" s="24">
        <f>400+420+500+340+120</f>
        <v>1780</v>
      </c>
      <c r="E182" s="25">
        <v>800.0</v>
      </c>
      <c r="F182" s="35">
        <f>600+1645</f>
        <v>2245</v>
      </c>
      <c r="G182" s="35">
        <v>4385.0</v>
      </c>
      <c r="H182" s="35">
        <f>4835-1095</f>
        <v>3740</v>
      </c>
      <c r="I182" s="33"/>
      <c r="J182" s="30">
        <v>11876.0</v>
      </c>
      <c r="K182" s="114">
        <f t="shared" si="26"/>
        <v>2580</v>
      </c>
      <c r="L182" s="881">
        <f t="shared" si="27"/>
        <v>11876</v>
      </c>
      <c r="M182" s="33">
        <f t="shared" si="28"/>
        <v>2245</v>
      </c>
      <c r="N182" s="40">
        <f t="shared" si="32"/>
        <v>18000.445</v>
      </c>
      <c r="O182" s="35">
        <f>PAGOSJUN20!B267</f>
        <v>9876.68</v>
      </c>
      <c r="P182" s="33">
        <f t="shared" si="29"/>
        <v>8123.765</v>
      </c>
      <c r="Q182" s="33">
        <f t="shared" si="30"/>
        <v>19999.765</v>
      </c>
      <c r="R182" s="882">
        <v>13000.0</v>
      </c>
      <c r="S182" s="35">
        <f t="shared" si="31"/>
        <v>32999.765</v>
      </c>
      <c r="T182" s="33"/>
      <c r="U182" s="36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>
      <c r="A183" s="99" t="s">
        <v>33</v>
      </c>
      <c r="B183" s="100">
        <v>44009.0</v>
      </c>
      <c r="C183" s="22">
        <v>31975.0</v>
      </c>
      <c r="D183" s="24">
        <f>300+250+900+500+340+130</f>
        <v>2420</v>
      </c>
      <c r="E183" s="25">
        <v>800.0</v>
      </c>
      <c r="F183" s="35">
        <v>5795.0</v>
      </c>
      <c r="G183" s="35">
        <v>3440.0</v>
      </c>
      <c r="H183" s="35">
        <f>13440+850</f>
        <v>14290</v>
      </c>
      <c r="I183" s="33"/>
      <c r="J183" s="30">
        <v>7859.0</v>
      </c>
      <c r="K183" s="114">
        <f t="shared" si="26"/>
        <v>3220</v>
      </c>
      <c r="L183" s="881">
        <f t="shared" si="27"/>
        <v>7859</v>
      </c>
      <c r="M183" s="33">
        <f t="shared" si="28"/>
        <v>2629</v>
      </c>
      <c r="N183" s="40">
        <f t="shared" si="32"/>
        <v>32999.765</v>
      </c>
      <c r="O183" s="35">
        <f>PAGOSJUN20!B281</f>
        <v>39859</v>
      </c>
      <c r="P183" s="33">
        <f t="shared" si="29"/>
        <v>-6859.235</v>
      </c>
      <c r="Q183" s="33">
        <f t="shared" si="30"/>
        <v>999.765</v>
      </c>
      <c r="R183" s="882"/>
      <c r="S183" s="35">
        <f t="shared" si="31"/>
        <v>999.765</v>
      </c>
      <c r="T183" s="33"/>
      <c r="U183" s="36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>
      <c r="A184" s="150" t="s">
        <v>27</v>
      </c>
      <c r="B184" s="162">
        <v>44010.0</v>
      </c>
      <c r="C184" s="160">
        <v>16304.0</v>
      </c>
      <c r="D184" s="160">
        <f>500+450+500+360+770+120</f>
        <v>2700</v>
      </c>
      <c r="E184" s="160">
        <v>800.0</v>
      </c>
      <c r="F184" s="160">
        <v>0.0</v>
      </c>
      <c r="G184" s="160">
        <v>4634.0</v>
      </c>
      <c r="H184" s="160">
        <v>4330.0</v>
      </c>
      <c r="I184" s="37"/>
      <c r="J184" s="160">
        <v>6196.0</v>
      </c>
      <c r="K184" s="37">
        <f t="shared" si="26"/>
        <v>3500</v>
      </c>
      <c r="L184" s="37">
        <f t="shared" si="27"/>
        <v>6196</v>
      </c>
      <c r="M184" s="37">
        <f t="shared" si="28"/>
        <v>2356</v>
      </c>
      <c r="N184" s="207">
        <f t="shared" si="32"/>
        <v>999.765</v>
      </c>
      <c r="O184" s="160">
        <f>PAGOSJUN20!B291</f>
        <v>1195.9</v>
      </c>
      <c r="P184" s="37">
        <f t="shared" si="29"/>
        <v>-196.135</v>
      </c>
      <c r="Q184" s="37">
        <f t="shared" si="30"/>
        <v>5999.865</v>
      </c>
      <c r="R184" s="160"/>
      <c r="S184" s="160">
        <f t="shared" si="31"/>
        <v>5999.865</v>
      </c>
      <c r="T184" s="33"/>
      <c r="U184" s="36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</row>
    <row r="185">
      <c r="A185" s="99" t="s">
        <v>21</v>
      </c>
      <c r="B185" s="100">
        <v>44011.0</v>
      </c>
      <c r="C185" s="22">
        <v>26595.0</v>
      </c>
      <c r="D185" s="24">
        <f>650+740+570+110</f>
        <v>2070</v>
      </c>
      <c r="E185" s="25">
        <v>1000.0</v>
      </c>
      <c r="F185" s="35">
        <v>1790.0</v>
      </c>
      <c r="G185" s="35">
        <v>2875.0</v>
      </c>
      <c r="H185" s="35">
        <v>10090.0</v>
      </c>
      <c r="I185" s="33"/>
      <c r="J185" s="30">
        <v>12311.0</v>
      </c>
      <c r="K185" s="114">
        <f t="shared" si="26"/>
        <v>3070</v>
      </c>
      <c r="L185" s="881">
        <f t="shared" si="27"/>
        <v>12311</v>
      </c>
      <c r="M185" s="33">
        <f t="shared" si="28"/>
        <v>3541</v>
      </c>
      <c r="N185" s="40">
        <f t="shared" si="32"/>
        <v>5999.865</v>
      </c>
      <c r="O185" s="35">
        <f>PAGOSJUN20!B301</f>
        <v>7311</v>
      </c>
      <c r="P185" s="33">
        <f t="shared" si="29"/>
        <v>-1311.135</v>
      </c>
      <c r="Q185" s="33">
        <f t="shared" si="30"/>
        <v>10999.865</v>
      </c>
      <c r="R185" s="882"/>
      <c r="S185" s="35">
        <f t="shared" si="31"/>
        <v>10999.865</v>
      </c>
      <c r="T185" s="33"/>
      <c r="U185" s="36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>
      <c r="A186" s="920" t="s">
        <v>22</v>
      </c>
      <c r="B186" s="921">
        <v>44012.0</v>
      </c>
      <c r="C186" s="869">
        <v>17452.0</v>
      </c>
      <c r="D186" s="870">
        <f>400+150+900+600+150+500</f>
        <v>2700</v>
      </c>
      <c r="E186" s="871">
        <v>1000.0</v>
      </c>
      <c r="F186" s="147">
        <f>295+300+2585+260</f>
        <v>3440</v>
      </c>
      <c r="G186" s="147">
        <v>3643.0</v>
      </c>
      <c r="H186" s="147">
        <v>2450.0</v>
      </c>
      <c r="I186" s="145"/>
      <c r="J186" s="922">
        <v>6426.0</v>
      </c>
      <c r="K186" s="923">
        <f t="shared" si="26"/>
        <v>3700</v>
      </c>
      <c r="L186" s="924">
        <f t="shared" si="27"/>
        <v>6426</v>
      </c>
      <c r="M186" s="145">
        <f t="shared" si="28"/>
        <v>2207</v>
      </c>
      <c r="N186" s="146">
        <f t="shared" si="32"/>
        <v>10999.865</v>
      </c>
      <c r="O186" s="147">
        <f>PAGOSJUN20!B313</f>
        <v>9425.67</v>
      </c>
      <c r="P186" s="145">
        <f t="shared" si="29"/>
        <v>1574.195</v>
      </c>
      <c r="Q186" s="145">
        <f t="shared" si="30"/>
        <v>8000.195</v>
      </c>
      <c r="R186" s="925"/>
      <c r="S186" s="147">
        <f t="shared" si="31"/>
        <v>8000.195</v>
      </c>
      <c r="T186" s="33"/>
      <c r="U186" s="36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</row>
    <row r="187">
      <c r="A187" s="165" t="s">
        <v>28</v>
      </c>
      <c r="B187" s="129" t="s">
        <v>41</v>
      </c>
      <c r="C187" s="170">
        <f t="shared" ref="C187:J187" si="33">SUM(C157:C186)</f>
        <v>548845.75</v>
      </c>
      <c r="D187" s="170">
        <f t="shared" si="33"/>
        <v>57861</v>
      </c>
      <c r="E187" s="170">
        <f t="shared" si="33"/>
        <v>21200</v>
      </c>
      <c r="F187" s="170">
        <f t="shared" si="33"/>
        <v>74260</v>
      </c>
      <c r="G187" s="170">
        <f t="shared" si="33"/>
        <v>73802</v>
      </c>
      <c r="H187" s="170">
        <f t="shared" si="33"/>
        <v>144285</v>
      </c>
      <c r="I187" s="170">
        <f t="shared" si="33"/>
        <v>0</v>
      </c>
      <c r="J187" s="170">
        <f t="shared" si="33"/>
        <v>249978</v>
      </c>
      <c r="K187" s="114"/>
      <c r="L187" s="881"/>
      <c r="M187" s="33"/>
      <c r="N187" s="40"/>
      <c r="O187" s="35"/>
      <c r="P187" s="33"/>
      <c r="Q187" s="33"/>
      <c r="R187" s="882"/>
      <c r="S187" s="35"/>
      <c r="T187" s="33"/>
      <c r="U187" s="36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>
      <c r="A188" s="99" t="s">
        <v>32</v>
      </c>
      <c r="B188" s="100">
        <v>44013.0</v>
      </c>
      <c r="C188" s="22">
        <v>8225.0</v>
      </c>
      <c r="D188" s="24">
        <f>600+720+600+150</f>
        <v>2070</v>
      </c>
      <c r="E188" s="25">
        <v>1000.0</v>
      </c>
      <c r="F188" s="35">
        <v>0.0</v>
      </c>
      <c r="G188" s="35">
        <v>1250.0</v>
      </c>
      <c r="H188" s="35">
        <v>345.0</v>
      </c>
      <c r="I188" s="35"/>
      <c r="J188" s="30">
        <v>7867.0</v>
      </c>
      <c r="K188" s="114">
        <f t="shared" ref="K188:K205" si="34">D188+E188</f>
        <v>3070</v>
      </c>
      <c r="L188" s="881">
        <f t="shared" ref="L188:L218" si="35">(D188+E188+J188)-K188</f>
        <v>7867</v>
      </c>
      <c r="M188" s="33">
        <f t="shared" ref="M188:M218" si="36">SUM(D188:J188)-(C188)</f>
        <v>4307</v>
      </c>
      <c r="N188" s="40">
        <f>S186</f>
        <v>8000.195</v>
      </c>
      <c r="O188" s="35">
        <f>PAGOSJUL20!B11</f>
        <v>10867.52</v>
      </c>
      <c r="P188" s="33">
        <f t="shared" ref="P188:P218" si="37">N188-O188</f>
        <v>-2867.325</v>
      </c>
      <c r="Q188" s="33">
        <f t="shared" ref="Q188:Q218" si="38">(N188+J188)-O188</f>
        <v>4999.675</v>
      </c>
      <c r="R188" s="882"/>
      <c r="S188" s="35">
        <f t="shared" ref="S188:S218" si="39">Q188+R188</f>
        <v>4999.675</v>
      </c>
      <c r="T188" s="33"/>
      <c r="U188" s="36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>
      <c r="A189" s="99" t="s">
        <v>24</v>
      </c>
      <c r="B189" s="100">
        <v>44014.0</v>
      </c>
      <c r="C189" s="22">
        <v>17272.0</v>
      </c>
      <c r="D189" s="24">
        <f>600+150+700+460+150</f>
        <v>2060</v>
      </c>
      <c r="E189" s="25">
        <v>1000.0</v>
      </c>
      <c r="F189" s="35">
        <f>560+3465+695</f>
        <v>4720</v>
      </c>
      <c r="G189" s="35">
        <v>1555.0</v>
      </c>
      <c r="H189" s="35">
        <v>3515.0</v>
      </c>
      <c r="I189" s="33"/>
      <c r="J189" s="30">
        <v>7403.0</v>
      </c>
      <c r="K189" s="114">
        <f t="shared" si="34"/>
        <v>3060</v>
      </c>
      <c r="L189" s="881">
        <f t="shared" si="35"/>
        <v>7403</v>
      </c>
      <c r="M189" s="33">
        <f t="shared" si="36"/>
        <v>2981</v>
      </c>
      <c r="N189" s="40">
        <f t="shared" ref="N189:N218" si="40">S188</f>
        <v>4999.675</v>
      </c>
      <c r="O189" s="35">
        <f>PAGOSJUL20!B21</f>
        <v>7403</v>
      </c>
      <c r="P189" s="33">
        <f t="shared" si="37"/>
        <v>-2403.325</v>
      </c>
      <c r="Q189" s="33">
        <f t="shared" si="38"/>
        <v>4999.675</v>
      </c>
      <c r="R189" s="882"/>
      <c r="S189" s="35">
        <f t="shared" si="39"/>
        <v>4999.675</v>
      </c>
      <c r="T189" s="33"/>
      <c r="U189" s="36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>
      <c r="A190" s="99" t="s">
        <v>25</v>
      </c>
      <c r="B190" s="100">
        <v>44015.0</v>
      </c>
      <c r="C190" s="22">
        <v>16915.0</v>
      </c>
      <c r="D190" s="24">
        <v>1490.0</v>
      </c>
      <c r="E190" s="25">
        <v>1000.0</v>
      </c>
      <c r="F190" s="35">
        <v>2935.0</v>
      </c>
      <c r="G190" s="35">
        <v>1200.0</v>
      </c>
      <c r="H190" s="35">
        <v>5335.0</v>
      </c>
      <c r="I190" s="33"/>
      <c r="J190" s="30">
        <v>6803.0</v>
      </c>
      <c r="K190" s="114">
        <f t="shared" si="34"/>
        <v>2490</v>
      </c>
      <c r="L190" s="881">
        <f t="shared" si="35"/>
        <v>6803</v>
      </c>
      <c r="M190" s="33">
        <f t="shared" si="36"/>
        <v>1848</v>
      </c>
      <c r="N190" s="40">
        <f t="shared" si="40"/>
        <v>4999.675</v>
      </c>
      <c r="O190" s="35">
        <f>PAGOSJUL20!B31</f>
        <v>5803</v>
      </c>
      <c r="P190" s="33">
        <f t="shared" si="37"/>
        <v>-803.325</v>
      </c>
      <c r="Q190" s="33">
        <f t="shared" si="38"/>
        <v>5999.675</v>
      </c>
      <c r="R190" s="882">
        <v>30000.0</v>
      </c>
      <c r="S190" s="35">
        <f t="shared" si="39"/>
        <v>35999.675</v>
      </c>
      <c r="T190" s="33"/>
      <c r="U190" s="36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>
      <c r="A191" s="99" t="s">
        <v>33</v>
      </c>
      <c r="B191" s="100">
        <v>44016.0</v>
      </c>
      <c r="C191" s="22">
        <v>27777.0</v>
      </c>
      <c r="D191" s="24">
        <f>900+50+500+240+430+120+400</f>
        <v>2640</v>
      </c>
      <c r="E191" s="25">
        <v>1000.0</v>
      </c>
      <c r="F191" s="35">
        <f>2530+685</f>
        <v>3215</v>
      </c>
      <c r="G191" s="35">
        <v>6917.0</v>
      </c>
      <c r="H191" s="35">
        <v>3570.0</v>
      </c>
      <c r="I191" s="33"/>
      <c r="J191" s="30">
        <v>12239.0</v>
      </c>
      <c r="K191" s="114">
        <f t="shared" si="34"/>
        <v>3640</v>
      </c>
      <c r="L191" s="881">
        <f t="shared" si="35"/>
        <v>12239</v>
      </c>
      <c r="M191" s="33">
        <f t="shared" si="36"/>
        <v>1804</v>
      </c>
      <c r="N191" s="40">
        <f t="shared" si="40"/>
        <v>35999.675</v>
      </c>
      <c r="O191" s="35">
        <f>PAGOSJUL20!B42</f>
        <v>43238.73</v>
      </c>
      <c r="P191" s="33">
        <f t="shared" si="37"/>
        <v>-7239.055</v>
      </c>
      <c r="Q191" s="33">
        <f t="shared" si="38"/>
        <v>4999.945</v>
      </c>
      <c r="R191" s="882"/>
      <c r="S191" s="35">
        <f t="shared" si="39"/>
        <v>4999.945</v>
      </c>
      <c r="T191" s="33"/>
      <c r="U191" s="36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>
      <c r="A192" s="150" t="s">
        <v>27</v>
      </c>
      <c r="B192" s="162">
        <v>44017.0</v>
      </c>
      <c r="C192" s="160">
        <v>21399.0</v>
      </c>
      <c r="D192" s="160">
        <f>1100+1058+50+611+130</f>
        <v>2949</v>
      </c>
      <c r="E192" s="160">
        <v>1000.0</v>
      </c>
      <c r="F192" s="160">
        <v>1830.0</v>
      </c>
      <c r="G192" s="160">
        <v>4184.0</v>
      </c>
      <c r="H192" s="160">
        <v>4425.0</v>
      </c>
      <c r="I192" s="37"/>
      <c r="J192" s="160">
        <v>10578.0</v>
      </c>
      <c r="K192" s="37">
        <f t="shared" si="34"/>
        <v>3949</v>
      </c>
      <c r="L192" s="37">
        <f t="shared" si="35"/>
        <v>10578</v>
      </c>
      <c r="M192" s="37">
        <f t="shared" si="36"/>
        <v>3567</v>
      </c>
      <c r="N192" s="207">
        <f t="shared" si="40"/>
        <v>4999.945</v>
      </c>
      <c r="O192" s="160">
        <f>PAGOSJUL20!B52</f>
        <v>2577.99</v>
      </c>
      <c r="P192" s="37">
        <f t="shared" si="37"/>
        <v>2421.955</v>
      </c>
      <c r="Q192" s="37">
        <f t="shared" si="38"/>
        <v>12999.955</v>
      </c>
      <c r="R192" s="160"/>
      <c r="S192" s="160">
        <f t="shared" si="39"/>
        <v>12999.955</v>
      </c>
      <c r="T192" s="33"/>
      <c r="U192" s="36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>
      <c r="A193" s="99" t="s">
        <v>21</v>
      </c>
      <c r="B193" s="100">
        <v>44018.0</v>
      </c>
      <c r="C193" s="22">
        <v>16650.0</v>
      </c>
      <c r="D193" s="24">
        <f>700+590+50+150</f>
        <v>1490</v>
      </c>
      <c r="E193" s="25">
        <v>1000.0</v>
      </c>
      <c r="F193" s="35">
        <v>1110.0</v>
      </c>
      <c r="G193" s="35">
        <v>3845.0</v>
      </c>
      <c r="H193" s="35">
        <v>3525.0</v>
      </c>
      <c r="I193" s="33"/>
      <c r="J193" s="30">
        <v>8568.0</v>
      </c>
      <c r="K193" s="114">
        <f t="shared" si="34"/>
        <v>2490</v>
      </c>
      <c r="L193" s="881">
        <f t="shared" si="35"/>
        <v>8568</v>
      </c>
      <c r="M193" s="33">
        <f t="shared" si="36"/>
        <v>2888</v>
      </c>
      <c r="N193" s="40">
        <f t="shared" si="40"/>
        <v>12999.955</v>
      </c>
      <c r="O193" s="35">
        <f>PAGOSJUL20!B62</f>
        <v>3568</v>
      </c>
      <c r="P193" s="33">
        <f t="shared" si="37"/>
        <v>9431.955</v>
      </c>
      <c r="Q193" s="33">
        <f t="shared" si="38"/>
        <v>17999.955</v>
      </c>
      <c r="R193" s="882"/>
      <c r="S193" s="35">
        <f t="shared" si="39"/>
        <v>17999.955</v>
      </c>
      <c r="T193" s="33"/>
      <c r="U193" s="36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>
      <c r="A194" s="99" t="s">
        <v>22</v>
      </c>
      <c r="B194" s="100">
        <v>44019.0</v>
      </c>
      <c r="C194" s="22">
        <v>13180.0</v>
      </c>
      <c r="D194" s="24">
        <f>640+540+300+220</f>
        <v>1700</v>
      </c>
      <c r="E194" s="25">
        <v>1000.0</v>
      </c>
      <c r="F194" s="35">
        <v>185.0</v>
      </c>
      <c r="G194" s="33">
        <f>640+720</f>
        <v>1360</v>
      </c>
      <c r="H194" s="35">
        <v>5105.0</v>
      </c>
      <c r="I194" s="33"/>
      <c r="J194" s="30">
        <v>6282.0</v>
      </c>
      <c r="K194" s="114">
        <f t="shared" si="34"/>
        <v>2700</v>
      </c>
      <c r="L194" s="881">
        <f t="shared" si="35"/>
        <v>6282</v>
      </c>
      <c r="M194" s="33">
        <f t="shared" si="36"/>
        <v>2452</v>
      </c>
      <c r="N194" s="40">
        <f t="shared" si="40"/>
        <v>17999.955</v>
      </c>
      <c r="O194" s="35">
        <f>PAGOSJUL20!B72</f>
        <v>14282</v>
      </c>
      <c r="P194" s="33">
        <f t="shared" si="37"/>
        <v>3717.955</v>
      </c>
      <c r="Q194" s="33">
        <f t="shared" si="38"/>
        <v>9999.955</v>
      </c>
      <c r="R194" s="882"/>
      <c r="S194" s="35">
        <f t="shared" si="39"/>
        <v>9999.955</v>
      </c>
      <c r="T194" s="33"/>
      <c r="U194" s="36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>
      <c r="A195" s="99" t="s">
        <v>32</v>
      </c>
      <c r="B195" s="100">
        <v>44020.0</v>
      </c>
      <c r="C195" s="22">
        <v>19415.0</v>
      </c>
      <c r="D195" s="24">
        <f>500+260+420+200</f>
        <v>1380</v>
      </c>
      <c r="E195" s="25">
        <v>1000.0</v>
      </c>
      <c r="F195" s="35">
        <v>2775.0</v>
      </c>
      <c r="G195" s="35">
        <v>2450.0</v>
      </c>
      <c r="H195" s="35">
        <v>3950.0</v>
      </c>
      <c r="I195" s="33"/>
      <c r="J195" s="30">
        <v>8664.0</v>
      </c>
      <c r="K195" s="114">
        <f t="shared" si="34"/>
        <v>2380</v>
      </c>
      <c r="L195" s="881">
        <f t="shared" si="35"/>
        <v>8664</v>
      </c>
      <c r="M195" s="33">
        <f t="shared" si="36"/>
        <v>804</v>
      </c>
      <c r="N195" s="40">
        <f t="shared" si="40"/>
        <v>9999.955</v>
      </c>
      <c r="O195" s="35">
        <f>PAGOSJUL20!B82</f>
        <v>9664</v>
      </c>
      <c r="P195" s="33">
        <f t="shared" si="37"/>
        <v>335.955</v>
      </c>
      <c r="Q195" s="33">
        <f t="shared" si="38"/>
        <v>8999.955</v>
      </c>
      <c r="R195" s="882"/>
      <c r="S195" s="35">
        <f t="shared" si="39"/>
        <v>8999.955</v>
      </c>
      <c r="T195" s="33"/>
      <c r="U195" s="36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>
      <c r="A196" s="99" t="s">
        <v>24</v>
      </c>
      <c r="B196" s="100">
        <v>44021.0</v>
      </c>
      <c r="C196" s="22">
        <v>21275.0</v>
      </c>
      <c r="D196" s="24">
        <f>500+260+390+200</f>
        <v>1350</v>
      </c>
      <c r="E196" s="25">
        <v>800.0</v>
      </c>
      <c r="F196" s="35">
        <f>1585+360</f>
        <v>1945</v>
      </c>
      <c r="G196" s="35">
        <v>1285.0</v>
      </c>
      <c r="H196" s="35">
        <v>8615.0</v>
      </c>
      <c r="I196" s="33"/>
      <c r="J196" s="30">
        <v>6822.0</v>
      </c>
      <c r="K196" s="114">
        <f t="shared" si="34"/>
        <v>2150</v>
      </c>
      <c r="L196" s="881">
        <f t="shared" si="35"/>
        <v>6822</v>
      </c>
      <c r="M196" s="33">
        <f t="shared" si="36"/>
        <v>-458</v>
      </c>
      <c r="N196" s="40">
        <f t="shared" si="40"/>
        <v>8999.955</v>
      </c>
      <c r="O196" s="35">
        <f>PAGOSJUL20!B92</f>
        <v>7821.87</v>
      </c>
      <c r="P196" s="33">
        <f t="shared" si="37"/>
        <v>1178.085</v>
      </c>
      <c r="Q196" s="33">
        <f t="shared" si="38"/>
        <v>8000.085</v>
      </c>
      <c r="R196" s="882"/>
      <c r="S196" s="35">
        <f t="shared" si="39"/>
        <v>8000.085</v>
      </c>
      <c r="T196" s="33"/>
      <c r="U196" s="36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>
      <c r="A197" s="99" t="s">
        <v>25</v>
      </c>
      <c r="B197" s="100">
        <v>44022.0</v>
      </c>
      <c r="C197" s="22">
        <v>15838.0</v>
      </c>
      <c r="D197" s="24">
        <v>2490.0</v>
      </c>
      <c r="E197" s="25">
        <v>800.0</v>
      </c>
      <c r="F197" s="35">
        <v>2625.0</v>
      </c>
      <c r="G197" s="35">
        <v>4538.0</v>
      </c>
      <c r="H197" s="35">
        <v>1635.0</v>
      </c>
      <c r="I197" s="33"/>
      <c r="J197" s="30">
        <v>8143.0</v>
      </c>
      <c r="K197" s="114">
        <f t="shared" si="34"/>
        <v>3290</v>
      </c>
      <c r="L197" s="881">
        <f t="shared" si="35"/>
        <v>8143</v>
      </c>
      <c r="M197" s="33">
        <f t="shared" si="36"/>
        <v>4393</v>
      </c>
      <c r="N197" s="40">
        <f t="shared" si="40"/>
        <v>8000.085</v>
      </c>
      <c r="O197" s="35">
        <f>PAGOSJUL20!B102</f>
        <v>4143</v>
      </c>
      <c r="P197" s="33">
        <f t="shared" si="37"/>
        <v>3857.085</v>
      </c>
      <c r="Q197" s="33">
        <f t="shared" si="38"/>
        <v>12000.085</v>
      </c>
      <c r="R197" s="882"/>
      <c r="S197" s="35">
        <f t="shared" si="39"/>
        <v>12000.085</v>
      </c>
      <c r="T197" s="33"/>
      <c r="U197" s="36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>
      <c r="A198" s="99" t="s">
        <v>33</v>
      </c>
      <c r="B198" s="100">
        <v>44023.0</v>
      </c>
      <c r="C198" s="22">
        <v>30365.0</v>
      </c>
      <c r="D198" s="24">
        <f>500+150+540+320+420</f>
        <v>1930</v>
      </c>
      <c r="E198" s="25">
        <v>800.0</v>
      </c>
      <c r="F198" s="35">
        <f>350+2685+720</f>
        <v>3755</v>
      </c>
      <c r="G198" s="35">
        <v>3905.0</v>
      </c>
      <c r="H198" s="35">
        <v>8290.0</v>
      </c>
      <c r="I198" s="33"/>
      <c r="J198" s="30">
        <v>13683.0</v>
      </c>
      <c r="K198" s="114">
        <f t="shared" si="34"/>
        <v>2730</v>
      </c>
      <c r="L198" s="881">
        <f t="shared" si="35"/>
        <v>13683</v>
      </c>
      <c r="M198" s="33">
        <f t="shared" si="36"/>
        <v>1998</v>
      </c>
      <c r="N198" s="40">
        <f t="shared" si="40"/>
        <v>12000.085</v>
      </c>
      <c r="O198" s="35">
        <f>PAGOSJUL20!B112</f>
        <v>683.58</v>
      </c>
      <c r="P198" s="33">
        <f t="shared" si="37"/>
        <v>11316.505</v>
      </c>
      <c r="Q198" s="33">
        <f t="shared" si="38"/>
        <v>24999.505</v>
      </c>
      <c r="R198" s="882"/>
      <c r="S198" s="35">
        <f t="shared" si="39"/>
        <v>24999.505</v>
      </c>
      <c r="T198" s="33"/>
      <c r="U198" s="36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>
      <c r="A199" s="150" t="s">
        <v>27</v>
      </c>
      <c r="B199" s="162">
        <v>44024.0</v>
      </c>
      <c r="C199" s="160">
        <v>10045.0</v>
      </c>
      <c r="D199" s="160">
        <v>1270.0</v>
      </c>
      <c r="E199" s="160">
        <v>800.0</v>
      </c>
      <c r="F199" s="160">
        <v>2500.0</v>
      </c>
      <c r="G199" s="160">
        <v>2540.0</v>
      </c>
      <c r="H199" s="160">
        <v>2715.0</v>
      </c>
      <c r="I199" s="37"/>
      <c r="J199" s="160">
        <v>2794.0</v>
      </c>
      <c r="K199" s="37">
        <f t="shared" si="34"/>
        <v>2070</v>
      </c>
      <c r="L199" s="37">
        <f t="shared" si="35"/>
        <v>2794</v>
      </c>
      <c r="M199" s="37">
        <f t="shared" si="36"/>
        <v>2574</v>
      </c>
      <c r="N199" s="207">
        <f t="shared" si="40"/>
        <v>24999.505</v>
      </c>
      <c r="O199" s="160">
        <f>PAGOSJUL20!B122</f>
        <v>14794</v>
      </c>
      <c r="P199" s="37">
        <f t="shared" si="37"/>
        <v>10205.505</v>
      </c>
      <c r="Q199" s="37">
        <f t="shared" si="38"/>
        <v>12999.505</v>
      </c>
      <c r="R199" s="160"/>
      <c r="S199" s="160">
        <f t="shared" si="39"/>
        <v>12999.505</v>
      </c>
      <c r="T199" s="33"/>
      <c r="U199" s="36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>
      <c r="A200" s="99" t="s">
        <v>21</v>
      </c>
      <c r="B200" s="100">
        <v>44025.0</v>
      </c>
      <c r="C200" s="22">
        <v>14199.0</v>
      </c>
      <c r="D200" s="24">
        <f>850+620+340+220</f>
        <v>2030</v>
      </c>
      <c r="E200" s="25">
        <v>800.0</v>
      </c>
      <c r="F200" s="35">
        <f>3390</f>
        <v>3390</v>
      </c>
      <c r="G200" s="35">
        <v>2929.0</v>
      </c>
      <c r="H200" s="35">
        <v>1045.0</v>
      </c>
      <c r="I200" s="33"/>
      <c r="J200" s="30">
        <v>5846.0</v>
      </c>
      <c r="K200" s="114">
        <f t="shared" si="34"/>
        <v>2830</v>
      </c>
      <c r="L200" s="881">
        <f t="shared" si="35"/>
        <v>5846</v>
      </c>
      <c r="M200" s="33">
        <f t="shared" si="36"/>
        <v>1841</v>
      </c>
      <c r="N200" s="40">
        <f t="shared" si="40"/>
        <v>12999.505</v>
      </c>
      <c r="O200" s="35">
        <f>PAGOSJUL20!B132</f>
        <v>6845.85</v>
      </c>
      <c r="P200" s="33">
        <f t="shared" si="37"/>
        <v>6153.655</v>
      </c>
      <c r="Q200" s="33">
        <f t="shared" si="38"/>
        <v>11999.655</v>
      </c>
      <c r="R200" s="882"/>
      <c r="S200" s="35">
        <f t="shared" si="39"/>
        <v>11999.655</v>
      </c>
      <c r="T200" s="33"/>
      <c r="U200" s="36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>
      <c r="A201" s="99" t="s">
        <v>22</v>
      </c>
      <c r="B201" s="100">
        <v>44026.0</v>
      </c>
      <c r="C201" s="22">
        <v>11390.0</v>
      </c>
      <c r="D201" s="24">
        <f>750+480+170+120</f>
        <v>1520</v>
      </c>
      <c r="E201" s="25">
        <v>800.0</v>
      </c>
      <c r="F201" s="35">
        <f>1190+415</f>
        <v>1605</v>
      </c>
      <c r="G201" s="35">
        <v>1945.0</v>
      </c>
      <c r="H201" s="35">
        <v>3110.0</v>
      </c>
      <c r="I201" s="33"/>
      <c r="J201" s="30">
        <v>5378.0</v>
      </c>
      <c r="K201" s="114">
        <f t="shared" si="34"/>
        <v>2320</v>
      </c>
      <c r="L201" s="881">
        <f t="shared" si="35"/>
        <v>5378</v>
      </c>
      <c r="M201" s="33">
        <f t="shared" si="36"/>
        <v>2968</v>
      </c>
      <c r="N201" s="40">
        <f t="shared" si="40"/>
        <v>11999.655</v>
      </c>
      <c r="O201" s="35">
        <f>PAGOSJUL20!B145</f>
        <v>12377.175</v>
      </c>
      <c r="P201" s="33">
        <f t="shared" si="37"/>
        <v>-377.52</v>
      </c>
      <c r="Q201" s="33">
        <f t="shared" si="38"/>
        <v>5000.48</v>
      </c>
      <c r="R201" s="882">
        <v>5000.0</v>
      </c>
      <c r="S201" s="35">
        <f t="shared" si="39"/>
        <v>10000.48</v>
      </c>
      <c r="T201" s="33"/>
      <c r="U201" s="36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>
      <c r="A202" s="99" t="s">
        <v>32</v>
      </c>
      <c r="B202" s="100">
        <v>44027.0</v>
      </c>
      <c r="C202" s="22">
        <v>13980.0</v>
      </c>
      <c r="D202" s="24">
        <f>1000+400+400+423+200</f>
        <v>2423</v>
      </c>
      <c r="E202" s="25">
        <v>800.0</v>
      </c>
      <c r="F202" s="35">
        <v>2260.0</v>
      </c>
      <c r="G202" s="35">
        <v>0.0</v>
      </c>
      <c r="H202" s="35">
        <v>4885.0</v>
      </c>
      <c r="I202" s="33"/>
      <c r="J202" s="30">
        <v>5793.0</v>
      </c>
      <c r="K202" s="114">
        <f t="shared" si="34"/>
        <v>3223</v>
      </c>
      <c r="L202" s="881">
        <f t="shared" si="35"/>
        <v>5793</v>
      </c>
      <c r="M202" s="33">
        <f t="shared" si="36"/>
        <v>2181</v>
      </c>
      <c r="N202" s="40">
        <f t="shared" si="40"/>
        <v>10000.48</v>
      </c>
      <c r="O202" s="35">
        <f>PAGOSJUL20!B155</f>
        <v>793</v>
      </c>
      <c r="P202" s="33">
        <f t="shared" si="37"/>
        <v>9207.48</v>
      </c>
      <c r="Q202" s="33">
        <f t="shared" si="38"/>
        <v>15000.48</v>
      </c>
      <c r="R202" s="882"/>
      <c r="S202" s="35">
        <f t="shared" si="39"/>
        <v>15000.48</v>
      </c>
      <c r="T202" s="33"/>
      <c r="U202" s="36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>
      <c r="A203" s="99" t="s">
        <v>24</v>
      </c>
      <c r="B203" s="100">
        <v>44028.0</v>
      </c>
      <c r="C203" s="22">
        <v>21405.0</v>
      </c>
      <c r="D203" s="24">
        <v>3050.0</v>
      </c>
      <c r="E203" s="25">
        <v>800.0</v>
      </c>
      <c r="F203" s="35">
        <v>825.0</v>
      </c>
      <c r="G203" s="35">
        <v>4919.0</v>
      </c>
      <c r="H203" s="35">
        <v>4995.0</v>
      </c>
      <c r="I203" s="33"/>
      <c r="J203" s="30">
        <v>11537.0</v>
      </c>
      <c r="K203" s="114">
        <f t="shared" si="34"/>
        <v>3850</v>
      </c>
      <c r="L203" s="881">
        <f t="shared" si="35"/>
        <v>11537</v>
      </c>
      <c r="M203" s="33">
        <f t="shared" si="36"/>
        <v>4721</v>
      </c>
      <c r="N203" s="40">
        <f t="shared" si="40"/>
        <v>15000.48</v>
      </c>
      <c r="O203" s="35">
        <f>PAGOSJUL20!B165</f>
        <v>537</v>
      </c>
      <c r="P203" s="33">
        <f t="shared" si="37"/>
        <v>14463.48</v>
      </c>
      <c r="Q203" s="33">
        <f t="shared" si="38"/>
        <v>26000.48</v>
      </c>
      <c r="R203" s="882"/>
      <c r="S203" s="35">
        <f t="shared" si="39"/>
        <v>26000.48</v>
      </c>
      <c r="T203" s="33"/>
      <c r="U203" s="36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>
      <c r="A204" s="99" t="s">
        <v>25</v>
      </c>
      <c r="B204" s="100">
        <v>44029.0</v>
      </c>
      <c r="C204" s="22">
        <v>22195.0</v>
      </c>
      <c r="D204" s="24">
        <f>700+100+340+700</f>
        <v>1840</v>
      </c>
      <c r="E204" s="25">
        <v>800.0</v>
      </c>
      <c r="F204" s="35">
        <f>240+1365+540</f>
        <v>2145</v>
      </c>
      <c r="G204" s="35">
        <v>975.0</v>
      </c>
      <c r="H204" s="35">
        <v>8580.0</v>
      </c>
      <c r="I204" s="33"/>
      <c r="J204" s="30">
        <v>9628.0</v>
      </c>
      <c r="K204" s="114">
        <f t="shared" si="34"/>
        <v>2640</v>
      </c>
      <c r="L204" s="881">
        <f t="shared" si="35"/>
        <v>9628</v>
      </c>
      <c r="M204" s="33">
        <f t="shared" si="36"/>
        <v>1773</v>
      </c>
      <c r="N204" s="40">
        <f t="shared" si="40"/>
        <v>26000.48</v>
      </c>
      <c r="O204" s="35">
        <f>PAGOSJUL20!B175</f>
        <v>15128</v>
      </c>
      <c r="P204" s="33">
        <f t="shared" si="37"/>
        <v>10872.48</v>
      </c>
      <c r="Q204" s="33">
        <f t="shared" si="38"/>
        <v>20500.48</v>
      </c>
      <c r="R204" s="882"/>
      <c r="S204" s="35">
        <f t="shared" si="39"/>
        <v>20500.48</v>
      </c>
      <c r="T204" s="33"/>
      <c r="U204" s="36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>
      <c r="A205" s="99" t="s">
        <v>33</v>
      </c>
      <c r="B205" s="100">
        <v>44030.0</v>
      </c>
      <c r="C205" s="22">
        <v>22970.0</v>
      </c>
      <c r="D205" s="24">
        <v>1580.0</v>
      </c>
      <c r="E205" s="25">
        <v>800.0</v>
      </c>
      <c r="F205" s="35">
        <v>5240.0</v>
      </c>
      <c r="G205" s="35">
        <v>2815.0</v>
      </c>
      <c r="H205" s="35">
        <v>7835.0</v>
      </c>
      <c r="I205" s="33"/>
      <c r="J205" s="30">
        <v>9081.0</v>
      </c>
      <c r="K205" s="114">
        <f t="shared" si="34"/>
        <v>2380</v>
      </c>
      <c r="L205" s="881">
        <f t="shared" si="35"/>
        <v>9081</v>
      </c>
      <c r="M205" s="33">
        <f t="shared" si="36"/>
        <v>4381</v>
      </c>
      <c r="N205" s="40">
        <f t="shared" si="40"/>
        <v>20500.48</v>
      </c>
      <c r="O205" s="35">
        <f>PAGOSJUL20!B187</f>
        <v>22581.75</v>
      </c>
      <c r="P205" s="33">
        <f t="shared" si="37"/>
        <v>-2081.27</v>
      </c>
      <c r="Q205" s="33">
        <f t="shared" si="38"/>
        <v>6999.73</v>
      </c>
      <c r="R205" s="882"/>
      <c r="S205" s="35">
        <f t="shared" si="39"/>
        <v>6999.73</v>
      </c>
      <c r="T205" s="33"/>
      <c r="U205" s="36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>
      <c r="A206" s="150" t="s">
        <v>27</v>
      </c>
      <c r="B206" s="162">
        <v>44031.0</v>
      </c>
      <c r="C206" s="160">
        <v>21266.0</v>
      </c>
      <c r="D206" s="160">
        <f>1000+480+620+180</f>
        <v>2280</v>
      </c>
      <c r="E206" s="160">
        <v>800.0</v>
      </c>
      <c r="F206" s="160">
        <f>600+4875+540</f>
        <v>6015</v>
      </c>
      <c r="G206" s="160">
        <v>3995.0</v>
      </c>
      <c r="H206" s="160">
        <v>4385.0</v>
      </c>
      <c r="I206" s="37"/>
      <c r="J206" s="160">
        <v>6720.0</v>
      </c>
      <c r="K206" s="160">
        <v>6720.0</v>
      </c>
      <c r="L206" s="37">
        <f t="shared" si="35"/>
        <v>3080</v>
      </c>
      <c r="M206" s="37">
        <f t="shared" si="36"/>
        <v>2929</v>
      </c>
      <c r="N206" s="207">
        <f t="shared" si="40"/>
        <v>6999.73</v>
      </c>
      <c r="O206" s="160">
        <f>PAGOSJUL20!B197</f>
        <v>4720</v>
      </c>
      <c r="P206" s="37">
        <f t="shared" si="37"/>
        <v>2279.73</v>
      </c>
      <c r="Q206" s="37">
        <f t="shared" si="38"/>
        <v>8999.73</v>
      </c>
      <c r="R206" s="160"/>
      <c r="S206" s="160">
        <f t="shared" si="39"/>
        <v>8999.73</v>
      </c>
      <c r="T206" s="33"/>
      <c r="U206" s="36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>
      <c r="A207" s="99" t="s">
        <v>21</v>
      </c>
      <c r="B207" s="100">
        <v>44032.0</v>
      </c>
      <c r="C207" s="22">
        <v>21655.0</v>
      </c>
      <c r="D207" s="24">
        <v>1350.0</v>
      </c>
      <c r="E207" s="25">
        <v>800.0</v>
      </c>
      <c r="F207" s="35">
        <v>975.0</v>
      </c>
      <c r="G207" s="35">
        <v>4900.0</v>
      </c>
      <c r="H207" s="35">
        <v>4670.0</v>
      </c>
      <c r="I207" s="33"/>
      <c r="J207" s="30">
        <v>11211.0</v>
      </c>
      <c r="K207" s="114">
        <f t="shared" ref="K207:K218" si="41">D207+E207</f>
        <v>2150</v>
      </c>
      <c r="L207" s="881">
        <f t="shared" si="35"/>
        <v>11211</v>
      </c>
      <c r="M207" s="33">
        <f t="shared" si="36"/>
        <v>2251</v>
      </c>
      <c r="N207" s="40">
        <f t="shared" si="40"/>
        <v>8999.73</v>
      </c>
      <c r="O207" s="35">
        <f>PAGOSJUL20!B207</f>
        <v>2211</v>
      </c>
      <c r="P207" s="33">
        <f t="shared" si="37"/>
        <v>6788.73</v>
      </c>
      <c r="Q207" s="33">
        <f t="shared" si="38"/>
        <v>17999.73</v>
      </c>
      <c r="R207" s="882"/>
      <c r="S207" s="35">
        <f t="shared" si="39"/>
        <v>17999.73</v>
      </c>
      <c r="T207" s="33"/>
      <c r="U207" s="36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>
      <c r="A208" s="99" t="s">
        <v>22</v>
      </c>
      <c r="B208" s="100">
        <v>44033.0</v>
      </c>
      <c r="C208" s="22">
        <v>19364.0</v>
      </c>
      <c r="D208" s="24">
        <f>700+550+260+620+190</f>
        <v>2320</v>
      </c>
      <c r="E208" s="25">
        <v>800.0</v>
      </c>
      <c r="F208" s="35">
        <f>565+440</f>
        <v>1005</v>
      </c>
      <c r="G208" s="35">
        <f>2430+500</f>
        <v>2930</v>
      </c>
      <c r="H208" s="35">
        <v>7185.0</v>
      </c>
      <c r="I208" s="33"/>
      <c r="J208" s="30">
        <f>3471+3912</f>
        <v>7383</v>
      </c>
      <c r="K208" s="114">
        <f t="shared" si="41"/>
        <v>3120</v>
      </c>
      <c r="L208" s="881">
        <f t="shared" si="35"/>
        <v>7383</v>
      </c>
      <c r="M208" s="33">
        <f t="shared" si="36"/>
        <v>2259</v>
      </c>
      <c r="N208" s="40">
        <f t="shared" si="40"/>
        <v>17999.73</v>
      </c>
      <c r="O208" s="35">
        <f>PAGOSJUL20!B219</f>
        <v>18383</v>
      </c>
      <c r="P208" s="33">
        <f t="shared" si="37"/>
        <v>-383.27</v>
      </c>
      <c r="Q208" s="33">
        <f t="shared" si="38"/>
        <v>6999.73</v>
      </c>
      <c r="R208" s="882"/>
      <c r="S208" s="35">
        <f t="shared" si="39"/>
        <v>6999.73</v>
      </c>
      <c r="T208" s="33"/>
      <c r="U208" s="36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>
      <c r="A209" s="99" t="s">
        <v>32</v>
      </c>
      <c r="B209" s="100">
        <v>44034.0</v>
      </c>
      <c r="C209" s="22">
        <v>20354.0</v>
      </c>
      <c r="D209" s="24">
        <v>1980.0</v>
      </c>
      <c r="E209" s="25">
        <v>800.0</v>
      </c>
      <c r="F209" s="35">
        <v>3395.0</v>
      </c>
      <c r="G209" s="35">
        <v>3099.0</v>
      </c>
      <c r="H209" s="35">
        <v>4015.0</v>
      </c>
      <c r="I209" s="33"/>
      <c r="J209" s="30">
        <v>9651.0</v>
      </c>
      <c r="K209" s="114">
        <f t="shared" si="41"/>
        <v>2780</v>
      </c>
      <c r="L209" s="881">
        <f t="shared" si="35"/>
        <v>9651</v>
      </c>
      <c r="M209" s="33">
        <f t="shared" si="36"/>
        <v>2586</v>
      </c>
      <c r="N209" s="40">
        <f t="shared" si="40"/>
        <v>6999.73</v>
      </c>
      <c r="O209" s="35">
        <f>PAGOSJUL20!B229</f>
        <v>4651</v>
      </c>
      <c r="P209" s="33">
        <f t="shared" si="37"/>
        <v>2348.73</v>
      </c>
      <c r="Q209" s="33">
        <f t="shared" si="38"/>
        <v>11999.73</v>
      </c>
      <c r="R209" s="882"/>
      <c r="S209" s="35">
        <f t="shared" si="39"/>
        <v>11999.73</v>
      </c>
      <c r="T209" s="33"/>
      <c r="U209" s="36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>
      <c r="A210" s="99" t="s">
        <v>24</v>
      </c>
      <c r="B210" s="100">
        <v>44035.0</v>
      </c>
      <c r="C210" s="22">
        <v>16263.0</v>
      </c>
      <c r="D210" s="24">
        <v>1530.0</v>
      </c>
      <c r="E210" s="25">
        <v>1100.0</v>
      </c>
      <c r="F210" s="35">
        <v>1450.0</v>
      </c>
      <c r="G210" s="35">
        <v>1920.0</v>
      </c>
      <c r="H210" s="35">
        <v>4890.0</v>
      </c>
      <c r="I210" s="33"/>
      <c r="J210" s="30">
        <v>9001.0</v>
      </c>
      <c r="K210" s="114">
        <f t="shared" si="41"/>
        <v>2630</v>
      </c>
      <c r="L210" s="881">
        <f t="shared" si="35"/>
        <v>9001</v>
      </c>
      <c r="M210" s="33">
        <f t="shared" si="36"/>
        <v>3628</v>
      </c>
      <c r="N210" s="40">
        <f t="shared" si="40"/>
        <v>11999.73</v>
      </c>
      <c r="O210" s="35">
        <f>PAGOSJUL20!B239</f>
        <v>8291</v>
      </c>
      <c r="P210" s="33">
        <f t="shared" si="37"/>
        <v>3708.73</v>
      </c>
      <c r="Q210" s="33">
        <f t="shared" si="38"/>
        <v>12709.73</v>
      </c>
      <c r="R210" s="882"/>
      <c r="S210" s="35">
        <f t="shared" si="39"/>
        <v>12709.73</v>
      </c>
      <c r="T210" s="33"/>
      <c r="U210" s="36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>
      <c r="A211" s="99" t="s">
        <v>25</v>
      </c>
      <c r="B211" s="100">
        <v>44036.0</v>
      </c>
      <c r="C211" s="22">
        <v>17984.0</v>
      </c>
      <c r="D211" s="24">
        <f>740+360+900+200</f>
        <v>2200</v>
      </c>
      <c r="E211" s="25">
        <v>1100.0</v>
      </c>
      <c r="F211" s="35">
        <f>2355+220</f>
        <v>2575</v>
      </c>
      <c r="G211" s="35">
        <v>3309.0</v>
      </c>
      <c r="H211" s="35">
        <v>6175.0</v>
      </c>
      <c r="I211" s="33"/>
      <c r="J211" s="30">
        <v>5802.0</v>
      </c>
      <c r="K211" s="114">
        <f t="shared" si="41"/>
        <v>3300</v>
      </c>
      <c r="L211" s="881">
        <f t="shared" si="35"/>
        <v>5802</v>
      </c>
      <c r="M211" s="33">
        <f t="shared" si="36"/>
        <v>3177</v>
      </c>
      <c r="N211" s="40">
        <f t="shared" si="40"/>
        <v>12709.73</v>
      </c>
      <c r="O211" s="35">
        <f>PAGOSJUL20!B251</f>
        <v>34512</v>
      </c>
      <c r="P211" s="33">
        <f t="shared" si="37"/>
        <v>-21802.27</v>
      </c>
      <c r="Q211" s="33">
        <f t="shared" si="38"/>
        <v>-16000.27</v>
      </c>
      <c r="R211" s="882">
        <v>30000.0</v>
      </c>
      <c r="S211" s="35">
        <f t="shared" si="39"/>
        <v>13999.73</v>
      </c>
      <c r="T211" s="33"/>
      <c r="U211" s="36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>
      <c r="A212" s="99" t="s">
        <v>33</v>
      </c>
      <c r="B212" s="100">
        <v>44037.0</v>
      </c>
      <c r="C212" s="22">
        <v>22260.0</v>
      </c>
      <c r="D212" s="24">
        <f>1200+300+810+360</f>
        <v>2670</v>
      </c>
      <c r="E212" s="25">
        <v>1100.0</v>
      </c>
      <c r="F212" s="35">
        <f>4255+255+410</f>
        <v>4920</v>
      </c>
      <c r="G212" s="35">
        <v>795.0</v>
      </c>
      <c r="H212" s="35">
        <v>7845.0</v>
      </c>
      <c r="I212" s="33"/>
      <c r="J212" s="30">
        <v>7423.0</v>
      </c>
      <c r="K212" s="114">
        <f t="shared" si="41"/>
        <v>3770</v>
      </c>
      <c r="L212" s="881">
        <f t="shared" si="35"/>
        <v>7423</v>
      </c>
      <c r="M212" s="33">
        <f t="shared" si="36"/>
        <v>2493</v>
      </c>
      <c r="N212" s="40">
        <f t="shared" si="40"/>
        <v>13999.73</v>
      </c>
      <c r="O212" s="35">
        <f>PAGOSJUL20!B262</f>
        <v>14423</v>
      </c>
      <c r="P212" s="33">
        <f t="shared" si="37"/>
        <v>-423.27</v>
      </c>
      <c r="Q212" s="33">
        <f t="shared" si="38"/>
        <v>6999.73</v>
      </c>
      <c r="R212" s="882"/>
      <c r="S212" s="35">
        <f t="shared" si="39"/>
        <v>6999.73</v>
      </c>
      <c r="T212" s="33"/>
      <c r="U212" s="36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>
      <c r="A213" s="150" t="s">
        <v>27</v>
      </c>
      <c r="B213" s="162">
        <v>44038.0</v>
      </c>
      <c r="C213" s="160">
        <v>18215.0</v>
      </c>
      <c r="D213" s="160">
        <v>3320.0</v>
      </c>
      <c r="E213" s="160">
        <v>1100.0</v>
      </c>
      <c r="F213" s="160">
        <v>3760.0</v>
      </c>
      <c r="G213" s="160">
        <v>6225.0</v>
      </c>
      <c r="H213" s="160">
        <v>2075.0</v>
      </c>
      <c r="I213" s="37"/>
      <c r="J213" s="160">
        <v>4200.0</v>
      </c>
      <c r="K213" s="37">
        <f t="shared" si="41"/>
        <v>4420</v>
      </c>
      <c r="L213" s="37">
        <f t="shared" si="35"/>
        <v>4200</v>
      </c>
      <c r="M213" s="37">
        <f t="shared" si="36"/>
        <v>2465</v>
      </c>
      <c r="N213" s="207">
        <f t="shared" si="40"/>
        <v>6999.73</v>
      </c>
      <c r="O213" s="160">
        <f>PAGOSJUL20!B273</f>
        <v>8500</v>
      </c>
      <c r="P213" s="37">
        <f t="shared" si="37"/>
        <v>-1500.27</v>
      </c>
      <c r="Q213" s="37">
        <f t="shared" si="38"/>
        <v>2699.73</v>
      </c>
      <c r="R213" s="160">
        <v>6000.0</v>
      </c>
      <c r="S213" s="160">
        <f t="shared" si="39"/>
        <v>8699.73</v>
      </c>
      <c r="T213" s="33"/>
      <c r="U213" s="36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</row>
    <row r="214">
      <c r="A214" s="99" t="s">
        <v>21</v>
      </c>
      <c r="B214" s="100">
        <v>44039.0</v>
      </c>
      <c r="C214" s="22">
        <v>17315.0</v>
      </c>
      <c r="D214" s="24">
        <f>700+400+500+200+240+205+360</f>
        <v>2605</v>
      </c>
      <c r="E214" s="25">
        <v>1100.0</v>
      </c>
      <c r="F214" s="35">
        <v>2985.0</v>
      </c>
      <c r="G214" s="35">
        <v>1740.0</v>
      </c>
      <c r="H214" s="35">
        <v>3990.0</v>
      </c>
      <c r="I214" s="33"/>
      <c r="J214" s="30">
        <v>10056.0</v>
      </c>
      <c r="K214" s="114">
        <f t="shared" si="41"/>
        <v>3705</v>
      </c>
      <c r="L214" s="881">
        <f t="shared" si="35"/>
        <v>10056</v>
      </c>
      <c r="M214" s="33">
        <f t="shared" si="36"/>
        <v>5161</v>
      </c>
      <c r="N214" s="40">
        <f t="shared" si="40"/>
        <v>8699.73</v>
      </c>
      <c r="O214" s="35">
        <f>PAGOSJUL20!B283</f>
        <v>6756.23</v>
      </c>
      <c r="P214" s="33">
        <f t="shared" si="37"/>
        <v>1943.5</v>
      </c>
      <c r="Q214" s="33">
        <f t="shared" si="38"/>
        <v>11999.5</v>
      </c>
      <c r="R214" s="882"/>
      <c r="S214" s="35">
        <f t="shared" si="39"/>
        <v>11999.5</v>
      </c>
      <c r="T214" s="33"/>
      <c r="U214" s="36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>
      <c r="A215" s="99" t="s">
        <v>22</v>
      </c>
      <c r="B215" s="100">
        <v>44040.0</v>
      </c>
      <c r="C215" s="22">
        <v>27365.0</v>
      </c>
      <c r="D215" s="24">
        <v>1160.0</v>
      </c>
      <c r="E215" s="25">
        <v>1100.0</v>
      </c>
      <c r="F215" s="35">
        <v>2065.0</v>
      </c>
      <c r="G215" s="35">
        <v>600.0</v>
      </c>
      <c r="H215" s="35">
        <v>12690.0</v>
      </c>
      <c r="I215" s="33"/>
      <c r="J215" s="30">
        <v>12938.0</v>
      </c>
      <c r="K215" s="114">
        <f t="shared" si="41"/>
        <v>2260</v>
      </c>
      <c r="L215" s="881">
        <f t="shared" si="35"/>
        <v>12938</v>
      </c>
      <c r="M215" s="33">
        <f t="shared" si="36"/>
        <v>3188</v>
      </c>
      <c r="N215" s="40">
        <f t="shared" si="40"/>
        <v>11999.5</v>
      </c>
      <c r="O215" s="35">
        <f>PAGOSJUL20!B293</f>
        <v>10938</v>
      </c>
      <c r="P215" s="33">
        <f t="shared" si="37"/>
        <v>1061.5</v>
      </c>
      <c r="Q215" s="33">
        <f t="shared" si="38"/>
        <v>13999.5</v>
      </c>
      <c r="R215" s="882"/>
      <c r="S215" s="35">
        <f t="shared" si="39"/>
        <v>13999.5</v>
      </c>
      <c r="T215" s="33"/>
      <c r="U215" s="36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>
      <c r="A216" s="99" t="s">
        <v>32</v>
      </c>
      <c r="B216" s="100">
        <v>44041.0</v>
      </c>
      <c r="C216" s="22">
        <v>28284.0</v>
      </c>
      <c r="D216" s="24">
        <f>800+280+550+210</f>
        <v>1840</v>
      </c>
      <c r="E216" s="25">
        <v>1100.0</v>
      </c>
      <c r="F216" s="35">
        <f>300+3895+655</f>
        <v>4850</v>
      </c>
      <c r="G216" s="35">
        <v>1649.0</v>
      </c>
      <c r="H216" s="35">
        <v>9655.0</v>
      </c>
      <c r="I216" s="33"/>
      <c r="J216" s="30">
        <v>10468.0</v>
      </c>
      <c r="K216" s="114">
        <f t="shared" si="41"/>
        <v>2940</v>
      </c>
      <c r="L216" s="881">
        <f t="shared" si="35"/>
        <v>10468</v>
      </c>
      <c r="M216" s="33">
        <f t="shared" si="36"/>
        <v>1278</v>
      </c>
      <c r="N216" s="40">
        <f t="shared" si="40"/>
        <v>13999.5</v>
      </c>
      <c r="O216" s="35">
        <f>PAGOSJUL20!B303</f>
        <v>3467.34</v>
      </c>
      <c r="P216" s="33">
        <f t="shared" si="37"/>
        <v>10532.16</v>
      </c>
      <c r="Q216" s="33">
        <f t="shared" si="38"/>
        <v>21000.16</v>
      </c>
      <c r="R216" s="882"/>
      <c r="S216" s="35">
        <f t="shared" si="39"/>
        <v>21000.16</v>
      </c>
      <c r="T216" s="33"/>
      <c r="U216" s="36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>
      <c r="A217" s="99" t="s">
        <v>24</v>
      </c>
      <c r="B217" s="100">
        <v>44042.0</v>
      </c>
      <c r="C217" s="22">
        <v>23500.0</v>
      </c>
      <c r="D217" s="24">
        <f>1770+87</f>
        <v>1857</v>
      </c>
      <c r="E217" s="25">
        <v>1100.0</v>
      </c>
      <c r="F217" s="35">
        <v>2410.0</v>
      </c>
      <c r="G217" s="35">
        <v>5080.0</v>
      </c>
      <c r="H217" s="35">
        <v>3935.0</v>
      </c>
      <c r="I217" s="33"/>
      <c r="J217" s="30">
        <v>10678.0</v>
      </c>
      <c r="K217" s="114">
        <f t="shared" si="41"/>
        <v>2957</v>
      </c>
      <c r="L217" s="881">
        <f t="shared" si="35"/>
        <v>10678</v>
      </c>
      <c r="M217" s="33">
        <f t="shared" si="36"/>
        <v>1560</v>
      </c>
      <c r="N217" s="40">
        <f t="shared" si="40"/>
        <v>21000.16</v>
      </c>
      <c r="O217" s="35">
        <f>PAGOSJUL20!B313</f>
        <v>2178</v>
      </c>
      <c r="P217" s="33">
        <f t="shared" si="37"/>
        <v>18822.16</v>
      </c>
      <c r="Q217" s="33">
        <f t="shared" si="38"/>
        <v>29500.16</v>
      </c>
      <c r="R217" s="882"/>
      <c r="S217" s="35">
        <f t="shared" si="39"/>
        <v>29500.16</v>
      </c>
      <c r="T217" s="33"/>
      <c r="U217" s="36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>
      <c r="A218" s="99" t="s">
        <v>25</v>
      </c>
      <c r="B218" s="100">
        <v>44043.0</v>
      </c>
      <c r="C218" s="22">
        <v>18150.0</v>
      </c>
      <c r="D218" s="24">
        <f>500+1000+180+640+250</f>
        <v>2570</v>
      </c>
      <c r="E218" s="25">
        <v>1100.0</v>
      </c>
      <c r="F218" s="35">
        <v>2530.0</v>
      </c>
      <c r="G218" s="35">
        <v>2084.0</v>
      </c>
      <c r="H218" s="35">
        <v>5891.0</v>
      </c>
      <c r="I218" s="33"/>
      <c r="J218" s="30">
        <v>7127.0</v>
      </c>
      <c r="K218" s="114">
        <f t="shared" si="41"/>
        <v>3670</v>
      </c>
      <c r="L218" s="881">
        <f t="shared" si="35"/>
        <v>7127</v>
      </c>
      <c r="M218" s="33">
        <f t="shared" si="36"/>
        <v>3152</v>
      </c>
      <c r="N218" s="40">
        <f t="shared" si="40"/>
        <v>29500.16</v>
      </c>
      <c r="O218" s="35">
        <f>PAGOSJUL20!B324</f>
        <v>31627.06</v>
      </c>
      <c r="P218" s="33">
        <f t="shared" si="37"/>
        <v>-2126.9</v>
      </c>
      <c r="Q218" s="33">
        <f t="shared" si="38"/>
        <v>5000.1</v>
      </c>
      <c r="R218" s="882"/>
      <c r="S218" s="35">
        <f t="shared" si="39"/>
        <v>5000.1</v>
      </c>
      <c r="T218" s="33"/>
      <c r="U218" s="36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>
      <c r="A219" s="93" t="s">
        <v>28</v>
      </c>
      <c r="B219" s="94" t="s">
        <v>42</v>
      </c>
      <c r="C219" s="95">
        <f>SUM(C188:C218)</f>
        <v>596470</v>
      </c>
      <c r="D219" s="95"/>
      <c r="E219" s="95"/>
      <c r="F219" s="95">
        <f t="shared" ref="F219:H219" si="42">SUM(F188:F218)</f>
        <v>81995</v>
      </c>
      <c r="G219" s="95">
        <f t="shared" si="42"/>
        <v>86938</v>
      </c>
      <c r="H219" s="95">
        <f t="shared" si="42"/>
        <v>158876</v>
      </c>
      <c r="I219" s="95"/>
      <c r="J219" s="95">
        <f>SUM(J188:J218)</f>
        <v>259767</v>
      </c>
      <c r="K219" s="913"/>
      <c r="L219" s="914"/>
      <c r="M219" s="173"/>
      <c r="N219" s="174"/>
      <c r="O219" s="175"/>
      <c r="P219" s="173"/>
      <c r="Q219" s="173"/>
      <c r="R219" s="915"/>
      <c r="S219" s="175"/>
      <c r="T219" s="33"/>
      <c r="U219" s="36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</row>
    <row r="220">
      <c r="A220" s="99" t="s">
        <v>33</v>
      </c>
      <c r="B220" s="100">
        <v>44044.0</v>
      </c>
      <c r="C220" s="22">
        <v>28972.0</v>
      </c>
      <c r="D220" s="24">
        <v>3210.0</v>
      </c>
      <c r="E220" s="25">
        <v>1100.0</v>
      </c>
      <c r="F220" s="35">
        <f>3720+1540</f>
        <v>5260</v>
      </c>
      <c r="G220" s="35">
        <v>2765.0</v>
      </c>
      <c r="H220" s="35">
        <v>9812.0</v>
      </c>
      <c r="I220" s="33"/>
      <c r="J220" s="30">
        <v>10126.0</v>
      </c>
      <c r="K220" s="114">
        <f t="shared" ref="K220:K250" si="43">D220+E220</f>
        <v>4310</v>
      </c>
      <c r="L220" s="881">
        <f t="shared" ref="L220:L250" si="44">(D220+E220+J220)-K220</f>
        <v>10126</v>
      </c>
      <c r="M220" s="33">
        <f t="shared" ref="M220:M250" si="45">SUM(D220:J220)-(C220)</f>
        <v>3301</v>
      </c>
      <c r="N220" s="40">
        <f>S218</f>
        <v>5000.1</v>
      </c>
      <c r="O220" s="35">
        <f>PAGOSJUL20!B335</f>
        <v>32626</v>
      </c>
      <c r="P220" s="33">
        <f t="shared" ref="P220:P250" si="46">N220-O220</f>
        <v>-27625.9</v>
      </c>
      <c r="Q220" s="33">
        <f t="shared" ref="Q220:Q250" si="47">(N220+J220)-O220</f>
        <v>-17499.9</v>
      </c>
      <c r="R220" s="882">
        <v>26500.0</v>
      </c>
      <c r="S220" s="35">
        <f t="shared" ref="S220:S250" si="48">Q220+R220</f>
        <v>9000.1</v>
      </c>
      <c r="T220" s="33"/>
      <c r="U220" s="36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>
      <c r="A221" s="150" t="s">
        <v>27</v>
      </c>
      <c r="B221" s="162">
        <v>44045.0</v>
      </c>
      <c r="C221" s="160">
        <v>12600.0</v>
      </c>
      <c r="D221" s="160">
        <f>900+240+800+250+90</f>
        <v>2280</v>
      </c>
      <c r="E221" s="160">
        <v>1100.0</v>
      </c>
      <c r="F221" s="160">
        <v>900.0</v>
      </c>
      <c r="G221" s="193">
        <v>2650.0</v>
      </c>
      <c r="H221" s="160">
        <v>5940.0</v>
      </c>
      <c r="I221" s="37"/>
      <c r="J221" s="160">
        <v>3103.0</v>
      </c>
      <c r="K221" s="37">
        <f t="shared" si="43"/>
        <v>3380</v>
      </c>
      <c r="L221" s="37">
        <f t="shared" si="44"/>
        <v>3103</v>
      </c>
      <c r="M221" s="37">
        <f t="shared" si="45"/>
        <v>3373</v>
      </c>
      <c r="N221" s="207">
        <f t="shared" ref="N221:N250" si="49">S220</f>
        <v>9000.1</v>
      </c>
      <c r="O221" s="160">
        <f>PAGOSAGOS!B21</f>
        <v>2102.83</v>
      </c>
      <c r="P221" s="37">
        <f t="shared" si="46"/>
        <v>6897.27</v>
      </c>
      <c r="Q221" s="37">
        <f t="shared" si="47"/>
        <v>10000.27</v>
      </c>
      <c r="R221" s="160"/>
      <c r="S221" s="160">
        <f t="shared" si="48"/>
        <v>10000.27</v>
      </c>
      <c r="T221" s="33"/>
      <c r="U221" s="36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</row>
    <row r="222">
      <c r="A222" s="99" t="s">
        <v>21</v>
      </c>
      <c r="B222" s="100">
        <v>44046.0</v>
      </c>
      <c r="C222" s="22">
        <v>20560.0</v>
      </c>
      <c r="D222" s="24">
        <v>2040.0</v>
      </c>
      <c r="E222" s="25">
        <v>1100.0</v>
      </c>
      <c r="F222" s="35">
        <v>3340.0</v>
      </c>
      <c r="G222" s="926">
        <v>3360.0</v>
      </c>
      <c r="H222" s="35">
        <v>4250.0</v>
      </c>
      <c r="I222" s="33"/>
      <c r="J222" s="30">
        <v>10904.0</v>
      </c>
      <c r="K222" s="114">
        <f t="shared" si="43"/>
        <v>3140</v>
      </c>
      <c r="L222" s="881">
        <f t="shared" si="44"/>
        <v>10904</v>
      </c>
      <c r="M222" s="33">
        <f t="shared" si="45"/>
        <v>4434</v>
      </c>
      <c r="N222" s="40">
        <f t="shared" si="49"/>
        <v>10000.27</v>
      </c>
      <c r="O222" s="35">
        <f>PAGOSAGOS!B31</f>
        <v>8904.32</v>
      </c>
      <c r="P222" s="33">
        <f t="shared" si="46"/>
        <v>1095.95</v>
      </c>
      <c r="Q222" s="33">
        <f t="shared" si="47"/>
        <v>11999.95</v>
      </c>
      <c r="R222" s="882"/>
      <c r="S222" s="35">
        <f t="shared" si="48"/>
        <v>11999.95</v>
      </c>
      <c r="T222" s="33"/>
      <c r="U222" s="36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</row>
    <row r="223">
      <c r="A223" s="99" t="s">
        <v>22</v>
      </c>
      <c r="B223" s="100">
        <v>44047.0</v>
      </c>
      <c r="C223" s="22">
        <v>20759.0</v>
      </c>
      <c r="D223" s="24">
        <f>1600+420+850+280</f>
        <v>3150</v>
      </c>
      <c r="E223" s="25">
        <v>1100.0</v>
      </c>
      <c r="F223" s="35">
        <f>290+2565</f>
        <v>2855</v>
      </c>
      <c r="G223" s="926">
        <v>3225.0</v>
      </c>
      <c r="H223" s="35">
        <f>3710+130+770</f>
        <v>4610</v>
      </c>
      <c r="I223" s="33"/>
      <c r="J223" s="30">
        <v>9623.0</v>
      </c>
      <c r="K223" s="114">
        <f t="shared" si="43"/>
        <v>4250</v>
      </c>
      <c r="L223" s="881">
        <f t="shared" si="44"/>
        <v>9623</v>
      </c>
      <c r="M223" s="33">
        <f t="shared" si="45"/>
        <v>3804</v>
      </c>
      <c r="N223" s="40">
        <f t="shared" si="49"/>
        <v>11999.95</v>
      </c>
      <c r="O223" s="35">
        <f>PAGOSAGOS!B41</f>
        <v>6403</v>
      </c>
      <c r="P223" s="33">
        <f t="shared" si="46"/>
        <v>5596.95</v>
      </c>
      <c r="Q223" s="33">
        <f t="shared" si="47"/>
        <v>15219.95</v>
      </c>
      <c r="R223" s="882"/>
      <c r="S223" s="35">
        <f t="shared" si="48"/>
        <v>15219.95</v>
      </c>
      <c r="T223" s="33"/>
      <c r="U223" s="36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>
      <c r="A224" s="99" t="s">
        <v>32</v>
      </c>
      <c r="B224" s="100">
        <v>44048.0</v>
      </c>
      <c r="C224" s="22">
        <v>15255.0</v>
      </c>
      <c r="D224" s="24">
        <v>2660.0</v>
      </c>
      <c r="E224" s="25">
        <v>1100.0</v>
      </c>
      <c r="F224" s="35">
        <f>390+345</f>
        <v>735</v>
      </c>
      <c r="G224" s="35">
        <v>1785.0</v>
      </c>
      <c r="H224" s="33">
        <f>1390+175+265+500+570+1220+250+130+1900+250+260</f>
        <v>6910</v>
      </c>
      <c r="I224" s="33"/>
      <c r="J224" s="30">
        <v>5577.0</v>
      </c>
      <c r="K224" s="114">
        <f t="shared" si="43"/>
        <v>3760</v>
      </c>
      <c r="L224" s="881">
        <f t="shared" si="44"/>
        <v>5577</v>
      </c>
      <c r="M224" s="33">
        <f t="shared" si="45"/>
        <v>3512</v>
      </c>
      <c r="N224" s="40">
        <f t="shared" si="49"/>
        <v>15219.95</v>
      </c>
      <c r="O224" s="35">
        <f>PAGOSAGOS!B51</f>
        <v>8797</v>
      </c>
      <c r="P224" s="33">
        <f t="shared" si="46"/>
        <v>6422.95</v>
      </c>
      <c r="Q224" s="33">
        <f t="shared" si="47"/>
        <v>11999.95</v>
      </c>
      <c r="R224" s="882"/>
      <c r="S224" s="35">
        <f t="shared" si="48"/>
        <v>11999.95</v>
      </c>
      <c r="T224" s="33"/>
      <c r="U224" s="36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</row>
    <row r="225">
      <c r="A225" s="99" t="s">
        <v>24</v>
      </c>
      <c r="B225" s="100">
        <v>44049.0</v>
      </c>
      <c r="C225" s="22">
        <f>29240</f>
        <v>29240</v>
      </c>
      <c r="D225" s="24">
        <f>950+340+780+200</f>
        <v>2270</v>
      </c>
      <c r="E225" s="25">
        <v>1100.0</v>
      </c>
      <c r="F225" s="35">
        <f>300+3605</f>
        <v>3905</v>
      </c>
      <c r="G225" s="926">
        <v>2720.0</v>
      </c>
      <c r="H225" s="33">
        <f>175+130+400+500+815+890+885+280+690+1555+1250+150+260+130+945+815+240+130</f>
        <v>10240</v>
      </c>
      <c r="I225" s="33"/>
      <c r="J225" s="30">
        <v>13139.0</v>
      </c>
      <c r="K225" s="114">
        <f t="shared" si="43"/>
        <v>3370</v>
      </c>
      <c r="L225" s="881">
        <f t="shared" si="44"/>
        <v>13139</v>
      </c>
      <c r="M225" s="33">
        <f t="shared" si="45"/>
        <v>4134</v>
      </c>
      <c r="N225" s="40">
        <f t="shared" si="49"/>
        <v>11999.95</v>
      </c>
      <c r="O225" s="35">
        <f>PAGOSAGOS!B62</f>
        <v>12139.23</v>
      </c>
      <c r="P225" s="33">
        <f t="shared" si="46"/>
        <v>-139.28</v>
      </c>
      <c r="Q225" s="33">
        <f t="shared" si="47"/>
        <v>12999.72</v>
      </c>
      <c r="R225" s="882"/>
      <c r="S225" s="35">
        <f t="shared" si="48"/>
        <v>12999.72</v>
      </c>
      <c r="T225" s="33"/>
      <c r="U225" s="36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>
      <c r="A226" s="99" t="s">
        <v>25</v>
      </c>
      <c r="B226" s="100">
        <v>44050.0</v>
      </c>
      <c r="C226" s="22">
        <v>19785.0</v>
      </c>
      <c r="D226" s="24">
        <v>1320.0</v>
      </c>
      <c r="E226" s="25">
        <v>1100.0</v>
      </c>
      <c r="F226" s="35">
        <v>2975.0</v>
      </c>
      <c r="G226" s="35">
        <v>1350.0</v>
      </c>
      <c r="H226" s="33">
        <f>470+230+580+130+290+495+320+175</f>
        <v>2690</v>
      </c>
      <c r="I226" s="33"/>
      <c r="J226" s="30">
        <v>13741.0</v>
      </c>
      <c r="K226" s="114">
        <f t="shared" si="43"/>
        <v>2420</v>
      </c>
      <c r="L226" s="881">
        <f t="shared" si="44"/>
        <v>13741</v>
      </c>
      <c r="M226" s="33">
        <f t="shared" si="45"/>
        <v>3391</v>
      </c>
      <c r="N226" s="40">
        <f t="shared" si="49"/>
        <v>12999.72</v>
      </c>
      <c r="O226" s="35">
        <f>PAGOSAGOS!B73</f>
        <v>27740.8</v>
      </c>
      <c r="P226" s="33">
        <f t="shared" si="46"/>
        <v>-14741.08</v>
      </c>
      <c r="Q226" s="33">
        <f t="shared" si="47"/>
        <v>-1000.08</v>
      </c>
      <c r="R226" s="882">
        <v>15000.0</v>
      </c>
      <c r="S226" s="35">
        <f t="shared" si="48"/>
        <v>13999.92</v>
      </c>
      <c r="T226" s="33"/>
      <c r="U226" s="36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>
      <c r="A227" s="99" t="s">
        <v>33</v>
      </c>
      <c r="B227" s="100">
        <v>44051.0</v>
      </c>
      <c r="C227" s="22">
        <v>24414.0</v>
      </c>
      <c r="D227" s="24">
        <f>800+220+230+220</f>
        <v>1470</v>
      </c>
      <c r="E227" s="25">
        <v>1000.0</v>
      </c>
      <c r="F227" s="35">
        <v>1635.0</v>
      </c>
      <c r="G227" s="35">
        <v>4504.0</v>
      </c>
      <c r="H227" s="926">
        <v>10970.0</v>
      </c>
      <c r="I227" s="33"/>
      <c r="J227" s="30">
        <v>11879.0</v>
      </c>
      <c r="K227" s="114">
        <f t="shared" si="43"/>
        <v>2470</v>
      </c>
      <c r="L227" s="881">
        <f t="shared" si="44"/>
        <v>11879</v>
      </c>
      <c r="M227" s="33">
        <f t="shared" si="45"/>
        <v>7044</v>
      </c>
      <c r="N227" s="40">
        <f t="shared" si="49"/>
        <v>13999.92</v>
      </c>
      <c r="O227" s="35">
        <f>PAGOSAGOS!B85</f>
        <v>52879</v>
      </c>
      <c r="P227" s="33">
        <f t="shared" si="46"/>
        <v>-38879.08</v>
      </c>
      <c r="Q227" s="33">
        <f t="shared" si="47"/>
        <v>-27000.08</v>
      </c>
      <c r="R227" s="882">
        <v>40000.0</v>
      </c>
      <c r="S227" s="35">
        <f t="shared" si="48"/>
        <v>12999.92</v>
      </c>
      <c r="T227" s="33"/>
      <c r="U227" s="36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>
      <c r="A228" s="150" t="s">
        <v>27</v>
      </c>
      <c r="B228" s="162">
        <v>44052.0</v>
      </c>
      <c r="C228" s="160">
        <v>14459.0</v>
      </c>
      <c r="D228" s="160">
        <v>2280.0</v>
      </c>
      <c r="E228" s="160">
        <v>1000.0</v>
      </c>
      <c r="F228" s="160">
        <v>1545.0</v>
      </c>
      <c r="G228" s="193">
        <v>2879.0</v>
      </c>
      <c r="H228" s="160">
        <v>4780.0</v>
      </c>
      <c r="I228" s="37"/>
      <c r="J228" s="160">
        <v>5430.0</v>
      </c>
      <c r="K228" s="37">
        <f t="shared" si="43"/>
        <v>3280</v>
      </c>
      <c r="L228" s="37">
        <f t="shared" si="44"/>
        <v>5430</v>
      </c>
      <c r="M228" s="37">
        <f t="shared" si="45"/>
        <v>3455</v>
      </c>
      <c r="N228" s="207">
        <f t="shared" si="49"/>
        <v>12999.92</v>
      </c>
      <c r="O228" s="160">
        <f>PAGOSAGOS!B95</f>
        <v>1430</v>
      </c>
      <c r="P228" s="37">
        <f t="shared" si="46"/>
        <v>11569.92</v>
      </c>
      <c r="Q228" s="37">
        <f t="shared" si="47"/>
        <v>16999.92</v>
      </c>
      <c r="R228" s="160"/>
      <c r="S228" s="160">
        <f t="shared" si="48"/>
        <v>16999.92</v>
      </c>
      <c r="T228" s="33"/>
      <c r="U228" s="36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</row>
    <row r="229">
      <c r="A229" s="99" t="s">
        <v>21</v>
      </c>
      <c r="B229" s="100">
        <v>44053.0</v>
      </c>
      <c r="C229" s="22">
        <v>23045.0</v>
      </c>
      <c r="D229" s="24">
        <f>400+40+420+200+300</f>
        <v>1360</v>
      </c>
      <c r="E229" s="25">
        <v>1000.0</v>
      </c>
      <c r="F229" s="35">
        <f>300+250+1465+1130</f>
        <v>3145</v>
      </c>
      <c r="G229" s="35">
        <v>2230.0</v>
      </c>
      <c r="H229" s="35">
        <v>6310.0</v>
      </c>
      <c r="I229" s="33"/>
      <c r="J229" s="30">
        <v>12260.0</v>
      </c>
      <c r="K229" s="114">
        <f t="shared" si="43"/>
        <v>2360</v>
      </c>
      <c r="L229" s="881">
        <f t="shared" si="44"/>
        <v>12260</v>
      </c>
      <c r="M229" s="33">
        <f t="shared" si="45"/>
        <v>3260</v>
      </c>
      <c r="N229" s="40">
        <f t="shared" si="49"/>
        <v>16999.92</v>
      </c>
      <c r="O229" s="35">
        <f>PAGOSAGOS!B105</f>
        <v>9260</v>
      </c>
      <c r="P229" s="33">
        <f t="shared" si="46"/>
        <v>7739.92</v>
      </c>
      <c r="Q229" s="33">
        <f t="shared" si="47"/>
        <v>19999.92</v>
      </c>
      <c r="R229" s="882"/>
      <c r="S229" s="35">
        <f t="shared" si="48"/>
        <v>19999.92</v>
      </c>
      <c r="T229" s="33"/>
      <c r="U229" s="36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</row>
    <row r="230">
      <c r="A230" s="99" t="s">
        <v>22</v>
      </c>
      <c r="B230" s="100">
        <v>44054.0</v>
      </c>
      <c r="C230" s="22">
        <v>18719.0</v>
      </c>
      <c r="D230" s="24">
        <v>1140.0</v>
      </c>
      <c r="E230" s="25">
        <v>1000.0</v>
      </c>
      <c r="F230" s="35">
        <v>4415.0</v>
      </c>
      <c r="G230" s="35">
        <v>1259.0</v>
      </c>
      <c r="H230" s="35">
        <v>5340.0</v>
      </c>
      <c r="I230" s="33"/>
      <c r="J230" s="30">
        <v>8022.0</v>
      </c>
      <c r="K230" s="114">
        <f t="shared" si="43"/>
        <v>2140</v>
      </c>
      <c r="L230" s="881">
        <f t="shared" si="44"/>
        <v>8022</v>
      </c>
      <c r="M230" s="33">
        <f t="shared" si="45"/>
        <v>2457</v>
      </c>
      <c r="N230" s="40">
        <f t="shared" si="49"/>
        <v>19999.92</v>
      </c>
      <c r="O230" s="35">
        <f>PAGOSAGOS!B115</f>
        <v>8022</v>
      </c>
      <c r="P230" s="33">
        <f t="shared" si="46"/>
        <v>11977.92</v>
      </c>
      <c r="Q230" s="33">
        <f t="shared" si="47"/>
        <v>19999.92</v>
      </c>
      <c r="R230" s="882"/>
      <c r="S230" s="35">
        <f t="shared" si="48"/>
        <v>19999.92</v>
      </c>
      <c r="T230" s="33"/>
      <c r="U230" s="36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</row>
    <row r="231">
      <c r="A231" s="99" t="s">
        <v>32</v>
      </c>
      <c r="B231" s="100">
        <v>44055.0</v>
      </c>
      <c r="C231" s="22">
        <v>17115.0</v>
      </c>
      <c r="D231" s="24">
        <v>2120.0</v>
      </c>
      <c r="E231" s="25">
        <v>1000.0</v>
      </c>
      <c r="F231" s="35">
        <v>3815.0</v>
      </c>
      <c r="G231" s="35">
        <v>1475.0</v>
      </c>
      <c r="H231" s="35">
        <v>5630.0</v>
      </c>
      <c r="I231" s="33"/>
      <c r="J231" s="30">
        <v>6978.0</v>
      </c>
      <c r="K231" s="114">
        <f t="shared" si="43"/>
        <v>3120</v>
      </c>
      <c r="L231" s="881">
        <f t="shared" si="44"/>
        <v>6978</v>
      </c>
      <c r="M231" s="33">
        <f t="shared" si="45"/>
        <v>3903</v>
      </c>
      <c r="N231" s="40">
        <f t="shared" si="49"/>
        <v>19999.92</v>
      </c>
      <c r="O231" s="35">
        <f>PAGOSAGOS!B125</f>
        <v>5977.56</v>
      </c>
      <c r="P231" s="33">
        <f t="shared" si="46"/>
        <v>14022.36</v>
      </c>
      <c r="Q231" s="33">
        <f t="shared" si="47"/>
        <v>21000.36</v>
      </c>
      <c r="R231" s="882"/>
      <c r="S231" s="35">
        <f t="shared" si="48"/>
        <v>21000.36</v>
      </c>
      <c r="T231" s="33"/>
      <c r="U231" s="36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>
      <c r="A232" s="99" t="s">
        <v>24</v>
      </c>
      <c r="B232" s="100">
        <v>44056.0</v>
      </c>
      <c r="C232" s="22">
        <v>18200.0</v>
      </c>
      <c r="D232" s="24">
        <f>700+400+200+560+220</f>
        <v>2080</v>
      </c>
      <c r="E232" s="25">
        <v>1000.0</v>
      </c>
      <c r="F232" s="35">
        <f>290+1720+940</f>
        <v>2950</v>
      </c>
      <c r="G232" s="35">
        <v>360.0</v>
      </c>
      <c r="H232" s="35">
        <v>5335.0</v>
      </c>
      <c r="I232" s="33"/>
      <c r="J232" s="30">
        <v>9759.0</v>
      </c>
      <c r="K232" s="114">
        <f t="shared" si="43"/>
        <v>3080</v>
      </c>
      <c r="L232" s="881">
        <f t="shared" si="44"/>
        <v>9759</v>
      </c>
      <c r="M232" s="33">
        <f t="shared" si="45"/>
        <v>3284</v>
      </c>
      <c r="N232" s="40">
        <f t="shared" si="49"/>
        <v>21000.36</v>
      </c>
      <c r="O232" s="35">
        <f>PAGOSAGOS!B135</f>
        <v>2758.93</v>
      </c>
      <c r="P232" s="33">
        <f t="shared" si="46"/>
        <v>18241.43</v>
      </c>
      <c r="Q232" s="33">
        <f t="shared" si="47"/>
        <v>28000.43</v>
      </c>
      <c r="R232" s="882"/>
      <c r="S232" s="35">
        <f t="shared" si="48"/>
        <v>28000.43</v>
      </c>
      <c r="T232" s="33"/>
      <c r="U232" s="36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</row>
    <row r="233">
      <c r="A233" s="99" t="s">
        <v>25</v>
      </c>
      <c r="B233" s="100">
        <v>44057.0</v>
      </c>
      <c r="C233" s="22">
        <v>20885.0</v>
      </c>
      <c r="D233" s="24">
        <f>500+600+300</f>
        <v>1400</v>
      </c>
      <c r="E233" s="25">
        <v>1000.0</v>
      </c>
      <c r="F233" s="35">
        <f>150+250+300+4535</f>
        <v>5235</v>
      </c>
      <c r="G233" s="35">
        <v>1285.0</v>
      </c>
      <c r="H233" s="33">
        <f>2390</f>
        <v>2390</v>
      </c>
      <c r="I233" s="33"/>
      <c r="J233" s="30">
        <v>10700.0</v>
      </c>
      <c r="K233" s="114">
        <f t="shared" si="43"/>
        <v>2400</v>
      </c>
      <c r="L233" s="881">
        <f t="shared" si="44"/>
        <v>10700</v>
      </c>
      <c r="M233" s="33">
        <f t="shared" si="45"/>
        <v>1125</v>
      </c>
      <c r="N233" s="40">
        <f t="shared" si="49"/>
        <v>28000.43</v>
      </c>
      <c r="O233" s="35">
        <f>PAGOSAGOS!B145</f>
        <v>22700</v>
      </c>
      <c r="P233" s="33">
        <f t="shared" si="46"/>
        <v>5300.43</v>
      </c>
      <c r="Q233" s="33">
        <f t="shared" si="47"/>
        <v>16000.43</v>
      </c>
      <c r="R233" s="882">
        <v>6000.0</v>
      </c>
      <c r="S233" s="35">
        <f t="shared" si="48"/>
        <v>22000.43</v>
      </c>
      <c r="T233" s="33"/>
      <c r="U233" s="36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>
      <c r="A234" s="99" t="s">
        <v>33</v>
      </c>
      <c r="B234" s="100">
        <v>44058.0</v>
      </c>
      <c r="C234" s="22">
        <v>31655.0</v>
      </c>
      <c r="D234" s="24">
        <v>1310.0</v>
      </c>
      <c r="E234" s="25">
        <v>1000.0</v>
      </c>
      <c r="F234" s="35">
        <v>5635.0</v>
      </c>
      <c r="G234" s="35">
        <v>3465.0</v>
      </c>
      <c r="H234" s="35">
        <v>8990.0</v>
      </c>
      <c r="I234" s="33"/>
      <c r="J234" s="30">
        <v>14235.0</v>
      </c>
      <c r="K234" s="114">
        <f t="shared" si="43"/>
        <v>2310</v>
      </c>
      <c r="L234" s="881">
        <f t="shared" si="44"/>
        <v>14235</v>
      </c>
      <c r="M234" s="33">
        <f t="shared" si="45"/>
        <v>2980</v>
      </c>
      <c r="N234" s="40">
        <f t="shared" si="49"/>
        <v>22000.43</v>
      </c>
      <c r="O234" s="35">
        <f>PAGOSAGOS!B155</f>
        <v>10235</v>
      </c>
      <c r="P234" s="33">
        <f t="shared" si="46"/>
        <v>11765.43</v>
      </c>
      <c r="Q234" s="33">
        <f t="shared" si="47"/>
        <v>26000.43</v>
      </c>
      <c r="R234" s="882"/>
      <c r="S234" s="35">
        <f t="shared" si="48"/>
        <v>26000.43</v>
      </c>
      <c r="T234" s="33"/>
      <c r="U234" s="36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</row>
    <row r="235">
      <c r="A235" s="150" t="s">
        <v>27</v>
      </c>
      <c r="B235" s="162">
        <v>44059.0</v>
      </c>
      <c r="C235" s="160">
        <v>26815.0</v>
      </c>
      <c r="D235" s="160">
        <v>1580.0</v>
      </c>
      <c r="E235" s="160">
        <v>1000.0</v>
      </c>
      <c r="F235" s="160">
        <v>2665.0</v>
      </c>
      <c r="G235" s="193">
        <v>4660.0</v>
      </c>
      <c r="H235" s="193">
        <v>13365.0</v>
      </c>
      <c r="I235" s="37"/>
      <c r="J235" s="160">
        <v>7338.0</v>
      </c>
      <c r="K235" s="37">
        <f t="shared" si="43"/>
        <v>2580</v>
      </c>
      <c r="L235" s="37">
        <f t="shared" si="44"/>
        <v>7338</v>
      </c>
      <c r="M235" s="37">
        <f t="shared" si="45"/>
        <v>3793</v>
      </c>
      <c r="N235" s="207">
        <f t="shared" si="49"/>
        <v>26000.43</v>
      </c>
      <c r="O235" s="160">
        <f>PAGOSAGOS!B165</f>
        <v>23338.86</v>
      </c>
      <c r="P235" s="37">
        <f t="shared" si="46"/>
        <v>2661.57</v>
      </c>
      <c r="Q235" s="37">
        <f t="shared" si="47"/>
        <v>9999.57</v>
      </c>
      <c r="R235" s="160"/>
      <c r="S235" s="160">
        <f t="shared" si="48"/>
        <v>9999.57</v>
      </c>
      <c r="T235" s="33"/>
      <c r="U235" s="36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</row>
    <row r="236">
      <c r="A236" s="38" t="s">
        <v>21</v>
      </c>
      <c r="B236" s="41">
        <v>44060.0</v>
      </c>
      <c r="C236" s="22">
        <v>23394.0</v>
      </c>
      <c r="D236" s="24">
        <v>1120.0</v>
      </c>
      <c r="E236" s="25">
        <v>1000.0</v>
      </c>
      <c r="F236" s="35">
        <v>4110.0</v>
      </c>
      <c r="G236" s="35">
        <v>4633.0</v>
      </c>
      <c r="H236" s="35">
        <v>4785.0</v>
      </c>
      <c r="I236" s="33"/>
      <c r="J236" s="30">
        <v>10270.0</v>
      </c>
      <c r="K236" s="114">
        <f t="shared" si="43"/>
        <v>2120</v>
      </c>
      <c r="L236" s="881">
        <f t="shared" si="44"/>
        <v>10270</v>
      </c>
      <c r="M236" s="33">
        <f t="shared" si="45"/>
        <v>2524</v>
      </c>
      <c r="N236" s="40">
        <f t="shared" si="49"/>
        <v>9999.57</v>
      </c>
      <c r="O236" s="35">
        <f>PAGOSAGOS!B175</f>
        <v>4270</v>
      </c>
      <c r="P236" s="33">
        <f t="shared" si="46"/>
        <v>5729.57</v>
      </c>
      <c r="Q236" s="33">
        <f t="shared" si="47"/>
        <v>15999.57</v>
      </c>
      <c r="R236" s="882"/>
      <c r="S236" s="35">
        <f t="shared" si="48"/>
        <v>15999.57</v>
      </c>
      <c r="T236" s="33"/>
      <c r="U236" s="36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</row>
    <row r="237">
      <c r="A237" s="38" t="s">
        <v>22</v>
      </c>
      <c r="B237" s="41">
        <v>44061.0</v>
      </c>
      <c r="C237" s="22">
        <v>18740.0</v>
      </c>
      <c r="D237" s="24">
        <f>700+150+100+425+250</f>
        <v>1625</v>
      </c>
      <c r="E237" s="25">
        <v>1000.0</v>
      </c>
      <c r="F237" s="35">
        <f>300+2095</f>
        <v>2395</v>
      </c>
      <c r="G237" s="35">
        <v>1690.0</v>
      </c>
      <c r="H237" s="35">
        <v>5970.0</v>
      </c>
      <c r="I237" s="33"/>
      <c r="J237" s="30">
        <v>11796.0</v>
      </c>
      <c r="K237" s="114">
        <f t="shared" si="43"/>
        <v>2625</v>
      </c>
      <c r="L237" s="881">
        <f t="shared" si="44"/>
        <v>11796</v>
      </c>
      <c r="M237" s="33">
        <f t="shared" si="45"/>
        <v>5736</v>
      </c>
      <c r="N237" s="40">
        <f t="shared" si="49"/>
        <v>15999.57</v>
      </c>
      <c r="O237" s="35">
        <f>PAGOSAGOS!B185</f>
        <v>20796</v>
      </c>
      <c r="P237" s="33">
        <f t="shared" si="46"/>
        <v>-4796.43</v>
      </c>
      <c r="Q237" s="33">
        <f t="shared" si="47"/>
        <v>6999.57</v>
      </c>
      <c r="R237" s="882"/>
      <c r="S237" s="35">
        <f t="shared" si="48"/>
        <v>6999.57</v>
      </c>
      <c r="T237" s="33"/>
      <c r="U237" s="36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>
      <c r="A238" s="38" t="s">
        <v>32</v>
      </c>
      <c r="B238" s="41">
        <v>44062.0</v>
      </c>
      <c r="C238" s="22">
        <v>20018.0</v>
      </c>
      <c r="D238" s="24">
        <v>910.0</v>
      </c>
      <c r="E238" s="25">
        <v>1000.0</v>
      </c>
      <c r="F238" s="35">
        <f>600+1090+230</f>
        <v>1920</v>
      </c>
      <c r="G238" s="35">
        <v>3574.0</v>
      </c>
      <c r="H238" s="35">
        <v>5390.0</v>
      </c>
      <c r="I238" s="33"/>
      <c r="J238" s="30">
        <v>10166.0</v>
      </c>
      <c r="K238" s="114">
        <f t="shared" si="43"/>
        <v>1910</v>
      </c>
      <c r="L238" s="881">
        <f t="shared" si="44"/>
        <v>10166</v>
      </c>
      <c r="M238" s="33">
        <f t="shared" si="45"/>
        <v>2942</v>
      </c>
      <c r="N238" s="40">
        <f t="shared" si="49"/>
        <v>6999.57</v>
      </c>
      <c r="O238" s="35">
        <f>PAGOSAGOS!B195</f>
        <v>7166</v>
      </c>
      <c r="P238" s="33">
        <f t="shared" si="46"/>
        <v>-166.43</v>
      </c>
      <c r="Q238" s="33">
        <f t="shared" si="47"/>
        <v>9999.57</v>
      </c>
      <c r="R238" s="882">
        <v>0.0</v>
      </c>
      <c r="S238" s="35">
        <f t="shared" si="48"/>
        <v>9999.57</v>
      </c>
      <c r="T238" s="33"/>
      <c r="U238" s="36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</row>
    <row r="239">
      <c r="A239" s="38" t="s">
        <v>24</v>
      </c>
      <c r="B239" s="41">
        <v>44063.0</v>
      </c>
      <c r="C239" s="22">
        <v>18034.0</v>
      </c>
      <c r="D239" s="24">
        <f>1400+420+250</f>
        <v>2070</v>
      </c>
      <c r="E239" s="25">
        <v>600.0</v>
      </c>
      <c r="F239" s="35">
        <f>1935+725</f>
        <v>2660</v>
      </c>
      <c r="G239" s="35">
        <v>2594.0</v>
      </c>
      <c r="H239" s="33">
        <f>4260</f>
        <v>4260</v>
      </c>
      <c r="I239" s="33"/>
      <c r="J239" s="30">
        <v>8047.0</v>
      </c>
      <c r="K239" s="114">
        <f t="shared" si="43"/>
        <v>2670</v>
      </c>
      <c r="L239" s="881">
        <f t="shared" si="44"/>
        <v>8047</v>
      </c>
      <c r="M239" s="33">
        <f t="shared" si="45"/>
        <v>2197</v>
      </c>
      <c r="N239" s="40">
        <f t="shared" si="49"/>
        <v>9999.57</v>
      </c>
      <c r="O239" s="35">
        <f>PAGOSAGOS!B205</f>
        <v>8046.91</v>
      </c>
      <c r="P239" s="33">
        <f t="shared" si="46"/>
        <v>1952.66</v>
      </c>
      <c r="Q239" s="33">
        <f t="shared" si="47"/>
        <v>9999.66</v>
      </c>
      <c r="R239" s="882"/>
      <c r="S239" s="35">
        <f t="shared" si="48"/>
        <v>9999.66</v>
      </c>
      <c r="T239" s="33"/>
      <c r="U239" s="36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>
      <c r="A240" s="38" t="s">
        <v>25</v>
      </c>
      <c r="B240" s="41">
        <v>44064.0</v>
      </c>
      <c r="C240" s="22">
        <v>18719.0</v>
      </c>
      <c r="D240" s="24">
        <v>1310.0</v>
      </c>
      <c r="E240" s="25">
        <v>600.0</v>
      </c>
      <c r="F240" s="35">
        <v>2815.0</v>
      </c>
      <c r="G240" s="35">
        <v>4199.0</v>
      </c>
      <c r="H240" s="35">
        <v>3795.0</v>
      </c>
      <c r="I240" s="33"/>
      <c r="J240" s="30">
        <v>8203.0</v>
      </c>
      <c r="K240" s="114">
        <f t="shared" si="43"/>
        <v>1910</v>
      </c>
      <c r="L240" s="881">
        <f t="shared" si="44"/>
        <v>8203</v>
      </c>
      <c r="M240" s="33">
        <f t="shared" si="45"/>
        <v>2203</v>
      </c>
      <c r="N240" s="40">
        <f t="shared" si="49"/>
        <v>9999.66</v>
      </c>
      <c r="O240" s="35">
        <f>PAGOSAGOS!B215</f>
        <v>6203</v>
      </c>
      <c r="P240" s="33">
        <f t="shared" si="46"/>
        <v>3796.66</v>
      </c>
      <c r="Q240" s="33">
        <f t="shared" si="47"/>
        <v>11999.66</v>
      </c>
      <c r="R240" s="882"/>
      <c r="S240" s="35">
        <f t="shared" si="48"/>
        <v>11999.66</v>
      </c>
      <c r="T240" s="33"/>
      <c r="U240" s="36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>
      <c r="A241" s="38" t="s">
        <v>33</v>
      </c>
      <c r="B241" s="41">
        <v>44065.0</v>
      </c>
      <c r="C241" s="22">
        <v>25553.0</v>
      </c>
      <c r="D241" s="24">
        <f>560+380+900+240</f>
        <v>2080</v>
      </c>
      <c r="E241" s="25">
        <v>1000.0</v>
      </c>
      <c r="F241" s="35">
        <f>5845+550</f>
        <v>6395</v>
      </c>
      <c r="G241" s="35">
        <v>1600.0</v>
      </c>
      <c r="H241" s="35">
        <v>4670.0</v>
      </c>
      <c r="I241" s="33"/>
      <c r="J241" s="30">
        <v>10930.0</v>
      </c>
      <c r="K241" s="114">
        <f t="shared" si="43"/>
        <v>3080</v>
      </c>
      <c r="L241" s="881">
        <f t="shared" si="44"/>
        <v>10930</v>
      </c>
      <c r="M241" s="33">
        <f t="shared" si="45"/>
        <v>1122</v>
      </c>
      <c r="N241" s="40">
        <f t="shared" si="49"/>
        <v>11999.66</v>
      </c>
      <c r="O241" s="35">
        <f>PAGOSAGOS!B228</f>
        <v>14929.5</v>
      </c>
      <c r="P241" s="33">
        <f t="shared" si="46"/>
        <v>-2929.84</v>
      </c>
      <c r="Q241" s="33">
        <f t="shared" si="47"/>
        <v>8000.16</v>
      </c>
      <c r="R241" s="882"/>
      <c r="S241" s="35">
        <f t="shared" si="48"/>
        <v>8000.16</v>
      </c>
      <c r="T241" s="33"/>
      <c r="U241" s="36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>
      <c r="A242" s="150" t="s">
        <v>27</v>
      </c>
      <c r="B242" s="162">
        <v>44066.0</v>
      </c>
      <c r="C242" s="160">
        <v>21780.0</v>
      </c>
      <c r="D242" s="160">
        <v>2790.0</v>
      </c>
      <c r="E242" s="160">
        <v>1000.0</v>
      </c>
      <c r="F242" s="160">
        <v>3960.0</v>
      </c>
      <c r="G242" s="160">
        <v>2665.0</v>
      </c>
      <c r="H242" s="160">
        <v>5350.0</v>
      </c>
      <c r="I242" s="37"/>
      <c r="J242" s="160">
        <v>6314.0</v>
      </c>
      <c r="K242" s="37">
        <f t="shared" si="43"/>
        <v>3790</v>
      </c>
      <c r="L242" s="37">
        <f t="shared" si="44"/>
        <v>6314</v>
      </c>
      <c r="M242" s="37">
        <f t="shared" si="45"/>
        <v>299</v>
      </c>
      <c r="N242" s="207">
        <f t="shared" si="49"/>
        <v>8000.16</v>
      </c>
      <c r="O242" s="160">
        <f>PAGOSAGOS!B238</f>
        <v>14314</v>
      </c>
      <c r="P242" s="37">
        <f t="shared" si="46"/>
        <v>-6313.84</v>
      </c>
      <c r="Q242" s="37">
        <f t="shared" si="47"/>
        <v>0.16</v>
      </c>
      <c r="R242" s="160">
        <v>10000.0</v>
      </c>
      <c r="S242" s="160">
        <f t="shared" si="48"/>
        <v>10000.16</v>
      </c>
      <c r="T242" s="33"/>
      <c r="U242" s="36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</row>
    <row r="243">
      <c r="A243" s="38" t="s">
        <v>21</v>
      </c>
      <c r="B243" s="41">
        <v>44067.0</v>
      </c>
      <c r="C243" s="22">
        <v>16348.0</v>
      </c>
      <c r="D243" s="24">
        <f>1300+260+730+250</f>
        <v>2540</v>
      </c>
      <c r="E243" s="25">
        <v>1000.0</v>
      </c>
      <c r="F243" s="35">
        <f>3250+590+845</f>
        <v>4685</v>
      </c>
      <c r="G243" s="35">
        <v>235.0</v>
      </c>
      <c r="H243" s="35">
        <f>4495+250</f>
        <v>4745</v>
      </c>
      <c r="I243" s="33"/>
      <c r="J243" s="30">
        <v>6724.0</v>
      </c>
      <c r="K243" s="114">
        <f t="shared" si="43"/>
        <v>3540</v>
      </c>
      <c r="L243" s="881">
        <f t="shared" si="44"/>
        <v>6724</v>
      </c>
      <c r="M243" s="33">
        <f t="shared" si="45"/>
        <v>3581</v>
      </c>
      <c r="N243" s="40">
        <f t="shared" si="49"/>
        <v>10000.16</v>
      </c>
      <c r="O243" s="35">
        <f>PAGOSAGOS!B248</f>
        <v>4724</v>
      </c>
      <c r="P243" s="33">
        <f t="shared" si="46"/>
        <v>5276.16</v>
      </c>
      <c r="Q243" s="33">
        <f t="shared" si="47"/>
        <v>12000.16</v>
      </c>
      <c r="R243" s="882"/>
      <c r="S243" s="35">
        <f t="shared" si="48"/>
        <v>12000.16</v>
      </c>
      <c r="T243" s="33"/>
      <c r="U243" s="36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</row>
    <row r="244">
      <c r="A244" s="38" t="s">
        <v>22</v>
      </c>
      <c r="B244" s="41">
        <v>44068.0</v>
      </c>
      <c r="C244" s="22">
        <v>20764.0</v>
      </c>
      <c r="D244" s="24">
        <v>1520.0</v>
      </c>
      <c r="E244" s="25">
        <v>1000.0</v>
      </c>
      <c r="F244" s="35">
        <v>4320.0</v>
      </c>
      <c r="G244" s="35">
        <v>1485.0</v>
      </c>
      <c r="H244" s="926">
        <v>5650.0</v>
      </c>
      <c r="I244" s="33"/>
      <c r="J244" s="30">
        <v>10977.0</v>
      </c>
      <c r="K244" s="114">
        <f t="shared" si="43"/>
        <v>2520</v>
      </c>
      <c r="L244" s="881">
        <f t="shared" si="44"/>
        <v>10977</v>
      </c>
      <c r="M244" s="33">
        <f t="shared" si="45"/>
        <v>4188</v>
      </c>
      <c r="N244" s="40">
        <f t="shared" si="49"/>
        <v>12000.16</v>
      </c>
      <c r="O244" s="35">
        <f>PAGOSAGOS!B258</f>
        <v>20477</v>
      </c>
      <c r="P244" s="33">
        <f t="shared" si="46"/>
        <v>-8476.84</v>
      </c>
      <c r="Q244" s="33">
        <f t="shared" si="47"/>
        <v>2500.16</v>
      </c>
      <c r="R244" s="882">
        <v>6500.0</v>
      </c>
      <c r="S244" s="35">
        <f t="shared" si="48"/>
        <v>9000.16</v>
      </c>
      <c r="T244" s="33"/>
      <c r="U244" s="36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</row>
    <row r="245">
      <c r="A245" s="38" t="s">
        <v>32</v>
      </c>
      <c r="B245" s="41">
        <v>44069.0</v>
      </c>
      <c r="C245" s="22">
        <v>22315.0</v>
      </c>
      <c r="D245" s="24">
        <f>1420+340+220</f>
        <v>1980</v>
      </c>
      <c r="E245" s="25">
        <v>1000.0</v>
      </c>
      <c r="F245" s="35">
        <f>890+1930</f>
        <v>2820</v>
      </c>
      <c r="G245" s="35">
        <v>2425.0</v>
      </c>
      <c r="H245" s="926">
        <v>6875.0</v>
      </c>
      <c r="I245" s="33"/>
      <c r="J245" s="30">
        <v>9798.0</v>
      </c>
      <c r="K245" s="114">
        <f t="shared" si="43"/>
        <v>2980</v>
      </c>
      <c r="L245" s="881">
        <f t="shared" si="44"/>
        <v>9798</v>
      </c>
      <c r="M245" s="33">
        <f t="shared" si="45"/>
        <v>2583</v>
      </c>
      <c r="N245" s="40">
        <f t="shared" si="49"/>
        <v>9000.16</v>
      </c>
      <c r="O245" s="35">
        <f>PAGOSAGOS!B268</f>
        <v>4798</v>
      </c>
      <c r="P245" s="33">
        <f t="shared" si="46"/>
        <v>4202.16</v>
      </c>
      <c r="Q245" s="33">
        <f t="shared" si="47"/>
        <v>14000.16</v>
      </c>
      <c r="R245" s="882"/>
      <c r="S245" s="35">
        <f t="shared" si="48"/>
        <v>14000.16</v>
      </c>
      <c r="T245" s="33"/>
      <c r="U245" s="36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>
      <c r="A246" s="38" t="s">
        <v>24</v>
      </c>
      <c r="B246" s="41">
        <v>44070.0</v>
      </c>
      <c r="C246" s="22">
        <v>23510.0</v>
      </c>
      <c r="D246" s="24">
        <v>540.0</v>
      </c>
      <c r="E246" s="25">
        <v>1000.0</v>
      </c>
      <c r="F246" s="35">
        <v>4130.0</v>
      </c>
      <c r="G246" s="35">
        <v>2390.0</v>
      </c>
      <c r="H246" s="926">
        <v>4000.0</v>
      </c>
      <c r="I246" s="33"/>
      <c r="J246" s="30">
        <v>14123.0</v>
      </c>
      <c r="K246" s="114">
        <f t="shared" si="43"/>
        <v>1540</v>
      </c>
      <c r="L246" s="881">
        <f t="shared" si="44"/>
        <v>14123</v>
      </c>
      <c r="M246" s="33">
        <f t="shared" si="45"/>
        <v>2673</v>
      </c>
      <c r="N246" s="40">
        <f t="shared" si="49"/>
        <v>14000.16</v>
      </c>
      <c r="O246" s="35">
        <f>PAGOSAGOS!B278</f>
        <v>9123</v>
      </c>
      <c r="P246" s="33">
        <f t="shared" si="46"/>
        <v>4877.16</v>
      </c>
      <c r="Q246" s="33">
        <f t="shared" si="47"/>
        <v>19000.16</v>
      </c>
      <c r="R246" s="882"/>
      <c r="S246" s="35">
        <f t="shared" si="48"/>
        <v>19000.16</v>
      </c>
      <c r="T246" s="33"/>
      <c r="U246" s="36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</row>
    <row r="247">
      <c r="A247" s="38" t="s">
        <v>25</v>
      </c>
      <c r="B247" s="41">
        <v>44071.0</v>
      </c>
      <c r="C247" s="22">
        <v>31123.0</v>
      </c>
      <c r="D247" s="24">
        <f>600+300+220+350+120</f>
        <v>1590</v>
      </c>
      <c r="E247" s="25">
        <v>1000.0</v>
      </c>
      <c r="F247" s="35">
        <f>300+3115</f>
        <v>3415</v>
      </c>
      <c r="G247" s="35">
        <v>4613.0</v>
      </c>
      <c r="H247" s="927">
        <f>9581</f>
        <v>9581</v>
      </c>
      <c r="I247" s="33"/>
      <c r="J247" s="30">
        <v>12519.0</v>
      </c>
      <c r="K247" s="114">
        <f t="shared" si="43"/>
        <v>2590</v>
      </c>
      <c r="L247" s="881">
        <f t="shared" si="44"/>
        <v>12519</v>
      </c>
      <c r="M247" s="33">
        <f t="shared" si="45"/>
        <v>1595</v>
      </c>
      <c r="N247" s="40">
        <f t="shared" si="49"/>
        <v>19000.16</v>
      </c>
      <c r="O247" s="35">
        <f>PAGOSAGOS!B288</f>
        <v>25769.33</v>
      </c>
      <c r="P247" s="33">
        <f t="shared" si="46"/>
        <v>-6769.17</v>
      </c>
      <c r="Q247" s="33">
        <f t="shared" si="47"/>
        <v>5749.83</v>
      </c>
      <c r="R247" s="882">
        <v>7000.0</v>
      </c>
      <c r="S247" s="35">
        <f t="shared" si="48"/>
        <v>12749.83</v>
      </c>
      <c r="T247" s="33"/>
      <c r="U247" s="36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>
      <c r="A248" s="38" t="s">
        <v>33</v>
      </c>
      <c r="B248" s="41">
        <v>44072.0</v>
      </c>
      <c r="C248" s="22">
        <v>38870.0</v>
      </c>
      <c r="D248" s="24">
        <v>3150.0</v>
      </c>
      <c r="E248" s="25">
        <v>1000.0</v>
      </c>
      <c r="F248" s="35">
        <v>5910.0</v>
      </c>
      <c r="G248" s="926">
        <v>5635.0</v>
      </c>
      <c r="H248" s="35">
        <v>16255.0</v>
      </c>
      <c r="I248" s="33"/>
      <c r="J248" s="30">
        <v>11321.0</v>
      </c>
      <c r="K248" s="114">
        <f t="shared" si="43"/>
        <v>4150</v>
      </c>
      <c r="L248" s="881">
        <f t="shared" si="44"/>
        <v>11321</v>
      </c>
      <c r="M248" s="33">
        <f t="shared" si="45"/>
        <v>4401</v>
      </c>
      <c r="N248" s="40">
        <f t="shared" si="49"/>
        <v>12749.83</v>
      </c>
      <c r="O248" s="35">
        <f>PAGOSAGOS!B298</f>
        <v>22321</v>
      </c>
      <c r="P248" s="33">
        <f t="shared" si="46"/>
        <v>-9571.17</v>
      </c>
      <c r="Q248" s="33">
        <f t="shared" si="47"/>
        <v>1749.83</v>
      </c>
      <c r="R248" s="882">
        <v>20000.0</v>
      </c>
      <c r="S248" s="35">
        <f t="shared" si="48"/>
        <v>21749.83</v>
      </c>
      <c r="T248" s="33"/>
      <c r="U248" s="36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</row>
    <row r="249">
      <c r="A249" s="150" t="s">
        <v>27</v>
      </c>
      <c r="B249" s="162">
        <v>44073.0</v>
      </c>
      <c r="C249" s="160">
        <v>15723.0</v>
      </c>
      <c r="D249" s="160">
        <f>1100+150+220+130+350+680</f>
        <v>2630</v>
      </c>
      <c r="E249" s="160">
        <v>1000.0</v>
      </c>
      <c r="F249" s="160">
        <f>1850+415</f>
        <v>2265</v>
      </c>
      <c r="G249" s="193">
        <v>1084.0</v>
      </c>
      <c r="H249" s="160">
        <v>2270.0</v>
      </c>
      <c r="I249" s="37"/>
      <c r="J249" s="160">
        <v>11060.0</v>
      </c>
      <c r="K249" s="37">
        <f t="shared" si="43"/>
        <v>3630</v>
      </c>
      <c r="L249" s="37">
        <f t="shared" si="44"/>
        <v>11060</v>
      </c>
      <c r="M249" s="37">
        <f t="shared" si="45"/>
        <v>4586</v>
      </c>
      <c r="N249" s="207">
        <f t="shared" si="49"/>
        <v>21749.83</v>
      </c>
      <c r="O249" s="160">
        <f>PAGOSAGOS!B308</f>
        <v>15810</v>
      </c>
      <c r="P249" s="37">
        <f t="shared" si="46"/>
        <v>5939.83</v>
      </c>
      <c r="Q249" s="37">
        <f t="shared" si="47"/>
        <v>16999.83</v>
      </c>
      <c r="R249" s="160"/>
      <c r="S249" s="160">
        <f t="shared" si="48"/>
        <v>16999.83</v>
      </c>
      <c r="T249" s="33"/>
      <c r="U249" s="36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</row>
    <row r="250">
      <c r="A250" s="805" t="s">
        <v>21</v>
      </c>
      <c r="B250" s="928">
        <v>44074.0</v>
      </c>
      <c r="C250" s="869">
        <v>27370.0</v>
      </c>
      <c r="D250" s="870">
        <v>990.0</v>
      </c>
      <c r="E250" s="871">
        <v>1000.0</v>
      </c>
      <c r="F250" s="147">
        <v>1345.0</v>
      </c>
      <c r="G250" s="929">
        <v>3285.0</v>
      </c>
      <c r="H250" s="147">
        <v>7770.0</v>
      </c>
      <c r="I250" s="145"/>
      <c r="J250" s="922">
        <v>15443.0</v>
      </c>
      <c r="K250" s="923">
        <f t="shared" si="43"/>
        <v>1990</v>
      </c>
      <c r="L250" s="924">
        <f t="shared" si="44"/>
        <v>15443</v>
      </c>
      <c r="M250" s="145">
        <f t="shared" si="45"/>
        <v>2463</v>
      </c>
      <c r="N250" s="146">
        <f t="shared" si="49"/>
        <v>16999.83</v>
      </c>
      <c r="O250" s="147">
        <f>PAGOSAGOS!B318</f>
        <v>5443</v>
      </c>
      <c r="P250" s="145">
        <f t="shared" si="46"/>
        <v>11556.83</v>
      </c>
      <c r="Q250" s="145">
        <f t="shared" si="47"/>
        <v>26999.83</v>
      </c>
      <c r="R250" s="925"/>
      <c r="S250" s="147">
        <f t="shared" si="48"/>
        <v>26999.83</v>
      </c>
      <c r="T250" s="33"/>
      <c r="U250" s="36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</row>
    <row r="251">
      <c r="A251" s="93" t="s">
        <v>28</v>
      </c>
      <c r="B251" s="94" t="s">
        <v>43</v>
      </c>
      <c r="C251" s="95">
        <f>SUM(C220:C250)</f>
        <v>684739</v>
      </c>
      <c r="D251" s="95"/>
      <c r="E251" s="95"/>
      <c r="F251" s="95">
        <f t="shared" ref="F251:H251" si="50">SUM(F220:F250)</f>
        <v>104155</v>
      </c>
      <c r="G251" s="95">
        <f t="shared" si="50"/>
        <v>82079</v>
      </c>
      <c r="H251" s="95">
        <f t="shared" si="50"/>
        <v>198928</v>
      </c>
      <c r="I251" s="95"/>
      <c r="J251" s="95">
        <f>SUM(J220:J250)</f>
        <v>310505</v>
      </c>
      <c r="K251" s="114"/>
      <c r="L251" s="881"/>
      <c r="M251" s="33"/>
      <c r="N251" s="40"/>
      <c r="O251" s="35"/>
      <c r="P251" s="33"/>
      <c r="Q251" s="33"/>
      <c r="R251" s="882"/>
      <c r="S251" s="35"/>
      <c r="T251" s="33"/>
      <c r="U251" s="36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>
      <c r="A252" s="38" t="s">
        <v>22</v>
      </c>
      <c r="B252" s="41">
        <v>44075.0</v>
      </c>
      <c r="C252" s="22">
        <v>17300.0</v>
      </c>
      <c r="D252" s="24">
        <f>1200+40+350</f>
        <v>1590</v>
      </c>
      <c r="E252" s="25">
        <v>500.0</v>
      </c>
      <c r="F252" s="35">
        <v>845.0</v>
      </c>
      <c r="G252" s="926">
        <v>2975.0</v>
      </c>
      <c r="H252" s="35">
        <v>2130.0</v>
      </c>
      <c r="I252" s="33"/>
      <c r="J252" s="30">
        <v>10178.0</v>
      </c>
      <c r="K252" s="114">
        <f t="shared" ref="K252:K281" si="51">D252+E252</f>
        <v>2090</v>
      </c>
      <c r="L252" s="881">
        <f t="shared" ref="L252:L281" si="52">(D252+E252+J252)-K252</f>
        <v>10178</v>
      </c>
      <c r="M252" s="33">
        <f t="shared" ref="M252:M281" si="53">SUM(D252:J252)-(C252)</f>
        <v>918</v>
      </c>
      <c r="N252" s="40">
        <f>S250</f>
        <v>26999.83</v>
      </c>
      <c r="O252" s="35">
        <f>SEP20PAGOS!B12</f>
        <v>20178</v>
      </c>
      <c r="P252" s="33">
        <f t="shared" ref="P252:P281" si="54">N252-O252</f>
        <v>6821.83</v>
      </c>
      <c r="Q252" s="33">
        <f t="shared" ref="Q252:Q281" si="55">(N252+J252)-O252</f>
        <v>16999.83</v>
      </c>
      <c r="R252" s="882"/>
      <c r="S252" s="35">
        <f t="shared" ref="S252:S281" si="56">Q252+R252</f>
        <v>16999.83</v>
      </c>
      <c r="T252" s="33"/>
      <c r="U252" s="36"/>
      <c r="V252" s="194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</row>
    <row r="253">
      <c r="A253" s="38" t="s">
        <v>32</v>
      </c>
      <c r="B253" s="41">
        <v>44076.0</v>
      </c>
      <c r="C253" s="22">
        <v>14258.0</v>
      </c>
      <c r="D253" s="24">
        <v>1020.0</v>
      </c>
      <c r="E253" s="25">
        <v>200.0</v>
      </c>
      <c r="F253" s="35">
        <v>1310.0</v>
      </c>
      <c r="G253" s="926">
        <v>1827.0</v>
      </c>
      <c r="H253" s="926">
        <v>6355.0</v>
      </c>
      <c r="I253" s="33"/>
      <c r="J253" s="30">
        <v>5020.0</v>
      </c>
      <c r="K253" s="114">
        <f t="shared" si="51"/>
        <v>1220</v>
      </c>
      <c r="L253" s="881">
        <f t="shared" si="52"/>
        <v>5020</v>
      </c>
      <c r="M253" s="33">
        <f t="shared" si="53"/>
        <v>1474</v>
      </c>
      <c r="N253" s="40">
        <f t="shared" ref="N253:N281" si="57">S252</f>
        <v>16999.83</v>
      </c>
      <c r="O253" s="35">
        <f>SEP20PAGOS!B22</f>
        <v>3055</v>
      </c>
      <c r="P253" s="33">
        <f t="shared" si="54"/>
        <v>13944.83</v>
      </c>
      <c r="Q253" s="33">
        <f t="shared" si="55"/>
        <v>18964.83</v>
      </c>
      <c r="R253" s="882"/>
      <c r="S253" s="35">
        <f t="shared" si="56"/>
        <v>18964.83</v>
      </c>
      <c r="T253" s="33"/>
      <c r="U253" s="36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>
      <c r="A254" s="38" t="s">
        <v>24</v>
      </c>
      <c r="B254" s="41">
        <v>44077.0</v>
      </c>
      <c r="C254" s="22">
        <v>20698.0</v>
      </c>
      <c r="D254" s="24">
        <v>1310.0</v>
      </c>
      <c r="E254" s="25">
        <v>200.0</v>
      </c>
      <c r="F254" s="35">
        <v>2445.0</v>
      </c>
      <c r="G254" s="926">
        <v>2273.0</v>
      </c>
      <c r="H254" s="35">
        <v>4205.0</v>
      </c>
      <c r="I254" s="33"/>
      <c r="J254" s="30">
        <v>12768.0</v>
      </c>
      <c r="K254" s="114">
        <f t="shared" si="51"/>
        <v>1510</v>
      </c>
      <c r="L254" s="881">
        <f t="shared" si="52"/>
        <v>12768</v>
      </c>
      <c r="M254" s="33">
        <f t="shared" si="53"/>
        <v>2503</v>
      </c>
      <c r="N254" s="40">
        <f t="shared" si="57"/>
        <v>18964.83</v>
      </c>
      <c r="O254" s="35">
        <f>SEP20PAGOS!B32</f>
        <v>5247</v>
      </c>
      <c r="P254" s="33">
        <f t="shared" si="54"/>
        <v>13717.83</v>
      </c>
      <c r="Q254" s="33">
        <f t="shared" si="55"/>
        <v>26485.83</v>
      </c>
      <c r="R254" s="882"/>
      <c r="S254" s="35">
        <f t="shared" si="56"/>
        <v>26485.83</v>
      </c>
      <c r="T254" s="33"/>
      <c r="U254" s="36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</row>
    <row r="255">
      <c r="A255" s="38" t="s">
        <v>25</v>
      </c>
      <c r="B255" s="41">
        <v>44078.0</v>
      </c>
      <c r="C255" s="22">
        <v>24553.0</v>
      </c>
      <c r="D255" s="24">
        <v>2560.0</v>
      </c>
      <c r="E255" s="25">
        <v>0.0</v>
      </c>
      <c r="F255" s="35">
        <v>2855.0</v>
      </c>
      <c r="G255" s="926">
        <v>5288.0</v>
      </c>
      <c r="H255" s="926">
        <v>1895.0</v>
      </c>
      <c r="I255" s="33"/>
      <c r="J255" s="30">
        <v>11280.0</v>
      </c>
      <c r="K255" s="114">
        <f t="shared" si="51"/>
        <v>2560</v>
      </c>
      <c r="L255" s="881">
        <f t="shared" si="52"/>
        <v>11280</v>
      </c>
      <c r="M255" s="33">
        <f t="shared" si="53"/>
        <v>-675</v>
      </c>
      <c r="N255" s="40">
        <f t="shared" si="57"/>
        <v>26485.83</v>
      </c>
      <c r="O255" s="35">
        <f>SEP20PAGOS!B42</f>
        <v>25766</v>
      </c>
      <c r="P255" s="33">
        <f t="shared" si="54"/>
        <v>719.83</v>
      </c>
      <c r="Q255" s="33">
        <f t="shared" si="55"/>
        <v>11999.83</v>
      </c>
      <c r="R255" s="882"/>
      <c r="S255" s="35">
        <f t="shared" si="56"/>
        <v>11999.83</v>
      </c>
      <c r="T255" s="33"/>
      <c r="U255" s="36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>
      <c r="A256" s="38" t="s">
        <v>33</v>
      </c>
      <c r="B256" s="41">
        <v>44079.0</v>
      </c>
      <c r="C256" s="22">
        <v>25845.0</v>
      </c>
      <c r="D256" s="24">
        <f>750+540+220+350+50</f>
        <v>1910</v>
      </c>
      <c r="E256" s="25">
        <v>0.0</v>
      </c>
      <c r="F256" s="926">
        <f>6120+395</f>
        <v>6515</v>
      </c>
      <c r="G256" s="35">
        <v>2820.0</v>
      </c>
      <c r="H256" s="927">
        <f>8496</f>
        <v>8496</v>
      </c>
      <c r="I256" s="33"/>
      <c r="J256" s="30">
        <v>8276.0</v>
      </c>
      <c r="K256" s="114">
        <f t="shared" si="51"/>
        <v>1910</v>
      </c>
      <c r="L256" s="881">
        <f t="shared" si="52"/>
        <v>8276</v>
      </c>
      <c r="M256" s="33">
        <f t="shared" si="53"/>
        <v>2172</v>
      </c>
      <c r="N256" s="40">
        <f t="shared" si="57"/>
        <v>11999.83</v>
      </c>
      <c r="O256" s="35">
        <f>SEP20PAGOS!B52</f>
        <v>9275.39</v>
      </c>
      <c r="P256" s="33">
        <f t="shared" si="54"/>
        <v>2724.44</v>
      </c>
      <c r="Q256" s="33">
        <f t="shared" si="55"/>
        <v>11000.44</v>
      </c>
      <c r="R256" s="882">
        <v>8000.0</v>
      </c>
      <c r="S256" s="35">
        <f t="shared" si="56"/>
        <v>19000.44</v>
      </c>
      <c r="T256" s="33"/>
      <c r="U256" s="36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</row>
    <row r="257">
      <c r="A257" s="150" t="s">
        <v>27</v>
      </c>
      <c r="B257" s="162">
        <v>44080.0</v>
      </c>
      <c r="C257" s="160">
        <v>16105.0</v>
      </c>
      <c r="D257" s="160">
        <f>2350</f>
        <v>2350</v>
      </c>
      <c r="E257" s="160">
        <v>0.0</v>
      </c>
      <c r="F257" s="160">
        <v>1235.0</v>
      </c>
      <c r="G257" s="193">
        <v>5229.0</v>
      </c>
      <c r="H257" s="160">
        <v>1795.0</v>
      </c>
      <c r="I257" s="37"/>
      <c r="J257" s="160">
        <v>7500.0</v>
      </c>
      <c r="K257" s="37">
        <f t="shared" si="51"/>
        <v>2350</v>
      </c>
      <c r="L257" s="37">
        <f t="shared" si="52"/>
        <v>7500</v>
      </c>
      <c r="M257" s="37">
        <f t="shared" si="53"/>
        <v>2004</v>
      </c>
      <c r="N257" s="207">
        <f t="shared" si="57"/>
        <v>19000.44</v>
      </c>
      <c r="O257" s="160">
        <f>SEP20PAGOS!B62</f>
        <v>11500</v>
      </c>
      <c r="P257" s="37">
        <f t="shared" si="54"/>
        <v>7500.44</v>
      </c>
      <c r="Q257" s="37">
        <f t="shared" si="55"/>
        <v>15000.44</v>
      </c>
      <c r="R257" s="160"/>
      <c r="S257" s="160">
        <f t="shared" si="56"/>
        <v>15000.44</v>
      </c>
      <c r="T257" s="33"/>
      <c r="U257" s="36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</row>
    <row r="258">
      <c r="A258" s="38" t="s">
        <v>21</v>
      </c>
      <c r="B258" s="41">
        <v>44081.0</v>
      </c>
      <c r="C258" s="22">
        <v>22460.0</v>
      </c>
      <c r="D258" s="24">
        <v>1890.0</v>
      </c>
      <c r="E258" s="25">
        <v>0.0</v>
      </c>
      <c r="F258" s="926">
        <f>1695+940</f>
        <v>2635</v>
      </c>
      <c r="G258" s="35">
        <v>1450.0</v>
      </c>
      <c r="H258" s="35">
        <v>8685.0</v>
      </c>
      <c r="I258" s="33"/>
      <c r="J258" s="30">
        <v>9664.0</v>
      </c>
      <c r="K258" s="114">
        <f t="shared" si="51"/>
        <v>1890</v>
      </c>
      <c r="L258" s="881">
        <f t="shared" si="52"/>
        <v>9664</v>
      </c>
      <c r="M258" s="33">
        <f t="shared" si="53"/>
        <v>1864</v>
      </c>
      <c r="N258" s="40">
        <f t="shared" si="57"/>
        <v>15000.44</v>
      </c>
      <c r="O258" s="35">
        <f>SEP20PAGOS!B72</f>
        <v>9664</v>
      </c>
      <c r="P258" s="33">
        <f t="shared" si="54"/>
        <v>5336.44</v>
      </c>
      <c r="Q258" s="33">
        <f t="shared" si="55"/>
        <v>15000.44</v>
      </c>
      <c r="R258" s="882"/>
      <c r="S258" s="35">
        <f t="shared" si="56"/>
        <v>15000.44</v>
      </c>
      <c r="T258" s="33"/>
      <c r="U258" s="36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</row>
    <row r="259">
      <c r="A259" s="38" t="s">
        <v>22</v>
      </c>
      <c r="B259" s="41">
        <v>44082.0</v>
      </c>
      <c r="C259" s="22">
        <v>23885.0</v>
      </c>
      <c r="D259" s="24">
        <v>500.0</v>
      </c>
      <c r="E259" s="25">
        <v>0.0</v>
      </c>
      <c r="F259" s="35">
        <v>3785.0</v>
      </c>
      <c r="G259" s="926">
        <v>2885.0</v>
      </c>
      <c r="H259" s="35">
        <v>5450.0</v>
      </c>
      <c r="I259" s="33"/>
      <c r="J259" s="30">
        <v>9816.0</v>
      </c>
      <c r="K259" s="114">
        <f t="shared" si="51"/>
        <v>500</v>
      </c>
      <c r="L259" s="881">
        <f t="shared" si="52"/>
        <v>9816</v>
      </c>
      <c r="M259" s="33">
        <f t="shared" si="53"/>
        <v>-1449</v>
      </c>
      <c r="N259" s="40">
        <f t="shared" si="57"/>
        <v>15000.44</v>
      </c>
      <c r="O259" s="35">
        <f>SEP20PAGOS!B84</f>
        <v>10816</v>
      </c>
      <c r="P259" s="33">
        <f t="shared" si="54"/>
        <v>4184.44</v>
      </c>
      <c r="Q259" s="33">
        <f t="shared" si="55"/>
        <v>14000.44</v>
      </c>
      <c r="R259" s="882"/>
      <c r="S259" s="35">
        <f t="shared" si="56"/>
        <v>14000.44</v>
      </c>
      <c r="T259" s="33"/>
      <c r="U259" s="36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>
      <c r="A260" s="38" t="s">
        <v>32</v>
      </c>
      <c r="B260" s="41">
        <v>44083.0</v>
      </c>
      <c r="C260" s="22">
        <v>23032.0</v>
      </c>
      <c r="D260" s="24">
        <f>1400+350</f>
        <v>1750</v>
      </c>
      <c r="E260" s="25">
        <v>0.0</v>
      </c>
      <c r="F260" s="35">
        <f>230+320</f>
        <v>550</v>
      </c>
      <c r="G260" s="926">
        <v>2459.0</v>
      </c>
      <c r="H260" s="35">
        <v>9415.0</v>
      </c>
      <c r="I260" s="33"/>
      <c r="J260" s="30">
        <v>9262.0</v>
      </c>
      <c r="K260" s="114">
        <f t="shared" si="51"/>
        <v>1750</v>
      </c>
      <c r="L260" s="881">
        <f t="shared" si="52"/>
        <v>9262</v>
      </c>
      <c r="M260" s="33">
        <f t="shared" si="53"/>
        <v>404</v>
      </c>
      <c r="N260" s="40">
        <f t="shared" si="57"/>
        <v>14000.44</v>
      </c>
      <c r="O260" s="35">
        <f>SEP20PAGOS!B94</f>
        <v>19262.2</v>
      </c>
      <c r="P260" s="33">
        <f t="shared" si="54"/>
        <v>-5261.76</v>
      </c>
      <c r="Q260" s="33">
        <f t="shared" si="55"/>
        <v>4000.24</v>
      </c>
      <c r="R260" s="882"/>
      <c r="S260" s="35">
        <f t="shared" si="56"/>
        <v>4000.24</v>
      </c>
      <c r="T260" s="33"/>
      <c r="U260" s="36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</row>
    <row r="261">
      <c r="A261" s="38" t="s">
        <v>24</v>
      </c>
      <c r="B261" s="41">
        <v>44084.0</v>
      </c>
      <c r="C261" s="22">
        <v>27587.0</v>
      </c>
      <c r="D261" s="24">
        <v>1230.0</v>
      </c>
      <c r="E261" s="25">
        <v>0.0</v>
      </c>
      <c r="F261" s="35">
        <v>3935.0</v>
      </c>
      <c r="G261" s="926">
        <v>2437.0</v>
      </c>
      <c r="H261" s="35">
        <v>5455.0</v>
      </c>
      <c r="I261" s="33"/>
      <c r="J261" s="30">
        <v>15704.0</v>
      </c>
      <c r="K261" s="114">
        <f t="shared" si="51"/>
        <v>1230</v>
      </c>
      <c r="L261" s="881">
        <f t="shared" si="52"/>
        <v>15704</v>
      </c>
      <c r="M261" s="33">
        <f t="shared" si="53"/>
        <v>1174</v>
      </c>
      <c r="N261" s="40">
        <f t="shared" si="57"/>
        <v>4000.24</v>
      </c>
      <c r="O261" s="35">
        <f>SEP20PAGOS!B104</f>
        <v>2704</v>
      </c>
      <c r="P261" s="33">
        <f t="shared" si="54"/>
        <v>1296.24</v>
      </c>
      <c r="Q261" s="33">
        <f t="shared" si="55"/>
        <v>17000.24</v>
      </c>
      <c r="R261" s="882"/>
      <c r="S261" s="35">
        <f t="shared" si="56"/>
        <v>17000.24</v>
      </c>
      <c r="T261" s="33"/>
      <c r="U261" s="36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>
      <c r="A262" s="38" t="s">
        <v>25</v>
      </c>
      <c r="B262" s="41">
        <v>44085.0</v>
      </c>
      <c r="C262" s="22">
        <v>20992.0</v>
      </c>
      <c r="D262" s="24">
        <f>100+300+440+160+330</f>
        <v>1330</v>
      </c>
      <c r="E262" s="25">
        <v>1000.0</v>
      </c>
      <c r="F262" s="35">
        <f>1000+1810+680</f>
        <v>3490</v>
      </c>
      <c r="G262" s="35">
        <v>640.0</v>
      </c>
      <c r="H262" s="35">
        <v>6375.0</v>
      </c>
      <c r="I262" s="33"/>
      <c r="J262" s="30">
        <v>7840.0</v>
      </c>
      <c r="K262" s="114">
        <f t="shared" si="51"/>
        <v>2330</v>
      </c>
      <c r="L262" s="881">
        <f t="shared" si="52"/>
        <v>7840</v>
      </c>
      <c r="M262" s="33">
        <f t="shared" si="53"/>
        <v>-317</v>
      </c>
      <c r="N262" s="40">
        <f t="shared" si="57"/>
        <v>17000.24</v>
      </c>
      <c r="O262" s="35">
        <f>SEP20PAGOS!B115</f>
        <v>13840.6</v>
      </c>
      <c r="P262" s="33">
        <f t="shared" si="54"/>
        <v>3159.64</v>
      </c>
      <c r="Q262" s="33">
        <f t="shared" si="55"/>
        <v>10999.64</v>
      </c>
      <c r="R262" s="882"/>
      <c r="S262" s="35">
        <f t="shared" si="56"/>
        <v>10999.64</v>
      </c>
      <c r="T262" s="33"/>
      <c r="U262" s="36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</row>
    <row r="263">
      <c r="A263" s="38" t="s">
        <v>33</v>
      </c>
      <c r="B263" s="41">
        <v>44086.0</v>
      </c>
      <c r="C263" s="22">
        <v>28750.0</v>
      </c>
      <c r="D263" s="24">
        <v>1750.0</v>
      </c>
      <c r="E263" s="25">
        <v>1000.0</v>
      </c>
      <c r="F263" s="35">
        <v>5040.0</v>
      </c>
      <c r="G263" s="35">
        <v>0.0</v>
      </c>
      <c r="H263" s="926">
        <v>8955.0</v>
      </c>
      <c r="I263" s="33"/>
      <c r="J263" s="30">
        <v>13783.0</v>
      </c>
      <c r="K263" s="114">
        <f t="shared" si="51"/>
        <v>2750</v>
      </c>
      <c r="L263" s="881">
        <f t="shared" si="52"/>
        <v>13783</v>
      </c>
      <c r="M263" s="33">
        <f t="shared" si="53"/>
        <v>1778</v>
      </c>
      <c r="N263" s="40">
        <f t="shared" si="57"/>
        <v>10999.64</v>
      </c>
      <c r="O263" s="35">
        <f>SEP20PAGOS!B127</f>
        <v>8983</v>
      </c>
      <c r="P263" s="33">
        <f t="shared" si="54"/>
        <v>2016.64</v>
      </c>
      <c r="Q263" s="33">
        <f t="shared" si="55"/>
        <v>15799.64</v>
      </c>
      <c r="R263" s="882"/>
      <c r="S263" s="35">
        <f t="shared" si="56"/>
        <v>15799.64</v>
      </c>
      <c r="T263" s="33"/>
      <c r="U263" s="36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>
      <c r="A264" s="150" t="s">
        <v>27</v>
      </c>
      <c r="B264" s="162">
        <v>44087.0</v>
      </c>
      <c r="C264" s="160">
        <v>17198.0</v>
      </c>
      <c r="D264" s="160">
        <f>850+640+320</f>
        <v>1810</v>
      </c>
      <c r="E264" s="160">
        <v>1000.0</v>
      </c>
      <c r="F264" s="160">
        <f>535+850</f>
        <v>1385</v>
      </c>
      <c r="G264" s="160">
        <v>2088.0</v>
      </c>
      <c r="H264" s="160">
        <v>6450.0</v>
      </c>
      <c r="I264" s="37"/>
      <c r="J264" s="160">
        <v>7158.0</v>
      </c>
      <c r="K264" s="37">
        <f t="shared" si="51"/>
        <v>2810</v>
      </c>
      <c r="L264" s="37">
        <f t="shared" si="52"/>
        <v>7158</v>
      </c>
      <c r="M264" s="37">
        <f t="shared" si="53"/>
        <v>2693</v>
      </c>
      <c r="N264" s="207">
        <f t="shared" si="57"/>
        <v>15799.64</v>
      </c>
      <c r="O264" s="160">
        <f>SEP20PAGOS!B137</f>
        <v>158</v>
      </c>
      <c r="P264" s="37">
        <f t="shared" si="54"/>
        <v>15641.64</v>
      </c>
      <c r="Q264" s="37">
        <f t="shared" si="55"/>
        <v>22799.64</v>
      </c>
      <c r="R264" s="160"/>
      <c r="S264" s="160">
        <f t="shared" si="56"/>
        <v>22799.64</v>
      </c>
      <c r="T264" s="33"/>
      <c r="U264" s="36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</row>
    <row r="265">
      <c r="A265" s="38" t="s">
        <v>21</v>
      </c>
      <c r="B265" s="41">
        <v>44088.0</v>
      </c>
      <c r="C265" s="22">
        <v>28315.0</v>
      </c>
      <c r="D265" s="24">
        <v>1920.0</v>
      </c>
      <c r="E265" s="25">
        <v>1000.0</v>
      </c>
      <c r="F265" s="926">
        <v>1850.0</v>
      </c>
      <c r="G265" s="926">
        <v>3120.0</v>
      </c>
      <c r="H265" s="35">
        <v>10090.0</v>
      </c>
      <c r="I265" s="33"/>
      <c r="J265" s="30">
        <v>14100.0</v>
      </c>
      <c r="K265" s="114">
        <f t="shared" si="51"/>
        <v>2920</v>
      </c>
      <c r="L265" s="881">
        <f t="shared" si="52"/>
        <v>14100</v>
      </c>
      <c r="M265" s="33">
        <f t="shared" si="53"/>
        <v>3765</v>
      </c>
      <c r="N265" s="40">
        <f t="shared" si="57"/>
        <v>22799.64</v>
      </c>
      <c r="O265" s="35">
        <f>SEP20PAGOS!B147</f>
        <v>4100</v>
      </c>
      <c r="P265" s="33">
        <f t="shared" si="54"/>
        <v>18699.64</v>
      </c>
      <c r="Q265" s="33">
        <f t="shared" si="55"/>
        <v>32799.64</v>
      </c>
      <c r="R265" s="882"/>
      <c r="S265" s="35">
        <f t="shared" si="56"/>
        <v>32799.64</v>
      </c>
      <c r="T265" s="33"/>
      <c r="U265" s="36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</row>
    <row r="266">
      <c r="A266" s="38" t="s">
        <v>22</v>
      </c>
      <c r="B266" s="41">
        <v>44089.0</v>
      </c>
      <c r="C266" s="22">
        <v>25265.0</v>
      </c>
      <c r="D266" s="24">
        <f>200+320+150+510+320</f>
        <v>1500</v>
      </c>
      <c r="E266" s="25">
        <v>1000.0</v>
      </c>
      <c r="F266" s="926">
        <f>1050+1695</f>
        <v>2745</v>
      </c>
      <c r="G266" s="35">
        <v>2064.0</v>
      </c>
      <c r="H266" s="35">
        <v>8775.0</v>
      </c>
      <c r="I266" s="33"/>
      <c r="J266" s="30">
        <v>10829.0</v>
      </c>
      <c r="K266" s="114">
        <f t="shared" si="51"/>
        <v>2500</v>
      </c>
      <c r="L266" s="881">
        <f t="shared" si="52"/>
        <v>10829</v>
      </c>
      <c r="M266" s="33">
        <f t="shared" si="53"/>
        <v>1648</v>
      </c>
      <c r="N266" s="40">
        <f t="shared" si="57"/>
        <v>32799.64</v>
      </c>
      <c r="O266" s="35">
        <f>SEP20PAGOS!B157</f>
        <v>9269</v>
      </c>
      <c r="P266" s="33">
        <f t="shared" si="54"/>
        <v>23530.64</v>
      </c>
      <c r="Q266" s="33">
        <f t="shared" si="55"/>
        <v>34359.64</v>
      </c>
      <c r="R266" s="882"/>
      <c r="S266" s="35">
        <f t="shared" si="56"/>
        <v>34359.64</v>
      </c>
      <c r="T266" s="33"/>
      <c r="U266" s="36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</row>
    <row r="267">
      <c r="A267" s="38" t="s">
        <v>32</v>
      </c>
      <c r="B267" s="41">
        <v>44090.0</v>
      </c>
      <c r="C267" s="22">
        <v>24094.0</v>
      </c>
      <c r="D267" s="24">
        <v>1450.0</v>
      </c>
      <c r="E267" s="25">
        <v>1000.0</v>
      </c>
      <c r="F267" s="35">
        <v>3180.0</v>
      </c>
      <c r="G267" s="35">
        <v>2059.0</v>
      </c>
      <c r="H267" s="35">
        <v>10255.0</v>
      </c>
      <c r="I267" s="33"/>
      <c r="J267" s="30">
        <v>8014.0</v>
      </c>
      <c r="K267" s="114">
        <f t="shared" si="51"/>
        <v>2450</v>
      </c>
      <c r="L267" s="881">
        <f t="shared" si="52"/>
        <v>8014</v>
      </c>
      <c r="M267" s="33">
        <f t="shared" si="53"/>
        <v>1864</v>
      </c>
      <c r="N267" s="40">
        <f t="shared" si="57"/>
        <v>34359.64</v>
      </c>
      <c r="O267" s="35">
        <f>SEP20PAGOS!B167</f>
        <v>16373.85</v>
      </c>
      <c r="P267" s="33">
        <f t="shared" si="54"/>
        <v>17985.79</v>
      </c>
      <c r="Q267" s="33">
        <f t="shared" si="55"/>
        <v>25999.79</v>
      </c>
      <c r="R267" s="882"/>
      <c r="S267" s="35">
        <f t="shared" si="56"/>
        <v>25999.79</v>
      </c>
      <c r="T267" s="33"/>
      <c r="U267" s="36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>
      <c r="A268" s="38" t="s">
        <v>24</v>
      </c>
      <c r="B268" s="41">
        <v>44091.0</v>
      </c>
      <c r="C268" s="22">
        <v>17880.0</v>
      </c>
      <c r="D268" s="24">
        <f>1200+270+280</f>
        <v>1750</v>
      </c>
      <c r="E268" s="25">
        <v>1000.0</v>
      </c>
      <c r="F268" s="35">
        <v>2250.0</v>
      </c>
      <c r="G268" s="35">
        <v>875.0</v>
      </c>
      <c r="H268" s="35">
        <v>3815.0</v>
      </c>
      <c r="I268" s="33"/>
      <c r="J268" s="30">
        <v>10594.0</v>
      </c>
      <c r="K268" s="114">
        <f t="shared" si="51"/>
        <v>2750</v>
      </c>
      <c r="L268" s="881">
        <f t="shared" si="52"/>
        <v>10594</v>
      </c>
      <c r="M268" s="33">
        <f t="shared" si="53"/>
        <v>2404</v>
      </c>
      <c r="N268" s="40">
        <f t="shared" si="57"/>
        <v>25999.79</v>
      </c>
      <c r="O268" s="35">
        <f>SEP20PAGOS!B177</f>
        <v>17594</v>
      </c>
      <c r="P268" s="33">
        <f t="shared" si="54"/>
        <v>8405.79</v>
      </c>
      <c r="Q268" s="33">
        <f t="shared" si="55"/>
        <v>18999.79</v>
      </c>
      <c r="R268" s="882"/>
      <c r="S268" s="35">
        <f t="shared" si="56"/>
        <v>18999.79</v>
      </c>
      <c r="T268" s="33"/>
      <c r="U268" s="36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</row>
    <row r="269">
      <c r="A269" s="38" t="s">
        <v>25</v>
      </c>
      <c r="B269" s="41">
        <v>44092.0</v>
      </c>
      <c r="C269" s="22">
        <v>33826.0</v>
      </c>
      <c r="D269" s="24">
        <v>2780.0</v>
      </c>
      <c r="E269" s="25">
        <v>1000.0</v>
      </c>
      <c r="F269" s="35">
        <v>4965.0</v>
      </c>
      <c r="G269" s="926">
        <v>4260.0</v>
      </c>
      <c r="H269" s="35">
        <v>13975.0</v>
      </c>
      <c r="I269" s="33"/>
      <c r="J269" s="30">
        <v>9454.0</v>
      </c>
      <c r="K269" s="114">
        <f t="shared" si="51"/>
        <v>3780</v>
      </c>
      <c r="L269" s="881">
        <f t="shared" si="52"/>
        <v>9454</v>
      </c>
      <c r="M269" s="33">
        <f t="shared" si="53"/>
        <v>2608</v>
      </c>
      <c r="N269" s="40">
        <f t="shared" si="57"/>
        <v>18999.79</v>
      </c>
      <c r="O269" s="35">
        <f>SEP20PAGOS!B187</f>
        <v>5453.96</v>
      </c>
      <c r="P269" s="33">
        <f t="shared" si="54"/>
        <v>13545.83</v>
      </c>
      <c r="Q269" s="33">
        <f t="shared" si="55"/>
        <v>22999.83</v>
      </c>
      <c r="R269" s="882"/>
      <c r="S269" s="35">
        <f t="shared" si="56"/>
        <v>22999.83</v>
      </c>
      <c r="T269" s="33"/>
      <c r="U269" s="36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>
      <c r="A270" s="38" t="s">
        <v>33</v>
      </c>
      <c r="B270" s="41">
        <v>44093.0</v>
      </c>
      <c r="C270" s="22">
        <v>24700.0</v>
      </c>
      <c r="D270" s="24">
        <v>1680.0</v>
      </c>
      <c r="E270" s="25">
        <v>1000.0</v>
      </c>
      <c r="F270" s="35">
        <v>3510.0</v>
      </c>
      <c r="G270" s="35">
        <v>1515.0</v>
      </c>
      <c r="H270" s="35">
        <v>5945.0</v>
      </c>
      <c r="I270" s="33"/>
      <c r="J270" s="30">
        <v>14297.0</v>
      </c>
      <c r="K270" s="114">
        <f t="shared" si="51"/>
        <v>2680</v>
      </c>
      <c r="L270" s="881">
        <f t="shared" si="52"/>
        <v>14297</v>
      </c>
      <c r="M270" s="33">
        <f t="shared" si="53"/>
        <v>3247</v>
      </c>
      <c r="N270" s="40">
        <f t="shared" si="57"/>
        <v>22999.83</v>
      </c>
      <c r="O270" s="35">
        <f>SEP20PAGOS!B197</f>
        <v>297</v>
      </c>
      <c r="P270" s="33">
        <f t="shared" si="54"/>
        <v>22702.83</v>
      </c>
      <c r="Q270" s="33">
        <f t="shared" si="55"/>
        <v>36999.83</v>
      </c>
      <c r="R270" s="882"/>
      <c r="S270" s="35">
        <f t="shared" si="56"/>
        <v>36999.83</v>
      </c>
      <c r="T270" s="33"/>
      <c r="U270" s="36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</row>
    <row r="271">
      <c r="A271" s="150" t="s">
        <v>27</v>
      </c>
      <c r="B271" s="162">
        <v>44094.0</v>
      </c>
      <c r="C271" s="160">
        <v>21655.0</v>
      </c>
      <c r="D271" s="160">
        <f>400+80+380+200</f>
        <v>1060</v>
      </c>
      <c r="E271" s="160">
        <v>1000.0</v>
      </c>
      <c r="F271" s="193">
        <v>5980.0</v>
      </c>
      <c r="G271" s="160">
        <v>4335.0</v>
      </c>
      <c r="H271" s="160">
        <v>5360.0</v>
      </c>
      <c r="I271" s="37"/>
      <c r="J271" s="160">
        <v>5563.0</v>
      </c>
      <c r="K271" s="37">
        <f t="shared" si="51"/>
        <v>2060</v>
      </c>
      <c r="L271" s="37">
        <f t="shared" si="52"/>
        <v>5563</v>
      </c>
      <c r="M271" s="37">
        <f t="shared" si="53"/>
        <v>1643</v>
      </c>
      <c r="N271" s="207">
        <f t="shared" si="57"/>
        <v>36999.83</v>
      </c>
      <c r="O271" s="160">
        <f>SEP20PAGOS!B207</f>
        <v>23563</v>
      </c>
      <c r="P271" s="37">
        <f t="shared" si="54"/>
        <v>13436.83</v>
      </c>
      <c r="Q271" s="37">
        <f t="shared" si="55"/>
        <v>18999.83</v>
      </c>
      <c r="R271" s="160"/>
      <c r="S271" s="160">
        <f t="shared" si="56"/>
        <v>18999.83</v>
      </c>
      <c r="T271" s="33"/>
      <c r="U271" s="36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</row>
    <row r="272">
      <c r="A272" s="38" t="s">
        <v>21</v>
      </c>
      <c r="B272" s="41">
        <v>44095.0</v>
      </c>
      <c r="C272" s="22">
        <v>27325.0</v>
      </c>
      <c r="D272" s="24">
        <v>940.0</v>
      </c>
      <c r="E272" s="25">
        <v>700.0</v>
      </c>
      <c r="F272" s="35">
        <v>3535.0</v>
      </c>
      <c r="G272" s="926">
        <v>2345.0</v>
      </c>
      <c r="H272" s="926">
        <v>7710.0</v>
      </c>
      <c r="I272" s="33"/>
      <c r="J272" s="30">
        <v>13507.0</v>
      </c>
      <c r="K272" s="114">
        <f t="shared" si="51"/>
        <v>1640</v>
      </c>
      <c r="L272" s="881">
        <f t="shared" si="52"/>
        <v>13507</v>
      </c>
      <c r="M272" s="33">
        <f t="shared" si="53"/>
        <v>1412</v>
      </c>
      <c r="N272" s="40">
        <f t="shared" si="57"/>
        <v>18999.83</v>
      </c>
      <c r="O272" s="35">
        <f>SEP20PAGOS!B217</f>
        <v>12507</v>
      </c>
      <c r="P272" s="33">
        <f t="shared" si="54"/>
        <v>6492.83</v>
      </c>
      <c r="Q272" s="33">
        <f t="shared" si="55"/>
        <v>19999.83</v>
      </c>
      <c r="R272" s="882"/>
      <c r="S272" s="35">
        <f t="shared" si="56"/>
        <v>19999.83</v>
      </c>
      <c r="T272" s="33"/>
      <c r="U272" s="36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</row>
    <row r="273">
      <c r="A273" s="38" t="s">
        <v>22</v>
      </c>
      <c r="B273" s="41">
        <v>44096.0</v>
      </c>
      <c r="C273" s="22">
        <v>24235.0</v>
      </c>
      <c r="D273" s="24">
        <f>600+300+390+300</f>
        <v>1590</v>
      </c>
      <c r="E273" s="25">
        <v>400.0</v>
      </c>
      <c r="F273" s="35">
        <f>820+740</f>
        <v>1560</v>
      </c>
      <c r="G273" s="926">
        <v>2463.0</v>
      </c>
      <c r="H273" s="926">
        <v>9320.0</v>
      </c>
      <c r="I273" s="33"/>
      <c r="J273" s="30">
        <v>9090.0</v>
      </c>
      <c r="K273" s="114">
        <f t="shared" si="51"/>
        <v>1990</v>
      </c>
      <c r="L273" s="881">
        <f t="shared" si="52"/>
        <v>9090</v>
      </c>
      <c r="M273" s="33">
        <f t="shared" si="53"/>
        <v>188</v>
      </c>
      <c r="N273" s="40">
        <f t="shared" si="57"/>
        <v>19999.83</v>
      </c>
      <c r="O273" s="35">
        <f>SEP20PAGOS!B227</f>
        <v>13090</v>
      </c>
      <c r="P273" s="33">
        <f t="shared" si="54"/>
        <v>6909.83</v>
      </c>
      <c r="Q273" s="33">
        <f t="shared" si="55"/>
        <v>15999.83</v>
      </c>
      <c r="R273" s="882"/>
      <c r="S273" s="35">
        <f t="shared" si="56"/>
        <v>15999.83</v>
      </c>
      <c r="T273" s="33"/>
      <c r="U273" s="36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>
      <c r="A274" s="38" t="s">
        <v>32</v>
      </c>
      <c r="B274" s="41">
        <v>44097.0</v>
      </c>
      <c r="C274" s="22">
        <v>25989.0</v>
      </c>
      <c r="D274" s="24">
        <v>1400.0</v>
      </c>
      <c r="E274" s="25">
        <v>400.0</v>
      </c>
      <c r="F274" s="926">
        <v>2790.0</v>
      </c>
      <c r="G274" s="926">
        <v>1515.0</v>
      </c>
      <c r="H274" s="35">
        <v>6830.0</v>
      </c>
      <c r="I274" s="33"/>
      <c r="J274" s="30">
        <v>14537.0</v>
      </c>
      <c r="K274" s="114">
        <f t="shared" si="51"/>
        <v>1800</v>
      </c>
      <c r="L274" s="881">
        <f t="shared" si="52"/>
        <v>14537</v>
      </c>
      <c r="M274" s="33">
        <f t="shared" si="53"/>
        <v>1483</v>
      </c>
      <c r="N274" s="40">
        <f t="shared" si="57"/>
        <v>15999.83</v>
      </c>
      <c r="O274" s="35">
        <f>SEP20PAGOS!B237</f>
        <v>11537</v>
      </c>
      <c r="P274" s="33">
        <f t="shared" si="54"/>
        <v>4462.83</v>
      </c>
      <c r="Q274" s="33">
        <f t="shared" si="55"/>
        <v>18999.83</v>
      </c>
      <c r="R274" s="882"/>
      <c r="S274" s="35">
        <f t="shared" si="56"/>
        <v>18999.83</v>
      </c>
      <c r="T274" s="33"/>
      <c r="U274" s="36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</row>
    <row r="275">
      <c r="A275" s="38" t="s">
        <v>24</v>
      </c>
      <c r="B275" s="41">
        <v>44098.0</v>
      </c>
      <c r="C275" s="22">
        <v>31861.0</v>
      </c>
      <c r="D275" s="24">
        <f>500+1200+390+300</f>
        <v>2390</v>
      </c>
      <c r="E275" s="25">
        <v>400.0</v>
      </c>
      <c r="F275" s="926">
        <f>350+3545+320</f>
        <v>4215</v>
      </c>
      <c r="G275" s="35">
        <v>1751.0</v>
      </c>
      <c r="H275" s="926">
        <v>7875.0</v>
      </c>
      <c r="I275" s="33"/>
      <c r="J275" s="30">
        <v>14985.0</v>
      </c>
      <c r="K275" s="114">
        <f t="shared" si="51"/>
        <v>2790</v>
      </c>
      <c r="L275" s="881">
        <f t="shared" si="52"/>
        <v>14985</v>
      </c>
      <c r="M275" s="33">
        <f t="shared" si="53"/>
        <v>-245</v>
      </c>
      <c r="N275" s="40">
        <f t="shared" si="57"/>
        <v>18999.83</v>
      </c>
      <c r="O275" s="35">
        <f>SEP20PAGOS!B247</f>
        <v>17984.38</v>
      </c>
      <c r="P275" s="33">
        <f t="shared" si="54"/>
        <v>1015.45</v>
      </c>
      <c r="Q275" s="33">
        <f t="shared" si="55"/>
        <v>16000.45</v>
      </c>
      <c r="R275" s="882"/>
      <c r="S275" s="35">
        <f t="shared" si="56"/>
        <v>16000.45</v>
      </c>
      <c r="T275" s="33"/>
      <c r="U275" s="36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>
      <c r="A276" s="38" t="s">
        <v>25</v>
      </c>
      <c r="B276" s="41">
        <v>44099.0</v>
      </c>
      <c r="C276" s="22">
        <v>22045.0</v>
      </c>
      <c r="D276" s="24">
        <v>1330.0</v>
      </c>
      <c r="E276" s="25">
        <v>400.0</v>
      </c>
      <c r="F276" s="35">
        <v>2980.0</v>
      </c>
      <c r="G276" s="35">
        <v>1740.0</v>
      </c>
      <c r="H276" s="35">
        <v>4990.0</v>
      </c>
      <c r="I276" s="33"/>
      <c r="J276" s="30">
        <v>13304.0</v>
      </c>
      <c r="K276" s="114">
        <f t="shared" si="51"/>
        <v>1730</v>
      </c>
      <c r="L276" s="881">
        <f t="shared" si="52"/>
        <v>13304</v>
      </c>
      <c r="M276" s="33">
        <f t="shared" si="53"/>
        <v>2699</v>
      </c>
      <c r="N276" s="40">
        <f t="shared" si="57"/>
        <v>16000.45</v>
      </c>
      <c r="O276" s="35">
        <f>SEP20PAGOS!B257</f>
        <v>3304.5</v>
      </c>
      <c r="P276" s="33">
        <f t="shared" si="54"/>
        <v>12695.95</v>
      </c>
      <c r="Q276" s="33">
        <f t="shared" si="55"/>
        <v>25999.95</v>
      </c>
      <c r="R276" s="882"/>
      <c r="S276" s="35">
        <f t="shared" si="56"/>
        <v>25999.95</v>
      </c>
      <c r="T276" s="33"/>
      <c r="U276" s="36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</row>
    <row r="277">
      <c r="A277" s="38" t="s">
        <v>33</v>
      </c>
      <c r="B277" s="41">
        <v>44100.0</v>
      </c>
      <c r="C277" s="22">
        <v>23579.0</v>
      </c>
      <c r="D277" s="24">
        <f>1100+350+260+580+300</f>
        <v>2590</v>
      </c>
      <c r="E277" s="25">
        <v>400.0</v>
      </c>
      <c r="F277" s="35">
        <v>4675.0</v>
      </c>
      <c r="G277" s="926">
        <v>3515.0</v>
      </c>
      <c r="H277" s="35">
        <v>5740.0</v>
      </c>
      <c r="I277" s="33"/>
      <c r="J277" s="30">
        <v>8386.0</v>
      </c>
      <c r="K277" s="114">
        <f t="shared" si="51"/>
        <v>2990</v>
      </c>
      <c r="L277" s="881">
        <f t="shared" si="52"/>
        <v>8386</v>
      </c>
      <c r="M277" s="33">
        <f t="shared" si="53"/>
        <v>1727</v>
      </c>
      <c r="N277" s="40">
        <f t="shared" si="57"/>
        <v>25999.95</v>
      </c>
      <c r="O277" s="35">
        <f>SEP20PAGOS!B267</f>
        <v>20386</v>
      </c>
      <c r="P277" s="33">
        <f t="shared" si="54"/>
        <v>5613.95</v>
      </c>
      <c r="Q277" s="33">
        <f t="shared" si="55"/>
        <v>13999.95</v>
      </c>
      <c r="R277" s="882">
        <v>15000.0</v>
      </c>
      <c r="S277" s="35">
        <f t="shared" si="56"/>
        <v>28999.95</v>
      </c>
      <c r="T277" s="33"/>
      <c r="U277" s="36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>
      <c r="A278" s="150" t="s">
        <v>27</v>
      </c>
      <c r="B278" s="162">
        <v>44101.0</v>
      </c>
      <c r="C278" s="160">
        <v>20761.0</v>
      </c>
      <c r="D278" s="160">
        <v>1290.0</v>
      </c>
      <c r="E278" s="160">
        <v>400.0</v>
      </c>
      <c r="F278" s="160">
        <v>6950.0</v>
      </c>
      <c r="G278" s="160">
        <v>3991.0</v>
      </c>
      <c r="H278" s="193">
        <v>4135.0</v>
      </c>
      <c r="I278" s="37"/>
      <c r="J278" s="160">
        <v>5043.0</v>
      </c>
      <c r="K278" s="37">
        <f t="shared" si="51"/>
        <v>1690</v>
      </c>
      <c r="L278" s="37">
        <f t="shared" si="52"/>
        <v>5043</v>
      </c>
      <c r="M278" s="37">
        <f t="shared" si="53"/>
        <v>1048</v>
      </c>
      <c r="N278" s="207">
        <f t="shared" si="57"/>
        <v>28999.95</v>
      </c>
      <c r="O278" s="160">
        <f>SEP20PAGOS!B277</f>
        <v>22043</v>
      </c>
      <c r="P278" s="37">
        <f t="shared" si="54"/>
        <v>6956.95</v>
      </c>
      <c r="Q278" s="37">
        <f t="shared" si="55"/>
        <v>11999.95</v>
      </c>
      <c r="R278" s="160"/>
      <c r="S278" s="160">
        <f t="shared" si="56"/>
        <v>11999.95</v>
      </c>
      <c r="T278" s="33"/>
      <c r="U278" s="36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</row>
    <row r="279">
      <c r="A279" s="38" t="s">
        <v>21</v>
      </c>
      <c r="B279" s="41">
        <v>44102.0</v>
      </c>
      <c r="C279" s="22">
        <v>31235.0</v>
      </c>
      <c r="D279" s="24">
        <f>700+450+150+360+250</f>
        <v>1910</v>
      </c>
      <c r="E279" s="25">
        <v>400.0</v>
      </c>
      <c r="F279" s="35">
        <f>3835+365</f>
        <v>4200</v>
      </c>
      <c r="G279" s="35">
        <v>1110.0</v>
      </c>
      <c r="H279" s="926">
        <v>10727.0</v>
      </c>
      <c r="I279" s="33"/>
      <c r="J279" s="30">
        <v>17521.0</v>
      </c>
      <c r="K279" s="114">
        <f t="shared" si="51"/>
        <v>2310</v>
      </c>
      <c r="L279" s="881">
        <f t="shared" si="52"/>
        <v>17521</v>
      </c>
      <c r="M279" s="33">
        <f t="shared" si="53"/>
        <v>4633</v>
      </c>
      <c r="N279" s="40">
        <f t="shared" si="57"/>
        <v>11999.95</v>
      </c>
      <c r="O279" s="35">
        <f>SEP20PAGOS!B294</f>
        <v>17521</v>
      </c>
      <c r="P279" s="33">
        <f t="shared" si="54"/>
        <v>-5521.05</v>
      </c>
      <c r="Q279" s="33">
        <f t="shared" si="55"/>
        <v>11999.95</v>
      </c>
      <c r="R279" s="882"/>
      <c r="S279" s="35">
        <f t="shared" si="56"/>
        <v>11999.95</v>
      </c>
      <c r="T279" s="33"/>
      <c r="U279" s="36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</row>
    <row r="280">
      <c r="A280" s="38" t="s">
        <v>22</v>
      </c>
      <c r="B280" s="41">
        <v>44103.0</v>
      </c>
      <c r="C280" s="22">
        <v>36055.0</v>
      </c>
      <c r="D280" s="24">
        <f>1200+640+240+300</f>
        <v>2380</v>
      </c>
      <c r="E280" s="25">
        <v>1000.0</v>
      </c>
      <c r="F280" s="926">
        <f>1030+5460+1350</f>
        <v>7840</v>
      </c>
      <c r="G280" s="35">
        <v>5079.0</v>
      </c>
      <c r="H280" s="926">
        <v>5644.0</v>
      </c>
      <c r="I280" s="33"/>
      <c r="J280" s="30">
        <v>9151.0</v>
      </c>
      <c r="K280" s="114">
        <f t="shared" si="51"/>
        <v>3380</v>
      </c>
      <c r="L280" s="881">
        <f t="shared" si="52"/>
        <v>9151</v>
      </c>
      <c r="M280" s="33">
        <f t="shared" si="53"/>
        <v>-4961</v>
      </c>
      <c r="N280" s="40">
        <f t="shared" si="57"/>
        <v>11999.95</v>
      </c>
      <c r="O280" s="35">
        <f>SEP20PAGOS!B305</f>
        <v>17151</v>
      </c>
      <c r="P280" s="33">
        <f t="shared" si="54"/>
        <v>-5151.05</v>
      </c>
      <c r="Q280" s="33">
        <f t="shared" si="55"/>
        <v>3999.95</v>
      </c>
      <c r="R280" s="882"/>
      <c r="S280" s="35">
        <f t="shared" si="56"/>
        <v>3999.95</v>
      </c>
      <c r="T280" s="33"/>
      <c r="U280" s="36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</row>
    <row r="281">
      <c r="A281" s="38" t="s">
        <v>32</v>
      </c>
      <c r="B281" s="41">
        <v>44104.0</v>
      </c>
      <c r="C281" s="22">
        <v>25885.0</v>
      </c>
      <c r="D281" s="24">
        <v>940.0</v>
      </c>
      <c r="E281" s="25">
        <v>1000.0</v>
      </c>
      <c r="F281" s="35">
        <v>3465.0</v>
      </c>
      <c r="G281" s="35">
        <v>6735.0</v>
      </c>
      <c r="H281" s="926">
        <v>3980.0</v>
      </c>
      <c r="I281" s="33"/>
      <c r="J281" s="30">
        <v>11329.0</v>
      </c>
      <c r="K281" s="114">
        <f t="shared" si="51"/>
        <v>1940</v>
      </c>
      <c r="L281" s="881">
        <f t="shared" si="52"/>
        <v>11329</v>
      </c>
      <c r="M281" s="33">
        <f t="shared" si="53"/>
        <v>1564</v>
      </c>
      <c r="N281" s="40">
        <f t="shared" si="57"/>
        <v>3999.95</v>
      </c>
      <c r="O281" s="35">
        <f>SEP20PAGOS!B315</f>
        <v>6329</v>
      </c>
      <c r="P281" s="33">
        <f t="shared" si="54"/>
        <v>-2329.05</v>
      </c>
      <c r="Q281" s="33">
        <f t="shared" si="55"/>
        <v>8999.95</v>
      </c>
      <c r="R281" s="882"/>
      <c r="S281" s="35">
        <f t="shared" si="56"/>
        <v>8999.95</v>
      </c>
      <c r="T281" s="33"/>
      <c r="U281" s="36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>
      <c r="A282" s="93" t="s">
        <v>28</v>
      </c>
      <c r="B282" s="94" t="s">
        <v>45</v>
      </c>
      <c r="C282" s="95">
        <f>SUM(C252:C281)</f>
        <v>727368</v>
      </c>
      <c r="D282" s="95"/>
      <c r="E282" s="95"/>
      <c r="F282" s="95">
        <f t="shared" ref="F282:H282" si="58">SUM(F252:F281)</f>
        <v>102715</v>
      </c>
      <c r="G282" s="95">
        <f t="shared" si="58"/>
        <v>80843</v>
      </c>
      <c r="H282" s="95">
        <f t="shared" si="58"/>
        <v>200827</v>
      </c>
      <c r="I282" s="95"/>
      <c r="J282" s="95">
        <f>SUM(J252:J281)</f>
        <v>317953</v>
      </c>
      <c r="K282" s="913"/>
      <c r="L282" s="914"/>
      <c r="M282" s="173"/>
      <c r="N282" s="174"/>
      <c r="O282" s="175"/>
      <c r="P282" s="173"/>
      <c r="Q282" s="173"/>
      <c r="R282" s="915">
        <v>4000.0</v>
      </c>
      <c r="S282" s="175"/>
      <c r="T282" s="33"/>
      <c r="U282" s="36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</row>
    <row r="283">
      <c r="A283" s="38" t="s">
        <v>24</v>
      </c>
      <c r="B283" s="41">
        <v>44105.0</v>
      </c>
      <c r="C283" s="22">
        <v>24131.0</v>
      </c>
      <c r="D283" s="24">
        <v>1100.0</v>
      </c>
      <c r="E283" s="25">
        <v>1000.0</v>
      </c>
      <c r="F283" s="35">
        <v>8585.0</v>
      </c>
      <c r="G283" s="35">
        <v>2160.0</v>
      </c>
      <c r="H283" s="35">
        <v>4800.0</v>
      </c>
      <c r="I283" s="33"/>
      <c r="J283" s="30">
        <v>8565.0</v>
      </c>
      <c r="K283" s="114">
        <f t="shared" ref="K283:K313" si="59">D283+E283</f>
        <v>2100</v>
      </c>
      <c r="L283" s="881">
        <f t="shared" ref="L283:L313" si="60">(D283+E283+J283)-K283</f>
        <v>8565</v>
      </c>
      <c r="M283" s="33">
        <f t="shared" ref="M283:M313" si="61">SUM(D283:J283)-(C283)</f>
        <v>2079</v>
      </c>
      <c r="N283" s="40">
        <f>S281</f>
        <v>8999.95</v>
      </c>
      <c r="O283" s="35">
        <f>OCTPAGOS20!B11</f>
        <v>10419.2</v>
      </c>
      <c r="P283" s="33">
        <f t="shared" ref="P283:P313" si="62">N283-O283</f>
        <v>-1419.25</v>
      </c>
      <c r="Q283" s="33">
        <f t="shared" ref="Q283:Q313" si="63">(N283+J283)-O283</f>
        <v>7145.75</v>
      </c>
      <c r="R283" s="882"/>
      <c r="S283" s="35">
        <v>12000.0</v>
      </c>
      <c r="T283" s="33"/>
      <c r="U283" s="36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>
      <c r="A284" s="38" t="s">
        <v>25</v>
      </c>
      <c r="B284" s="41">
        <v>44106.0</v>
      </c>
      <c r="C284" s="22">
        <v>32915.0</v>
      </c>
      <c r="D284" s="24">
        <v>1050.0</v>
      </c>
      <c r="E284" s="25">
        <v>1000.0</v>
      </c>
      <c r="F284" s="35">
        <v>6965.0</v>
      </c>
      <c r="G284" s="35">
        <v>2835.0</v>
      </c>
      <c r="H284" s="35">
        <v>10950.0</v>
      </c>
      <c r="I284" s="33"/>
      <c r="J284" s="30">
        <v>13003.0</v>
      </c>
      <c r="K284" s="114">
        <f t="shared" si="59"/>
        <v>2050</v>
      </c>
      <c r="L284" s="881">
        <f t="shared" si="60"/>
        <v>13003</v>
      </c>
      <c r="M284" s="33">
        <f t="shared" si="61"/>
        <v>2888</v>
      </c>
      <c r="N284" s="40">
        <f t="shared" ref="N284:N313" si="64">S283</f>
        <v>12000</v>
      </c>
      <c r="O284" s="35">
        <f>OCTPAGOS20!B21</f>
        <v>8703</v>
      </c>
      <c r="P284" s="33">
        <f t="shared" si="62"/>
        <v>3297</v>
      </c>
      <c r="Q284" s="33">
        <f t="shared" si="63"/>
        <v>16300</v>
      </c>
      <c r="R284" s="882"/>
      <c r="S284" s="35">
        <f t="shared" ref="S284:S313" si="65">Q284+R284</f>
        <v>16300</v>
      </c>
      <c r="T284" s="33"/>
      <c r="U284" s="36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</row>
    <row r="285">
      <c r="A285" s="38" t="s">
        <v>33</v>
      </c>
      <c r="B285" s="41">
        <v>44107.0</v>
      </c>
      <c r="C285" s="22">
        <v>33260.0</v>
      </c>
      <c r="D285" s="24">
        <v>640.0</v>
      </c>
      <c r="E285" s="25">
        <v>1000.0</v>
      </c>
      <c r="F285" s="35">
        <v>7375.0</v>
      </c>
      <c r="G285" s="35">
        <v>2594.0</v>
      </c>
      <c r="H285" s="35">
        <v>8990.0</v>
      </c>
      <c r="I285" s="33"/>
      <c r="J285" s="30">
        <v>18191.0</v>
      </c>
      <c r="K285" s="114">
        <f t="shared" si="59"/>
        <v>1640</v>
      </c>
      <c r="L285" s="881">
        <f t="shared" si="60"/>
        <v>18191</v>
      </c>
      <c r="M285" s="33">
        <f t="shared" si="61"/>
        <v>5530</v>
      </c>
      <c r="N285" s="40">
        <f t="shared" si="64"/>
        <v>16300</v>
      </c>
      <c r="O285" s="35">
        <f>OCTPAGOS20!B34</f>
        <v>50491</v>
      </c>
      <c r="P285" s="33">
        <f t="shared" si="62"/>
        <v>-34191</v>
      </c>
      <c r="Q285" s="33">
        <f t="shared" si="63"/>
        <v>-16000</v>
      </c>
      <c r="R285" s="882">
        <v>33000.0</v>
      </c>
      <c r="S285" s="35">
        <f t="shared" si="65"/>
        <v>17000</v>
      </c>
      <c r="T285" s="33"/>
      <c r="U285" s="36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>
      <c r="A286" s="150" t="s">
        <v>27</v>
      </c>
      <c r="B286" s="162">
        <v>44108.0</v>
      </c>
      <c r="C286" s="160">
        <v>20090.0</v>
      </c>
      <c r="D286" s="160">
        <v>2000.0</v>
      </c>
      <c r="E286" s="160">
        <v>1000.0</v>
      </c>
      <c r="F286" s="160">
        <v>1755.0</v>
      </c>
      <c r="G286" s="160">
        <v>4600.0</v>
      </c>
      <c r="H286" s="193">
        <v>2425.0</v>
      </c>
      <c r="I286" s="37"/>
      <c r="J286" s="160">
        <v>8430.0</v>
      </c>
      <c r="K286" s="37">
        <f t="shared" si="59"/>
        <v>3000</v>
      </c>
      <c r="L286" s="37">
        <f t="shared" si="60"/>
        <v>8430</v>
      </c>
      <c r="M286" s="37">
        <f t="shared" si="61"/>
        <v>120</v>
      </c>
      <c r="N286" s="207">
        <f t="shared" si="64"/>
        <v>17000</v>
      </c>
      <c r="O286" s="160">
        <f>OCTPAGOS20!B44</f>
        <v>2620</v>
      </c>
      <c r="P286" s="37">
        <f t="shared" si="62"/>
        <v>14380</v>
      </c>
      <c r="Q286" s="37">
        <f t="shared" si="63"/>
        <v>22810</v>
      </c>
      <c r="R286" s="160"/>
      <c r="S286" s="160">
        <f t="shared" si="65"/>
        <v>22810</v>
      </c>
      <c r="T286" s="33"/>
      <c r="U286" s="36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</row>
    <row r="287">
      <c r="A287" s="38" t="s">
        <v>21</v>
      </c>
      <c r="B287" s="41">
        <v>44109.0</v>
      </c>
      <c r="C287" s="22">
        <v>26202.0</v>
      </c>
      <c r="D287" s="24">
        <v>2316.0</v>
      </c>
      <c r="E287" s="25">
        <v>1000.0</v>
      </c>
      <c r="F287" s="35">
        <v>6855.0</v>
      </c>
      <c r="G287" s="35">
        <v>379.0</v>
      </c>
      <c r="H287" s="35">
        <v>4595.0</v>
      </c>
      <c r="I287" s="33"/>
      <c r="J287" s="30">
        <v>15062.0</v>
      </c>
      <c r="K287" s="114">
        <f t="shared" si="59"/>
        <v>3316</v>
      </c>
      <c r="L287" s="881">
        <f t="shared" si="60"/>
        <v>15062</v>
      </c>
      <c r="M287" s="33">
        <f t="shared" si="61"/>
        <v>4005</v>
      </c>
      <c r="N287" s="40">
        <f t="shared" si="64"/>
        <v>22810</v>
      </c>
      <c r="O287" s="35">
        <f>OCTPAGOS20!B54</f>
        <v>8481</v>
      </c>
      <c r="P287" s="33">
        <f t="shared" si="62"/>
        <v>14329</v>
      </c>
      <c r="Q287" s="33">
        <f t="shared" si="63"/>
        <v>29391</v>
      </c>
      <c r="R287" s="882"/>
      <c r="S287" s="35">
        <f t="shared" si="65"/>
        <v>29391</v>
      </c>
      <c r="T287" s="33"/>
      <c r="U287" s="36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</row>
    <row r="288">
      <c r="A288" s="38" t="s">
        <v>22</v>
      </c>
      <c r="B288" s="41">
        <v>44110.0</v>
      </c>
      <c r="C288" s="22">
        <v>21880.0</v>
      </c>
      <c r="D288" s="24">
        <v>1494.0</v>
      </c>
      <c r="E288" s="25">
        <v>1000.0</v>
      </c>
      <c r="F288" s="35">
        <v>4300.0</v>
      </c>
      <c r="G288" s="35">
        <v>2335.0</v>
      </c>
      <c r="H288" s="35">
        <v>5170.0</v>
      </c>
      <c r="I288" s="33"/>
      <c r="J288" s="30">
        <v>11305.0</v>
      </c>
      <c r="K288" s="114">
        <f t="shared" si="59"/>
        <v>2494</v>
      </c>
      <c r="L288" s="881">
        <f t="shared" si="60"/>
        <v>11305</v>
      </c>
      <c r="M288" s="33">
        <f t="shared" si="61"/>
        <v>3724</v>
      </c>
      <c r="N288" s="40">
        <f t="shared" si="64"/>
        <v>29391</v>
      </c>
      <c r="O288" s="35">
        <f>OCTPAGOS20!B66</f>
        <v>19579</v>
      </c>
      <c r="P288" s="33">
        <f t="shared" si="62"/>
        <v>9812</v>
      </c>
      <c r="Q288" s="33">
        <f t="shared" si="63"/>
        <v>21117</v>
      </c>
      <c r="R288" s="882"/>
      <c r="S288" s="35">
        <f t="shared" si="65"/>
        <v>21117</v>
      </c>
      <c r="T288" s="33"/>
      <c r="U288" s="36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</row>
    <row r="289">
      <c r="A289" s="38" t="s">
        <v>32</v>
      </c>
      <c r="B289" s="41">
        <v>44111.0</v>
      </c>
      <c r="C289" s="22">
        <v>30334.0</v>
      </c>
      <c r="D289" s="24">
        <v>2341.0</v>
      </c>
      <c r="E289" s="25">
        <v>1000.0</v>
      </c>
      <c r="F289" s="35">
        <v>4405.0</v>
      </c>
      <c r="G289" s="35">
        <v>3559.0</v>
      </c>
      <c r="H289" s="35">
        <v>9385.0</v>
      </c>
      <c r="I289" s="33"/>
      <c r="J289" s="30">
        <v>12639.0</v>
      </c>
      <c r="K289" s="114">
        <f t="shared" si="59"/>
        <v>3341</v>
      </c>
      <c r="L289" s="881">
        <f t="shared" si="60"/>
        <v>12639</v>
      </c>
      <c r="M289" s="33">
        <f t="shared" si="61"/>
        <v>2995</v>
      </c>
      <c r="N289" s="40">
        <f t="shared" si="64"/>
        <v>21117</v>
      </c>
      <c r="O289" s="35">
        <f>OCTPAGOS20!B76</f>
        <v>17838.5</v>
      </c>
      <c r="P289" s="33">
        <f t="shared" si="62"/>
        <v>3278.5</v>
      </c>
      <c r="Q289" s="33">
        <f t="shared" si="63"/>
        <v>15917.5</v>
      </c>
      <c r="R289" s="882"/>
      <c r="S289" s="35">
        <f t="shared" si="65"/>
        <v>15917.5</v>
      </c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>
      <c r="A290" s="38" t="s">
        <v>24</v>
      </c>
      <c r="B290" s="41">
        <v>44112.0</v>
      </c>
      <c r="C290" s="22">
        <v>28191.0</v>
      </c>
      <c r="D290" s="24">
        <v>1970.0</v>
      </c>
      <c r="E290" s="25">
        <v>1000.0</v>
      </c>
      <c r="F290" s="35">
        <v>7175.0</v>
      </c>
      <c r="G290" s="35">
        <v>2819.0</v>
      </c>
      <c r="H290" s="35">
        <v>7720.0</v>
      </c>
      <c r="I290" s="33"/>
      <c r="J290" s="30">
        <v>10320.0</v>
      </c>
      <c r="K290" s="114">
        <f t="shared" si="59"/>
        <v>2970</v>
      </c>
      <c r="L290" s="881">
        <f t="shared" si="60"/>
        <v>10320</v>
      </c>
      <c r="M290" s="33">
        <f t="shared" si="61"/>
        <v>2813</v>
      </c>
      <c r="N290" s="40">
        <f t="shared" si="64"/>
        <v>15917.5</v>
      </c>
      <c r="O290" s="35"/>
      <c r="P290" s="33">
        <f t="shared" si="62"/>
        <v>15917.5</v>
      </c>
      <c r="Q290" s="33">
        <f t="shared" si="63"/>
        <v>26237.5</v>
      </c>
      <c r="R290" s="882"/>
      <c r="S290" s="35">
        <f t="shared" si="65"/>
        <v>26237.5</v>
      </c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</row>
    <row r="291">
      <c r="A291" s="38" t="s">
        <v>25</v>
      </c>
      <c r="B291" s="41">
        <v>44113.0</v>
      </c>
      <c r="C291" s="22">
        <v>35755.0</v>
      </c>
      <c r="D291" s="24">
        <v>1551.0</v>
      </c>
      <c r="E291" s="25">
        <v>1000.0</v>
      </c>
      <c r="F291" s="35">
        <v>8615.0</v>
      </c>
      <c r="G291" s="35">
        <v>2655.0</v>
      </c>
      <c r="H291" s="35">
        <v>10230.0</v>
      </c>
      <c r="I291" s="33"/>
      <c r="J291" s="30">
        <v>14255.0</v>
      </c>
      <c r="K291" s="114">
        <f t="shared" si="59"/>
        <v>2551</v>
      </c>
      <c r="L291" s="881">
        <f t="shared" si="60"/>
        <v>14255</v>
      </c>
      <c r="M291" s="33">
        <f t="shared" si="61"/>
        <v>2551</v>
      </c>
      <c r="N291" s="40">
        <f t="shared" si="64"/>
        <v>26237.5</v>
      </c>
      <c r="O291" s="35"/>
      <c r="P291" s="33">
        <f t="shared" si="62"/>
        <v>26237.5</v>
      </c>
      <c r="Q291" s="33">
        <f t="shared" si="63"/>
        <v>40492.5</v>
      </c>
      <c r="R291" s="882"/>
      <c r="S291" s="35">
        <f t="shared" si="65"/>
        <v>40492.5</v>
      </c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>
      <c r="A292" s="38" t="s">
        <v>33</v>
      </c>
      <c r="B292" s="41">
        <v>44114.0</v>
      </c>
      <c r="C292" s="22">
        <v>30025.0</v>
      </c>
      <c r="D292" s="24">
        <v>3056.0</v>
      </c>
      <c r="E292" s="25">
        <v>2100.0</v>
      </c>
      <c r="F292" s="35">
        <v>5515.0</v>
      </c>
      <c r="G292" s="35">
        <v>5642.0</v>
      </c>
      <c r="H292" s="35">
        <v>6990.0</v>
      </c>
      <c r="I292" s="33"/>
      <c r="J292" s="30">
        <v>11878.0</v>
      </c>
      <c r="K292" s="114">
        <f t="shared" si="59"/>
        <v>5156</v>
      </c>
      <c r="L292" s="881">
        <f t="shared" si="60"/>
        <v>11878</v>
      </c>
      <c r="M292" s="33">
        <f t="shared" si="61"/>
        <v>5156</v>
      </c>
      <c r="N292" s="40">
        <f t="shared" si="64"/>
        <v>40492.5</v>
      </c>
      <c r="O292" s="35"/>
      <c r="P292" s="33">
        <f t="shared" si="62"/>
        <v>40492.5</v>
      </c>
      <c r="Q292" s="33">
        <f t="shared" si="63"/>
        <v>52370.5</v>
      </c>
      <c r="R292" s="882"/>
      <c r="S292" s="35">
        <f t="shared" si="65"/>
        <v>52370.5</v>
      </c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</row>
    <row r="293">
      <c r="A293" s="150" t="s">
        <v>27</v>
      </c>
      <c r="B293" s="930">
        <v>44115.0</v>
      </c>
      <c r="C293" s="167">
        <v>23085.0</v>
      </c>
      <c r="D293" s="167">
        <v>0.0</v>
      </c>
      <c r="E293" s="167">
        <v>2100.0</v>
      </c>
      <c r="F293" s="167">
        <v>4765.0</v>
      </c>
      <c r="G293" s="167">
        <v>2665.0</v>
      </c>
      <c r="H293" s="167">
        <v>6400.0</v>
      </c>
      <c r="I293" s="207"/>
      <c r="J293" s="167">
        <v>9260.0</v>
      </c>
      <c r="K293" s="207">
        <f t="shared" si="59"/>
        <v>2100</v>
      </c>
      <c r="L293" s="207">
        <f t="shared" si="60"/>
        <v>9260</v>
      </c>
      <c r="M293" s="207">
        <f t="shared" si="61"/>
        <v>2105</v>
      </c>
      <c r="N293" s="207">
        <f t="shared" si="64"/>
        <v>52370.5</v>
      </c>
      <c r="O293" s="167"/>
      <c r="P293" s="207">
        <f t="shared" si="62"/>
        <v>52370.5</v>
      </c>
      <c r="Q293" s="207">
        <f t="shared" si="63"/>
        <v>61630.5</v>
      </c>
      <c r="R293" s="167"/>
      <c r="S293" s="167">
        <f t="shared" si="65"/>
        <v>61630.5</v>
      </c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  <c r="AE293" s="207"/>
      <c r="AF293" s="207"/>
      <c r="AG293" s="207"/>
      <c r="AH293" s="207"/>
    </row>
    <row r="294">
      <c r="A294" s="38" t="s">
        <v>21</v>
      </c>
      <c r="B294" s="41">
        <v>44116.0</v>
      </c>
      <c r="C294" s="22">
        <v>29585.0</v>
      </c>
      <c r="D294" s="24">
        <v>1111.0</v>
      </c>
      <c r="E294" s="25">
        <v>1700.0</v>
      </c>
      <c r="F294" s="35">
        <v>0.0</v>
      </c>
      <c r="G294" s="35">
        <v>3399.0</v>
      </c>
      <c r="H294" s="35">
        <v>11880.0</v>
      </c>
      <c r="I294" s="33"/>
      <c r="J294" s="30">
        <v>10455.0</v>
      </c>
      <c r="K294" s="114">
        <f t="shared" si="59"/>
        <v>2811</v>
      </c>
      <c r="L294" s="881">
        <f t="shared" si="60"/>
        <v>10455</v>
      </c>
      <c r="M294" s="33">
        <f t="shared" si="61"/>
        <v>-1040</v>
      </c>
      <c r="N294" s="40">
        <f t="shared" si="64"/>
        <v>61630.5</v>
      </c>
      <c r="O294" s="35"/>
      <c r="P294" s="33">
        <f t="shared" si="62"/>
        <v>61630.5</v>
      </c>
      <c r="Q294" s="33">
        <f t="shared" si="63"/>
        <v>72085.5</v>
      </c>
      <c r="R294" s="882"/>
      <c r="S294" s="35">
        <f t="shared" si="65"/>
        <v>72085.5</v>
      </c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</row>
    <row r="295">
      <c r="A295" s="38" t="s">
        <v>22</v>
      </c>
      <c r="B295" s="41">
        <v>44117.0</v>
      </c>
      <c r="C295" s="22">
        <v>22285.0</v>
      </c>
      <c r="D295" s="24">
        <v>702.0</v>
      </c>
      <c r="E295" s="25">
        <v>1200.0</v>
      </c>
      <c r="F295" s="35">
        <v>2785.0</v>
      </c>
      <c r="G295" s="35">
        <v>1984.0</v>
      </c>
      <c r="H295" s="35">
        <v>5355.0</v>
      </c>
      <c r="I295" s="33"/>
      <c r="J295" s="30">
        <v>12635.0</v>
      </c>
      <c r="K295" s="114">
        <f t="shared" si="59"/>
        <v>1902</v>
      </c>
      <c r="L295" s="881">
        <f t="shared" si="60"/>
        <v>12635</v>
      </c>
      <c r="M295" s="33">
        <f t="shared" si="61"/>
        <v>2376</v>
      </c>
      <c r="N295" s="40">
        <f t="shared" si="64"/>
        <v>72085.5</v>
      </c>
      <c r="O295" s="35"/>
      <c r="P295" s="33">
        <f t="shared" si="62"/>
        <v>72085.5</v>
      </c>
      <c r="Q295" s="33">
        <f t="shared" si="63"/>
        <v>84720.5</v>
      </c>
      <c r="R295" s="882"/>
      <c r="S295" s="35">
        <f t="shared" si="65"/>
        <v>84720.5</v>
      </c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>
      <c r="A296" s="38" t="s">
        <v>32</v>
      </c>
      <c r="B296" s="41">
        <v>44118.0</v>
      </c>
      <c r="C296" s="22">
        <v>35135.0</v>
      </c>
      <c r="D296" s="24">
        <v>580.0</v>
      </c>
      <c r="E296" s="25">
        <v>1000.0</v>
      </c>
      <c r="F296" s="35">
        <v>6390.0</v>
      </c>
      <c r="G296" s="35">
        <v>5793.0</v>
      </c>
      <c r="H296" s="35">
        <v>8875.0</v>
      </c>
      <c r="I296" s="33"/>
      <c r="J296" s="30">
        <v>13300.0</v>
      </c>
      <c r="K296" s="114">
        <f t="shared" si="59"/>
        <v>1580</v>
      </c>
      <c r="L296" s="881">
        <f t="shared" si="60"/>
        <v>13300</v>
      </c>
      <c r="M296" s="33">
        <f t="shared" si="61"/>
        <v>803</v>
      </c>
      <c r="N296" s="40">
        <f t="shared" si="64"/>
        <v>84720.5</v>
      </c>
      <c r="O296" s="35"/>
      <c r="P296" s="33">
        <f t="shared" si="62"/>
        <v>84720.5</v>
      </c>
      <c r="Q296" s="33">
        <f t="shared" si="63"/>
        <v>98020.5</v>
      </c>
      <c r="R296" s="882"/>
      <c r="S296" s="35">
        <f t="shared" si="65"/>
        <v>98020.5</v>
      </c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>
      <c r="A297" s="38" t="s">
        <v>24</v>
      </c>
      <c r="B297" s="41">
        <v>44119.0</v>
      </c>
      <c r="C297" s="22">
        <v>25940.0</v>
      </c>
      <c r="D297" s="24">
        <v>1045.0</v>
      </c>
      <c r="E297" s="25">
        <v>960.0</v>
      </c>
      <c r="F297" s="35">
        <v>5355.0</v>
      </c>
      <c r="G297" s="35">
        <v>1249.0</v>
      </c>
      <c r="H297" s="35">
        <v>8605.0</v>
      </c>
      <c r="I297" s="33"/>
      <c r="J297" s="30">
        <v>10810.0</v>
      </c>
      <c r="K297" s="114">
        <f t="shared" si="59"/>
        <v>2005</v>
      </c>
      <c r="L297" s="881">
        <f t="shared" si="60"/>
        <v>10810</v>
      </c>
      <c r="M297" s="33">
        <f t="shared" si="61"/>
        <v>2084</v>
      </c>
      <c r="N297" s="40">
        <f t="shared" si="64"/>
        <v>98020.5</v>
      </c>
      <c r="O297" s="35"/>
      <c r="P297" s="33">
        <f t="shared" si="62"/>
        <v>98020.5</v>
      </c>
      <c r="Q297" s="33">
        <f t="shared" si="63"/>
        <v>108830.5</v>
      </c>
      <c r="R297" s="882"/>
      <c r="S297" s="35">
        <f t="shared" si="65"/>
        <v>108830.5</v>
      </c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>
      <c r="A298" s="38" t="s">
        <v>25</v>
      </c>
      <c r="B298" s="41">
        <v>44120.0</v>
      </c>
      <c r="C298" s="22">
        <v>33451.0</v>
      </c>
      <c r="D298" s="24">
        <v>853.0</v>
      </c>
      <c r="E298" s="25">
        <v>960.0</v>
      </c>
      <c r="F298" s="35">
        <v>7010.0</v>
      </c>
      <c r="G298" s="35">
        <v>3534.0</v>
      </c>
      <c r="H298" s="35">
        <v>9040.0</v>
      </c>
      <c r="I298" s="33"/>
      <c r="J298" s="30">
        <v>13370.0</v>
      </c>
      <c r="K298" s="114">
        <f t="shared" si="59"/>
        <v>1813</v>
      </c>
      <c r="L298" s="881">
        <f t="shared" si="60"/>
        <v>13370</v>
      </c>
      <c r="M298" s="33">
        <f t="shared" si="61"/>
        <v>1316</v>
      </c>
      <c r="N298" s="40">
        <f t="shared" si="64"/>
        <v>108830.5</v>
      </c>
      <c r="O298" s="35"/>
      <c r="P298" s="33">
        <f t="shared" si="62"/>
        <v>108830.5</v>
      </c>
      <c r="Q298" s="33">
        <f t="shared" si="63"/>
        <v>122200.5</v>
      </c>
      <c r="R298" s="882"/>
      <c r="S298" s="35">
        <f t="shared" si="65"/>
        <v>122200.5</v>
      </c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</row>
    <row r="299">
      <c r="A299" s="38" t="s">
        <v>33</v>
      </c>
      <c r="B299" s="41">
        <v>44121.0</v>
      </c>
      <c r="C299" s="22">
        <v>45765.0</v>
      </c>
      <c r="D299" s="24">
        <v>698.0</v>
      </c>
      <c r="E299" s="25">
        <v>1000.0</v>
      </c>
      <c r="F299" s="35">
        <v>7345.0</v>
      </c>
      <c r="G299" s="35">
        <v>5329.0</v>
      </c>
      <c r="H299" s="35">
        <v>14150.0</v>
      </c>
      <c r="I299" s="33"/>
      <c r="J299" s="30">
        <v>20060.0</v>
      </c>
      <c r="K299" s="114">
        <f t="shared" si="59"/>
        <v>1698</v>
      </c>
      <c r="L299" s="881">
        <f t="shared" si="60"/>
        <v>20060</v>
      </c>
      <c r="M299" s="33">
        <f t="shared" si="61"/>
        <v>2817</v>
      </c>
      <c r="N299" s="40">
        <f t="shared" si="64"/>
        <v>122200.5</v>
      </c>
      <c r="O299" s="35"/>
      <c r="P299" s="33">
        <f t="shared" si="62"/>
        <v>122200.5</v>
      </c>
      <c r="Q299" s="33">
        <f t="shared" si="63"/>
        <v>142260.5</v>
      </c>
      <c r="R299" s="882"/>
      <c r="S299" s="35">
        <f t="shared" si="65"/>
        <v>142260.5</v>
      </c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>
      <c r="A300" s="38" t="s">
        <v>27</v>
      </c>
      <c r="B300" s="41">
        <v>44122.0</v>
      </c>
      <c r="C300" s="22">
        <v>11745.0</v>
      </c>
      <c r="D300" s="24">
        <v>1980.0</v>
      </c>
      <c r="E300" s="25">
        <v>830.0</v>
      </c>
      <c r="F300" s="35">
        <v>330.0</v>
      </c>
      <c r="G300" s="33"/>
      <c r="H300" s="35">
        <v>3835.0</v>
      </c>
      <c r="I300" s="33"/>
      <c r="J300" s="30">
        <v>0.0</v>
      </c>
      <c r="K300" s="114">
        <f t="shared" si="59"/>
        <v>2810</v>
      </c>
      <c r="L300" s="881">
        <f t="shared" si="60"/>
        <v>0</v>
      </c>
      <c r="M300" s="33">
        <f t="shared" si="61"/>
        <v>-4770</v>
      </c>
      <c r="N300" s="40">
        <f t="shared" si="64"/>
        <v>142260.5</v>
      </c>
      <c r="O300" s="35"/>
      <c r="P300" s="33">
        <f t="shared" si="62"/>
        <v>142260.5</v>
      </c>
      <c r="Q300" s="33">
        <f t="shared" si="63"/>
        <v>142260.5</v>
      </c>
      <c r="R300" s="882"/>
      <c r="S300" s="35">
        <f t="shared" si="65"/>
        <v>142260.5</v>
      </c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</row>
    <row r="301">
      <c r="A301" s="38" t="s">
        <v>21</v>
      </c>
      <c r="B301" s="41">
        <v>44123.0</v>
      </c>
      <c r="C301" s="22">
        <v>19895.0</v>
      </c>
      <c r="D301" s="24">
        <v>469.0</v>
      </c>
      <c r="E301" s="25">
        <v>600.0</v>
      </c>
      <c r="F301" s="35">
        <v>550.0</v>
      </c>
      <c r="G301" s="35">
        <v>3513.0</v>
      </c>
      <c r="H301" s="35">
        <v>6445.0</v>
      </c>
      <c r="I301" s="33"/>
      <c r="J301" s="30">
        <v>10430.0</v>
      </c>
      <c r="K301" s="114">
        <f t="shared" si="59"/>
        <v>1069</v>
      </c>
      <c r="L301" s="881">
        <f t="shared" si="60"/>
        <v>10430</v>
      </c>
      <c r="M301" s="33">
        <f t="shared" si="61"/>
        <v>2112</v>
      </c>
      <c r="N301" s="40">
        <f t="shared" si="64"/>
        <v>142260.5</v>
      </c>
      <c r="O301" s="35"/>
      <c r="P301" s="33">
        <f t="shared" si="62"/>
        <v>142260.5</v>
      </c>
      <c r="Q301" s="33">
        <f t="shared" si="63"/>
        <v>152690.5</v>
      </c>
      <c r="R301" s="882"/>
      <c r="S301" s="35">
        <f t="shared" si="65"/>
        <v>152690.5</v>
      </c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>
      <c r="A302" s="38" t="s">
        <v>22</v>
      </c>
      <c r="B302" s="41">
        <v>44124.0</v>
      </c>
      <c r="C302" s="22">
        <v>25060.0</v>
      </c>
      <c r="D302" s="24">
        <v>964.0</v>
      </c>
      <c r="E302" s="25">
        <v>660.0</v>
      </c>
      <c r="F302" s="35">
        <v>3135.0</v>
      </c>
      <c r="G302" s="35">
        <v>4524.0</v>
      </c>
      <c r="H302" s="35">
        <v>3990.0</v>
      </c>
      <c r="I302" s="33"/>
      <c r="J302" s="30">
        <v>14980.0</v>
      </c>
      <c r="K302" s="114">
        <f t="shared" si="59"/>
        <v>1624</v>
      </c>
      <c r="L302" s="881">
        <f t="shared" si="60"/>
        <v>14980</v>
      </c>
      <c r="M302" s="33">
        <f t="shared" si="61"/>
        <v>3193</v>
      </c>
      <c r="N302" s="40">
        <f t="shared" si="64"/>
        <v>152690.5</v>
      </c>
      <c r="O302" s="35"/>
      <c r="P302" s="33">
        <f t="shared" si="62"/>
        <v>152690.5</v>
      </c>
      <c r="Q302" s="33">
        <f t="shared" si="63"/>
        <v>167670.5</v>
      </c>
      <c r="R302" s="882"/>
      <c r="S302" s="35">
        <f t="shared" si="65"/>
        <v>167670.5</v>
      </c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</row>
    <row r="303">
      <c r="A303" s="38" t="s">
        <v>32</v>
      </c>
      <c r="B303" s="41">
        <v>44125.0</v>
      </c>
      <c r="C303" s="22">
        <v>22145.0</v>
      </c>
      <c r="D303" s="24">
        <v>2014.0</v>
      </c>
      <c r="E303" s="25">
        <v>440.0</v>
      </c>
      <c r="F303" s="35">
        <v>1685.0</v>
      </c>
      <c r="G303" s="35">
        <v>420.0</v>
      </c>
      <c r="H303" s="35">
        <v>4625.0</v>
      </c>
      <c r="I303" s="33"/>
      <c r="J303" s="30">
        <v>15415.0</v>
      </c>
      <c r="K303" s="114">
        <f t="shared" si="59"/>
        <v>2454</v>
      </c>
      <c r="L303" s="881">
        <f t="shared" si="60"/>
        <v>15415</v>
      </c>
      <c r="M303" s="33">
        <f t="shared" si="61"/>
        <v>2454</v>
      </c>
      <c r="N303" s="40">
        <f t="shared" si="64"/>
        <v>167670.5</v>
      </c>
      <c r="O303" s="35"/>
      <c r="P303" s="33">
        <f t="shared" si="62"/>
        <v>167670.5</v>
      </c>
      <c r="Q303" s="33">
        <f t="shared" si="63"/>
        <v>183085.5</v>
      </c>
      <c r="R303" s="882"/>
      <c r="S303" s="35">
        <f t="shared" si="65"/>
        <v>183085.5</v>
      </c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>
      <c r="A304" s="38" t="s">
        <v>24</v>
      </c>
      <c r="B304" s="41">
        <v>44126.0</v>
      </c>
      <c r="C304" s="22">
        <v>28150.0</v>
      </c>
      <c r="D304" s="24">
        <v>937.0</v>
      </c>
      <c r="E304" s="25">
        <v>440.0</v>
      </c>
      <c r="F304" s="35">
        <v>2670.0</v>
      </c>
      <c r="G304" s="35">
        <v>5340.0</v>
      </c>
      <c r="H304" s="35">
        <v>7075.0</v>
      </c>
      <c r="I304" s="33"/>
      <c r="J304" s="30">
        <v>13445.0</v>
      </c>
      <c r="K304" s="114">
        <f t="shared" si="59"/>
        <v>1377</v>
      </c>
      <c r="L304" s="881">
        <f t="shared" si="60"/>
        <v>13445</v>
      </c>
      <c r="M304" s="33">
        <f t="shared" si="61"/>
        <v>1757</v>
      </c>
      <c r="N304" s="40">
        <f t="shared" si="64"/>
        <v>183085.5</v>
      </c>
      <c r="O304" s="35"/>
      <c r="P304" s="33">
        <f t="shared" si="62"/>
        <v>183085.5</v>
      </c>
      <c r="Q304" s="33">
        <f t="shared" si="63"/>
        <v>196530.5</v>
      </c>
      <c r="R304" s="882"/>
      <c r="S304" s="35">
        <f t="shared" si="65"/>
        <v>196530.5</v>
      </c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</row>
    <row r="305">
      <c r="A305" s="38" t="s">
        <v>25</v>
      </c>
      <c r="B305" s="41">
        <v>44127.0</v>
      </c>
      <c r="C305" s="22">
        <v>30748.0</v>
      </c>
      <c r="D305" s="24">
        <v>987.0</v>
      </c>
      <c r="E305" s="25">
        <v>0.0</v>
      </c>
      <c r="F305" s="35">
        <v>4715.0</v>
      </c>
      <c r="G305" s="35">
        <v>1853.0</v>
      </c>
      <c r="H305" s="35">
        <v>11730.0</v>
      </c>
      <c r="I305" s="33"/>
      <c r="J305" s="30">
        <v>12035.0</v>
      </c>
      <c r="K305" s="114">
        <f t="shared" si="59"/>
        <v>987</v>
      </c>
      <c r="L305" s="881">
        <f t="shared" si="60"/>
        <v>12035</v>
      </c>
      <c r="M305" s="33">
        <f t="shared" si="61"/>
        <v>572</v>
      </c>
      <c r="N305" s="40">
        <f t="shared" si="64"/>
        <v>196530.5</v>
      </c>
      <c r="O305" s="35"/>
      <c r="P305" s="33">
        <f t="shared" si="62"/>
        <v>196530.5</v>
      </c>
      <c r="Q305" s="33">
        <f t="shared" si="63"/>
        <v>208565.5</v>
      </c>
      <c r="R305" s="882"/>
      <c r="S305" s="35">
        <f t="shared" si="65"/>
        <v>208565.5</v>
      </c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>
      <c r="A306" s="38" t="s">
        <v>33</v>
      </c>
      <c r="B306" s="41">
        <v>44128.0</v>
      </c>
      <c r="C306" s="22">
        <v>29580.0</v>
      </c>
      <c r="D306" s="24">
        <v>2856.0</v>
      </c>
      <c r="E306" s="25">
        <v>1400.0</v>
      </c>
      <c r="F306" s="35">
        <v>4290.0</v>
      </c>
      <c r="G306" s="35">
        <v>3470.0</v>
      </c>
      <c r="H306" s="35">
        <v>5790.0</v>
      </c>
      <c r="I306" s="33"/>
      <c r="J306" s="30">
        <v>16030.0</v>
      </c>
      <c r="K306" s="114">
        <f t="shared" si="59"/>
        <v>4256</v>
      </c>
      <c r="L306" s="881">
        <f t="shared" si="60"/>
        <v>16030</v>
      </c>
      <c r="M306" s="33">
        <f t="shared" si="61"/>
        <v>4256</v>
      </c>
      <c r="N306" s="40">
        <f t="shared" si="64"/>
        <v>208565.5</v>
      </c>
      <c r="O306" s="35"/>
      <c r="P306" s="33">
        <f t="shared" si="62"/>
        <v>208565.5</v>
      </c>
      <c r="Q306" s="33">
        <f t="shared" si="63"/>
        <v>224595.5</v>
      </c>
      <c r="R306" s="882"/>
      <c r="S306" s="35">
        <f t="shared" si="65"/>
        <v>224595.5</v>
      </c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</row>
    <row r="307">
      <c r="A307" s="38" t="s">
        <v>27</v>
      </c>
      <c r="B307" s="41">
        <v>44129.0</v>
      </c>
      <c r="C307" s="22">
        <v>21105.0</v>
      </c>
      <c r="D307" s="24">
        <v>1641.0</v>
      </c>
      <c r="E307" s="25">
        <v>1400.0</v>
      </c>
      <c r="F307" s="35">
        <v>4360.0</v>
      </c>
      <c r="G307" s="35">
        <v>7975.0</v>
      </c>
      <c r="H307" s="35">
        <v>3000.0</v>
      </c>
      <c r="I307" s="33"/>
      <c r="J307" s="30">
        <v>5820.0</v>
      </c>
      <c r="K307" s="114">
        <f t="shared" si="59"/>
        <v>3041</v>
      </c>
      <c r="L307" s="881">
        <f t="shared" si="60"/>
        <v>5820</v>
      </c>
      <c r="M307" s="33">
        <f t="shared" si="61"/>
        <v>3091</v>
      </c>
      <c r="N307" s="40">
        <f t="shared" si="64"/>
        <v>224595.5</v>
      </c>
      <c r="O307" s="35"/>
      <c r="P307" s="33">
        <f t="shared" si="62"/>
        <v>224595.5</v>
      </c>
      <c r="Q307" s="33">
        <f t="shared" si="63"/>
        <v>230415.5</v>
      </c>
      <c r="R307" s="882"/>
      <c r="S307" s="35">
        <f t="shared" si="65"/>
        <v>230415.5</v>
      </c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>
      <c r="A308" s="38" t="s">
        <v>21</v>
      </c>
      <c r="B308" s="41">
        <v>44130.0</v>
      </c>
      <c r="C308" s="22">
        <v>25025.0</v>
      </c>
      <c r="D308" s="24">
        <v>1972.0</v>
      </c>
      <c r="E308" s="25">
        <v>1400.0</v>
      </c>
      <c r="F308" s="35">
        <v>6197.0</v>
      </c>
      <c r="G308" s="35">
        <v>2745.0</v>
      </c>
      <c r="H308" s="35">
        <v>6535.0</v>
      </c>
      <c r="I308" s="33"/>
      <c r="J308" s="30">
        <v>10720.0</v>
      </c>
      <c r="K308" s="114">
        <f t="shared" si="59"/>
        <v>3372</v>
      </c>
      <c r="L308" s="881">
        <f t="shared" si="60"/>
        <v>10720</v>
      </c>
      <c r="M308" s="33">
        <f t="shared" si="61"/>
        <v>4544</v>
      </c>
      <c r="N308" s="40">
        <f t="shared" si="64"/>
        <v>230415.5</v>
      </c>
      <c r="O308" s="35"/>
      <c r="P308" s="33">
        <f t="shared" si="62"/>
        <v>230415.5</v>
      </c>
      <c r="Q308" s="33">
        <f t="shared" si="63"/>
        <v>241135.5</v>
      </c>
      <c r="R308" s="882"/>
      <c r="S308" s="35">
        <f t="shared" si="65"/>
        <v>241135.5</v>
      </c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</row>
    <row r="309">
      <c r="A309" s="38" t="s">
        <v>22</v>
      </c>
      <c r="B309" s="41">
        <v>44131.0</v>
      </c>
      <c r="C309" s="22">
        <v>32355.0</v>
      </c>
      <c r="D309" s="24">
        <v>1520.0</v>
      </c>
      <c r="E309" s="25">
        <v>1400.0</v>
      </c>
      <c r="F309" s="35">
        <v>2030.0</v>
      </c>
      <c r="G309" s="35">
        <v>430.0</v>
      </c>
      <c r="H309" s="35">
        <v>10355.0</v>
      </c>
      <c r="I309" s="33"/>
      <c r="J309" s="30">
        <v>19660.0</v>
      </c>
      <c r="K309" s="114">
        <f t="shared" si="59"/>
        <v>2920</v>
      </c>
      <c r="L309" s="881">
        <f t="shared" si="60"/>
        <v>19660</v>
      </c>
      <c r="M309" s="33">
        <f t="shared" si="61"/>
        <v>3040</v>
      </c>
      <c r="N309" s="40">
        <f t="shared" si="64"/>
        <v>241135.5</v>
      </c>
      <c r="O309" s="35"/>
      <c r="P309" s="33">
        <f t="shared" si="62"/>
        <v>241135.5</v>
      </c>
      <c r="Q309" s="33">
        <f t="shared" si="63"/>
        <v>260795.5</v>
      </c>
      <c r="R309" s="882"/>
      <c r="S309" s="35">
        <f t="shared" si="65"/>
        <v>260795.5</v>
      </c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>
      <c r="A310" s="38" t="s">
        <v>32</v>
      </c>
      <c r="B310" s="41">
        <v>44132.0</v>
      </c>
      <c r="C310" s="22">
        <v>36895.0</v>
      </c>
      <c r="D310" s="24">
        <v>2092.0</v>
      </c>
      <c r="E310" s="25">
        <v>1400.0</v>
      </c>
      <c r="F310" s="35">
        <v>4020.0</v>
      </c>
      <c r="G310" s="35">
        <v>6875.0</v>
      </c>
      <c r="H310" s="35">
        <v>14865.0</v>
      </c>
      <c r="I310" s="33"/>
      <c r="J310" s="30">
        <v>10890.0</v>
      </c>
      <c r="K310" s="114">
        <f t="shared" si="59"/>
        <v>3492</v>
      </c>
      <c r="L310" s="881">
        <f t="shared" si="60"/>
        <v>10890</v>
      </c>
      <c r="M310" s="33">
        <f t="shared" si="61"/>
        <v>3247</v>
      </c>
      <c r="N310" s="40">
        <f t="shared" si="64"/>
        <v>260795.5</v>
      </c>
      <c r="O310" s="35"/>
      <c r="P310" s="33">
        <f t="shared" si="62"/>
        <v>260795.5</v>
      </c>
      <c r="Q310" s="33">
        <f t="shared" si="63"/>
        <v>271685.5</v>
      </c>
      <c r="R310" s="882"/>
      <c r="S310" s="35">
        <f t="shared" si="65"/>
        <v>271685.5</v>
      </c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</row>
    <row r="311">
      <c r="A311" s="38" t="s">
        <v>24</v>
      </c>
      <c r="B311" s="41">
        <v>44133.0</v>
      </c>
      <c r="C311" s="22">
        <v>40348.0</v>
      </c>
      <c r="D311" s="24">
        <v>1770.0</v>
      </c>
      <c r="E311" s="25">
        <v>1400.0</v>
      </c>
      <c r="F311" s="35">
        <v>6135.0</v>
      </c>
      <c r="G311" s="35">
        <v>6508.0</v>
      </c>
      <c r="H311" s="35">
        <v>8520.0</v>
      </c>
      <c r="I311" s="33"/>
      <c r="J311" s="30">
        <v>20455.0</v>
      </c>
      <c r="K311" s="114">
        <f t="shared" si="59"/>
        <v>3170</v>
      </c>
      <c r="L311" s="881">
        <f t="shared" si="60"/>
        <v>20455</v>
      </c>
      <c r="M311" s="33">
        <f t="shared" si="61"/>
        <v>4440</v>
      </c>
      <c r="N311" s="40">
        <f t="shared" si="64"/>
        <v>271685.5</v>
      </c>
      <c r="O311" s="35"/>
      <c r="P311" s="33">
        <f t="shared" si="62"/>
        <v>271685.5</v>
      </c>
      <c r="Q311" s="33">
        <f t="shared" si="63"/>
        <v>292140.5</v>
      </c>
      <c r="R311" s="882"/>
      <c r="S311" s="35">
        <f t="shared" si="65"/>
        <v>292140.5</v>
      </c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>
      <c r="A312" s="38" t="s">
        <v>25</v>
      </c>
      <c r="B312" s="41">
        <v>44134.0</v>
      </c>
      <c r="C312" s="22">
        <v>25800.0</v>
      </c>
      <c r="D312" s="24">
        <v>1610.0</v>
      </c>
      <c r="E312" s="25">
        <v>1100.0</v>
      </c>
      <c r="F312" s="35">
        <v>2990.0</v>
      </c>
      <c r="G312" s="35">
        <v>1850.0</v>
      </c>
      <c r="H312" s="35">
        <v>7285.0</v>
      </c>
      <c r="I312" s="33"/>
      <c r="J312" s="30">
        <v>13990.0</v>
      </c>
      <c r="K312" s="114">
        <f t="shared" si="59"/>
        <v>2710</v>
      </c>
      <c r="L312" s="881">
        <f t="shared" si="60"/>
        <v>13990</v>
      </c>
      <c r="M312" s="33">
        <f t="shared" si="61"/>
        <v>3025</v>
      </c>
      <c r="N312" s="40">
        <f t="shared" si="64"/>
        <v>292140.5</v>
      </c>
      <c r="O312" s="35"/>
      <c r="P312" s="33">
        <f t="shared" si="62"/>
        <v>292140.5</v>
      </c>
      <c r="Q312" s="33">
        <f t="shared" si="63"/>
        <v>306130.5</v>
      </c>
      <c r="R312" s="882"/>
      <c r="S312" s="35">
        <f t="shared" si="65"/>
        <v>306130.5</v>
      </c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</row>
    <row r="313">
      <c r="A313" s="38" t="s">
        <v>33</v>
      </c>
      <c r="B313" s="41">
        <v>44135.0</v>
      </c>
      <c r="C313" s="22">
        <v>31335.0</v>
      </c>
      <c r="D313" s="24">
        <v>3260.0</v>
      </c>
      <c r="E313" s="25">
        <v>1500.0</v>
      </c>
      <c r="F313" s="35">
        <v>7410.0</v>
      </c>
      <c r="G313" s="35">
        <v>2730.0</v>
      </c>
      <c r="H313" s="35">
        <v>6415.0</v>
      </c>
      <c r="I313" s="33"/>
      <c r="J313" s="30">
        <v>14780.0</v>
      </c>
      <c r="K313" s="114">
        <f t="shared" si="59"/>
        <v>4760</v>
      </c>
      <c r="L313" s="881">
        <f t="shared" si="60"/>
        <v>14780</v>
      </c>
      <c r="M313" s="33">
        <f t="shared" si="61"/>
        <v>4760</v>
      </c>
      <c r="N313" s="40">
        <f t="shared" si="64"/>
        <v>306130.5</v>
      </c>
      <c r="O313" s="35"/>
      <c r="P313" s="33">
        <f t="shared" si="62"/>
        <v>306130.5</v>
      </c>
      <c r="Q313" s="33">
        <f t="shared" si="63"/>
        <v>320910.5</v>
      </c>
      <c r="R313" s="882"/>
      <c r="S313" s="35">
        <f t="shared" si="65"/>
        <v>320910.5</v>
      </c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>
      <c r="A314" s="93" t="s">
        <v>28</v>
      </c>
      <c r="B314" s="94" t="s">
        <v>49</v>
      </c>
      <c r="C314" s="95">
        <f>SUM(C283:C313)</f>
        <v>878215</v>
      </c>
      <c r="D314" s="95"/>
      <c r="E314" s="95"/>
      <c r="F314" s="95">
        <f t="shared" ref="F314:H314" si="66">SUM(F283:F313)</f>
        <v>145712</v>
      </c>
      <c r="G314" s="95">
        <f t="shared" si="66"/>
        <v>101764</v>
      </c>
      <c r="H314" s="95">
        <f t="shared" si="66"/>
        <v>236025</v>
      </c>
      <c r="I314" s="95"/>
      <c r="J314" s="95">
        <f>SUM(J283:J313)</f>
        <v>392188</v>
      </c>
      <c r="K314" s="913"/>
      <c r="L314" s="914"/>
      <c r="M314" s="95">
        <f>SUM(M283:M313)</f>
        <v>78043</v>
      </c>
      <c r="N314" s="174"/>
      <c r="O314" s="175"/>
      <c r="P314" s="173"/>
      <c r="Q314" s="173"/>
      <c r="R314" s="95">
        <f t="shared" ref="R314:S314" si="67">SUM(R283:R313)</f>
        <v>33000</v>
      </c>
      <c r="S314" s="95">
        <f t="shared" si="67"/>
        <v>4141996.5</v>
      </c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</row>
    <row r="315">
      <c r="A315" s="38" t="s">
        <v>27</v>
      </c>
      <c r="B315" s="41">
        <v>44136.0</v>
      </c>
      <c r="C315" s="22">
        <v>16140.0</v>
      </c>
      <c r="D315" s="24">
        <v>1974.0</v>
      </c>
      <c r="E315" s="25">
        <v>1300.0</v>
      </c>
      <c r="F315" s="35">
        <v>1900.0</v>
      </c>
      <c r="G315" s="35">
        <v>1215.0</v>
      </c>
      <c r="H315" s="35">
        <v>2125.0</v>
      </c>
      <c r="I315" s="33"/>
      <c r="J315" s="30">
        <v>11900.0</v>
      </c>
      <c r="K315" s="114">
        <f t="shared" ref="K315:K344" si="68">D315+E315</f>
        <v>3274</v>
      </c>
      <c r="L315" s="881">
        <f t="shared" ref="L315:L344" si="69">(D315+E315+J315)-K315</f>
        <v>11900</v>
      </c>
      <c r="M315" s="33">
        <f t="shared" ref="M315:M344" si="70">SUM(D315:J315)-(C315)</f>
        <v>4274</v>
      </c>
      <c r="N315" s="40">
        <f>S313</f>
        <v>320910.5</v>
      </c>
      <c r="O315" s="35"/>
      <c r="P315" s="33">
        <f t="shared" ref="P315:P344" si="71">N315-O315</f>
        <v>320910.5</v>
      </c>
      <c r="Q315" s="33">
        <f t="shared" ref="Q315:Q344" si="72">(N315+J315)-O315</f>
        <v>332810.5</v>
      </c>
      <c r="R315" s="882"/>
      <c r="S315" s="35">
        <f t="shared" ref="S315:S344" si="73">Q315+R315</f>
        <v>332810.5</v>
      </c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>
      <c r="A316" s="38" t="s">
        <v>21</v>
      </c>
      <c r="B316" s="41">
        <v>44137.0</v>
      </c>
      <c r="C316" s="377">
        <v>30158.0</v>
      </c>
      <c r="D316" s="24">
        <v>778.0</v>
      </c>
      <c r="E316" s="25">
        <v>1100.0</v>
      </c>
      <c r="F316" s="35">
        <v>6515.0</v>
      </c>
      <c r="G316" s="35">
        <v>4688.0</v>
      </c>
      <c r="H316" s="35">
        <v>8280.0</v>
      </c>
      <c r="I316" s="33"/>
      <c r="J316" s="30">
        <v>11650.0</v>
      </c>
      <c r="K316" s="114">
        <f t="shared" si="68"/>
        <v>1878</v>
      </c>
      <c r="L316" s="881">
        <f t="shared" si="69"/>
        <v>11650</v>
      </c>
      <c r="M316" s="33">
        <f t="shared" si="70"/>
        <v>2853</v>
      </c>
      <c r="N316" s="40">
        <f t="shared" ref="N316:N344" si="74">S315</f>
        <v>332810.5</v>
      </c>
      <c r="O316" s="35"/>
      <c r="P316" s="33">
        <f t="shared" si="71"/>
        <v>332810.5</v>
      </c>
      <c r="Q316" s="33">
        <f t="shared" si="72"/>
        <v>344460.5</v>
      </c>
      <c r="R316" s="882"/>
      <c r="S316" s="35">
        <f t="shared" si="73"/>
        <v>344460.5</v>
      </c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</row>
    <row r="317">
      <c r="A317" s="38" t="s">
        <v>22</v>
      </c>
      <c r="B317" s="41">
        <v>44138.0</v>
      </c>
      <c r="C317" s="22">
        <v>28570.0</v>
      </c>
      <c r="D317" s="24">
        <v>1121.0</v>
      </c>
      <c r="E317" s="25">
        <v>1100.0</v>
      </c>
      <c r="F317" s="35">
        <v>4030.0</v>
      </c>
      <c r="G317" s="35">
        <v>6160.0</v>
      </c>
      <c r="H317" s="35">
        <v>4940.0</v>
      </c>
      <c r="I317" s="33"/>
      <c r="J317" s="30">
        <v>13095.0</v>
      </c>
      <c r="K317" s="114">
        <f t="shared" si="68"/>
        <v>2221</v>
      </c>
      <c r="L317" s="881">
        <f t="shared" si="69"/>
        <v>13095</v>
      </c>
      <c r="M317" s="33">
        <f t="shared" si="70"/>
        <v>1876</v>
      </c>
      <c r="N317" s="40">
        <f t="shared" si="74"/>
        <v>344460.5</v>
      </c>
      <c r="O317" s="35"/>
      <c r="P317" s="33">
        <f t="shared" si="71"/>
        <v>344460.5</v>
      </c>
      <c r="Q317" s="33">
        <f t="shared" si="72"/>
        <v>357555.5</v>
      </c>
      <c r="R317" s="882"/>
      <c r="S317" s="35">
        <f t="shared" si="73"/>
        <v>357555.5</v>
      </c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>
      <c r="A318" s="38" t="s">
        <v>32</v>
      </c>
      <c r="B318" s="41">
        <v>44139.0</v>
      </c>
      <c r="C318" s="22">
        <v>26035.0</v>
      </c>
      <c r="D318" s="24">
        <v>1045.0</v>
      </c>
      <c r="E318" s="25">
        <v>825.0</v>
      </c>
      <c r="F318" s="35">
        <v>4370.0</v>
      </c>
      <c r="G318" s="35">
        <v>3365.0</v>
      </c>
      <c r="H318" s="35">
        <v>5875.0</v>
      </c>
      <c r="I318" s="33"/>
      <c r="J318" s="30">
        <v>11695.0</v>
      </c>
      <c r="K318" s="114">
        <f t="shared" si="68"/>
        <v>1870</v>
      </c>
      <c r="L318" s="881">
        <f t="shared" si="69"/>
        <v>11695</v>
      </c>
      <c r="M318" s="33">
        <f t="shared" si="70"/>
        <v>1140</v>
      </c>
      <c r="N318" s="40">
        <f t="shared" si="74"/>
        <v>357555.5</v>
      </c>
      <c r="O318" s="35"/>
      <c r="P318" s="33">
        <f t="shared" si="71"/>
        <v>357555.5</v>
      </c>
      <c r="Q318" s="33">
        <f t="shared" si="72"/>
        <v>369250.5</v>
      </c>
      <c r="R318" s="882"/>
      <c r="S318" s="35">
        <f t="shared" si="73"/>
        <v>369250.5</v>
      </c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</row>
    <row r="319">
      <c r="A319" s="38" t="s">
        <v>24</v>
      </c>
      <c r="B319" s="41">
        <v>44140.0</v>
      </c>
      <c r="C319" s="22">
        <v>29250.0</v>
      </c>
      <c r="D319" s="24">
        <v>1095.0</v>
      </c>
      <c r="E319" s="25">
        <v>625.0</v>
      </c>
      <c r="F319" s="35">
        <v>4345.0</v>
      </c>
      <c r="G319" s="35">
        <v>2269.0</v>
      </c>
      <c r="H319" s="35">
        <v>7490.0</v>
      </c>
      <c r="I319" s="33"/>
      <c r="J319" s="30">
        <v>14795.0</v>
      </c>
      <c r="K319" s="114">
        <f t="shared" si="68"/>
        <v>1720</v>
      </c>
      <c r="L319" s="881">
        <f t="shared" si="69"/>
        <v>14795</v>
      </c>
      <c r="M319" s="33">
        <f t="shared" si="70"/>
        <v>1369</v>
      </c>
      <c r="N319" s="40">
        <f t="shared" si="74"/>
        <v>369250.5</v>
      </c>
      <c r="O319" s="35"/>
      <c r="P319" s="33">
        <f t="shared" si="71"/>
        <v>369250.5</v>
      </c>
      <c r="Q319" s="33">
        <f t="shared" si="72"/>
        <v>384045.5</v>
      </c>
      <c r="R319" s="882"/>
      <c r="S319" s="35">
        <f t="shared" si="73"/>
        <v>384045.5</v>
      </c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>
      <c r="A320" s="38" t="s">
        <v>25</v>
      </c>
      <c r="B320" s="41">
        <v>44141.0</v>
      </c>
      <c r="C320" s="22">
        <v>31327.0</v>
      </c>
      <c r="D320" s="24">
        <v>653.0</v>
      </c>
      <c r="E320" s="25">
        <v>500.0</v>
      </c>
      <c r="F320" s="35">
        <v>6775.0</v>
      </c>
      <c r="G320" s="35">
        <v>5663.0</v>
      </c>
      <c r="H320" s="35">
        <v>5820.0</v>
      </c>
      <c r="I320" s="33"/>
      <c r="J320" s="30">
        <v>13690.0</v>
      </c>
      <c r="K320" s="114">
        <f t="shared" si="68"/>
        <v>1153</v>
      </c>
      <c r="L320" s="881">
        <f t="shared" si="69"/>
        <v>13690</v>
      </c>
      <c r="M320" s="33">
        <f t="shared" si="70"/>
        <v>1774</v>
      </c>
      <c r="N320" s="40">
        <f t="shared" si="74"/>
        <v>384045.5</v>
      </c>
      <c r="O320" s="35"/>
      <c r="P320" s="33">
        <f t="shared" si="71"/>
        <v>384045.5</v>
      </c>
      <c r="Q320" s="33">
        <f t="shared" si="72"/>
        <v>397735.5</v>
      </c>
      <c r="R320" s="882"/>
      <c r="S320" s="35">
        <f t="shared" si="73"/>
        <v>397735.5</v>
      </c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</row>
    <row r="321">
      <c r="A321" s="38" t="s">
        <v>33</v>
      </c>
      <c r="B321" s="41">
        <v>44142.0</v>
      </c>
      <c r="C321" s="22">
        <v>25360.0</v>
      </c>
      <c r="D321" s="24">
        <v>2538.0</v>
      </c>
      <c r="E321" s="25">
        <v>1460.0</v>
      </c>
      <c r="F321" s="35">
        <v>8620.0</v>
      </c>
      <c r="G321" s="35">
        <v>2685.0</v>
      </c>
      <c r="H321" s="35">
        <v>3925.0</v>
      </c>
      <c r="I321" s="33"/>
      <c r="J321" s="30">
        <v>10540.0</v>
      </c>
      <c r="K321" s="114">
        <f t="shared" si="68"/>
        <v>3998</v>
      </c>
      <c r="L321" s="881">
        <f t="shared" si="69"/>
        <v>10540</v>
      </c>
      <c r="M321" s="33">
        <f t="shared" si="70"/>
        <v>4408</v>
      </c>
      <c r="N321" s="40">
        <f t="shared" si="74"/>
        <v>397735.5</v>
      </c>
      <c r="O321" s="35"/>
      <c r="P321" s="33">
        <f t="shared" si="71"/>
        <v>397735.5</v>
      </c>
      <c r="Q321" s="33">
        <f t="shared" si="72"/>
        <v>408275.5</v>
      </c>
      <c r="R321" s="882"/>
      <c r="S321" s="35">
        <f t="shared" si="73"/>
        <v>408275.5</v>
      </c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>
      <c r="A322" s="38" t="s">
        <v>27</v>
      </c>
      <c r="B322" s="41">
        <v>44143.0</v>
      </c>
      <c r="C322" s="22">
        <v>16950.0</v>
      </c>
      <c r="D322" s="24">
        <v>1439.0</v>
      </c>
      <c r="E322" s="25">
        <v>1460.0</v>
      </c>
      <c r="F322" s="35">
        <v>3075.0</v>
      </c>
      <c r="G322" s="35">
        <v>6780.0</v>
      </c>
      <c r="H322" s="35">
        <v>4635.0</v>
      </c>
      <c r="I322" s="33"/>
      <c r="J322" s="30">
        <v>16950.0</v>
      </c>
      <c r="K322" s="114">
        <f t="shared" si="68"/>
        <v>2899</v>
      </c>
      <c r="L322" s="881">
        <f t="shared" si="69"/>
        <v>16950</v>
      </c>
      <c r="M322" s="33">
        <f t="shared" si="70"/>
        <v>17389</v>
      </c>
      <c r="N322" s="40">
        <f t="shared" si="74"/>
        <v>408275.5</v>
      </c>
      <c r="O322" s="35"/>
      <c r="P322" s="33">
        <f t="shared" si="71"/>
        <v>408275.5</v>
      </c>
      <c r="Q322" s="33">
        <f t="shared" si="72"/>
        <v>425225.5</v>
      </c>
      <c r="R322" s="882"/>
      <c r="S322" s="35">
        <f t="shared" si="73"/>
        <v>425225.5</v>
      </c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</row>
    <row r="323">
      <c r="A323" s="38" t="s">
        <v>21</v>
      </c>
      <c r="B323" s="41">
        <v>44144.0</v>
      </c>
      <c r="C323" s="22">
        <v>31590.0</v>
      </c>
      <c r="D323" s="24">
        <v>2680.0</v>
      </c>
      <c r="E323" s="25">
        <v>1130.0</v>
      </c>
      <c r="F323" s="35">
        <v>2705.0</v>
      </c>
      <c r="G323" s="35">
        <v>5980.0</v>
      </c>
      <c r="H323" s="35">
        <v>8385.0</v>
      </c>
      <c r="I323" s="33"/>
      <c r="J323" s="30">
        <v>14520.0</v>
      </c>
      <c r="K323" s="114">
        <f t="shared" si="68"/>
        <v>3810</v>
      </c>
      <c r="L323" s="881">
        <f t="shared" si="69"/>
        <v>14520</v>
      </c>
      <c r="M323" s="33">
        <f t="shared" si="70"/>
        <v>3810</v>
      </c>
      <c r="N323" s="40">
        <f t="shared" si="74"/>
        <v>425225.5</v>
      </c>
      <c r="O323" s="35"/>
      <c r="P323" s="33">
        <f t="shared" si="71"/>
        <v>425225.5</v>
      </c>
      <c r="Q323" s="33">
        <f t="shared" si="72"/>
        <v>439745.5</v>
      </c>
      <c r="R323" s="882"/>
      <c r="S323" s="35">
        <f t="shared" si="73"/>
        <v>439745.5</v>
      </c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</row>
    <row r="324">
      <c r="A324" s="38" t="s">
        <v>22</v>
      </c>
      <c r="B324" s="41">
        <v>44145.0</v>
      </c>
      <c r="C324" s="22">
        <v>25285.0</v>
      </c>
      <c r="D324" s="24">
        <v>2720.0</v>
      </c>
      <c r="E324" s="25">
        <v>1130.0</v>
      </c>
      <c r="F324" s="35">
        <v>5345.0</v>
      </c>
      <c r="G324" s="35">
        <v>1970.0</v>
      </c>
      <c r="H324" s="35">
        <v>8925.0</v>
      </c>
      <c r="I324" s="33"/>
      <c r="J324" s="30">
        <v>9045.0</v>
      </c>
      <c r="K324" s="114">
        <f t="shared" si="68"/>
        <v>3850</v>
      </c>
      <c r="L324" s="881">
        <f t="shared" si="69"/>
        <v>9045</v>
      </c>
      <c r="M324" s="33">
        <f t="shared" si="70"/>
        <v>3850</v>
      </c>
      <c r="N324" s="40">
        <f t="shared" si="74"/>
        <v>439745.5</v>
      </c>
      <c r="O324" s="35"/>
      <c r="P324" s="33">
        <f t="shared" si="71"/>
        <v>439745.5</v>
      </c>
      <c r="Q324" s="33">
        <f t="shared" si="72"/>
        <v>448790.5</v>
      </c>
      <c r="R324" s="882"/>
      <c r="S324" s="35">
        <f t="shared" si="73"/>
        <v>448790.5</v>
      </c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</row>
    <row r="325">
      <c r="A325" s="38" t="s">
        <v>32</v>
      </c>
      <c r="B325" s="41">
        <v>44146.0</v>
      </c>
      <c r="C325" s="22">
        <v>32720.0</v>
      </c>
      <c r="D325" s="24">
        <v>2735.0</v>
      </c>
      <c r="E325" s="25">
        <v>1090.0</v>
      </c>
      <c r="F325" s="35">
        <v>4290.0</v>
      </c>
      <c r="G325" s="35">
        <v>2840.0</v>
      </c>
      <c r="H325" s="35">
        <v>7730.0</v>
      </c>
      <c r="I325" s="33"/>
      <c r="J325" s="30">
        <v>17860.0</v>
      </c>
      <c r="K325" s="114">
        <f t="shared" si="68"/>
        <v>3825</v>
      </c>
      <c r="L325" s="881">
        <f t="shared" si="69"/>
        <v>17860</v>
      </c>
      <c r="M325" s="33">
        <f t="shared" si="70"/>
        <v>3825</v>
      </c>
      <c r="N325" s="40">
        <f t="shared" si="74"/>
        <v>448790.5</v>
      </c>
      <c r="O325" s="35"/>
      <c r="P325" s="33">
        <f t="shared" si="71"/>
        <v>448790.5</v>
      </c>
      <c r="Q325" s="33">
        <f t="shared" si="72"/>
        <v>466650.5</v>
      </c>
      <c r="R325" s="882"/>
      <c r="S325" s="35">
        <f t="shared" si="73"/>
        <v>466650.5</v>
      </c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>
      <c r="A326" s="38" t="s">
        <v>24</v>
      </c>
      <c r="B326" s="41">
        <v>44147.0</v>
      </c>
      <c r="C326" s="22">
        <v>26890.0</v>
      </c>
      <c r="D326" s="24">
        <v>1169.0</v>
      </c>
      <c r="E326" s="25">
        <v>1090.0</v>
      </c>
      <c r="F326" s="35">
        <v>3790.0</v>
      </c>
      <c r="G326" s="35">
        <v>4700.0</v>
      </c>
      <c r="H326" s="35">
        <v>6870.0</v>
      </c>
      <c r="I326" s="33"/>
      <c r="J326" s="30"/>
      <c r="K326" s="114">
        <f t="shared" si="68"/>
        <v>2259</v>
      </c>
      <c r="L326" s="881">
        <f t="shared" si="69"/>
        <v>0</v>
      </c>
      <c r="M326" s="33">
        <f t="shared" si="70"/>
        <v>-9271</v>
      </c>
      <c r="N326" s="40">
        <f t="shared" si="74"/>
        <v>466650.5</v>
      </c>
      <c r="O326" s="35"/>
      <c r="P326" s="33">
        <f t="shared" si="71"/>
        <v>466650.5</v>
      </c>
      <c r="Q326" s="33">
        <f t="shared" si="72"/>
        <v>466650.5</v>
      </c>
      <c r="R326" s="882"/>
      <c r="S326" s="35">
        <f t="shared" si="73"/>
        <v>466650.5</v>
      </c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</row>
    <row r="327">
      <c r="A327" s="38" t="s">
        <v>25</v>
      </c>
      <c r="B327" s="41">
        <v>44148.0</v>
      </c>
      <c r="C327" s="22">
        <v>27670.0</v>
      </c>
      <c r="D327" s="24">
        <v>675.0</v>
      </c>
      <c r="E327" s="25">
        <v>1000.0</v>
      </c>
      <c r="F327" s="35">
        <v>3730.0</v>
      </c>
      <c r="G327" s="35">
        <v>9375.0</v>
      </c>
      <c r="H327" s="35">
        <v>1155.0</v>
      </c>
      <c r="I327" s="33"/>
      <c r="J327" s="30">
        <v>13595.0</v>
      </c>
      <c r="K327" s="114">
        <f t="shared" si="68"/>
        <v>1675</v>
      </c>
      <c r="L327" s="881">
        <f t="shared" si="69"/>
        <v>13595</v>
      </c>
      <c r="M327" s="33">
        <f t="shared" si="70"/>
        <v>1860</v>
      </c>
      <c r="N327" s="40">
        <f t="shared" si="74"/>
        <v>466650.5</v>
      </c>
      <c r="O327" s="35"/>
      <c r="P327" s="33">
        <f t="shared" si="71"/>
        <v>466650.5</v>
      </c>
      <c r="Q327" s="33">
        <f t="shared" si="72"/>
        <v>480245.5</v>
      </c>
      <c r="R327" s="882"/>
      <c r="S327" s="35">
        <f t="shared" si="73"/>
        <v>480245.5</v>
      </c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>
      <c r="A328" s="38" t="s">
        <v>33</v>
      </c>
      <c r="B328" s="41">
        <v>44149.0</v>
      </c>
      <c r="C328" s="22">
        <v>26890.0</v>
      </c>
      <c r="D328" s="24">
        <v>1646.0</v>
      </c>
      <c r="E328" s="25">
        <v>1020.0</v>
      </c>
      <c r="F328" s="35">
        <v>5325.0</v>
      </c>
      <c r="G328" s="35">
        <v>1415.0</v>
      </c>
      <c r="H328" s="35">
        <v>9110.0</v>
      </c>
      <c r="I328" s="33"/>
      <c r="J328" s="30">
        <v>11040.0</v>
      </c>
      <c r="K328" s="114">
        <f t="shared" si="68"/>
        <v>2666</v>
      </c>
      <c r="L328" s="881">
        <f t="shared" si="69"/>
        <v>11040</v>
      </c>
      <c r="M328" s="33">
        <f t="shared" si="70"/>
        <v>2666</v>
      </c>
      <c r="N328" s="40">
        <f t="shared" si="74"/>
        <v>480245.5</v>
      </c>
      <c r="O328" s="35"/>
      <c r="P328" s="33">
        <f t="shared" si="71"/>
        <v>480245.5</v>
      </c>
      <c r="Q328" s="33">
        <f t="shared" si="72"/>
        <v>491285.5</v>
      </c>
      <c r="R328" s="882"/>
      <c r="S328" s="35">
        <f t="shared" si="73"/>
        <v>491285.5</v>
      </c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</row>
    <row r="329">
      <c r="A329" s="38" t="s">
        <v>27</v>
      </c>
      <c r="B329" s="41">
        <v>44150.0</v>
      </c>
      <c r="C329" s="22">
        <v>20630.0</v>
      </c>
      <c r="D329" s="24">
        <v>2617.0</v>
      </c>
      <c r="E329" s="25">
        <v>1020.0</v>
      </c>
      <c r="F329" s="35">
        <v>2240.0</v>
      </c>
      <c r="G329" s="35">
        <v>5150.0</v>
      </c>
      <c r="H329" s="35">
        <v>6335.0</v>
      </c>
      <c r="I329" s="33"/>
      <c r="J329" s="30">
        <v>6905.0</v>
      </c>
      <c r="K329" s="114">
        <f t="shared" si="68"/>
        <v>3637</v>
      </c>
      <c r="L329" s="881">
        <f t="shared" si="69"/>
        <v>6905</v>
      </c>
      <c r="M329" s="33">
        <f t="shared" si="70"/>
        <v>3637</v>
      </c>
      <c r="N329" s="40">
        <f t="shared" si="74"/>
        <v>491285.5</v>
      </c>
      <c r="O329" s="35"/>
      <c r="P329" s="33">
        <f t="shared" si="71"/>
        <v>491285.5</v>
      </c>
      <c r="Q329" s="33">
        <f t="shared" si="72"/>
        <v>498190.5</v>
      </c>
      <c r="R329" s="882"/>
      <c r="S329" s="35">
        <f t="shared" si="73"/>
        <v>498190.5</v>
      </c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>
      <c r="A330" s="38" t="s">
        <v>21</v>
      </c>
      <c r="B330" s="41">
        <v>44151.0</v>
      </c>
      <c r="C330" s="22">
        <v>29270.0</v>
      </c>
      <c r="D330" s="24">
        <v>1348.0</v>
      </c>
      <c r="E330" s="25">
        <v>820.0</v>
      </c>
      <c r="F330" s="35">
        <v>5005.0</v>
      </c>
      <c r="G330" s="35">
        <v>5991.0</v>
      </c>
      <c r="H330" s="35">
        <v>4530.0</v>
      </c>
      <c r="I330" s="33"/>
      <c r="J330" s="30">
        <v>14845.0</v>
      </c>
      <c r="K330" s="114">
        <f t="shared" si="68"/>
        <v>2168</v>
      </c>
      <c r="L330" s="881">
        <f t="shared" si="69"/>
        <v>14845</v>
      </c>
      <c r="M330" s="33">
        <f t="shared" si="70"/>
        <v>3269</v>
      </c>
      <c r="N330" s="40">
        <f t="shared" si="74"/>
        <v>498190.5</v>
      </c>
      <c r="O330" s="35"/>
      <c r="P330" s="33">
        <f t="shared" si="71"/>
        <v>498190.5</v>
      </c>
      <c r="Q330" s="33">
        <f t="shared" si="72"/>
        <v>513035.5</v>
      </c>
      <c r="R330" s="882"/>
      <c r="S330" s="35">
        <f t="shared" si="73"/>
        <v>513035.5</v>
      </c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</row>
    <row r="331">
      <c r="A331" s="38" t="s">
        <v>22</v>
      </c>
      <c r="B331" s="41">
        <v>44152.0</v>
      </c>
      <c r="C331" s="22">
        <v>23890.0</v>
      </c>
      <c r="D331" s="24">
        <v>1753.0</v>
      </c>
      <c r="E331" s="25">
        <v>220.0</v>
      </c>
      <c r="F331" s="35">
        <v>5770.0</v>
      </c>
      <c r="G331" s="35">
        <v>1685.0</v>
      </c>
      <c r="H331" s="35">
        <v>4280.0</v>
      </c>
      <c r="I331" s="33"/>
      <c r="J331" s="30">
        <v>12145.0</v>
      </c>
      <c r="K331" s="114">
        <f t="shared" si="68"/>
        <v>1973</v>
      </c>
      <c r="L331" s="881">
        <f t="shared" si="69"/>
        <v>12145</v>
      </c>
      <c r="M331" s="33">
        <f t="shared" si="70"/>
        <v>1963</v>
      </c>
      <c r="N331" s="40">
        <f t="shared" si="74"/>
        <v>513035.5</v>
      </c>
      <c r="O331" s="35"/>
      <c r="P331" s="33">
        <f t="shared" si="71"/>
        <v>513035.5</v>
      </c>
      <c r="Q331" s="33">
        <f t="shared" si="72"/>
        <v>525180.5</v>
      </c>
      <c r="R331" s="882"/>
      <c r="S331" s="35">
        <f t="shared" si="73"/>
        <v>525180.5</v>
      </c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>
      <c r="A332" s="38" t="s">
        <v>32</v>
      </c>
      <c r="B332" s="41">
        <v>44153.0</v>
      </c>
      <c r="C332" s="22">
        <v>32355.0</v>
      </c>
      <c r="D332" s="24">
        <v>1735.0</v>
      </c>
      <c r="E332" s="25">
        <v>220.0</v>
      </c>
      <c r="F332" s="35">
        <v>3455.0</v>
      </c>
      <c r="G332" s="35">
        <v>4564.0</v>
      </c>
      <c r="H332" s="35">
        <v>8780.0</v>
      </c>
      <c r="I332" s="33"/>
      <c r="J332" s="30">
        <v>15350.0</v>
      </c>
      <c r="K332" s="114">
        <f t="shared" si="68"/>
        <v>1955</v>
      </c>
      <c r="L332" s="881">
        <f t="shared" si="69"/>
        <v>15350</v>
      </c>
      <c r="M332" s="33">
        <f t="shared" si="70"/>
        <v>1749</v>
      </c>
      <c r="N332" s="40">
        <f t="shared" si="74"/>
        <v>525180.5</v>
      </c>
      <c r="O332" s="35"/>
      <c r="P332" s="33">
        <f t="shared" si="71"/>
        <v>525180.5</v>
      </c>
      <c r="Q332" s="33">
        <f t="shared" si="72"/>
        <v>540530.5</v>
      </c>
      <c r="R332" s="882"/>
      <c r="S332" s="35">
        <f t="shared" si="73"/>
        <v>540530.5</v>
      </c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</row>
    <row r="333">
      <c r="A333" s="38" t="s">
        <v>24</v>
      </c>
      <c r="B333" s="41">
        <v>44154.0</v>
      </c>
      <c r="C333" s="22">
        <v>31760.0</v>
      </c>
      <c r="D333" s="24">
        <v>920.0</v>
      </c>
      <c r="E333" s="25">
        <v>140.0</v>
      </c>
      <c r="F333" s="35">
        <v>2925.0</v>
      </c>
      <c r="G333" s="35">
        <v>5510.0</v>
      </c>
      <c r="H333" s="35">
        <v>5290.0</v>
      </c>
      <c r="I333" s="33"/>
      <c r="J333" s="30">
        <v>0.0</v>
      </c>
      <c r="K333" s="114">
        <f t="shared" si="68"/>
        <v>1060</v>
      </c>
      <c r="L333" s="881">
        <f t="shared" si="69"/>
        <v>0</v>
      </c>
      <c r="M333" s="33">
        <f t="shared" si="70"/>
        <v>-16975</v>
      </c>
      <c r="N333" s="40">
        <f t="shared" si="74"/>
        <v>540530.5</v>
      </c>
      <c r="O333" s="35"/>
      <c r="P333" s="33">
        <f t="shared" si="71"/>
        <v>540530.5</v>
      </c>
      <c r="Q333" s="33">
        <f t="shared" si="72"/>
        <v>540530.5</v>
      </c>
      <c r="R333" s="882"/>
      <c r="S333" s="35">
        <f t="shared" si="73"/>
        <v>540530.5</v>
      </c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>
      <c r="A334" s="38" t="s">
        <v>25</v>
      </c>
      <c r="B334" s="41">
        <v>44155.0</v>
      </c>
      <c r="C334" s="22">
        <v>37740.0</v>
      </c>
      <c r="D334" s="24">
        <v>1087.0</v>
      </c>
      <c r="E334" s="25">
        <v>100.0</v>
      </c>
      <c r="F334" s="35">
        <v>3850.0</v>
      </c>
      <c r="G334" s="35">
        <v>7560.0</v>
      </c>
      <c r="H334" s="35">
        <v>9645.0</v>
      </c>
      <c r="I334" s="33"/>
      <c r="J334" s="30">
        <v>16855.0</v>
      </c>
      <c r="K334" s="114">
        <f t="shared" si="68"/>
        <v>1187</v>
      </c>
      <c r="L334" s="881">
        <f t="shared" si="69"/>
        <v>16855</v>
      </c>
      <c r="M334" s="33">
        <f t="shared" si="70"/>
        <v>1357</v>
      </c>
      <c r="N334" s="40">
        <f t="shared" si="74"/>
        <v>540530.5</v>
      </c>
      <c r="O334" s="35"/>
      <c r="P334" s="33">
        <f t="shared" si="71"/>
        <v>540530.5</v>
      </c>
      <c r="Q334" s="33">
        <f t="shared" si="72"/>
        <v>557385.5</v>
      </c>
      <c r="R334" s="882"/>
      <c r="S334" s="35">
        <f t="shared" si="73"/>
        <v>557385.5</v>
      </c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</row>
    <row r="335">
      <c r="A335" s="38" t="s">
        <v>33</v>
      </c>
      <c r="B335" s="41">
        <v>44156.0</v>
      </c>
      <c r="C335" s="22">
        <v>20495.0</v>
      </c>
      <c r="D335" s="24">
        <v>1902.0</v>
      </c>
      <c r="E335" s="25">
        <v>600.0</v>
      </c>
      <c r="F335" s="35">
        <v>4035.0</v>
      </c>
      <c r="G335" s="35">
        <v>1430.0</v>
      </c>
      <c r="H335" s="35">
        <v>8250.0</v>
      </c>
      <c r="I335" s="33"/>
      <c r="J335" s="30">
        <v>6780.0</v>
      </c>
      <c r="K335" s="114">
        <f t="shared" si="68"/>
        <v>2502</v>
      </c>
      <c r="L335" s="881">
        <f t="shared" si="69"/>
        <v>6780</v>
      </c>
      <c r="M335" s="33">
        <f t="shared" si="70"/>
        <v>2502</v>
      </c>
      <c r="N335" s="40">
        <f t="shared" si="74"/>
        <v>557385.5</v>
      </c>
      <c r="O335" s="35"/>
      <c r="P335" s="33">
        <f t="shared" si="71"/>
        <v>557385.5</v>
      </c>
      <c r="Q335" s="33">
        <f t="shared" si="72"/>
        <v>564165.5</v>
      </c>
      <c r="R335" s="882"/>
      <c r="S335" s="35">
        <f t="shared" si="73"/>
        <v>564165.5</v>
      </c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>
      <c r="A336" s="38" t="s">
        <v>27</v>
      </c>
      <c r="B336" s="41">
        <v>44157.0</v>
      </c>
      <c r="C336" s="22">
        <v>16235.0</v>
      </c>
      <c r="D336" s="24">
        <v>1757.0</v>
      </c>
      <c r="E336" s="25">
        <v>600.0</v>
      </c>
      <c r="F336" s="35">
        <v>2530.0</v>
      </c>
      <c r="G336" s="35">
        <v>6275.0</v>
      </c>
      <c r="H336" s="35">
        <v>2375.0</v>
      </c>
      <c r="I336" s="33"/>
      <c r="J336" s="30">
        <v>4603.0</v>
      </c>
      <c r="K336" s="114">
        <f t="shared" si="68"/>
        <v>2357</v>
      </c>
      <c r="L336" s="881">
        <f t="shared" si="69"/>
        <v>4603</v>
      </c>
      <c r="M336" s="33">
        <f t="shared" si="70"/>
        <v>1905</v>
      </c>
      <c r="N336" s="40">
        <f t="shared" si="74"/>
        <v>564165.5</v>
      </c>
      <c r="O336" s="35"/>
      <c r="P336" s="33">
        <f t="shared" si="71"/>
        <v>564165.5</v>
      </c>
      <c r="Q336" s="33">
        <f t="shared" si="72"/>
        <v>568768.5</v>
      </c>
      <c r="R336" s="882"/>
      <c r="S336" s="35">
        <f t="shared" si="73"/>
        <v>568768.5</v>
      </c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</row>
    <row r="337">
      <c r="A337" s="38" t="s">
        <v>21</v>
      </c>
      <c r="B337" s="41">
        <v>44158.0</v>
      </c>
      <c r="C337" s="22">
        <v>37575.0</v>
      </c>
      <c r="D337" s="24">
        <v>813.0</v>
      </c>
      <c r="E337" s="25">
        <v>200.0</v>
      </c>
      <c r="F337" s="35">
        <v>7225.0</v>
      </c>
      <c r="G337" s="931">
        <v>1887422.0</v>
      </c>
      <c r="H337" s="35">
        <v>13365.0</v>
      </c>
      <c r="I337" s="33"/>
      <c r="J337" s="30">
        <v>9470.0</v>
      </c>
      <c r="K337" s="114">
        <f t="shared" si="68"/>
        <v>1013</v>
      </c>
      <c r="L337" s="881">
        <f t="shared" si="69"/>
        <v>9470</v>
      </c>
      <c r="M337" s="33">
        <f t="shared" si="70"/>
        <v>1880920</v>
      </c>
      <c r="N337" s="40">
        <f t="shared" si="74"/>
        <v>568768.5</v>
      </c>
      <c r="O337" s="35"/>
      <c r="P337" s="33">
        <f t="shared" si="71"/>
        <v>568768.5</v>
      </c>
      <c r="Q337" s="33">
        <f t="shared" si="72"/>
        <v>578238.5</v>
      </c>
      <c r="R337" s="882"/>
      <c r="S337" s="35">
        <f t="shared" si="73"/>
        <v>578238.5</v>
      </c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</row>
    <row r="338">
      <c r="A338" s="38" t="s">
        <v>22</v>
      </c>
      <c r="B338" s="41">
        <v>44159.0</v>
      </c>
      <c r="C338" s="22">
        <v>28440.0</v>
      </c>
      <c r="D338" s="24">
        <v>765.0</v>
      </c>
      <c r="E338" s="25">
        <v>100.0</v>
      </c>
      <c r="F338" s="35">
        <v>4310.0</v>
      </c>
      <c r="G338" s="35">
        <v>4370.0</v>
      </c>
      <c r="H338" s="35">
        <v>5860.0</v>
      </c>
      <c r="I338" s="33"/>
      <c r="J338" s="30">
        <v>13900.0</v>
      </c>
      <c r="K338" s="114">
        <f t="shared" si="68"/>
        <v>865</v>
      </c>
      <c r="L338" s="881">
        <f t="shared" si="69"/>
        <v>13900</v>
      </c>
      <c r="M338" s="33">
        <f t="shared" si="70"/>
        <v>865</v>
      </c>
      <c r="N338" s="40">
        <f t="shared" si="74"/>
        <v>578238.5</v>
      </c>
      <c r="O338" s="35"/>
      <c r="P338" s="33">
        <f t="shared" si="71"/>
        <v>578238.5</v>
      </c>
      <c r="Q338" s="33">
        <f t="shared" si="72"/>
        <v>592138.5</v>
      </c>
      <c r="R338" s="882"/>
      <c r="S338" s="35">
        <f t="shared" si="73"/>
        <v>592138.5</v>
      </c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</row>
    <row r="339">
      <c r="A339" s="38" t="s">
        <v>32</v>
      </c>
      <c r="B339" s="41">
        <v>44160.0</v>
      </c>
      <c r="C339" s="22">
        <v>32855.0</v>
      </c>
      <c r="D339" s="24">
        <v>584.0</v>
      </c>
      <c r="E339" s="25">
        <v>0.0</v>
      </c>
      <c r="F339" s="35">
        <v>3890.0</v>
      </c>
      <c r="G339" s="35"/>
      <c r="H339" s="35">
        <v>9960.0</v>
      </c>
      <c r="I339" s="33"/>
      <c r="J339" s="30">
        <v>15970.0</v>
      </c>
      <c r="K339" s="114">
        <f t="shared" si="68"/>
        <v>584</v>
      </c>
      <c r="L339" s="881">
        <f t="shared" si="69"/>
        <v>15970</v>
      </c>
      <c r="M339" s="33">
        <f t="shared" si="70"/>
        <v>-2451</v>
      </c>
      <c r="N339" s="40">
        <f t="shared" si="74"/>
        <v>592138.5</v>
      </c>
      <c r="O339" s="35"/>
      <c r="P339" s="33">
        <f t="shared" si="71"/>
        <v>592138.5</v>
      </c>
      <c r="Q339" s="33">
        <f t="shared" si="72"/>
        <v>608108.5</v>
      </c>
      <c r="R339" s="882"/>
      <c r="S339" s="35">
        <f t="shared" si="73"/>
        <v>608108.5</v>
      </c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>
      <c r="A340" s="38" t="s">
        <v>24</v>
      </c>
      <c r="B340" s="41">
        <v>44161.0</v>
      </c>
      <c r="C340" s="22">
        <v>32135.0</v>
      </c>
      <c r="D340" s="24">
        <v>1151.0</v>
      </c>
      <c r="E340" s="25">
        <v>0.0</v>
      </c>
      <c r="F340" s="35">
        <v>5295.0</v>
      </c>
      <c r="G340" s="35">
        <v>3310.0</v>
      </c>
      <c r="H340" s="35">
        <v>9000.0</v>
      </c>
      <c r="I340" s="33"/>
      <c r="J340" s="30">
        <v>13969.0</v>
      </c>
      <c r="K340" s="114">
        <f t="shared" si="68"/>
        <v>1151</v>
      </c>
      <c r="L340" s="881">
        <f t="shared" si="69"/>
        <v>13969</v>
      </c>
      <c r="M340" s="33">
        <f t="shared" si="70"/>
        <v>590</v>
      </c>
      <c r="N340" s="40">
        <f t="shared" si="74"/>
        <v>608108.5</v>
      </c>
      <c r="O340" s="35"/>
      <c r="P340" s="33">
        <f t="shared" si="71"/>
        <v>608108.5</v>
      </c>
      <c r="Q340" s="33">
        <f t="shared" si="72"/>
        <v>622077.5</v>
      </c>
      <c r="R340" s="882"/>
      <c r="S340" s="35">
        <f t="shared" si="73"/>
        <v>622077.5</v>
      </c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</row>
    <row r="341">
      <c r="A341" s="38" t="s">
        <v>25</v>
      </c>
      <c r="B341" s="41">
        <v>44162.0</v>
      </c>
      <c r="C341" s="22">
        <v>32535.0</v>
      </c>
      <c r="D341" s="24">
        <v>513.0</v>
      </c>
      <c r="E341" s="25">
        <v>0.0</v>
      </c>
      <c r="F341" s="35">
        <v>5055.0</v>
      </c>
      <c r="G341" s="35">
        <v>7039.0</v>
      </c>
      <c r="H341" s="35">
        <v>5065.0</v>
      </c>
      <c r="I341" s="33"/>
      <c r="J341" s="30">
        <v>16425.0</v>
      </c>
      <c r="K341" s="114">
        <f t="shared" si="68"/>
        <v>513</v>
      </c>
      <c r="L341" s="881">
        <f t="shared" si="69"/>
        <v>16425</v>
      </c>
      <c r="M341" s="33">
        <f t="shared" si="70"/>
        <v>1562</v>
      </c>
      <c r="N341" s="40">
        <f t="shared" si="74"/>
        <v>622077.5</v>
      </c>
      <c r="O341" s="35"/>
      <c r="P341" s="33">
        <f t="shared" si="71"/>
        <v>622077.5</v>
      </c>
      <c r="Q341" s="33">
        <f t="shared" si="72"/>
        <v>638502.5</v>
      </c>
      <c r="R341" s="882"/>
      <c r="S341" s="35">
        <f t="shared" si="73"/>
        <v>638502.5</v>
      </c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>
      <c r="A342" s="38" t="s">
        <v>33</v>
      </c>
      <c r="B342" s="41">
        <v>44163.0</v>
      </c>
      <c r="C342" s="22">
        <v>31650.0</v>
      </c>
      <c r="D342" s="24">
        <v>1000.0</v>
      </c>
      <c r="E342" s="25">
        <v>400.0</v>
      </c>
      <c r="F342" s="35">
        <v>3395.0</v>
      </c>
      <c r="G342" s="35">
        <v>4675.0</v>
      </c>
      <c r="H342" s="35">
        <v>4980.0</v>
      </c>
      <c r="I342" s="33"/>
      <c r="J342" s="30">
        <v>18560.0</v>
      </c>
      <c r="K342" s="114">
        <f t="shared" si="68"/>
        <v>1400</v>
      </c>
      <c r="L342" s="881">
        <f t="shared" si="69"/>
        <v>18560</v>
      </c>
      <c r="M342" s="33">
        <f t="shared" si="70"/>
        <v>1360</v>
      </c>
      <c r="N342" s="40">
        <f t="shared" si="74"/>
        <v>638502.5</v>
      </c>
      <c r="O342" s="35"/>
      <c r="P342" s="33">
        <f t="shared" si="71"/>
        <v>638502.5</v>
      </c>
      <c r="Q342" s="33">
        <f t="shared" si="72"/>
        <v>657062.5</v>
      </c>
      <c r="R342" s="882"/>
      <c r="S342" s="35">
        <f t="shared" si="73"/>
        <v>657062.5</v>
      </c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</row>
    <row r="343">
      <c r="A343" s="38" t="s">
        <v>27</v>
      </c>
      <c r="B343" s="41">
        <v>44164.0</v>
      </c>
      <c r="C343" s="22">
        <v>28089.0</v>
      </c>
      <c r="D343" s="24">
        <v>2559.0</v>
      </c>
      <c r="E343" s="25">
        <v>400.0</v>
      </c>
      <c r="F343" s="35">
        <v>4725.0</v>
      </c>
      <c r="G343" s="35">
        <v>4681.0</v>
      </c>
      <c r="H343" s="35">
        <v>4920.0</v>
      </c>
      <c r="I343" s="33"/>
      <c r="J343" s="30">
        <v>13763.0</v>
      </c>
      <c r="K343" s="114">
        <f t="shared" si="68"/>
        <v>2959</v>
      </c>
      <c r="L343" s="881">
        <f t="shared" si="69"/>
        <v>13763</v>
      </c>
      <c r="M343" s="33">
        <f t="shared" si="70"/>
        <v>2959</v>
      </c>
      <c r="N343" s="40">
        <f t="shared" si="74"/>
        <v>657062.5</v>
      </c>
      <c r="O343" s="35"/>
      <c r="P343" s="33">
        <f t="shared" si="71"/>
        <v>657062.5</v>
      </c>
      <c r="Q343" s="33">
        <f t="shared" si="72"/>
        <v>670825.5</v>
      </c>
      <c r="R343" s="882"/>
      <c r="S343" s="35">
        <f t="shared" si="73"/>
        <v>670825.5</v>
      </c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>
      <c r="A344" s="38" t="s">
        <v>21</v>
      </c>
      <c r="B344" s="41">
        <v>44165.0</v>
      </c>
      <c r="C344" s="22">
        <v>28705.0</v>
      </c>
      <c r="D344" s="24">
        <v>742.0</v>
      </c>
      <c r="E344" s="25">
        <v>200.0</v>
      </c>
      <c r="F344" s="35">
        <v>2170.0</v>
      </c>
      <c r="G344" s="35">
        <v>3285.0</v>
      </c>
      <c r="H344" s="35">
        <v>5025.0</v>
      </c>
      <c r="I344" s="33"/>
      <c r="J344" s="30">
        <v>18225.0</v>
      </c>
      <c r="K344" s="114">
        <f t="shared" si="68"/>
        <v>942</v>
      </c>
      <c r="L344" s="881">
        <f t="shared" si="69"/>
        <v>18225</v>
      </c>
      <c r="M344" s="33">
        <f t="shared" si="70"/>
        <v>942</v>
      </c>
      <c r="N344" s="40">
        <f t="shared" si="74"/>
        <v>670825.5</v>
      </c>
      <c r="O344" s="35"/>
      <c r="P344" s="33">
        <f t="shared" si="71"/>
        <v>670825.5</v>
      </c>
      <c r="Q344" s="33">
        <f t="shared" si="72"/>
        <v>689050.5</v>
      </c>
      <c r="R344" s="882"/>
      <c r="S344" s="35">
        <f t="shared" si="73"/>
        <v>689050.5</v>
      </c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</row>
    <row r="345">
      <c r="A345" s="215" t="s">
        <v>28</v>
      </c>
      <c r="B345" s="932" t="s">
        <v>50</v>
      </c>
      <c r="C345" s="70">
        <f>SUM(C315:C344)</f>
        <v>839194</v>
      </c>
      <c r="D345" s="71"/>
      <c r="E345" s="71"/>
      <c r="F345" s="70">
        <f t="shared" ref="F345:H345" si="75">SUM(F314:F344)</f>
        <v>276402</v>
      </c>
      <c r="G345" s="70">
        <f t="shared" si="75"/>
        <v>2113816</v>
      </c>
      <c r="H345" s="70">
        <f t="shared" si="75"/>
        <v>428950</v>
      </c>
      <c r="I345" s="71"/>
      <c r="J345" s="70">
        <f>SUM(J314:J344)</f>
        <v>760328</v>
      </c>
      <c r="K345" s="933"/>
      <c r="L345" s="934"/>
      <c r="M345" s="70">
        <f>SUM(M314:M344)</f>
        <v>2006020</v>
      </c>
      <c r="N345" s="77"/>
      <c r="O345" s="77"/>
      <c r="P345" s="77"/>
      <c r="Q345" s="77"/>
      <c r="R345" s="70">
        <f t="shared" ref="R345:S345" si="76">SUM(R314:R344)</f>
        <v>33000</v>
      </c>
      <c r="S345" s="70">
        <f t="shared" si="76"/>
        <v>19318514.5</v>
      </c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>
      <c r="A346" s="38" t="s">
        <v>22</v>
      </c>
      <c r="B346" s="41">
        <v>44166.0</v>
      </c>
      <c r="C346" s="22">
        <v>29097.0</v>
      </c>
      <c r="D346" s="24">
        <v>1251.0</v>
      </c>
      <c r="E346" s="25">
        <v>0.0</v>
      </c>
      <c r="F346" s="35">
        <v>5975.0</v>
      </c>
      <c r="G346" s="35">
        <v>3855.0</v>
      </c>
      <c r="H346" s="35">
        <v>5760.0</v>
      </c>
      <c r="I346" s="33"/>
      <c r="J346" s="30">
        <v>13467.0</v>
      </c>
      <c r="K346" s="114">
        <f t="shared" ref="K346:K376" si="77">D346+E346</f>
        <v>1251</v>
      </c>
      <c r="L346" s="881">
        <f t="shared" ref="L346:L376" si="78">(D346+E346+J346)-K346</f>
        <v>13467</v>
      </c>
      <c r="M346" s="33">
        <f t="shared" ref="M346:M376" si="79">SUM(D346:J346)-(C346)</f>
        <v>1211</v>
      </c>
      <c r="N346" s="40">
        <f>S344</f>
        <v>689050.5</v>
      </c>
      <c r="O346" s="35"/>
      <c r="P346" s="33">
        <f t="shared" ref="P346:P376" si="80">N346-O346</f>
        <v>689050.5</v>
      </c>
      <c r="Q346" s="33">
        <f t="shared" ref="Q346:Q376" si="81">(N346+J346)-O346</f>
        <v>702517.5</v>
      </c>
      <c r="R346" s="882"/>
      <c r="S346" s="35">
        <f t="shared" ref="S346:S376" si="82">Q346+R346</f>
        <v>702517.5</v>
      </c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>
      <c r="A347" s="38" t="s">
        <v>32</v>
      </c>
      <c r="B347" s="41">
        <v>44167.0</v>
      </c>
      <c r="C347" s="22">
        <v>28683.0</v>
      </c>
      <c r="D347" s="24">
        <v>912.0</v>
      </c>
      <c r="E347" s="25">
        <v>0.0</v>
      </c>
      <c r="F347" s="35">
        <v>3450.0</v>
      </c>
      <c r="G347" s="35">
        <v>2675.0</v>
      </c>
      <c r="H347" s="35">
        <v>9915.0</v>
      </c>
      <c r="I347" s="33"/>
      <c r="J347" s="30"/>
      <c r="K347" s="114">
        <f t="shared" si="77"/>
        <v>912</v>
      </c>
      <c r="L347" s="881">
        <f t="shared" si="78"/>
        <v>0</v>
      </c>
      <c r="M347" s="33">
        <f t="shared" si="79"/>
        <v>-11731</v>
      </c>
      <c r="N347" s="40">
        <f t="shared" ref="N347:N376" si="83">S346</f>
        <v>702517.5</v>
      </c>
      <c r="O347" s="35"/>
      <c r="P347" s="33">
        <f t="shared" si="80"/>
        <v>702517.5</v>
      </c>
      <c r="Q347" s="33">
        <f t="shared" si="81"/>
        <v>702517.5</v>
      </c>
      <c r="R347" s="882"/>
      <c r="S347" s="35">
        <f t="shared" si="82"/>
        <v>702517.5</v>
      </c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>
      <c r="A348" s="38" t="s">
        <v>24</v>
      </c>
      <c r="B348" s="41">
        <v>44168.0</v>
      </c>
      <c r="C348" s="22">
        <v>39243.0</v>
      </c>
      <c r="D348" s="24">
        <v>1426.0</v>
      </c>
      <c r="E348" s="25">
        <v>0.0</v>
      </c>
      <c r="F348" s="35">
        <v>6615.0</v>
      </c>
      <c r="G348" s="35">
        <v>4270.0</v>
      </c>
      <c r="H348" s="35">
        <v>10125.0</v>
      </c>
      <c r="I348" s="33"/>
      <c r="J348" s="30">
        <v>18412.0</v>
      </c>
      <c r="K348" s="114">
        <f t="shared" si="77"/>
        <v>1426</v>
      </c>
      <c r="L348" s="881">
        <f t="shared" si="78"/>
        <v>18412</v>
      </c>
      <c r="M348" s="33">
        <f t="shared" si="79"/>
        <v>1605</v>
      </c>
      <c r="N348" s="40">
        <f t="shared" si="83"/>
        <v>702517.5</v>
      </c>
      <c r="O348" s="35"/>
      <c r="P348" s="33">
        <f t="shared" si="80"/>
        <v>702517.5</v>
      </c>
      <c r="Q348" s="33">
        <f t="shared" si="81"/>
        <v>720929.5</v>
      </c>
      <c r="R348" s="882"/>
      <c r="S348" s="35">
        <f t="shared" si="82"/>
        <v>720929.5</v>
      </c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>
      <c r="A349" s="38" t="s">
        <v>25</v>
      </c>
      <c r="B349" s="41">
        <v>44169.0</v>
      </c>
      <c r="C349" s="22">
        <v>41885.0</v>
      </c>
      <c r="D349" s="24">
        <v>870.0</v>
      </c>
      <c r="E349" s="25">
        <v>0.0</v>
      </c>
      <c r="F349" s="35">
        <v>9059.0</v>
      </c>
      <c r="G349" s="35">
        <v>4146.0</v>
      </c>
      <c r="H349" s="35">
        <v>8131.0</v>
      </c>
      <c r="I349" s="33"/>
      <c r="J349" s="30">
        <v>0.0</v>
      </c>
      <c r="K349" s="114">
        <f t="shared" si="77"/>
        <v>870</v>
      </c>
      <c r="L349" s="881">
        <f t="shared" si="78"/>
        <v>0</v>
      </c>
      <c r="M349" s="33">
        <f t="shared" si="79"/>
        <v>-19679</v>
      </c>
      <c r="N349" s="40">
        <f t="shared" si="83"/>
        <v>720929.5</v>
      </c>
      <c r="O349" s="35"/>
      <c r="P349" s="33">
        <f t="shared" si="80"/>
        <v>720929.5</v>
      </c>
      <c r="Q349" s="33">
        <f t="shared" si="81"/>
        <v>720929.5</v>
      </c>
      <c r="R349" s="882"/>
      <c r="S349" s="35">
        <f t="shared" si="82"/>
        <v>720929.5</v>
      </c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>
      <c r="A350" s="38" t="s">
        <v>33</v>
      </c>
      <c r="B350" s="41">
        <v>44170.0</v>
      </c>
      <c r="C350" s="22">
        <v>47340.0</v>
      </c>
      <c r="D350" s="24">
        <v>0.0</v>
      </c>
      <c r="E350" s="25">
        <v>1050.0</v>
      </c>
      <c r="F350" s="35">
        <v>9740.0</v>
      </c>
      <c r="G350" s="35">
        <v>4915.0</v>
      </c>
      <c r="H350" s="35">
        <v>8940.0</v>
      </c>
      <c r="I350" s="33"/>
      <c r="J350" s="30">
        <v>23745.0</v>
      </c>
      <c r="K350" s="114">
        <f t="shared" si="77"/>
        <v>1050</v>
      </c>
      <c r="L350" s="881">
        <f t="shared" si="78"/>
        <v>23745</v>
      </c>
      <c r="M350" s="33">
        <f t="shared" si="79"/>
        <v>1050</v>
      </c>
      <c r="N350" s="40">
        <f t="shared" si="83"/>
        <v>720929.5</v>
      </c>
      <c r="O350" s="35"/>
      <c r="P350" s="33">
        <f t="shared" si="80"/>
        <v>720929.5</v>
      </c>
      <c r="Q350" s="33">
        <f t="shared" si="81"/>
        <v>744674.5</v>
      </c>
      <c r="R350" s="882"/>
      <c r="S350" s="35">
        <f t="shared" si="82"/>
        <v>744674.5</v>
      </c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>
      <c r="A351" s="38" t="s">
        <v>27</v>
      </c>
      <c r="B351" s="41">
        <v>44171.0</v>
      </c>
      <c r="C351" s="22">
        <v>20085.0</v>
      </c>
      <c r="D351" s="24">
        <v>1134.0</v>
      </c>
      <c r="E351" s="25">
        <v>1000.0</v>
      </c>
      <c r="F351" s="35">
        <v>1920.0</v>
      </c>
      <c r="G351" s="35">
        <v>2245.0</v>
      </c>
      <c r="H351" s="35">
        <v>2095.0</v>
      </c>
      <c r="I351" s="33"/>
      <c r="J351" s="30">
        <v>14290.0</v>
      </c>
      <c r="K351" s="114">
        <f t="shared" si="77"/>
        <v>2134</v>
      </c>
      <c r="L351" s="881">
        <f t="shared" si="78"/>
        <v>14290</v>
      </c>
      <c r="M351" s="33">
        <f t="shared" si="79"/>
        <v>2599</v>
      </c>
      <c r="N351" s="40">
        <f t="shared" si="83"/>
        <v>744674.5</v>
      </c>
      <c r="O351" s="35"/>
      <c r="P351" s="33">
        <f t="shared" si="80"/>
        <v>744674.5</v>
      </c>
      <c r="Q351" s="33">
        <f t="shared" si="81"/>
        <v>758964.5</v>
      </c>
      <c r="R351" s="882"/>
      <c r="S351" s="35">
        <f t="shared" si="82"/>
        <v>758964.5</v>
      </c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>
      <c r="A352" s="38" t="s">
        <v>21</v>
      </c>
      <c r="B352" s="41">
        <v>44172.0</v>
      </c>
      <c r="C352" s="22">
        <v>23060.0</v>
      </c>
      <c r="D352" s="24">
        <v>1020.0</v>
      </c>
      <c r="E352" s="25">
        <v>1300.0</v>
      </c>
      <c r="F352" s="35">
        <v>5055.0</v>
      </c>
      <c r="G352" s="35">
        <v>1790.0</v>
      </c>
      <c r="H352" s="35">
        <v>5830.0</v>
      </c>
      <c r="I352" s="33"/>
      <c r="J352" s="30">
        <v>10565.0</v>
      </c>
      <c r="K352" s="114">
        <f t="shared" si="77"/>
        <v>2320</v>
      </c>
      <c r="L352" s="881">
        <f t="shared" si="78"/>
        <v>10565</v>
      </c>
      <c r="M352" s="33">
        <f t="shared" si="79"/>
        <v>2500</v>
      </c>
      <c r="N352" s="40">
        <f t="shared" si="83"/>
        <v>758964.5</v>
      </c>
      <c r="O352" s="35"/>
      <c r="P352" s="33">
        <f t="shared" si="80"/>
        <v>758964.5</v>
      </c>
      <c r="Q352" s="33">
        <f t="shared" si="81"/>
        <v>769529.5</v>
      </c>
      <c r="R352" s="882"/>
      <c r="S352" s="35">
        <f t="shared" si="82"/>
        <v>769529.5</v>
      </c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>
      <c r="A353" s="38" t="s">
        <v>22</v>
      </c>
      <c r="B353" s="41">
        <v>44173.0</v>
      </c>
      <c r="C353" s="22">
        <v>42998.0</v>
      </c>
      <c r="D353" s="24">
        <v>1662.0</v>
      </c>
      <c r="E353" s="25">
        <v>900.0</v>
      </c>
      <c r="F353" s="35">
        <v>5925.0</v>
      </c>
      <c r="G353" s="35">
        <v>8915.0</v>
      </c>
      <c r="H353" s="35">
        <v>13605.0</v>
      </c>
      <c r="I353" s="33"/>
      <c r="J353" s="30">
        <v>15748.0</v>
      </c>
      <c r="K353" s="114">
        <f t="shared" si="77"/>
        <v>2562</v>
      </c>
      <c r="L353" s="881">
        <f t="shared" si="78"/>
        <v>15748</v>
      </c>
      <c r="M353" s="33">
        <f t="shared" si="79"/>
        <v>3757</v>
      </c>
      <c r="N353" s="40">
        <f t="shared" si="83"/>
        <v>769529.5</v>
      </c>
      <c r="O353" s="35"/>
      <c r="P353" s="33">
        <f t="shared" si="80"/>
        <v>769529.5</v>
      </c>
      <c r="Q353" s="33">
        <f t="shared" si="81"/>
        <v>785277.5</v>
      </c>
      <c r="R353" s="882"/>
      <c r="S353" s="35">
        <f t="shared" si="82"/>
        <v>785277.5</v>
      </c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>
      <c r="A354" s="38" t="s">
        <v>32</v>
      </c>
      <c r="B354" s="41">
        <v>44174.0</v>
      </c>
      <c r="C354" s="22">
        <v>33395.0</v>
      </c>
      <c r="D354" s="24">
        <v>628.0</v>
      </c>
      <c r="E354" s="25">
        <v>1100.0</v>
      </c>
      <c r="F354" s="35">
        <v>885.0</v>
      </c>
      <c r="G354" s="35">
        <v>1574.0</v>
      </c>
      <c r="H354" s="35">
        <v>10645.0</v>
      </c>
      <c r="I354" s="33"/>
      <c r="J354" s="30">
        <v>20700.0</v>
      </c>
      <c r="K354" s="114">
        <f t="shared" si="77"/>
        <v>1728</v>
      </c>
      <c r="L354" s="881">
        <f t="shared" si="78"/>
        <v>20700</v>
      </c>
      <c r="M354" s="33">
        <f t="shared" si="79"/>
        <v>2137</v>
      </c>
      <c r="N354" s="40">
        <f t="shared" si="83"/>
        <v>785277.5</v>
      </c>
      <c r="O354" s="35"/>
      <c r="P354" s="33">
        <f t="shared" si="80"/>
        <v>785277.5</v>
      </c>
      <c r="Q354" s="33">
        <f t="shared" si="81"/>
        <v>805977.5</v>
      </c>
      <c r="R354" s="882"/>
      <c r="S354" s="35">
        <f t="shared" si="82"/>
        <v>805977.5</v>
      </c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>
      <c r="A355" s="38" t="s">
        <v>24</v>
      </c>
      <c r="B355" s="41">
        <v>44175.0</v>
      </c>
      <c r="C355" s="22">
        <v>31760.0</v>
      </c>
      <c r="D355" s="24">
        <v>2656.0</v>
      </c>
      <c r="E355" s="25">
        <v>600.0</v>
      </c>
      <c r="F355" s="35">
        <v>4740.0</v>
      </c>
      <c r="G355" s="35">
        <v>2205.0</v>
      </c>
      <c r="H355" s="35">
        <v>7665.0</v>
      </c>
      <c r="I355" s="33"/>
      <c r="J355" s="30">
        <v>17300.0</v>
      </c>
      <c r="K355" s="114">
        <f t="shared" si="77"/>
        <v>3256</v>
      </c>
      <c r="L355" s="881">
        <f t="shared" si="78"/>
        <v>17300</v>
      </c>
      <c r="M355" s="33">
        <f t="shared" si="79"/>
        <v>3406</v>
      </c>
      <c r="N355" s="40">
        <f t="shared" si="83"/>
        <v>805977.5</v>
      </c>
      <c r="O355" s="35"/>
      <c r="P355" s="33">
        <f t="shared" si="80"/>
        <v>805977.5</v>
      </c>
      <c r="Q355" s="33">
        <f t="shared" si="81"/>
        <v>823277.5</v>
      </c>
      <c r="R355" s="882"/>
      <c r="S355" s="35">
        <f t="shared" si="82"/>
        <v>823277.5</v>
      </c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>
      <c r="A356" s="38" t="s">
        <v>25</v>
      </c>
      <c r="B356" s="41">
        <v>44176.0</v>
      </c>
      <c r="C356" s="22">
        <v>36230.0</v>
      </c>
      <c r="D356" s="24">
        <v>1632.0</v>
      </c>
      <c r="E356" s="25">
        <v>600.0</v>
      </c>
      <c r="F356" s="35">
        <v>4885.0</v>
      </c>
      <c r="G356" s="35">
        <v>4289.0</v>
      </c>
      <c r="H356" s="35">
        <v>10160.0</v>
      </c>
      <c r="I356" s="33"/>
      <c r="J356" s="30">
        <v>16704.0</v>
      </c>
      <c r="K356" s="114">
        <f t="shared" si="77"/>
        <v>2232</v>
      </c>
      <c r="L356" s="881">
        <f t="shared" si="78"/>
        <v>16704</v>
      </c>
      <c r="M356" s="33">
        <f t="shared" si="79"/>
        <v>2040</v>
      </c>
      <c r="N356" s="40">
        <f t="shared" si="83"/>
        <v>823277.5</v>
      </c>
      <c r="O356" s="35"/>
      <c r="P356" s="33">
        <f t="shared" si="80"/>
        <v>823277.5</v>
      </c>
      <c r="Q356" s="33">
        <f t="shared" si="81"/>
        <v>839981.5</v>
      </c>
      <c r="R356" s="882"/>
      <c r="S356" s="35">
        <f t="shared" si="82"/>
        <v>839981.5</v>
      </c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>
      <c r="A357" s="38" t="s">
        <v>33</v>
      </c>
      <c r="B357" s="41">
        <v>44177.0</v>
      </c>
      <c r="C357" s="22">
        <v>38655.0</v>
      </c>
      <c r="D357" s="24">
        <v>1250.0</v>
      </c>
      <c r="E357" s="25">
        <v>2600.0</v>
      </c>
      <c r="F357" s="35">
        <v>6475.0</v>
      </c>
      <c r="G357" s="35">
        <v>2545.0</v>
      </c>
      <c r="H357" s="35">
        <v>11350.0</v>
      </c>
      <c r="I357" s="33"/>
      <c r="J357" s="30">
        <v>18535.0</v>
      </c>
      <c r="K357" s="114">
        <f t="shared" si="77"/>
        <v>3850</v>
      </c>
      <c r="L357" s="881">
        <f t="shared" si="78"/>
        <v>18535</v>
      </c>
      <c r="M357" s="33">
        <f t="shared" si="79"/>
        <v>4100</v>
      </c>
      <c r="N357" s="40">
        <f t="shared" si="83"/>
        <v>839981.5</v>
      </c>
      <c r="O357" s="35"/>
      <c r="P357" s="33">
        <f t="shared" si="80"/>
        <v>839981.5</v>
      </c>
      <c r="Q357" s="33">
        <f t="shared" si="81"/>
        <v>858516.5</v>
      </c>
      <c r="R357" s="882"/>
      <c r="S357" s="35">
        <f t="shared" si="82"/>
        <v>858516.5</v>
      </c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>
      <c r="A358" s="38" t="s">
        <v>27</v>
      </c>
      <c r="B358" s="41">
        <v>44178.0</v>
      </c>
      <c r="C358" s="22">
        <v>21395.0</v>
      </c>
      <c r="D358" s="24">
        <v>2235.0</v>
      </c>
      <c r="E358" s="25">
        <v>2600.0</v>
      </c>
      <c r="F358" s="35">
        <v>3765.0</v>
      </c>
      <c r="G358" s="35">
        <v>3935.0</v>
      </c>
      <c r="H358" s="35">
        <v>3310.0</v>
      </c>
      <c r="I358" s="33"/>
      <c r="J358" s="30">
        <v>10385.0</v>
      </c>
      <c r="K358" s="114">
        <f t="shared" si="77"/>
        <v>4835</v>
      </c>
      <c r="L358" s="881">
        <f t="shared" si="78"/>
        <v>10385</v>
      </c>
      <c r="M358" s="33">
        <f t="shared" si="79"/>
        <v>4835</v>
      </c>
      <c r="N358" s="40">
        <f t="shared" si="83"/>
        <v>858516.5</v>
      </c>
      <c r="O358" s="35"/>
      <c r="P358" s="33">
        <f t="shared" si="80"/>
        <v>858516.5</v>
      </c>
      <c r="Q358" s="33">
        <f t="shared" si="81"/>
        <v>868901.5</v>
      </c>
      <c r="R358" s="882"/>
      <c r="S358" s="35">
        <f t="shared" si="82"/>
        <v>868901.5</v>
      </c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>
      <c r="A359" s="38" t="s">
        <v>21</v>
      </c>
      <c r="B359" s="41">
        <v>44179.0</v>
      </c>
      <c r="C359" s="22">
        <v>40148.0</v>
      </c>
      <c r="D359" s="24">
        <v>1563.0</v>
      </c>
      <c r="E359" s="25">
        <v>2200.0</v>
      </c>
      <c r="F359" s="35">
        <v>3725.0</v>
      </c>
      <c r="G359" s="35">
        <v>5015.0</v>
      </c>
      <c r="H359" s="35">
        <v>13155.0</v>
      </c>
      <c r="I359" s="33"/>
      <c r="J359" s="30">
        <v>18883.0</v>
      </c>
      <c r="K359" s="114">
        <f t="shared" si="77"/>
        <v>3763</v>
      </c>
      <c r="L359" s="881">
        <f t="shared" si="78"/>
        <v>18883</v>
      </c>
      <c r="M359" s="33">
        <f t="shared" si="79"/>
        <v>4393</v>
      </c>
      <c r="N359" s="40">
        <f t="shared" si="83"/>
        <v>868901.5</v>
      </c>
      <c r="O359" s="35"/>
      <c r="P359" s="33">
        <f t="shared" si="80"/>
        <v>868901.5</v>
      </c>
      <c r="Q359" s="33">
        <f t="shared" si="81"/>
        <v>887784.5</v>
      </c>
      <c r="R359" s="882"/>
      <c r="S359" s="35">
        <f t="shared" si="82"/>
        <v>887784.5</v>
      </c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>
      <c r="A360" s="38" t="s">
        <v>22</v>
      </c>
      <c r="B360" s="41">
        <v>44180.0</v>
      </c>
      <c r="C360" s="22">
        <v>36893.0</v>
      </c>
      <c r="D360" s="24">
        <v>1462.0</v>
      </c>
      <c r="E360" s="25">
        <v>2200.0</v>
      </c>
      <c r="F360" s="35">
        <v>7530.0</v>
      </c>
      <c r="G360" s="35">
        <v>1365.0</v>
      </c>
      <c r="H360" s="35">
        <v>7848.0</v>
      </c>
      <c r="I360" s="33"/>
      <c r="J360" s="30">
        <v>20185.0</v>
      </c>
      <c r="K360" s="114">
        <f t="shared" si="77"/>
        <v>3662</v>
      </c>
      <c r="L360" s="881">
        <f t="shared" si="78"/>
        <v>20185</v>
      </c>
      <c r="M360" s="33">
        <f t="shared" si="79"/>
        <v>3697</v>
      </c>
      <c r="N360" s="40">
        <f t="shared" si="83"/>
        <v>887784.5</v>
      </c>
      <c r="O360" s="35"/>
      <c r="P360" s="33">
        <f t="shared" si="80"/>
        <v>887784.5</v>
      </c>
      <c r="Q360" s="33">
        <f t="shared" si="81"/>
        <v>907969.5</v>
      </c>
      <c r="R360" s="882"/>
      <c r="S360" s="35">
        <f t="shared" si="82"/>
        <v>907969.5</v>
      </c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>
      <c r="A361" s="38" t="s">
        <v>32</v>
      </c>
      <c r="B361" s="41">
        <v>44181.0</v>
      </c>
      <c r="C361" s="22">
        <v>38880.0</v>
      </c>
      <c r="D361" s="24">
        <v>1591.0</v>
      </c>
      <c r="E361" s="25">
        <v>2200.0</v>
      </c>
      <c r="F361" s="35">
        <v>6110.0</v>
      </c>
      <c r="G361" s="35">
        <v>5385.0</v>
      </c>
      <c r="H361" s="35">
        <v>8325.0</v>
      </c>
      <c r="I361" s="33"/>
      <c r="J361" s="30">
        <v>19940.0</v>
      </c>
      <c r="K361" s="114">
        <f t="shared" si="77"/>
        <v>3791</v>
      </c>
      <c r="L361" s="881">
        <f t="shared" si="78"/>
        <v>19940</v>
      </c>
      <c r="M361" s="33">
        <f t="shared" si="79"/>
        <v>4671</v>
      </c>
      <c r="N361" s="40">
        <f t="shared" si="83"/>
        <v>907969.5</v>
      </c>
      <c r="O361" s="35"/>
      <c r="P361" s="33">
        <f t="shared" si="80"/>
        <v>907969.5</v>
      </c>
      <c r="Q361" s="33">
        <f t="shared" si="81"/>
        <v>927909.5</v>
      </c>
      <c r="R361" s="882"/>
      <c r="S361" s="35">
        <f t="shared" si="82"/>
        <v>927909.5</v>
      </c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>
      <c r="A362" s="38" t="s">
        <v>24</v>
      </c>
      <c r="B362" s="41">
        <v>44182.0</v>
      </c>
      <c r="C362" s="22">
        <v>41810.0</v>
      </c>
      <c r="D362" s="24">
        <v>2003.0</v>
      </c>
      <c r="E362" s="25">
        <v>1700.0</v>
      </c>
      <c r="F362" s="35">
        <v>7140.0</v>
      </c>
      <c r="G362" s="35">
        <v>2285.0</v>
      </c>
      <c r="H362" s="35">
        <v>14460.0</v>
      </c>
      <c r="I362" s="33"/>
      <c r="J362" s="30">
        <v>17925.0</v>
      </c>
      <c r="K362" s="114">
        <f t="shared" si="77"/>
        <v>3703</v>
      </c>
      <c r="L362" s="881">
        <f t="shared" si="78"/>
        <v>17925</v>
      </c>
      <c r="M362" s="33">
        <f t="shared" si="79"/>
        <v>3703</v>
      </c>
      <c r="N362" s="40">
        <f t="shared" si="83"/>
        <v>927909.5</v>
      </c>
      <c r="O362" s="35"/>
      <c r="P362" s="33">
        <f t="shared" si="80"/>
        <v>927909.5</v>
      </c>
      <c r="Q362" s="33">
        <f t="shared" si="81"/>
        <v>945834.5</v>
      </c>
      <c r="R362" s="882"/>
      <c r="S362" s="35">
        <f t="shared" si="82"/>
        <v>945834.5</v>
      </c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>
      <c r="A363" s="38" t="s">
        <v>25</v>
      </c>
      <c r="B363" s="41">
        <v>44183.0</v>
      </c>
      <c r="C363" s="22">
        <v>43383.0</v>
      </c>
      <c r="D363" s="24">
        <v>890.0</v>
      </c>
      <c r="E363" s="25">
        <v>1500.0</v>
      </c>
      <c r="F363" s="35">
        <v>4024.0</v>
      </c>
      <c r="G363" s="35">
        <v>4200.0</v>
      </c>
      <c r="H363" s="35">
        <v>14204.0</v>
      </c>
      <c r="I363" s="33"/>
      <c r="J363" s="30">
        <v>21655.0</v>
      </c>
      <c r="K363" s="114">
        <f t="shared" si="77"/>
        <v>2390</v>
      </c>
      <c r="L363" s="881">
        <f t="shared" si="78"/>
        <v>21655</v>
      </c>
      <c r="M363" s="33">
        <f t="shared" si="79"/>
        <v>3090</v>
      </c>
      <c r="N363" s="40">
        <f t="shared" si="83"/>
        <v>945834.5</v>
      </c>
      <c r="O363" s="35"/>
      <c r="P363" s="33">
        <f t="shared" si="80"/>
        <v>945834.5</v>
      </c>
      <c r="Q363" s="33">
        <f t="shared" si="81"/>
        <v>967489.5</v>
      </c>
      <c r="R363" s="882"/>
      <c r="S363" s="35">
        <f t="shared" si="82"/>
        <v>967489.5</v>
      </c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>
      <c r="A364" s="38" t="s">
        <v>33</v>
      </c>
      <c r="B364" s="41">
        <v>44184.0</v>
      </c>
      <c r="C364" s="22">
        <v>43159.0</v>
      </c>
      <c r="D364" s="24"/>
      <c r="E364" s="25"/>
      <c r="F364" s="35">
        <v>5635.0</v>
      </c>
      <c r="G364" s="35">
        <v>5281.0</v>
      </c>
      <c r="H364" s="35">
        <v>10205.0</v>
      </c>
      <c r="I364" s="33"/>
      <c r="J364" s="30">
        <v>22038.0</v>
      </c>
      <c r="K364" s="114">
        <f t="shared" si="77"/>
        <v>0</v>
      </c>
      <c r="L364" s="881">
        <f t="shared" si="78"/>
        <v>22038</v>
      </c>
      <c r="M364" s="33">
        <f t="shared" si="79"/>
        <v>0</v>
      </c>
      <c r="N364" s="40">
        <f t="shared" si="83"/>
        <v>967489.5</v>
      </c>
      <c r="O364" s="35"/>
      <c r="P364" s="33">
        <f t="shared" si="80"/>
        <v>967489.5</v>
      </c>
      <c r="Q364" s="33">
        <f t="shared" si="81"/>
        <v>989527.5</v>
      </c>
      <c r="R364" s="882"/>
      <c r="S364" s="35">
        <f t="shared" si="82"/>
        <v>989527.5</v>
      </c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>
      <c r="A365" s="38" t="s">
        <v>27</v>
      </c>
      <c r="B365" s="41">
        <v>44185.0</v>
      </c>
      <c r="C365" s="22">
        <v>26815.0</v>
      </c>
      <c r="D365" s="24">
        <v>1753.0</v>
      </c>
      <c r="E365" s="25">
        <v>1900.0</v>
      </c>
      <c r="F365" s="35">
        <v>7455.0</v>
      </c>
      <c r="G365" s="35">
        <v>5815.0</v>
      </c>
      <c r="H365" s="35">
        <v>2235.0</v>
      </c>
      <c r="I365" s="33"/>
      <c r="J365" s="30">
        <v>12795.0</v>
      </c>
      <c r="K365" s="114">
        <f t="shared" si="77"/>
        <v>3653</v>
      </c>
      <c r="L365" s="881">
        <f t="shared" si="78"/>
        <v>12795</v>
      </c>
      <c r="M365" s="33">
        <f t="shared" si="79"/>
        <v>5138</v>
      </c>
      <c r="N365" s="40">
        <f t="shared" si="83"/>
        <v>989527.5</v>
      </c>
      <c r="O365" s="35"/>
      <c r="P365" s="33">
        <f t="shared" si="80"/>
        <v>989527.5</v>
      </c>
      <c r="Q365" s="33">
        <f t="shared" si="81"/>
        <v>1002322.5</v>
      </c>
      <c r="R365" s="882"/>
      <c r="S365" s="35">
        <f t="shared" si="82"/>
        <v>1002322.5</v>
      </c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>
      <c r="A366" s="38" t="s">
        <v>21</v>
      </c>
      <c r="B366" s="41">
        <v>44186.0</v>
      </c>
      <c r="C366" s="22">
        <v>47090.0</v>
      </c>
      <c r="D366" s="24"/>
      <c r="E366" s="25"/>
      <c r="F366" s="35">
        <v>4630.0</v>
      </c>
      <c r="G366" s="35">
        <v>4050.0</v>
      </c>
      <c r="H366" s="35">
        <v>13225.0</v>
      </c>
      <c r="I366" s="33"/>
      <c r="J366" s="30">
        <v>25185.0</v>
      </c>
      <c r="K366" s="114">
        <f t="shared" si="77"/>
        <v>0</v>
      </c>
      <c r="L366" s="881">
        <f t="shared" si="78"/>
        <v>25185</v>
      </c>
      <c r="M366" s="33">
        <f t="shared" si="79"/>
        <v>0</v>
      </c>
      <c r="N366" s="40">
        <f t="shared" si="83"/>
        <v>1002322.5</v>
      </c>
      <c r="O366" s="35"/>
      <c r="P366" s="33">
        <f t="shared" si="80"/>
        <v>1002322.5</v>
      </c>
      <c r="Q366" s="33">
        <f t="shared" si="81"/>
        <v>1027507.5</v>
      </c>
      <c r="R366" s="882"/>
      <c r="S366" s="35">
        <f t="shared" si="82"/>
        <v>1027507.5</v>
      </c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>
      <c r="A367" s="38" t="s">
        <v>22</v>
      </c>
      <c r="B367" s="41">
        <v>44187.0</v>
      </c>
      <c r="C367" s="22">
        <v>35773.0</v>
      </c>
      <c r="D367" s="24">
        <v>0.0</v>
      </c>
      <c r="E367" s="25">
        <v>0.0</v>
      </c>
      <c r="F367" s="35">
        <v>7035.0</v>
      </c>
      <c r="G367" s="35">
        <v>3470.0</v>
      </c>
      <c r="H367" s="35">
        <v>10085.0</v>
      </c>
      <c r="I367" s="33"/>
      <c r="J367" s="30">
        <v>15183.0</v>
      </c>
      <c r="K367" s="114">
        <f t="shared" si="77"/>
        <v>0</v>
      </c>
      <c r="L367" s="881">
        <f t="shared" si="78"/>
        <v>15183</v>
      </c>
      <c r="M367" s="33">
        <f t="shared" si="79"/>
        <v>0</v>
      </c>
      <c r="N367" s="40">
        <f t="shared" si="83"/>
        <v>1027507.5</v>
      </c>
      <c r="O367" s="35"/>
      <c r="P367" s="33">
        <f t="shared" si="80"/>
        <v>1027507.5</v>
      </c>
      <c r="Q367" s="33">
        <f t="shared" si="81"/>
        <v>1042690.5</v>
      </c>
      <c r="R367" s="882"/>
      <c r="S367" s="35">
        <f t="shared" si="82"/>
        <v>1042690.5</v>
      </c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>
      <c r="A368" s="38" t="s">
        <v>32</v>
      </c>
      <c r="B368" s="41">
        <v>44188.0</v>
      </c>
      <c r="C368" s="22">
        <v>62114.0</v>
      </c>
      <c r="D368" s="24">
        <v>1006.0</v>
      </c>
      <c r="E368" s="25">
        <v>1100.0</v>
      </c>
      <c r="F368" s="35">
        <v>9394.0</v>
      </c>
      <c r="G368" s="35">
        <v>4030.0</v>
      </c>
      <c r="H368" s="35">
        <v>19390.0</v>
      </c>
      <c r="I368" s="33"/>
      <c r="J368" s="30">
        <v>29300.0</v>
      </c>
      <c r="K368" s="114">
        <f t="shared" si="77"/>
        <v>2106</v>
      </c>
      <c r="L368" s="881">
        <f t="shared" si="78"/>
        <v>29300</v>
      </c>
      <c r="M368" s="33">
        <f t="shared" si="79"/>
        <v>2106</v>
      </c>
      <c r="N368" s="40">
        <f t="shared" si="83"/>
        <v>1042690.5</v>
      </c>
      <c r="O368" s="35"/>
      <c r="P368" s="33">
        <f t="shared" si="80"/>
        <v>1042690.5</v>
      </c>
      <c r="Q368" s="33">
        <f t="shared" si="81"/>
        <v>1071990.5</v>
      </c>
      <c r="R368" s="882"/>
      <c r="S368" s="35">
        <f t="shared" si="82"/>
        <v>1071990.5</v>
      </c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>
      <c r="A369" s="38" t="s">
        <v>24</v>
      </c>
      <c r="B369" s="41">
        <v>44189.0</v>
      </c>
      <c r="C369" s="22">
        <v>33517.0</v>
      </c>
      <c r="D369" s="24">
        <v>0.0</v>
      </c>
      <c r="E369" s="25">
        <v>1000.0</v>
      </c>
      <c r="F369" s="35">
        <v>6194.0</v>
      </c>
      <c r="G369" s="35">
        <v>3270.0</v>
      </c>
      <c r="H369" s="35">
        <v>5085.0</v>
      </c>
      <c r="I369" s="33"/>
      <c r="J369" s="30">
        <v>18968.0</v>
      </c>
      <c r="K369" s="114">
        <f t="shared" si="77"/>
        <v>1000</v>
      </c>
      <c r="L369" s="881">
        <f t="shared" si="78"/>
        <v>18968</v>
      </c>
      <c r="M369" s="33">
        <f t="shared" si="79"/>
        <v>1000</v>
      </c>
      <c r="N369" s="40">
        <f t="shared" si="83"/>
        <v>1071990.5</v>
      </c>
      <c r="O369" s="35"/>
      <c r="P369" s="33">
        <f t="shared" si="80"/>
        <v>1071990.5</v>
      </c>
      <c r="Q369" s="33">
        <f t="shared" si="81"/>
        <v>1090958.5</v>
      </c>
      <c r="R369" s="882"/>
      <c r="S369" s="35">
        <f t="shared" si="82"/>
        <v>1090958.5</v>
      </c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>
      <c r="A370" s="38" t="s">
        <v>25</v>
      </c>
      <c r="B370" s="41">
        <v>44190.0</v>
      </c>
      <c r="C370" s="22"/>
      <c r="D370" s="24">
        <v>0.0</v>
      </c>
      <c r="E370" s="25">
        <v>0.0</v>
      </c>
      <c r="F370" s="35">
        <v>0.0</v>
      </c>
      <c r="G370" s="33"/>
      <c r="H370" s="33"/>
      <c r="I370" s="33"/>
      <c r="J370" s="30">
        <v>0.0</v>
      </c>
      <c r="K370" s="114">
        <f t="shared" si="77"/>
        <v>0</v>
      </c>
      <c r="L370" s="881">
        <f t="shared" si="78"/>
        <v>0</v>
      </c>
      <c r="M370" s="33">
        <f t="shared" si="79"/>
        <v>0</v>
      </c>
      <c r="N370" s="40">
        <f t="shared" si="83"/>
        <v>1090958.5</v>
      </c>
      <c r="O370" s="35"/>
      <c r="P370" s="33">
        <f t="shared" si="80"/>
        <v>1090958.5</v>
      </c>
      <c r="Q370" s="33">
        <f t="shared" si="81"/>
        <v>1090958.5</v>
      </c>
      <c r="R370" s="882"/>
      <c r="S370" s="35">
        <f t="shared" si="82"/>
        <v>1090958.5</v>
      </c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>
      <c r="A371" s="38" t="s">
        <v>33</v>
      </c>
      <c r="B371" s="41">
        <v>44191.0</v>
      </c>
      <c r="C371" s="22">
        <v>30320.0</v>
      </c>
      <c r="D371" s="24">
        <v>0.0</v>
      </c>
      <c r="E371" s="25">
        <v>0.0</v>
      </c>
      <c r="F371" s="35">
        <v>6450.0</v>
      </c>
      <c r="G371" s="35">
        <v>1875.0</v>
      </c>
      <c r="H371" s="35">
        <v>3565.0</v>
      </c>
      <c r="I371" s="33"/>
      <c r="J371" s="30">
        <v>18430.0</v>
      </c>
      <c r="K371" s="114">
        <f t="shared" si="77"/>
        <v>0</v>
      </c>
      <c r="L371" s="881">
        <f t="shared" si="78"/>
        <v>18430</v>
      </c>
      <c r="M371" s="33">
        <f t="shared" si="79"/>
        <v>0</v>
      </c>
      <c r="N371" s="40">
        <f t="shared" si="83"/>
        <v>1090958.5</v>
      </c>
      <c r="O371" s="35"/>
      <c r="P371" s="33">
        <f t="shared" si="80"/>
        <v>1090958.5</v>
      </c>
      <c r="Q371" s="33">
        <f t="shared" si="81"/>
        <v>1109388.5</v>
      </c>
      <c r="R371" s="882"/>
      <c r="S371" s="35">
        <f t="shared" si="82"/>
        <v>1109388.5</v>
      </c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>
      <c r="A372" s="38" t="s">
        <v>27</v>
      </c>
      <c r="B372" s="41">
        <v>44192.0</v>
      </c>
      <c r="C372" s="22">
        <v>18860.0</v>
      </c>
      <c r="D372" s="24">
        <v>2159.0</v>
      </c>
      <c r="E372" s="25">
        <v>2700.0</v>
      </c>
      <c r="F372" s="35">
        <v>1080.0</v>
      </c>
      <c r="G372" s="35">
        <v>4285.0</v>
      </c>
      <c r="H372" s="35">
        <v>2920.0</v>
      </c>
      <c r="I372" s="33"/>
      <c r="J372" s="30">
        <v>10575.0</v>
      </c>
      <c r="K372" s="114">
        <f t="shared" si="77"/>
        <v>4859</v>
      </c>
      <c r="L372" s="881">
        <f t="shared" si="78"/>
        <v>10575</v>
      </c>
      <c r="M372" s="33">
        <f t="shared" si="79"/>
        <v>4859</v>
      </c>
      <c r="N372" s="40">
        <f t="shared" si="83"/>
        <v>1109388.5</v>
      </c>
      <c r="O372" s="35"/>
      <c r="P372" s="33">
        <f t="shared" si="80"/>
        <v>1109388.5</v>
      </c>
      <c r="Q372" s="33">
        <f t="shared" si="81"/>
        <v>1119963.5</v>
      </c>
      <c r="R372" s="882"/>
      <c r="S372" s="35">
        <f t="shared" si="82"/>
        <v>1119963.5</v>
      </c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>
      <c r="A373" s="38" t="s">
        <v>21</v>
      </c>
      <c r="B373" s="41">
        <v>44193.0</v>
      </c>
      <c r="C373" s="22">
        <v>37230.0</v>
      </c>
      <c r="D373" s="24">
        <v>1183.0</v>
      </c>
      <c r="E373" s="25">
        <v>1800.0</v>
      </c>
      <c r="F373" s="35">
        <v>3710.0</v>
      </c>
      <c r="G373" s="35">
        <v>4665.0</v>
      </c>
      <c r="H373" s="35">
        <v>11035.0</v>
      </c>
      <c r="I373" s="33"/>
      <c r="J373" s="30">
        <v>18300.0</v>
      </c>
      <c r="K373" s="114">
        <f t="shared" si="77"/>
        <v>2983</v>
      </c>
      <c r="L373" s="881">
        <f t="shared" si="78"/>
        <v>18300</v>
      </c>
      <c r="M373" s="33">
        <f t="shared" si="79"/>
        <v>3463</v>
      </c>
      <c r="N373" s="40">
        <f t="shared" si="83"/>
        <v>1119963.5</v>
      </c>
      <c r="O373" s="35"/>
      <c r="P373" s="33">
        <f t="shared" si="80"/>
        <v>1119963.5</v>
      </c>
      <c r="Q373" s="33">
        <f t="shared" si="81"/>
        <v>1138263.5</v>
      </c>
      <c r="R373" s="882"/>
      <c r="S373" s="35">
        <f t="shared" si="82"/>
        <v>1138263.5</v>
      </c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>
      <c r="A374" s="38" t="s">
        <v>22</v>
      </c>
      <c r="B374" s="41">
        <v>44194.0</v>
      </c>
      <c r="C374" s="22">
        <v>46055.0</v>
      </c>
      <c r="D374" s="24">
        <v>1905.0</v>
      </c>
      <c r="E374" s="25">
        <v>1700.0</v>
      </c>
      <c r="F374" s="35">
        <v>8000.0</v>
      </c>
      <c r="G374" s="35">
        <v>4229.0</v>
      </c>
      <c r="H374" s="35">
        <v>7605.0</v>
      </c>
      <c r="I374" s="33"/>
      <c r="J374" s="30">
        <v>25989.0</v>
      </c>
      <c r="K374" s="114">
        <f t="shared" si="77"/>
        <v>3605</v>
      </c>
      <c r="L374" s="881">
        <f t="shared" si="78"/>
        <v>25989</v>
      </c>
      <c r="M374" s="33">
        <f t="shared" si="79"/>
        <v>3373</v>
      </c>
      <c r="N374" s="40">
        <f t="shared" si="83"/>
        <v>1138263.5</v>
      </c>
      <c r="O374" s="35"/>
      <c r="P374" s="33">
        <f t="shared" si="80"/>
        <v>1138263.5</v>
      </c>
      <c r="Q374" s="33">
        <f t="shared" si="81"/>
        <v>1164252.5</v>
      </c>
      <c r="R374" s="882"/>
      <c r="S374" s="35">
        <f t="shared" si="82"/>
        <v>1164252.5</v>
      </c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>
      <c r="A375" s="38" t="s">
        <v>32</v>
      </c>
      <c r="B375" s="41">
        <v>44195.0</v>
      </c>
      <c r="C375" s="22">
        <v>50751.0</v>
      </c>
      <c r="D375" s="24">
        <v>1922.0</v>
      </c>
      <c r="E375" s="25">
        <v>2000.0</v>
      </c>
      <c r="F375" s="35">
        <v>9990.0</v>
      </c>
      <c r="G375" s="35">
        <v>5198.0</v>
      </c>
      <c r="H375" s="35">
        <v>12803.0</v>
      </c>
      <c r="I375" s="33"/>
      <c r="J375" s="30">
        <v>22790.0</v>
      </c>
      <c r="K375" s="114">
        <f t="shared" si="77"/>
        <v>3922</v>
      </c>
      <c r="L375" s="881">
        <f t="shared" si="78"/>
        <v>22790</v>
      </c>
      <c r="M375" s="33">
        <f t="shared" si="79"/>
        <v>3952</v>
      </c>
      <c r="N375" s="40">
        <f t="shared" si="83"/>
        <v>1164252.5</v>
      </c>
      <c r="O375" s="35"/>
      <c r="P375" s="33">
        <f t="shared" si="80"/>
        <v>1164252.5</v>
      </c>
      <c r="Q375" s="33">
        <f t="shared" si="81"/>
        <v>1187042.5</v>
      </c>
      <c r="R375" s="882"/>
      <c r="S375" s="35">
        <f t="shared" si="82"/>
        <v>1187042.5</v>
      </c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>
      <c r="A376" s="38" t="s">
        <v>24</v>
      </c>
      <c r="B376" s="41">
        <v>44196.0</v>
      </c>
      <c r="C376" s="22">
        <v>29825.0</v>
      </c>
      <c r="D376" s="24">
        <v>1731.0</v>
      </c>
      <c r="E376" s="25">
        <v>1500.0</v>
      </c>
      <c r="F376" s="35">
        <v>7010.0</v>
      </c>
      <c r="G376" s="35">
        <v>1170.0</v>
      </c>
      <c r="H376" s="35">
        <v>6430.0</v>
      </c>
      <c r="I376" s="33"/>
      <c r="J376" s="30">
        <v>15805.0</v>
      </c>
      <c r="K376" s="114">
        <f t="shared" si="77"/>
        <v>3231</v>
      </c>
      <c r="L376" s="881">
        <f t="shared" si="78"/>
        <v>15805</v>
      </c>
      <c r="M376" s="33">
        <f t="shared" si="79"/>
        <v>3821</v>
      </c>
      <c r="N376" s="40">
        <f t="shared" si="83"/>
        <v>1187042.5</v>
      </c>
      <c r="O376" s="35"/>
      <c r="P376" s="33">
        <f t="shared" si="80"/>
        <v>1187042.5</v>
      </c>
      <c r="Q376" s="33">
        <f t="shared" si="81"/>
        <v>1202847.5</v>
      </c>
      <c r="R376" s="882"/>
      <c r="S376" s="35">
        <f t="shared" si="82"/>
        <v>1202847.5</v>
      </c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>
      <c r="A377" s="68" t="s">
        <v>28</v>
      </c>
      <c r="B377" s="69" t="s">
        <v>51</v>
      </c>
      <c r="C377" s="70">
        <f>SUM(C346:C376)</f>
        <v>1096449</v>
      </c>
      <c r="D377" s="71"/>
      <c r="E377" s="71"/>
      <c r="F377" s="70">
        <f t="shared" ref="F377:H377" si="84">SUM(F346:F376)</f>
        <v>173601</v>
      </c>
      <c r="G377" s="70">
        <f t="shared" si="84"/>
        <v>112947</v>
      </c>
      <c r="H377" s="70">
        <f t="shared" si="84"/>
        <v>270106</v>
      </c>
      <c r="I377" s="71"/>
      <c r="J377" s="70">
        <f>SUM(J346:J376)</f>
        <v>513797</v>
      </c>
      <c r="K377" s="933"/>
      <c r="L377" s="934"/>
      <c r="M377" s="70">
        <f>SUM(M346:M376)</f>
        <v>45096</v>
      </c>
      <c r="N377" s="77"/>
      <c r="O377" s="77"/>
      <c r="P377" s="77"/>
      <c r="Q377" s="77"/>
      <c r="R377" s="70">
        <f t="shared" ref="R377:S377" si="85">SUM(R346:R376)</f>
        <v>0</v>
      </c>
      <c r="S377" s="70">
        <f t="shared" si="85"/>
        <v>28976695.5</v>
      </c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>
      <c r="A378" s="221" t="s">
        <v>21</v>
      </c>
      <c r="B378" s="229"/>
      <c r="C378" s="22">
        <v>35835.0</v>
      </c>
      <c r="D378" s="24">
        <v>1612.0</v>
      </c>
      <c r="E378" s="25">
        <v>900.0</v>
      </c>
      <c r="F378" s="35">
        <v>6420.0</v>
      </c>
      <c r="G378" s="35">
        <v>1860.0</v>
      </c>
      <c r="H378" s="35">
        <v>7770.0</v>
      </c>
      <c r="I378" s="33"/>
      <c r="J378" s="30">
        <v>21085.0</v>
      </c>
      <c r="K378" s="114"/>
      <c r="L378" s="881"/>
      <c r="M378" s="33"/>
      <c r="N378" s="33"/>
      <c r="O378" s="35"/>
      <c r="P378" s="33"/>
      <c r="Q378" s="33"/>
      <c r="R378" s="935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>
      <c r="A379" s="224"/>
      <c r="B379" s="229"/>
      <c r="C379" s="225"/>
      <c r="D379" s="227"/>
      <c r="E379" s="228"/>
      <c r="F379" s="33"/>
      <c r="G379" s="33"/>
      <c r="H379" s="33"/>
      <c r="I379" s="33"/>
      <c r="J379" s="230"/>
      <c r="K379" s="114"/>
      <c r="L379" s="881"/>
      <c r="M379" s="33"/>
      <c r="N379" s="33"/>
      <c r="O379" s="35"/>
      <c r="P379" s="33"/>
      <c r="Q379" s="33"/>
      <c r="R379" s="935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>
      <c r="A380" s="224"/>
      <c r="B380" s="229"/>
      <c r="C380" s="225"/>
      <c r="D380" s="227"/>
      <c r="E380" s="228"/>
      <c r="F380" s="33"/>
      <c r="G380" s="33"/>
      <c r="H380" s="33"/>
      <c r="I380" s="33"/>
      <c r="J380" s="230"/>
      <c r="K380" s="114"/>
      <c r="L380" s="881"/>
      <c r="M380" s="33"/>
      <c r="N380" s="33"/>
      <c r="O380" s="35"/>
      <c r="P380" s="33"/>
      <c r="Q380" s="33"/>
      <c r="R380" s="935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>
      <c r="A381" s="224"/>
      <c r="B381" s="229"/>
      <c r="C381" s="225"/>
      <c r="D381" s="227"/>
      <c r="E381" s="228"/>
      <c r="F381" s="33"/>
      <c r="G381" s="33"/>
      <c r="H381" s="33"/>
      <c r="I381" s="33"/>
      <c r="J381" s="230"/>
      <c r="K381" s="114"/>
      <c r="L381" s="881"/>
      <c r="M381" s="33"/>
      <c r="N381" s="33"/>
      <c r="O381" s="35"/>
      <c r="P381" s="33"/>
      <c r="Q381" s="33"/>
      <c r="R381" s="935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>
      <c r="A382" s="224"/>
      <c r="B382" s="229"/>
      <c r="C382" s="225"/>
      <c r="D382" s="227"/>
      <c r="E382" s="228"/>
      <c r="F382" s="33"/>
      <c r="G382" s="33"/>
      <c r="H382" s="33"/>
      <c r="I382" s="33"/>
      <c r="J382" s="230"/>
      <c r="K382" s="114"/>
      <c r="L382" s="881"/>
      <c r="M382" s="33"/>
      <c r="N382" s="33"/>
      <c r="O382" s="35"/>
      <c r="P382" s="33"/>
      <c r="Q382" s="33"/>
      <c r="R382" s="935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>
      <c r="A383" s="224"/>
      <c r="B383" s="229"/>
      <c r="C383" s="225"/>
      <c r="D383" s="227"/>
      <c r="E383" s="228"/>
      <c r="F383" s="33"/>
      <c r="G383" s="33"/>
      <c r="H383" s="33"/>
      <c r="I383" s="33"/>
      <c r="J383" s="230"/>
      <c r="K383" s="114"/>
      <c r="L383" s="881"/>
      <c r="M383" s="33"/>
      <c r="N383" s="33"/>
      <c r="O383" s="33"/>
      <c r="P383" s="33"/>
      <c r="Q383" s="33"/>
      <c r="R383" s="935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>
      <c r="A384" s="224"/>
      <c r="B384" s="229"/>
      <c r="C384" s="225"/>
      <c r="D384" s="227"/>
      <c r="E384" s="228"/>
      <c r="F384" s="33"/>
      <c r="G384" s="33"/>
      <c r="H384" s="33"/>
      <c r="I384" s="33"/>
      <c r="J384" s="230"/>
      <c r="K384" s="114"/>
      <c r="L384" s="881"/>
      <c r="M384" s="33"/>
      <c r="N384" s="33"/>
      <c r="O384" s="33"/>
      <c r="P384" s="33"/>
      <c r="Q384" s="33"/>
      <c r="R384" s="935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>
      <c r="A385" s="224"/>
      <c r="B385" s="229"/>
      <c r="C385" s="225"/>
      <c r="D385" s="227"/>
      <c r="E385" s="228"/>
      <c r="F385" s="33"/>
      <c r="G385" s="33"/>
      <c r="H385" s="33"/>
      <c r="I385" s="33"/>
      <c r="J385" s="230"/>
      <c r="K385" s="114"/>
      <c r="L385" s="881"/>
      <c r="M385" s="33"/>
      <c r="N385" s="33"/>
      <c r="O385" s="33"/>
      <c r="P385" s="33"/>
      <c r="Q385" s="33"/>
      <c r="R385" s="935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>
      <c r="A386" s="224"/>
      <c r="B386" s="229"/>
      <c r="C386" s="225"/>
      <c r="D386" s="227"/>
      <c r="E386" s="228"/>
      <c r="F386" s="33"/>
      <c r="G386" s="33"/>
      <c r="H386" s="33"/>
      <c r="I386" s="33"/>
      <c r="J386" s="230"/>
      <c r="K386" s="114"/>
      <c r="L386" s="881"/>
      <c r="M386" s="33"/>
      <c r="N386" s="33"/>
      <c r="O386" s="33"/>
      <c r="P386" s="33"/>
      <c r="Q386" s="33"/>
      <c r="R386" s="935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>
      <c r="A387" s="224"/>
      <c r="B387" s="229"/>
      <c r="C387" s="225"/>
      <c r="D387" s="227"/>
      <c r="E387" s="228"/>
      <c r="F387" s="33"/>
      <c r="G387" s="33"/>
      <c r="H387" s="33"/>
      <c r="I387" s="33"/>
      <c r="J387" s="230"/>
      <c r="K387" s="114"/>
      <c r="L387" s="881"/>
      <c r="M387" s="33"/>
      <c r="N387" s="33"/>
      <c r="O387" s="33"/>
      <c r="P387" s="33"/>
      <c r="Q387" s="33"/>
      <c r="R387" s="935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>
      <c r="A388" s="224"/>
      <c r="B388" s="229"/>
      <c r="C388" s="225"/>
      <c r="D388" s="227"/>
      <c r="E388" s="228"/>
      <c r="F388" s="33"/>
      <c r="G388" s="33"/>
      <c r="H388" s="33"/>
      <c r="I388" s="33"/>
      <c r="J388" s="230"/>
      <c r="K388" s="114"/>
      <c r="L388" s="881"/>
      <c r="M388" s="33"/>
      <c r="N388" s="33"/>
      <c r="O388" s="33"/>
      <c r="P388" s="33"/>
      <c r="Q388" s="33"/>
      <c r="R388" s="935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>
      <c r="A389" s="224"/>
      <c r="B389" s="229"/>
      <c r="C389" s="225"/>
      <c r="D389" s="227"/>
      <c r="E389" s="228"/>
      <c r="F389" s="33"/>
      <c r="G389" s="33"/>
      <c r="H389" s="33"/>
      <c r="I389" s="33"/>
      <c r="J389" s="230"/>
      <c r="K389" s="114"/>
      <c r="L389" s="881"/>
      <c r="M389" s="33"/>
      <c r="N389" s="33"/>
      <c r="O389" s="33"/>
      <c r="P389" s="33"/>
      <c r="Q389" s="33"/>
      <c r="R389" s="935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>
      <c r="A390" s="224"/>
      <c r="B390" s="229"/>
      <c r="C390" s="225"/>
      <c r="D390" s="227"/>
      <c r="E390" s="228"/>
      <c r="F390" s="33"/>
      <c r="G390" s="33"/>
      <c r="H390" s="33"/>
      <c r="I390" s="33"/>
      <c r="J390" s="230"/>
      <c r="K390" s="114"/>
      <c r="L390" s="881"/>
      <c r="M390" s="33"/>
      <c r="N390" s="33"/>
      <c r="O390" s="33"/>
      <c r="P390" s="33"/>
      <c r="Q390" s="33"/>
      <c r="R390" s="935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>
      <c r="A391" s="224"/>
      <c r="B391" s="229"/>
      <c r="C391" s="225"/>
      <c r="D391" s="227"/>
      <c r="E391" s="228"/>
      <c r="F391" s="33"/>
      <c r="G391" s="33"/>
      <c r="H391" s="33"/>
      <c r="I391" s="33"/>
      <c r="J391" s="230"/>
      <c r="K391" s="114"/>
      <c r="L391" s="881"/>
      <c r="M391" s="33"/>
      <c r="N391" s="33"/>
      <c r="O391" s="33"/>
      <c r="P391" s="33"/>
      <c r="Q391" s="33"/>
      <c r="R391" s="935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>
      <c r="A392" s="224"/>
      <c r="B392" s="229"/>
      <c r="C392" s="225"/>
      <c r="D392" s="227"/>
      <c r="E392" s="228"/>
      <c r="F392" s="33"/>
      <c r="G392" s="33"/>
      <c r="H392" s="33"/>
      <c r="I392" s="33"/>
      <c r="J392" s="230"/>
      <c r="K392" s="114"/>
      <c r="L392" s="881"/>
      <c r="M392" s="33"/>
      <c r="N392" s="33"/>
      <c r="O392" s="33"/>
      <c r="P392" s="33"/>
      <c r="Q392" s="33"/>
      <c r="R392" s="935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>
      <c r="A393" s="224"/>
      <c r="B393" s="229"/>
      <c r="C393" s="225"/>
      <c r="D393" s="227"/>
      <c r="E393" s="228"/>
      <c r="F393" s="33"/>
      <c r="G393" s="33"/>
      <c r="H393" s="33"/>
      <c r="I393" s="33"/>
      <c r="J393" s="230"/>
      <c r="K393" s="114"/>
      <c r="L393" s="881"/>
      <c r="M393" s="33"/>
      <c r="N393" s="33"/>
      <c r="O393" s="33"/>
      <c r="P393" s="33"/>
      <c r="Q393" s="33"/>
      <c r="R393" s="935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>
      <c r="A394" s="224"/>
      <c r="B394" s="229"/>
      <c r="C394" s="225"/>
      <c r="D394" s="227"/>
      <c r="E394" s="228"/>
      <c r="F394" s="33"/>
      <c r="G394" s="33"/>
      <c r="H394" s="33"/>
      <c r="I394" s="33"/>
      <c r="J394" s="230"/>
      <c r="K394" s="114"/>
      <c r="L394" s="881"/>
      <c r="M394" s="33"/>
      <c r="N394" s="33"/>
      <c r="O394" s="33"/>
      <c r="P394" s="33"/>
      <c r="Q394" s="33"/>
      <c r="R394" s="935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>
      <c r="A395" s="224"/>
      <c r="B395" s="229"/>
      <c r="C395" s="225"/>
      <c r="D395" s="227"/>
      <c r="E395" s="228"/>
      <c r="F395" s="33"/>
      <c r="G395" s="33"/>
      <c r="H395" s="33"/>
      <c r="I395" s="33"/>
      <c r="J395" s="230"/>
      <c r="K395" s="114"/>
      <c r="L395" s="881"/>
      <c r="M395" s="33"/>
      <c r="N395" s="33"/>
      <c r="O395" s="33"/>
      <c r="P395" s="33"/>
      <c r="Q395" s="33"/>
      <c r="R395" s="935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>
      <c r="A396" s="224"/>
      <c r="B396" s="229"/>
      <c r="C396" s="225"/>
      <c r="D396" s="227"/>
      <c r="E396" s="228"/>
      <c r="F396" s="33"/>
      <c r="G396" s="33"/>
      <c r="H396" s="33"/>
      <c r="I396" s="33"/>
      <c r="J396" s="230"/>
      <c r="K396" s="114"/>
      <c r="L396" s="881"/>
      <c r="M396" s="33"/>
      <c r="N396" s="33"/>
      <c r="O396" s="33"/>
      <c r="P396" s="33"/>
      <c r="Q396" s="33"/>
      <c r="R396" s="935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>
      <c r="A397" s="224"/>
      <c r="B397" s="229"/>
      <c r="C397" s="225"/>
      <c r="D397" s="227"/>
      <c r="E397" s="228"/>
      <c r="F397" s="33"/>
      <c r="G397" s="33"/>
      <c r="H397" s="33"/>
      <c r="I397" s="33"/>
      <c r="J397" s="230"/>
      <c r="K397" s="114"/>
      <c r="L397" s="881"/>
      <c r="M397" s="33"/>
      <c r="N397" s="33"/>
      <c r="O397" s="33"/>
      <c r="P397" s="33"/>
      <c r="Q397" s="33"/>
      <c r="R397" s="935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>
      <c r="A398" s="224"/>
      <c r="B398" s="229"/>
      <c r="C398" s="225"/>
      <c r="D398" s="227"/>
      <c r="E398" s="228"/>
      <c r="F398" s="33"/>
      <c r="G398" s="33"/>
      <c r="H398" s="33"/>
      <c r="I398" s="33"/>
      <c r="J398" s="230"/>
      <c r="K398" s="114"/>
      <c r="L398" s="881"/>
      <c r="M398" s="33"/>
      <c r="N398" s="33"/>
      <c r="O398" s="33"/>
      <c r="P398" s="33"/>
      <c r="Q398" s="33"/>
      <c r="R398" s="935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>
      <c r="A399" s="224"/>
      <c r="B399" s="229"/>
      <c r="C399" s="225"/>
      <c r="D399" s="227"/>
      <c r="E399" s="228"/>
      <c r="F399" s="33"/>
      <c r="G399" s="33"/>
      <c r="H399" s="33"/>
      <c r="I399" s="33"/>
      <c r="J399" s="230"/>
      <c r="K399" s="114"/>
      <c r="L399" s="881"/>
      <c r="M399" s="33"/>
      <c r="N399" s="33"/>
      <c r="O399" s="33"/>
      <c r="P399" s="33"/>
      <c r="Q399" s="33"/>
      <c r="R399" s="935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>
      <c r="A400" s="224"/>
      <c r="B400" s="229"/>
      <c r="C400" s="225"/>
      <c r="D400" s="227"/>
      <c r="E400" s="228"/>
      <c r="F400" s="33"/>
      <c r="G400" s="33"/>
      <c r="H400" s="33"/>
      <c r="I400" s="33"/>
      <c r="J400" s="230"/>
      <c r="K400" s="114"/>
      <c r="L400" s="881"/>
      <c r="M400" s="33"/>
      <c r="N400" s="33"/>
      <c r="O400" s="33"/>
      <c r="P400" s="33"/>
      <c r="Q400" s="33"/>
      <c r="R400" s="935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>
      <c r="A401" s="224"/>
      <c r="B401" s="229"/>
      <c r="C401" s="225"/>
      <c r="D401" s="227"/>
      <c r="E401" s="228"/>
      <c r="F401" s="33"/>
      <c r="G401" s="33"/>
      <c r="H401" s="33"/>
      <c r="I401" s="33"/>
      <c r="J401" s="230"/>
      <c r="K401" s="114"/>
      <c r="L401" s="881"/>
      <c r="M401" s="33"/>
      <c r="N401" s="33"/>
      <c r="O401" s="33"/>
      <c r="P401" s="33"/>
      <c r="Q401" s="33"/>
      <c r="R401" s="935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>
      <c r="A402" s="224"/>
      <c r="B402" s="229"/>
      <c r="C402" s="225"/>
      <c r="D402" s="227"/>
      <c r="E402" s="228"/>
      <c r="F402" s="33"/>
      <c r="G402" s="33"/>
      <c r="H402" s="33"/>
      <c r="I402" s="33"/>
      <c r="J402" s="230"/>
      <c r="K402" s="114"/>
      <c r="L402" s="881"/>
      <c r="M402" s="33"/>
      <c r="N402" s="33"/>
      <c r="O402" s="33"/>
      <c r="P402" s="33"/>
      <c r="Q402" s="33"/>
      <c r="R402" s="935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>
      <c r="A403" s="224"/>
      <c r="B403" s="229"/>
      <c r="C403" s="225"/>
      <c r="D403" s="227"/>
      <c r="E403" s="228"/>
      <c r="F403" s="33"/>
      <c r="G403" s="33"/>
      <c r="H403" s="33"/>
      <c r="I403" s="33"/>
      <c r="J403" s="230"/>
      <c r="K403" s="114"/>
      <c r="L403" s="881"/>
      <c r="M403" s="33"/>
      <c r="N403" s="33"/>
      <c r="O403" s="33"/>
      <c r="P403" s="33"/>
      <c r="Q403" s="33"/>
      <c r="R403" s="935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>
      <c r="A404" s="224"/>
      <c r="B404" s="229"/>
      <c r="C404" s="225"/>
      <c r="D404" s="227"/>
      <c r="E404" s="228"/>
      <c r="F404" s="33"/>
      <c r="G404" s="33"/>
      <c r="H404" s="33"/>
      <c r="I404" s="33"/>
      <c r="J404" s="230"/>
      <c r="K404" s="114"/>
      <c r="L404" s="881"/>
      <c r="M404" s="33"/>
      <c r="N404" s="33"/>
      <c r="O404" s="33"/>
      <c r="P404" s="33"/>
      <c r="Q404" s="33"/>
      <c r="R404" s="935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>
      <c r="A405" s="224"/>
      <c r="B405" s="229"/>
      <c r="C405" s="225"/>
      <c r="D405" s="227"/>
      <c r="E405" s="228"/>
      <c r="F405" s="33"/>
      <c r="G405" s="33"/>
      <c r="H405" s="33"/>
      <c r="I405" s="33"/>
      <c r="J405" s="230"/>
      <c r="K405" s="114"/>
      <c r="L405" s="881"/>
      <c r="M405" s="33"/>
      <c r="N405" s="33"/>
      <c r="O405" s="33"/>
      <c r="P405" s="33"/>
      <c r="Q405" s="33"/>
      <c r="R405" s="935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>
      <c r="A406" s="224"/>
      <c r="B406" s="229"/>
      <c r="C406" s="225"/>
      <c r="D406" s="227"/>
      <c r="E406" s="228"/>
      <c r="F406" s="33"/>
      <c r="G406" s="33"/>
      <c r="H406" s="33"/>
      <c r="I406" s="33"/>
      <c r="J406" s="230"/>
      <c r="K406" s="114"/>
      <c r="L406" s="881"/>
      <c r="M406" s="33"/>
      <c r="N406" s="33"/>
      <c r="O406" s="33"/>
      <c r="P406" s="33"/>
      <c r="Q406" s="33"/>
      <c r="R406" s="935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>
      <c r="A407" s="224"/>
      <c r="B407" s="229"/>
      <c r="C407" s="225"/>
      <c r="D407" s="227"/>
      <c r="E407" s="228"/>
      <c r="F407" s="33"/>
      <c r="G407" s="33"/>
      <c r="H407" s="33"/>
      <c r="I407" s="33"/>
      <c r="J407" s="230"/>
      <c r="K407" s="114"/>
      <c r="L407" s="881"/>
      <c r="M407" s="33"/>
      <c r="N407" s="33"/>
      <c r="O407" s="33"/>
      <c r="P407" s="33"/>
      <c r="Q407" s="33"/>
      <c r="R407" s="935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>
      <c r="A408" s="224"/>
      <c r="B408" s="229"/>
      <c r="C408" s="225"/>
      <c r="D408" s="227"/>
      <c r="E408" s="228"/>
      <c r="F408" s="33"/>
      <c r="G408" s="33"/>
      <c r="H408" s="33"/>
      <c r="I408" s="33"/>
      <c r="J408" s="230"/>
      <c r="K408" s="114"/>
      <c r="L408" s="881"/>
      <c r="M408" s="33"/>
      <c r="N408" s="33"/>
      <c r="O408" s="33"/>
      <c r="P408" s="33"/>
      <c r="Q408" s="33"/>
      <c r="R408" s="935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>
      <c r="A409" s="224"/>
      <c r="B409" s="229"/>
      <c r="C409" s="225"/>
      <c r="D409" s="227"/>
      <c r="E409" s="228"/>
      <c r="F409" s="33"/>
      <c r="G409" s="33"/>
      <c r="H409" s="33"/>
      <c r="I409" s="33"/>
      <c r="J409" s="230"/>
      <c r="K409" s="114"/>
      <c r="L409" s="881"/>
      <c r="M409" s="33"/>
      <c r="N409" s="33"/>
      <c r="O409" s="33"/>
      <c r="P409" s="33"/>
      <c r="Q409" s="33"/>
      <c r="R409" s="935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>
      <c r="A410" s="224"/>
      <c r="B410" s="229"/>
      <c r="C410" s="225"/>
      <c r="D410" s="227"/>
      <c r="E410" s="228"/>
      <c r="F410" s="33"/>
      <c r="G410" s="33"/>
      <c r="H410" s="33"/>
      <c r="I410" s="33"/>
      <c r="J410" s="230"/>
      <c r="K410" s="114"/>
      <c r="L410" s="881"/>
      <c r="M410" s="33"/>
      <c r="N410" s="33"/>
      <c r="O410" s="33"/>
      <c r="P410" s="33"/>
      <c r="Q410" s="33"/>
      <c r="R410" s="935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>
      <c r="A411" s="224"/>
      <c r="B411" s="229"/>
      <c r="C411" s="225"/>
      <c r="D411" s="227"/>
      <c r="E411" s="228"/>
      <c r="F411" s="33"/>
      <c r="G411" s="33"/>
      <c r="H411" s="33"/>
      <c r="I411" s="33"/>
      <c r="J411" s="230"/>
      <c r="K411" s="114"/>
      <c r="L411" s="881"/>
      <c r="M411" s="33"/>
      <c r="N411" s="33"/>
      <c r="O411" s="33"/>
      <c r="P411" s="33"/>
      <c r="Q411" s="33"/>
      <c r="R411" s="935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>
      <c r="A412" s="224"/>
      <c r="B412" s="229"/>
      <c r="C412" s="225"/>
      <c r="D412" s="227"/>
      <c r="E412" s="228"/>
      <c r="F412" s="33"/>
      <c r="G412" s="33"/>
      <c r="H412" s="33"/>
      <c r="I412" s="33"/>
      <c r="J412" s="230"/>
      <c r="K412" s="114"/>
      <c r="L412" s="881"/>
      <c r="M412" s="33"/>
      <c r="N412" s="33"/>
      <c r="O412" s="33"/>
      <c r="P412" s="33"/>
      <c r="Q412" s="33"/>
      <c r="R412" s="935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>
      <c r="A413" s="224"/>
      <c r="B413" s="229"/>
      <c r="C413" s="225"/>
      <c r="D413" s="227"/>
      <c r="E413" s="228"/>
      <c r="F413" s="33"/>
      <c r="G413" s="33"/>
      <c r="H413" s="33"/>
      <c r="I413" s="33"/>
      <c r="J413" s="230"/>
      <c r="K413" s="114"/>
      <c r="L413" s="881"/>
      <c r="M413" s="33"/>
      <c r="N413" s="33"/>
      <c r="O413" s="33"/>
      <c r="P413" s="33"/>
      <c r="Q413" s="33"/>
      <c r="R413" s="935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>
      <c r="A414" s="224"/>
      <c r="B414" s="229"/>
      <c r="C414" s="225"/>
      <c r="D414" s="227"/>
      <c r="E414" s="228"/>
      <c r="F414" s="33"/>
      <c r="G414" s="33"/>
      <c r="H414" s="33"/>
      <c r="I414" s="33"/>
      <c r="J414" s="230"/>
      <c r="K414" s="114"/>
      <c r="L414" s="881"/>
      <c r="M414" s="33"/>
      <c r="N414" s="33"/>
      <c r="O414" s="33"/>
      <c r="P414" s="33"/>
      <c r="Q414" s="33"/>
      <c r="R414" s="935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>
      <c r="A415" s="224"/>
      <c r="B415" s="229"/>
      <c r="C415" s="225"/>
      <c r="D415" s="227"/>
      <c r="E415" s="228"/>
      <c r="F415" s="33"/>
      <c r="G415" s="33"/>
      <c r="H415" s="33"/>
      <c r="I415" s="33"/>
      <c r="J415" s="230"/>
      <c r="K415" s="114"/>
      <c r="L415" s="881"/>
      <c r="M415" s="33"/>
      <c r="N415" s="33"/>
      <c r="O415" s="33"/>
      <c r="P415" s="33"/>
      <c r="Q415" s="33"/>
      <c r="R415" s="935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>
      <c r="A416" s="224"/>
      <c r="B416" s="229"/>
      <c r="C416" s="225"/>
      <c r="D416" s="227"/>
      <c r="E416" s="228"/>
      <c r="F416" s="33"/>
      <c r="G416" s="33"/>
      <c r="H416" s="33"/>
      <c r="I416" s="33"/>
      <c r="J416" s="230"/>
      <c r="K416" s="114"/>
      <c r="L416" s="881"/>
      <c r="M416" s="33"/>
      <c r="N416" s="33"/>
      <c r="O416" s="33"/>
      <c r="P416" s="33"/>
      <c r="Q416" s="33"/>
      <c r="R416" s="935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>
      <c r="A417" s="224"/>
      <c r="B417" s="229"/>
      <c r="C417" s="225"/>
      <c r="D417" s="227"/>
      <c r="E417" s="228"/>
      <c r="F417" s="33"/>
      <c r="G417" s="33"/>
      <c r="H417" s="33"/>
      <c r="I417" s="33"/>
      <c r="J417" s="230"/>
      <c r="K417" s="114"/>
      <c r="L417" s="881"/>
      <c r="M417" s="33"/>
      <c r="N417" s="33"/>
      <c r="O417" s="33"/>
      <c r="P417" s="33"/>
      <c r="Q417" s="33"/>
      <c r="R417" s="935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>
      <c r="A418" s="224"/>
      <c r="B418" s="229"/>
      <c r="C418" s="225"/>
      <c r="D418" s="227"/>
      <c r="E418" s="228"/>
      <c r="F418" s="33"/>
      <c r="G418" s="33"/>
      <c r="H418" s="33"/>
      <c r="I418" s="33"/>
      <c r="J418" s="230"/>
      <c r="K418" s="114"/>
      <c r="L418" s="881"/>
      <c r="M418" s="33"/>
      <c r="N418" s="33"/>
      <c r="O418" s="33"/>
      <c r="P418" s="33"/>
      <c r="Q418" s="33"/>
      <c r="R418" s="935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>
      <c r="A419" s="224"/>
      <c r="B419" s="229"/>
      <c r="C419" s="225"/>
      <c r="D419" s="227"/>
      <c r="E419" s="228"/>
      <c r="F419" s="33"/>
      <c r="G419" s="33"/>
      <c r="H419" s="33"/>
      <c r="I419" s="33"/>
      <c r="J419" s="230"/>
      <c r="K419" s="114"/>
      <c r="L419" s="881"/>
      <c r="M419" s="33"/>
      <c r="N419" s="33"/>
      <c r="O419" s="33"/>
      <c r="P419" s="33"/>
      <c r="Q419" s="33"/>
      <c r="R419" s="935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>
      <c r="A420" s="224"/>
      <c r="B420" s="229"/>
      <c r="C420" s="225"/>
      <c r="D420" s="227"/>
      <c r="E420" s="228"/>
      <c r="F420" s="33"/>
      <c r="G420" s="33"/>
      <c r="H420" s="33"/>
      <c r="I420" s="33"/>
      <c r="J420" s="230"/>
      <c r="K420" s="114"/>
      <c r="L420" s="881"/>
      <c r="M420" s="33"/>
      <c r="N420" s="33"/>
      <c r="O420" s="33"/>
      <c r="P420" s="33"/>
      <c r="Q420" s="33"/>
      <c r="R420" s="935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>
      <c r="A421" s="224"/>
      <c r="B421" s="229"/>
      <c r="C421" s="225"/>
      <c r="D421" s="227"/>
      <c r="E421" s="228"/>
      <c r="F421" s="33"/>
      <c r="G421" s="33"/>
      <c r="H421" s="33"/>
      <c r="I421" s="33"/>
      <c r="J421" s="230"/>
      <c r="K421" s="114"/>
      <c r="L421" s="881"/>
      <c r="M421" s="33"/>
      <c r="N421" s="33"/>
      <c r="O421" s="33"/>
      <c r="P421" s="33"/>
      <c r="Q421" s="33"/>
      <c r="R421" s="935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>
      <c r="A422" s="224"/>
      <c r="B422" s="229"/>
      <c r="C422" s="225"/>
      <c r="D422" s="227"/>
      <c r="E422" s="228"/>
      <c r="F422" s="33"/>
      <c r="G422" s="33"/>
      <c r="H422" s="33"/>
      <c r="I422" s="33"/>
      <c r="J422" s="230"/>
      <c r="K422" s="114"/>
      <c r="L422" s="881"/>
      <c r="M422" s="33"/>
      <c r="N422" s="33"/>
      <c r="O422" s="33"/>
      <c r="P422" s="33"/>
      <c r="Q422" s="33"/>
      <c r="R422" s="935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>
      <c r="A423" s="224"/>
      <c r="B423" s="229"/>
      <c r="C423" s="225"/>
      <c r="D423" s="227"/>
      <c r="E423" s="228"/>
      <c r="F423" s="33"/>
      <c r="G423" s="33"/>
      <c r="H423" s="33"/>
      <c r="I423" s="33"/>
      <c r="J423" s="230"/>
      <c r="K423" s="114"/>
      <c r="L423" s="881"/>
      <c r="M423" s="33"/>
      <c r="N423" s="33"/>
      <c r="O423" s="33"/>
      <c r="P423" s="33"/>
      <c r="Q423" s="33"/>
      <c r="R423" s="935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>
      <c r="A424" s="224"/>
      <c r="B424" s="229"/>
      <c r="C424" s="225"/>
      <c r="D424" s="227"/>
      <c r="E424" s="228"/>
      <c r="F424" s="33"/>
      <c r="G424" s="33"/>
      <c r="H424" s="33"/>
      <c r="I424" s="33"/>
      <c r="J424" s="230"/>
      <c r="K424" s="114"/>
      <c r="L424" s="881"/>
      <c r="M424" s="33"/>
      <c r="N424" s="33"/>
      <c r="O424" s="33"/>
      <c r="P424" s="33"/>
      <c r="Q424" s="33"/>
      <c r="R424" s="935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>
      <c r="A425" s="224"/>
      <c r="B425" s="229"/>
      <c r="C425" s="225"/>
      <c r="D425" s="227"/>
      <c r="E425" s="228"/>
      <c r="F425" s="33"/>
      <c r="G425" s="33"/>
      <c r="H425" s="33"/>
      <c r="I425" s="33"/>
      <c r="J425" s="230"/>
      <c r="K425" s="114"/>
      <c r="L425" s="881"/>
      <c r="M425" s="33"/>
      <c r="N425" s="33"/>
      <c r="O425" s="33"/>
      <c r="P425" s="33"/>
      <c r="Q425" s="33"/>
      <c r="R425" s="935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>
      <c r="A426" s="224"/>
      <c r="B426" s="229"/>
      <c r="C426" s="225"/>
      <c r="D426" s="227"/>
      <c r="E426" s="228"/>
      <c r="F426" s="33"/>
      <c r="G426" s="33"/>
      <c r="H426" s="33"/>
      <c r="I426" s="33"/>
      <c r="J426" s="230"/>
      <c r="K426" s="114"/>
      <c r="L426" s="881"/>
      <c r="M426" s="33"/>
      <c r="N426" s="33"/>
      <c r="O426" s="33"/>
      <c r="P426" s="33"/>
      <c r="Q426" s="33"/>
      <c r="R426" s="935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>
      <c r="A427" s="224"/>
      <c r="B427" s="229"/>
      <c r="C427" s="225"/>
      <c r="D427" s="227"/>
      <c r="E427" s="228"/>
      <c r="F427" s="33"/>
      <c r="G427" s="33"/>
      <c r="H427" s="33"/>
      <c r="I427" s="33"/>
      <c r="J427" s="230"/>
      <c r="K427" s="114"/>
      <c r="L427" s="881"/>
      <c r="M427" s="33"/>
      <c r="N427" s="33"/>
      <c r="O427" s="33"/>
      <c r="P427" s="33"/>
      <c r="Q427" s="33"/>
      <c r="R427" s="935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>
      <c r="A428" s="224"/>
      <c r="B428" s="229"/>
      <c r="C428" s="225"/>
      <c r="D428" s="227"/>
      <c r="E428" s="228"/>
      <c r="F428" s="33"/>
      <c r="G428" s="33"/>
      <c r="H428" s="33"/>
      <c r="I428" s="33"/>
      <c r="J428" s="230"/>
      <c r="K428" s="114"/>
      <c r="L428" s="881"/>
      <c r="M428" s="33"/>
      <c r="N428" s="33"/>
      <c r="O428" s="33"/>
      <c r="P428" s="33"/>
      <c r="Q428" s="33"/>
      <c r="R428" s="935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>
      <c r="A429" s="224"/>
      <c r="B429" s="229"/>
      <c r="C429" s="225"/>
      <c r="D429" s="227"/>
      <c r="E429" s="228"/>
      <c r="F429" s="33"/>
      <c r="G429" s="33"/>
      <c r="H429" s="33"/>
      <c r="I429" s="33"/>
      <c r="J429" s="230"/>
      <c r="K429" s="114"/>
      <c r="L429" s="881"/>
      <c r="M429" s="33"/>
      <c r="N429" s="33"/>
      <c r="O429" s="33"/>
      <c r="P429" s="33"/>
      <c r="Q429" s="33"/>
      <c r="R429" s="935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>
      <c r="A430" s="224"/>
      <c r="B430" s="229"/>
      <c r="C430" s="225"/>
      <c r="D430" s="227"/>
      <c r="E430" s="228"/>
      <c r="F430" s="33"/>
      <c r="G430" s="33"/>
      <c r="H430" s="33"/>
      <c r="I430" s="33"/>
      <c r="J430" s="230"/>
      <c r="K430" s="114"/>
      <c r="L430" s="881"/>
      <c r="M430" s="33"/>
      <c r="N430" s="33"/>
      <c r="O430" s="33"/>
      <c r="P430" s="33"/>
      <c r="Q430" s="33"/>
      <c r="R430" s="935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>
      <c r="A431" s="224"/>
      <c r="B431" s="229"/>
      <c r="C431" s="225"/>
      <c r="D431" s="227"/>
      <c r="E431" s="228"/>
      <c r="F431" s="33"/>
      <c r="G431" s="33"/>
      <c r="H431" s="33"/>
      <c r="I431" s="33"/>
      <c r="J431" s="230"/>
      <c r="K431" s="114"/>
      <c r="L431" s="881"/>
      <c r="M431" s="33"/>
      <c r="N431" s="33"/>
      <c r="O431" s="33"/>
      <c r="P431" s="33"/>
      <c r="Q431" s="33"/>
      <c r="R431" s="935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>
      <c r="A432" s="224"/>
      <c r="B432" s="229"/>
      <c r="C432" s="225"/>
      <c r="D432" s="227"/>
      <c r="E432" s="228"/>
      <c r="F432" s="33"/>
      <c r="G432" s="33"/>
      <c r="H432" s="33"/>
      <c r="I432" s="33"/>
      <c r="J432" s="230"/>
      <c r="K432" s="114"/>
      <c r="L432" s="881"/>
      <c r="M432" s="33"/>
      <c r="N432" s="33"/>
      <c r="O432" s="33"/>
      <c r="P432" s="33"/>
      <c r="Q432" s="33"/>
      <c r="R432" s="935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>
      <c r="A433" s="224"/>
      <c r="B433" s="229"/>
      <c r="C433" s="225"/>
      <c r="D433" s="227"/>
      <c r="E433" s="228"/>
      <c r="F433" s="33"/>
      <c r="G433" s="33"/>
      <c r="H433" s="33"/>
      <c r="I433" s="33"/>
      <c r="J433" s="230"/>
      <c r="K433" s="114"/>
      <c r="L433" s="881"/>
      <c r="M433" s="33"/>
      <c r="N433" s="33"/>
      <c r="O433" s="33"/>
      <c r="P433" s="33"/>
      <c r="Q433" s="33"/>
      <c r="R433" s="935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>
      <c r="A434" s="224"/>
      <c r="B434" s="229"/>
      <c r="C434" s="225"/>
      <c r="D434" s="227"/>
      <c r="E434" s="228"/>
      <c r="F434" s="33"/>
      <c r="G434" s="33"/>
      <c r="H434" s="33"/>
      <c r="I434" s="33"/>
      <c r="J434" s="230"/>
      <c r="K434" s="114"/>
      <c r="L434" s="881"/>
      <c r="M434" s="33"/>
      <c r="N434" s="33"/>
      <c r="O434" s="33"/>
      <c r="P434" s="33"/>
      <c r="Q434" s="33"/>
      <c r="R434" s="935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>
      <c r="A435" s="224"/>
      <c r="B435" s="229"/>
      <c r="C435" s="225"/>
      <c r="D435" s="227"/>
      <c r="E435" s="228"/>
      <c r="F435" s="33"/>
      <c r="G435" s="33"/>
      <c r="H435" s="33"/>
      <c r="I435" s="33"/>
      <c r="J435" s="230"/>
      <c r="K435" s="114"/>
      <c r="L435" s="881"/>
      <c r="M435" s="33"/>
      <c r="N435" s="33"/>
      <c r="O435" s="33"/>
      <c r="P435" s="33"/>
      <c r="Q435" s="33"/>
      <c r="R435" s="935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>
      <c r="A436" s="224"/>
      <c r="B436" s="229"/>
      <c r="C436" s="225"/>
      <c r="D436" s="227"/>
      <c r="E436" s="228"/>
      <c r="F436" s="33"/>
      <c r="G436" s="33"/>
      <c r="H436" s="33"/>
      <c r="I436" s="33"/>
      <c r="J436" s="230"/>
      <c r="K436" s="114"/>
      <c r="L436" s="881"/>
      <c r="M436" s="33"/>
      <c r="N436" s="33"/>
      <c r="O436" s="33"/>
      <c r="P436" s="33"/>
      <c r="Q436" s="33"/>
      <c r="R436" s="935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>
      <c r="A437" s="224"/>
      <c r="B437" s="229"/>
      <c r="C437" s="225"/>
      <c r="D437" s="227"/>
      <c r="E437" s="228"/>
      <c r="F437" s="33"/>
      <c r="G437" s="33"/>
      <c r="H437" s="33"/>
      <c r="I437" s="33"/>
      <c r="J437" s="230"/>
      <c r="K437" s="114"/>
      <c r="L437" s="881"/>
      <c r="M437" s="33"/>
      <c r="N437" s="33"/>
      <c r="O437" s="33"/>
      <c r="P437" s="33"/>
      <c r="Q437" s="33"/>
      <c r="R437" s="935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>
      <c r="A438" s="224"/>
      <c r="B438" s="229"/>
      <c r="C438" s="225"/>
      <c r="D438" s="227"/>
      <c r="E438" s="228"/>
      <c r="F438" s="33"/>
      <c r="G438" s="33"/>
      <c r="H438" s="33"/>
      <c r="I438" s="33"/>
      <c r="J438" s="230"/>
      <c r="K438" s="114"/>
      <c r="L438" s="881"/>
      <c r="M438" s="33"/>
      <c r="N438" s="33"/>
      <c r="O438" s="33"/>
      <c r="P438" s="33"/>
      <c r="Q438" s="33"/>
      <c r="R438" s="935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>
      <c r="A439" s="224"/>
      <c r="B439" s="229"/>
      <c r="C439" s="225"/>
      <c r="D439" s="227"/>
      <c r="E439" s="228"/>
      <c r="F439" s="33"/>
      <c r="G439" s="33"/>
      <c r="H439" s="33"/>
      <c r="I439" s="33"/>
      <c r="J439" s="230"/>
      <c r="K439" s="114"/>
      <c r="L439" s="881"/>
      <c r="M439" s="33"/>
      <c r="N439" s="33"/>
      <c r="O439" s="33"/>
      <c r="P439" s="33"/>
      <c r="Q439" s="33"/>
      <c r="R439" s="935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>
      <c r="A440" s="224"/>
      <c r="B440" s="229"/>
      <c r="C440" s="225"/>
      <c r="D440" s="227"/>
      <c r="E440" s="228"/>
      <c r="F440" s="33"/>
      <c r="G440" s="33"/>
      <c r="H440" s="33"/>
      <c r="I440" s="33"/>
      <c r="J440" s="230"/>
      <c r="K440" s="114"/>
      <c r="L440" s="881"/>
      <c r="M440" s="33"/>
      <c r="N440" s="33"/>
      <c r="O440" s="33"/>
      <c r="P440" s="33"/>
      <c r="Q440" s="33"/>
      <c r="R440" s="935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>
      <c r="A441" s="224"/>
      <c r="B441" s="229"/>
      <c r="C441" s="225"/>
      <c r="D441" s="227"/>
      <c r="E441" s="228"/>
      <c r="F441" s="33"/>
      <c r="G441" s="33"/>
      <c r="H441" s="33"/>
      <c r="I441" s="33"/>
      <c r="J441" s="230"/>
      <c r="K441" s="114"/>
      <c r="L441" s="881"/>
      <c r="M441" s="33"/>
      <c r="N441" s="33"/>
      <c r="O441" s="33"/>
      <c r="P441" s="33"/>
      <c r="Q441" s="33"/>
      <c r="R441" s="935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>
      <c r="A442" s="224"/>
      <c r="B442" s="229"/>
      <c r="C442" s="225"/>
      <c r="D442" s="227"/>
      <c r="E442" s="228"/>
      <c r="F442" s="33"/>
      <c r="G442" s="33"/>
      <c r="H442" s="33"/>
      <c r="I442" s="33"/>
      <c r="J442" s="230"/>
      <c r="K442" s="114"/>
      <c r="L442" s="881"/>
      <c r="M442" s="33"/>
      <c r="N442" s="33"/>
      <c r="O442" s="33"/>
      <c r="P442" s="33"/>
      <c r="Q442" s="33"/>
      <c r="R442" s="935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>
      <c r="A443" s="224"/>
      <c r="B443" s="229"/>
      <c r="C443" s="225"/>
      <c r="D443" s="227"/>
      <c r="E443" s="228"/>
      <c r="F443" s="33"/>
      <c r="G443" s="33"/>
      <c r="H443" s="33"/>
      <c r="I443" s="33"/>
      <c r="J443" s="230"/>
      <c r="K443" s="114"/>
      <c r="L443" s="881"/>
      <c r="M443" s="33"/>
      <c r="N443" s="33"/>
      <c r="O443" s="33"/>
      <c r="P443" s="33"/>
      <c r="Q443" s="33"/>
      <c r="R443" s="935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>
      <c r="A444" s="224"/>
      <c r="B444" s="229"/>
      <c r="C444" s="225"/>
      <c r="D444" s="227"/>
      <c r="E444" s="228"/>
      <c r="F444" s="33"/>
      <c r="G444" s="33"/>
      <c r="H444" s="33"/>
      <c r="I444" s="33"/>
      <c r="J444" s="230"/>
      <c r="K444" s="114"/>
      <c r="L444" s="881"/>
      <c r="M444" s="33"/>
      <c r="N444" s="33"/>
      <c r="O444" s="33"/>
      <c r="P444" s="33"/>
      <c r="Q444" s="33"/>
      <c r="R444" s="935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>
      <c r="A445" s="224"/>
      <c r="B445" s="229"/>
      <c r="C445" s="225"/>
      <c r="D445" s="227"/>
      <c r="E445" s="228"/>
      <c r="F445" s="33"/>
      <c r="G445" s="33"/>
      <c r="H445" s="33"/>
      <c r="I445" s="33"/>
      <c r="J445" s="230"/>
      <c r="K445" s="114"/>
      <c r="L445" s="881"/>
      <c r="M445" s="33"/>
      <c r="N445" s="33"/>
      <c r="O445" s="33"/>
      <c r="P445" s="33"/>
      <c r="Q445" s="33"/>
      <c r="R445" s="935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>
      <c r="A446" s="224"/>
      <c r="B446" s="229"/>
      <c r="C446" s="225"/>
      <c r="D446" s="227"/>
      <c r="E446" s="228"/>
      <c r="F446" s="33"/>
      <c r="G446" s="33"/>
      <c r="H446" s="33"/>
      <c r="I446" s="33"/>
      <c r="J446" s="230"/>
      <c r="K446" s="114"/>
      <c r="L446" s="881"/>
      <c r="M446" s="33"/>
      <c r="N446" s="33"/>
      <c r="O446" s="33"/>
      <c r="P446" s="33"/>
      <c r="Q446" s="33"/>
      <c r="R446" s="935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>
      <c r="A447" s="224"/>
      <c r="B447" s="229"/>
      <c r="C447" s="225"/>
      <c r="D447" s="227"/>
      <c r="E447" s="228"/>
      <c r="F447" s="33"/>
      <c r="G447" s="33"/>
      <c r="H447" s="33"/>
      <c r="I447" s="33"/>
      <c r="J447" s="230"/>
      <c r="K447" s="114"/>
      <c r="L447" s="881"/>
      <c r="M447" s="33"/>
      <c r="N447" s="33"/>
      <c r="O447" s="33"/>
      <c r="P447" s="33"/>
      <c r="Q447" s="33"/>
      <c r="R447" s="935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>
      <c r="A448" s="224"/>
      <c r="B448" s="229"/>
      <c r="C448" s="225"/>
      <c r="D448" s="227"/>
      <c r="E448" s="228"/>
      <c r="F448" s="33"/>
      <c r="G448" s="33"/>
      <c r="H448" s="33"/>
      <c r="I448" s="33"/>
      <c r="J448" s="230"/>
      <c r="K448" s="114"/>
      <c r="L448" s="881"/>
      <c r="M448" s="33"/>
      <c r="N448" s="33"/>
      <c r="O448" s="33"/>
      <c r="P448" s="33"/>
      <c r="Q448" s="33"/>
      <c r="R448" s="935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>
      <c r="A449" s="224"/>
      <c r="B449" s="229"/>
      <c r="C449" s="225"/>
      <c r="D449" s="227"/>
      <c r="E449" s="228"/>
      <c r="F449" s="33"/>
      <c r="G449" s="33"/>
      <c r="H449" s="33"/>
      <c r="I449" s="33"/>
      <c r="J449" s="230"/>
      <c r="K449" s="114"/>
      <c r="L449" s="881"/>
      <c r="M449" s="33"/>
      <c r="N449" s="33"/>
      <c r="O449" s="33"/>
      <c r="P449" s="33"/>
      <c r="Q449" s="33"/>
      <c r="R449" s="935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>
      <c r="A450" s="224"/>
      <c r="B450" s="229"/>
      <c r="C450" s="225"/>
      <c r="D450" s="227"/>
      <c r="E450" s="228"/>
      <c r="F450" s="33"/>
      <c r="G450" s="33"/>
      <c r="H450" s="33"/>
      <c r="I450" s="33"/>
      <c r="J450" s="230"/>
      <c r="K450" s="114"/>
      <c r="L450" s="881"/>
      <c r="M450" s="33"/>
      <c r="N450" s="33"/>
      <c r="O450" s="33"/>
      <c r="P450" s="33"/>
      <c r="Q450" s="33"/>
      <c r="R450" s="935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>
      <c r="A451" s="224"/>
      <c r="B451" s="229"/>
      <c r="C451" s="225"/>
      <c r="D451" s="227"/>
      <c r="E451" s="228"/>
      <c r="F451" s="33"/>
      <c r="G451" s="33"/>
      <c r="H451" s="33"/>
      <c r="I451" s="33"/>
      <c r="J451" s="230"/>
      <c r="K451" s="114"/>
      <c r="L451" s="881"/>
      <c r="M451" s="33"/>
      <c r="N451" s="33"/>
      <c r="O451" s="33"/>
      <c r="P451" s="33"/>
      <c r="Q451" s="33"/>
      <c r="R451" s="935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>
      <c r="A452" s="224"/>
      <c r="B452" s="229"/>
      <c r="C452" s="225"/>
      <c r="D452" s="227"/>
      <c r="E452" s="228"/>
      <c r="F452" s="33"/>
      <c r="G452" s="33"/>
      <c r="H452" s="33"/>
      <c r="I452" s="33"/>
      <c r="J452" s="230"/>
      <c r="K452" s="114"/>
      <c r="L452" s="881"/>
      <c r="M452" s="33"/>
      <c r="N452" s="33"/>
      <c r="O452" s="33"/>
      <c r="P452" s="33"/>
      <c r="Q452" s="33"/>
      <c r="R452" s="935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>
      <c r="A453" s="224"/>
      <c r="B453" s="229"/>
      <c r="C453" s="225"/>
      <c r="D453" s="227"/>
      <c r="E453" s="228"/>
      <c r="F453" s="33"/>
      <c r="G453" s="33"/>
      <c r="H453" s="33"/>
      <c r="I453" s="33"/>
      <c r="J453" s="230"/>
      <c r="K453" s="114"/>
      <c r="L453" s="881"/>
      <c r="M453" s="33"/>
      <c r="N453" s="33"/>
      <c r="O453" s="33"/>
      <c r="P453" s="33"/>
      <c r="Q453" s="33"/>
      <c r="R453" s="935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>
      <c r="A454" s="224"/>
      <c r="B454" s="229"/>
      <c r="C454" s="225"/>
      <c r="D454" s="227"/>
      <c r="E454" s="228"/>
      <c r="F454" s="33"/>
      <c r="G454" s="33"/>
      <c r="H454" s="33"/>
      <c r="I454" s="33"/>
      <c r="J454" s="230"/>
      <c r="K454" s="114"/>
      <c r="L454" s="881"/>
      <c r="M454" s="33"/>
      <c r="N454" s="33"/>
      <c r="O454" s="33"/>
      <c r="P454" s="33"/>
      <c r="Q454" s="33"/>
      <c r="R454" s="935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>
      <c r="A455" s="224"/>
      <c r="B455" s="229"/>
      <c r="C455" s="225"/>
      <c r="D455" s="227"/>
      <c r="E455" s="228"/>
      <c r="F455" s="33"/>
      <c r="G455" s="33"/>
      <c r="H455" s="33"/>
      <c r="I455" s="33"/>
      <c r="J455" s="230"/>
      <c r="K455" s="114"/>
      <c r="L455" s="881"/>
      <c r="M455" s="33"/>
      <c r="N455" s="33"/>
      <c r="O455" s="33"/>
      <c r="P455" s="33"/>
      <c r="Q455" s="33"/>
      <c r="R455" s="935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>
      <c r="A456" s="224"/>
      <c r="B456" s="229"/>
      <c r="C456" s="225"/>
      <c r="D456" s="227"/>
      <c r="E456" s="228"/>
      <c r="F456" s="33"/>
      <c r="G456" s="33"/>
      <c r="H456" s="33"/>
      <c r="I456" s="33"/>
      <c r="J456" s="230"/>
      <c r="K456" s="114"/>
      <c r="L456" s="881"/>
      <c r="M456" s="33"/>
      <c r="N456" s="33"/>
      <c r="O456" s="33"/>
      <c r="P456" s="33"/>
      <c r="Q456" s="33"/>
      <c r="R456" s="935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>
      <c r="A457" s="224"/>
      <c r="B457" s="229"/>
      <c r="C457" s="225"/>
      <c r="D457" s="227"/>
      <c r="E457" s="228"/>
      <c r="F457" s="33"/>
      <c r="G457" s="33"/>
      <c r="H457" s="33"/>
      <c r="I457" s="33"/>
      <c r="J457" s="230"/>
      <c r="K457" s="114"/>
      <c r="L457" s="881"/>
      <c r="M457" s="33"/>
      <c r="N457" s="33"/>
      <c r="O457" s="33"/>
      <c r="P457" s="33"/>
      <c r="Q457" s="33"/>
      <c r="R457" s="935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>
      <c r="A458" s="224"/>
      <c r="B458" s="229"/>
      <c r="C458" s="225"/>
      <c r="D458" s="227"/>
      <c r="E458" s="228"/>
      <c r="F458" s="33"/>
      <c r="G458" s="33"/>
      <c r="H458" s="33"/>
      <c r="I458" s="33"/>
      <c r="J458" s="230"/>
      <c r="K458" s="114"/>
      <c r="L458" s="881"/>
      <c r="M458" s="33"/>
      <c r="N458" s="33"/>
      <c r="O458" s="33"/>
      <c r="P458" s="33"/>
      <c r="Q458" s="33"/>
      <c r="R458" s="935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>
      <c r="A459" s="224"/>
      <c r="B459" s="229"/>
      <c r="C459" s="225"/>
      <c r="D459" s="227"/>
      <c r="E459" s="228"/>
      <c r="F459" s="33"/>
      <c r="G459" s="33"/>
      <c r="H459" s="33"/>
      <c r="I459" s="33"/>
      <c r="J459" s="230"/>
      <c r="K459" s="114"/>
      <c r="L459" s="881"/>
      <c r="M459" s="33"/>
      <c r="N459" s="33"/>
      <c r="O459" s="33"/>
      <c r="P459" s="33"/>
      <c r="Q459" s="33"/>
      <c r="R459" s="935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>
      <c r="A460" s="224"/>
      <c r="B460" s="229"/>
      <c r="C460" s="225"/>
      <c r="D460" s="227"/>
      <c r="E460" s="228"/>
      <c r="F460" s="33"/>
      <c r="G460" s="33"/>
      <c r="H460" s="33"/>
      <c r="I460" s="33"/>
      <c r="J460" s="230"/>
      <c r="K460" s="114"/>
      <c r="L460" s="881"/>
      <c r="M460" s="33"/>
      <c r="N460" s="33"/>
      <c r="O460" s="33"/>
      <c r="P460" s="33"/>
      <c r="Q460" s="33"/>
      <c r="R460" s="935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>
      <c r="A461" s="224"/>
      <c r="B461" s="229"/>
      <c r="C461" s="225"/>
      <c r="D461" s="227"/>
      <c r="E461" s="228"/>
      <c r="F461" s="33"/>
      <c r="G461" s="33"/>
      <c r="H461" s="33"/>
      <c r="I461" s="33"/>
      <c r="J461" s="230"/>
      <c r="K461" s="114"/>
      <c r="L461" s="881"/>
      <c r="M461" s="33"/>
      <c r="N461" s="33"/>
      <c r="O461" s="33"/>
      <c r="P461" s="33"/>
      <c r="Q461" s="33"/>
      <c r="R461" s="935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>
      <c r="A462" s="224"/>
      <c r="B462" s="229"/>
      <c r="C462" s="225"/>
      <c r="D462" s="227"/>
      <c r="E462" s="228"/>
      <c r="F462" s="33"/>
      <c r="G462" s="33"/>
      <c r="H462" s="33"/>
      <c r="I462" s="33"/>
      <c r="J462" s="230"/>
      <c r="K462" s="114"/>
      <c r="L462" s="881"/>
      <c r="M462" s="33"/>
      <c r="N462" s="33"/>
      <c r="O462" s="33"/>
      <c r="P462" s="33"/>
      <c r="Q462" s="33"/>
      <c r="R462" s="935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>
      <c r="A463" s="224"/>
      <c r="B463" s="229"/>
      <c r="C463" s="225"/>
      <c r="D463" s="227"/>
      <c r="E463" s="228"/>
      <c r="F463" s="33"/>
      <c r="G463" s="33"/>
      <c r="H463" s="33"/>
      <c r="I463" s="33"/>
      <c r="J463" s="230"/>
      <c r="K463" s="114"/>
      <c r="L463" s="881"/>
      <c r="M463" s="33"/>
      <c r="N463" s="33"/>
      <c r="O463" s="33"/>
      <c r="P463" s="33"/>
      <c r="Q463" s="33"/>
      <c r="R463" s="935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>
      <c r="A464" s="224"/>
      <c r="B464" s="229"/>
      <c r="C464" s="225"/>
      <c r="D464" s="227"/>
      <c r="E464" s="228"/>
      <c r="F464" s="33"/>
      <c r="G464" s="33"/>
      <c r="H464" s="33"/>
      <c r="I464" s="33"/>
      <c r="J464" s="230"/>
      <c r="K464" s="114"/>
      <c r="L464" s="881"/>
      <c r="M464" s="33"/>
      <c r="N464" s="33"/>
      <c r="O464" s="33"/>
      <c r="P464" s="33"/>
      <c r="Q464" s="33"/>
      <c r="R464" s="935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>
      <c r="A465" s="224"/>
      <c r="B465" s="229"/>
      <c r="C465" s="225"/>
      <c r="D465" s="227"/>
      <c r="E465" s="228"/>
      <c r="F465" s="33"/>
      <c r="G465" s="33"/>
      <c r="H465" s="33"/>
      <c r="I465" s="33"/>
      <c r="J465" s="230"/>
      <c r="K465" s="114"/>
      <c r="L465" s="881"/>
      <c r="M465" s="33"/>
      <c r="N465" s="33"/>
      <c r="O465" s="33"/>
      <c r="P465" s="33"/>
      <c r="Q465" s="33"/>
      <c r="R465" s="935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>
      <c r="A466" s="224"/>
      <c r="B466" s="229"/>
      <c r="C466" s="225"/>
      <c r="D466" s="227"/>
      <c r="E466" s="228"/>
      <c r="F466" s="33"/>
      <c r="G466" s="33"/>
      <c r="H466" s="33"/>
      <c r="I466" s="33"/>
      <c r="J466" s="230"/>
      <c r="K466" s="114"/>
      <c r="L466" s="881"/>
      <c r="M466" s="33"/>
      <c r="N466" s="33"/>
      <c r="O466" s="33"/>
      <c r="P466" s="33"/>
      <c r="Q466" s="33"/>
      <c r="R466" s="935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>
      <c r="A467" s="224"/>
      <c r="B467" s="229"/>
      <c r="C467" s="225"/>
      <c r="D467" s="227"/>
      <c r="E467" s="228"/>
      <c r="F467" s="33"/>
      <c r="G467" s="33"/>
      <c r="H467" s="33"/>
      <c r="I467" s="33"/>
      <c r="J467" s="230"/>
      <c r="K467" s="114"/>
      <c r="L467" s="881"/>
      <c r="M467" s="33"/>
      <c r="N467" s="33"/>
      <c r="O467" s="33"/>
      <c r="P467" s="33"/>
      <c r="Q467" s="33"/>
      <c r="R467" s="935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>
      <c r="A468" s="224"/>
      <c r="B468" s="229"/>
      <c r="C468" s="225"/>
      <c r="D468" s="227"/>
      <c r="E468" s="228"/>
      <c r="F468" s="33"/>
      <c r="G468" s="33"/>
      <c r="H468" s="33"/>
      <c r="I468" s="33"/>
      <c r="J468" s="230"/>
      <c r="K468" s="114"/>
      <c r="L468" s="881"/>
      <c r="M468" s="33"/>
      <c r="N468" s="33"/>
      <c r="O468" s="33"/>
      <c r="P468" s="33"/>
      <c r="Q468" s="33"/>
      <c r="R468" s="935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>
      <c r="A469" s="224"/>
      <c r="B469" s="229"/>
      <c r="C469" s="225"/>
      <c r="D469" s="227"/>
      <c r="E469" s="228"/>
      <c r="F469" s="33"/>
      <c r="G469" s="33"/>
      <c r="H469" s="33"/>
      <c r="I469" s="33"/>
      <c r="J469" s="230"/>
      <c r="K469" s="114"/>
      <c r="L469" s="881"/>
      <c r="M469" s="33"/>
      <c r="N469" s="33"/>
      <c r="O469" s="33"/>
      <c r="P469" s="33"/>
      <c r="Q469" s="33"/>
      <c r="R469" s="935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>
      <c r="A470" s="224"/>
      <c r="B470" s="229"/>
      <c r="C470" s="225"/>
      <c r="D470" s="227"/>
      <c r="E470" s="228"/>
      <c r="F470" s="33"/>
      <c r="G470" s="33"/>
      <c r="H470" s="33"/>
      <c r="I470" s="33"/>
      <c r="J470" s="230"/>
      <c r="K470" s="114"/>
      <c r="L470" s="881"/>
      <c r="M470" s="33"/>
      <c r="N470" s="33"/>
      <c r="O470" s="33"/>
      <c r="P470" s="33"/>
      <c r="Q470" s="33"/>
      <c r="R470" s="935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>
      <c r="A471" s="224"/>
      <c r="B471" s="229"/>
      <c r="C471" s="225"/>
      <c r="D471" s="227"/>
      <c r="E471" s="228"/>
      <c r="F471" s="33"/>
      <c r="G471" s="33"/>
      <c r="H471" s="33"/>
      <c r="I471" s="33"/>
      <c r="J471" s="230"/>
      <c r="K471" s="114"/>
      <c r="L471" s="881"/>
      <c r="M471" s="33"/>
      <c r="N471" s="33"/>
      <c r="O471" s="33"/>
      <c r="P471" s="33"/>
      <c r="Q471" s="33"/>
      <c r="R471" s="935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>
      <c r="A472" s="224"/>
      <c r="B472" s="229"/>
      <c r="C472" s="225"/>
      <c r="D472" s="227"/>
      <c r="E472" s="228"/>
      <c r="F472" s="33"/>
      <c r="G472" s="33"/>
      <c r="H472" s="33"/>
      <c r="I472" s="33"/>
      <c r="J472" s="230"/>
      <c r="K472" s="114"/>
      <c r="L472" s="881"/>
      <c r="M472" s="33"/>
      <c r="N472" s="33"/>
      <c r="O472" s="33"/>
      <c r="P472" s="33"/>
      <c r="Q472" s="33"/>
      <c r="R472" s="935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>
      <c r="A473" s="224"/>
      <c r="B473" s="229"/>
      <c r="C473" s="225"/>
      <c r="D473" s="227"/>
      <c r="E473" s="228"/>
      <c r="F473" s="33"/>
      <c r="G473" s="33"/>
      <c r="H473" s="33"/>
      <c r="I473" s="33"/>
      <c r="J473" s="230"/>
      <c r="K473" s="114"/>
      <c r="L473" s="881"/>
      <c r="M473" s="33"/>
      <c r="N473" s="33"/>
      <c r="O473" s="33"/>
      <c r="P473" s="33"/>
      <c r="Q473" s="33"/>
      <c r="R473" s="935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>
      <c r="A474" s="224"/>
      <c r="B474" s="229"/>
      <c r="C474" s="225"/>
      <c r="D474" s="227"/>
      <c r="E474" s="228"/>
      <c r="F474" s="33"/>
      <c r="G474" s="33"/>
      <c r="H474" s="33"/>
      <c r="I474" s="33"/>
      <c r="J474" s="230"/>
      <c r="K474" s="114"/>
      <c r="L474" s="881"/>
      <c r="M474" s="33"/>
      <c r="N474" s="33"/>
      <c r="O474" s="33"/>
      <c r="P474" s="33"/>
      <c r="Q474" s="33"/>
      <c r="R474" s="935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>
      <c r="A475" s="224"/>
      <c r="B475" s="229"/>
      <c r="C475" s="225"/>
      <c r="D475" s="227"/>
      <c r="E475" s="228"/>
      <c r="F475" s="33"/>
      <c r="G475" s="33"/>
      <c r="H475" s="33"/>
      <c r="I475" s="33"/>
      <c r="J475" s="230"/>
      <c r="K475" s="114"/>
      <c r="L475" s="881"/>
      <c r="M475" s="33"/>
      <c r="N475" s="33"/>
      <c r="O475" s="33"/>
      <c r="P475" s="33"/>
      <c r="Q475" s="33"/>
      <c r="R475" s="935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>
      <c r="A476" s="224"/>
      <c r="B476" s="229"/>
      <c r="C476" s="225"/>
      <c r="D476" s="227"/>
      <c r="E476" s="228"/>
      <c r="F476" s="33"/>
      <c r="G476" s="33"/>
      <c r="H476" s="33"/>
      <c r="I476" s="33"/>
      <c r="J476" s="230"/>
      <c r="K476" s="114"/>
      <c r="L476" s="881"/>
      <c r="M476" s="33"/>
      <c r="N476" s="33"/>
      <c r="O476" s="33"/>
      <c r="P476" s="33"/>
      <c r="Q476" s="33"/>
      <c r="R476" s="935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>
      <c r="A477" s="224"/>
      <c r="B477" s="229"/>
      <c r="C477" s="225"/>
      <c r="D477" s="227"/>
      <c r="E477" s="228"/>
      <c r="F477" s="33"/>
      <c r="G477" s="33"/>
      <c r="H477" s="33"/>
      <c r="I477" s="33"/>
      <c r="J477" s="230"/>
      <c r="K477" s="114"/>
      <c r="L477" s="881"/>
      <c r="M477" s="33"/>
      <c r="N477" s="33"/>
      <c r="O477" s="33"/>
      <c r="P477" s="33"/>
      <c r="Q477" s="33"/>
      <c r="R477" s="935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>
      <c r="A478" s="224"/>
      <c r="B478" s="229"/>
      <c r="C478" s="225"/>
      <c r="D478" s="227"/>
      <c r="E478" s="228"/>
      <c r="F478" s="33"/>
      <c r="G478" s="33"/>
      <c r="H478" s="33"/>
      <c r="I478" s="33"/>
      <c r="J478" s="230"/>
      <c r="K478" s="114"/>
      <c r="L478" s="881"/>
      <c r="M478" s="33"/>
      <c r="N478" s="33"/>
      <c r="O478" s="33"/>
      <c r="P478" s="33"/>
      <c r="Q478" s="33"/>
      <c r="R478" s="935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>
      <c r="A479" s="224"/>
      <c r="B479" s="229"/>
      <c r="C479" s="225"/>
      <c r="D479" s="227"/>
      <c r="E479" s="228"/>
      <c r="F479" s="33"/>
      <c r="G479" s="33"/>
      <c r="H479" s="33"/>
      <c r="I479" s="33"/>
      <c r="J479" s="230"/>
      <c r="K479" s="114"/>
      <c r="L479" s="881"/>
      <c r="M479" s="33"/>
      <c r="N479" s="33"/>
      <c r="O479" s="33"/>
      <c r="P479" s="33"/>
      <c r="Q479" s="33"/>
      <c r="R479" s="935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>
      <c r="A480" s="224"/>
      <c r="B480" s="229"/>
      <c r="C480" s="225"/>
      <c r="D480" s="227"/>
      <c r="E480" s="228"/>
      <c r="F480" s="33"/>
      <c r="G480" s="33"/>
      <c r="H480" s="33"/>
      <c r="I480" s="33"/>
      <c r="J480" s="230"/>
      <c r="K480" s="114"/>
      <c r="L480" s="881"/>
      <c r="M480" s="33"/>
      <c r="N480" s="33"/>
      <c r="O480" s="33"/>
      <c r="P480" s="33"/>
      <c r="Q480" s="33"/>
      <c r="R480" s="935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>
      <c r="A481" s="224"/>
      <c r="B481" s="229"/>
      <c r="C481" s="225"/>
      <c r="D481" s="227"/>
      <c r="E481" s="228"/>
      <c r="F481" s="33"/>
      <c r="G481" s="33"/>
      <c r="H481" s="33"/>
      <c r="I481" s="33"/>
      <c r="J481" s="230"/>
      <c r="K481" s="114"/>
      <c r="L481" s="881"/>
      <c r="M481" s="33"/>
      <c r="N481" s="33"/>
      <c r="O481" s="33"/>
      <c r="P481" s="33"/>
      <c r="Q481" s="33"/>
      <c r="R481" s="935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>
      <c r="A482" s="224"/>
      <c r="B482" s="229"/>
      <c r="C482" s="225"/>
      <c r="D482" s="227"/>
      <c r="E482" s="228"/>
      <c r="F482" s="33"/>
      <c r="G482" s="33"/>
      <c r="H482" s="33"/>
      <c r="I482" s="33"/>
      <c r="J482" s="230"/>
      <c r="K482" s="114"/>
      <c r="L482" s="881"/>
      <c r="M482" s="33"/>
      <c r="N482" s="33"/>
      <c r="O482" s="33"/>
      <c r="P482" s="33"/>
      <c r="Q482" s="33"/>
      <c r="R482" s="935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>
      <c r="A483" s="224"/>
      <c r="B483" s="229"/>
      <c r="C483" s="225"/>
      <c r="D483" s="227"/>
      <c r="E483" s="228"/>
      <c r="F483" s="33"/>
      <c r="G483" s="33"/>
      <c r="H483" s="33"/>
      <c r="I483" s="33"/>
      <c r="J483" s="230"/>
      <c r="K483" s="114"/>
      <c r="L483" s="881"/>
      <c r="M483" s="33"/>
      <c r="N483" s="33"/>
      <c r="O483" s="33"/>
      <c r="P483" s="33"/>
      <c r="Q483" s="33"/>
      <c r="R483" s="935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>
      <c r="A484" s="224"/>
      <c r="B484" s="229"/>
      <c r="C484" s="225"/>
      <c r="D484" s="227"/>
      <c r="E484" s="228"/>
      <c r="F484" s="33"/>
      <c r="G484" s="33"/>
      <c r="H484" s="33"/>
      <c r="I484" s="33"/>
      <c r="J484" s="230"/>
      <c r="K484" s="114"/>
      <c r="L484" s="881"/>
      <c r="M484" s="33"/>
      <c r="N484" s="33"/>
      <c r="O484" s="33"/>
      <c r="P484" s="33"/>
      <c r="Q484" s="33"/>
      <c r="R484" s="935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>
      <c r="A485" s="224"/>
      <c r="B485" s="229"/>
      <c r="C485" s="225"/>
      <c r="D485" s="227"/>
      <c r="E485" s="228"/>
      <c r="F485" s="33"/>
      <c r="G485" s="33"/>
      <c r="H485" s="33"/>
      <c r="I485" s="33"/>
      <c r="J485" s="230"/>
      <c r="K485" s="114"/>
      <c r="L485" s="881"/>
      <c r="M485" s="33"/>
      <c r="N485" s="33"/>
      <c r="O485" s="33"/>
      <c r="P485" s="33"/>
      <c r="Q485" s="33"/>
      <c r="R485" s="935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>
      <c r="A486" s="224"/>
      <c r="B486" s="229"/>
      <c r="C486" s="225"/>
      <c r="D486" s="227"/>
      <c r="E486" s="228"/>
      <c r="F486" s="33"/>
      <c r="G486" s="33"/>
      <c r="H486" s="33"/>
      <c r="I486" s="33"/>
      <c r="J486" s="230"/>
      <c r="K486" s="114"/>
      <c r="L486" s="881"/>
      <c r="M486" s="33"/>
      <c r="N486" s="33"/>
      <c r="O486" s="33"/>
      <c r="P486" s="33"/>
      <c r="Q486" s="33"/>
      <c r="R486" s="935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>
      <c r="A487" s="224"/>
      <c r="B487" s="229"/>
      <c r="C487" s="225"/>
      <c r="D487" s="227"/>
      <c r="E487" s="228"/>
      <c r="F487" s="33"/>
      <c r="G487" s="33"/>
      <c r="H487" s="33"/>
      <c r="I487" s="33"/>
      <c r="J487" s="230"/>
      <c r="K487" s="114"/>
      <c r="L487" s="881"/>
      <c r="M487" s="33"/>
      <c r="N487" s="33"/>
      <c r="O487" s="33"/>
      <c r="P487" s="33"/>
      <c r="Q487" s="33"/>
      <c r="R487" s="935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>
      <c r="A488" s="224"/>
      <c r="B488" s="229"/>
      <c r="C488" s="225"/>
      <c r="D488" s="227"/>
      <c r="E488" s="228"/>
      <c r="F488" s="33"/>
      <c r="G488" s="33"/>
      <c r="H488" s="33"/>
      <c r="I488" s="33"/>
      <c r="J488" s="230"/>
      <c r="K488" s="114"/>
      <c r="L488" s="881"/>
      <c r="M488" s="33"/>
      <c r="N488" s="33"/>
      <c r="O488" s="33"/>
      <c r="P488" s="33"/>
      <c r="Q488" s="33"/>
      <c r="R488" s="935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>
      <c r="A489" s="224"/>
      <c r="B489" s="229"/>
      <c r="C489" s="225"/>
      <c r="D489" s="227"/>
      <c r="E489" s="228"/>
      <c r="F489" s="33"/>
      <c r="G489" s="33"/>
      <c r="H489" s="33"/>
      <c r="I489" s="33"/>
      <c r="J489" s="230"/>
      <c r="K489" s="114"/>
      <c r="L489" s="881"/>
      <c r="M489" s="33"/>
      <c r="N489" s="33"/>
      <c r="O489" s="33"/>
      <c r="P489" s="33"/>
      <c r="Q489" s="33"/>
      <c r="R489" s="935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>
      <c r="A490" s="224"/>
      <c r="B490" s="229"/>
      <c r="C490" s="225"/>
      <c r="D490" s="227"/>
      <c r="E490" s="228"/>
      <c r="F490" s="33"/>
      <c r="G490" s="33"/>
      <c r="H490" s="33"/>
      <c r="I490" s="33"/>
      <c r="J490" s="230"/>
      <c r="K490" s="114"/>
      <c r="L490" s="881"/>
      <c r="M490" s="33"/>
      <c r="N490" s="33"/>
      <c r="O490" s="33"/>
      <c r="P490" s="33"/>
      <c r="Q490" s="33"/>
      <c r="R490" s="935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>
      <c r="A491" s="224"/>
      <c r="B491" s="229"/>
      <c r="C491" s="225"/>
      <c r="D491" s="227"/>
      <c r="E491" s="228"/>
      <c r="F491" s="33"/>
      <c r="G491" s="33"/>
      <c r="H491" s="33"/>
      <c r="I491" s="33"/>
      <c r="J491" s="230"/>
      <c r="K491" s="114"/>
      <c r="L491" s="881"/>
      <c r="M491" s="33"/>
      <c r="N491" s="33"/>
      <c r="O491" s="33"/>
      <c r="P491" s="33"/>
      <c r="Q491" s="33"/>
      <c r="R491" s="935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>
      <c r="A492" s="224"/>
      <c r="B492" s="229"/>
      <c r="C492" s="225"/>
      <c r="D492" s="227"/>
      <c r="E492" s="228"/>
      <c r="F492" s="33"/>
      <c r="G492" s="33"/>
      <c r="H492" s="33"/>
      <c r="I492" s="33"/>
      <c r="J492" s="230"/>
      <c r="K492" s="114"/>
      <c r="L492" s="881"/>
      <c r="M492" s="33"/>
      <c r="N492" s="33"/>
      <c r="O492" s="33"/>
      <c r="P492" s="33"/>
      <c r="Q492" s="33"/>
      <c r="R492" s="935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>
      <c r="A493" s="224"/>
      <c r="B493" s="229"/>
      <c r="C493" s="225"/>
      <c r="D493" s="227"/>
      <c r="E493" s="228"/>
      <c r="F493" s="33"/>
      <c r="G493" s="33"/>
      <c r="H493" s="33"/>
      <c r="I493" s="33"/>
      <c r="J493" s="230"/>
      <c r="K493" s="114"/>
      <c r="L493" s="881"/>
      <c r="M493" s="33"/>
      <c r="N493" s="33"/>
      <c r="O493" s="33"/>
      <c r="P493" s="33"/>
      <c r="Q493" s="33"/>
      <c r="R493" s="935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>
      <c r="A494" s="224"/>
      <c r="B494" s="229"/>
      <c r="C494" s="225"/>
      <c r="D494" s="227"/>
      <c r="E494" s="228"/>
      <c r="F494" s="33"/>
      <c r="G494" s="33"/>
      <c r="H494" s="33"/>
      <c r="I494" s="33"/>
      <c r="J494" s="230"/>
      <c r="K494" s="114"/>
      <c r="L494" s="881"/>
      <c r="M494" s="33"/>
      <c r="N494" s="33"/>
      <c r="O494" s="33"/>
      <c r="P494" s="33"/>
      <c r="Q494" s="33"/>
      <c r="R494" s="935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>
      <c r="A495" s="224"/>
      <c r="B495" s="229"/>
      <c r="C495" s="225"/>
      <c r="D495" s="227"/>
      <c r="E495" s="228"/>
      <c r="F495" s="33"/>
      <c r="G495" s="33"/>
      <c r="H495" s="33"/>
      <c r="I495" s="33"/>
      <c r="J495" s="230"/>
      <c r="K495" s="114"/>
      <c r="L495" s="881"/>
      <c r="M495" s="33"/>
      <c r="N495" s="33"/>
      <c r="O495" s="33"/>
      <c r="P495" s="33"/>
      <c r="Q495" s="33"/>
      <c r="R495" s="935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>
      <c r="A496" s="224"/>
      <c r="B496" s="229"/>
      <c r="C496" s="225"/>
      <c r="D496" s="227"/>
      <c r="E496" s="228"/>
      <c r="F496" s="33"/>
      <c r="G496" s="33"/>
      <c r="H496" s="33"/>
      <c r="I496" s="33"/>
      <c r="J496" s="230"/>
      <c r="K496" s="114"/>
      <c r="L496" s="881"/>
      <c r="M496" s="33"/>
      <c r="N496" s="33"/>
      <c r="O496" s="33"/>
      <c r="P496" s="33"/>
      <c r="Q496" s="33"/>
      <c r="R496" s="935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>
      <c r="A497" s="224"/>
      <c r="B497" s="229"/>
      <c r="C497" s="225"/>
      <c r="D497" s="227"/>
      <c r="E497" s="228"/>
      <c r="F497" s="33"/>
      <c r="G497" s="33"/>
      <c r="H497" s="33"/>
      <c r="I497" s="33"/>
      <c r="J497" s="230"/>
      <c r="K497" s="114"/>
      <c r="L497" s="881"/>
      <c r="M497" s="33"/>
      <c r="N497" s="33"/>
      <c r="O497" s="33"/>
      <c r="P497" s="33"/>
      <c r="Q497" s="33"/>
      <c r="R497" s="935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>
      <c r="A498" s="224"/>
      <c r="B498" s="229"/>
      <c r="C498" s="225"/>
      <c r="D498" s="227"/>
      <c r="E498" s="228"/>
      <c r="F498" s="33"/>
      <c r="G498" s="33"/>
      <c r="H498" s="33"/>
      <c r="I498" s="33"/>
      <c r="J498" s="230"/>
      <c r="K498" s="114"/>
      <c r="L498" s="881"/>
      <c r="M498" s="33"/>
      <c r="N498" s="33"/>
      <c r="O498" s="33"/>
      <c r="P498" s="33"/>
      <c r="Q498" s="33"/>
      <c r="R498" s="935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>
      <c r="A499" s="224"/>
      <c r="B499" s="229"/>
      <c r="C499" s="225"/>
      <c r="D499" s="227"/>
      <c r="E499" s="228"/>
      <c r="F499" s="33"/>
      <c r="G499" s="33"/>
      <c r="H499" s="33"/>
      <c r="I499" s="33"/>
      <c r="J499" s="230"/>
      <c r="K499" s="114"/>
      <c r="L499" s="881"/>
      <c r="M499" s="33"/>
      <c r="N499" s="33"/>
      <c r="O499" s="33"/>
      <c r="P499" s="33"/>
      <c r="Q499" s="33"/>
      <c r="R499" s="935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>
      <c r="A500" s="224"/>
      <c r="B500" s="229"/>
      <c r="C500" s="225"/>
      <c r="D500" s="227"/>
      <c r="E500" s="228"/>
      <c r="F500" s="33"/>
      <c r="G500" s="33"/>
      <c r="H500" s="33"/>
      <c r="I500" s="33"/>
      <c r="J500" s="230"/>
      <c r="K500" s="114"/>
      <c r="L500" s="881"/>
      <c r="M500" s="33"/>
      <c r="N500" s="33"/>
      <c r="O500" s="33"/>
      <c r="P500" s="33"/>
      <c r="Q500" s="33"/>
      <c r="R500" s="935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>
      <c r="A501" s="224"/>
      <c r="B501" s="229"/>
      <c r="C501" s="225"/>
      <c r="D501" s="227"/>
      <c r="E501" s="228"/>
      <c r="F501" s="33"/>
      <c r="G501" s="33"/>
      <c r="H501" s="33"/>
      <c r="I501" s="33"/>
      <c r="J501" s="230"/>
      <c r="K501" s="114"/>
      <c r="L501" s="881"/>
      <c r="M501" s="33"/>
      <c r="N501" s="33"/>
      <c r="O501" s="33"/>
      <c r="P501" s="33"/>
      <c r="Q501" s="33"/>
      <c r="R501" s="935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>
      <c r="A502" s="224"/>
      <c r="B502" s="229"/>
      <c r="C502" s="225"/>
      <c r="D502" s="227"/>
      <c r="E502" s="228"/>
      <c r="F502" s="33"/>
      <c r="G502" s="33"/>
      <c r="H502" s="33"/>
      <c r="I502" s="33"/>
      <c r="J502" s="230"/>
      <c r="K502" s="114"/>
      <c r="L502" s="881"/>
      <c r="M502" s="33"/>
      <c r="N502" s="33"/>
      <c r="O502" s="33"/>
      <c r="P502" s="33"/>
      <c r="Q502" s="33"/>
      <c r="R502" s="935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>
      <c r="A503" s="224"/>
      <c r="B503" s="229"/>
      <c r="C503" s="225"/>
      <c r="D503" s="227"/>
      <c r="E503" s="228"/>
      <c r="F503" s="33"/>
      <c r="G503" s="33"/>
      <c r="H503" s="33"/>
      <c r="I503" s="33"/>
      <c r="J503" s="230"/>
      <c r="K503" s="114"/>
      <c r="L503" s="881"/>
      <c r="M503" s="33"/>
      <c r="N503" s="33"/>
      <c r="O503" s="33"/>
      <c r="P503" s="33"/>
      <c r="Q503" s="33"/>
      <c r="R503" s="935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>
      <c r="A504" s="224"/>
      <c r="B504" s="229"/>
      <c r="C504" s="225"/>
      <c r="D504" s="227"/>
      <c r="E504" s="228"/>
      <c r="F504" s="33"/>
      <c r="G504" s="33"/>
      <c r="H504" s="33"/>
      <c r="I504" s="33"/>
      <c r="J504" s="230"/>
      <c r="K504" s="114"/>
      <c r="L504" s="881"/>
      <c r="M504" s="33"/>
      <c r="N504" s="33"/>
      <c r="O504" s="33"/>
      <c r="P504" s="33"/>
      <c r="Q504" s="33"/>
      <c r="R504" s="935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>
      <c r="A505" s="224"/>
      <c r="B505" s="229"/>
      <c r="C505" s="225"/>
      <c r="D505" s="227"/>
      <c r="E505" s="228"/>
      <c r="F505" s="33"/>
      <c r="G505" s="33"/>
      <c r="H505" s="33"/>
      <c r="I505" s="33"/>
      <c r="J505" s="230"/>
      <c r="K505" s="114"/>
      <c r="L505" s="881"/>
      <c r="M505" s="33"/>
      <c r="N505" s="33"/>
      <c r="O505" s="33"/>
      <c r="P505" s="33"/>
      <c r="Q505" s="33"/>
      <c r="R505" s="935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>
      <c r="A506" s="224"/>
      <c r="B506" s="229"/>
      <c r="C506" s="225"/>
      <c r="D506" s="227"/>
      <c r="E506" s="228"/>
      <c r="F506" s="33"/>
      <c r="G506" s="33"/>
      <c r="H506" s="33"/>
      <c r="I506" s="33"/>
      <c r="J506" s="230"/>
      <c r="K506" s="114"/>
      <c r="L506" s="881"/>
      <c r="M506" s="33"/>
      <c r="N506" s="33"/>
      <c r="O506" s="33"/>
      <c r="P506" s="33"/>
      <c r="Q506" s="33"/>
      <c r="R506" s="935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>
      <c r="A507" s="224"/>
      <c r="B507" s="229"/>
      <c r="C507" s="225"/>
      <c r="D507" s="227"/>
      <c r="E507" s="228"/>
      <c r="F507" s="33"/>
      <c r="G507" s="33"/>
      <c r="H507" s="33"/>
      <c r="I507" s="33"/>
      <c r="J507" s="230"/>
      <c r="K507" s="114"/>
      <c r="L507" s="881"/>
      <c r="M507" s="33"/>
      <c r="N507" s="33"/>
      <c r="O507" s="33"/>
      <c r="P507" s="33"/>
      <c r="Q507" s="33"/>
      <c r="R507" s="935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>
      <c r="A508" s="224"/>
      <c r="B508" s="229"/>
      <c r="C508" s="225"/>
      <c r="D508" s="227"/>
      <c r="E508" s="228"/>
      <c r="F508" s="33"/>
      <c r="G508" s="33"/>
      <c r="H508" s="33"/>
      <c r="I508" s="33"/>
      <c r="J508" s="230"/>
      <c r="K508" s="114"/>
      <c r="L508" s="881"/>
      <c r="M508" s="33"/>
      <c r="N508" s="33"/>
      <c r="O508" s="33"/>
      <c r="P508" s="33"/>
      <c r="Q508" s="33"/>
      <c r="R508" s="935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>
      <c r="A509" s="224"/>
      <c r="B509" s="229"/>
      <c r="C509" s="225"/>
      <c r="D509" s="227"/>
      <c r="E509" s="228"/>
      <c r="F509" s="33"/>
      <c r="G509" s="33"/>
      <c r="H509" s="33"/>
      <c r="I509" s="33"/>
      <c r="J509" s="230"/>
      <c r="K509" s="114"/>
      <c r="L509" s="881"/>
      <c r="M509" s="33"/>
      <c r="N509" s="33"/>
      <c r="O509" s="33"/>
      <c r="P509" s="33"/>
      <c r="Q509" s="33"/>
      <c r="R509" s="935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>
      <c r="A510" s="224"/>
      <c r="B510" s="229"/>
      <c r="C510" s="225"/>
      <c r="D510" s="227"/>
      <c r="E510" s="228"/>
      <c r="F510" s="33"/>
      <c r="G510" s="33"/>
      <c r="H510" s="33"/>
      <c r="I510" s="33"/>
      <c r="J510" s="230"/>
      <c r="K510" s="114"/>
      <c r="L510" s="881"/>
      <c r="M510" s="33"/>
      <c r="N510" s="33"/>
      <c r="O510" s="33"/>
      <c r="P510" s="33"/>
      <c r="Q510" s="33"/>
      <c r="R510" s="935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>
      <c r="A511" s="224"/>
      <c r="B511" s="229"/>
      <c r="C511" s="225"/>
      <c r="D511" s="227"/>
      <c r="E511" s="228"/>
      <c r="F511" s="33"/>
      <c r="G511" s="33"/>
      <c r="H511" s="33"/>
      <c r="I511" s="33"/>
      <c r="J511" s="230"/>
      <c r="K511" s="114"/>
      <c r="L511" s="881"/>
      <c r="M511" s="33"/>
      <c r="N511" s="33"/>
      <c r="O511" s="33"/>
      <c r="P511" s="33"/>
      <c r="Q511" s="33"/>
      <c r="R511" s="935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>
      <c r="A512" s="224"/>
      <c r="B512" s="229"/>
      <c r="C512" s="225"/>
      <c r="D512" s="227"/>
      <c r="E512" s="228"/>
      <c r="F512" s="33"/>
      <c r="G512" s="33"/>
      <c r="H512" s="33"/>
      <c r="I512" s="33"/>
      <c r="J512" s="230"/>
      <c r="K512" s="114"/>
      <c r="L512" s="881"/>
      <c r="M512" s="33"/>
      <c r="N512" s="33"/>
      <c r="O512" s="33"/>
      <c r="P512" s="33"/>
      <c r="Q512" s="33"/>
      <c r="R512" s="935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>
      <c r="A513" s="224"/>
      <c r="B513" s="229"/>
      <c r="C513" s="225"/>
      <c r="D513" s="227"/>
      <c r="E513" s="228"/>
      <c r="F513" s="33"/>
      <c r="G513" s="33"/>
      <c r="H513" s="33"/>
      <c r="I513" s="33"/>
      <c r="J513" s="230"/>
      <c r="K513" s="114"/>
      <c r="L513" s="881"/>
      <c r="M513" s="33"/>
      <c r="N513" s="33"/>
      <c r="O513" s="33"/>
      <c r="P513" s="33"/>
      <c r="Q513" s="33"/>
      <c r="R513" s="935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>
      <c r="A514" s="224"/>
      <c r="B514" s="229"/>
      <c r="C514" s="225"/>
      <c r="D514" s="227"/>
      <c r="E514" s="228"/>
      <c r="F514" s="33"/>
      <c r="G514" s="33"/>
      <c r="H514" s="33"/>
      <c r="I514" s="33"/>
      <c r="J514" s="230"/>
      <c r="K514" s="114"/>
      <c r="L514" s="881"/>
      <c r="M514" s="33"/>
      <c r="N514" s="33"/>
      <c r="O514" s="33"/>
      <c r="P514" s="33"/>
      <c r="Q514" s="33"/>
      <c r="R514" s="935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>
      <c r="A515" s="224"/>
      <c r="B515" s="229"/>
      <c r="C515" s="225"/>
      <c r="D515" s="227"/>
      <c r="E515" s="228"/>
      <c r="F515" s="33"/>
      <c r="G515" s="33"/>
      <c r="H515" s="33"/>
      <c r="I515" s="33"/>
      <c r="J515" s="230"/>
      <c r="K515" s="114"/>
      <c r="L515" s="881"/>
      <c r="M515" s="33"/>
      <c r="N515" s="33"/>
      <c r="O515" s="33"/>
      <c r="P515" s="33"/>
      <c r="Q515" s="33"/>
      <c r="R515" s="935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>
      <c r="A516" s="224"/>
      <c r="B516" s="229"/>
      <c r="C516" s="225"/>
      <c r="D516" s="227"/>
      <c r="E516" s="228"/>
      <c r="F516" s="33"/>
      <c r="G516" s="33"/>
      <c r="H516" s="33"/>
      <c r="I516" s="33"/>
      <c r="J516" s="230"/>
      <c r="K516" s="114"/>
      <c r="L516" s="881"/>
      <c r="M516" s="33"/>
      <c r="N516" s="33"/>
      <c r="O516" s="33"/>
      <c r="P516" s="33"/>
      <c r="Q516" s="33"/>
      <c r="R516" s="935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>
      <c r="A517" s="224"/>
      <c r="B517" s="229"/>
      <c r="C517" s="225"/>
      <c r="D517" s="227"/>
      <c r="E517" s="228"/>
      <c r="F517" s="33"/>
      <c r="G517" s="33"/>
      <c r="H517" s="33"/>
      <c r="I517" s="33"/>
      <c r="J517" s="230"/>
      <c r="K517" s="114"/>
      <c r="L517" s="881"/>
      <c r="M517" s="33"/>
      <c r="N517" s="33"/>
      <c r="O517" s="33"/>
      <c r="P517" s="33"/>
      <c r="Q517" s="33"/>
      <c r="R517" s="935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>
      <c r="A518" s="224"/>
      <c r="B518" s="229"/>
      <c r="C518" s="225"/>
      <c r="D518" s="227"/>
      <c r="E518" s="228"/>
      <c r="F518" s="33"/>
      <c r="G518" s="33"/>
      <c r="H518" s="33"/>
      <c r="I518" s="33"/>
      <c r="J518" s="230"/>
      <c r="K518" s="114"/>
      <c r="L518" s="881"/>
      <c r="M518" s="33"/>
      <c r="N518" s="33"/>
      <c r="O518" s="33"/>
      <c r="P518" s="33"/>
      <c r="Q518" s="33"/>
      <c r="R518" s="935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>
      <c r="A519" s="224"/>
      <c r="B519" s="229"/>
      <c r="C519" s="225"/>
      <c r="D519" s="227"/>
      <c r="E519" s="228"/>
      <c r="F519" s="33"/>
      <c r="G519" s="33"/>
      <c r="H519" s="33"/>
      <c r="I519" s="33"/>
      <c r="J519" s="230"/>
      <c r="K519" s="114"/>
      <c r="L519" s="881"/>
      <c r="M519" s="33"/>
      <c r="N519" s="33"/>
      <c r="O519" s="33"/>
      <c r="P519" s="33"/>
      <c r="Q519" s="33"/>
      <c r="R519" s="935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>
      <c r="A520" s="224"/>
      <c r="B520" s="229"/>
      <c r="C520" s="225"/>
      <c r="D520" s="227"/>
      <c r="E520" s="228"/>
      <c r="F520" s="33"/>
      <c r="G520" s="33"/>
      <c r="H520" s="33"/>
      <c r="I520" s="33"/>
      <c r="J520" s="230"/>
      <c r="K520" s="114"/>
      <c r="L520" s="881"/>
      <c r="M520" s="33"/>
      <c r="N520" s="33"/>
      <c r="O520" s="33"/>
      <c r="P520" s="33"/>
      <c r="Q520" s="33"/>
      <c r="R520" s="935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>
      <c r="A521" s="224"/>
      <c r="B521" s="229"/>
      <c r="C521" s="225"/>
      <c r="D521" s="227"/>
      <c r="E521" s="228"/>
      <c r="F521" s="33"/>
      <c r="G521" s="33"/>
      <c r="H521" s="33"/>
      <c r="I521" s="33"/>
      <c r="J521" s="230"/>
      <c r="K521" s="114"/>
      <c r="L521" s="881"/>
      <c r="M521" s="33"/>
      <c r="N521" s="33"/>
      <c r="O521" s="33"/>
      <c r="P521" s="33"/>
      <c r="Q521" s="33"/>
      <c r="R521" s="935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>
      <c r="A522" s="224"/>
      <c r="B522" s="229"/>
      <c r="C522" s="225"/>
      <c r="D522" s="227"/>
      <c r="E522" s="228"/>
      <c r="F522" s="33"/>
      <c r="G522" s="33"/>
      <c r="H522" s="33"/>
      <c r="I522" s="33"/>
      <c r="J522" s="230"/>
      <c r="K522" s="114"/>
      <c r="L522" s="881"/>
      <c r="M522" s="33"/>
      <c r="N522" s="33"/>
      <c r="O522" s="33"/>
      <c r="P522" s="33"/>
      <c r="Q522" s="33"/>
      <c r="R522" s="935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>
      <c r="A523" s="224"/>
      <c r="B523" s="229"/>
      <c r="C523" s="225"/>
      <c r="D523" s="227"/>
      <c r="E523" s="228"/>
      <c r="F523" s="33"/>
      <c r="G523" s="33"/>
      <c r="H523" s="33"/>
      <c r="I523" s="33"/>
      <c r="J523" s="230"/>
      <c r="K523" s="114"/>
      <c r="L523" s="881"/>
      <c r="M523" s="33"/>
      <c r="N523" s="33"/>
      <c r="O523" s="33"/>
      <c r="P523" s="33"/>
      <c r="Q523" s="33"/>
      <c r="R523" s="935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>
      <c r="A524" s="224"/>
      <c r="B524" s="229"/>
      <c r="C524" s="225"/>
      <c r="D524" s="227"/>
      <c r="E524" s="228"/>
      <c r="F524" s="33"/>
      <c r="G524" s="33"/>
      <c r="H524" s="33"/>
      <c r="I524" s="33"/>
      <c r="J524" s="230"/>
      <c r="K524" s="114"/>
      <c r="L524" s="881"/>
      <c r="M524" s="33"/>
      <c r="N524" s="33"/>
      <c r="O524" s="33"/>
      <c r="P524" s="33"/>
      <c r="Q524" s="33"/>
      <c r="R524" s="935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>
      <c r="A525" s="224"/>
      <c r="B525" s="229"/>
      <c r="C525" s="225"/>
      <c r="D525" s="227"/>
      <c r="E525" s="228"/>
      <c r="F525" s="33"/>
      <c r="G525" s="33"/>
      <c r="H525" s="33"/>
      <c r="I525" s="33"/>
      <c r="J525" s="230"/>
      <c r="K525" s="114"/>
      <c r="L525" s="881"/>
      <c r="M525" s="33"/>
      <c r="N525" s="33"/>
      <c r="O525" s="33"/>
      <c r="P525" s="33"/>
      <c r="Q525" s="33"/>
      <c r="R525" s="935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>
      <c r="A526" s="224"/>
      <c r="B526" s="229"/>
      <c r="C526" s="225"/>
      <c r="D526" s="227"/>
      <c r="E526" s="228"/>
      <c r="F526" s="33"/>
      <c r="G526" s="33"/>
      <c r="H526" s="33"/>
      <c r="I526" s="33"/>
      <c r="J526" s="230"/>
      <c r="K526" s="114"/>
      <c r="L526" s="881"/>
      <c r="M526" s="33"/>
      <c r="N526" s="33"/>
      <c r="O526" s="33"/>
      <c r="P526" s="33"/>
      <c r="Q526" s="33"/>
      <c r="R526" s="935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>
      <c r="A527" s="224"/>
      <c r="B527" s="229"/>
      <c r="C527" s="225"/>
      <c r="D527" s="227"/>
      <c r="E527" s="228"/>
      <c r="F527" s="33"/>
      <c r="G527" s="33"/>
      <c r="H527" s="33"/>
      <c r="I527" s="33"/>
      <c r="J527" s="230"/>
      <c r="K527" s="114"/>
      <c r="L527" s="881"/>
      <c r="M527" s="33"/>
      <c r="N527" s="33"/>
      <c r="O527" s="33"/>
      <c r="P527" s="33"/>
      <c r="Q527" s="33"/>
      <c r="R527" s="935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>
      <c r="A528" s="224"/>
      <c r="B528" s="229"/>
      <c r="C528" s="225"/>
      <c r="D528" s="227"/>
      <c r="E528" s="228"/>
      <c r="F528" s="33"/>
      <c r="G528" s="33"/>
      <c r="H528" s="33"/>
      <c r="I528" s="33"/>
      <c r="J528" s="230"/>
      <c r="K528" s="114"/>
      <c r="L528" s="881"/>
      <c r="M528" s="33"/>
      <c r="N528" s="33"/>
      <c r="O528" s="33"/>
      <c r="P528" s="33"/>
      <c r="Q528" s="33"/>
      <c r="R528" s="935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>
      <c r="A529" s="224"/>
      <c r="B529" s="229"/>
      <c r="C529" s="225"/>
      <c r="D529" s="227"/>
      <c r="E529" s="228"/>
      <c r="F529" s="33"/>
      <c r="G529" s="33"/>
      <c r="H529" s="33"/>
      <c r="I529" s="33"/>
      <c r="J529" s="230"/>
      <c r="K529" s="114"/>
      <c r="L529" s="881"/>
      <c r="M529" s="33"/>
      <c r="N529" s="33"/>
      <c r="O529" s="33"/>
      <c r="P529" s="33"/>
      <c r="Q529" s="33"/>
      <c r="R529" s="935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>
      <c r="A530" s="224"/>
      <c r="B530" s="229"/>
      <c r="C530" s="225"/>
      <c r="D530" s="227"/>
      <c r="E530" s="228"/>
      <c r="F530" s="33"/>
      <c r="G530" s="33"/>
      <c r="H530" s="33"/>
      <c r="I530" s="33"/>
      <c r="J530" s="230"/>
      <c r="K530" s="114"/>
      <c r="L530" s="881"/>
      <c r="M530" s="33"/>
      <c r="N530" s="33"/>
      <c r="O530" s="33"/>
      <c r="P530" s="33"/>
      <c r="Q530" s="33"/>
      <c r="R530" s="935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>
      <c r="A531" s="224"/>
      <c r="B531" s="229"/>
      <c r="C531" s="225"/>
      <c r="D531" s="227"/>
      <c r="E531" s="228"/>
      <c r="F531" s="33"/>
      <c r="G531" s="33"/>
      <c r="H531" s="33"/>
      <c r="I531" s="33"/>
      <c r="J531" s="230"/>
      <c r="K531" s="114"/>
      <c r="L531" s="881"/>
      <c r="M531" s="33"/>
      <c r="N531" s="33"/>
      <c r="O531" s="33"/>
      <c r="P531" s="33"/>
      <c r="Q531" s="33"/>
      <c r="R531" s="935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>
      <c r="A532" s="224"/>
      <c r="B532" s="229"/>
      <c r="C532" s="225"/>
      <c r="D532" s="227"/>
      <c r="E532" s="228"/>
      <c r="F532" s="33"/>
      <c r="G532" s="33"/>
      <c r="H532" s="33"/>
      <c r="I532" s="33"/>
      <c r="J532" s="230"/>
      <c r="K532" s="114"/>
      <c r="L532" s="881"/>
      <c r="M532" s="33"/>
      <c r="N532" s="33"/>
      <c r="O532" s="33"/>
      <c r="P532" s="33"/>
      <c r="Q532" s="33"/>
      <c r="R532" s="935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>
      <c r="A533" s="224"/>
      <c r="B533" s="229"/>
      <c r="C533" s="225"/>
      <c r="D533" s="227"/>
      <c r="E533" s="228"/>
      <c r="F533" s="33"/>
      <c r="G533" s="33"/>
      <c r="H533" s="33"/>
      <c r="I533" s="33"/>
      <c r="J533" s="230"/>
      <c r="K533" s="114"/>
      <c r="L533" s="881"/>
      <c r="M533" s="33"/>
      <c r="N533" s="33"/>
      <c r="O533" s="33"/>
      <c r="P533" s="33"/>
      <c r="Q533" s="33"/>
      <c r="R533" s="935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>
      <c r="A534" s="224"/>
      <c r="B534" s="229"/>
      <c r="C534" s="225"/>
      <c r="D534" s="227"/>
      <c r="E534" s="228"/>
      <c r="F534" s="33"/>
      <c r="G534" s="33"/>
      <c r="H534" s="33"/>
      <c r="I534" s="33"/>
      <c r="J534" s="230"/>
      <c r="K534" s="114"/>
      <c r="L534" s="881"/>
      <c r="M534" s="33"/>
      <c r="N534" s="33"/>
      <c r="O534" s="33"/>
      <c r="P534" s="33"/>
      <c r="Q534" s="33"/>
      <c r="R534" s="935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>
      <c r="A535" s="224"/>
      <c r="B535" s="229"/>
      <c r="C535" s="225"/>
      <c r="D535" s="227"/>
      <c r="E535" s="228"/>
      <c r="F535" s="33"/>
      <c r="G535" s="33"/>
      <c r="H535" s="33"/>
      <c r="I535" s="33"/>
      <c r="J535" s="230"/>
      <c r="K535" s="114"/>
      <c r="L535" s="881"/>
      <c r="M535" s="33"/>
      <c r="N535" s="33"/>
      <c r="O535" s="33"/>
      <c r="P535" s="33"/>
      <c r="Q535" s="33"/>
      <c r="R535" s="935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>
      <c r="A536" s="224"/>
      <c r="B536" s="229"/>
      <c r="C536" s="225"/>
      <c r="D536" s="227"/>
      <c r="E536" s="228"/>
      <c r="F536" s="33"/>
      <c r="G536" s="33"/>
      <c r="H536" s="33"/>
      <c r="I536" s="33"/>
      <c r="J536" s="230"/>
      <c r="K536" s="114"/>
      <c r="L536" s="881"/>
      <c r="M536" s="33"/>
      <c r="N536" s="33"/>
      <c r="O536" s="33"/>
      <c r="P536" s="33"/>
      <c r="Q536" s="33"/>
      <c r="R536" s="935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>
      <c r="A537" s="224"/>
      <c r="B537" s="229"/>
      <c r="C537" s="225"/>
      <c r="D537" s="227"/>
      <c r="E537" s="228"/>
      <c r="F537" s="33"/>
      <c r="G537" s="33"/>
      <c r="H537" s="33"/>
      <c r="I537" s="33"/>
      <c r="J537" s="230"/>
      <c r="K537" s="114"/>
      <c r="L537" s="881"/>
      <c r="M537" s="33"/>
      <c r="N537" s="33"/>
      <c r="O537" s="33"/>
      <c r="P537" s="33"/>
      <c r="Q537" s="33"/>
      <c r="R537" s="935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>
      <c r="A538" s="224"/>
      <c r="B538" s="229"/>
      <c r="C538" s="225"/>
      <c r="D538" s="227"/>
      <c r="E538" s="228"/>
      <c r="F538" s="33"/>
      <c r="G538" s="33"/>
      <c r="H538" s="33"/>
      <c r="I538" s="33"/>
      <c r="J538" s="230"/>
      <c r="K538" s="114"/>
      <c r="L538" s="881"/>
      <c r="M538" s="33"/>
      <c r="N538" s="33"/>
      <c r="O538" s="33"/>
      <c r="P538" s="33"/>
      <c r="Q538" s="33"/>
      <c r="R538" s="935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>
      <c r="A539" s="224"/>
      <c r="B539" s="229"/>
      <c r="C539" s="225"/>
      <c r="D539" s="227"/>
      <c r="E539" s="228"/>
      <c r="F539" s="33"/>
      <c r="G539" s="33"/>
      <c r="H539" s="33"/>
      <c r="I539" s="33"/>
      <c r="J539" s="230"/>
      <c r="K539" s="114"/>
      <c r="L539" s="881"/>
      <c r="M539" s="33"/>
      <c r="N539" s="33"/>
      <c r="O539" s="33"/>
      <c r="P539" s="33"/>
      <c r="Q539" s="33"/>
      <c r="R539" s="935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>
      <c r="A540" s="224"/>
      <c r="B540" s="229"/>
      <c r="C540" s="225"/>
      <c r="D540" s="227"/>
      <c r="E540" s="228"/>
      <c r="F540" s="33"/>
      <c r="G540" s="33"/>
      <c r="H540" s="33"/>
      <c r="I540" s="33"/>
      <c r="J540" s="230"/>
      <c r="K540" s="114"/>
      <c r="L540" s="881"/>
      <c r="M540" s="33"/>
      <c r="N540" s="33"/>
      <c r="O540" s="33"/>
      <c r="P540" s="33"/>
      <c r="Q540" s="33"/>
      <c r="R540" s="935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>
      <c r="A541" s="224"/>
      <c r="B541" s="229"/>
      <c r="C541" s="225"/>
      <c r="D541" s="227"/>
      <c r="E541" s="228"/>
      <c r="F541" s="33"/>
      <c r="G541" s="33"/>
      <c r="H541" s="33"/>
      <c r="I541" s="33"/>
      <c r="J541" s="230"/>
      <c r="K541" s="114"/>
      <c r="L541" s="881"/>
      <c r="M541" s="33"/>
      <c r="N541" s="33"/>
      <c r="O541" s="33"/>
      <c r="P541" s="33"/>
      <c r="Q541" s="33"/>
      <c r="R541" s="935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>
      <c r="A542" s="224"/>
      <c r="B542" s="229"/>
      <c r="C542" s="225"/>
      <c r="D542" s="227"/>
      <c r="E542" s="228"/>
      <c r="F542" s="33"/>
      <c r="G542" s="33"/>
      <c r="H542" s="33"/>
      <c r="I542" s="33"/>
      <c r="J542" s="230"/>
      <c r="K542" s="114"/>
      <c r="L542" s="881"/>
      <c r="M542" s="33"/>
      <c r="N542" s="33"/>
      <c r="O542" s="33"/>
      <c r="P542" s="33"/>
      <c r="Q542" s="33"/>
      <c r="R542" s="935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>
      <c r="A543" s="224"/>
      <c r="B543" s="229"/>
      <c r="C543" s="225"/>
      <c r="D543" s="227"/>
      <c r="E543" s="228"/>
      <c r="F543" s="33"/>
      <c r="G543" s="33"/>
      <c r="H543" s="33"/>
      <c r="I543" s="33"/>
      <c r="J543" s="230"/>
      <c r="K543" s="114"/>
      <c r="L543" s="881"/>
      <c r="M543" s="33"/>
      <c r="N543" s="33"/>
      <c r="O543" s="33"/>
      <c r="P543" s="33"/>
      <c r="Q543" s="33"/>
      <c r="R543" s="935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>
      <c r="A544" s="224"/>
      <c r="B544" s="229"/>
      <c r="C544" s="225"/>
      <c r="D544" s="227"/>
      <c r="E544" s="228"/>
      <c r="F544" s="33"/>
      <c r="G544" s="33"/>
      <c r="H544" s="33"/>
      <c r="I544" s="33"/>
      <c r="J544" s="230"/>
      <c r="K544" s="114"/>
      <c r="L544" s="881"/>
      <c r="M544" s="33"/>
      <c r="N544" s="33"/>
      <c r="O544" s="33"/>
      <c r="P544" s="33"/>
      <c r="Q544" s="33"/>
      <c r="R544" s="935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>
      <c r="A545" s="224"/>
      <c r="B545" s="229"/>
      <c r="C545" s="225"/>
      <c r="D545" s="227"/>
      <c r="E545" s="228"/>
      <c r="F545" s="33"/>
      <c r="G545" s="33"/>
      <c r="H545" s="33"/>
      <c r="I545" s="33"/>
      <c r="J545" s="230"/>
      <c r="K545" s="114"/>
      <c r="L545" s="881"/>
      <c r="M545" s="33"/>
      <c r="N545" s="33"/>
      <c r="O545" s="33"/>
      <c r="P545" s="33"/>
      <c r="Q545" s="33"/>
      <c r="R545" s="935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>
      <c r="A546" s="224"/>
      <c r="B546" s="229"/>
      <c r="C546" s="225"/>
      <c r="D546" s="227"/>
      <c r="E546" s="228"/>
      <c r="F546" s="33"/>
      <c r="G546" s="33"/>
      <c r="H546" s="33"/>
      <c r="I546" s="33"/>
      <c r="J546" s="230"/>
      <c r="K546" s="114"/>
      <c r="L546" s="881"/>
      <c r="M546" s="33"/>
      <c r="N546" s="33"/>
      <c r="O546" s="33"/>
      <c r="P546" s="33"/>
      <c r="Q546" s="33"/>
      <c r="R546" s="935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>
      <c r="A547" s="224"/>
      <c r="B547" s="229"/>
      <c r="C547" s="225"/>
      <c r="D547" s="227"/>
      <c r="E547" s="228"/>
      <c r="F547" s="33"/>
      <c r="G547" s="33"/>
      <c r="H547" s="33"/>
      <c r="I547" s="33"/>
      <c r="J547" s="230"/>
      <c r="K547" s="114"/>
      <c r="L547" s="881"/>
      <c r="M547" s="33"/>
      <c r="N547" s="33"/>
      <c r="O547" s="33"/>
      <c r="P547" s="33"/>
      <c r="Q547" s="33"/>
      <c r="R547" s="935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>
      <c r="A548" s="224"/>
      <c r="B548" s="229"/>
      <c r="C548" s="225"/>
      <c r="D548" s="227"/>
      <c r="E548" s="228"/>
      <c r="F548" s="33"/>
      <c r="G548" s="33"/>
      <c r="H548" s="33"/>
      <c r="I548" s="33"/>
      <c r="J548" s="230"/>
      <c r="K548" s="114"/>
      <c r="L548" s="881"/>
      <c r="M548" s="33"/>
      <c r="N548" s="33"/>
      <c r="O548" s="33"/>
      <c r="P548" s="33"/>
      <c r="Q548" s="33"/>
      <c r="R548" s="935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>
      <c r="A549" s="224"/>
      <c r="B549" s="229"/>
      <c r="C549" s="225"/>
      <c r="D549" s="227"/>
      <c r="E549" s="228"/>
      <c r="F549" s="33"/>
      <c r="G549" s="33"/>
      <c r="H549" s="33"/>
      <c r="I549" s="33"/>
      <c r="J549" s="230"/>
      <c r="K549" s="114"/>
      <c r="L549" s="881"/>
      <c r="M549" s="33"/>
      <c r="N549" s="33"/>
      <c r="O549" s="33"/>
      <c r="P549" s="33"/>
      <c r="Q549" s="33"/>
      <c r="R549" s="935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>
      <c r="A550" s="224"/>
      <c r="B550" s="229"/>
      <c r="C550" s="225"/>
      <c r="D550" s="227"/>
      <c r="E550" s="228"/>
      <c r="F550" s="33"/>
      <c r="G550" s="33"/>
      <c r="H550" s="33"/>
      <c r="I550" s="33"/>
      <c r="J550" s="230"/>
      <c r="K550" s="114"/>
      <c r="L550" s="881"/>
      <c r="M550" s="33"/>
      <c r="N550" s="33"/>
      <c r="O550" s="33"/>
      <c r="P550" s="33"/>
      <c r="Q550" s="33"/>
      <c r="R550" s="935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>
      <c r="A551" s="224"/>
      <c r="B551" s="229"/>
      <c r="C551" s="225"/>
      <c r="D551" s="227"/>
      <c r="E551" s="228"/>
      <c r="F551" s="33"/>
      <c r="G551" s="33"/>
      <c r="H551" s="33"/>
      <c r="I551" s="33"/>
      <c r="J551" s="230"/>
      <c r="K551" s="114"/>
      <c r="L551" s="881"/>
      <c r="M551" s="33"/>
      <c r="N551" s="33"/>
      <c r="O551" s="33"/>
      <c r="P551" s="33"/>
      <c r="Q551" s="33"/>
      <c r="R551" s="935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>
      <c r="A552" s="224"/>
      <c r="B552" s="229"/>
      <c r="C552" s="225"/>
      <c r="D552" s="227"/>
      <c r="E552" s="228"/>
      <c r="F552" s="33"/>
      <c r="G552" s="33"/>
      <c r="H552" s="33"/>
      <c r="I552" s="33"/>
      <c r="J552" s="230"/>
      <c r="K552" s="114"/>
      <c r="L552" s="881"/>
      <c r="M552" s="33"/>
      <c r="N552" s="33"/>
      <c r="O552" s="33"/>
      <c r="P552" s="33"/>
      <c r="Q552" s="33"/>
      <c r="R552" s="935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>
      <c r="A553" s="224"/>
      <c r="B553" s="229"/>
      <c r="C553" s="225"/>
      <c r="D553" s="227"/>
      <c r="E553" s="228"/>
      <c r="F553" s="33"/>
      <c r="G553" s="33"/>
      <c r="H553" s="33"/>
      <c r="I553" s="33"/>
      <c r="J553" s="230"/>
      <c r="K553" s="114"/>
      <c r="L553" s="881"/>
      <c r="M553" s="33"/>
      <c r="N553" s="33"/>
      <c r="O553" s="33"/>
      <c r="P553" s="33"/>
      <c r="Q553" s="33"/>
      <c r="R553" s="935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>
      <c r="A554" s="224"/>
      <c r="B554" s="229"/>
      <c r="C554" s="225"/>
      <c r="D554" s="227"/>
      <c r="E554" s="228"/>
      <c r="F554" s="33"/>
      <c r="G554" s="33"/>
      <c r="H554" s="33"/>
      <c r="I554" s="33"/>
      <c r="J554" s="230"/>
      <c r="K554" s="114"/>
      <c r="L554" s="881"/>
      <c r="M554" s="33"/>
      <c r="N554" s="33"/>
      <c r="O554" s="33"/>
      <c r="P554" s="33"/>
      <c r="Q554" s="33"/>
      <c r="R554" s="935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>
      <c r="A555" s="224"/>
      <c r="B555" s="229"/>
      <c r="C555" s="225"/>
      <c r="D555" s="227"/>
      <c r="E555" s="228"/>
      <c r="F555" s="33"/>
      <c r="G555" s="33"/>
      <c r="H555" s="33"/>
      <c r="I555" s="33"/>
      <c r="J555" s="230"/>
      <c r="K555" s="114"/>
      <c r="L555" s="881"/>
      <c r="M555" s="33"/>
      <c r="N555" s="33"/>
      <c r="O555" s="33"/>
      <c r="P555" s="33"/>
      <c r="Q555" s="33"/>
      <c r="R555" s="935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>
      <c r="A556" s="224"/>
      <c r="B556" s="229"/>
      <c r="C556" s="225"/>
      <c r="D556" s="227"/>
      <c r="E556" s="228"/>
      <c r="F556" s="33"/>
      <c r="G556" s="33"/>
      <c r="H556" s="33"/>
      <c r="I556" s="33"/>
      <c r="J556" s="230"/>
      <c r="K556" s="114"/>
      <c r="L556" s="881"/>
      <c r="M556" s="33"/>
      <c r="N556" s="33"/>
      <c r="O556" s="33"/>
      <c r="P556" s="33"/>
      <c r="Q556" s="33"/>
      <c r="R556" s="935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>
      <c r="A557" s="224"/>
      <c r="B557" s="229"/>
      <c r="C557" s="225"/>
      <c r="D557" s="227"/>
      <c r="E557" s="228"/>
      <c r="F557" s="33"/>
      <c r="G557" s="33"/>
      <c r="H557" s="33"/>
      <c r="I557" s="33"/>
      <c r="J557" s="230"/>
      <c r="K557" s="114"/>
      <c r="L557" s="881"/>
      <c r="M557" s="33"/>
      <c r="N557" s="33"/>
      <c r="O557" s="33"/>
      <c r="P557" s="33"/>
      <c r="Q557" s="33"/>
      <c r="R557" s="935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>
      <c r="A558" s="224"/>
      <c r="B558" s="229"/>
      <c r="C558" s="225"/>
      <c r="D558" s="227"/>
      <c r="E558" s="228"/>
      <c r="F558" s="33"/>
      <c r="G558" s="33"/>
      <c r="H558" s="33"/>
      <c r="I558" s="33"/>
      <c r="J558" s="230"/>
      <c r="K558" s="114"/>
      <c r="L558" s="881"/>
      <c r="M558" s="33"/>
      <c r="N558" s="33"/>
      <c r="O558" s="33"/>
      <c r="P558" s="33"/>
      <c r="Q558" s="33"/>
      <c r="R558" s="935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>
      <c r="A559" s="224"/>
      <c r="B559" s="229"/>
      <c r="C559" s="225"/>
      <c r="D559" s="227"/>
      <c r="E559" s="228"/>
      <c r="F559" s="33"/>
      <c r="G559" s="33"/>
      <c r="H559" s="33"/>
      <c r="I559" s="33"/>
      <c r="J559" s="230"/>
      <c r="K559" s="114"/>
      <c r="L559" s="881"/>
      <c r="M559" s="33"/>
      <c r="N559" s="33"/>
      <c r="O559" s="33"/>
      <c r="P559" s="33"/>
      <c r="Q559" s="33"/>
      <c r="R559" s="935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>
      <c r="A560" s="224"/>
      <c r="B560" s="229"/>
      <c r="C560" s="225"/>
      <c r="D560" s="227"/>
      <c r="E560" s="228"/>
      <c r="F560" s="33"/>
      <c r="G560" s="33"/>
      <c r="H560" s="33"/>
      <c r="I560" s="33"/>
      <c r="J560" s="230"/>
      <c r="K560" s="114"/>
      <c r="L560" s="881"/>
      <c r="M560" s="33"/>
      <c r="N560" s="33"/>
      <c r="O560" s="33"/>
      <c r="P560" s="33"/>
      <c r="Q560" s="33"/>
      <c r="R560" s="935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>
      <c r="A561" s="224"/>
      <c r="B561" s="229"/>
      <c r="C561" s="225"/>
      <c r="D561" s="227"/>
      <c r="E561" s="228"/>
      <c r="F561" s="33"/>
      <c r="G561" s="33"/>
      <c r="H561" s="33"/>
      <c r="I561" s="33"/>
      <c r="J561" s="230"/>
      <c r="K561" s="114"/>
      <c r="L561" s="881"/>
      <c r="M561" s="33"/>
      <c r="N561" s="33"/>
      <c r="O561" s="33"/>
      <c r="P561" s="33"/>
      <c r="Q561" s="33"/>
      <c r="R561" s="935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>
      <c r="A562" s="224"/>
      <c r="B562" s="229"/>
      <c r="C562" s="225"/>
      <c r="D562" s="227"/>
      <c r="E562" s="228"/>
      <c r="F562" s="33"/>
      <c r="G562" s="33"/>
      <c r="H562" s="33"/>
      <c r="I562" s="33"/>
      <c r="J562" s="230"/>
      <c r="K562" s="114"/>
      <c r="L562" s="881"/>
      <c r="M562" s="33"/>
      <c r="N562" s="33"/>
      <c r="O562" s="33"/>
      <c r="P562" s="33"/>
      <c r="Q562" s="33"/>
      <c r="R562" s="935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>
      <c r="A563" s="224"/>
      <c r="B563" s="229"/>
      <c r="C563" s="225"/>
      <c r="D563" s="227"/>
      <c r="E563" s="228"/>
      <c r="F563" s="33"/>
      <c r="G563" s="33"/>
      <c r="H563" s="33"/>
      <c r="I563" s="33"/>
      <c r="J563" s="230"/>
      <c r="K563" s="114"/>
      <c r="L563" s="881"/>
      <c r="M563" s="33"/>
      <c r="N563" s="33"/>
      <c r="O563" s="33"/>
      <c r="P563" s="33"/>
      <c r="Q563" s="33"/>
      <c r="R563" s="935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>
      <c r="A564" s="224"/>
      <c r="B564" s="229"/>
      <c r="C564" s="225"/>
      <c r="D564" s="227"/>
      <c r="E564" s="228"/>
      <c r="F564" s="33"/>
      <c r="G564" s="33"/>
      <c r="H564" s="33"/>
      <c r="I564" s="33"/>
      <c r="J564" s="230"/>
      <c r="K564" s="114"/>
      <c r="L564" s="881"/>
      <c r="M564" s="33"/>
      <c r="N564" s="33"/>
      <c r="O564" s="33"/>
      <c r="P564" s="33"/>
      <c r="Q564" s="33"/>
      <c r="R564" s="935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>
      <c r="A565" s="224"/>
      <c r="B565" s="229"/>
      <c r="C565" s="225"/>
      <c r="D565" s="227"/>
      <c r="E565" s="228"/>
      <c r="F565" s="33"/>
      <c r="G565" s="33"/>
      <c r="H565" s="33"/>
      <c r="I565" s="33"/>
      <c r="J565" s="230"/>
      <c r="K565" s="114"/>
      <c r="L565" s="881"/>
      <c r="M565" s="33"/>
      <c r="N565" s="33"/>
      <c r="O565" s="33"/>
      <c r="P565" s="33"/>
      <c r="Q565" s="33"/>
      <c r="R565" s="935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>
      <c r="A566" s="224"/>
      <c r="B566" s="229"/>
      <c r="C566" s="225"/>
      <c r="D566" s="227"/>
      <c r="E566" s="228"/>
      <c r="F566" s="33"/>
      <c r="G566" s="33"/>
      <c r="H566" s="33"/>
      <c r="I566" s="33"/>
      <c r="J566" s="230"/>
      <c r="K566" s="114"/>
      <c r="L566" s="881"/>
      <c r="M566" s="33"/>
      <c r="N566" s="33"/>
      <c r="O566" s="33"/>
      <c r="P566" s="33"/>
      <c r="Q566" s="33"/>
      <c r="R566" s="935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>
      <c r="A567" s="224"/>
      <c r="B567" s="229"/>
      <c r="C567" s="225"/>
      <c r="D567" s="227"/>
      <c r="E567" s="228"/>
      <c r="F567" s="33"/>
      <c r="G567" s="33"/>
      <c r="H567" s="33"/>
      <c r="I567" s="33"/>
      <c r="J567" s="230"/>
      <c r="K567" s="114"/>
      <c r="L567" s="881"/>
      <c r="M567" s="33"/>
      <c r="N567" s="33"/>
      <c r="O567" s="33"/>
      <c r="P567" s="33"/>
      <c r="Q567" s="33"/>
      <c r="R567" s="935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>
      <c r="A568" s="224"/>
      <c r="B568" s="229"/>
      <c r="C568" s="225"/>
      <c r="D568" s="227"/>
      <c r="E568" s="228"/>
      <c r="F568" s="33"/>
      <c r="G568" s="33"/>
      <c r="H568" s="33"/>
      <c r="I568" s="33"/>
      <c r="J568" s="230"/>
      <c r="K568" s="114"/>
      <c r="L568" s="881"/>
      <c r="M568" s="33"/>
      <c r="N568" s="33"/>
      <c r="O568" s="33"/>
      <c r="P568" s="33"/>
      <c r="Q568" s="33"/>
      <c r="R568" s="935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>
      <c r="A569" s="224"/>
      <c r="B569" s="229"/>
      <c r="C569" s="225"/>
      <c r="D569" s="227"/>
      <c r="E569" s="228"/>
      <c r="F569" s="33"/>
      <c r="G569" s="33"/>
      <c r="H569" s="33"/>
      <c r="I569" s="33"/>
      <c r="J569" s="230"/>
      <c r="K569" s="114"/>
      <c r="L569" s="881"/>
      <c r="M569" s="33"/>
      <c r="N569" s="33"/>
      <c r="O569" s="33"/>
      <c r="P569" s="33"/>
      <c r="Q569" s="33"/>
      <c r="R569" s="935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>
      <c r="A570" s="224"/>
      <c r="B570" s="229"/>
      <c r="C570" s="225"/>
      <c r="D570" s="227"/>
      <c r="E570" s="228"/>
      <c r="F570" s="33"/>
      <c r="G570" s="33"/>
      <c r="H570" s="33"/>
      <c r="I570" s="33"/>
      <c r="J570" s="230"/>
      <c r="K570" s="114"/>
      <c r="L570" s="881"/>
      <c r="M570" s="33"/>
      <c r="N570" s="33"/>
      <c r="O570" s="33"/>
      <c r="P570" s="33"/>
      <c r="Q570" s="33"/>
      <c r="R570" s="935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>
      <c r="A571" s="224"/>
      <c r="B571" s="229"/>
      <c r="C571" s="225"/>
      <c r="D571" s="227"/>
      <c r="E571" s="228"/>
      <c r="F571" s="33"/>
      <c r="G571" s="33"/>
      <c r="H571" s="33"/>
      <c r="I571" s="33"/>
      <c r="J571" s="230"/>
      <c r="K571" s="114"/>
      <c r="L571" s="881"/>
      <c r="M571" s="33"/>
      <c r="N571" s="33"/>
      <c r="O571" s="33"/>
      <c r="P571" s="33"/>
      <c r="Q571" s="33"/>
      <c r="R571" s="935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>
      <c r="A572" s="224"/>
      <c r="B572" s="229"/>
      <c r="C572" s="225"/>
      <c r="D572" s="227"/>
      <c r="E572" s="228"/>
      <c r="F572" s="33"/>
      <c r="G572" s="33"/>
      <c r="H572" s="33"/>
      <c r="I572" s="33"/>
      <c r="J572" s="230"/>
      <c r="K572" s="114"/>
      <c r="L572" s="881"/>
      <c r="M572" s="33"/>
      <c r="N572" s="33"/>
      <c r="O572" s="33"/>
      <c r="P572" s="33"/>
      <c r="Q572" s="33"/>
      <c r="R572" s="935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>
      <c r="A573" s="224"/>
      <c r="B573" s="229"/>
      <c r="C573" s="225"/>
      <c r="D573" s="227"/>
      <c r="E573" s="228"/>
      <c r="F573" s="33"/>
      <c r="G573" s="33"/>
      <c r="H573" s="33"/>
      <c r="I573" s="33"/>
      <c r="J573" s="230"/>
      <c r="K573" s="114"/>
      <c r="L573" s="881"/>
      <c r="M573" s="33"/>
      <c r="N573" s="33"/>
      <c r="O573" s="33"/>
      <c r="P573" s="33"/>
      <c r="Q573" s="33"/>
      <c r="R573" s="935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>
      <c r="A574" s="224"/>
      <c r="B574" s="229"/>
      <c r="C574" s="225"/>
      <c r="D574" s="227"/>
      <c r="E574" s="228"/>
      <c r="F574" s="33"/>
      <c r="G574" s="33"/>
      <c r="H574" s="33"/>
      <c r="I574" s="33"/>
      <c r="J574" s="230"/>
      <c r="K574" s="114"/>
      <c r="L574" s="881"/>
      <c r="M574" s="33"/>
      <c r="N574" s="33"/>
      <c r="O574" s="33"/>
      <c r="P574" s="33"/>
      <c r="Q574" s="33"/>
      <c r="R574" s="935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>
      <c r="A575" s="224"/>
      <c r="B575" s="229"/>
      <c r="C575" s="225"/>
      <c r="D575" s="227"/>
      <c r="E575" s="228"/>
      <c r="F575" s="33"/>
      <c r="G575" s="33"/>
      <c r="H575" s="33"/>
      <c r="I575" s="33"/>
      <c r="J575" s="230"/>
      <c r="K575" s="114"/>
      <c r="L575" s="881"/>
      <c r="M575" s="33"/>
      <c r="N575" s="33"/>
      <c r="O575" s="33"/>
      <c r="P575" s="33"/>
      <c r="Q575" s="33"/>
      <c r="R575" s="935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>
      <c r="A576" s="224"/>
      <c r="B576" s="229"/>
      <c r="C576" s="225"/>
      <c r="D576" s="227"/>
      <c r="E576" s="228"/>
      <c r="F576" s="33"/>
      <c r="G576" s="33"/>
      <c r="H576" s="33"/>
      <c r="I576" s="33"/>
      <c r="J576" s="230"/>
      <c r="K576" s="114"/>
      <c r="L576" s="881"/>
      <c r="M576" s="33"/>
      <c r="N576" s="33"/>
      <c r="O576" s="33"/>
      <c r="P576" s="33"/>
      <c r="Q576" s="33"/>
      <c r="R576" s="935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>
      <c r="A577" s="224"/>
      <c r="B577" s="229"/>
      <c r="C577" s="225"/>
      <c r="D577" s="227"/>
      <c r="E577" s="228"/>
      <c r="F577" s="33"/>
      <c r="G577" s="33"/>
      <c r="H577" s="33"/>
      <c r="I577" s="33"/>
      <c r="J577" s="230"/>
      <c r="K577" s="114"/>
      <c r="L577" s="881"/>
      <c r="M577" s="33"/>
      <c r="N577" s="33"/>
      <c r="O577" s="33"/>
      <c r="P577" s="33"/>
      <c r="Q577" s="33"/>
      <c r="R577" s="935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>
      <c r="A578" s="224"/>
      <c r="B578" s="229"/>
      <c r="C578" s="225"/>
      <c r="D578" s="227"/>
      <c r="E578" s="228"/>
      <c r="F578" s="33"/>
      <c r="G578" s="33"/>
      <c r="H578" s="33"/>
      <c r="I578" s="33"/>
      <c r="J578" s="230"/>
      <c r="K578" s="114"/>
      <c r="L578" s="881"/>
      <c r="M578" s="33"/>
      <c r="N578" s="33"/>
      <c r="O578" s="33"/>
      <c r="P578" s="33"/>
      <c r="Q578" s="33"/>
      <c r="R578" s="935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>
      <c r="A579" s="224"/>
      <c r="B579" s="229"/>
      <c r="C579" s="225"/>
      <c r="D579" s="227"/>
      <c r="E579" s="228"/>
      <c r="F579" s="33"/>
      <c r="G579" s="33"/>
      <c r="H579" s="33"/>
      <c r="I579" s="33"/>
      <c r="J579" s="230"/>
      <c r="K579" s="114"/>
      <c r="L579" s="881"/>
      <c r="M579" s="33"/>
      <c r="N579" s="33"/>
      <c r="O579" s="33"/>
      <c r="P579" s="33"/>
      <c r="Q579" s="33"/>
      <c r="R579" s="935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>
      <c r="A580" s="224"/>
      <c r="B580" s="229"/>
      <c r="C580" s="225"/>
      <c r="D580" s="227"/>
      <c r="E580" s="228"/>
      <c r="F580" s="33"/>
      <c r="G580" s="33"/>
      <c r="H580" s="33"/>
      <c r="I580" s="33"/>
      <c r="J580" s="230"/>
      <c r="K580" s="114"/>
      <c r="L580" s="881"/>
      <c r="M580" s="33"/>
      <c r="N580" s="33"/>
      <c r="O580" s="33"/>
      <c r="P580" s="33"/>
      <c r="Q580" s="33"/>
      <c r="R580" s="935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>
      <c r="A581" s="224"/>
      <c r="B581" s="229"/>
      <c r="C581" s="225"/>
      <c r="D581" s="227"/>
      <c r="E581" s="228"/>
      <c r="F581" s="33"/>
      <c r="G581" s="33"/>
      <c r="H581" s="33"/>
      <c r="I581" s="33"/>
      <c r="J581" s="230"/>
      <c r="K581" s="114"/>
      <c r="L581" s="881"/>
      <c r="M581" s="33"/>
      <c r="N581" s="33"/>
      <c r="O581" s="33"/>
      <c r="P581" s="33"/>
      <c r="Q581" s="33"/>
      <c r="R581" s="935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>
      <c r="A582" s="224"/>
      <c r="B582" s="229"/>
      <c r="C582" s="225"/>
      <c r="D582" s="227"/>
      <c r="E582" s="228"/>
      <c r="F582" s="33"/>
      <c r="G582" s="33"/>
      <c r="H582" s="33"/>
      <c r="I582" s="33"/>
      <c r="J582" s="230"/>
      <c r="K582" s="114"/>
      <c r="L582" s="881"/>
      <c r="M582" s="33"/>
      <c r="N582" s="33"/>
      <c r="O582" s="33"/>
      <c r="P582" s="33"/>
      <c r="Q582" s="33"/>
      <c r="R582" s="935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>
      <c r="A583" s="224"/>
      <c r="B583" s="229"/>
      <c r="C583" s="225"/>
      <c r="D583" s="227"/>
      <c r="E583" s="228"/>
      <c r="F583" s="33"/>
      <c r="G583" s="33"/>
      <c r="H583" s="33"/>
      <c r="I583" s="33"/>
      <c r="J583" s="230"/>
      <c r="K583" s="114"/>
      <c r="L583" s="881"/>
      <c r="M583" s="33"/>
      <c r="N583" s="33"/>
      <c r="O583" s="33"/>
      <c r="P583" s="33"/>
      <c r="Q583" s="33"/>
      <c r="R583" s="935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>
      <c r="A584" s="224"/>
      <c r="B584" s="229"/>
      <c r="C584" s="225"/>
      <c r="D584" s="227"/>
      <c r="E584" s="228"/>
      <c r="F584" s="33"/>
      <c r="G584" s="33"/>
      <c r="H584" s="33"/>
      <c r="I584" s="33"/>
      <c r="J584" s="230"/>
      <c r="K584" s="114"/>
      <c r="L584" s="881"/>
      <c r="M584" s="33"/>
      <c r="N584" s="33"/>
      <c r="O584" s="33"/>
      <c r="P584" s="33"/>
      <c r="Q584" s="33"/>
      <c r="R584" s="935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>
      <c r="A585" s="224"/>
      <c r="B585" s="229"/>
      <c r="C585" s="225"/>
      <c r="D585" s="227"/>
      <c r="E585" s="228"/>
      <c r="F585" s="33"/>
      <c r="G585" s="33"/>
      <c r="H585" s="33"/>
      <c r="I585" s="33"/>
      <c r="J585" s="230"/>
      <c r="K585" s="114"/>
      <c r="L585" s="881"/>
      <c r="M585" s="33"/>
      <c r="N585" s="33"/>
      <c r="O585" s="33"/>
      <c r="P585" s="33"/>
      <c r="Q585" s="33"/>
      <c r="R585" s="935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>
      <c r="A586" s="224"/>
      <c r="B586" s="229"/>
      <c r="C586" s="225"/>
      <c r="D586" s="227"/>
      <c r="E586" s="228"/>
      <c r="F586" s="33"/>
      <c r="G586" s="33"/>
      <c r="H586" s="33"/>
      <c r="I586" s="33"/>
      <c r="J586" s="230"/>
      <c r="K586" s="114"/>
      <c r="L586" s="881"/>
      <c r="M586" s="33"/>
      <c r="N586" s="33"/>
      <c r="O586" s="33"/>
      <c r="P586" s="33"/>
      <c r="Q586" s="33"/>
      <c r="R586" s="935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>
      <c r="A587" s="224"/>
      <c r="B587" s="229"/>
      <c r="C587" s="225"/>
      <c r="D587" s="227"/>
      <c r="E587" s="228"/>
      <c r="F587" s="33"/>
      <c r="G587" s="33"/>
      <c r="H587" s="33"/>
      <c r="I587" s="33"/>
      <c r="J587" s="230"/>
      <c r="K587" s="114"/>
      <c r="L587" s="881"/>
      <c r="M587" s="33"/>
      <c r="N587" s="33"/>
      <c r="O587" s="33"/>
      <c r="P587" s="33"/>
      <c r="Q587" s="33"/>
      <c r="R587" s="935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>
      <c r="A588" s="224"/>
      <c r="B588" s="229"/>
      <c r="C588" s="225"/>
      <c r="D588" s="227"/>
      <c r="E588" s="228"/>
      <c r="F588" s="33"/>
      <c r="G588" s="33"/>
      <c r="H588" s="33"/>
      <c r="I588" s="33"/>
      <c r="J588" s="230"/>
      <c r="K588" s="114"/>
      <c r="L588" s="881"/>
      <c r="M588" s="33"/>
      <c r="N588" s="33"/>
      <c r="O588" s="33"/>
      <c r="P588" s="33"/>
      <c r="Q588" s="33"/>
      <c r="R588" s="935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>
      <c r="A589" s="224"/>
      <c r="B589" s="229"/>
      <c r="C589" s="225"/>
      <c r="D589" s="227"/>
      <c r="E589" s="228"/>
      <c r="F589" s="33"/>
      <c r="G589" s="33"/>
      <c r="H589" s="33"/>
      <c r="I589" s="33"/>
      <c r="J589" s="230"/>
      <c r="K589" s="114"/>
      <c r="L589" s="881"/>
      <c r="M589" s="33"/>
      <c r="N589" s="33"/>
      <c r="O589" s="33"/>
      <c r="P589" s="33"/>
      <c r="Q589" s="33"/>
      <c r="R589" s="935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>
      <c r="A590" s="224"/>
      <c r="B590" s="229"/>
      <c r="C590" s="225"/>
      <c r="D590" s="227"/>
      <c r="E590" s="228"/>
      <c r="F590" s="33"/>
      <c r="G590" s="33"/>
      <c r="H590" s="33"/>
      <c r="I590" s="33"/>
      <c r="J590" s="230"/>
      <c r="K590" s="114"/>
      <c r="L590" s="881"/>
      <c r="M590" s="33"/>
      <c r="N590" s="33"/>
      <c r="O590" s="33"/>
      <c r="P590" s="33"/>
      <c r="Q590" s="33"/>
      <c r="R590" s="935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>
      <c r="A591" s="224"/>
      <c r="B591" s="229"/>
      <c r="C591" s="225"/>
      <c r="D591" s="227"/>
      <c r="E591" s="228"/>
      <c r="F591" s="33"/>
      <c r="G591" s="33"/>
      <c r="H591" s="33"/>
      <c r="I591" s="33"/>
      <c r="J591" s="230"/>
      <c r="K591" s="114"/>
      <c r="L591" s="881"/>
      <c r="M591" s="33"/>
      <c r="N591" s="33"/>
      <c r="O591" s="33"/>
      <c r="P591" s="33"/>
      <c r="Q591" s="33"/>
      <c r="R591" s="935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>
      <c r="A592" s="224"/>
      <c r="B592" s="229"/>
      <c r="C592" s="225"/>
      <c r="D592" s="227"/>
      <c r="E592" s="228"/>
      <c r="F592" s="33"/>
      <c r="G592" s="33"/>
      <c r="H592" s="33"/>
      <c r="I592" s="33"/>
      <c r="J592" s="230"/>
      <c r="K592" s="114"/>
      <c r="L592" s="881"/>
      <c r="M592" s="33"/>
      <c r="N592" s="33"/>
      <c r="O592" s="33"/>
      <c r="P592" s="33"/>
      <c r="Q592" s="33"/>
      <c r="R592" s="935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>
      <c r="A593" s="224"/>
      <c r="B593" s="229"/>
      <c r="C593" s="225"/>
      <c r="D593" s="227"/>
      <c r="E593" s="228"/>
      <c r="F593" s="33"/>
      <c r="G593" s="33"/>
      <c r="H593" s="33"/>
      <c r="I593" s="33"/>
      <c r="J593" s="230"/>
      <c r="K593" s="114"/>
      <c r="L593" s="881"/>
      <c r="M593" s="33"/>
      <c r="N593" s="33"/>
      <c r="O593" s="33"/>
      <c r="P593" s="33"/>
      <c r="Q593" s="33"/>
      <c r="R593" s="935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>
      <c r="A594" s="224"/>
      <c r="B594" s="229"/>
      <c r="C594" s="225"/>
      <c r="D594" s="227"/>
      <c r="E594" s="228"/>
      <c r="F594" s="33"/>
      <c r="G594" s="33"/>
      <c r="H594" s="33"/>
      <c r="I594" s="33"/>
      <c r="J594" s="230"/>
      <c r="K594" s="114"/>
      <c r="L594" s="881"/>
      <c r="M594" s="33"/>
      <c r="N594" s="33"/>
      <c r="O594" s="33"/>
      <c r="P594" s="33"/>
      <c r="Q594" s="33"/>
      <c r="R594" s="935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>
      <c r="A595" s="224"/>
      <c r="B595" s="229"/>
      <c r="C595" s="225"/>
      <c r="D595" s="227"/>
      <c r="E595" s="228"/>
      <c r="F595" s="33"/>
      <c r="G595" s="33"/>
      <c r="H595" s="33"/>
      <c r="I595" s="33"/>
      <c r="J595" s="230"/>
      <c r="K595" s="114"/>
      <c r="L595" s="881"/>
      <c r="M595" s="33"/>
      <c r="N595" s="33"/>
      <c r="O595" s="33"/>
      <c r="P595" s="33"/>
      <c r="Q595" s="33"/>
      <c r="R595" s="935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>
      <c r="A596" s="224"/>
      <c r="B596" s="229"/>
      <c r="C596" s="225"/>
      <c r="D596" s="227"/>
      <c r="E596" s="228"/>
      <c r="F596" s="33"/>
      <c r="G596" s="33"/>
      <c r="H596" s="33"/>
      <c r="I596" s="33"/>
      <c r="J596" s="230"/>
      <c r="K596" s="114"/>
      <c r="L596" s="881"/>
      <c r="M596" s="33"/>
      <c r="N596" s="33"/>
      <c r="O596" s="33"/>
      <c r="P596" s="33"/>
      <c r="Q596" s="33"/>
      <c r="R596" s="935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>
      <c r="A597" s="224"/>
      <c r="B597" s="229"/>
      <c r="C597" s="225"/>
      <c r="D597" s="227"/>
      <c r="E597" s="228"/>
      <c r="F597" s="33"/>
      <c r="G597" s="33"/>
      <c r="H597" s="33"/>
      <c r="I597" s="33"/>
      <c r="J597" s="230"/>
      <c r="K597" s="114"/>
      <c r="L597" s="881"/>
      <c r="M597" s="33"/>
      <c r="N597" s="33"/>
      <c r="O597" s="33"/>
      <c r="P597" s="33"/>
      <c r="Q597" s="33"/>
      <c r="R597" s="935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>
      <c r="A598" s="224"/>
      <c r="B598" s="229"/>
      <c r="C598" s="225"/>
      <c r="D598" s="227"/>
      <c r="E598" s="228"/>
      <c r="F598" s="33"/>
      <c r="G598" s="33"/>
      <c r="H598" s="33"/>
      <c r="I598" s="33"/>
      <c r="J598" s="230"/>
      <c r="K598" s="114"/>
      <c r="L598" s="881"/>
      <c r="M598" s="33"/>
      <c r="N598" s="33"/>
      <c r="O598" s="33"/>
      <c r="P598" s="33"/>
      <c r="Q598" s="33"/>
      <c r="R598" s="935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>
      <c r="A599" s="224"/>
      <c r="B599" s="229"/>
      <c r="C599" s="225"/>
      <c r="D599" s="227"/>
      <c r="E599" s="228"/>
      <c r="F599" s="33"/>
      <c r="G599" s="33"/>
      <c r="H599" s="33"/>
      <c r="I599" s="33"/>
      <c r="J599" s="230"/>
      <c r="K599" s="114"/>
      <c r="L599" s="881"/>
      <c r="M599" s="33"/>
      <c r="N599" s="33"/>
      <c r="O599" s="33"/>
      <c r="P599" s="33"/>
      <c r="Q599" s="33"/>
      <c r="R599" s="935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>
      <c r="A600" s="224"/>
      <c r="B600" s="229"/>
      <c r="C600" s="225"/>
      <c r="D600" s="227"/>
      <c r="E600" s="228"/>
      <c r="F600" s="33"/>
      <c r="G600" s="33"/>
      <c r="H600" s="33"/>
      <c r="I600" s="33"/>
      <c r="J600" s="230"/>
      <c r="K600" s="114"/>
      <c r="L600" s="881"/>
      <c r="M600" s="33"/>
      <c r="N600" s="33"/>
      <c r="O600" s="33"/>
      <c r="P600" s="33"/>
      <c r="Q600" s="33"/>
      <c r="R600" s="935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>
      <c r="A601" s="224"/>
      <c r="B601" s="229"/>
      <c r="C601" s="225"/>
      <c r="D601" s="227"/>
      <c r="E601" s="228"/>
      <c r="F601" s="33"/>
      <c r="G601" s="33"/>
      <c r="H601" s="33"/>
      <c r="I601" s="33"/>
      <c r="J601" s="230"/>
      <c r="K601" s="114"/>
      <c r="L601" s="881"/>
      <c r="M601" s="33"/>
      <c r="N601" s="33"/>
      <c r="O601" s="33"/>
      <c r="P601" s="33"/>
      <c r="Q601" s="33"/>
      <c r="R601" s="935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>
      <c r="A602" s="224"/>
      <c r="B602" s="229"/>
      <c r="C602" s="225"/>
      <c r="D602" s="227"/>
      <c r="E602" s="228"/>
      <c r="F602" s="33"/>
      <c r="G602" s="33"/>
      <c r="H602" s="33"/>
      <c r="I602" s="33"/>
      <c r="J602" s="230"/>
      <c r="K602" s="114"/>
      <c r="L602" s="881"/>
      <c r="M602" s="33"/>
      <c r="N602" s="33"/>
      <c r="O602" s="33"/>
      <c r="P602" s="33"/>
      <c r="Q602" s="33"/>
      <c r="R602" s="935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>
      <c r="A603" s="224"/>
      <c r="B603" s="229"/>
      <c r="C603" s="225"/>
      <c r="D603" s="227"/>
      <c r="E603" s="228"/>
      <c r="F603" s="33"/>
      <c r="G603" s="33"/>
      <c r="H603" s="33"/>
      <c r="I603" s="33"/>
      <c r="J603" s="230"/>
      <c r="K603" s="114"/>
      <c r="L603" s="881"/>
      <c r="M603" s="33"/>
      <c r="N603" s="33"/>
      <c r="O603" s="33"/>
      <c r="P603" s="33"/>
      <c r="Q603" s="33"/>
      <c r="R603" s="935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>
      <c r="A604" s="224"/>
      <c r="B604" s="229"/>
      <c r="C604" s="225"/>
      <c r="D604" s="227"/>
      <c r="E604" s="228"/>
      <c r="F604" s="33"/>
      <c r="G604" s="33"/>
      <c r="H604" s="33"/>
      <c r="I604" s="33"/>
      <c r="J604" s="230"/>
      <c r="K604" s="114"/>
      <c r="L604" s="881"/>
      <c r="M604" s="33"/>
      <c r="N604" s="33"/>
      <c r="O604" s="33"/>
      <c r="P604" s="33"/>
      <c r="Q604" s="33"/>
      <c r="R604" s="935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>
      <c r="A605" s="224"/>
      <c r="B605" s="229"/>
      <c r="C605" s="225"/>
      <c r="D605" s="227"/>
      <c r="E605" s="228"/>
      <c r="F605" s="33"/>
      <c r="G605" s="33"/>
      <c r="H605" s="33"/>
      <c r="I605" s="33"/>
      <c r="J605" s="230"/>
      <c r="K605" s="114"/>
      <c r="L605" s="881"/>
      <c r="M605" s="33"/>
      <c r="N605" s="33"/>
      <c r="O605" s="33"/>
      <c r="P605" s="33"/>
      <c r="Q605" s="33"/>
      <c r="R605" s="935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>
      <c r="A606" s="224"/>
      <c r="B606" s="229"/>
      <c r="C606" s="225"/>
      <c r="D606" s="227"/>
      <c r="E606" s="228"/>
      <c r="F606" s="33"/>
      <c r="G606" s="33"/>
      <c r="H606" s="33"/>
      <c r="I606" s="33"/>
      <c r="J606" s="230"/>
      <c r="K606" s="114"/>
      <c r="L606" s="881"/>
      <c r="M606" s="33"/>
      <c r="N606" s="33"/>
      <c r="O606" s="33"/>
      <c r="P606" s="33"/>
      <c r="Q606" s="33"/>
      <c r="R606" s="935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>
      <c r="A607" s="224"/>
      <c r="B607" s="229"/>
      <c r="C607" s="225"/>
      <c r="D607" s="227"/>
      <c r="E607" s="228"/>
      <c r="F607" s="33"/>
      <c r="G607" s="33"/>
      <c r="H607" s="33"/>
      <c r="I607" s="33"/>
      <c r="J607" s="230"/>
      <c r="K607" s="114"/>
      <c r="L607" s="881"/>
      <c r="M607" s="33"/>
      <c r="N607" s="33"/>
      <c r="O607" s="33"/>
      <c r="P607" s="33"/>
      <c r="Q607" s="33"/>
      <c r="R607" s="935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>
      <c r="A608" s="224"/>
      <c r="B608" s="229"/>
      <c r="C608" s="225"/>
      <c r="D608" s="227"/>
      <c r="E608" s="228"/>
      <c r="F608" s="33"/>
      <c r="G608" s="33"/>
      <c r="H608" s="33"/>
      <c r="I608" s="33"/>
      <c r="J608" s="230"/>
      <c r="K608" s="114"/>
      <c r="L608" s="881"/>
      <c r="M608" s="33"/>
      <c r="N608" s="33"/>
      <c r="O608" s="33"/>
      <c r="P608" s="33"/>
      <c r="Q608" s="33"/>
      <c r="R608" s="935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>
      <c r="A609" s="224"/>
      <c r="B609" s="229"/>
      <c r="C609" s="225"/>
      <c r="D609" s="227"/>
      <c r="E609" s="228"/>
      <c r="F609" s="33"/>
      <c r="G609" s="33"/>
      <c r="H609" s="33"/>
      <c r="I609" s="33"/>
      <c r="J609" s="230"/>
      <c r="K609" s="114"/>
      <c r="L609" s="881"/>
      <c r="M609" s="33"/>
      <c r="N609" s="33"/>
      <c r="O609" s="33"/>
      <c r="P609" s="33"/>
      <c r="Q609" s="33"/>
      <c r="R609" s="935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>
      <c r="A610" s="224"/>
      <c r="B610" s="229"/>
      <c r="C610" s="225"/>
      <c r="D610" s="227"/>
      <c r="E610" s="228"/>
      <c r="F610" s="33"/>
      <c r="G610" s="33"/>
      <c r="H610" s="33"/>
      <c r="I610" s="33"/>
      <c r="J610" s="230"/>
      <c r="K610" s="114"/>
      <c r="L610" s="881"/>
      <c r="M610" s="33"/>
      <c r="N610" s="33"/>
      <c r="O610" s="33"/>
      <c r="P610" s="33"/>
      <c r="Q610" s="33"/>
      <c r="R610" s="935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>
      <c r="A611" s="224"/>
      <c r="B611" s="229"/>
      <c r="C611" s="225"/>
      <c r="D611" s="227"/>
      <c r="E611" s="228"/>
      <c r="F611" s="33"/>
      <c r="G611" s="33"/>
      <c r="H611" s="33"/>
      <c r="I611" s="33"/>
      <c r="J611" s="230"/>
      <c r="K611" s="114"/>
      <c r="L611" s="881"/>
      <c r="M611" s="33"/>
      <c r="N611" s="33"/>
      <c r="O611" s="33"/>
      <c r="P611" s="33"/>
      <c r="Q611" s="33"/>
      <c r="R611" s="935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>
      <c r="A612" s="224"/>
      <c r="B612" s="229"/>
      <c r="C612" s="225"/>
      <c r="D612" s="227"/>
      <c r="E612" s="228"/>
      <c r="F612" s="33"/>
      <c r="G612" s="33"/>
      <c r="H612" s="33"/>
      <c r="I612" s="33"/>
      <c r="J612" s="230"/>
      <c r="K612" s="114"/>
      <c r="L612" s="881"/>
      <c r="M612" s="33"/>
      <c r="N612" s="33"/>
      <c r="O612" s="33"/>
      <c r="P612" s="33"/>
      <c r="Q612" s="33"/>
      <c r="R612" s="935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>
      <c r="A613" s="224"/>
      <c r="B613" s="229"/>
      <c r="C613" s="225"/>
      <c r="D613" s="227"/>
      <c r="E613" s="228"/>
      <c r="F613" s="33"/>
      <c r="G613" s="33"/>
      <c r="H613" s="33"/>
      <c r="I613" s="33"/>
      <c r="J613" s="230"/>
      <c r="K613" s="114"/>
      <c r="L613" s="881"/>
      <c r="M613" s="33"/>
      <c r="N613" s="33"/>
      <c r="O613" s="33"/>
      <c r="P613" s="33"/>
      <c r="Q613" s="33"/>
      <c r="R613" s="935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>
      <c r="A614" s="224"/>
      <c r="B614" s="229"/>
      <c r="C614" s="225"/>
      <c r="D614" s="227"/>
      <c r="E614" s="228"/>
      <c r="F614" s="33"/>
      <c r="G614" s="33"/>
      <c r="H614" s="33"/>
      <c r="I614" s="33"/>
      <c r="J614" s="230"/>
      <c r="K614" s="114"/>
      <c r="L614" s="881"/>
      <c r="M614" s="33"/>
      <c r="N614" s="33"/>
      <c r="O614" s="33"/>
      <c r="P614" s="33"/>
      <c r="Q614" s="33"/>
      <c r="R614" s="935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>
      <c r="A615" s="224"/>
      <c r="B615" s="229"/>
      <c r="C615" s="225"/>
      <c r="D615" s="227"/>
      <c r="E615" s="228"/>
      <c r="F615" s="33"/>
      <c r="G615" s="33"/>
      <c r="H615" s="33"/>
      <c r="I615" s="33"/>
      <c r="J615" s="230"/>
      <c r="K615" s="114"/>
      <c r="L615" s="881"/>
      <c r="M615" s="33"/>
      <c r="N615" s="33"/>
      <c r="O615" s="33"/>
      <c r="P615" s="33"/>
      <c r="Q615" s="33"/>
      <c r="R615" s="935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>
      <c r="A616" s="224"/>
      <c r="B616" s="229"/>
      <c r="C616" s="225"/>
      <c r="D616" s="227"/>
      <c r="E616" s="228"/>
      <c r="F616" s="33"/>
      <c r="G616" s="33"/>
      <c r="H616" s="33"/>
      <c r="I616" s="33"/>
      <c r="J616" s="230"/>
      <c r="K616" s="114"/>
      <c r="L616" s="881"/>
      <c r="M616" s="33"/>
      <c r="N616" s="33"/>
      <c r="O616" s="33"/>
      <c r="P616" s="33"/>
      <c r="Q616" s="33"/>
      <c r="R616" s="935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>
      <c r="A617" s="224"/>
      <c r="B617" s="229"/>
      <c r="C617" s="225"/>
      <c r="D617" s="227"/>
      <c r="E617" s="228"/>
      <c r="F617" s="33"/>
      <c r="G617" s="33"/>
      <c r="H617" s="33"/>
      <c r="I617" s="33"/>
      <c r="J617" s="230"/>
      <c r="K617" s="114"/>
      <c r="L617" s="881"/>
      <c r="M617" s="33"/>
      <c r="N617" s="33"/>
      <c r="O617" s="33"/>
      <c r="P617" s="33"/>
      <c r="Q617" s="33"/>
      <c r="R617" s="935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>
      <c r="A618" s="224"/>
      <c r="B618" s="229"/>
      <c r="C618" s="225"/>
      <c r="D618" s="227"/>
      <c r="E618" s="228"/>
      <c r="F618" s="33"/>
      <c r="G618" s="33"/>
      <c r="H618" s="33"/>
      <c r="I618" s="33"/>
      <c r="J618" s="230"/>
      <c r="K618" s="114"/>
      <c r="L618" s="881"/>
      <c r="M618" s="33"/>
      <c r="N618" s="33"/>
      <c r="O618" s="33"/>
      <c r="P618" s="33"/>
      <c r="Q618" s="33"/>
      <c r="R618" s="935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>
      <c r="A619" s="224"/>
      <c r="B619" s="229"/>
      <c r="C619" s="225"/>
      <c r="D619" s="227"/>
      <c r="E619" s="228"/>
      <c r="F619" s="33"/>
      <c r="G619" s="33"/>
      <c r="H619" s="33"/>
      <c r="I619" s="33"/>
      <c r="J619" s="230"/>
      <c r="K619" s="114"/>
      <c r="L619" s="881"/>
      <c r="M619" s="33"/>
      <c r="N619" s="33"/>
      <c r="O619" s="33"/>
      <c r="P619" s="33"/>
      <c r="Q619" s="33"/>
      <c r="R619" s="935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>
      <c r="A620" s="224"/>
      <c r="B620" s="229"/>
      <c r="C620" s="225"/>
      <c r="D620" s="227"/>
      <c r="E620" s="228"/>
      <c r="F620" s="33"/>
      <c r="G620" s="33"/>
      <c r="H620" s="33"/>
      <c r="I620" s="33"/>
      <c r="J620" s="230"/>
      <c r="K620" s="114"/>
      <c r="L620" s="881"/>
      <c r="M620" s="33"/>
      <c r="N620" s="33"/>
      <c r="O620" s="33"/>
      <c r="P620" s="33"/>
      <c r="Q620" s="33"/>
      <c r="R620" s="935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>
      <c r="A621" s="224"/>
      <c r="B621" s="229"/>
      <c r="C621" s="225"/>
      <c r="D621" s="227"/>
      <c r="E621" s="228"/>
      <c r="F621" s="33"/>
      <c r="G621" s="33"/>
      <c r="H621" s="33"/>
      <c r="I621" s="33"/>
      <c r="J621" s="230"/>
      <c r="K621" s="114"/>
      <c r="L621" s="881"/>
      <c r="M621" s="33"/>
      <c r="N621" s="33"/>
      <c r="O621" s="33"/>
      <c r="P621" s="33"/>
      <c r="Q621" s="33"/>
      <c r="R621" s="935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>
      <c r="A622" s="224"/>
      <c r="B622" s="229"/>
      <c r="C622" s="225"/>
      <c r="D622" s="227"/>
      <c r="E622" s="228"/>
      <c r="F622" s="33"/>
      <c r="G622" s="33"/>
      <c r="H622" s="33"/>
      <c r="I622" s="33"/>
      <c r="J622" s="230"/>
      <c r="K622" s="114"/>
      <c r="L622" s="881"/>
      <c r="M622" s="33"/>
      <c r="N622" s="33"/>
      <c r="O622" s="33"/>
      <c r="P622" s="33"/>
      <c r="Q622" s="33"/>
      <c r="R622" s="935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>
      <c r="A623" s="224"/>
      <c r="B623" s="229"/>
      <c r="C623" s="225"/>
      <c r="D623" s="227"/>
      <c r="E623" s="228"/>
      <c r="F623" s="33"/>
      <c r="G623" s="33"/>
      <c r="H623" s="33"/>
      <c r="I623" s="33"/>
      <c r="J623" s="230"/>
      <c r="K623" s="114"/>
      <c r="L623" s="881"/>
      <c r="M623" s="33"/>
      <c r="N623" s="33"/>
      <c r="O623" s="33"/>
      <c r="P623" s="33"/>
      <c r="Q623" s="33"/>
      <c r="R623" s="935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>
      <c r="A624" s="224"/>
      <c r="B624" s="229"/>
      <c r="C624" s="225"/>
      <c r="D624" s="227"/>
      <c r="E624" s="228"/>
      <c r="F624" s="33"/>
      <c r="G624" s="33"/>
      <c r="H624" s="33"/>
      <c r="I624" s="33"/>
      <c r="J624" s="230"/>
      <c r="K624" s="114"/>
      <c r="L624" s="881"/>
      <c r="M624" s="33"/>
      <c r="N624" s="33"/>
      <c r="O624" s="33"/>
      <c r="P624" s="33"/>
      <c r="Q624" s="33"/>
      <c r="R624" s="935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>
      <c r="A625" s="224"/>
      <c r="B625" s="229"/>
      <c r="C625" s="225"/>
      <c r="D625" s="227"/>
      <c r="E625" s="228"/>
      <c r="F625" s="33"/>
      <c r="G625" s="33"/>
      <c r="H625" s="33"/>
      <c r="I625" s="33"/>
      <c r="J625" s="230"/>
      <c r="K625" s="114"/>
      <c r="L625" s="881"/>
      <c r="M625" s="33"/>
      <c r="N625" s="33"/>
      <c r="O625" s="33"/>
      <c r="P625" s="33"/>
      <c r="Q625" s="33"/>
      <c r="R625" s="935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>
      <c r="A626" s="224"/>
      <c r="B626" s="229"/>
      <c r="C626" s="225"/>
      <c r="D626" s="227"/>
      <c r="E626" s="228"/>
      <c r="F626" s="33"/>
      <c r="G626" s="33"/>
      <c r="H626" s="33"/>
      <c r="I626" s="33"/>
      <c r="J626" s="230"/>
      <c r="K626" s="114"/>
      <c r="L626" s="881"/>
      <c r="M626" s="33"/>
      <c r="N626" s="33"/>
      <c r="O626" s="33"/>
      <c r="P626" s="33"/>
      <c r="Q626" s="33"/>
      <c r="R626" s="935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>
      <c r="A627" s="224"/>
      <c r="B627" s="229"/>
      <c r="C627" s="225"/>
      <c r="D627" s="227"/>
      <c r="E627" s="228"/>
      <c r="F627" s="33"/>
      <c r="G627" s="33"/>
      <c r="H627" s="33"/>
      <c r="I627" s="33"/>
      <c r="J627" s="230"/>
      <c r="K627" s="114"/>
      <c r="L627" s="881"/>
      <c r="M627" s="33"/>
      <c r="N627" s="33"/>
      <c r="O627" s="33"/>
      <c r="P627" s="33"/>
      <c r="Q627" s="33"/>
      <c r="R627" s="935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>
      <c r="A628" s="224"/>
      <c r="B628" s="229"/>
      <c r="C628" s="225"/>
      <c r="D628" s="227"/>
      <c r="E628" s="228"/>
      <c r="F628" s="33"/>
      <c r="G628" s="33"/>
      <c r="H628" s="33"/>
      <c r="I628" s="33"/>
      <c r="J628" s="230"/>
      <c r="K628" s="114"/>
      <c r="L628" s="881"/>
      <c r="M628" s="33"/>
      <c r="N628" s="33"/>
      <c r="O628" s="33"/>
      <c r="P628" s="33"/>
      <c r="Q628" s="33"/>
      <c r="R628" s="935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>
      <c r="A629" s="224"/>
      <c r="B629" s="229"/>
      <c r="C629" s="225"/>
      <c r="D629" s="227"/>
      <c r="E629" s="228"/>
      <c r="F629" s="33"/>
      <c r="G629" s="33"/>
      <c r="H629" s="33"/>
      <c r="I629" s="33"/>
      <c r="J629" s="230"/>
      <c r="K629" s="114"/>
      <c r="L629" s="881"/>
      <c r="M629" s="33"/>
      <c r="N629" s="33"/>
      <c r="O629" s="33"/>
      <c r="P629" s="33"/>
      <c r="Q629" s="33"/>
      <c r="R629" s="935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>
      <c r="A630" s="224"/>
      <c r="B630" s="229"/>
      <c r="C630" s="225"/>
      <c r="D630" s="227"/>
      <c r="E630" s="228"/>
      <c r="F630" s="33"/>
      <c r="G630" s="33"/>
      <c r="H630" s="33"/>
      <c r="I630" s="33"/>
      <c r="J630" s="230"/>
      <c r="K630" s="114"/>
      <c r="L630" s="881"/>
      <c r="M630" s="33"/>
      <c r="N630" s="33"/>
      <c r="O630" s="33"/>
      <c r="P630" s="33"/>
      <c r="Q630" s="33"/>
      <c r="R630" s="935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>
      <c r="A631" s="224"/>
      <c r="B631" s="229"/>
      <c r="C631" s="225"/>
      <c r="D631" s="227"/>
      <c r="E631" s="228"/>
      <c r="F631" s="33"/>
      <c r="G631" s="33"/>
      <c r="H631" s="33"/>
      <c r="I631" s="33"/>
      <c r="J631" s="230"/>
      <c r="K631" s="114"/>
      <c r="L631" s="881"/>
      <c r="M631" s="33"/>
      <c r="N631" s="33"/>
      <c r="O631" s="33"/>
      <c r="P631" s="33"/>
      <c r="Q631" s="33"/>
      <c r="R631" s="935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>
      <c r="A632" s="224"/>
      <c r="B632" s="229"/>
      <c r="C632" s="225"/>
      <c r="D632" s="227"/>
      <c r="E632" s="228"/>
      <c r="F632" s="33"/>
      <c r="G632" s="33"/>
      <c r="H632" s="33"/>
      <c r="I632" s="33"/>
      <c r="J632" s="230"/>
      <c r="K632" s="114"/>
      <c r="L632" s="881"/>
      <c r="M632" s="33"/>
      <c r="N632" s="33"/>
      <c r="O632" s="33"/>
      <c r="P632" s="33"/>
      <c r="Q632" s="33"/>
      <c r="R632" s="935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>
      <c r="A633" s="224"/>
      <c r="B633" s="229"/>
      <c r="C633" s="225"/>
      <c r="D633" s="227"/>
      <c r="E633" s="228"/>
      <c r="F633" s="33"/>
      <c r="G633" s="33"/>
      <c r="H633" s="33"/>
      <c r="I633" s="33"/>
      <c r="J633" s="230"/>
      <c r="K633" s="114"/>
      <c r="L633" s="881"/>
      <c r="M633" s="33"/>
      <c r="N633" s="33"/>
      <c r="O633" s="33"/>
      <c r="P633" s="33"/>
      <c r="Q633" s="33"/>
      <c r="R633" s="935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>
      <c r="A634" s="224"/>
      <c r="B634" s="229"/>
      <c r="C634" s="225"/>
      <c r="D634" s="227"/>
      <c r="E634" s="228"/>
      <c r="F634" s="33"/>
      <c r="G634" s="33"/>
      <c r="H634" s="33"/>
      <c r="I634" s="33"/>
      <c r="J634" s="230"/>
      <c r="K634" s="114"/>
      <c r="L634" s="881"/>
      <c r="M634" s="33"/>
      <c r="N634" s="33"/>
      <c r="O634" s="33"/>
      <c r="P634" s="33"/>
      <c r="Q634" s="33"/>
      <c r="R634" s="935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>
      <c r="A635" s="224"/>
      <c r="B635" s="229"/>
      <c r="C635" s="225"/>
      <c r="D635" s="227"/>
      <c r="E635" s="228"/>
      <c r="F635" s="33"/>
      <c r="G635" s="33"/>
      <c r="H635" s="33"/>
      <c r="I635" s="33"/>
      <c r="J635" s="230"/>
      <c r="K635" s="114"/>
      <c r="L635" s="881"/>
      <c r="M635" s="33"/>
      <c r="N635" s="33"/>
      <c r="O635" s="33"/>
      <c r="P635" s="33"/>
      <c r="Q635" s="33"/>
      <c r="R635" s="935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>
      <c r="A636" s="224"/>
      <c r="B636" s="229"/>
      <c r="C636" s="225"/>
      <c r="D636" s="227"/>
      <c r="E636" s="228"/>
      <c r="F636" s="33"/>
      <c r="G636" s="33"/>
      <c r="H636" s="33"/>
      <c r="I636" s="33"/>
      <c r="J636" s="230"/>
      <c r="K636" s="114"/>
      <c r="L636" s="881"/>
      <c r="M636" s="33"/>
      <c r="N636" s="33"/>
      <c r="O636" s="33"/>
      <c r="P636" s="33"/>
      <c r="Q636" s="33"/>
      <c r="R636" s="935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>
      <c r="A637" s="224"/>
      <c r="B637" s="229"/>
      <c r="C637" s="225"/>
      <c r="D637" s="227"/>
      <c r="E637" s="228"/>
      <c r="F637" s="33"/>
      <c r="G637" s="33"/>
      <c r="H637" s="33"/>
      <c r="I637" s="33"/>
      <c r="J637" s="230"/>
      <c r="K637" s="114"/>
      <c r="L637" s="881"/>
      <c r="M637" s="33"/>
      <c r="N637" s="33"/>
      <c r="O637" s="33"/>
      <c r="P637" s="33"/>
      <c r="Q637" s="33"/>
      <c r="R637" s="935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>
      <c r="A638" s="224"/>
      <c r="B638" s="229"/>
      <c r="C638" s="225"/>
      <c r="D638" s="227"/>
      <c r="E638" s="228"/>
      <c r="F638" s="33"/>
      <c r="G638" s="33"/>
      <c r="H638" s="33"/>
      <c r="I638" s="33"/>
      <c r="J638" s="230"/>
      <c r="K638" s="114"/>
      <c r="L638" s="881"/>
      <c r="M638" s="33"/>
      <c r="N638" s="33"/>
      <c r="O638" s="33"/>
      <c r="P638" s="33"/>
      <c r="Q638" s="33"/>
      <c r="R638" s="935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>
      <c r="A639" s="224"/>
      <c r="B639" s="229"/>
      <c r="C639" s="225"/>
      <c r="D639" s="227"/>
      <c r="E639" s="228"/>
      <c r="F639" s="33"/>
      <c r="G639" s="33"/>
      <c r="H639" s="33"/>
      <c r="I639" s="33"/>
      <c r="J639" s="230"/>
      <c r="K639" s="114"/>
      <c r="L639" s="881"/>
      <c r="M639" s="33"/>
      <c r="N639" s="33"/>
      <c r="O639" s="33"/>
      <c r="P639" s="33"/>
      <c r="Q639" s="33"/>
      <c r="R639" s="935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>
      <c r="A640" s="224"/>
      <c r="B640" s="229"/>
      <c r="C640" s="225"/>
      <c r="D640" s="227"/>
      <c r="E640" s="228"/>
      <c r="F640" s="33"/>
      <c r="G640" s="33"/>
      <c r="H640" s="33"/>
      <c r="I640" s="33"/>
      <c r="J640" s="230"/>
      <c r="K640" s="114"/>
      <c r="L640" s="881"/>
      <c r="M640" s="33"/>
      <c r="N640" s="33"/>
      <c r="O640" s="33"/>
      <c r="P640" s="33"/>
      <c r="Q640" s="33"/>
      <c r="R640" s="935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>
      <c r="A641" s="224"/>
      <c r="B641" s="229"/>
      <c r="C641" s="225"/>
      <c r="D641" s="227"/>
      <c r="E641" s="228"/>
      <c r="F641" s="33"/>
      <c r="G641" s="33"/>
      <c r="H641" s="33"/>
      <c r="I641" s="33"/>
      <c r="J641" s="230"/>
      <c r="K641" s="114"/>
      <c r="L641" s="881"/>
      <c r="M641" s="33"/>
      <c r="N641" s="33"/>
      <c r="O641" s="33"/>
      <c r="P641" s="33"/>
      <c r="Q641" s="33"/>
      <c r="R641" s="935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>
      <c r="A642" s="224"/>
      <c r="B642" s="229"/>
      <c r="C642" s="225"/>
      <c r="D642" s="227"/>
      <c r="E642" s="228"/>
      <c r="F642" s="33"/>
      <c r="G642" s="33"/>
      <c r="H642" s="33"/>
      <c r="I642" s="33"/>
      <c r="J642" s="230"/>
      <c r="K642" s="114"/>
      <c r="L642" s="881"/>
      <c r="M642" s="33"/>
      <c r="N642" s="33"/>
      <c r="O642" s="33"/>
      <c r="P642" s="33"/>
      <c r="Q642" s="33"/>
      <c r="R642" s="935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>
      <c r="A643" s="224"/>
      <c r="B643" s="229"/>
      <c r="C643" s="225"/>
      <c r="D643" s="227"/>
      <c r="E643" s="228"/>
      <c r="F643" s="33"/>
      <c r="G643" s="33"/>
      <c r="H643" s="33"/>
      <c r="I643" s="33"/>
      <c r="J643" s="230"/>
      <c r="K643" s="114"/>
      <c r="L643" s="881"/>
      <c r="M643" s="33"/>
      <c r="N643" s="33"/>
      <c r="O643" s="33"/>
      <c r="P643" s="33"/>
      <c r="Q643" s="33"/>
      <c r="R643" s="935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>
      <c r="A644" s="224"/>
      <c r="B644" s="229"/>
      <c r="C644" s="225"/>
      <c r="D644" s="227"/>
      <c r="E644" s="228"/>
      <c r="F644" s="33"/>
      <c r="G644" s="33"/>
      <c r="H644" s="33"/>
      <c r="I644" s="33"/>
      <c r="J644" s="230"/>
      <c r="K644" s="114"/>
      <c r="L644" s="881"/>
      <c r="M644" s="33"/>
      <c r="N644" s="33"/>
      <c r="O644" s="33"/>
      <c r="P644" s="33"/>
      <c r="Q644" s="33"/>
      <c r="R644" s="935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>
      <c r="A645" s="224"/>
      <c r="B645" s="229"/>
      <c r="C645" s="225"/>
      <c r="D645" s="227"/>
      <c r="E645" s="228"/>
      <c r="F645" s="33"/>
      <c r="G645" s="33"/>
      <c r="H645" s="33"/>
      <c r="I645" s="33"/>
      <c r="J645" s="230"/>
      <c r="K645" s="114"/>
      <c r="L645" s="881"/>
      <c r="M645" s="33"/>
      <c r="N645" s="33"/>
      <c r="O645" s="33"/>
      <c r="P645" s="33"/>
      <c r="Q645" s="33"/>
      <c r="R645" s="935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>
      <c r="A646" s="224"/>
      <c r="B646" s="229"/>
      <c r="C646" s="225"/>
      <c r="D646" s="227"/>
      <c r="E646" s="228"/>
      <c r="F646" s="33"/>
      <c r="G646" s="33"/>
      <c r="H646" s="33"/>
      <c r="I646" s="33"/>
      <c r="J646" s="230"/>
      <c r="K646" s="114"/>
      <c r="L646" s="881"/>
      <c r="M646" s="33"/>
      <c r="N646" s="33"/>
      <c r="O646" s="33"/>
      <c r="P646" s="33"/>
      <c r="Q646" s="33"/>
      <c r="R646" s="935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>
      <c r="A647" s="224"/>
      <c r="B647" s="229"/>
      <c r="C647" s="225"/>
      <c r="D647" s="227"/>
      <c r="E647" s="228"/>
      <c r="F647" s="33"/>
      <c r="G647" s="33"/>
      <c r="H647" s="33"/>
      <c r="I647" s="33"/>
      <c r="J647" s="230"/>
      <c r="K647" s="114"/>
      <c r="L647" s="881"/>
      <c r="M647" s="33"/>
      <c r="N647" s="33"/>
      <c r="O647" s="33"/>
      <c r="P647" s="33"/>
      <c r="Q647" s="33"/>
      <c r="R647" s="935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>
      <c r="A648" s="224"/>
      <c r="B648" s="229"/>
      <c r="C648" s="225"/>
      <c r="D648" s="227"/>
      <c r="E648" s="228"/>
      <c r="F648" s="33"/>
      <c r="G648" s="33"/>
      <c r="H648" s="33"/>
      <c r="I648" s="33"/>
      <c r="J648" s="230"/>
      <c r="K648" s="114"/>
      <c r="L648" s="881"/>
      <c r="M648" s="33"/>
      <c r="N648" s="33"/>
      <c r="O648" s="33"/>
      <c r="P648" s="33"/>
      <c r="Q648" s="33"/>
      <c r="R648" s="935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>
      <c r="A649" s="224"/>
      <c r="B649" s="229"/>
      <c r="C649" s="225"/>
      <c r="D649" s="227"/>
      <c r="E649" s="228"/>
      <c r="F649" s="33"/>
      <c r="G649" s="33"/>
      <c r="H649" s="33"/>
      <c r="I649" s="33"/>
      <c r="J649" s="230"/>
      <c r="K649" s="114"/>
      <c r="L649" s="881"/>
      <c r="M649" s="33"/>
      <c r="N649" s="33"/>
      <c r="O649" s="33"/>
      <c r="P649" s="33"/>
      <c r="Q649" s="33"/>
      <c r="R649" s="935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>
      <c r="A650" s="224"/>
      <c r="B650" s="229"/>
      <c r="C650" s="225"/>
      <c r="D650" s="227"/>
      <c r="E650" s="228"/>
      <c r="F650" s="33"/>
      <c r="G650" s="33"/>
      <c r="H650" s="33"/>
      <c r="I650" s="33"/>
      <c r="J650" s="230"/>
      <c r="K650" s="114"/>
      <c r="L650" s="881"/>
      <c r="M650" s="33"/>
      <c r="N650" s="33"/>
      <c r="O650" s="33"/>
      <c r="P650" s="33"/>
      <c r="Q650" s="33"/>
      <c r="R650" s="935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>
      <c r="A651" s="224"/>
      <c r="B651" s="229"/>
      <c r="C651" s="225"/>
      <c r="D651" s="227"/>
      <c r="E651" s="228"/>
      <c r="F651" s="33"/>
      <c r="G651" s="33"/>
      <c r="H651" s="33"/>
      <c r="I651" s="33"/>
      <c r="J651" s="230"/>
      <c r="K651" s="114"/>
      <c r="L651" s="881"/>
      <c r="M651" s="33"/>
      <c r="N651" s="33"/>
      <c r="O651" s="33"/>
      <c r="P651" s="33"/>
      <c r="Q651" s="33"/>
      <c r="R651" s="935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>
      <c r="A652" s="224"/>
      <c r="B652" s="229"/>
      <c r="C652" s="225"/>
      <c r="D652" s="227"/>
      <c r="E652" s="228"/>
      <c r="F652" s="33"/>
      <c r="G652" s="33"/>
      <c r="H652" s="33"/>
      <c r="I652" s="33"/>
      <c r="J652" s="230"/>
      <c r="K652" s="114"/>
      <c r="L652" s="881"/>
      <c r="M652" s="33"/>
      <c r="N652" s="33"/>
      <c r="O652" s="33"/>
      <c r="P652" s="33"/>
      <c r="Q652" s="33"/>
      <c r="R652" s="935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>
      <c r="A653" s="224"/>
      <c r="B653" s="229"/>
      <c r="C653" s="225"/>
      <c r="D653" s="227"/>
      <c r="E653" s="228"/>
      <c r="F653" s="33"/>
      <c r="G653" s="33"/>
      <c r="H653" s="33"/>
      <c r="I653" s="33"/>
      <c r="J653" s="230"/>
      <c r="K653" s="114"/>
      <c r="L653" s="881"/>
      <c r="M653" s="33"/>
      <c r="N653" s="33"/>
      <c r="O653" s="33"/>
      <c r="P653" s="33"/>
      <c r="Q653" s="33"/>
      <c r="R653" s="935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>
      <c r="A654" s="224"/>
      <c r="B654" s="229"/>
      <c r="C654" s="225"/>
      <c r="D654" s="227"/>
      <c r="E654" s="228"/>
      <c r="F654" s="33"/>
      <c r="G654" s="33"/>
      <c r="H654" s="33"/>
      <c r="I654" s="33"/>
      <c r="J654" s="230"/>
      <c r="K654" s="114"/>
      <c r="L654" s="881"/>
      <c r="M654" s="33"/>
      <c r="N654" s="33"/>
      <c r="O654" s="33"/>
      <c r="P654" s="33"/>
      <c r="Q654" s="33"/>
      <c r="R654" s="935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>
      <c r="A655" s="224"/>
      <c r="B655" s="229"/>
      <c r="C655" s="225"/>
      <c r="D655" s="227"/>
      <c r="E655" s="228"/>
      <c r="F655" s="33"/>
      <c r="G655" s="33"/>
      <c r="H655" s="33"/>
      <c r="I655" s="33"/>
      <c r="J655" s="230"/>
      <c r="K655" s="114"/>
      <c r="L655" s="881"/>
      <c r="M655" s="33"/>
      <c r="N655" s="33"/>
      <c r="O655" s="33"/>
      <c r="P655" s="33"/>
      <c r="Q655" s="33"/>
      <c r="R655" s="935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>
      <c r="A656" s="224"/>
      <c r="B656" s="229"/>
      <c r="C656" s="225"/>
      <c r="D656" s="227"/>
      <c r="E656" s="228"/>
      <c r="F656" s="33"/>
      <c r="G656" s="33"/>
      <c r="H656" s="33"/>
      <c r="I656" s="33"/>
      <c r="J656" s="230"/>
      <c r="K656" s="114"/>
      <c r="L656" s="881"/>
      <c r="M656" s="33"/>
      <c r="N656" s="33"/>
      <c r="O656" s="33"/>
      <c r="P656" s="33"/>
      <c r="Q656" s="33"/>
      <c r="R656" s="935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>
      <c r="A657" s="224"/>
      <c r="B657" s="229"/>
      <c r="C657" s="225"/>
      <c r="D657" s="227"/>
      <c r="E657" s="228"/>
      <c r="F657" s="33"/>
      <c r="G657" s="33"/>
      <c r="H657" s="33"/>
      <c r="I657" s="33"/>
      <c r="J657" s="230"/>
      <c r="K657" s="114"/>
      <c r="L657" s="881"/>
      <c r="M657" s="33"/>
      <c r="N657" s="33"/>
      <c r="O657" s="33"/>
      <c r="P657" s="33"/>
      <c r="Q657" s="33"/>
      <c r="R657" s="935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>
      <c r="A658" s="224"/>
      <c r="B658" s="229"/>
      <c r="C658" s="225"/>
      <c r="D658" s="227"/>
      <c r="E658" s="228"/>
      <c r="F658" s="33"/>
      <c r="G658" s="33"/>
      <c r="H658" s="33"/>
      <c r="I658" s="33"/>
      <c r="J658" s="230"/>
      <c r="K658" s="114"/>
      <c r="L658" s="881"/>
      <c r="M658" s="33"/>
      <c r="N658" s="33"/>
      <c r="O658" s="33"/>
      <c r="P658" s="33"/>
      <c r="Q658" s="33"/>
      <c r="R658" s="935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>
      <c r="A659" s="224"/>
      <c r="B659" s="229"/>
      <c r="C659" s="225"/>
      <c r="D659" s="227"/>
      <c r="E659" s="228"/>
      <c r="F659" s="33"/>
      <c r="G659" s="33"/>
      <c r="H659" s="33"/>
      <c r="I659" s="33"/>
      <c r="J659" s="230"/>
      <c r="K659" s="114"/>
      <c r="L659" s="881"/>
      <c r="M659" s="33"/>
      <c r="N659" s="33"/>
      <c r="O659" s="33"/>
      <c r="P659" s="33"/>
      <c r="Q659" s="33"/>
      <c r="R659" s="935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>
      <c r="A660" s="224"/>
      <c r="B660" s="229"/>
      <c r="C660" s="225"/>
      <c r="D660" s="227"/>
      <c r="E660" s="228"/>
      <c r="F660" s="33"/>
      <c r="G660" s="33"/>
      <c r="H660" s="33"/>
      <c r="I660" s="33"/>
      <c r="J660" s="230"/>
      <c r="K660" s="114"/>
      <c r="L660" s="881"/>
      <c r="M660" s="33"/>
      <c r="N660" s="33"/>
      <c r="O660" s="33"/>
      <c r="P660" s="33"/>
      <c r="Q660" s="33"/>
      <c r="R660" s="935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>
      <c r="A661" s="224"/>
      <c r="B661" s="229"/>
      <c r="C661" s="225"/>
      <c r="D661" s="227"/>
      <c r="E661" s="228"/>
      <c r="F661" s="33"/>
      <c r="G661" s="33"/>
      <c r="H661" s="33"/>
      <c r="I661" s="33"/>
      <c r="J661" s="230"/>
      <c r="K661" s="114"/>
      <c r="L661" s="881"/>
      <c r="M661" s="33"/>
      <c r="N661" s="33"/>
      <c r="O661" s="33"/>
      <c r="P661" s="33"/>
      <c r="Q661" s="33"/>
      <c r="R661" s="935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>
      <c r="A662" s="224"/>
      <c r="B662" s="229"/>
      <c r="C662" s="225"/>
      <c r="D662" s="227"/>
      <c r="E662" s="228"/>
      <c r="F662" s="33"/>
      <c r="G662" s="33"/>
      <c r="H662" s="33"/>
      <c r="I662" s="33"/>
      <c r="J662" s="230"/>
      <c r="K662" s="114"/>
      <c r="L662" s="881"/>
      <c r="M662" s="33"/>
      <c r="N662" s="33"/>
      <c r="O662" s="33"/>
      <c r="P662" s="33"/>
      <c r="Q662" s="33"/>
      <c r="R662" s="935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>
      <c r="A663" s="224"/>
      <c r="B663" s="229"/>
      <c r="C663" s="225"/>
      <c r="D663" s="227"/>
      <c r="E663" s="228"/>
      <c r="F663" s="33"/>
      <c r="G663" s="33"/>
      <c r="H663" s="33"/>
      <c r="I663" s="33"/>
      <c r="J663" s="230"/>
      <c r="K663" s="114"/>
      <c r="L663" s="881"/>
      <c r="M663" s="33"/>
      <c r="N663" s="33"/>
      <c r="O663" s="33"/>
      <c r="P663" s="33"/>
      <c r="Q663" s="33"/>
      <c r="R663" s="935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>
      <c r="A664" s="224"/>
      <c r="B664" s="229"/>
      <c r="C664" s="225"/>
      <c r="D664" s="227"/>
      <c r="E664" s="228"/>
      <c r="F664" s="33"/>
      <c r="G664" s="33"/>
      <c r="H664" s="33"/>
      <c r="I664" s="33"/>
      <c r="J664" s="230"/>
      <c r="K664" s="114"/>
      <c r="L664" s="881"/>
      <c r="M664" s="33"/>
      <c r="N664" s="33"/>
      <c r="O664" s="33"/>
      <c r="P664" s="33"/>
      <c r="Q664" s="33"/>
      <c r="R664" s="935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>
      <c r="A665" s="224"/>
      <c r="B665" s="229"/>
      <c r="C665" s="225"/>
      <c r="D665" s="227"/>
      <c r="E665" s="228"/>
      <c r="F665" s="33"/>
      <c r="G665" s="33"/>
      <c r="H665" s="33"/>
      <c r="I665" s="33"/>
      <c r="J665" s="230"/>
      <c r="K665" s="114"/>
      <c r="L665" s="881"/>
      <c r="M665" s="33"/>
      <c r="N665" s="33"/>
      <c r="O665" s="33"/>
      <c r="P665" s="33"/>
      <c r="Q665" s="33"/>
      <c r="R665" s="935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>
      <c r="A666" s="224"/>
      <c r="B666" s="229"/>
      <c r="C666" s="225"/>
      <c r="D666" s="227"/>
      <c r="E666" s="228"/>
      <c r="F666" s="33"/>
      <c r="G666" s="33"/>
      <c r="H666" s="33"/>
      <c r="I666" s="33"/>
      <c r="J666" s="230"/>
      <c r="K666" s="114"/>
      <c r="L666" s="881"/>
      <c r="M666" s="33"/>
      <c r="N666" s="33"/>
      <c r="O666" s="33"/>
      <c r="P666" s="33"/>
      <c r="Q666" s="33"/>
      <c r="R666" s="935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>
      <c r="A667" s="224"/>
      <c r="B667" s="229"/>
      <c r="C667" s="225"/>
      <c r="D667" s="227"/>
      <c r="E667" s="228"/>
      <c r="F667" s="33"/>
      <c r="G667" s="33"/>
      <c r="H667" s="33"/>
      <c r="I667" s="33"/>
      <c r="J667" s="230"/>
      <c r="K667" s="114"/>
      <c r="L667" s="881"/>
      <c r="M667" s="33"/>
      <c r="N667" s="33"/>
      <c r="O667" s="33"/>
      <c r="P667" s="33"/>
      <c r="Q667" s="33"/>
      <c r="R667" s="935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>
      <c r="A668" s="224"/>
      <c r="B668" s="229"/>
      <c r="C668" s="225"/>
      <c r="D668" s="227"/>
      <c r="E668" s="228"/>
      <c r="F668" s="33"/>
      <c r="G668" s="33"/>
      <c r="H668" s="33"/>
      <c r="I668" s="33"/>
      <c r="J668" s="230"/>
      <c r="K668" s="114"/>
      <c r="L668" s="881"/>
      <c r="M668" s="33"/>
      <c r="N668" s="33"/>
      <c r="O668" s="33"/>
      <c r="P668" s="33"/>
      <c r="Q668" s="33"/>
      <c r="R668" s="935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>
      <c r="A669" s="224"/>
      <c r="B669" s="229"/>
      <c r="C669" s="225"/>
      <c r="D669" s="227"/>
      <c r="E669" s="228"/>
      <c r="F669" s="33"/>
      <c r="G669" s="33"/>
      <c r="H669" s="33"/>
      <c r="I669" s="33"/>
      <c r="J669" s="230"/>
      <c r="K669" s="114"/>
      <c r="L669" s="881"/>
      <c r="M669" s="33"/>
      <c r="N669" s="33"/>
      <c r="O669" s="33"/>
      <c r="P669" s="33"/>
      <c r="Q669" s="33"/>
      <c r="R669" s="935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>
      <c r="A670" s="224"/>
      <c r="B670" s="229"/>
      <c r="C670" s="225"/>
      <c r="D670" s="227"/>
      <c r="E670" s="228"/>
      <c r="F670" s="33"/>
      <c r="G670" s="33"/>
      <c r="H670" s="33"/>
      <c r="I670" s="33"/>
      <c r="J670" s="230"/>
      <c r="K670" s="114"/>
      <c r="L670" s="881"/>
      <c r="M670" s="33"/>
      <c r="N670" s="33"/>
      <c r="O670" s="33"/>
      <c r="P670" s="33"/>
      <c r="Q670" s="33"/>
      <c r="R670" s="935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>
      <c r="A671" s="224"/>
      <c r="B671" s="229"/>
      <c r="C671" s="225"/>
      <c r="D671" s="227"/>
      <c r="E671" s="228"/>
      <c r="F671" s="33"/>
      <c r="G671" s="33"/>
      <c r="H671" s="33"/>
      <c r="I671" s="33"/>
      <c r="J671" s="230"/>
      <c r="K671" s="114"/>
      <c r="L671" s="881"/>
      <c r="M671" s="33"/>
      <c r="N671" s="33"/>
      <c r="O671" s="33"/>
      <c r="P671" s="33"/>
      <c r="Q671" s="33"/>
      <c r="R671" s="935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>
      <c r="A672" s="224"/>
      <c r="B672" s="229"/>
      <c r="C672" s="225"/>
      <c r="D672" s="227"/>
      <c r="E672" s="228"/>
      <c r="F672" s="33"/>
      <c r="G672" s="33"/>
      <c r="H672" s="33"/>
      <c r="I672" s="33"/>
      <c r="J672" s="230"/>
      <c r="K672" s="114"/>
      <c r="L672" s="881"/>
      <c r="M672" s="33"/>
      <c r="N672" s="33"/>
      <c r="O672" s="33"/>
      <c r="P672" s="33"/>
      <c r="Q672" s="33"/>
      <c r="R672" s="935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>
      <c r="A673" s="224"/>
      <c r="B673" s="229"/>
      <c r="C673" s="225"/>
      <c r="D673" s="227"/>
      <c r="E673" s="228"/>
      <c r="F673" s="33"/>
      <c r="G673" s="33"/>
      <c r="H673" s="33"/>
      <c r="I673" s="33"/>
      <c r="J673" s="230"/>
      <c r="K673" s="114"/>
      <c r="L673" s="881"/>
      <c r="M673" s="33"/>
      <c r="N673" s="33"/>
      <c r="O673" s="33"/>
      <c r="P673" s="33"/>
      <c r="Q673" s="33"/>
      <c r="R673" s="935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>
      <c r="A674" s="224"/>
      <c r="B674" s="229"/>
      <c r="C674" s="225"/>
      <c r="D674" s="227"/>
      <c r="E674" s="228"/>
      <c r="F674" s="33"/>
      <c r="G674" s="33"/>
      <c r="H674" s="33"/>
      <c r="I674" s="33"/>
      <c r="J674" s="230"/>
      <c r="K674" s="114"/>
      <c r="L674" s="881"/>
      <c r="M674" s="33"/>
      <c r="N674" s="33"/>
      <c r="O674" s="33"/>
      <c r="P674" s="33"/>
      <c r="Q674" s="33"/>
      <c r="R674" s="935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>
      <c r="A675" s="224"/>
      <c r="B675" s="229"/>
      <c r="C675" s="225"/>
      <c r="D675" s="227"/>
      <c r="E675" s="228"/>
      <c r="F675" s="33"/>
      <c r="G675" s="33"/>
      <c r="H675" s="33"/>
      <c r="I675" s="33"/>
      <c r="J675" s="230"/>
      <c r="K675" s="114"/>
      <c r="L675" s="881"/>
      <c r="M675" s="33"/>
      <c r="N675" s="33"/>
      <c r="O675" s="33"/>
      <c r="P675" s="33"/>
      <c r="Q675" s="33"/>
      <c r="R675" s="935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>
      <c r="A676" s="224"/>
      <c r="B676" s="229"/>
      <c r="C676" s="225"/>
      <c r="D676" s="227"/>
      <c r="E676" s="228"/>
      <c r="F676" s="33"/>
      <c r="G676" s="33"/>
      <c r="H676" s="33"/>
      <c r="I676" s="33"/>
      <c r="J676" s="230"/>
      <c r="K676" s="114"/>
      <c r="L676" s="881"/>
      <c r="M676" s="33"/>
      <c r="N676" s="33"/>
      <c r="O676" s="33"/>
      <c r="P676" s="33"/>
      <c r="Q676" s="33"/>
      <c r="R676" s="935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>
      <c r="A677" s="224"/>
      <c r="B677" s="229"/>
      <c r="C677" s="225"/>
      <c r="D677" s="227"/>
      <c r="E677" s="228"/>
      <c r="F677" s="33"/>
      <c r="G677" s="33"/>
      <c r="H677" s="33"/>
      <c r="I677" s="33"/>
      <c r="J677" s="230"/>
      <c r="K677" s="114"/>
      <c r="L677" s="881"/>
      <c r="M677" s="33"/>
      <c r="N677" s="33"/>
      <c r="O677" s="33"/>
      <c r="P677" s="33"/>
      <c r="Q677" s="33"/>
      <c r="R677" s="935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>
      <c r="A678" s="224"/>
      <c r="B678" s="229"/>
      <c r="C678" s="225"/>
      <c r="D678" s="227"/>
      <c r="E678" s="228"/>
      <c r="F678" s="33"/>
      <c r="G678" s="33"/>
      <c r="H678" s="33"/>
      <c r="I678" s="33"/>
      <c r="J678" s="230"/>
      <c r="K678" s="114"/>
      <c r="L678" s="881"/>
      <c r="M678" s="33"/>
      <c r="N678" s="33"/>
      <c r="O678" s="33"/>
      <c r="P678" s="33"/>
      <c r="Q678" s="33"/>
      <c r="R678" s="935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>
      <c r="A679" s="224"/>
      <c r="B679" s="229"/>
      <c r="C679" s="225"/>
      <c r="D679" s="227"/>
      <c r="E679" s="228"/>
      <c r="F679" s="33"/>
      <c r="G679" s="33"/>
      <c r="H679" s="33"/>
      <c r="I679" s="33"/>
      <c r="J679" s="230"/>
      <c r="K679" s="114"/>
      <c r="L679" s="881"/>
      <c r="M679" s="33"/>
      <c r="N679" s="33"/>
      <c r="O679" s="33"/>
      <c r="P679" s="33"/>
      <c r="Q679" s="33"/>
      <c r="R679" s="935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>
      <c r="A680" s="224"/>
      <c r="B680" s="229"/>
      <c r="C680" s="225"/>
      <c r="D680" s="227"/>
      <c r="E680" s="228"/>
      <c r="F680" s="33"/>
      <c r="G680" s="33"/>
      <c r="H680" s="33"/>
      <c r="I680" s="33"/>
      <c r="J680" s="230"/>
      <c r="K680" s="114"/>
      <c r="L680" s="881"/>
      <c r="M680" s="33"/>
      <c r="N680" s="33"/>
      <c r="O680" s="33"/>
      <c r="P680" s="33"/>
      <c r="Q680" s="33"/>
      <c r="R680" s="935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>
      <c r="A681" s="224"/>
      <c r="B681" s="229"/>
      <c r="C681" s="225"/>
      <c r="D681" s="227"/>
      <c r="E681" s="228"/>
      <c r="F681" s="33"/>
      <c r="G681" s="33"/>
      <c r="H681" s="33"/>
      <c r="I681" s="33"/>
      <c r="J681" s="230"/>
      <c r="K681" s="114"/>
      <c r="L681" s="881"/>
      <c r="M681" s="33"/>
      <c r="N681" s="33"/>
      <c r="O681" s="33"/>
      <c r="P681" s="33"/>
      <c r="Q681" s="33"/>
      <c r="R681" s="935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>
      <c r="A682" s="224"/>
      <c r="B682" s="229"/>
      <c r="C682" s="225"/>
      <c r="D682" s="227"/>
      <c r="E682" s="228"/>
      <c r="F682" s="33"/>
      <c r="G682" s="33"/>
      <c r="H682" s="33"/>
      <c r="I682" s="33"/>
      <c r="J682" s="230"/>
      <c r="K682" s="114"/>
      <c r="L682" s="881"/>
      <c r="M682" s="33"/>
      <c r="N682" s="33"/>
      <c r="O682" s="33"/>
      <c r="P682" s="33"/>
      <c r="Q682" s="33"/>
      <c r="R682" s="935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>
      <c r="A683" s="224"/>
      <c r="B683" s="229"/>
      <c r="C683" s="225"/>
      <c r="D683" s="227"/>
      <c r="E683" s="228"/>
      <c r="F683" s="33"/>
      <c r="G683" s="33"/>
      <c r="H683" s="33"/>
      <c r="I683" s="33"/>
      <c r="J683" s="230"/>
      <c r="K683" s="114"/>
      <c r="L683" s="881"/>
      <c r="M683" s="33"/>
      <c r="N683" s="33"/>
      <c r="O683" s="33"/>
      <c r="P683" s="33"/>
      <c r="Q683" s="33"/>
      <c r="R683" s="935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>
      <c r="A684" s="224"/>
      <c r="B684" s="229"/>
      <c r="C684" s="225"/>
      <c r="D684" s="227"/>
      <c r="E684" s="228"/>
      <c r="F684" s="33"/>
      <c r="G684" s="33"/>
      <c r="H684" s="33"/>
      <c r="I684" s="33"/>
      <c r="J684" s="230"/>
      <c r="K684" s="114"/>
      <c r="L684" s="881"/>
      <c r="M684" s="33"/>
      <c r="N684" s="33"/>
      <c r="O684" s="33"/>
      <c r="P684" s="33"/>
      <c r="Q684" s="33"/>
      <c r="R684" s="935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>
      <c r="A685" s="224"/>
      <c r="B685" s="229"/>
      <c r="C685" s="225"/>
      <c r="D685" s="227"/>
      <c r="E685" s="228"/>
      <c r="F685" s="33"/>
      <c r="G685" s="33"/>
      <c r="H685" s="33"/>
      <c r="I685" s="33"/>
      <c r="J685" s="230"/>
      <c r="K685" s="114"/>
      <c r="L685" s="881"/>
      <c r="M685" s="33"/>
      <c r="N685" s="33"/>
      <c r="O685" s="33"/>
      <c r="P685" s="33"/>
      <c r="Q685" s="33"/>
      <c r="R685" s="935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>
      <c r="A686" s="224"/>
      <c r="B686" s="229"/>
      <c r="C686" s="225"/>
      <c r="D686" s="227"/>
      <c r="E686" s="228"/>
      <c r="F686" s="33"/>
      <c r="G686" s="33"/>
      <c r="H686" s="33"/>
      <c r="I686" s="33"/>
      <c r="J686" s="230"/>
      <c r="K686" s="114"/>
      <c r="L686" s="881"/>
      <c r="M686" s="33"/>
      <c r="N686" s="33"/>
      <c r="O686" s="33"/>
      <c r="P686" s="33"/>
      <c r="Q686" s="33"/>
      <c r="R686" s="935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>
      <c r="A687" s="224"/>
      <c r="B687" s="229"/>
      <c r="C687" s="225"/>
      <c r="D687" s="227"/>
      <c r="E687" s="228"/>
      <c r="F687" s="33"/>
      <c r="G687" s="33"/>
      <c r="H687" s="33"/>
      <c r="I687" s="33"/>
      <c r="J687" s="230"/>
      <c r="K687" s="114"/>
      <c r="L687" s="881"/>
      <c r="M687" s="33"/>
      <c r="N687" s="33"/>
      <c r="O687" s="33"/>
      <c r="P687" s="33"/>
      <c r="Q687" s="33"/>
      <c r="R687" s="935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>
      <c r="A688" s="224"/>
      <c r="B688" s="229"/>
      <c r="C688" s="225"/>
      <c r="D688" s="227"/>
      <c r="E688" s="228"/>
      <c r="F688" s="33"/>
      <c r="G688" s="33"/>
      <c r="H688" s="33"/>
      <c r="I688" s="33"/>
      <c r="J688" s="230"/>
      <c r="K688" s="114"/>
      <c r="L688" s="881"/>
      <c r="M688" s="33"/>
      <c r="N688" s="33"/>
      <c r="O688" s="33"/>
      <c r="P688" s="33"/>
      <c r="Q688" s="33"/>
      <c r="R688" s="935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>
      <c r="A689" s="224"/>
      <c r="B689" s="229"/>
      <c r="C689" s="225"/>
      <c r="D689" s="227"/>
      <c r="E689" s="228"/>
      <c r="F689" s="33"/>
      <c r="G689" s="33"/>
      <c r="H689" s="33"/>
      <c r="I689" s="33"/>
      <c r="J689" s="230"/>
      <c r="K689" s="114"/>
      <c r="L689" s="881"/>
      <c r="M689" s="33"/>
      <c r="N689" s="33"/>
      <c r="O689" s="33"/>
      <c r="P689" s="33"/>
      <c r="Q689" s="33"/>
      <c r="R689" s="935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>
      <c r="A690" s="224"/>
      <c r="B690" s="229"/>
      <c r="C690" s="225"/>
      <c r="D690" s="227"/>
      <c r="E690" s="228"/>
      <c r="F690" s="33"/>
      <c r="G690" s="33"/>
      <c r="H690" s="33"/>
      <c r="I690" s="33"/>
      <c r="J690" s="230"/>
      <c r="K690" s="114"/>
      <c r="L690" s="881"/>
      <c r="M690" s="33"/>
      <c r="N690" s="33"/>
      <c r="O690" s="33"/>
      <c r="P690" s="33"/>
      <c r="Q690" s="33"/>
      <c r="R690" s="935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>
      <c r="A691" s="224"/>
      <c r="B691" s="229"/>
      <c r="C691" s="225"/>
      <c r="D691" s="227"/>
      <c r="E691" s="228"/>
      <c r="F691" s="33"/>
      <c r="G691" s="33"/>
      <c r="H691" s="33"/>
      <c r="I691" s="33"/>
      <c r="J691" s="230"/>
      <c r="K691" s="114"/>
      <c r="L691" s="881"/>
      <c r="M691" s="33"/>
      <c r="N691" s="33"/>
      <c r="O691" s="33"/>
      <c r="P691" s="33"/>
      <c r="Q691" s="33"/>
      <c r="R691" s="935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>
      <c r="A692" s="224"/>
      <c r="B692" s="229"/>
      <c r="C692" s="225"/>
      <c r="D692" s="227"/>
      <c r="E692" s="228"/>
      <c r="F692" s="33"/>
      <c r="G692" s="33"/>
      <c r="H692" s="33"/>
      <c r="I692" s="33"/>
      <c r="J692" s="230"/>
      <c r="K692" s="114"/>
      <c r="L692" s="881"/>
      <c r="M692" s="33"/>
      <c r="N692" s="33"/>
      <c r="O692" s="33"/>
      <c r="P692" s="33"/>
      <c r="Q692" s="33"/>
      <c r="R692" s="935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>
      <c r="A693" s="224"/>
      <c r="B693" s="229"/>
      <c r="C693" s="225"/>
      <c r="D693" s="227"/>
      <c r="E693" s="228"/>
      <c r="F693" s="33"/>
      <c r="G693" s="33"/>
      <c r="H693" s="33"/>
      <c r="I693" s="33"/>
      <c r="J693" s="230"/>
      <c r="K693" s="114"/>
      <c r="L693" s="881"/>
      <c r="M693" s="33"/>
      <c r="N693" s="33"/>
      <c r="O693" s="33"/>
      <c r="P693" s="33"/>
      <c r="Q693" s="33"/>
      <c r="R693" s="935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>
      <c r="A694" s="224"/>
      <c r="B694" s="229"/>
      <c r="C694" s="225"/>
      <c r="D694" s="227"/>
      <c r="E694" s="228"/>
      <c r="F694" s="33"/>
      <c r="G694" s="33"/>
      <c r="H694" s="33"/>
      <c r="I694" s="33"/>
      <c r="J694" s="230"/>
      <c r="K694" s="114"/>
      <c r="L694" s="881"/>
      <c r="M694" s="33"/>
      <c r="N694" s="33"/>
      <c r="O694" s="33"/>
      <c r="P694" s="33"/>
      <c r="Q694" s="33"/>
      <c r="R694" s="935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>
      <c r="A695" s="224"/>
      <c r="B695" s="229"/>
      <c r="C695" s="225"/>
      <c r="D695" s="227"/>
      <c r="E695" s="228"/>
      <c r="F695" s="33"/>
      <c r="G695" s="33"/>
      <c r="H695" s="33"/>
      <c r="I695" s="33"/>
      <c r="J695" s="230"/>
      <c r="K695" s="114"/>
      <c r="L695" s="881"/>
      <c r="M695" s="33"/>
      <c r="N695" s="33"/>
      <c r="O695" s="33"/>
      <c r="P695" s="33"/>
      <c r="Q695" s="33"/>
      <c r="R695" s="935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>
      <c r="A696" s="224"/>
      <c r="B696" s="229"/>
      <c r="C696" s="225"/>
      <c r="D696" s="227"/>
      <c r="E696" s="228"/>
      <c r="F696" s="33"/>
      <c r="G696" s="33"/>
      <c r="H696" s="33"/>
      <c r="I696" s="33"/>
      <c r="J696" s="230"/>
      <c r="K696" s="114"/>
      <c r="L696" s="881"/>
      <c r="M696" s="33"/>
      <c r="N696" s="33"/>
      <c r="O696" s="33"/>
      <c r="P696" s="33"/>
      <c r="Q696" s="33"/>
      <c r="R696" s="935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>
      <c r="A697" s="224"/>
      <c r="B697" s="229"/>
      <c r="C697" s="225"/>
      <c r="D697" s="227"/>
      <c r="E697" s="228"/>
      <c r="F697" s="33"/>
      <c r="G697" s="33"/>
      <c r="H697" s="33"/>
      <c r="I697" s="33"/>
      <c r="J697" s="230"/>
      <c r="K697" s="114"/>
      <c r="L697" s="881"/>
      <c r="M697" s="33"/>
      <c r="N697" s="33"/>
      <c r="O697" s="33"/>
      <c r="P697" s="33"/>
      <c r="Q697" s="33"/>
      <c r="R697" s="935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>
      <c r="A698" s="224"/>
      <c r="B698" s="229"/>
      <c r="C698" s="225"/>
      <c r="D698" s="227"/>
      <c r="E698" s="228"/>
      <c r="F698" s="33"/>
      <c r="G698" s="33"/>
      <c r="H698" s="33"/>
      <c r="I698" s="33"/>
      <c r="J698" s="230"/>
      <c r="K698" s="114"/>
      <c r="L698" s="881"/>
      <c r="M698" s="33"/>
      <c r="N698" s="33"/>
      <c r="O698" s="33"/>
      <c r="P698" s="33"/>
      <c r="Q698" s="33"/>
      <c r="R698" s="935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>
      <c r="A699" s="224"/>
      <c r="B699" s="229"/>
      <c r="C699" s="225"/>
      <c r="D699" s="227"/>
      <c r="E699" s="228"/>
      <c r="F699" s="33"/>
      <c r="G699" s="33"/>
      <c r="H699" s="33"/>
      <c r="I699" s="33"/>
      <c r="J699" s="230"/>
      <c r="K699" s="114"/>
      <c r="L699" s="881"/>
      <c r="M699" s="33"/>
      <c r="N699" s="33"/>
      <c r="O699" s="33"/>
      <c r="P699" s="33"/>
      <c r="Q699" s="33"/>
      <c r="R699" s="935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>
      <c r="A700" s="224"/>
      <c r="B700" s="229"/>
      <c r="C700" s="225"/>
      <c r="D700" s="227"/>
      <c r="E700" s="228"/>
      <c r="F700" s="33"/>
      <c r="G700" s="33"/>
      <c r="H700" s="33"/>
      <c r="I700" s="33"/>
      <c r="J700" s="230"/>
      <c r="K700" s="114"/>
      <c r="L700" s="881"/>
      <c r="M700" s="33"/>
      <c r="N700" s="33"/>
      <c r="O700" s="33"/>
      <c r="P700" s="33"/>
      <c r="Q700" s="33"/>
      <c r="R700" s="935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>
      <c r="A701" s="224"/>
      <c r="B701" s="229"/>
      <c r="C701" s="225"/>
      <c r="D701" s="227"/>
      <c r="E701" s="228"/>
      <c r="F701" s="33"/>
      <c r="G701" s="33"/>
      <c r="H701" s="33"/>
      <c r="I701" s="33"/>
      <c r="J701" s="230"/>
      <c r="K701" s="114"/>
      <c r="L701" s="881"/>
      <c r="M701" s="33"/>
      <c r="N701" s="33"/>
      <c r="O701" s="33"/>
      <c r="P701" s="33"/>
      <c r="Q701" s="33"/>
      <c r="R701" s="935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>
      <c r="A702" s="224"/>
      <c r="B702" s="229"/>
      <c r="C702" s="225"/>
      <c r="D702" s="227"/>
      <c r="E702" s="228"/>
      <c r="F702" s="33"/>
      <c r="G702" s="33"/>
      <c r="H702" s="33"/>
      <c r="I702" s="33"/>
      <c r="J702" s="230"/>
      <c r="K702" s="114"/>
      <c r="L702" s="881"/>
      <c r="M702" s="33"/>
      <c r="N702" s="33"/>
      <c r="O702" s="33"/>
      <c r="P702" s="33"/>
      <c r="Q702" s="33"/>
      <c r="R702" s="935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>
      <c r="A703" s="224"/>
      <c r="B703" s="229"/>
      <c r="C703" s="225"/>
      <c r="D703" s="227"/>
      <c r="E703" s="228"/>
      <c r="F703" s="33"/>
      <c r="G703" s="33"/>
      <c r="H703" s="33"/>
      <c r="I703" s="33"/>
      <c r="J703" s="230"/>
      <c r="K703" s="114"/>
      <c r="L703" s="881"/>
      <c r="M703" s="33"/>
      <c r="N703" s="33"/>
      <c r="O703" s="33"/>
      <c r="P703" s="33"/>
      <c r="Q703" s="33"/>
      <c r="R703" s="935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>
      <c r="A704" s="224"/>
      <c r="B704" s="229"/>
      <c r="C704" s="225"/>
      <c r="D704" s="227"/>
      <c r="E704" s="228"/>
      <c r="F704" s="33"/>
      <c r="G704" s="33"/>
      <c r="H704" s="33"/>
      <c r="I704" s="33"/>
      <c r="J704" s="230"/>
      <c r="K704" s="114"/>
      <c r="L704" s="881"/>
      <c r="M704" s="33"/>
      <c r="N704" s="33"/>
      <c r="O704" s="33"/>
      <c r="P704" s="33"/>
      <c r="Q704" s="33"/>
      <c r="R704" s="935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>
      <c r="A705" s="224"/>
      <c r="B705" s="229"/>
      <c r="C705" s="225"/>
      <c r="D705" s="227"/>
      <c r="E705" s="228"/>
      <c r="F705" s="33"/>
      <c r="G705" s="33"/>
      <c r="H705" s="33"/>
      <c r="I705" s="33"/>
      <c r="J705" s="230"/>
      <c r="K705" s="114"/>
      <c r="L705" s="881"/>
      <c r="M705" s="33"/>
      <c r="N705" s="33"/>
      <c r="O705" s="33"/>
      <c r="P705" s="33"/>
      <c r="Q705" s="33"/>
      <c r="R705" s="935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>
      <c r="A706" s="224"/>
      <c r="B706" s="229"/>
      <c r="C706" s="225"/>
      <c r="D706" s="227"/>
      <c r="E706" s="228"/>
      <c r="F706" s="33"/>
      <c r="G706" s="33"/>
      <c r="H706" s="33"/>
      <c r="I706" s="33"/>
      <c r="J706" s="230"/>
      <c r="K706" s="114"/>
      <c r="L706" s="881"/>
      <c r="M706" s="33"/>
      <c r="N706" s="33"/>
      <c r="O706" s="33"/>
      <c r="P706" s="33"/>
      <c r="Q706" s="33"/>
      <c r="R706" s="935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>
      <c r="A707" s="224"/>
      <c r="B707" s="229"/>
      <c r="C707" s="225"/>
      <c r="D707" s="227"/>
      <c r="E707" s="228"/>
      <c r="F707" s="33"/>
      <c r="G707" s="33"/>
      <c r="H707" s="33"/>
      <c r="I707" s="33"/>
      <c r="J707" s="230"/>
      <c r="K707" s="114"/>
      <c r="L707" s="881"/>
      <c r="M707" s="33"/>
      <c r="N707" s="33"/>
      <c r="O707" s="33"/>
      <c r="P707" s="33"/>
      <c r="Q707" s="33"/>
      <c r="R707" s="935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>
      <c r="A708" s="224"/>
      <c r="B708" s="229"/>
      <c r="C708" s="225"/>
      <c r="D708" s="227"/>
      <c r="E708" s="228"/>
      <c r="F708" s="33"/>
      <c r="G708" s="33"/>
      <c r="H708" s="33"/>
      <c r="I708" s="33"/>
      <c r="J708" s="230"/>
      <c r="K708" s="114"/>
      <c r="L708" s="881"/>
      <c r="M708" s="33"/>
      <c r="N708" s="33"/>
      <c r="O708" s="33"/>
      <c r="P708" s="33"/>
      <c r="Q708" s="33"/>
      <c r="R708" s="935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>
      <c r="A709" s="224"/>
      <c r="B709" s="229"/>
      <c r="C709" s="225"/>
      <c r="D709" s="227"/>
      <c r="E709" s="228"/>
      <c r="F709" s="33"/>
      <c r="G709" s="33"/>
      <c r="H709" s="33"/>
      <c r="I709" s="33"/>
      <c r="J709" s="230"/>
      <c r="K709" s="114"/>
      <c r="L709" s="881"/>
      <c r="M709" s="33"/>
      <c r="N709" s="33"/>
      <c r="O709" s="33"/>
      <c r="P709" s="33"/>
      <c r="Q709" s="33"/>
      <c r="R709" s="935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>
      <c r="A710" s="224"/>
      <c r="B710" s="229"/>
      <c r="C710" s="225"/>
      <c r="D710" s="227"/>
      <c r="E710" s="228"/>
      <c r="F710" s="33"/>
      <c r="G710" s="33"/>
      <c r="H710" s="33"/>
      <c r="I710" s="33"/>
      <c r="J710" s="230"/>
      <c r="K710" s="114"/>
      <c r="L710" s="881"/>
      <c r="M710" s="33"/>
      <c r="N710" s="33"/>
      <c r="O710" s="33"/>
      <c r="P710" s="33"/>
      <c r="Q710" s="33"/>
      <c r="R710" s="935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>
      <c r="A711" s="224"/>
      <c r="B711" s="229"/>
      <c r="C711" s="225"/>
      <c r="D711" s="227"/>
      <c r="E711" s="228"/>
      <c r="F711" s="33"/>
      <c r="G711" s="33"/>
      <c r="H711" s="33"/>
      <c r="I711" s="33"/>
      <c r="J711" s="230"/>
      <c r="K711" s="114"/>
      <c r="L711" s="881"/>
      <c r="M711" s="33"/>
      <c r="N711" s="33"/>
      <c r="O711" s="33"/>
      <c r="P711" s="33"/>
      <c r="Q711" s="33"/>
      <c r="R711" s="935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>
      <c r="A712" s="224"/>
      <c r="B712" s="229"/>
      <c r="C712" s="225"/>
      <c r="D712" s="227"/>
      <c r="E712" s="228"/>
      <c r="F712" s="33"/>
      <c r="G712" s="33"/>
      <c r="H712" s="33"/>
      <c r="I712" s="33"/>
      <c r="J712" s="230"/>
      <c r="K712" s="114"/>
      <c r="L712" s="881"/>
      <c r="M712" s="33"/>
      <c r="N712" s="33"/>
      <c r="O712" s="33"/>
      <c r="P712" s="33"/>
      <c r="Q712" s="33"/>
      <c r="R712" s="935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>
      <c r="A713" s="224"/>
      <c r="B713" s="229"/>
      <c r="C713" s="225"/>
      <c r="D713" s="227"/>
      <c r="E713" s="228"/>
      <c r="F713" s="33"/>
      <c r="G713" s="33"/>
      <c r="H713" s="33"/>
      <c r="I713" s="33"/>
      <c r="J713" s="230"/>
      <c r="K713" s="114"/>
      <c r="L713" s="881"/>
      <c r="M713" s="33"/>
      <c r="N713" s="33"/>
      <c r="O713" s="33"/>
      <c r="P713" s="33"/>
      <c r="Q713" s="33"/>
      <c r="R713" s="935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>
      <c r="A714" s="224"/>
      <c r="B714" s="229"/>
      <c r="C714" s="225"/>
      <c r="D714" s="227"/>
      <c r="E714" s="228"/>
      <c r="F714" s="33"/>
      <c r="G714" s="33"/>
      <c r="H714" s="33"/>
      <c r="I714" s="33"/>
      <c r="J714" s="230"/>
      <c r="K714" s="114"/>
      <c r="L714" s="881"/>
      <c r="M714" s="33"/>
      <c r="N714" s="33"/>
      <c r="O714" s="33"/>
      <c r="P714" s="33"/>
      <c r="Q714" s="33"/>
      <c r="R714" s="935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>
      <c r="A715" s="224"/>
      <c r="B715" s="229"/>
      <c r="C715" s="225"/>
      <c r="D715" s="227"/>
      <c r="E715" s="228"/>
      <c r="F715" s="33"/>
      <c r="G715" s="33"/>
      <c r="H715" s="33"/>
      <c r="I715" s="33"/>
      <c r="J715" s="230"/>
      <c r="K715" s="114"/>
      <c r="L715" s="881"/>
      <c r="M715" s="33"/>
      <c r="N715" s="33"/>
      <c r="O715" s="33"/>
      <c r="P715" s="33"/>
      <c r="Q715" s="33"/>
      <c r="R715" s="935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>
      <c r="A716" s="224"/>
      <c r="B716" s="229"/>
      <c r="C716" s="225"/>
      <c r="D716" s="227"/>
      <c r="E716" s="228"/>
      <c r="F716" s="33"/>
      <c r="G716" s="33"/>
      <c r="H716" s="33"/>
      <c r="I716" s="33"/>
      <c r="J716" s="230"/>
      <c r="K716" s="114"/>
      <c r="L716" s="881"/>
      <c r="M716" s="33"/>
      <c r="N716" s="33"/>
      <c r="O716" s="33"/>
      <c r="P716" s="33"/>
      <c r="Q716" s="33"/>
      <c r="R716" s="935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>
      <c r="A717" s="224"/>
      <c r="B717" s="229"/>
      <c r="C717" s="225"/>
      <c r="D717" s="227"/>
      <c r="E717" s="228"/>
      <c r="F717" s="33"/>
      <c r="G717" s="33"/>
      <c r="H717" s="33"/>
      <c r="I717" s="33"/>
      <c r="J717" s="230"/>
      <c r="K717" s="114"/>
      <c r="L717" s="881"/>
      <c r="M717" s="33"/>
      <c r="N717" s="33"/>
      <c r="O717" s="33"/>
      <c r="P717" s="33"/>
      <c r="Q717" s="33"/>
      <c r="R717" s="935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>
      <c r="A718" s="224"/>
      <c r="B718" s="229"/>
      <c r="C718" s="225"/>
      <c r="D718" s="227"/>
      <c r="E718" s="228"/>
      <c r="F718" s="33"/>
      <c r="G718" s="33"/>
      <c r="H718" s="33"/>
      <c r="I718" s="33"/>
      <c r="J718" s="230"/>
      <c r="K718" s="114"/>
      <c r="L718" s="881"/>
      <c r="M718" s="33"/>
      <c r="N718" s="33"/>
      <c r="O718" s="33"/>
      <c r="P718" s="33"/>
      <c r="Q718" s="33"/>
      <c r="R718" s="935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>
      <c r="A719" s="224"/>
      <c r="B719" s="229"/>
      <c r="C719" s="225"/>
      <c r="D719" s="227"/>
      <c r="E719" s="228"/>
      <c r="F719" s="33"/>
      <c r="G719" s="33"/>
      <c r="H719" s="33"/>
      <c r="I719" s="33"/>
      <c r="J719" s="230"/>
      <c r="K719" s="114"/>
      <c r="L719" s="881"/>
      <c r="M719" s="33"/>
      <c r="N719" s="33"/>
      <c r="O719" s="33"/>
      <c r="P719" s="33"/>
      <c r="Q719" s="33"/>
      <c r="R719" s="935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>
      <c r="A720" s="224"/>
      <c r="B720" s="229"/>
      <c r="C720" s="225"/>
      <c r="D720" s="227"/>
      <c r="E720" s="228"/>
      <c r="F720" s="33"/>
      <c r="G720" s="33"/>
      <c r="H720" s="33"/>
      <c r="I720" s="33"/>
      <c r="J720" s="230"/>
      <c r="K720" s="114"/>
      <c r="L720" s="881"/>
      <c r="M720" s="33"/>
      <c r="N720" s="33"/>
      <c r="O720" s="33"/>
      <c r="P720" s="33"/>
      <c r="Q720" s="33"/>
      <c r="R720" s="935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>
      <c r="A721" s="224"/>
      <c r="B721" s="229"/>
      <c r="C721" s="225"/>
      <c r="D721" s="227"/>
      <c r="E721" s="228"/>
      <c r="F721" s="33"/>
      <c r="G721" s="33"/>
      <c r="H721" s="33"/>
      <c r="I721" s="33"/>
      <c r="J721" s="230"/>
      <c r="K721" s="114"/>
      <c r="L721" s="881"/>
      <c r="M721" s="33"/>
      <c r="N721" s="33"/>
      <c r="O721" s="33"/>
      <c r="P721" s="33"/>
      <c r="Q721" s="33"/>
      <c r="R721" s="935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>
      <c r="A722" s="224"/>
      <c r="B722" s="229"/>
      <c r="C722" s="225"/>
      <c r="D722" s="227"/>
      <c r="E722" s="228"/>
      <c r="F722" s="33"/>
      <c r="G722" s="33"/>
      <c r="H722" s="33"/>
      <c r="I722" s="33"/>
      <c r="J722" s="230"/>
      <c r="K722" s="114"/>
      <c r="L722" s="881"/>
      <c r="M722" s="33"/>
      <c r="N722" s="33"/>
      <c r="O722" s="33"/>
      <c r="P722" s="33"/>
      <c r="Q722" s="33"/>
      <c r="R722" s="935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>
      <c r="A723" s="224"/>
      <c r="B723" s="229"/>
      <c r="C723" s="225"/>
      <c r="D723" s="227"/>
      <c r="E723" s="228"/>
      <c r="F723" s="33"/>
      <c r="G723" s="33"/>
      <c r="H723" s="33"/>
      <c r="I723" s="33"/>
      <c r="J723" s="230"/>
      <c r="K723" s="114"/>
      <c r="L723" s="881"/>
      <c r="M723" s="33"/>
      <c r="N723" s="33"/>
      <c r="O723" s="33"/>
      <c r="P723" s="33"/>
      <c r="Q723" s="33"/>
      <c r="R723" s="935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>
      <c r="A724" s="224"/>
      <c r="B724" s="229"/>
      <c r="C724" s="225"/>
      <c r="D724" s="227"/>
      <c r="E724" s="228"/>
      <c r="F724" s="33"/>
      <c r="G724" s="33"/>
      <c r="H724" s="33"/>
      <c r="I724" s="33"/>
      <c r="J724" s="230"/>
      <c r="K724" s="114"/>
      <c r="L724" s="881"/>
      <c r="M724" s="33"/>
      <c r="N724" s="33"/>
      <c r="O724" s="33"/>
      <c r="P724" s="33"/>
      <c r="Q724" s="33"/>
      <c r="R724" s="935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>
      <c r="A725" s="224"/>
      <c r="B725" s="229"/>
      <c r="C725" s="225"/>
      <c r="D725" s="227"/>
      <c r="E725" s="228"/>
      <c r="F725" s="33"/>
      <c r="G725" s="33"/>
      <c r="H725" s="33"/>
      <c r="I725" s="33"/>
      <c r="J725" s="230"/>
      <c r="K725" s="114"/>
      <c r="L725" s="881"/>
      <c r="M725" s="33"/>
      <c r="N725" s="33"/>
      <c r="O725" s="33"/>
      <c r="P725" s="33"/>
      <c r="Q725" s="33"/>
      <c r="R725" s="935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>
      <c r="A726" s="224"/>
      <c r="B726" s="229"/>
      <c r="C726" s="225"/>
      <c r="D726" s="227"/>
      <c r="E726" s="228"/>
      <c r="F726" s="33"/>
      <c r="G726" s="33"/>
      <c r="H726" s="33"/>
      <c r="I726" s="33"/>
      <c r="J726" s="230"/>
      <c r="K726" s="114"/>
      <c r="L726" s="881"/>
      <c r="M726" s="33"/>
      <c r="N726" s="33"/>
      <c r="O726" s="33"/>
      <c r="P726" s="33"/>
      <c r="Q726" s="33"/>
      <c r="R726" s="935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>
      <c r="A727" s="224"/>
      <c r="B727" s="229"/>
      <c r="C727" s="225"/>
      <c r="D727" s="227"/>
      <c r="E727" s="228"/>
      <c r="F727" s="33"/>
      <c r="G727" s="33"/>
      <c r="H727" s="33"/>
      <c r="I727" s="33"/>
      <c r="J727" s="230"/>
      <c r="K727" s="114"/>
      <c r="L727" s="881"/>
      <c r="M727" s="33"/>
      <c r="N727" s="33"/>
      <c r="O727" s="33"/>
      <c r="P727" s="33"/>
      <c r="Q727" s="33"/>
      <c r="R727" s="935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>
      <c r="A728" s="224"/>
      <c r="B728" s="229"/>
      <c r="C728" s="225"/>
      <c r="D728" s="227"/>
      <c r="E728" s="228"/>
      <c r="F728" s="33"/>
      <c r="G728" s="33"/>
      <c r="H728" s="33"/>
      <c r="I728" s="33"/>
      <c r="J728" s="230"/>
      <c r="K728" s="114"/>
      <c r="L728" s="881"/>
      <c r="M728" s="33"/>
      <c r="N728" s="33"/>
      <c r="O728" s="33"/>
      <c r="P728" s="33"/>
      <c r="Q728" s="33"/>
      <c r="R728" s="935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>
      <c r="A729" s="224"/>
      <c r="B729" s="229"/>
      <c r="C729" s="225"/>
      <c r="D729" s="227"/>
      <c r="E729" s="228"/>
      <c r="F729" s="33"/>
      <c r="G729" s="33"/>
      <c r="H729" s="33"/>
      <c r="I729" s="33"/>
      <c r="J729" s="230"/>
      <c r="K729" s="114"/>
      <c r="L729" s="881"/>
      <c r="M729" s="33"/>
      <c r="N729" s="33"/>
      <c r="O729" s="33"/>
      <c r="P729" s="33"/>
      <c r="Q729" s="33"/>
      <c r="R729" s="935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>
      <c r="A730" s="224"/>
      <c r="B730" s="229"/>
      <c r="C730" s="225"/>
      <c r="D730" s="227"/>
      <c r="E730" s="228"/>
      <c r="F730" s="33"/>
      <c r="G730" s="33"/>
      <c r="H730" s="33"/>
      <c r="I730" s="33"/>
      <c r="J730" s="230"/>
      <c r="K730" s="114"/>
      <c r="L730" s="881"/>
      <c r="M730" s="33"/>
      <c r="N730" s="33"/>
      <c r="O730" s="33"/>
      <c r="P730" s="33"/>
      <c r="Q730" s="33"/>
      <c r="R730" s="935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>
      <c r="A731" s="224"/>
      <c r="B731" s="229"/>
      <c r="C731" s="225"/>
      <c r="D731" s="227"/>
      <c r="E731" s="228"/>
      <c r="F731" s="33"/>
      <c r="G731" s="33"/>
      <c r="H731" s="33"/>
      <c r="I731" s="33"/>
      <c r="J731" s="230"/>
      <c r="K731" s="114"/>
      <c r="L731" s="881"/>
      <c r="M731" s="33"/>
      <c r="N731" s="33"/>
      <c r="O731" s="33"/>
      <c r="P731" s="33"/>
      <c r="Q731" s="33"/>
      <c r="R731" s="935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>
      <c r="A732" s="224"/>
      <c r="B732" s="229"/>
      <c r="C732" s="225"/>
      <c r="D732" s="227"/>
      <c r="E732" s="228"/>
      <c r="F732" s="33"/>
      <c r="G732" s="33"/>
      <c r="H732" s="33"/>
      <c r="I732" s="33"/>
      <c r="J732" s="230"/>
      <c r="K732" s="114"/>
      <c r="L732" s="881"/>
      <c r="M732" s="33"/>
      <c r="N732" s="33"/>
      <c r="O732" s="33"/>
      <c r="P732" s="33"/>
      <c r="Q732" s="33"/>
      <c r="R732" s="935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>
      <c r="A733" s="224"/>
      <c r="B733" s="229"/>
      <c r="C733" s="225"/>
      <c r="D733" s="227"/>
      <c r="E733" s="228"/>
      <c r="F733" s="33"/>
      <c r="G733" s="33"/>
      <c r="H733" s="33"/>
      <c r="I733" s="33"/>
      <c r="J733" s="230"/>
      <c r="K733" s="114"/>
      <c r="L733" s="881"/>
      <c r="M733" s="33"/>
      <c r="N733" s="33"/>
      <c r="O733" s="33"/>
      <c r="P733" s="33"/>
      <c r="Q733" s="33"/>
      <c r="R733" s="935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>
      <c r="A734" s="224"/>
      <c r="B734" s="229"/>
      <c r="C734" s="225"/>
      <c r="D734" s="227"/>
      <c r="E734" s="228"/>
      <c r="F734" s="33"/>
      <c r="G734" s="33"/>
      <c r="H734" s="33"/>
      <c r="I734" s="33"/>
      <c r="J734" s="230"/>
      <c r="K734" s="114"/>
      <c r="L734" s="881"/>
      <c r="M734" s="33"/>
      <c r="N734" s="33"/>
      <c r="O734" s="33"/>
      <c r="P734" s="33"/>
      <c r="Q734" s="33"/>
      <c r="R734" s="935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>
      <c r="A735" s="224"/>
      <c r="B735" s="229"/>
      <c r="C735" s="225"/>
      <c r="D735" s="227"/>
      <c r="E735" s="228"/>
      <c r="F735" s="33"/>
      <c r="G735" s="33"/>
      <c r="H735" s="33"/>
      <c r="I735" s="33"/>
      <c r="J735" s="230"/>
      <c r="K735" s="114"/>
      <c r="L735" s="881"/>
      <c r="M735" s="33"/>
      <c r="N735" s="33"/>
      <c r="O735" s="33"/>
      <c r="P735" s="33"/>
      <c r="Q735" s="33"/>
      <c r="R735" s="935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>
      <c r="A736" s="224"/>
      <c r="B736" s="229"/>
      <c r="C736" s="225"/>
      <c r="D736" s="227"/>
      <c r="E736" s="228"/>
      <c r="F736" s="33"/>
      <c r="G736" s="33"/>
      <c r="H736" s="33"/>
      <c r="I736" s="33"/>
      <c r="J736" s="230"/>
      <c r="K736" s="114"/>
      <c r="L736" s="881"/>
      <c r="M736" s="33"/>
      <c r="N736" s="33"/>
      <c r="O736" s="33"/>
      <c r="P736" s="33"/>
      <c r="Q736" s="33"/>
      <c r="R736" s="935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>
      <c r="A737" s="224"/>
      <c r="B737" s="229"/>
      <c r="C737" s="225"/>
      <c r="D737" s="227"/>
      <c r="E737" s="228"/>
      <c r="F737" s="33"/>
      <c r="G737" s="33"/>
      <c r="H737" s="33"/>
      <c r="I737" s="33"/>
      <c r="J737" s="230"/>
      <c r="K737" s="114"/>
      <c r="L737" s="881"/>
      <c r="M737" s="33"/>
      <c r="N737" s="33"/>
      <c r="O737" s="33"/>
      <c r="P737" s="33"/>
      <c r="Q737" s="33"/>
      <c r="R737" s="935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>
      <c r="A738" s="224"/>
      <c r="B738" s="229"/>
      <c r="C738" s="225"/>
      <c r="D738" s="227"/>
      <c r="E738" s="228"/>
      <c r="F738" s="33"/>
      <c r="G738" s="33"/>
      <c r="H738" s="33"/>
      <c r="I738" s="33"/>
      <c r="J738" s="230"/>
      <c r="K738" s="114"/>
      <c r="L738" s="881"/>
      <c r="M738" s="33"/>
      <c r="N738" s="33"/>
      <c r="O738" s="33"/>
      <c r="P738" s="33"/>
      <c r="Q738" s="33"/>
      <c r="R738" s="935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>
      <c r="A739" s="224"/>
      <c r="B739" s="229"/>
      <c r="C739" s="225"/>
      <c r="D739" s="227"/>
      <c r="E739" s="228"/>
      <c r="F739" s="33"/>
      <c r="G739" s="33"/>
      <c r="H739" s="33"/>
      <c r="I739" s="33"/>
      <c r="J739" s="230"/>
      <c r="K739" s="114"/>
      <c r="L739" s="881"/>
      <c r="M739" s="33"/>
      <c r="N739" s="33"/>
      <c r="O739" s="33"/>
      <c r="P739" s="33"/>
      <c r="Q739" s="33"/>
      <c r="R739" s="935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>
      <c r="A740" s="224"/>
      <c r="B740" s="229"/>
      <c r="C740" s="225"/>
      <c r="D740" s="227"/>
      <c r="E740" s="228"/>
      <c r="F740" s="33"/>
      <c r="G740" s="33"/>
      <c r="H740" s="33"/>
      <c r="I740" s="33"/>
      <c r="J740" s="230"/>
      <c r="K740" s="114"/>
      <c r="L740" s="881"/>
      <c r="M740" s="33"/>
      <c r="N740" s="33"/>
      <c r="O740" s="33"/>
      <c r="P740" s="33"/>
      <c r="Q740" s="33"/>
      <c r="R740" s="935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>
      <c r="A741" s="224"/>
      <c r="B741" s="229"/>
      <c r="C741" s="225"/>
      <c r="D741" s="227"/>
      <c r="E741" s="228"/>
      <c r="F741" s="33"/>
      <c r="G741" s="33"/>
      <c r="H741" s="33"/>
      <c r="I741" s="33"/>
      <c r="J741" s="230"/>
      <c r="K741" s="114"/>
      <c r="L741" s="881"/>
      <c r="M741" s="33"/>
      <c r="N741" s="33"/>
      <c r="O741" s="33"/>
      <c r="P741" s="33"/>
      <c r="Q741" s="33"/>
      <c r="R741" s="935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>
      <c r="A742" s="224"/>
      <c r="B742" s="229"/>
      <c r="C742" s="225"/>
      <c r="D742" s="227"/>
      <c r="E742" s="228"/>
      <c r="F742" s="33"/>
      <c r="G742" s="33"/>
      <c r="H742" s="33"/>
      <c r="I742" s="33"/>
      <c r="J742" s="230"/>
      <c r="K742" s="114"/>
      <c r="L742" s="881"/>
      <c r="M742" s="33"/>
      <c r="N742" s="33"/>
      <c r="O742" s="33"/>
      <c r="P742" s="33"/>
      <c r="Q742" s="33"/>
      <c r="R742" s="935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>
      <c r="A743" s="224"/>
      <c r="B743" s="229"/>
      <c r="C743" s="225"/>
      <c r="D743" s="227"/>
      <c r="E743" s="228"/>
      <c r="F743" s="33"/>
      <c r="G743" s="33"/>
      <c r="H743" s="33"/>
      <c r="I743" s="33"/>
      <c r="J743" s="230"/>
      <c r="K743" s="114"/>
      <c r="L743" s="881"/>
      <c r="M743" s="33"/>
      <c r="N743" s="33"/>
      <c r="O743" s="33"/>
      <c r="P743" s="33"/>
      <c r="Q743" s="33"/>
      <c r="R743" s="935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>
      <c r="A744" s="224"/>
      <c r="B744" s="229"/>
      <c r="C744" s="225"/>
      <c r="D744" s="227"/>
      <c r="E744" s="228"/>
      <c r="F744" s="33"/>
      <c r="G744" s="33"/>
      <c r="H744" s="33"/>
      <c r="I744" s="33"/>
      <c r="J744" s="230"/>
      <c r="K744" s="114"/>
      <c r="L744" s="881"/>
      <c r="M744" s="33"/>
      <c r="N744" s="33"/>
      <c r="O744" s="33"/>
      <c r="P744" s="33"/>
      <c r="Q744" s="33"/>
      <c r="R744" s="935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>
      <c r="A745" s="224"/>
      <c r="B745" s="229"/>
      <c r="C745" s="225"/>
      <c r="D745" s="227"/>
      <c r="E745" s="228"/>
      <c r="F745" s="33"/>
      <c r="G745" s="33"/>
      <c r="H745" s="33"/>
      <c r="I745" s="33"/>
      <c r="J745" s="230"/>
      <c r="K745" s="114"/>
      <c r="L745" s="881"/>
      <c r="M745" s="33"/>
      <c r="N745" s="33"/>
      <c r="O745" s="33"/>
      <c r="P745" s="33"/>
      <c r="Q745" s="33"/>
      <c r="R745" s="935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>
      <c r="A746" s="224"/>
      <c r="B746" s="229"/>
      <c r="C746" s="225"/>
      <c r="D746" s="227"/>
      <c r="E746" s="228"/>
      <c r="F746" s="33"/>
      <c r="G746" s="33"/>
      <c r="H746" s="33"/>
      <c r="I746" s="33"/>
      <c r="J746" s="230"/>
      <c r="K746" s="114"/>
      <c r="L746" s="881"/>
      <c r="M746" s="33"/>
      <c r="N746" s="33"/>
      <c r="O746" s="33"/>
      <c r="P746" s="33"/>
      <c r="Q746" s="33"/>
      <c r="R746" s="935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>
      <c r="A747" s="224"/>
      <c r="B747" s="229"/>
      <c r="C747" s="225"/>
      <c r="D747" s="227"/>
      <c r="E747" s="228"/>
      <c r="F747" s="33"/>
      <c r="G747" s="33"/>
      <c r="H747" s="33"/>
      <c r="I747" s="33"/>
      <c r="J747" s="230"/>
      <c r="K747" s="114"/>
      <c r="L747" s="881"/>
      <c r="M747" s="33"/>
      <c r="N747" s="33"/>
      <c r="O747" s="33"/>
      <c r="P747" s="33"/>
      <c r="Q747" s="33"/>
      <c r="R747" s="935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>
      <c r="A748" s="224"/>
      <c r="B748" s="229"/>
      <c r="C748" s="225"/>
      <c r="D748" s="227"/>
      <c r="E748" s="228"/>
      <c r="F748" s="33"/>
      <c r="G748" s="33"/>
      <c r="H748" s="33"/>
      <c r="I748" s="33"/>
      <c r="J748" s="230"/>
      <c r="K748" s="114"/>
      <c r="L748" s="881"/>
      <c r="M748" s="33"/>
      <c r="N748" s="33"/>
      <c r="O748" s="33"/>
      <c r="P748" s="33"/>
      <c r="Q748" s="33"/>
      <c r="R748" s="935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>
      <c r="A749" s="224"/>
      <c r="B749" s="229"/>
      <c r="C749" s="225"/>
      <c r="D749" s="227"/>
      <c r="E749" s="228"/>
      <c r="F749" s="33"/>
      <c r="G749" s="33"/>
      <c r="H749" s="33"/>
      <c r="I749" s="33"/>
      <c r="J749" s="230"/>
      <c r="K749" s="114"/>
      <c r="L749" s="881"/>
      <c r="M749" s="33"/>
      <c r="N749" s="33"/>
      <c r="O749" s="33"/>
      <c r="P749" s="33"/>
      <c r="Q749" s="33"/>
      <c r="R749" s="935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>
      <c r="A750" s="224"/>
      <c r="B750" s="229"/>
      <c r="C750" s="225"/>
      <c r="D750" s="227"/>
      <c r="E750" s="228"/>
      <c r="F750" s="33"/>
      <c r="G750" s="33"/>
      <c r="H750" s="33"/>
      <c r="I750" s="33"/>
      <c r="J750" s="230"/>
      <c r="K750" s="114"/>
      <c r="L750" s="881"/>
      <c r="M750" s="33"/>
      <c r="N750" s="33"/>
      <c r="O750" s="33"/>
      <c r="P750" s="33"/>
      <c r="Q750" s="33"/>
      <c r="R750" s="935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>
      <c r="A751" s="224"/>
      <c r="B751" s="229"/>
      <c r="C751" s="225"/>
      <c r="D751" s="227"/>
      <c r="E751" s="228"/>
      <c r="F751" s="33"/>
      <c r="G751" s="33"/>
      <c r="H751" s="33"/>
      <c r="I751" s="33"/>
      <c r="J751" s="230"/>
      <c r="K751" s="114"/>
      <c r="L751" s="881"/>
      <c r="M751" s="33"/>
      <c r="N751" s="33"/>
      <c r="O751" s="33"/>
      <c r="P751" s="33"/>
      <c r="Q751" s="33"/>
      <c r="R751" s="935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>
      <c r="A752" s="224"/>
      <c r="B752" s="229"/>
      <c r="C752" s="225"/>
      <c r="D752" s="227"/>
      <c r="E752" s="228"/>
      <c r="F752" s="33"/>
      <c r="G752" s="33"/>
      <c r="H752" s="33"/>
      <c r="I752" s="33"/>
      <c r="J752" s="230"/>
      <c r="K752" s="114"/>
      <c r="L752" s="881"/>
      <c r="M752" s="33"/>
      <c r="N752" s="33"/>
      <c r="O752" s="33"/>
      <c r="P752" s="33"/>
      <c r="Q752" s="33"/>
      <c r="R752" s="935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>
      <c r="A753" s="224"/>
      <c r="B753" s="229"/>
      <c r="C753" s="225"/>
      <c r="D753" s="227"/>
      <c r="E753" s="228"/>
      <c r="F753" s="33"/>
      <c r="G753" s="33"/>
      <c r="H753" s="33"/>
      <c r="I753" s="33"/>
      <c r="J753" s="230"/>
      <c r="K753" s="114"/>
      <c r="L753" s="881"/>
      <c r="M753" s="33"/>
      <c r="N753" s="33"/>
      <c r="O753" s="33"/>
      <c r="P753" s="33"/>
      <c r="Q753" s="33"/>
      <c r="R753" s="935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>
      <c r="A754" s="224"/>
      <c r="B754" s="229"/>
      <c r="C754" s="225"/>
      <c r="D754" s="227"/>
      <c r="E754" s="228"/>
      <c r="F754" s="33"/>
      <c r="G754" s="33"/>
      <c r="H754" s="33"/>
      <c r="I754" s="33"/>
      <c r="J754" s="230"/>
      <c r="K754" s="114"/>
      <c r="L754" s="881"/>
      <c r="M754" s="33"/>
      <c r="N754" s="33"/>
      <c r="O754" s="33"/>
      <c r="P754" s="33"/>
      <c r="Q754" s="33"/>
      <c r="R754" s="935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>
      <c r="A755" s="224"/>
      <c r="B755" s="229"/>
      <c r="C755" s="225"/>
      <c r="D755" s="227"/>
      <c r="E755" s="228"/>
      <c r="F755" s="33"/>
      <c r="G755" s="33"/>
      <c r="H755" s="33"/>
      <c r="I755" s="33"/>
      <c r="J755" s="230"/>
      <c r="K755" s="114"/>
      <c r="L755" s="881"/>
      <c r="M755" s="33"/>
      <c r="N755" s="33"/>
      <c r="O755" s="33"/>
      <c r="P755" s="33"/>
      <c r="Q755" s="33"/>
      <c r="R755" s="935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>
      <c r="A756" s="224"/>
      <c r="B756" s="229"/>
      <c r="C756" s="225"/>
      <c r="D756" s="227"/>
      <c r="E756" s="228"/>
      <c r="F756" s="33"/>
      <c r="G756" s="33"/>
      <c r="H756" s="33"/>
      <c r="I756" s="33"/>
      <c r="J756" s="230"/>
      <c r="K756" s="114"/>
      <c r="L756" s="881"/>
      <c r="M756" s="33"/>
      <c r="N756" s="33"/>
      <c r="O756" s="33"/>
      <c r="P756" s="33"/>
      <c r="Q756" s="33"/>
      <c r="R756" s="935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>
      <c r="A757" s="224"/>
      <c r="B757" s="229"/>
      <c r="C757" s="225"/>
      <c r="D757" s="227"/>
      <c r="E757" s="228"/>
      <c r="F757" s="33"/>
      <c r="G757" s="33"/>
      <c r="H757" s="33"/>
      <c r="I757" s="33"/>
      <c r="J757" s="230"/>
      <c r="K757" s="114"/>
      <c r="L757" s="881"/>
      <c r="M757" s="33"/>
      <c r="N757" s="33"/>
      <c r="O757" s="33"/>
      <c r="P757" s="33"/>
      <c r="Q757" s="33"/>
      <c r="R757" s="935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>
      <c r="A758" s="224"/>
      <c r="B758" s="229"/>
      <c r="C758" s="225"/>
      <c r="D758" s="227"/>
      <c r="E758" s="228"/>
      <c r="F758" s="33"/>
      <c r="G758" s="33"/>
      <c r="H758" s="33"/>
      <c r="I758" s="33"/>
      <c r="J758" s="230"/>
      <c r="K758" s="114"/>
      <c r="L758" s="881"/>
      <c r="M758" s="33"/>
      <c r="N758" s="33"/>
      <c r="O758" s="33"/>
      <c r="P758" s="33"/>
      <c r="Q758" s="33"/>
      <c r="R758" s="935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>
      <c r="A759" s="224"/>
      <c r="B759" s="229"/>
      <c r="C759" s="225"/>
      <c r="D759" s="227"/>
      <c r="E759" s="228"/>
      <c r="F759" s="33"/>
      <c r="G759" s="33"/>
      <c r="H759" s="33"/>
      <c r="I759" s="33"/>
      <c r="J759" s="230"/>
      <c r="K759" s="114"/>
      <c r="L759" s="881"/>
      <c r="M759" s="33"/>
      <c r="N759" s="33"/>
      <c r="O759" s="33"/>
      <c r="P759" s="33"/>
      <c r="Q759" s="33"/>
      <c r="R759" s="935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>
      <c r="A760" s="224"/>
      <c r="B760" s="229"/>
      <c r="C760" s="225"/>
      <c r="D760" s="227"/>
      <c r="E760" s="228"/>
      <c r="F760" s="33"/>
      <c r="G760" s="33"/>
      <c r="H760" s="33"/>
      <c r="I760" s="33"/>
      <c r="J760" s="230"/>
      <c r="K760" s="114"/>
      <c r="L760" s="881"/>
      <c r="M760" s="33"/>
      <c r="N760" s="33"/>
      <c r="O760" s="33"/>
      <c r="P760" s="33"/>
      <c r="Q760" s="33"/>
      <c r="R760" s="935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>
      <c r="A761" s="224"/>
      <c r="B761" s="229"/>
      <c r="C761" s="225"/>
      <c r="D761" s="227"/>
      <c r="E761" s="228"/>
      <c r="F761" s="33"/>
      <c r="G761" s="33"/>
      <c r="H761" s="33"/>
      <c r="I761" s="33"/>
      <c r="J761" s="230"/>
      <c r="K761" s="114"/>
      <c r="L761" s="881"/>
      <c r="M761" s="33"/>
      <c r="N761" s="33"/>
      <c r="O761" s="33"/>
      <c r="P761" s="33"/>
      <c r="Q761" s="33"/>
      <c r="R761" s="935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>
      <c r="A762" s="224"/>
      <c r="B762" s="229"/>
      <c r="C762" s="225"/>
      <c r="D762" s="227"/>
      <c r="E762" s="228"/>
      <c r="F762" s="33"/>
      <c r="G762" s="33"/>
      <c r="H762" s="33"/>
      <c r="I762" s="33"/>
      <c r="J762" s="230"/>
      <c r="K762" s="114"/>
      <c r="L762" s="881"/>
      <c r="M762" s="33"/>
      <c r="N762" s="33"/>
      <c r="O762" s="33"/>
      <c r="P762" s="33"/>
      <c r="Q762" s="33"/>
      <c r="R762" s="935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>
      <c r="A763" s="224"/>
      <c r="B763" s="229"/>
      <c r="C763" s="225"/>
      <c r="D763" s="227"/>
      <c r="E763" s="228"/>
      <c r="F763" s="33"/>
      <c r="G763" s="33"/>
      <c r="H763" s="33"/>
      <c r="I763" s="33"/>
      <c r="J763" s="230"/>
      <c r="K763" s="114"/>
      <c r="L763" s="881"/>
      <c r="M763" s="33"/>
      <c r="N763" s="33"/>
      <c r="O763" s="33"/>
      <c r="P763" s="33"/>
      <c r="Q763" s="33"/>
      <c r="R763" s="935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>
      <c r="A764" s="224"/>
      <c r="B764" s="229"/>
      <c r="C764" s="225"/>
      <c r="D764" s="227"/>
      <c r="E764" s="228"/>
      <c r="F764" s="33"/>
      <c r="G764" s="33"/>
      <c r="H764" s="33"/>
      <c r="I764" s="33"/>
      <c r="J764" s="230"/>
      <c r="K764" s="114"/>
      <c r="L764" s="881"/>
      <c r="M764" s="33"/>
      <c r="N764" s="33"/>
      <c r="O764" s="33"/>
      <c r="P764" s="33"/>
      <c r="Q764" s="33"/>
      <c r="R764" s="935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>
      <c r="A765" s="224"/>
      <c r="B765" s="229"/>
      <c r="C765" s="225"/>
      <c r="D765" s="227"/>
      <c r="E765" s="228"/>
      <c r="F765" s="33"/>
      <c r="G765" s="33"/>
      <c r="H765" s="33"/>
      <c r="I765" s="33"/>
      <c r="J765" s="230"/>
      <c r="K765" s="114"/>
      <c r="L765" s="881"/>
      <c r="M765" s="33"/>
      <c r="N765" s="33"/>
      <c r="O765" s="33"/>
      <c r="P765" s="33"/>
      <c r="Q765" s="33"/>
      <c r="R765" s="935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>
      <c r="A766" s="224"/>
      <c r="B766" s="229"/>
      <c r="C766" s="225"/>
      <c r="D766" s="227"/>
      <c r="E766" s="228"/>
      <c r="F766" s="33"/>
      <c r="G766" s="33"/>
      <c r="H766" s="33"/>
      <c r="I766" s="33"/>
      <c r="J766" s="230"/>
      <c r="K766" s="114"/>
      <c r="L766" s="881"/>
      <c r="M766" s="33"/>
      <c r="N766" s="33"/>
      <c r="O766" s="33"/>
      <c r="P766" s="33"/>
      <c r="Q766" s="33"/>
      <c r="R766" s="935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>
      <c r="A767" s="224"/>
      <c r="B767" s="229"/>
      <c r="C767" s="225"/>
      <c r="D767" s="227"/>
      <c r="E767" s="228"/>
      <c r="F767" s="33"/>
      <c r="G767" s="33"/>
      <c r="H767" s="33"/>
      <c r="I767" s="33"/>
      <c r="J767" s="230"/>
      <c r="K767" s="114"/>
      <c r="L767" s="881"/>
      <c r="M767" s="33"/>
      <c r="N767" s="33"/>
      <c r="O767" s="33"/>
      <c r="P767" s="33"/>
      <c r="Q767" s="33"/>
      <c r="R767" s="935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>
      <c r="A768" s="224"/>
      <c r="B768" s="229"/>
      <c r="C768" s="225"/>
      <c r="D768" s="227"/>
      <c r="E768" s="228"/>
      <c r="F768" s="33"/>
      <c r="G768" s="33"/>
      <c r="H768" s="33"/>
      <c r="I768" s="33"/>
      <c r="J768" s="230"/>
      <c r="K768" s="114"/>
      <c r="L768" s="881"/>
      <c r="M768" s="33"/>
      <c r="N768" s="33"/>
      <c r="O768" s="33"/>
      <c r="P768" s="33"/>
      <c r="Q768" s="33"/>
      <c r="R768" s="935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>
      <c r="A769" s="224"/>
      <c r="B769" s="229"/>
      <c r="C769" s="225"/>
      <c r="D769" s="227"/>
      <c r="E769" s="228"/>
      <c r="F769" s="33"/>
      <c r="G769" s="33"/>
      <c r="H769" s="33"/>
      <c r="I769" s="33"/>
      <c r="J769" s="230"/>
      <c r="K769" s="114"/>
      <c r="L769" s="881"/>
      <c r="M769" s="33"/>
      <c r="N769" s="33"/>
      <c r="O769" s="33"/>
      <c r="P769" s="33"/>
      <c r="Q769" s="33"/>
      <c r="R769" s="935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>
      <c r="A770" s="224"/>
      <c r="B770" s="229"/>
      <c r="C770" s="225"/>
      <c r="D770" s="227"/>
      <c r="E770" s="228"/>
      <c r="F770" s="33"/>
      <c r="G770" s="33"/>
      <c r="H770" s="33"/>
      <c r="I770" s="33"/>
      <c r="J770" s="230"/>
      <c r="K770" s="114"/>
      <c r="L770" s="881"/>
      <c r="M770" s="33"/>
      <c r="N770" s="33"/>
      <c r="O770" s="33"/>
      <c r="P770" s="33"/>
      <c r="Q770" s="33"/>
      <c r="R770" s="935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>
      <c r="A771" s="224"/>
      <c r="B771" s="229"/>
      <c r="C771" s="225"/>
      <c r="D771" s="227"/>
      <c r="E771" s="228"/>
      <c r="F771" s="33"/>
      <c r="G771" s="33"/>
      <c r="H771" s="33"/>
      <c r="I771" s="33"/>
      <c r="J771" s="230"/>
      <c r="K771" s="114"/>
      <c r="L771" s="881"/>
      <c r="M771" s="33"/>
      <c r="N771" s="33"/>
      <c r="O771" s="33"/>
      <c r="P771" s="33"/>
      <c r="Q771" s="33"/>
      <c r="R771" s="935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>
      <c r="A772" s="224"/>
      <c r="B772" s="229"/>
      <c r="C772" s="225"/>
      <c r="D772" s="227"/>
      <c r="E772" s="228"/>
      <c r="F772" s="33"/>
      <c r="G772" s="33"/>
      <c r="H772" s="33"/>
      <c r="I772" s="33"/>
      <c r="J772" s="230"/>
      <c r="K772" s="114"/>
      <c r="L772" s="881"/>
      <c r="M772" s="33"/>
      <c r="N772" s="33"/>
      <c r="O772" s="33"/>
      <c r="P772" s="33"/>
      <c r="Q772" s="33"/>
      <c r="R772" s="935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>
      <c r="A773" s="224"/>
      <c r="B773" s="229"/>
      <c r="C773" s="225"/>
      <c r="D773" s="227"/>
      <c r="E773" s="228"/>
      <c r="F773" s="33"/>
      <c r="G773" s="33"/>
      <c r="H773" s="33"/>
      <c r="I773" s="33"/>
      <c r="J773" s="230"/>
      <c r="K773" s="114"/>
      <c r="L773" s="881"/>
      <c r="M773" s="33"/>
      <c r="N773" s="33"/>
      <c r="O773" s="33"/>
      <c r="P773" s="33"/>
      <c r="Q773" s="33"/>
      <c r="R773" s="935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>
      <c r="A774" s="224"/>
      <c r="B774" s="229"/>
      <c r="C774" s="225"/>
      <c r="D774" s="227"/>
      <c r="E774" s="228"/>
      <c r="F774" s="33"/>
      <c r="G774" s="33"/>
      <c r="H774" s="33"/>
      <c r="I774" s="33"/>
      <c r="J774" s="230"/>
      <c r="K774" s="114"/>
      <c r="L774" s="881"/>
      <c r="M774" s="33"/>
      <c r="N774" s="33"/>
      <c r="O774" s="33"/>
      <c r="P774" s="33"/>
      <c r="Q774" s="33"/>
      <c r="R774" s="935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>
      <c r="A775" s="224"/>
      <c r="B775" s="229"/>
      <c r="C775" s="225"/>
      <c r="D775" s="227"/>
      <c r="E775" s="228"/>
      <c r="F775" s="33"/>
      <c r="G775" s="33"/>
      <c r="H775" s="33"/>
      <c r="I775" s="33"/>
      <c r="J775" s="230"/>
      <c r="K775" s="114"/>
      <c r="L775" s="881"/>
      <c r="M775" s="33"/>
      <c r="N775" s="33"/>
      <c r="O775" s="33"/>
      <c r="P775" s="33"/>
      <c r="Q775" s="33"/>
      <c r="R775" s="935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>
      <c r="A776" s="224"/>
      <c r="B776" s="229"/>
      <c r="C776" s="225"/>
      <c r="D776" s="227"/>
      <c r="E776" s="228"/>
      <c r="F776" s="33"/>
      <c r="G776" s="33"/>
      <c r="H776" s="33"/>
      <c r="I776" s="33"/>
      <c r="J776" s="230"/>
      <c r="K776" s="114"/>
      <c r="L776" s="881"/>
      <c r="M776" s="33"/>
      <c r="N776" s="33"/>
      <c r="O776" s="33"/>
      <c r="P776" s="33"/>
      <c r="Q776" s="33"/>
      <c r="R776" s="935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>
      <c r="A777" s="224"/>
      <c r="B777" s="229"/>
      <c r="C777" s="225"/>
      <c r="D777" s="227"/>
      <c r="E777" s="228"/>
      <c r="F777" s="33"/>
      <c r="G777" s="33"/>
      <c r="H777" s="33"/>
      <c r="I777" s="33"/>
      <c r="J777" s="230"/>
      <c r="K777" s="114"/>
      <c r="L777" s="881"/>
      <c r="M777" s="33"/>
      <c r="N777" s="33"/>
      <c r="O777" s="33"/>
      <c r="P777" s="33"/>
      <c r="Q777" s="33"/>
      <c r="R777" s="935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>
      <c r="A778" s="224"/>
      <c r="B778" s="229"/>
      <c r="C778" s="225"/>
      <c r="D778" s="227"/>
      <c r="E778" s="228"/>
      <c r="F778" s="33"/>
      <c r="G778" s="33"/>
      <c r="H778" s="33"/>
      <c r="I778" s="33"/>
      <c r="J778" s="230"/>
      <c r="K778" s="114"/>
      <c r="L778" s="881"/>
      <c r="M778" s="33"/>
      <c r="N778" s="33"/>
      <c r="O778" s="33"/>
      <c r="P778" s="33"/>
      <c r="Q778" s="33"/>
      <c r="R778" s="935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>
      <c r="A779" s="224"/>
      <c r="B779" s="229"/>
      <c r="C779" s="225"/>
      <c r="D779" s="227"/>
      <c r="E779" s="228"/>
      <c r="F779" s="33"/>
      <c r="G779" s="33"/>
      <c r="H779" s="33"/>
      <c r="I779" s="33"/>
      <c r="J779" s="230"/>
      <c r="K779" s="114"/>
      <c r="L779" s="881"/>
      <c r="M779" s="33"/>
      <c r="N779" s="33"/>
      <c r="O779" s="33"/>
      <c r="P779" s="33"/>
      <c r="Q779" s="33"/>
      <c r="R779" s="935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>
      <c r="A780" s="224"/>
      <c r="B780" s="229"/>
      <c r="C780" s="225"/>
      <c r="D780" s="227"/>
      <c r="E780" s="228"/>
      <c r="F780" s="33"/>
      <c r="G780" s="33"/>
      <c r="H780" s="33"/>
      <c r="I780" s="33"/>
      <c r="J780" s="230"/>
      <c r="K780" s="114"/>
      <c r="L780" s="881"/>
      <c r="M780" s="33"/>
      <c r="N780" s="33"/>
      <c r="O780" s="33"/>
      <c r="P780" s="33"/>
      <c r="Q780" s="33"/>
      <c r="R780" s="935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>
      <c r="A781" s="224"/>
      <c r="B781" s="229"/>
      <c r="C781" s="225"/>
      <c r="D781" s="227"/>
      <c r="E781" s="228"/>
      <c r="F781" s="33"/>
      <c r="G781" s="33"/>
      <c r="H781" s="33"/>
      <c r="I781" s="33"/>
      <c r="J781" s="230"/>
      <c r="K781" s="114"/>
      <c r="L781" s="881"/>
      <c r="M781" s="33"/>
      <c r="N781" s="33"/>
      <c r="O781" s="33"/>
      <c r="P781" s="33"/>
      <c r="Q781" s="33"/>
      <c r="R781" s="935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>
      <c r="A782" s="224"/>
      <c r="B782" s="229"/>
      <c r="C782" s="225"/>
      <c r="D782" s="227"/>
      <c r="E782" s="228"/>
      <c r="F782" s="33"/>
      <c r="G782" s="33"/>
      <c r="H782" s="33"/>
      <c r="I782" s="33"/>
      <c r="J782" s="230"/>
      <c r="K782" s="114"/>
      <c r="L782" s="881"/>
      <c r="M782" s="33"/>
      <c r="N782" s="33"/>
      <c r="O782" s="33"/>
      <c r="P782" s="33"/>
      <c r="Q782" s="33"/>
      <c r="R782" s="935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>
      <c r="A783" s="224"/>
      <c r="B783" s="229"/>
      <c r="C783" s="225"/>
      <c r="D783" s="227"/>
      <c r="E783" s="228"/>
      <c r="F783" s="33"/>
      <c r="G783" s="33"/>
      <c r="H783" s="33"/>
      <c r="I783" s="33"/>
      <c r="J783" s="230"/>
      <c r="K783" s="114"/>
      <c r="L783" s="881"/>
      <c r="M783" s="33"/>
      <c r="N783" s="33"/>
      <c r="O783" s="33"/>
      <c r="P783" s="33"/>
      <c r="Q783" s="33"/>
      <c r="R783" s="935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>
      <c r="A784" s="224"/>
      <c r="B784" s="229"/>
      <c r="C784" s="225"/>
      <c r="D784" s="227"/>
      <c r="E784" s="228"/>
      <c r="F784" s="33"/>
      <c r="G784" s="33"/>
      <c r="H784" s="33"/>
      <c r="I784" s="33"/>
      <c r="J784" s="230"/>
      <c r="K784" s="114"/>
      <c r="L784" s="881"/>
      <c r="M784" s="33"/>
      <c r="N784" s="33"/>
      <c r="O784" s="33"/>
      <c r="P784" s="33"/>
      <c r="Q784" s="33"/>
      <c r="R784" s="935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>
      <c r="A785" s="224"/>
      <c r="B785" s="229"/>
      <c r="C785" s="225"/>
      <c r="D785" s="227"/>
      <c r="E785" s="228"/>
      <c r="F785" s="33"/>
      <c r="G785" s="33"/>
      <c r="H785" s="33"/>
      <c r="I785" s="33"/>
      <c r="J785" s="230"/>
      <c r="K785" s="114"/>
      <c r="L785" s="881"/>
      <c r="M785" s="33"/>
      <c r="N785" s="33"/>
      <c r="O785" s="33"/>
      <c r="P785" s="33"/>
      <c r="Q785" s="33"/>
      <c r="R785" s="935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>
      <c r="A786" s="224"/>
      <c r="B786" s="229"/>
      <c r="C786" s="225"/>
      <c r="D786" s="227"/>
      <c r="E786" s="228"/>
      <c r="F786" s="33"/>
      <c r="G786" s="33"/>
      <c r="H786" s="33"/>
      <c r="I786" s="33"/>
      <c r="J786" s="230"/>
      <c r="K786" s="114"/>
      <c r="L786" s="881"/>
      <c r="M786" s="33"/>
      <c r="N786" s="33"/>
      <c r="O786" s="33"/>
      <c r="P786" s="33"/>
      <c r="Q786" s="33"/>
      <c r="R786" s="935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>
      <c r="A787" s="224"/>
      <c r="B787" s="229"/>
      <c r="C787" s="225"/>
      <c r="D787" s="227"/>
      <c r="E787" s="228"/>
      <c r="F787" s="33"/>
      <c r="G787" s="33"/>
      <c r="H787" s="33"/>
      <c r="I787" s="33"/>
      <c r="J787" s="230"/>
      <c r="K787" s="114"/>
      <c r="L787" s="881"/>
      <c r="M787" s="33"/>
      <c r="N787" s="33"/>
      <c r="O787" s="33"/>
      <c r="P787" s="33"/>
      <c r="Q787" s="33"/>
      <c r="R787" s="935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>
      <c r="A788" s="224"/>
      <c r="B788" s="229"/>
      <c r="C788" s="225"/>
      <c r="D788" s="227"/>
      <c r="E788" s="228"/>
      <c r="F788" s="33"/>
      <c r="G788" s="33"/>
      <c r="H788" s="33"/>
      <c r="I788" s="33"/>
      <c r="J788" s="230"/>
      <c r="K788" s="114"/>
      <c r="L788" s="881"/>
      <c r="M788" s="33"/>
      <c r="N788" s="33"/>
      <c r="O788" s="33"/>
      <c r="P788" s="33"/>
      <c r="Q788" s="33"/>
      <c r="R788" s="935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>
      <c r="A789" s="224"/>
      <c r="B789" s="229"/>
      <c r="C789" s="225"/>
      <c r="D789" s="227"/>
      <c r="E789" s="228"/>
      <c r="F789" s="33"/>
      <c r="G789" s="33"/>
      <c r="H789" s="33"/>
      <c r="I789" s="33"/>
      <c r="J789" s="230"/>
      <c r="K789" s="114"/>
      <c r="L789" s="881"/>
      <c r="M789" s="33"/>
      <c r="N789" s="33"/>
      <c r="O789" s="33"/>
      <c r="P789" s="33"/>
      <c r="Q789" s="33"/>
      <c r="R789" s="935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>
      <c r="A790" s="224"/>
      <c r="B790" s="229"/>
      <c r="C790" s="225"/>
      <c r="D790" s="227"/>
      <c r="E790" s="228"/>
      <c r="F790" s="33"/>
      <c r="G790" s="33"/>
      <c r="H790" s="33"/>
      <c r="I790" s="33"/>
      <c r="J790" s="230"/>
      <c r="K790" s="114"/>
      <c r="L790" s="881"/>
      <c r="M790" s="33"/>
      <c r="N790" s="33"/>
      <c r="O790" s="33"/>
      <c r="P790" s="33"/>
      <c r="Q790" s="33"/>
      <c r="R790" s="935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>
      <c r="A791" s="224"/>
      <c r="B791" s="229"/>
      <c r="C791" s="225"/>
      <c r="D791" s="227"/>
      <c r="E791" s="228"/>
      <c r="F791" s="33"/>
      <c r="G791" s="33"/>
      <c r="H791" s="33"/>
      <c r="I791" s="33"/>
      <c r="J791" s="230"/>
      <c r="K791" s="114"/>
      <c r="L791" s="881"/>
      <c r="M791" s="33"/>
      <c r="N791" s="33"/>
      <c r="O791" s="33"/>
      <c r="P791" s="33"/>
      <c r="Q791" s="33"/>
      <c r="R791" s="935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>
      <c r="A792" s="224"/>
      <c r="B792" s="229"/>
      <c r="C792" s="225"/>
      <c r="D792" s="227"/>
      <c r="E792" s="228"/>
      <c r="F792" s="33"/>
      <c r="G792" s="33"/>
      <c r="H792" s="33"/>
      <c r="I792" s="33"/>
      <c r="J792" s="230"/>
      <c r="K792" s="114"/>
      <c r="L792" s="881"/>
      <c r="M792" s="33"/>
      <c r="N792" s="33"/>
      <c r="O792" s="33"/>
      <c r="P792" s="33"/>
      <c r="Q792" s="33"/>
      <c r="R792" s="935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>
      <c r="A793" s="224"/>
      <c r="B793" s="229"/>
      <c r="C793" s="225"/>
      <c r="D793" s="227"/>
      <c r="E793" s="228"/>
      <c r="F793" s="33"/>
      <c r="G793" s="33"/>
      <c r="H793" s="33"/>
      <c r="I793" s="33"/>
      <c r="J793" s="230"/>
      <c r="K793" s="114"/>
      <c r="L793" s="881"/>
      <c r="M793" s="33"/>
      <c r="N793" s="33"/>
      <c r="O793" s="33"/>
      <c r="P793" s="33"/>
      <c r="Q793" s="33"/>
      <c r="R793" s="935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>
      <c r="A794" s="224"/>
      <c r="B794" s="229"/>
      <c r="C794" s="225"/>
      <c r="D794" s="227"/>
      <c r="E794" s="228"/>
      <c r="F794" s="33"/>
      <c r="G794" s="33"/>
      <c r="H794" s="33"/>
      <c r="I794" s="33"/>
      <c r="J794" s="230"/>
      <c r="K794" s="114"/>
      <c r="L794" s="881"/>
      <c r="M794" s="33"/>
      <c r="N794" s="33"/>
      <c r="O794" s="33"/>
      <c r="P794" s="33"/>
      <c r="Q794" s="33"/>
      <c r="R794" s="935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>
      <c r="A795" s="224"/>
      <c r="B795" s="229"/>
      <c r="C795" s="225"/>
      <c r="D795" s="227"/>
      <c r="E795" s="228"/>
      <c r="F795" s="33"/>
      <c r="G795" s="33"/>
      <c r="H795" s="33"/>
      <c r="I795" s="33"/>
      <c r="J795" s="230"/>
      <c r="K795" s="114"/>
      <c r="L795" s="881"/>
      <c r="M795" s="33"/>
      <c r="N795" s="33"/>
      <c r="O795" s="33"/>
      <c r="P795" s="33"/>
      <c r="Q795" s="33"/>
      <c r="R795" s="935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>
      <c r="A796" s="224"/>
      <c r="B796" s="229"/>
      <c r="C796" s="225"/>
      <c r="D796" s="227"/>
      <c r="E796" s="228"/>
      <c r="F796" s="33"/>
      <c r="G796" s="33"/>
      <c r="H796" s="33"/>
      <c r="I796" s="33"/>
      <c r="J796" s="230"/>
      <c r="K796" s="114"/>
      <c r="L796" s="881"/>
      <c r="M796" s="33"/>
      <c r="N796" s="33"/>
      <c r="O796" s="33"/>
      <c r="P796" s="33"/>
      <c r="Q796" s="33"/>
      <c r="R796" s="935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>
      <c r="A797" s="224"/>
      <c r="B797" s="229"/>
      <c r="C797" s="225"/>
      <c r="D797" s="227"/>
      <c r="E797" s="228"/>
      <c r="F797" s="33"/>
      <c r="G797" s="33"/>
      <c r="H797" s="33"/>
      <c r="I797" s="33"/>
      <c r="J797" s="230"/>
      <c r="K797" s="114"/>
      <c r="L797" s="881"/>
      <c r="M797" s="33"/>
      <c r="N797" s="33"/>
      <c r="O797" s="33"/>
      <c r="P797" s="33"/>
      <c r="Q797" s="33"/>
      <c r="R797" s="935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>
      <c r="A798" s="224"/>
      <c r="B798" s="229"/>
      <c r="C798" s="225"/>
      <c r="D798" s="227"/>
      <c r="E798" s="228"/>
      <c r="F798" s="33"/>
      <c r="G798" s="33"/>
      <c r="H798" s="33"/>
      <c r="I798" s="33"/>
      <c r="J798" s="230"/>
      <c r="K798" s="114"/>
      <c r="L798" s="881"/>
      <c r="M798" s="33"/>
      <c r="N798" s="33"/>
      <c r="O798" s="33"/>
      <c r="P798" s="33"/>
      <c r="Q798" s="33"/>
      <c r="R798" s="935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>
      <c r="A799" s="224"/>
      <c r="B799" s="229"/>
      <c r="C799" s="225"/>
      <c r="D799" s="227"/>
      <c r="E799" s="228"/>
      <c r="F799" s="33"/>
      <c r="G799" s="33"/>
      <c r="H799" s="33"/>
      <c r="I799" s="33"/>
      <c r="J799" s="230"/>
      <c r="K799" s="114"/>
      <c r="L799" s="881"/>
      <c r="M799" s="33"/>
      <c r="N799" s="33"/>
      <c r="O799" s="33"/>
      <c r="P799" s="33"/>
      <c r="Q799" s="33"/>
      <c r="R799" s="935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>
      <c r="A800" s="224"/>
      <c r="B800" s="229"/>
      <c r="C800" s="225"/>
      <c r="D800" s="227"/>
      <c r="E800" s="228"/>
      <c r="F800" s="33"/>
      <c r="G800" s="33"/>
      <c r="H800" s="33"/>
      <c r="I800" s="33"/>
      <c r="J800" s="230"/>
      <c r="K800" s="114"/>
      <c r="L800" s="881"/>
      <c r="M800" s="33"/>
      <c r="N800" s="33"/>
      <c r="O800" s="33"/>
      <c r="P800" s="33"/>
      <c r="Q800" s="33"/>
      <c r="R800" s="935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>
      <c r="A801" s="224"/>
      <c r="B801" s="229"/>
      <c r="C801" s="225"/>
      <c r="D801" s="227"/>
      <c r="E801" s="228"/>
      <c r="F801" s="33"/>
      <c r="G801" s="33"/>
      <c r="H801" s="33"/>
      <c r="I801" s="33"/>
      <c r="J801" s="230"/>
      <c r="K801" s="114"/>
      <c r="L801" s="881"/>
      <c r="M801" s="33"/>
      <c r="N801" s="33"/>
      <c r="O801" s="33"/>
      <c r="P801" s="33"/>
      <c r="Q801" s="33"/>
      <c r="R801" s="935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>
      <c r="A802" s="224"/>
      <c r="B802" s="229"/>
      <c r="C802" s="225"/>
      <c r="D802" s="227"/>
      <c r="E802" s="228"/>
      <c r="F802" s="33"/>
      <c r="G802" s="33"/>
      <c r="H802" s="33"/>
      <c r="I802" s="33"/>
      <c r="J802" s="230"/>
      <c r="K802" s="114"/>
      <c r="L802" s="881"/>
      <c r="M802" s="33"/>
      <c r="N802" s="33"/>
      <c r="O802" s="33"/>
      <c r="P802" s="33"/>
      <c r="Q802" s="33"/>
      <c r="R802" s="935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>
      <c r="A803" s="224"/>
      <c r="B803" s="229"/>
      <c r="C803" s="225"/>
      <c r="D803" s="227"/>
      <c r="E803" s="228"/>
      <c r="F803" s="33"/>
      <c r="G803" s="33"/>
      <c r="H803" s="33"/>
      <c r="I803" s="33"/>
      <c r="J803" s="230"/>
      <c r="K803" s="114"/>
      <c r="L803" s="881"/>
      <c r="M803" s="33"/>
      <c r="N803" s="33"/>
      <c r="O803" s="33"/>
      <c r="P803" s="33"/>
      <c r="Q803" s="33"/>
      <c r="R803" s="935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>
      <c r="A804" s="224"/>
      <c r="B804" s="229"/>
      <c r="C804" s="225"/>
      <c r="D804" s="227"/>
      <c r="E804" s="228"/>
      <c r="F804" s="33"/>
      <c r="G804" s="33"/>
      <c r="H804" s="33"/>
      <c r="I804" s="33"/>
      <c r="J804" s="230"/>
      <c r="K804" s="114"/>
      <c r="L804" s="881"/>
      <c r="M804" s="33"/>
      <c r="N804" s="33"/>
      <c r="O804" s="33"/>
      <c r="P804" s="33"/>
      <c r="Q804" s="33"/>
      <c r="R804" s="935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>
      <c r="A805" s="224"/>
      <c r="B805" s="229"/>
      <c r="C805" s="225"/>
      <c r="D805" s="227"/>
      <c r="E805" s="228"/>
      <c r="F805" s="33"/>
      <c r="G805" s="33"/>
      <c r="H805" s="33"/>
      <c r="I805" s="33"/>
      <c r="J805" s="230"/>
      <c r="K805" s="114"/>
      <c r="L805" s="881"/>
      <c r="M805" s="33"/>
      <c r="N805" s="33"/>
      <c r="O805" s="33"/>
      <c r="P805" s="33"/>
      <c r="Q805" s="33"/>
      <c r="R805" s="935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>
      <c r="A806" s="224"/>
      <c r="B806" s="229"/>
      <c r="C806" s="225"/>
      <c r="D806" s="227"/>
      <c r="E806" s="228"/>
      <c r="F806" s="33"/>
      <c r="G806" s="33"/>
      <c r="H806" s="33"/>
      <c r="I806" s="33"/>
      <c r="J806" s="230"/>
      <c r="K806" s="114"/>
      <c r="L806" s="881"/>
      <c r="M806" s="33"/>
      <c r="N806" s="33"/>
      <c r="O806" s="33"/>
      <c r="P806" s="33"/>
      <c r="Q806" s="33"/>
      <c r="R806" s="935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>
      <c r="A807" s="224"/>
      <c r="B807" s="229"/>
      <c r="C807" s="225"/>
      <c r="D807" s="227"/>
      <c r="E807" s="228"/>
      <c r="F807" s="33"/>
      <c r="G807" s="33"/>
      <c r="H807" s="33"/>
      <c r="I807" s="33"/>
      <c r="J807" s="230"/>
      <c r="K807" s="114"/>
      <c r="L807" s="881"/>
      <c r="M807" s="33"/>
      <c r="N807" s="33"/>
      <c r="O807" s="33"/>
      <c r="P807" s="33"/>
      <c r="Q807" s="33"/>
      <c r="R807" s="935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>
      <c r="A808" s="224"/>
      <c r="B808" s="229"/>
      <c r="C808" s="225"/>
      <c r="D808" s="227"/>
      <c r="E808" s="228"/>
      <c r="F808" s="33"/>
      <c r="G808" s="33"/>
      <c r="H808" s="33"/>
      <c r="I808" s="33"/>
      <c r="J808" s="230"/>
      <c r="K808" s="114"/>
      <c r="L808" s="881"/>
      <c r="M808" s="33"/>
      <c r="N808" s="33"/>
      <c r="O808" s="33"/>
      <c r="P808" s="33"/>
      <c r="Q808" s="33"/>
      <c r="R808" s="935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>
      <c r="A809" s="224"/>
      <c r="B809" s="229"/>
      <c r="C809" s="225"/>
      <c r="D809" s="227"/>
      <c r="E809" s="228"/>
      <c r="F809" s="33"/>
      <c r="G809" s="33"/>
      <c r="H809" s="33"/>
      <c r="I809" s="33"/>
      <c r="J809" s="230"/>
      <c r="K809" s="114"/>
      <c r="L809" s="881"/>
      <c r="M809" s="33"/>
      <c r="N809" s="33"/>
      <c r="O809" s="33"/>
      <c r="P809" s="33"/>
      <c r="Q809" s="33"/>
      <c r="R809" s="935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>
      <c r="A810" s="224"/>
      <c r="B810" s="229"/>
      <c r="C810" s="225"/>
      <c r="D810" s="227"/>
      <c r="E810" s="228"/>
      <c r="F810" s="33"/>
      <c r="G810" s="33"/>
      <c r="H810" s="33"/>
      <c r="I810" s="33"/>
      <c r="J810" s="230"/>
      <c r="K810" s="114"/>
      <c r="L810" s="881"/>
      <c r="M810" s="33"/>
      <c r="N810" s="33"/>
      <c r="O810" s="33"/>
      <c r="P810" s="33"/>
      <c r="Q810" s="33"/>
      <c r="R810" s="935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>
      <c r="A811" s="224"/>
      <c r="B811" s="229"/>
      <c r="C811" s="225"/>
      <c r="D811" s="227"/>
      <c r="E811" s="228"/>
      <c r="F811" s="33"/>
      <c r="G811" s="33"/>
      <c r="H811" s="33"/>
      <c r="I811" s="33"/>
      <c r="J811" s="230"/>
      <c r="K811" s="114"/>
      <c r="L811" s="881"/>
      <c r="M811" s="33"/>
      <c r="N811" s="33"/>
      <c r="O811" s="33"/>
      <c r="P811" s="33"/>
      <c r="Q811" s="33"/>
      <c r="R811" s="935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>
      <c r="A812" s="224"/>
      <c r="B812" s="229"/>
      <c r="C812" s="225"/>
      <c r="D812" s="227"/>
      <c r="E812" s="228"/>
      <c r="F812" s="33"/>
      <c r="G812" s="33"/>
      <c r="H812" s="33"/>
      <c r="I812" s="33"/>
      <c r="J812" s="230"/>
      <c r="K812" s="114"/>
      <c r="L812" s="881"/>
      <c r="M812" s="33"/>
      <c r="N812" s="33"/>
      <c r="O812" s="33"/>
      <c r="P812" s="33"/>
      <c r="Q812" s="33"/>
      <c r="R812" s="935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>
      <c r="A813" s="224"/>
      <c r="B813" s="229"/>
      <c r="C813" s="225"/>
      <c r="D813" s="227"/>
      <c r="E813" s="228"/>
      <c r="F813" s="33"/>
      <c r="G813" s="33"/>
      <c r="H813" s="33"/>
      <c r="I813" s="33"/>
      <c r="J813" s="230"/>
      <c r="K813" s="114"/>
      <c r="L813" s="881"/>
      <c r="M813" s="33"/>
      <c r="N813" s="33"/>
      <c r="O813" s="33"/>
      <c r="P813" s="33"/>
      <c r="Q813" s="33"/>
      <c r="R813" s="935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>
      <c r="A814" s="224"/>
      <c r="B814" s="229"/>
      <c r="C814" s="225"/>
      <c r="D814" s="227"/>
      <c r="E814" s="228"/>
      <c r="F814" s="33"/>
      <c r="G814" s="33"/>
      <c r="H814" s="33"/>
      <c r="I814" s="33"/>
      <c r="J814" s="230"/>
      <c r="K814" s="114"/>
      <c r="L814" s="881"/>
      <c r="M814" s="33"/>
      <c r="N814" s="33"/>
      <c r="O814" s="33"/>
      <c r="P814" s="33"/>
      <c r="Q814" s="33"/>
      <c r="R814" s="935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>
      <c r="A815" s="224"/>
      <c r="B815" s="229"/>
      <c r="C815" s="225"/>
      <c r="D815" s="227"/>
      <c r="E815" s="228"/>
      <c r="F815" s="33"/>
      <c r="G815" s="33"/>
      <c r="H815" s="33"/>
      <c r="I815" s="33"/>
      <c r="J815" s="230"/>
      <c r="K815" s="114"/>
      <c r="L815" s="881"/>
      <c r="M815" s="33"/>
      <c r="N815" s="33"/>
      <c r="O815" s="33"/>
      <c r="P815" s="33"/>
      <c r="Q815" s="33"/>
      <c r="R815" s="935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>
      <c r="A816" s="224"/>
      <c r="B816" s="229"/>
      <c r="C816" s="225"/>
      <c r="D816" s="227"/>
      <c r="E816" s="228"/>
      <c r="F816" s="33"/>
      <c r="G816" s="33"/>
      <c r="H816" s="33"/>
      <c r="I816" s="33"/>
      <c r="J816" s="230"/>
      <c r="K816" s="114"/>
      <c r="L816" s="881"/>
      <c r="M816" s="33"/>
      <c r="N816" s="33"/>
      <c r="O816" s="33"/>
      <c r="P816" s="33"/>
      <c r="Q816" s="33"/>
      <c r="R816" s="935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>
      <c r="A817" s="224"/>
      <c r="B817" s="229"/>
      <c r="C817" s="225"/>
      <c r="D817" s="227"/>
      <c r="E817" s="228"/>
      <c r="F817" s="33"/>
      <c r="G817" s="33"/>
      <c r="H817" s="33"/>
      <c r="I817" s="33"/>
      <c r="J817" s="230"/>
      <c r="K817" s="114"/>
      <c r="L817" s="881"/>
      <c r="M817" s="33"/>
      <c r="N817" s="33"/>
      <c r="O817" s="33"/>
      <c r="P817" s="33"/>
      <c r="Q817" s="33"/>
      <c r="R817" s="935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>
      <c r="A818" s="224"/>
      <c r="B818" s="229"/>
      <c r="C818" s="225"/>
      <c r="D818" s="227"/>
      <c r="E818" s="228"/>
      <c r="F818" s="33"/>
      <c r="G818" s="33"/>
      <c r="H818" s="33"/>
      <c r="I818" s="33"/>
      <c r="J818" s="230"/>
      <c r="K818" s="114"/>
      <c r="L818" s="881"/>
      <c r="M818" s="33"/>
      <c r="N818" s="33"/>
      <c r="O818" s="33"/>
      <c r="P818" s="33"/>
      <c r="Q818" s="33"/>
      <c r="R818" s="935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>
      <c r="A819" s="224"/>
      <c r="B819" s="229"/>
      <c r="C819" s="225"/>
      <c r="D819" s="227"/>
      <c r="E819" s="228"/>
      <c r="F819" s="33"/>
      <c r="G819" s="33"/>
      <c r="H819" s="33"/>
      <c r="I819" s="33"/>
      <c r="J819" s="230"/>
      <c r="K819" s="114"/>
      <c r="L819" s="881"/>
      <c r="M819" s="33"/>
      <c r="N819" s="33"/>
      <c r="O819" s="33"/>
      <c r="P819" s="33"/>
      <c r="Q819" s="33"/>
      <c r="R819" s="935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>
      <c r="A820" s="224"/>
      <c r="B820" s="229"/>
      <c r="C820" s="225"/>
      <c r="D820" s="227"/>
      <c r="E820" s="228"/>
      <c r="F820" s="33"/>
      <c r="G820" s="33"/>
      <c r="H820" s="33"/>
      <c r="I820" s="33"/>
      <c r="J820" s="230"/>
      <c r="K820" s="114"/>
      <c r="L820" s="881"/>
      <c r="M820" s="33"/>
      <c r="N820" s="33"/>
      <c r="O820" s="33"/>
      <c r="P820" s="33"/>
      <c r="Q820" s="33"/>
      <c r="R820" s="935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>
      <c r="A821" s="224"/>
      <c r="B821" s="229"/>
      <c r="C821" s="225"/>
      <c r="D821" s="227"/>
      <c r="E821" s="228"/>
      <c r="F821" s="33"/>
      <c r="G821" s="33"/>
      <c r="H821" s="33"/>
      <c r="I821" s="33"/>
      <c r="J821" s="230"/>
      <c r="K821" s="114"/>
      <c r="L821" s="881"/>
      <c r="M821" s="33"/>
      <c r="N821" s="33"/>
      <c r="O821" s="33"/>
      <c r="P821" s="33"/>
      <c r="Q821" s="33"/>
      <c r="R821" s="935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>
      <c r="A822" s="224"/>
      <c r="B822" s="229"/>
      <c r="C822" s="225"/>
      <c r="D822" s="227"/>
      <c r="E822" s="228"/>
      <c r="F822" s="33"/>
      <c r="G822" s="33"/>
      <c r="H822" s="33"/>
      <c r="I822" s="33"/>
      <c r="J822" s="230"/>
      <c r="K822" s="114"/>
      <c r="L822" s="881"/>
      <c r="M822" s="33"/>
      <c r="N822" s="33"/>
      <c r="O822" s="33"/>
      <c r="P822" s="33"/>
      <c r="Q822" s="33"/>
      <c r="R822" s="935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>
      <c r="A823" s="224"/>
      <c r="B823" s="229"/>
      <c r="C823" s="225"/>
      <c r="D823" s="227"/>
      <c r="E823" s="228"/>
      <c r="F823" s="33"/>
      <c r="G823" s="33"/>
      <c r="H823" s="33"/>
      <c r="I823" s="33"/>
      <c r="J823" s="230"/>
      <c r="K823" s="114"/>
      <c r="L823" s="881"/>
      <c r="M823" s="33"/>
      <c r="N823" s="33"/>
      <c r="O823" s="33"/>
      <c r="P823" s="33"/>
      <c r="Q823" s="33"/>
      <c r="R823" s="935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>
      <c r="A824" s="224"/>
      <c r="B824" s="229"/>
      <c r="C824" s="225"/>
      <c r="D824" s="227"/>
      <c r="E824" s="228"/>
      <c r="F824" s="33"/>
      <c r="G824" s="33"/>
      <c r="H824" s="33"/>
      <c r="I824" s="33"/>
      <c r="J824" s="230"/>
      <c r="K824" s="114"/>
      <c r="L824" s="881"/>
      <c r="M824" s="33"/>
      <c r="N824" s="33"/>
      <c r="O824" s="33"/>
      <c r="P824" s="33"/>
      <c r="Q824" s="33"/>
      <c r="R824" s="935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>
      <c r="A825" s="224"/>
      <c r="B825" s="229"/>
      <c r="C825" s="225"/>
      <c r="D825" s="227"/>
      <c r="E825" s="228"/>
      <c r="F825" s="33"/>
      <c r="G825" s="33"/>
      <c r="H825" s="33"/>
      <c r="I825" s="33"/>
      <c r="J825" s="230"/>
      <c r="K825" s="114"/>
      <c r="L825" s="881"/>
      <c r="M825" s="33"/>
      <c r="N825" s="33"/>
      <c r="O825" s="33"/>
      <c r="P825" s="33"/>
      <c r="Q825" s="33"/>
      <c r="R825" s="935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>
      <c r="A826" s="224"/>
      <c r="B826" s="229"/>
      <c r="C826" s="225"/>
      <c r="D826" s="227"/>
      <c r="E826" s="228"/>
      <c r="F826" s="33"/>
      <c r="G826" s="33"/>
      <c r="H826" s="33"/>
      <c r="I826" s="33"/>
      <c r="J826" s="230"/>
      <c r="K826" s="114"/>
      <c r="L826" s="881"/>
      <c r="M826" s="33"/>
      <c r="N826" s="33"/>
      <c r="O826" s="33"/>
      <c r="P826" s="33"/>
      <c r="Q826" s="33"/>
      <c r="R826" s="935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>
      <c r="A827" s="224"/>
      <c r="B827" s="229"/>
      <c r="C827" s="225"/>
      <c r="D827" s="227"/>
      <c r="E827" s="228"/>
      <c r="F827" s="33"/>
      <c r="G827" s="33"/>
      <c r="H827" s="33"/>
      <c r="I827" s="33"/>
      <c r="J827" s="230"/>
      <c r="K827" s="114"/>
      <c r="L827" s="881"/>
      <c r="M827" s="33"/>
      <c r="N827" s="33"/>
      <c r="O827" s="33"/>
      <c r="P827" s="33"/>
      <c r="Q827" s="33"/>
      <c r="R827" s="935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>
      <c r="A828" s="224"/>
      <c r="B828" s="229"/>
      <c r="C828" s="225"/>
      <c r="D828" s="227"/>
      <c r="E828" s="228"/>
      <c r="F828" s="33"/>
      <c r="G828" s="33"/>
      <c r="H828" s="33"/>
      <c r="I828" s="33"/>
      <c r="J828" s="230"/>
      <c r="K828" s="114"/>
      <c r="L828" s="881"/>
      <c r="M828" s="33"/>
      <c r="N828" s="33"/>
      <c r="O828" s="33"/>
      <c r="P828" s="33"/>
      <c r="Q828" s="33"/>
      <c r="R828" s="935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>
      <c r="A829" s="224"/>
      <c r="B829" s="229"/>
      <c r="C829" s="225"/>
      <c r="D829" s="227"/>
      <c r="E829" s="228"/>
      <c r="F829" s="33"/>
      <c r="G829" s="33"/>
      <c r="H829" s="33"/>
      <c r="I829" s="33"/>
      <c r="J829" s="230"/>
      <c r="K829" s="114"/>
      <c r="L829" s="881"/>
      <c r="M829" s="33"/>
      <c r="N829" s="33"/>
      <c r="O829" s="33"/>
      <c r="P829" s="33"/>
      <c r="Q829" s="33"/>
      <c r="R829" s="935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>
      <c r="A830" s="224"/>
      <c r="B830" s="229"/>
      <c r="C830" s="225"/>
      <c r="D830" s="227"/>
      <c r="E830" s="228"/>
      <c r="F830" s="33"/>
      <c r="G830" s="33"/>
      <c r="H830" s="33"/>
      <c r="I830" s="33"/>
      <c r="J830" s="230"/>
      <c r="K830" s="114"/>
      <c r="L830" s="881"/>
      <c r="M830" s="33"/>
      <c r="N830" s="33"/>
      <c r="O830" s="33"/>
      <c r="P830" s="33"/>
      <c r="Q830" s="33"/>
      <c r="R830" s="935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>
      <c r="A831" s="224"/>
      <c r="B831" s="229"/>
      <c r="C831" s="225"/>
      <c r="D831" s="227"/>
      <c r="E831" s="228"/>
      <c r="F831" s="33"/>
      <c r="G831" s="33"/>
      <c r="H831" s="33"/>
      <c r="I831" s="33"/>
      <c r="J831" s="230"/>
      <c r="K831" s="114"/>
      <c r="L831" s="881"/>
      <c r="M831" s="33"/>
      <c r="N831" s="33"/>
      <c r="O831" s="33"/>
      <c r="P831" s="33"/>
      <c r="Q831" s="33"/>
      <c r="R831" s="935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>
      <c r="A832" s="224"/>
      <c r="B832" s="229"/>
      <c r="C832" s="225"/>
      <c r="D832" s="227"/>
      <c r="E832" s="228"/>
      <c r="F832" s="33"/>
      <c r="G832" s="33"/>
      <c r="H832" s="33"/>
      <c r="I832" s="33"/>
      <c r="J832" s="230"/>
      <c r="K832" s="114"/>
      <c r="L832" s="881"/>
      <c r="M832" s="33"/>
      <c r="N832" s="33"/>
      <c r="O832" s="33"/>
      <c r="P832" s="33"/>
      <c r="Q832" s="33"/>
      <c r="R832" s="935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>
      <c r="A833" s="224"/>
      <c r="B833" s="229"/>
      <c r="C833" s="225"/>
      <c r="D833" s="227"/>
      <c r="E833" s="228"/>
      <c r="F833" s="33"/>
      <c r="G833" s="33"/>
      <c r="H833" s="33"/>
      <c r="I833" s="33"/>
      <c r="J833" s="230"/>
      <c r="K833" s="114"/>
      <c r="L833" s="881"/>
      <c r="M833" s="33"/>
      <c r="N833" s="33"/>
      <c r="O833" s="33"/>
      <c r="P833" s="33"/>
      <c r="Q833" s="33"/>
      <c r="R833" s="935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>
      <c r="A834" s="224"/>
      <c r="B834" s="229"/>
      <c r="C834" s="225"/>
      <c r="D834" s="227"/>
      <c r="E834" s="228"/>
      <c r="F834" s="33"/>
      <c r="G834" s="33"/>
      <c r="H834" s="33"/>
      <c r="I834" s="33"/>
      <c r="J834" s="230"/>
      <c r="K834" s="114"/>
      <c r="L834" s="881"/>
      <c r="M834" s="33"/>
      <c r="N834" s="33"/>
      <c r="O834" s="33"/>
      <c r="P834" s="33"/>
      <c r="Q834" s="33"/>
      <c r="R834" s="935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>
      <c r="A835" s="224"/>
      <c r="B835" s="229"/>
      <c r="C835" s="225"/>
      <c r="D835" s="227"/>
      <c r="E835" s="228"/>
      <c r="F835" s="33"/>
      <c r="G835" s="33"/>
      <c r="H835" s="33"/>
      <c r="I835" s="33"/>
      <c r="J835" s="230"/>
      <c r="K835" s="114"/>
      <c r="L835" s="881"/>
      <c r="M835" s="33"/>
      <c r="N835" s="33"/>
      <c r="O835" s="33"/>
      <c r="P835" s="33"/>
      <c r="Q835" s="33"/>
      <c r="R835" s="935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>
      <c r="A836" s="224"/>
      <c r="B836" s="229"/>
      <c r="C836" s="225"/>
      <c r="D836" s="227"/>
      <c r="E836" s="228"/>
      <c r="F836" s="33"/>
      <c r="G836" s="33"/>
      <c r="H836" s="33"/>
      <c r="I836" s="33"/>
      <c r="J836" s="230"/>
      <c r="K836" s="114"/>
      <c r="L836" s="881"/>
      <c r="M836" s="33"/>
      <c r="N836" s="33"/>
      <c r="O836" s="33"/>
      <c r="P836" s="33"/>
      <c r="Q836" s="33"/>
      <c r="R836" s="935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>
      <c r="A837" s="224"/>
      <c r="B837" s="229"/>
      <c r="C837" s="225"/>
      <c r="D837" s="227"/>
      <c r="E837" s="228"/>
      <c r="F837" s="33"/>
      <c r="G837" s="33"/>
      <c r="H837" s="33"/>
      <c r="I837" s="33"/>
      <c r="J837" s="230"/>
      <c r="K837" s="114"/>
      <c r="L837" s="881"/>
      <c r="M837" s="33"/>
      <c r="N837" s="33"/>
      <c r="O837" s="33"/>
      <c r="P837" s="33"/>
      <c r="Q837" s="33"/>
      <c r="R837" s="935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>
      <c r="A838" s="224"/>
      <c r="B838" s="229"/>
      <c r="C838" s="225"/>
      <c r="D838" s="227"/>
      <c r="E838" s="228"/>
      <c r="F838" s="33"/>
      <c r="G838" s="33"/>
      <c r="H838" s="33"/>
      <c r="I838" s="33"/>
      <c r="J838" s="230"/>
      <c r="K838" s="114"/>
      <c r="L838" s="881"/>
      <c r="M838" s="33"/>
      <c r="N838" s="33"/>
      <c r="O838" s="33"/>
      <c r="P838" s="33"/>
      <c r="Q838" s="33"/>
      <c r="R838" s="935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>
      <c r="A839" s="224"/>
      <c r="B839" s="229"/>
      <c r="C839" s="225"/>
      <c r="D839" s="227"/>
      <c r="E839" s="228"/>
      <c r="F839" s="33"/>
      <c r="G839" s="33"/>
      <c r="H839" s="33"/>
      <c r="I839" s="33"/>
      <c r="J839" s="230"/>
      <c r="K839" s="114"/>
      <c r="L839" s="881"/>
      <c r="M839" s="33"/>
      <c r="N839" s="33"/>
      <c r="O839" s="33"/>
      <c r="P839" s="33"/>
      <c r="Q839" s="33"/>
      <c r="R839" s="935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>
      <c r="A840" s="224"/>
      <c r="B840" s="229"/>
      <c r="C840" s="225"/>
      <c r="D840" s="227"/>
      <c r="E840" s="228"/>
      <c r="F840" s="33"/>
      <c r="G840" s="33"/>
      <c r="H840" s="33"/>
      <c r="I840" s="33"/>
      <c r="J840" s="230"/>
      <c r="K840" s="114"/>
      <c r="L840" s="881"/>
      <c r="M840" s="33"/>
      <c r="N840" s="33"/>
      <c r="O840" s="33"/>
      <c r="P840" s="33"/>
      <c r="Q840" s="33"/>
      <c r="R840" s="935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>
      <c r="A841" s="224"/>
      <c r="B841" s="229"/>
      <c r="C841" s="225"/>
      <c r="D841" s="227"/>
      <c r="E841" s="228"/>
      <c r="F841" s="33"/>
      <c r="G841" s="33"/>
      <c r="H841" s="33"/>
      <c r="I841" s="33"/>
      <c r="J841" s="230"/>
      <c r="K841" s="114"/>
      <c r="L841" s="881"/>
      <c r="M841" s="33"/>
      <c r="N841" s="33"/>
      <c r="O841" s="33"/>
      <c r="P841" s="33"/>
      <c r="Q841" s="33"/>
      <c r="R841" s="935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>
      <c r="A842" s="224"/>
      <c r="B842" s="229"/>
      <c r="C842" s="225"/>
      <c r="D842" s="227"/>
      <c r="E842" s="228"/>
      <c r="F842" s="33"/>
      <c r="G842" s="33"/>
      <c r="H842" s="33"/>
      <c r="I842" s="33"/>
      <c r="J842" s="230"/>
      <c r="K842" s="114"/>
      <c r="L842" s="881"/>
      <c r="M842" s="33"/>
      <c r="N842" s="33"/>
      <c r="O842" s="33"/>
      <c r="P842" s="33"/>
      <c r="Q842" s="33"/>
      <c r="R842" s="935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>
      <c r="A843" s="224"/>
      <c r="B843" s="229"/>
      <c r="C843" s="225"/>
      <c r="D843" s="227"/>
      <c r="E843" s="228"/>
      <c r="F843" s="33"/>
      <c r="G843" s="33"/>
      <c r="H843" s="33"/>
      <c r="I843" s="33"/>
      <c r="J843" s="230"/>
      <c r="K843" s="114"/>
      <c r="L843" s="881"/>
      <c r="M843" s="33"/>
      <c r="N843" s="33"/>
      <c r="O843" s="33"/>
      <c r="P843" s="33"/>
      <c r="Q843" s="33"/>
      <c r="R843" s="935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>
      <c r="A844" s="224"/>
      <c r="B844" s="229"/>
      <c r="C844" s="225"/>
      <c r="D844" s="227"/>
      <c r="E844" s="228"/>
      <c r="F844" s="33"/>
      <c r="G844" s="33"/>
      <c r="H844" s="33"/>
      <c r="I844" s="33"/>
      <c r="J844" s="230"/>
      <c r="K844" s="114"/>
      <c r="L844" s="881"/>
      <c r="M844" s="33"/>
      <c r="N844" s="33"/>
      <c r="O844" s="33"/>
      <c r="P844" s="33"/>
      <c r="Q844" s="33"/>
      <c r="R844" s="935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</sheetData>
  <mergeCells count="1">
    <mergeCell ref="N1:O1"/>
  </mergeCells>
  <conditionalFormatting sqref="M2:M313 M315:M841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printOptions gridLines="1" horizontalCentered="1"/>
  <pageMargins bottom="0.18897637795275593" footer="0.0" header="0.0" left="0.16190187764990918" right="0.18897637795275593" top="0.7735311932162329"/>
  <pageSetup paperSize="9" cellComments="atEnd" orientation="landscape" pageOrder="overThenDown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936" t="s">
        <v>3714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937">
        <v>44166.0</v>
      </c>
      <c r="B2" s="938"/>
      <c r="C2" s="240"/>
      <c r="D2" s="824"/>
      <c r="E2" s="242"/>
      <c r="F2" s="243">
        <v>1300.0</v>
      </c>
      <c r="G2" s="244" t="s">
        <v>68</v>
      </c>
      <c r="H2" s="244"/>
      <c r="I2" s="662"/>
    </row>
    <row r="3">
      <c r="A3" s="265"/>
      <c r="B3" s="938"/>
      <c r="C3" s="252"/>
      <c r="D3" s="822"/>
      <c r="F3" s="250">
        <f>1808.6+400+383</f>
        <v>2591.6</v>
      </c>
      <c r="G3" s="2" t="s">
        <v>708</v>
      </c>
      <c r="I3" s="847"/>
    </row>
    <row r="4">
      <c r="A4" s="265"/>
      <c r="B4" s="938"/>
      <c r="C4" s="252"/>
      <c r="D4" s="822"/>
      <c r="F4" s="243">
        <v>1754.83</v>
      </c>
      <c r="G4" s="244" t="s">
        <v>82</v>
      </c>
      <c r="I4" s="847"/>
    </row>
    <row r="5">
      <c r="A5" s="265"/>
      <c r="B5" s="938"/>
      <c r="C5" s="248"/>
      <c r="D5" s="331">
        <v>6972.0</v>
      </c>
      <c r="F5" s="250"/>
      <c r="G5" s="2" t="s">
        <v>71</v>
      </c>
      <c r="I5" s="847"/>
    </row>
    <row r="6">
      <c r="A6" s="265"/>
      <c r="B6" s="938"/>
      <c r="C6" s="252"/>
      <c r="D6" s="822"/>
      <c r="F6" s="250">
        <v>320.0</v>
      </c>
      <c r="G6" s="2" t="s">
        <v>344</v>
      </c>
      <c r="I6" s="847"/>
    </row>
    <row r="7">
      <c r="A7" s="265"/>
      <c r="B7" s="938"/>
      <c r="C7" s="252"/>
      <c r="D7" s="822"/>
      <c r="F7" s="250">
        <v>2400.0</v>
      </c>
      <c r="G7" s="2" t="s">
        <v>3374</v>
      </c>
      <c r="H7" s="838"/>
      <c r="I7" s="847"/>
    </row>
    <row r="8">
      <c r="A8" s="265"/>
      <c r="B8" s="938"/>
      <c r="C8" s="252"/>
      <c r="D8" s="822"/>
      <c r="F8" s="250">
        <v>5400.0</v>
      </c>
      <c r="G8" s="2" t="s">
        <v>3715</v>
      </c>
      <c r="H8" s="838"/>
      <c r="I8" s="847"/>
    </row>
    <row r="9">
      <c r="A9" s="265"/>
      <c r="B9" s="938"/>
      <c r="C9" s="252"/>
      <c r="D9" s="822"/>
      <c r="F9" s="250"/>
      <c r="I9" s="847"/>
    </row>
    <row r="10">
      <c r="A10" s="265"/>
      <c r="B10" s="938"/>
      <c r="C10" s="252"/>
      <c r="D10" s="822"/>
      <c r="F10" s="250"/>
      <c r="I10" s="847"/>
    </row>
    <row r="11">
      <c r="A11" s="270"/>
      <c r="B11" s="939"/>
      <c r="C11" s="272"/>
      <c r="D11" s="823"/>
      <c r="E11" s="18"/>
      <c r="F11" s="274">
        <f>SUM(F2:F10)</f>
        <v>13766.43</v>
      </c>
      <c r="G11" s="18"/>
      <c r="H11" s="18"/>
      <c r="I11" s="663"/>
    </row>
    <row r="12">
      <c r="A12" s="937">
        <v>44167.0</v>
      </c>
      <c r="B12" s="938"/>
      <c r="C12" s="240"/>
      <c r="D12" s="824"/>
      <c r="E12" s="242"/>
      <c r="F12" s="243">
        <v>1792.0</v>
      </c>
      <c r="G12" s="244" t="s">
        <v>708</v>
      </c>
      <c r="H12" s="244"/>
      <c r="I12" s="662"/>
    </row>
    <row r="13">
      <c r="A13" s="265"/>
      <c r="B13" s="938"/>
      <c r="C13" s="252"/>
      <c r="D13" s="822"/>
      <c r="F13" s="250">
        <v>429.6</v>
      </c>
      <c r="G13" s="2" t="s">
        <v>228</v>
      </c>
      <c r="I13" s="847"/>
    </row>
    <row r="14">
      <c r="A14" s="265"/>
      <c r="B14" s="938"/>
      <c r="C14" s="252"/>
      <c r="D14" s="822"/>
      <c r="F14" s="250">
        <v>190.0</v>
      </c>
      <c r="G14" s="2" t="s">
        <v>1729</v>
      </c>
      <c r="I14" s="847"/>
    </row>
    <row r="15">
      <c r="A15" s="265"/>
      <c r="B15" s="938"/>
      <c r="C15" s="252"/>
      <c r="D15" s="822"/>
      <c r="F15" s="250">
        <v>634.0</v>
      </c>
      <c r="G15" s="2" t="s">
        <v>3716</v>
      </c>
      <c r="I15" s="847"/>
    </row>
    <row r="16">
      <c r="A16" s="265"/>
      <c r="B16" s="938"/>
      <c r="C16" s="252"/>
      <c r="D16" s="331"/>
      <c r="F16" s="250">
        <v>8000.0</v>
      </c>
      <c r="G16" s="2" t="s">
        <v>3717</v>
      </c>
      <c r="I16" s="847"/>
    </row>
    <row r="17">
      <c r="A17" s="265"/>
      <c r="B17" s="938"/>
      <c r="C17" s="252"/>
      <c r="D17" s="331"/>
      <c r="F17" s="250">
        <v>2000.0</v>
      </c>
      <c r="G17" s="2" t="s">
        <v>3362</v>
      </c>
      <c r="H17" s="838"/>
      <c r="I17" s="847"/>
    </row>
    <row r="18">
      <c r="A18" s="265"/>
      <c r="B18" s="938"/>
      <c r="C18" s="252"/>
      <c r="D18" s="822"/>
      <c r="F18" s="250"/>
      <c r="I18" s="847"/>
    </row>
    <row r="19">
      <c r="A19" s="265"/>
      <c r="B19" s="938"/>
      <c r="C19" s="252"/>
      <c r="D19" s="822"/>
      <c r="F19" s="250"/>
      <c r="I19" s="847"/>
    </row>
    <row r="20">
      <c r="A20" s="265"/>
      <c r="B20" s="938"/>
      <c r="C20" s="252"/>
      <c r="D20" s="822"/>
      <c r="F20" s="250"/>
      <c r="I20" s="847"/>
    </row>
    <row r="21">
      <c r="A21" s="270"/>
      <c r="B21" s="939"/>
      <c r="C21" s="272"/>
      <c r="D21" s="823"/>
      <c r="E21" s="18"/>
      <c r="F21" s="274">
        <f>SUM(F12:F20)</f>
        <v>13045.6</v>
      </c>
      <c r="G21" s="18"/>
      <c r="H21" s="18"/>
      <c r="I21" s="663"/>
    </row>
    <row r="22">
      <c r="A22" s="305">
        <v>44168.0</v>
      </c>
      <c r="B22" s="940"/>
      <c r="C22" s="263">
        <v>18341.45</v>
      </c>
      <c r="D22" s="824"/>
      <c r="E22" s="242"/>
      <c r="F22" s="243"/>
      <c r="G22" s="244" t="s">
        <v>951</v>
      </c>
      <c r="H22" s="244"/>
      <c r="I22" s="662"/>
    </row>
    <row r="23">
      <c r="A23" s="265"/>
      <c r="B23" s="938"/>
      <c r="C23" s="252"/>
      <c r="D23" s="822"/>
      <c r="F23" s="250">
        <v>3450.0</v>
      </c>
      <c r="G23" s="2" t="s">
        <v>421</v>
      </c>
      <c r="I23" s="847"/>
    </row>
    <row r="24">
      <c r="A24" s="265"/>
      <c r="B24" s="938"/>
      <c r="C24" s="252"/>
      <c r="D24" s="822"/>
      <c r="F24" s="250">
        <v>370.0</v>
      </c>
      <c r="G24" s="2" t="s">
        <v>3718</v>
      </c>
      <c r="I24" s="847"/>
    </row>
    <row r="25">
      <c r="A25" s="265"/>
      <c r="B25" s="938"/>
      <c r="C25" s="252"/>
      <c r="D25" s="822"/>
      <c r="F25" s="250">
        <v>250.0</v>
      </c>
      <c r="G25" s="2" t="s">
        <v>218</v>
      </c>
      <c r="I25" s="847"/>
    </row>
    <row r="26">
      <c r="A26" s="265"/>
      <c r="B26" s="938"/>
      <c r="C26" s="252"/>
      <c r="D26" s="822"/>
      <c r="F26" s="250">
        <f>84+2311.3</f>
        <v>2395.3</v>
      </c>
      <c r="G26" s="2" t="s">
        <v>708</v>
      </c>
      <c r="I26" s="847"/>
    </row>
    <row r="27">
      <c r="A27" s="265"/>
      <c r="B27" s="938"/>
      <c r="C27" s="252"/>
      <c r="D27" s="822"/>
      <c r="F27" s="250">
        <v>395.0</v>
      </c>
      <c r="G27" s="2" t="s">
        <v>260</v>
      </c>
      <c r="I27" s="847"/>
    </row>
    <row r="28">
      <c r="A28" s="265"/>
      <c r="B28" s="938"/>
      <c r="C28" s="252"/>
      <c r="D28" s="822"/>
      <c r="F28" s="250">
        <v>700.0</v>
      </c>
      <c r="G28" s="2" t="s">
        <v>3719</v>
      </c>
      <c r="I28" s="847"/>
    </row>
    <row r="29">
      <c r="A29" s="265"/>
      <c r="B29" s="938"/>
      <c r="C29" s="252"/>
      <c r="D29" s="331">
        <v>2260.0</v>
      </c>
      <c r="F29" s="250"/>
      <c r="G29" s="2" t="s">
        <v>3720</v>
      </c>
      <c r="I29" s="847"/>
    </row>
    <row r="30">
      <c r="A30" s="265"/>
      <c r="B30" s="938"/>
      <c r="C30" s="252"/>
      <c r="D30" s="822"/>
      <c r="F30" s="250">
        <v>4150.0</v>
      </c>
      <c r="G30" s="2" t="s">
        <v>859</v>
      </c>
      <c r="I30" s="847"/>
    </row>
    <row r="31">
      <c r="A31" s="265"/>
      <c r="B31" s="938"/>
      <c r="C31" s="252"/>
      <c r="D31" s="822"/>
      <c r="F31" s="250">
        <v>180.0</v>
      </c>
      <c r="G31" s="2" t="s">
        <v>3721</v>
      </c>
      <c r="H31" s="838"/>
      <c r="I31" s="847"/>
    </row>
    <row r="32">
      <c r="A32" s="265"/>
      <c r="B32" s="938"/>
      <c r="C32" s="252"/>
      <c r="D32" s="822"/>
      <c r="F32" s="250"/>
      <c r="I32" s="847"/>
    </row>
    <row r="33">
      <c r="A33" s="265"/>
      <c r="B33" s="938"/>
      <c r="C33" s="252"/>
      <c r="D33" s="822"/>
      <c r="F33" s="250"/>
      <c r="I33" s="847"/>
    </row>
    <row r="34">
      <c r="A34" s="270"/>
      <c r="B34" s="939"/>
      <c r="C34" s="272"/>
      <c r="D34" s="823"/>
      <c r="E34" s="18"/>
      <c r="F34" s="274">
        <f>SUM(F23:F33)</f>
        <v>11890.3</v>
      </c>
      <c r="G34" s="18"/>
      <c r="H34" s="18"/>
      <c r="I34" s="663"/>
    </row>
    <row r="35">
      <c r="A35" s="305">
        <v>44169.0</v>
      </c>
      <c r="B35" s="940"/>
      <c r="C35" s="240"/>
      <c r="D35" s="824"/>
      <c r="E35" s="242"/>
      <c r="F35" s="243">
        <v>1231.75</v>
      </c>
      <c r="G35" s="244" t="s">
        <v>708</v>
      </c>
      <c r="H35" s="244"/>
      <c r="I35" s="662"/>
    </row>
    <row r="36">
      <c r="A36" s="265"/>
      <c r="B36" s="938"/>
      <c r="C36" s="252"/>
      <c r="D36" s="822"/>
      <c r="F36" s="250">
        <v>1895.6</v>
      </c>
      <c r="G36" s="2" t="s">
        <v>3003</v>
      </c>
      <c r="I36" s="847"/>
    </row>
    <row r="37">
      <c r="A37" s="265"/>
      <c r="B37" s="938"/>
      <c r="C37" s="252"/>
      <c r="D37" s="822"/>
      <c r="F37" s="250">
        <v>2514.25</v>
      </c>
      <c r="G37" s="2" t="s">
        <v>3722</v>
      </c>
      <c r="I37" s="847"/>
    </row>
    <row r="38">
      <c r="A38" s="265"/>
      <c r="B38" s="938"/>
      <c r="C38" s="252"/>
      <c r="D38" s="822"/>
      <c r="F38" s="250">
        <v>10000.0</v>
      </c>
      <c r="G38" s="2" t="s">
        <v>3723</v>
      </c>
      <c r="I38" s="847"/>
    </row>
    <row r="39">
      <c r="A39" s="265"/>
      <c r="B39" s="938"/>
      <c r="C39" s="252"/>
      <c r="D39" s="822"/>
      <c r="F39" s="250">
        <v>5000.0</v>
      </c>
      <c r="G39" s="2" t="s">
        <v>3724</v>
      </c>
      <c r="H39" s="552"/>
      <c r="I39" s="847"/>
    </row>
    <row r="40">
      <c r="A40" s="265"/>
      <c r="B40" s="938"/>
      <c r="C40" s="252"/>
      <c r="D40" s="822"/>
      <c r="F40" s="250">
        <v>1110.0</v>
      </c>
      <c r="G40" s="2" t="s">
        <v>3725</v>
      </c>
      <c r="H40" s="552"/>
      <c r="I40" s="847"/>
    </row>
    <row r="41">
      <c r="A41" s="265"/>
      <c r="B41" s="938"/>
      <c r="C41" s="252"/>
      <c r="D41" s="822"/>
      <c r="F41" s="250"/>
      <c r="I41" s="847"/>
    </row>
    <row r="42">
      <c r="A42" s="265"/>
      <c r="B42" s="938"/>
      <c r="C42" s="252"/>
      <c r="D42" s="822"/>
      <c r="F42" s="250"/>
      <c r="I42" s="847"/>
    </row>
    <row r="43">
      <c r="A43" s="265"/>
      <c r="B43" s="938"/>
      <c r="C43" s="252"/>
      <c r="D43" s="822"/>
      <c r="F43" s="250"/>
      <c r="I43" s="847"/>
    </row>
    <row r="44">
      <c r="A44" s="270"/>
      <c r="B44" s="939"/>
      <c r="C44" s="272"/>
      <c r="D44" s="823"/>
      <c r="E44" s="18"/>
      <c r="F44" s="274">
        <f>SUM(F35:F43)</f>
        <v>21751.6</v>
      </c>
      <c r="G44" s="18"/>
      <c r="H44" s="18"/>
      <c r="I44" s="663"/>
    </row>
    <row r="45">
      <c r="A45" s="305">
        <v>44170.0</v>
      </c>
      <c r="B45" s="940"/>
      <c r="C45" s="240"/>
      <c r="D45" s="824"/>
      <c r="E45" s="242"/>
      <c r="F45" s="243">
        <v>1050.0</v>
      </c>
      <c r="G45" s="244" t="s">
        <v>708</v>
      </c>
      <c r="H45" s="244"/>
      <c r="I45" s="662"/>
    </row>
    <row r="46">
      <c r="A46" s="265"/>
      <c r="B46" s="938"/>
      <c r="C46" s="252"/>
      <c r="D46" s="822"/>
      <c r="F46" s="250">
        <v>2920.0</v>
      </c>
      <c r="G46" s="2" t="s">
        <v>421</v>
      </c>
      <c r="I46" s="847"/>
    </row>
    <row r="47">
      <c r="A47" s="265"/>
      <c r="B47" s="938"/>
      <c r="C47" s="248"/>
      <c r="D47" s="822"/>
      <c r="F47" s="250">
        <v>300.0</v>
      </c>
      <c r="G47" s="2" t="s">
        <v>3726</v>
      </c>
      <c r="I47" s="847"/>
    </row>
    <row r="48">
      <c r="A48" s="265"/>
      <c r="B48" s="938"/>
      <c r="C48" s="252"/>
      <c r="D48" s="822"/>
      <c r="F48" s="250"/>
      <c r="I48" s="847"/>
    </row>
    <row r="49">
      <c r="A49" s="265"/>
      <c r="B49" s="938"/>
      <c r="C49" s="252"/>
      <c r="D49" s="822"/>
      <c r="F49" s="250"/>
      <c r="I49" s="847"/>
    </row>
    <row r="50">
      <c r="A50" s="265"/>
      <c r="B50" s="938"/>
      <c r="C50" s="252"/>
      <c r="D50" s="822"/>
      <c r="F50" s="250"/>
      <c r="I50" s="847"/>
    </row>
    <row r="51">
      <c r="A51" s="265"/>
      <c r="B51" s="938"/>
      <c r="C51" s="252"/>
      <c r="D51" s="822"/>
      <c r="F51" s="250"/>
      <c r="I51" s="847"/>
    </row>
    <row r="52">
      <c r="A52" s="265"/>
      <c r="B52" s="938"/>
      <c r="C52" s="252"/>
      <c r="D52" s="822"/>
      <c r="F52" s="250"/>
      <c r="I52" s="847"/>
    </row>
    <row r="53">
      <c r="A53" s="265"/>
      <c r="B53" s="938"/>
      <c r="C53" s="252"/>
      <c r="D53" s="822"/>
      <c r="F53" s="250"/>
      <c r="I53" s="847"/>
    </row>
    <row r="54">
      <c r="A54" s="270"/>
      <c r="B54" s="939"/>
      <c r="C54" s="272"/>
      <c r="D54" s="823"/>
      <c r="E54" s="18"/>
      <c r="F54" s="274">
        <f>SUM(F45:F53)</f>
        <v>4270</v>
      </c>
      <c r="G54" s="18"/>
      <c r="H54" s="18"/>
      <c r="I54" s="663"/>
    </row>
    <row r="55">
      <c r="A55" s="305">
        <v>44171.0</v>
      </c>
      <c r="B55" s="940"/>
      <c r="C55" s="240"/>
      <c r="D55" s="824"/>
      <c r="E55" s="242"/>
      <c r="F55" s="243">
        <v>480.0</v>
      </c>
      <c r="G55" s="244" t="s">
        <v>708</v>
      </c>
      <c r="H55" s="244"/>
      <c r="I55" s="662"/>
    </row>
    <row r="56">
      <c r="A56" s="265"/>
      <c r="B56" s="938"/>
      <c r="C56" s="252"/>
      <c r="D56" s="822"/>
      <c r="F56" s="250">
        <v>896.0</v>
      </c>
      <c r="G56" s="2" t="s">
        <v>708</v>
      </c>
      <c r="I56" s="847"/>
    </row>
    <row r="57">
      <c r="A57" s="265"/>
      <c r="B57" s="938"/>
      <c r="C57" s="252"/>
      <c r="D57" s="822"/>
      <c r="F57" s="250">
        <v>600.0</v>
      </c>
      <c r="G57" s="2" t="s">
        <v>3726</v>
      </c>
      <c r="I57" s="847"/>
    </row>
    <row r="58">
      <c r="A58" s="265"/>
      <c r="B58" s="938"/>
      <c r="C58" s="252"/>
      <c r="D58" s="822"/>
      <c r="F58" s="250"/>
      <c r="I58" s="847"/>
    </row>
    <row r="59">
      <c r="A59" s="265"/>
      <c r="B59" s="938"/>
      <c r="C59" s="248"/>
      <c r="D59" s="822"/>
      <c r="F59" s="250"/>
      <c r="I59" s="847"/>
    </row>
    <row r="60">
      <c r="A60" s="265"/>
      <c r="B60" s="938"/>
      <c r="C60" s="252"/>
      <c r="D60" s="822"/>
      <c r="F60" s="250"/>
      <c r="I60" s="847"/>
    </row>
    <row r="61">
      <c r="A61" s="265"/>
      <c r="B61" s="938"/>
      <c r="C61" s="252"/>
      <c r="D61" s="822"/>
      <c r="F61" s="250"/>
      <c r="I61" s="847"/>
    </row>
    <row r="62">
      <c r="A62" s="265"/>
      <c r="B62" s="938"/>
      <c r="C62" s="252"/>
      <c r="D62" s="822"/>
      <c r="F62" s="250"/>
      <c r="I62" s="847"/>
    </row>
    <row r="63">
      <c r="A63" s="265"/>
      <c r="B63" s="938"/>
      <c r="C63" s="252"/>
      <c r="D63" s="822"/>
      <c r="F63" s="250"/>
      <c r="I63" s="847"/>
    </row>
    <row r="64">
      <c r="A64" s="265"/>
      <c r="B64" s="938"/>
      <c r="C64" s="252"/>
      <c r="D64" s="331"/>
      <c r="F64" s="250"/>
      <c r="I64" s="847"/>
    </row>
    <row r="65">
      <c r="A65" s="265"/>
      <c r="B65" s="941"/>
      <c r="C65" s="252"/>
      <c r="D65" s="822"/>
      <c r="F65" s="282"/>
      <c r="I65" s="847"/>
    </row>
    <row r="66">
      <c r="A66" s="270"/>
      <c r="B66" s="939"/>
      <c r="C66" s="272"/>
      <c r="D66" s="823"/>
      <c r="E66" s="18"/>
      <c r="F66" s="274"/>
      <c r="G66" s="18"/>
      <c r="H66" s="18"/>
      <c r="I66" s="663"/>
    </row>
    <row r="67">
      <c r="A67" s="305">
        <v>44172.0</v>
      </c>
      <c r="B67" s="940"/>
      <c r="C67" s="240"/>
      <c r="D67" s="824"/>
      <c r="E67" s="242"/>
      <c r="F67" s="243">
        <v>3600.0</v>
      </c>
      <c r="G67" s="244" t="s">
        <v>87</v>
      </c>
      <c r="H67" s="244"/>
      <c r="I67" s="662"/>
    </row>
    <row r="68">
      <c r="A68" s="265"/>
      <c r="B68" s="938"/>
      <c r="C68" s="248"/>
      <c r="D68" s="822"/>
      <c r="F68" s="250">
        <v>1632.0</v>
      </c>
      <c r="G68" s="2" t="s">
        <v>314</v>
      </c>
      <c r="H68" s="2"/>
      <c r="I68" s="847"/>
    </row>
    <row r="69">
      <c r="A69" s="265"/>
      <c r="B69" s="938"/>
      <c r="C69" s="252"/>
      <c r="D69" s="822"/>
      <c r="F69" s="250">
        <v>1219.0</v>
      </c>
      <c r="G69" s="2" t="s">
        <v>1732</v>
      </c>
      <c r="H69" s="2"/>
      <c r="I69" s="847"/>
    </row>
    <row r="70">
      <c r="A70" s="265"/>
      <c r="B70" s="938"/>
      <c r="C70" s="252"/>
      <c r="D70" s="822"/>
      <c r="F70" s="250">
        <v>190.0</v>
      </c>
      <c r="G70" s="2" t="s">
        <v>1729</v>
      </c>
      <c r="H70" s="2"/>
      <c r="I70" s="847"/>
    </row>
    <row r="71">
      <c r="A71" s="265"/>
      <c r="B71" s="938"/>
      <c r="C71" s="252"/>
      <c r="D71" s="822"/>
      <c r="F71" s="250"/>
      <c r="H71" s="2"/>
      <c r="I71" s="847"/>
    </row>
    <row r="72">
      <c r="A72" s="265"/>
      <c r="B72" s="938"/>
      <c r="C72" s="252"/>
      <c r="D72" s="822"/>
      <c r="F72" s="250"/>
      <c r="H72" s="2"/>
      <c r="I72" s="847"/>
    </row>
    <row r="73">
      <c r="A73" s="265"/>
      <c r="B73" s="938"/>
      <c r="C73" s="252"/>
      <c r="D73" s="822"/>
      <c r="F73" s="250"/>
      <c r="H73" s="2"/>
      <c r="I73" s="847"/>
    </row>
    <row r="74">
      <c r="A74" s="265"/>
      <c r="B74" s="938"/>
      <c r="C74" s="252"/>
      <c r="D74" s="822"/>
      <c r="F74" s="250"/>
      <c r="I74" s="847"/>
    </row>
    <row r="75">
      <c r="A75" s="265"/>
      <c r="B75" s="938"/>
      <c r="C75" s="252"/>
      <c r="D75" s="822"/>
      <c r="F75" s="250"/>
      <c r="I75" s="847"/>
    </row>
    <row r="76">
      <c r="A76" s="270"/>
      <c r="B76" s="939"/>
      <c r="C76" s="272"/>
      <c r="D76" s="823"/>
      <c r="E76" s="18"/>
      <c r="F76" s="274">
        <f>SUM(F67:F75)</f>
        <v>6641</v>
      </c>
      <c r="G76" s="18"/>
      <c r="H76" s="18"/>
      <c r="I76" s="663"/>
    </row>
    <row r="77">
      <c r="A77" s="305">
        <v>44173.0</v>
      </c>
      <c r="B77" s="940"/>
      <c r="C77" s="263"/>
      <c r="D77" s="824"/>
      <c r="E77" s="242"/>
      <c r="F77" s="243">
        <v>1300.0</v>
      </c>
      <c r="G77" s="244" t="s">
        <v>139</v>
      </c>
      <c r="H77" s="244"/>
      <c r="I77" s="662"/>
    </row>
    <row r="78">
      <c r="A78" s="265"/>
      <c r="B78" s="938"/>
      <c r="C78" s="252"/>
      <c r="D78" s="822"/>
      <c r="F78" s="250">
        <v>2514.25</v>
      </c>
      <c r="G78" s="2" t="s">
        <v>82</v>
      </c>
      <c r="I78" s="847"/>
    </row>
    <row r="79">
      <c r="A79" s="265"/>
      <c r="B79" s="938"/>
      <c r="C79" s="248">
        <v>10909.72</v>
      </c>
      <c r="D79" s="822"/>
      <c r="F79" s="250"/>
      <c r="G79" s="2" t="s">
        <v>71</v>
      </c>
      <c r="I79" s="847"/>
    </row>
    <row r="80">
      <c r="A80" s="265"/>
      <c r="B80" s="938"/>
      <c r="C80" s="248">
        <v>11350.0</v>
      </c>
      <c r="D80" s="822"/>
      <c r="F80" s="250"/>
      <c r="G80" s="2" t="s">
        <v>71</v>
      </c>
      <c r="I80" s="847"/>
    </row>
    <row r="81">
      <c r="A81" s="265"/>
      <c r="B81" s="938"/>
      <c r="C81" s="252"/>
      <c r="D81" s="822"/>
      <c r="F81" s="250">
        <v>2032.0</v>
      </c>
      <c r="G81" s="2" t="s">
        <v>708</v>
      </c>
      <c r="I81" s="847"/>
    </row>
    <row r="82">
      <c r="A82" s="265"/>
      <c r="B82" s="938"/>
      <c r="C82" s="252"/>
      <c r="D82" s="822"/>
      <c r="F82" s="250">
        <v>4094.0</v>
      </c>
      <c r="G82" s="2" t="s">
        <v>74</v>
      </c>
      <c r="I82" s="847"/>
    </row>
    <row r="83">
      <c r="A83" s="265"/>
      <c r="B83" s="938"/>
      <c r="C83" s="252"/>
      <c r="D83" s="822"/>
      <c r="F83" s="250">
        <v>240.0</v>
      </c>
      <c r="G83" s="2" t="s">
        <v>215</v>
      </c>
      <c r="I83" s="847"/>
    </row>
    <row r="84">
      <c r="A84" s="265"/>
      <c r="B84" s="938"/>
      <c r="C84" s="252"/>
      <c r="D84" s="822"/>
      <c r="F84" s="250">
        <v>5200.0</v>
      </c>
      <c r="G84" s="2" t="s">
        <v>3727</v>
      </c>
      <c r="H84" s="252"/>
      <c r="I84" s="847"/>
    </row>
    <row r="85">
      <c r="A85" s="265"/>
      <c r="B85" s="938"/>
      <c r="C85" s="252"/>
      <c r="D85" s="822"/>
      <c r="F85" s="250">
        <v>200.0</v>
      </c>
      <c r="G85" s="2" t="s">
        <v>349</v>
      </c>
      <c r="I85" s="847"/>
    </row>
    <row r="86">
      <c r="A86" s="265"/>
      <c r="B86" s="938"/>
      <c r="C86" s="252"/>
      <c r="D86" s="822"/>
      <c r="F86" s="250"/>
      <c r="I86" s="847"/>
    </row>
    <row r="87">
      <c r="A87" s="270"/>
      <c r="B87" s="939"/>
      <c r="C87" s="272"/>
      <c r="D87" s="823"/>
      <c r="E87" s="18"/>
      <c r="F87" s="274">
        <f>SUM(F77:F86)</f>
        <v>15580.25</v>
      </c>
      <c r="G87" s="18"/>
      <c r="H87" s="18"/>
      <c r="I87" s="663"/>
    </row>
    <row r="88">
      <c r="A88" s="305">
        <v>44174.0</v>
      </c>
      <c r="B88" s="940"/>
      <c r="C88" s="240"/>
      <c r="D88" s="821"/>
      <c r="E88" s="242"/>
      <c r="F88" s="250">
        <v>485.0</v>
      </c>
      <c r="G88" s="244" t="s">
        <v>228</v>
      </c>
      <c r="H88" s="244"/>
      <c r="I88" s="662"/>
    </row>
    <row r="89">
      <c r="A89" s="265"/>
      <c r="B89" s="938"/>
      <c r="C89" s="252"/>
      <c r="D89" s="822"/>
      <c r="F89" s="250">
        <v>3566.62</v>
      </c>
      <c r="G89" s="2" t="s">
        <v>708</v>
      </c>
      <c r="I89" s="847"/>
    </row>
    <row r="90">
      <c r="A90" s="265"/>
      <c r="B90" s="938"/>
      <c r="C90" s="252"/>
      <c r="D90" s="822"/>
      <c r="F90" s="250">
        <v>4400.0</v>
      </c>
      <c r="G90" s="2" t="s">
        <v>79</v>
      </c>
      <c r="I90" s="847"/>
    </row>
    <row r="91">
      <c r="A91" s="265"/>
      <c r="B91" s="938"/>
      <c r="C91" s="252"/>
      <c r="D91" s="822"/>
      <c r="F91" s="250">
        <v>2000.0</v>
      </c>
      <c r="G91" s="2" t="s">
        <v>3390</v>
      </c>
      <c r="H91" s="838"/>
      <c r="I91" s="847"/>
    </row>
    <row r="92">
      <c r="A92" s="265"/>
      <c r="B92" s="938"/>
      <c r="C92" s="252"/>
      <c r="D92" s="822"/>
      <c r="F92" s="250">
        <v>420.0</v>
      </c>
      <c r="G92" s="2" t="s">
        <v>3728</v>
      </c>
      <c r="I92" s="847"/>
    </row>
    <row r="93">
      <c r="A93" s="265"/>
      <c r="B93" s="938"/>
      <c r="C93" s="252"/>
      <c r="D93" s="822"/>
      <c r="F93" s="250">
        <v>190.0</v>
      </c>
      <c r="G93" s="2" t="s">
        <v>85</v>
      </c>
      <c r="I93" s="847"/>
    </row>
    <row r="94">
      <c r="A94" s="265"/>
      <c r="B94" s="938"/>
      <c r="C94" s="252"/>
      <c r="D94" s="331"/>
      <c r="F94" s="250">
        <v>331.0</v>
      </c>
      <c r="G94" s="2" t="s">
        <v>708</v>
      </c>
      <c r="I94" s="847"/>
    </row>
    <row r="95">
      <c r="A95" s="265"/>
      <c r="B95" s="938"/>
      <c r="C95" s="252"/>
      <c r="D95" s="822"/>
      <c r="F95" s="250"/>
      <c r="I95" s="847"/>
    </row>
    <row r="96">
      <c r="A96" s="265"/>
      <c r="B96" s="938"/>
      <c r="C96" s="252"/>
      <c r="D96" s="822"/>
      <c r="F96" s="250"/>
      <c r="I96" s="847"/>
    </row>
    <row r="97">
      <c r="A97" s="265"/>
      <c r="B97" s="938"/>
      <c r="C97" s="252"/>
      <c r="D97" s="822"/>
      <c r="F97" s="250"/>
      <c r="I97" s="847"/>
    </row>
    <row r="98">
      <c r="A98" s="270"/>
      <c r="B98" s="939"/>
      <c r="C98" s="272"/>
      <c r="D98" s="823"/>
      <c r="E98" s="18"/>
      <c r="F98" s="274">
        <f>SUM(F88:F97)</f>
        <v>11392.62</v>
      </c>
      <c r="G98" s="18"/>
      <c r="H98" s="18"/>
      <c r="I98" s="663"/>
    </row>
    <row r="99">
      <c r="A99" s="305">
        <v>44175.0</v>
      </c>
      <c r="B99" s="940"/>
      <c r="C99" s="263"/>
      <c r="D99" s="821">
        <v>12300.0</v>
      </c>
      <c r="E99" s="242"/>
      <c r="F99" s="243"/>
      <c r="G99" s="244" t="s">
        <v>316</v>
      </c>
      <c r="H99" s="244"/>
      <c r="I99" s="662"/>
    </row>
    <row r="100">
      <c r="A100" s="265"/>
      <c r="B100" s="938"/>
      <c r="C100" s="252"/>
      <c r="D100" s="331">
        <v>5220.0</v>
      </c>
      <c r="F100" s="250"/>
      <c r="G100" s="2" t="s">
        <v>3729</v>
      </c>
      <c r="I100" s="847"/>
    </row>
    <row r="101">
      <c r="A101" s="265"/>
      <c r="B101" s="938"/>
      <c r="C101" s="252"/>
      <c r="D101" s="331">
        <v>777.0</v>
      </c>
      <c r="F101" s="250"/>
      <c r="G101" s="2" t="s">
        <v>690</v>
      </c>
      <c r="I101" s="847"/>
    </row>
    <row r="102">
      <c r="A102" s="265"/>
      <c r="B102" s="938"/>
      <c r="C102" s="252"/>
      <c r="D102" s="822"/>
      <c r="F102" s="250">
        <v>840.0</v>
      </c>
      <c r="G102" s="2" t="s">
        <v>3730</v>
      </c>
      <c r="I102" s="847"/>
    </row>
    <row r="103">
      <c r="A103" s="265"/>
      <c r="B103" s="938"/>
      <c r="C103" s="252"/>
      <c r="D103" s="331">
        <v>2566.0</v>
      </c>
      <c r="F103" s="250">
        <v>2000.0</v>
      </c>
      <c r="G103" s="2" t="s">
        <v>3139</v>
      </c>
      <c r="I103" s="847"/>
    </row>
    <row r="104">
      <c r="A104" s="265"/>
      <c r="B104" s="938"/>
      <c r="C104" s="252"/>
      <c r="D104" s="822"/>
      <c r="F104" s="250">
        <v>3600.0</v>
      </c>
      <c r="G104" s="2" t="s">
        <v>3731</v>
      </c>
      <c r="I104" s="847"/>
    </row>
    <row r="105">
      <c r="A105" s="265"/>
      <c r="B105" s="938"/>
      <c r="C105" s="252"/>
      <c r="D105" s="822"/>
      <c r="F105" s="250"/>
      <c r="G105" s="2" t="s">
        <v>1680</v>
      </c>
      <c r="I105" s="847"/>
    </row>
    <row r="106">
      <c r="A106" s="265"/>
      <c r="B106" s="938"/>
      <c r="C106" s="252"/>
      <c r="D106" s="822"/>
      <c r="F106" s="250">
        <v>1768.8</v>
      </c>
      <c r="G106" s="2" t="s">
        <v>3031</v>
      </c>
      <c r="I106" s="847"/>
    </row>
    <row r="107">
      <c r="A107" s="265"/>
      <c r="B107" s="938"/>
      <c r="C107" s="252"/>
      <c r="D107" s="331">
        <v>5808.0</v>
      </c>
      <c r="F107" s="250"/>
      <c r="G107" s="2" t="s">
        <v>877</v>
      </c>
      <c r="I107" s="847"/>
    </row>
    <row r="108">
      <c r="A108" s="265"/>
      <c r="B108" s="938"/>
      <c r="C108" s="252"/>
      <c r="D108" s="822"/>
      <c r="F108" s="250">
        <v>250.0</v>
      </c>
      <c r="G108" s="2" t="s">
        <v>218</v>
      </c>
      <c r="I108" s="847"/>
    </row>
    <row r="109">
      <c r="A109" s="265"/>
      <c r="B109" s="938"/>
      <c r="C109" s="252"/>
      <c r="D109" s="822"/>
      <c r="F109" s="250">
        <v>1200.0</v>
      </c>
      <c r="G109" s="2" t="s">
        <v>3732</v>
      </c>
      <c r="H109" s="552"/>
      <c r="I109" s="847"/>
    </row>
    <row r="110">
      <c r="A110" s="265"/>
      <c r="B110" s="938"/>
      <c r="C110" s="252"/>
      <c r="D110" s="822"/>
      <c r="F110" s="250">
        <v>330.0</v>
      </c>
      <c r="G110" s="2" t="s">
        <v>3733</v>
      </c>
      <c r="I110" s="847"/>
    </row>
    <row r="111">
      <c r="A111" s="265"/>
      <c r="B111" s="938"/>
      <c r="C111" s="252"/>
      <c r="D111" s="822"/>
      <c r="F111" s="250">
        <v>3000.0</v>
      </c>
      <c r="G111" s="2" t="s">
        <v>3734</v>
      </c>
      <c r="H111" s="838"/>
      <c r="I111" s="847"/>
    </row>
    <row r="112">
      <c r="A112" s="265"/>
      <c r="B112" s="938"/>
      <c r="C112" s="252"/>
      <c r="D112" s="822"/>
      <c r="F112" s="250">
        <v>119.0</v>
      </c>
      <c r="G112" s="2" t="s">
        <v>303</v>
      </c>
      <c r="H112" s="838"/>
      <c r="I112" s="847"/>
    </row>
    <row r="113">
      <c r="A113" s="265"/>
      <c r="B113" s="938"/>
      <c r="C113" s="252"/>
      <c r="D113" s="822"/>
      <c r="F113" s="250">
        <v>1100.0</v>
      </c>
      <c r="G113" s="2" t="s">
        <v>3374</v>
      </c>
      <c r="H113" s="838"/>
      <c r="I113" s="847"/>
    </row>
    <row r="114">
      <c r="A114" s="270"/>
      <c r="B114" s="939"/>
      <c r="C114" s="272"/>
      <c r="D114" s="823"/>
      <c r="E114" s="18"/>
      <c r="F114" s="274"/>
      <c r="G114" s="18"/>
      <c r="H114" s="18"/>
      <c r="I114" s="663"/>
    </row>
    <row r="115">
      <c r="A115" s="305">
        <v>44176.0</v>
      </c>
      <c r="B115" s="940"/>
      <c r="C115" s="240"/>
      <c r="D115" s="824"/>
      <c r="E115" s="242"/>
      <c r="F115" s="243">
        <v>9167.0</v>
      </c>
      <c r="G115" s="244" t="s">
        <v>100</v>
      </c>
      <c r="H115" s="244"/>
      <c r="I115" s="662"/>
    </row>
    <row r="116">
      <c r="A116" s="265"/>
      <c r="B116" s="938"/>
      <c r="C116" s="252"/>
      <c r="D116" s="822"/>
      <c r="F116" s="250">
        <v>738.8</v>
      </c>
      <c r="G116" s="2" t="s">
        <v>82</v>
      </c>
      <c r="I116" s="847"/>
    </row>
    <row r="117">
      <c r="A117" s="265"/>
      <c r="B117" s="938"/>
      <c r="C117" s="252"/>
      <c r="D117" s="822"/>
      <c r="F117" s="250">
        <v>4945.0</v>
      </c>
      <c r="G117" s="2" t="s">
        <v>3735</v>
      </c>
      <c r="I117" s="847"/>
    </row>
    <row r="118">
      <c r="A118" s="265"/>
      <c r="B118" s="938"/>
      <c r="C118" s="252"/>
      <c r="D118" s="331"/>
      <c r="F118" s="250">
        <v>177.0</v>
      </c>
      <c r="G118" s="2" t="s">
        <v>227</v>
      </c>
      <c r="I118" s="847"/>
    </row>
    <row r="119">
      <c r="A119" s="265"/>
      <c r="B119" s="938"/>
      <c r="C119" s="252"/>
      <c r="D119" s="822"/>
      <c r="F119" s="250">
        <v>2262.0</v>
      </c>
      <c r="G119" s="2" t="s">
        <v>708</v>
      </c>
      <c r="I119" s="847"/>
    </row>
    <row r="120">
      <c r="A120" s="265"/>
      <c r="B120" s="938"/>
      <c r="C120" s="252"/>
      <c r="D120" s="822"/>
      <c r="F120" s="250">
        <v>700.0</v>
      </c>
      <c r="G120" s="2" t="s">
        <v>3719</v>
      </c>
      <c r="I120" s="847"/>
    </row>
    <row r="121">
      <c r="A121" s="265"/>
      <c r="B121" s="938"/>
      <c r="C121" s="252"/>
      <c r="D121" s="822"/>
      <c r="F121" s="250">
        <v>1180.0</v>
      </c>
      <c r="G121" s="2" t="s">
        <v>708</v>
      </c>
      <c r="I121" s="847"/>
    </row>
    <row r="122">
      <c r="A122" s="265"/>
      <c r="B122" s="938"/>
      <c r="C122" s="252"/>
      <c r="D122" s="822"/>
      <c r="F122" s="250">
        <v>2000.0</v>
      </c>
      <c r="G122" s="2" t="s">
        <v>3362</v>
      </c>
      <c r="H122" s="838"/>
      <c r="I122" s="847"/>
    </row>
    <row r="123">
      <c r="A123" s="265"/>
      <c r="B123" s="938"/>
      <c r="C123" s="252"/>
      <c r="D123" s="822"/>
      <c r="F123" s="250">
        <v>1000.0</v>
      </c>
      <c r="G123" s="2" t="s">
        <v>3374</v>
      </c>
      <c r="H123" s="838"/>
      <c r="I123" s="847"/>
    </row>
    <row r="124">
      <c r="A124" s="270"/>
      <c r="B124" s="939"/>
      <c r="C124" s="272"/>
      <c r="D124" s="823"/>
      <c r="E124" s="18"/>
      <c r="F124" s="274">
        <f>SUM(F115:F123)</f>
        <v>22169.8</v>
      </c>
      <c r="G124" s="18"/>
      <c r="H124" s="18"/>
      <c r="I124" s="663"/>
    </row>
    <row r="125">
      <c r="A125" s="305">
        <v>44177.0</v>
      </c>
      <c r="B125" s="940"/>
      <c r="C125" s="240"/>
      <c r="D125" s="824"/>
      <c r="E125" s="242"/>
      <c r="F125" s="243">
        <v>3850.0</v>
      </c>
      <c r="G125" s="244" t="s">
        <v>103</v>
      </c>
      <c r="H125" s="244"/>
      <c r="I125" s="662"/>
    </row>
    <row r="126">
      <c r="A126" s="265"/>
      <c r="B126" s="938"/>
      <c r="C126" s="252"/>
      <c r="D126" s="822"/>
      <c r="F126" s="250">
        <v>4200.0</v>
      </c>
      <c r="G126" s="2" t="s">
        <v>421</v>
      </c>
      <c r="I126" s="847"/>
    </row>
    <row r="127">
      <c r="A127" s="265"/>
      <c r="B127" s="938"/>
      <c r="C127" s="252"/>
      <c r="D127" s="822"/>
      <c r="F127" s="250">
        <v>811.0</v>
      </c>
      <c r="G127" s="2" t="s">
        <v>708</v>
      </c>
      <c r="I127" s="847"/>
    </row>
    <row r="128">
      <c r="A128" s="265"/>
      <c r="B128" s="938"/>
      <c r="C128" s="252"/>
      <c r="D128" s="822"/>
      <c r="F128" s="250">
        <v>250.0</v>
      </c>
      <c r="G128" s="2" t="s">
        <v>85</v>
      </c>
      <c r="I128" s="847"/>
    </row>
    <row r="129">
      <c r="A129" s="265"/>
      <c r="B129" s="938"/>
      <c r="C129" s="252"/>
      <c r="D129" s="822"/>
      <c r="F129" s="250"/>
      <c r="I129" s="847"/>
    </row>
    <row r="130">
      <c r="A130" s="265"/>
      <c r="B130" s="938"/>
      <c r="C130" s="252"/>
      <c r="D130" s="822"/>
      <c r="F130" s="250"/>
      <c r="I130" s="847"/>
    </row>
    <row r="131">
      <c r="A131" s="265"/>
      <c r="B131" s="938"/>
      <c r="C131" s="252"/>
      <c r="D131" s="822"/>
      <c r="F131" s="250"/>
      <c r="I131" s="847"/>
    </row>
    <row r="132">
      <c r="A132" s="265"/>
      <c r="B132" s="938"/>
      <c r="C132" s="252"/>
      <c r="D132" s="822"/>
      <c r="F132" s="250"/>
      <c r="I132" s="847"/>
    </row>
    <row r="133">
      <c r="A133" s="265"/>
      <c r="B133" s="938"/>
      <c r="C133" s="252"/>
      <c r="D133" s="822"/>
      <c r="F133" s="250"/>
      <c r="I133" s="847"/>
    </row>
    <row r="134">
      <c r="A134" s="270"/>
      <c r="B134" s="939"/>
      <c r="C134" s="272"/>
      <c r="D134" s="823"/>
      <c r="E134" s="18"/>
      <c r="F134" s="274"/>
      <c r="G134" s="18"/>
      <c r="H134" s="18"/>
      <c r="I134" s="663"/>
    </row>
    <row r="135">
      <c r="A135" s="305">
        <v>44178.0</v>
      </c>
      <c r="B135" s="940"/>
      <c r="C135" s="240"/>
      <c r="D135" s="824"/>
      <c r="E135" s="242"/>
      <c r="F135" s="243"/>
      <c r="G135" s="244"/>
      <c r="H135" s="244"/>
      <c r="I135" s="662"/>
    </row>
    <row r="136">
      <c r="A136" s="265"/>
      <c r="B136" s="938"/>
      <c r="C136" s="252"/>
      <c r="D136" s="822"/>
      <c r="F136" s="250"/>
      <c r="I136" s="847"/>
    </row>
    <row r="137">
      <c r="A137" s="265"/>
      <c r="B137" s="938"/>
      <c r="C137" s="248"/>
      <c r="D137" s="331"/>
      <c r="F137" s="250"/>
      <c r="I137" s="847"/>
    </row>
    <row r="138">
      <c r="A138" s="265"/>
      <c r="B138" s="938"/>
      <c r="C138" s="252"/>
      <c r="D138" s="822"/>
      <c r="F138" s="250"/>
      <c r="I138" s="847"/>
    </row>
    <row r="139">
      <c r="A139" s="265"/>
      <c r="B139" s="938"/>
      <c r="C139" s="252"/>
      <c r="D139" s="822"/>
      <c r="F139" s="250"/>
      <c r="I139" s="847"/>
    </row>
    <row r="140">
      <c r="A140" s="265"/>
      <c r="B140" s="938"/>
      <c r="C140" s="252"/>
      <c r="D140" s="822"/>
      <c r="F140" s="250"/>
      <c r="H140" s="552"/>
      <c r="I140" s="847"/>
    </row>
    <row r="141">
      <c r="A141" s="265"/>
      <c r="B141" s="938"/>
      <c r="C141" s="252"/>
      <c r="D141" s="331"/>
      <c r="F141" s="250"/>
      <c r="I141" s="847"/>
    </row>
    <row r="142">
      <c r="A142" s="265"/>
      <c r="B142" s="938"/>
      <c r="C142" s="252"/>
      <c r="D142" s="822"/>
      <c r="F142" s="250"/>
      <c r="I142" s="847"/>
    </row>
    <row r="143">
      <c r="A143" s="265"/>
      <c r="B143" s="938"/>
      <c r="C143" s="252"/>
      <c r="D143" s="822"/>
      <c r="F143" s="250"/>
      <c r="I143" s="847"/>
    </row>
    <row r="144">
      <c r="A144" s="270"/>
      <c r="B144" s="939"/>
      <c r="C144" s="272"/>
      <c r="D144" s="823"/>
      <c r="E144" s="18"/>
      <c r="F144" s="274"/>
      <c r="G144" s="18"/>
      <c r="H144" s="18"/>
      <c r="I144" s="663"/>
    </row>
    <row r="145">
      <c r="A145" s="305">
        <v>44179.0</v>
      </c>
      <c r="B145" s="940"/>
      <c r="C145" s="240"/>
      <c r="D145" s="821"/>
      <c r="E145" s="242"/>
      <c r="F145" s="243">
        <v>3442.45</v>
      </c>
      <c r="G145" s="244" t="s">
        <v>82</v>
      </c>
      <c r="H145" s="244"/>
      <c r="I145" s="662"/>
    </row>
    <row r="146">
      <c r="A146" s="265"/>
      <c r="B146" s="938"/>
      <c r="C146" s="252"/>
      <c r="D146" s="331"/>
      <c r="F146" s="250">
        <v>2135.0</v>
      </c>
      <c r="G146" s="2" t="s">
        <v>708</v>
      </c>
      <c r="I146" s="847"/>
    </row>
    <row r="147">
      <c r="A147" s="265"/>
      <c r="B147" s="938"/>
      <c r="C147" s="252"/>
      <c r="D147" s="331"/>
      <c r="F147" s="250">
        <f>130+230</f>
        <v>360</v>
      </c>
      <c r="G147" s="2" t="s">
        <v>260</v>
      </c>
      <c r="I147" s="847"/>
    </row>
    <row r="148">
      <c r="A148" s="265"/>
      <c r="B148" s="938"/>
      <c r="C148" s="252"/>
      <c r="D148" s="822"/>
      <c r="F148" s="250">
        <v>150.0</v>
      </c>
      <c r="G148" s="2" t="s">
        <v>228</v>
      </c>
      <c r="I148" s="847"/>
    </row>
    <row r="149">
      <c r="A149" s="265"/>
      <c r="B149" s="938"/>
      <c r="C149" s="252"/>
      <c r="D149" s="331">
        <v>1650.0</v>
      </c>
      <c r="F149" s="250"/>
      <c r="G149" s="2" t="s">
        <v>352</v>
      </c>
      <c r="I149" s="847"/>
    </row>
    <row r="150">
      <c r="A150" s="265"/>
      <c r="B150" s="938"/>
      <c r="C150" s="252"/>
      <c r="D150" s="822"/>
      <c r="F150" s="250"/>
      <c r="I150" s="847"/>
    </row>
    <row r="151">
      <c r="A151" s="265"/>
      <c r="B151" s="938"/>
      <c r="C151" s="252"/>
      <c r="D151" s="822"/>
      <c r="F151" s="250"/>
      <c r="I151" s="847"/>
    </row>
    <row r="152">
      <c r="A152" s="265"/>
      <c r="B152" s="938"/>
      <c r="C152" s="252"/>
      <c r="D152" s="822"/>
      <c r="F152" s="250"/>
      <c r="I152" s="847"/>
    </row>
    <row r="153">
      <c r="A153" s="265"/>
      <c r="B153" s="938"/>
      <c r="C153" s="252"/>
      <c r="D153" s="822"/>
      <c r="F153" s="250"/>
      <c r="I153" s="847"/>
    </row>
    <row r="154">
      <c r="A154" s="265"/>
      <c r="B154" s="938"/>
      <c r="C154" s="252"/>
      <c r="D154" s="822"/>
      <c r="F154" s="250"/>
      <c r="I154" s="847"/>
    </row>
    <row r="155">
      <c r="A155" s="265"/>
      <c r="B155" s="938"/>
      <c r="C155" s="252"/>
      <c r="D155" s="822"/>
      <c r="F155" s="250"/>
      <c r="I155" s="847"/>
    </row>
    <row r="156">
      <c r="A156" s="265"/>
      <c r="B156" s="938"/>
      <c r="C156" s="252"/>
      <c r="D156" s="822"/>
      <c r="F156" s="250"/>
      <c r="I156" s="847"/>
    </row>
    <row r="157">
      <c r="A157" s="265"/>
      <c r="B157" s="938"/>
      <c r="C157" s="252"/>
      <c r="D157" s="822"/>
      <c r="F157" s="250"/>
      <c r="I157" s="847"/>
    </row>
    <row r="158">
      <c r="A158" s="265"/>
      <c r="B158" s="938"/>
      <c r="C158" s="252"/>
      <c r="D158" s="822"/>
      <c r="F158" s="250"/>
      <c r="I158" s="847"/>
    </row>
    <row r="159">
      <c r="A159" s="270"/>
      <c r="B159" s="939"/>
      <c r="C159" s="272"/>
      <c r="D159" s="823"/>
      <c r="E159" s="18"/>
      <c r="F159" s="259"/>
      <c r="G159" s="293"/>
      <c r="H159" s="18"/>
      <c r="I159" s="663"/>
    </row>
    <row r="160">
      <c r="A160" s="305">
        <v>44180.0</v>
      </c>
      <c r="B160" s="940"/>
      <c r="C160" s="240"/>
      <c r="D160" s="824"/>
      <c r="E160" s="242"/>
      <c r="F160" s="243">
        <v>4200.0</v>
      </c>
      <c r="G160" s="244" t="s">
        <v>421</v>
      </c>
      <c r="I160" s="244"/>
    </row>
    <row r="161">
      <c r="A161" s="265"/>
      <c r="B161" s="938"/>
      <c r="C161" s="252"/>
      <c r="D161" s="822"/>
      <c r="F161" s="250">
        <v>3190.0</v>
      </c>
      <c r="G161" s="2" t="s">
        <v>708</v>
      </c>
      <c r="I161" s="847"/>
    </row>
    <row r="162">
      <c r="A162" s="265"/>
      <c r="B162" s="938"/>
      <c r="C162" s="252"/>
      <c r="D162" s="822"/>
      <c r="F162" s="250">
        <v>2210.0</v>
      </c>
      <c r="G162" s="2" t="s">
        <v>3003</v>
      </c>
      <c r="I162" s="847"/>
    </row>
    <row r="163">
      <c r="A163" s="265"/>
      <c r="B163" s="938"/>
      <c r="C163" s="252"/>
      <c r="D163" s="822"/>
      <c r="F163" s="250">
        <v>4510.0</v>
      </c>
      <c r="G163" s="2" t="s">
        <v>91</v>
      </c>
      <c r="I163" s="847"/>
    </row>
    <row r="164">
      <c r="A164" s="265"/>
      <c r="B164" s="938"/>
      <c r="C164" s="248">
        <v>16693.47</v>
      </c>
      <c r="D164" s="822"/>
      <c r="F164" s="250"/>
      <c r="G164" s="2" t="s">
        <v>71</v>
      </c>
      <c r="I164" s="847"/>
    </row>
    <row r="165">
      <c r="A165" s="265"/>
      <c r="B165" s="938"/>
      <c r="C165" s="252"/>
      <c r="D165" s="822"/>
      <c r="F165" s="250">
        <v>352.0</v>
      </c>
      <c r="G165" s="2" t="s">
        <v>3736</v>
      </c>
      <c r="I165" s="847"/>
    </row>
    <row r="166">
      <c r="A166" s="265"/>
      <c r="B166" s="938"/>
      <c r="C166" s="252"/>
      <c r="D166" s="822"/>
      <c r="F166" s="250">
        <v>3560.0</v>
      </c>
      <c r="G166" s="2" t="s">
        <v>3737</v>
      </c>
      <c r="I166" s="847"/>
    </row>
    <row r="167">
      <c r="A167" s="265"/>
      <c r="B167" s="938"/>
      <c r="C167" s="252"/>
      <c r="D167" s="822"/>
      <c r="F167" s="250">
        <v>1300.0</v>
      </c>
      <c r="G167" s="2" t="s">
        <v>139</v>
      </c>
      <c r="I167" s="847"/>
    </row>
    <row r="168">
      <c r="A168" s="265"/>
      <c r="B168" s="938"/>
      <c r="C168" s="252"/>
      <c r="D168" s="822"/>
      <c r="F168" s="250">
        <v>1655.0</v>
      </c>
      <c r="G168" s="2" t="s">
        <v>708</v>
      </c>
      <c r="I168" s="847"/>
    </row>
    <row r="169">
      <c r="A169" s="265"/>
      <c r="B169" s="941"/>
      <c r="C169" s="252"/>
      <c r="D169" s="822"/>
      <c r="F169" s="250">
        <v>3500.0</v>
      </c>
      <c r="G169" s="2" t="s">
        <v>3738</v>
      </c>
      <c r="I169" s="847"/>
    </row>
    <row r="170">
      <c r="A170" s="265"/>
      <c r="B170" s="941"/>
      <c r="C170" s="252"/>
      <c r="D170" s="822"/>
      <c r="F170" s="250">
        <v>250.0</v>
      </c>
      <c r="G170" s="2" t="s">
        <v>3092</v>
      </c>
      <c r="I170" s="847"/>
    </row>
    <row r="171">
      <c r="A171" s="265"/>
      <c r="B171" s="941"/>
      <c r="C171" s="252"/>
      <c r="D171" s="822"/>
      <c r="F171" s="282"/>
      <c r="I171" s="847"/>
    </row>
    <row r="172">
      <c r="A172" s="265"/>
      <c r="B172" s="941"/>
      <c r="C172" s="252"/>
      <c r="D172" s="822"/>
      <c r="F172" s="282"/>
      <c r="I172" s="847"/>
    </row>
    <row r="173">
      <c r="A173" s="265"/>
      <c r="B173" s="941"/>
      <c r="C173" s="252"/>
      <c r="D173" s="822"/>
      <c r="F173" s="282"/>
      <c r="I173" s="847"/>
    </row>
    <row r="174">
      <c r="A174" s="265"/>
      <c r="B174" s="941"/>
      <c r="C174" s="252"/>
      <c r="D174" s="822"/>
      <c r="F174" s="282"/>
      <c r="I174" s="847"/>
    </row>
    <row r="175">
      <c r="A175" s="270"/>
      <c r="B175" s="939"/>
      <c r="C175" s="272"/>
      <c r="D175" s="823"/>
      <c r="E175" s="18"/>
      <c r="F175" s="274">
        <f>SUM(F160:F174)</f>
        <v>24727</v>
      </c>
      <c r="G175" s="18"/>
      <c r="H175" s="18"/>
      <c r="I175" s="663"/>
    </row>
    <row r="176">
      <c r="A176" s="305">
        <v>44181.0</v>
      </c>
      <c r="B176" s="940"/>
      <c r="C176" s="263"/>
      <c r="D176" s="824"/>
      <c r="E176" s="242"/>
      <c r="F176" s="243">
        <v>2018.0</v>
      </c>
      <c r="G176" s="244" t="s">
        <v>708</v>
      </c>
      <c r="H176" s="244"/>
      <c r="I176" s="662"/>
    </row>
    <row r="177">
      <c r="A177" s="265"/>
      <c r="B177" s="938"/>
      <c r="C177" s="252"/>
      <c r="D177" s="822"/>
      <c r="F177" s="250">
        <v>183.0</v>
      </c>
      <c r="G177" s="2" t="s">
        <v>3739</v>
      </c>
      <c r="I177" s="847"/>
    </row>
    <row r="178">
      <c r="A178" s="265"/>
      <c r="B178" s="938"/>
      <c r="C178" s="252"/>
      <c r="D178" s="331"/>
      <c r="F178" s="250">
        <v>1560.0</v>
      </c>
      <c r="G178" s="2" t="s">
        <v>2848</v>
      </c>
      <c r="I178" s="847"/>
    </row>
    <row r="179">
      <c r="A179" s="265"/>
      <c r="B179" s="938"/>
      <c r="C179" s="252"/>
      <c r="D179" s="331">
        <v>14500.0</v>
      </c>
      <c r="F179" s="250"/>
      <c r="G179" s="2" t="s">
        <v>3740</v>
      </c>
      <c r="I179" s="847"/>
    </row>
    <row r="180">
      <c r="A180" s="265"/>
      <c r="B180" s="938"/>
      <c r="C180" s="252"/>
      <c r="D180" s="331">
        <v>7555.57</v>
      </c>
      <c r="F180" s="250"/>
      <c r="G180" s="2" t="s">
        <v>3741</v>
      </c>
      <c r="I180" s="847"/>
    </row>
    <row r="181">
      <c r="A181" s="265"/>
      <c r="B181" s="938"/>
      <c r="C181" s="252"/>
      <c r="D181" s="331">
        <v>1529.0</v>
      </c>
      <c r="F181" s="250"/>
      <c r="G181" s="2" t="s">
        <v>2284</v>
      </c>
      <c r="I181" s="847"/>
    </row>
    <row r="182">
      <c r="A182" s="265"/>
      <c r="B182" s="938"/>
      <c r="C182" s="252"/>
      <c r="D182" s="822"/>
      <c r="F182" s="250">
        <v>700.0</v>
      </c>
      <c r="G182" s="2" t="s">
        <v>3719</v>
      </c>
      <c r="I182" s="847"/>
    </row>
    <row r="183">
      <c r="A183" s="265"/>
      <c r="B183" s="938"/>
      <c r="C183" s="252"/>
      <c r="D183" s="331">
        <v>18150.0</v>
      </c>
      <c r="F183" s="250"/>
      <c r="G183" s="2" t="s">
        <v>3742</v>
      </c>
      <c r="I183" s="847"/>
    </row>
    <row r="184">
      <c r="A184" s="265"/>
      <c r="B184" s="938"/>
      <c r="C184" s="248">
        <v>19900.0</v>
      </c>
      <c r="D184" s="822"/>
      <c r="F184" s="250"/>
      <c r="G184" s="2" t="s">
        <v>2703</v>
      </c>
      <c r="I184" s="847"/>
    </row>
    <row r="185">
      <c r="A185" s="265"/>
      <c r="B185" s="938"/>
      <c r="C185" s="248"/>
      <c r="D185" s="822"/>
      <c r="F185" s="250"/>
      <c r="G185" s="2"/>
      <c r="I185" s="847"/>
    </row>
    <row r="186">
      <c r="A186" s="265"/>
      <c r="B186" s="938"/>
      <c r="C186" s="248"/>
      <c r="D186" s="822"/>
      <c r="F186" s="250"/>
      <c r="G186" s="2"/>
      <c r="I186" s="847"/>
    </row>
    <row r="187">
      <c r="A187" s="265"/>
      <c r="B187" s="938"/>
      <c r="C187" s="248"/>
      <c r="D187" s="822"/>
      <c r="F187" s="250"/>
      <c r="G187" s="2"/>
      <c r="I187" s="847"/>
    </row>
    <row r="188">
      <c r="A188" s="270"/>
      <c r="B188" s="939"/>
      <c r="C188" s="272"/>
      <c r="D188" s="823"/>
      <c r="E188" s="18"/>
      <c r="F188" s="274">
        <f>SUM(F176:F184)</f>
        <v>4461</v>
      </c>
      <c r="G188" s="18"/>
      <c r="H188" s="18"/>
      <c r="I188" s="663"/>
    </row>
    <row r="189">
      <c r="A189" s="305">
        <v>44182.0</v>
      </c>
      <c r="B189" s="940"/>
      <c r="C189" s="263"/>
      <c r="D189" s="824"/>
      <c r="E189" s="242"/>
      <c r="F189" s="243">
        <v>2846.0</v>
      </c>
      <c r="G189" s="244" t="s">
        <v>82</v>
      </c>
      <c r="H189" s="244"/>
      <c r="I189" s="662"/>
    </row>
    <row r="190">
      <c r="A190" s="265"/>
      <c r="B190" s="938"/>
      <c r="C190" s="252"/>
      <c r="D190" s="331"/>
      <c r="F190" s="250">
        <v>1990.0</v>
      </c>
      <c r="G190" s="2" t="s">
        <v>3003</v>
      </c>
      <c r="I190" s="847"/>
    </row>
    <row r="191">
      <c r="A191" s="265"/>
      <c r="B191" s="938"/>
      <c r="C191" s="252"/>
      <c r="D191" s="822"/>
      <c r="F191" s="250">
        <v>4500.0</v>
      </c>
      <c r="G191" s="2" t="s">
        <v>87</v>
      </c>
      <c r="I191" s="847"/>
    </row>
    <row r="192">
      <c r="A192" s="265"/>
      <c r="B192" s="938"/>
      <c r="C192" s="252"/>
      <c r="D192" s="822"/>
      <c r="F192" s="250">
        <v>1990.0</v>
      </c>
      <c r="G192" s="2" t="s">
        <v>708</v>
      </c>
      <c r="I192" s="847"/>
    </row>
    <row r="193">
      <c r="A193" s="265"/>
      <c r="B193" s="938"/>
      <c r="C193" s="252"/>
      <c r="D193" s="822"/>
      <c r="F193" s="250">
        <v>460.0</v>
      </c>
      <c r="G193" s="2" t="s">
        <v>143</v>
      </c>
      <c r="I193" s="847"/>
    </row>
    <row r="194">
      <c r="A194" s="265"/>
      <c r="B194" s="938"/>
      <c r="C194" s="252"/>
      <c r="D194" s="822"/>
      <c r="F194" s="250">
        <f>333+330</f>
        <v>663</v>
      </c>
      <c r="G194" s="2" t="s">
        <v>708</v>
      </c>
      <c r="I194" s="847"/>
    </row>
    <row r="195">
      <c r="A195" s="265"/>
      <c r="B195" s="938"/>
      <c r="C195" s="252"/>
      <c r="D195" s="822"/>
      <c r="F195" s="250">
        <v>3800.0</v>
      </c>
      <c r="G195" s="2" t="s">
        <v>3743</v>
      </c>
      <c r="H195" s="552"/>
      <c r="I195" s="847"/>
    </row>
    <row r="196">
      <c r="A196" s="265"/>
      <c r="B196" s="938"/>
      <c r="C196" s="252"/>
      <c r="D196" s="822"/>
      <c r="F196" s="250">
        <v>250.0</v>
      </c>
      <c r="G196" s="2" t="s">
        <v>85</v>
      </c>
      <c r="I196" s="847"/>
    </row>
    <row r="197">
      <c r="A197" s="265"/>
      <c r="B197" s="938"/>
      <c r="C197" s="252"/>
      <c r="D197" s="822"/>
      <c r="F197" s="250">
        <v>180.0</v>
      </c>
      <c r="G197" s="2" t="s">
        <v>3014</v>
      </c>
      <c r="I197" s="847"/>
    </row>
    <row r="198">
      <c r="A198" s="265"/>
      <c r="B198" s="941"/>
      <c r="C198" s="252"/>
      <c r="D198" s="822"/>
      <c r="F198" s="250"/>
      <c r="I198" s="847"/>
    </row>
    <row r="199">
      <c r="A199" s="265"/>
      <c r="B199" s="941"/>
      <c r="C199" s="252"/>
      <c r="D199" s="822"/>
      <c r="F199" s="282"/>
      <c r="I199" s="847"/>
    </row>
    <row r="200">
      <c r="A200" s="270"/>
      <c r="B200" s="939"/>
      <c r="C200" s="272"/>
      <c r="D200" s="823"/>
      <c r="E200" s="18"/>
      <c r="F200" s="274">
        <f>SUM(F189:F199)</f>
        <v>16679</v>
      </c>
      <c r="G200" s="18"/>
      <c r="H200" s="18"/>
      <c r="I200" s="663"/>
    </row>
    <row r="201">
      <c r="A201" s="305">
        <v>44183.0</v>
      </c>
      <c r="B201" s="940"/>
      <c r="C201" s="240"/>
      <c r="D201" s="821"/>
      <c r="E201" s="242"/>
      <c r="F201" s="243">
        <v>7686.0</v>
      </c>
      <c r="G201" s="244" t="s">
        <v>74</v>
      </c>
      <c r="H201" s="244"/>
      <c r="I201" s="662"/>
    </row>
    <row r="202">
      <c r="A202" s="265"/>
      <c r="B202" s="938"/>
      <c r="C202" s="252"/>
      <c r="D202" s="331"/>
      <c r="F202" s="250">
        <v>2875.0</v>
      </c>
      <c r="G202" s="2" t="s">
        <v>708</v>
      </c>
      <c r="I202" s="847"/>
    </row>
    <row r="203">
      <c r="A203" s="265"/>
      <c r="B203" s="938"/>
      <c r="C203" s="252"/>
      <c r="D203" s="822"/>
      <c r="F203" s="250">
        <v>2790.0</v>
      </c>
      <c r="G203" s="2" t="s">
        <v>3744</v>
      </c>
      <c r="H203" s="552"/>
      <c r="I203" s="847"/>
    </row>
    <row r="204">
      <c r="A204" s="265"/>
      <c r="B204" s="938"/>
      <c r="C204" s="248"/>
      <c r="D204" s="822"/>
      <c r="F204" s="250"/>
      <c r="I204" s="847"/>
    </row>
    <row r="205">
      <c r="A205" s="265"/>
      <c r="B205" s="938"/>
      <c r="C205" s="248"/>
      <c r="D205" s="822"/>
      <c r="F205" s="250"/>
      <c r="I205" s="847"/>
    </row>
    <row r="206">
      <c r="A206" s="265"/>
      <c r="B206" s="938"/>
      <c r="C206" s="248"/>
      <c r="D206" s="822"/>
      <c r="F206" s="250"/>
      <c r="I206" s="847"/>
    </row>
    <row r="207">
      <c r="A207" s="265"/>
      <c r="B207" s="938"/>
      <c r="C207" s="252"/>
      <c r="D207" s="822"/>
      <c r="F207" s="250"/>
      <c r="I207" s="847"/>
    </row>
    <row r="208">
      <c r="A208" s="265"/>
      <c r="B208" s="938"/>
      <c r="C208" s="252"/>
      <c r="D208" s="822"/>
      <c r="F208" s="250"/>
      <c r="I208" s="847"/>
    </row>
    <row r="209">
      <c r="A209" s="265"/>
      <c r="B209" s="938"/>
      <c r="C209" s="252"/>
      <c r="D209" s="822"/>
      <c r="F209" s="250"/>
      <c r="I209" s="847"/>
    </row>
    <row r="210">
      <c r="A210" s="265"/>
      <c r="B210" s="938"/>
      <c r="C210" s="252"/>
      <c r="D210" s="822"/>
      <c r="F210" s="250"/>
      <c r="I210" s="847"/>
    </row>
    <row r="211">
      <c r="A211" s="270"/>
      <c r="B211" s="939"/>
      <c r="C211" s="272"/>
      <c r="D211" s="823"/>
      <c r="E211" s="18"/>
      <c r="F211" s="274">
        <f>SUM(F201:F210)</f>
        <v>13351</v>
      </c>
      <c r="G211" s="18"/>
      <c r="H211" s="18"/>
      <c r="I211" s="663"/>
    </row>
    <row r="212">
      <c r="A212" s="305">
        <v>44184.0</v>
      </c>
      <c r="B212" s="940"/>
      <c r="C212" s="240"/>
      <c r="D212" s="824"/>
      <c r="E212" s="242"/>
      <c r="F212" s="243">
        <v>4500.0</v>
      </c>
      <c r="G212" s="244" t="s">
        <v>87</v>
      </c>
      <c r="H212" s="244"/>
      <c r="I212" s="662"/>
    </row>
    <row r="213">
      <c r="A213" s="265"/>
      <c r="B213" s="938"/>
      <c r="C213" s="252"/>
      <c r="D213" s="822"/>
      <c r="F213" s="250">
        <v>1390.0</v>
      </c>
      <c r="G213" s="2" t="s">
        <v>708</v>
      </c>
      <c r="I213" s="847"/>
    </row>
    <row r="214">
      <c r="A214" s="265"/>
      <c r="B214" s="938"/>
      <c r="C214" s="252"/>
      <c r="D214" s="822"/>
      <c r="F214" s="250"/>
      <c r="I214" s="847"/>
    </row>
    <row r="215">
      <c r="A215" s="265"/>
      <c r="B215" s="938"/>
      <c r="C215" s="252"/>
      <c r="D215" s="822"/>
      <c r="F215" s="250"/>
      <c r="I215" s="847"/>
    </row>
    <row r="216">
      <c r="A216" s="265"/>
      <c r="B216" s="938"/>
      <c r="C216" s="252"/>
      <c r="D216" s="822"/>
      <c r="F216" s="250"/>
      <c r="I216" s="847"/>
    </row>
    <row r="217">
      <c r="A217" s="265"/>
      <c r="B217" s="938"/>
      <c r="C217" s="252"/>
      <c r="D217" s="822"/>
      <c r="F217" s="250"/>
      <c r="I217" s="847"/>
    </row>
    <row r="218">
      <c r="A218" s="265"/>
      <c r="B218" s="938"/>
      <c r="C218" s="252"/>
      <c r="D218" s="822"/>
      <c r="F218" s="250"/>
      <c r="I218" s="847"/>
    </row>
    <row r="219">
      <c r="A219" s="265"/>
      <c r="B219" s="938"/>
      <c r="C219" s="252"/>
      <c r="D219" s="822"/>
      <c r="F219" s="250"/>
      <c r="H219" s="252"/>
      <c r="I219" s="847"/>
    </row>
    <row r="220">
      <c r="A220" s="265"/>
      <c r="B220" s="938"/>
      <c r="C220" s="252"/>
      <c r="D220" s="822"/>
      <c r="F220" s="250"/>
      <c r="I220" s="847"/>
    </row>
    <row r="221">
      <c r="A221" s="265"/>
      <c r="B221" s="938"/>
      <c r="C221" s="252"/>
      <c r="D221" s="822"/>
      <c r="F221" s="250"/>
      <c r="I221" s="847"/>
    </row>
    <row r="222">
      <c r="A222" s="265"/>
      <c r="B222" s="941"/>
      <c r="C222" s="252"/>
      <c r="D222" s="822"/>
      <c r="F222" s="250"/>
      <c r="H222" s="838"/>
      <c r="I222" s="847"/>
    </row>
    <row r="223">
      <c r="A223" s="265"/>
      <c r="B223" s="941"/>
      <c r="C223" s="252"/>
      <c r="D223" s="822"/>
      <c r="F223" s="250"/>
      <c r="I223" s="847"/>
    </row>
    <row r="224">
      <c r="A224" s="265"/>
      <c r="B224" s="941"/>
      <c r="C224" s="252"/>
      <c r="D224" s="822"/>
      <c r="F224" s="250"/>
      <c r="I224" s="847"/>
    </row>
    <row r="225">
      <c r="A225" s="270"/>
      <c r="B225" s="939"/>
      <c r="C225" s="272"/>
      <c r="D225" s="823"/>
      <c r="E225" s="18"/>
      <c r="F225" s="274">
        <f>SUM(F212:F224)</f>
        <v>5890</v>
      </c>
      <c r="G225" s="18"/>
      <c r="H225" s="18"/>
      <c r="I225" s="663"/>
    </row>
    <row r="226">
      <c r="A226" s="305">
        <v>44185.0</v>
      </c>
      <c r="B226" s="940"/>
      <c r="C226" s="240"/>
      <c r="D226" s="824"/>
      <c r="E226" s="242"/>
      <c r="F226" s="243">
        <v>1380.0</v>
      </c>
      <c r="G226" s="244" t="s">
        <v>708</v>
      </c>
      <c r="H226" s="244"/>
      <c r="I226" s="662"/>
    </row>
    <row r="227">
      <c r="A227" s="265"/>
      <c r="B227" s="938"/>
      <c r="C227" s="252"/>
      <c r="D227" s="822"/>
      <c r="F227" s="250"/>
      <c r="I227" s="847"/>
    </row>
    <row r="228">
      <c r="A228" s="265"/>
      <c r="B228" s="938"/>
      <c r="C228" s="252"/>
      <c r="D228" s="822"/>
      <c r="F228" s="250"/>
      <c r="I228" s="847"/>
    </row>
    <row r="229">
      <c r="A229" s="265"/>
      <c r="B229" s="938"/>
      <c r="C229" s="252"/>
      <c r="D229" s="822"/>
      <c r="F229" s="250"/>
      <c r="I229" s="847"/>
    </row>
    <row r="230">
      <c r="A230" s="265"/>
      <c r="B230" s="938"/>
      <c r="C230" s="252"/>
      <c r="D230" s="822"/>
      <c r="F230" s="250"/>
      <c r="I230" s="847"/>
    </row>
    <row r="231">
      <c r="A231" s="265"/>
      <c r="B231" s="938"/>
      <c r="C231" s="248"/>
      <c r="D231" s="822"/>
      <c r="F231" s="250"/>
      <c r="I231" s="847"/>
    </row>
    <row r="232">
      <c r="A232" s="265"/>
      <c r="B232" s="938"/>
      <c r="C232" s="252"/>
      <c r="D232" s="822"/>
      <c r="F232" s="250"/>
      <c r="I232" s="847"/>
    </row>
    <row r="233">
      <c r="A233" s="265"/>
      <c r="B233" s="938"/>
      <c r="C233" s="252"/>
      <c r="D233" s="822"/>
      <c r="F233" s="250"/>
      <c r="I233" s="847"/>
    </row>
    <row r="234">
      <c r="A234" s="265"/>
      <c r="B234" s="938"/>
      <c r="C234" s="252"/>
      <c r="D234" s="822"/>
      <c r="F234" s="250"/>
      <c r="I234" s="847"/>
    </row>
    <row r="235">
      <c r="A235" s="265"/>
      <c r="B235" s="938"/>
      <c r="C235" s="252"/>
      <c r="D235" s="822"/>
      <c r="F235" s="250"/>
      <c r="I235" s="847"/>
    </row>
    <row r="236">
      <c r="A236" s="265"/>
      <c r="B236" s="938"/>
      <c r="C236" s="252"/>
      <c r="D236" s="822"/>
      <c r="F236" s="250"/>
      <c r="I236" s="847"/>
    </row>
    <row r="237">
      <c r="A237" s="270"/>
      <c r="B237" s="939"/>
      <c r="C237" s="272"/>
      <c r="D237" s="823"/>
      <c r="E237" s="18"/>
      <c r="F237" s="274"/>
      <c r="G237" s="18"/>
      <c r="H237" s="18"/>
      <c r="I237" s="663"/>
    </row>
    <row r="238">
      <c r="A238" s="305">
        <v>44186.0</v>
      </c>
      <c r="B238" s="940"/>
      <c r="C238" s="240"/>
      <c r="D238" s="821"/>
      <c r="E238" s="242"/>
      <c r="F238" s="243">
        <v>3475.0</v>
      </c>
      <c r="G238" s="244" t="s">
        <v>708</v>
      </c>
      <c r="H238" s="244"/>
      <c r="I238" s="662"/>
    </row>
    <row r="239">
      <c r="A239" s="265"/>
      <c r="B239" s="938"/>
      <c r="C239" s="252"/>
      <c r="D239" s="822"/>
      <c r="F239" s="250">
        <v>210.0</v>
      </c>
      <c r="G239" s="2" t="s">
        <v>228</v>
      </c>
      <c r="I239" s="847"/>
    </row>
    <row r="240">
      <c r="A240" s="265"/>
      <c r="B240" s="938"/>
      <c r="C240" s="252"/>
      <c r="D240" s="331">
        <v>11200.0</v>
      </c>
      <c r="F240" s="250"/>
      <c r="G240" s="2" t="s">
        <v>131</v>
      </c>
      <c r="H240" s="838"/>
      <c r="I240" s="847"/>
    </row>
    <row r="241">
      <c r="A241" s="265"/>
      <c r="B241" s="938"/>
      <c r="C241" s="252"/>
      <c r="D241" s="822"/>
      <c r="F241" s="250">
        <v>250.0</v>
      </c>
      <c r="G241" s="2" t="s">
        <v>1729</v>
      </c>
      <c r="H241" s="838"/>
      <c r="I241" s="847"/>
    </row>
    <row r="242">
      <c r="A242" s="265"/>
      <c r="B242" s="938"/>
      <c r="C242" s="252"/>
      <c r="D242" s="822"/>
      <c r="F242" s="250">
        <v>3200.0</v>
      </c>
      <c r="G242" s="2" t="s">
        <v>3745</v>
      </c>
      <c r="H242" s="838"/>
      <c r="I242" s="847"/>
    </row>
    <row r="243">
      <c r="A243" s="265"/>
      <c r="B243" s="938"/>
      <c r="C243" s="252"/>
      <c r="D243" s="822"/>
      <c r="F243" s="250">
        <v>1000.0</v>
      </c>
      <c r="G243" s="2" t="s">
        <v>3746</v>
      </c>
      <c r="H243" s="838"/>
      <c r="I243" s="847"/>
    </row>
    <row r="244">
      <c r="A244" s="265"/>
      <c r="B244" s="938"/>
      <c r="C244" s="252"/>
      <c r="D244" s="822"/>
      <c r="F244" s="250"/>
      <c r="H244" s="838"/>
      <c r="I244" s="847"/>
    </row>
    <row r="245">
      <c r="A245" s="265"/>
      <c r="B245" s="938"/>
      <c r="C245" s="252"/>
      <c r="D245" s="822"/>
      <c r="F245" s="250"/>
      <c r="H245" s="81"/>
      <c r="I245" s="847"/>
    </row>
    <row r="246">
      <c r="A246" s="265"/>
      <c r="B246" s="938"/>
      <c r="C246" s="252"/>
      <c r="D246" s="822"/>
      <c r="F246" s="250"/>
      <c r="H246" s="81"/>
      <c r="I246" s="847"/>
    </row>
    <row r="247">
      <c r="A247" s="265"/>
      <c r="B247" s="938"/>
      <c r="C247" s="252"/>
      <c r="D247" s="822"/>
      <c r="F247" s="250"/>
      <c r="I247" s="847"/>
    </row>
    <row r="248">
      <c r="A248" s="265"/>
      <c r="B248" s="938"/>
      <c r="C248" s="252"/>
      <c r="D248" s="822"/>
      <c r="F248" s="250"/>
      <c r="I248" s="847"/>
    </row>
    <row r="249">
      <c r="A249" s="265"/>
      <c r="B249" s="938"/>
      <c r="C249" s="252"/>
      <c r="D249" s="822"/>
      <c r="F249" s="250"/>
      <c r="I249" s="847"/>
    </row>
    <row r="250">
      <c r="A250" s="270"/>
      <c r="B250" s="939"/>
      <c r="C250" s="272"/>
      <c r="D250" s="823"/>
      <c r="E250" s="18"/>
      <c r="F250" s="274"/>
      <c r="G250" s="18"/>
      <c r="H250" s="18"/>
      <c r="I250" s="663"/>
    </row>
    <row r="251">
      <c r="A251" s="305">
        <v>44187.0</v>
      </c>
      <c r="B251" s="940"/>
      <c r="C251" s="263"/>
      <c r="D251" s="824"/>
      <c r="E251" s="242"/>
      <c r="F251" s="243">
        <v>2120.0</v>
      </c>
      <c r="G251" s="244" t="s">
        <v>615</v>
      </c>
      <c r="H251" s="244"/>
      <c r="I251" s="662"/>
    </row>
    <row r="252">
      <c r="A252" s="265"/>
      <c r="B252" s="938"/>
      <c r="C252" s="252"/>
      <c r="D252" s="822"/>
      <c r="F252" s="250">
        <v>1300.0</v>
      </c>
      <c r="G252" s="2" t="s">
        <v>2887</v>
      </c>
      <c r="I252" s="847"/>
    </row>
    <row r="253">
      <c r="A253" s="265"/>
      <c r="B253" s="938"/>
      <c r="C253" s="252"/>
      <c r="D253" s="822"/>
      <c r="F253" s="250">
        <v>2100.0</v>
      </c>
      <c r="G253" s="2" t="s">
        <v>3183</v>
      </c>
      <c r="I253" s="847"/>
    </row>
    <row r="254">
      <c r="A254" s="265"/>
      <c r="B254" s="938"/>
      <c r="C254" s="252"/>
      <c r="D254" s="822"/>
      <c r="F254" s="250">
        <v>4500.0</v>
      </c>
      <c r="G254" s="2" t="s">
        <v>64</v>
      </c>
      <c r="I254" s="847"/>
    </row>
    <row r="255">
      <c r="A255" s="265"/>
      <c r="B255" s="938"/>
      <c r="C255" s="252"/>
      <c r="D255" s="822"/>
      <c r="F255" s="250"/>
      <c r="I255" s="847"/>
    </row>
    <row r="256">
      <c r="A256" s="265"/>
      <c r="B256" s="938"/>
      <c r="C256" s="248">
        <v>9935.22</v>
      </c>
      <c r="D256" s="331"/>
      <c r="F256" s="250"/>
      <c r="G256" s="2" t="s">
        <v>2637</v>
      </c>
      <c r="I256" s="847"/>
    </row>
    <row r="257">
      <c r="A257" s="265"/>
      <c r="B257" s="938"/>
      <c r="C257" s="252"/>
      <c r="D257" s="822"/>
      <c r="F257" s="250">
        <v>2299.0</v>
      </c>
      <c r="G257" s="2" t="s">
        <v>708</v>
      </c>
      <c r="I257" s="847"/>
    </row>
    <row r="258">
      <c r="A258" s="265"/>
      <c r="B258" s="938"/>
      <c r="C258" s="252"/>
      <c r="D258" s="822"/>
      <c r="F258" s="250">
        <v>2514.0</v>
      </c>
      <c r="G258" s="2" t="s">
        <v>82</v>
      </c>
      <c r="I258" s="847"/>
    </row>
    <row r="259">
      <c r="A259" s="265"/>
      <c r="B259" s="938"/>
      <c r="C259" s="252"/>
      <c r="D259" s="331">
        <v>700.0</v>
      </c>
      <c r="F259" s="250"/>
      <c r="G259" s="2" t="s">
        <v>588</v>
      </c>
      <c r="I259" s="847"/>
    </row>
    <row r="260">
      <c r="A260" s="265"/>
      <c r="B260" s="938"/>
      <c r="C260" s="252"/>
      <c r="D260" s="331">
        <v>10448.0</v>
      </c>
      <c r="F260" s="250"/>
      <c r="G260" s="2" t="s">
        <v>3747</v>
      </c>
      <c r="I260" s="847"/>
    </row>
    <row r="261">
      <c r="A261" s="265"/>
      <c r="B261" s="938"/>
      <c r="C261" s="252"/>
      <c r="D261" s="822"/>
      <c r="F261" s="250">
        <v>20000.0</v>
      </c>
      <c r="G261" s="2" t="s">
        <v>3748</v>
      </c>
      <c r="I261" s="847"/>
    </row>
    <row r="262">
      <c r="A262" s="265"/>
      <c r="B262" s="938"/>
      <c r="C262" s="252"/>
      <c r="D262" s="822"/>
      <c r="F262" s="250"/>
      <c r="I262" s="847"/>
    </row>
    <row r="263">
      <c r="A263" s="265"/>
      <c r="B263" s="938"/>
      <c r="C263" s="252"/>
      <c r="D263" s="822"/>
      <c r="F263" s="250"/>
      <c r="I263" s="847"/>
    </row>
    <row r="264">
      <c r="A264" s="270"/>
      <c r="B264" s="939"/>
      <c r="C264" s="272"/>
      <c r="D264" s="823"/>
      <c r="E264" s="18"/>
      <c r="F264" s="274">
        <f>SUM(F251:F263)</f>
        <v>34833</v>
      </c>
      <c r="G264" s="18"/>
      <c r="H264" s="18"/>
      <c r="I264" s="663"/>
    </row>
    <row r="265">
      <c r="A265" s="305">
        <v>44188.0</v>
      </c>
      <c r="B265" s="940"/>
      <c r="C265" s="240"/>
      <c r="D265" s="824"/>
      <c r="E265" s="242"/>
      <c r="F265" s="243">
        <v>1000.0</v>
      </c>
      <c r="G265" s="244" t="s">
        <v>3749</v>
      </c>
      <c r="H265" s="244"/>
      <c r="I265" s="662"/>
    </row>
    <row r="266">
      <c r="A266" s="265"/>
      <c r="B266" s="938"/>
      <c r="C266" s="252"/>
      <c r="D266" s="822"/>
      <c r="F266" s="250">
        <f>320 + 460+342</f>
        <v>1122</v>
      </c>
      <c r="G266" s="2" t="s">
        <v>228</v>
      </c>
      <c r="I266" s="847"/>
    </row>
    <row r="267">
      <c r="A267" s="265"/>
      <c r="B267" s="938"/>
      <c r="C267" s="252"/>
      <c r="D267" s="822"/>
      <c r="F267" s="250">
        <v>700.0</v>
      </c>
      <c r="G267" s="2" t="s">
        <v>3719</v>
      </c>
      <c r="I267" s="847"/>
    </row>
    <row r="268">
      <c r="A268" s="265"/>
      <c r="B268" s="938"/>
      <c r="C268" s="252"/>
      <c r="D268" s="822"/>
      <c r="F268" s="250">
        <v>90.0</v>
      </c>
      <c r="G268" s="2" t="s">
        <v>3750</v>
      </c>
      <c r="I268" s="847"/>
    </row>
    <row r="269">
      <c r="A269" s="265"/>
      <c r="B269" s="938"/>
      <c r="C269" s="252"/>
      <c r="D269" s="822"/>
      <c r="F269" s="250">
        <v>2065.0</v>
      </c>
      <c r="G269" s="2" t="s">
        <v>314</v>
      </c>
      <c r="I269" s="847"/>
    </row>
    <row r="270">
      <c r="A270" s="265"/>
      <c r="B270" s="938"/>
      <c r="C270" s="252"/>
      <c r="D270" s="822"/>
      <c r="F270" s="250">
        <v>3060.0</v>
      </c>
      <c r="G270" s="2" t="s">
        <v>612</v>
      </c>
      <c r="I270" s="847"/>
    </row>
    <row r="271">
      <c r="A271" s="265"/>
      <c r="B271" s="938"/>
      <c r="C271" s="248">
        <v>11750.35</v>
      </c>
      <c r="D271" s="822"/>
      <c r="F271" s="243"/>
      <c r="G271" s="244" t="s">
        <v>951</v>
      </c>
      <c r="H271" s="244"/>
      <c r="I271" s="847"/>
    </row>
    <row r="272">
      <c r="A272" s="265"/>
      <c r="B272" s="938"/>
      <c r="C272" s="252"/>
      <c r="D272" s="822"/>
      <c r="F272" s="250">
        <v>4500.0</v>
      </c>
      <c r="G272" s="2" t="s">
        <v>394</v>
      </c>
      <c r="I272" s="847"/>
    </row>
    <row r="273">
      <c r="A273" s="265"/>
      <c r="B273" s="938"/>
      <c r="C273" s="252"/>
      <c r="D273" s="822"/>
      <c r="F273" s="250">
        <v>3000.0</v>
      </c>
      <c r="G273" s="2" t="s">
        <v>128</v>
      </c>
      <c r="I273" s="847"/>
    </row>
    <row r="274">
      <c r="A274" s="265"/>
      <c r="B274" s="938"/>
      <c r="C274" s="252"/>
      <c r="D274" s="822"/>
      <c r="F274" s="250">
        <v>1100.0</v>
      </c>
      <c r="G274" s="2" t="s">
        <v>708</v>
      </c>
      <c r="I274" s="847"/>
    </row>
    <row r="275">
      <c r="A275" s="265"/>
      <c r="B275" s="938"/>
      <c r="C275" s="252"/>
      <c r="D275" s="822"/>
      <c r="F275" s="250">
        <v>5000.0</v>
      </c>
      <c r="G275" s="2" t="s">
        <v>3362</v>
      </c>
      <c r="H275" s="252"/>
      <c r="I275" s="847"/>
    </row>
    <row r="276">
      <c r="A276" s="265"/>
      <c r="B276" s="938"/>
      <c r="C276" s="252"/>
      <c r="D276" s="822"/>
      <c r="F276" s="250"/>
      <c r="I276" s="847"/>
    </row>
    <row r="277">
      <c r="A277" s="265"/>
      <c r="B277" s="938"/>
      <c r="C277" s="252"/>
      <c r="D277" s="822"/>
      <c r="F277" s="250"/>
      <c r="I277" s="847"/>
    </row>
    <row r="278">
      <c r="A278" s="265"/>
      <c r="B278" s="938"/>
      <c r="C278" s="252"/>
      <c r="D278" s="822"/>
      <c r="F278" s="250"/>
      <c r="I278" s="847"/>
    </row>
    <row r="279">
      <c r="A279" s="270"/>
      <c r="B279" s="939"/>
      <c r="C279" s="272"/>
      <c r="D279" s="823"/>
      <c r="E279" s="18"/>
      <c r="F279" s="274">
        <f>SUM(F265:F278)</f>
        <v>21637</v>
      </c>
      <c r="G279" s="18"/>
      <c r="H279" s="18"/>
      <c r="I279" s="663"/>
    </row>
    <row r="280">
      <c r="A280" s="305">
        <v>44189.0</v>
      </c>
      <c r="B280" s="940"/>
      <c r="C280" s="240"/>
      <c r="D280" s="824"/>
      <c r="E280" s="242"/>
      <c r="F280" s="250">
        <v>2220.0</v>
      </c>
      <c r="G280" s="2" t="s">
        <v>3130</v>
      </c>
      <c r="I280" s="662"/>
    </row>
    <row r="281">
      <c r="A281" s="265"/>
      <c r="B281" s="938"/>
      <c r="C281" s="252"/>
      <c r="D281" s="822"/>
      <c r="F281" s="250">
        <v>8200.0</v>
      </c>
      <c r="G281" s="2" t="s">
        <v>3209</v>
      </c>
      <c r="H281" s="252"/>
      <c r="I281" s="847"/>
    </row>
    <row r="282">
      <c r="A282" s="265"/>
      <c r="B282" s="938"/>
      <c r="C282" s="252"/>
      <c r="D282" s="822"/>
      <c r="F282" s="250">
        <f>30+39</f>
        <v>69</v>
      </c>
      <c r="G282" s="2" t="s">
        <v>314</v>
      </c>
      <c r="I282" s="847"/>
    </row>
    <row r="283">
      <c r="A283" s="265"/>
      <c r="B283" s="938"/>
      <c r="C283" s="252"/>
      <c r="D283" s="822"/>
      <c r="F283" s="250">
        <v>7000.0</v>
      </c>
      <c r="G283" s="2" t="s">
        <v>3751</v>
      </c>
      <c r="H283" s="252"/>
      <c r="I283" s="847"/>
    </row>
    <row r="284">
      <c r="A284" s="265"/>
      <c r="B284" s="938"/>
      <c r="C284" s="252"/>
      <c r="D284" s="822"/>
      <c r="F284" s="250">
        <v>7000.0</v>
      </c>
      <c r="G284" s="2" t="s">
        <v>3752</v>
      </c>
      <c r="H284" s="252"/>
      <c r="I284" s="847"/>
    </row>
    <row r="285">
      <c r="A285" s="265"/>
      <c r="B285" s="938"/>
      <c r="C285" s="252"/>
      <c r="D285" s="822"/>
      <c r="F285" s="250"/>
      <c r="I285" s="847"/>
    </row>
    <row r="286">
      <c r="A286" s="265"/>
      <c r="B286" s="938"/>
      <c r="C286" s="252"/>
      <c r="D286" s="822"/>
      <c r="F286" s="250"/>
      <c r="I286" s="847"/>
    </row>
    <row r="287">
      <c r="A287" s="265"/>
      <c r="B287" s="938"/>
      <c r="C287" s="252"/>
      <c r="D287" s="822"/>
      <c r="F287" s="250"/>
      <c r="I287" s="847"/>
    </row>
    <row r="288">
      <c r="A288" s="265"/>
      <c r="B288" s="938"/>
      <c r="C288" s="252"/>
      <c r="D288" s="822"/>
      <c r="F288" s="250"/>
      <c r="I288" s="847"/>
    </row>
    <row r="289">
      <c r="A289" s="265"/>
      <c r="B289" s="938"/>
      <c r="C289" s="252"/>
      <c r="D289" s="822"/>
      <c r="F289" s="250"/>
      <c r="I289" s="847"/>
    </row>
    <row r="290">
      <c r="A290" s="270"/>
      <c r="B290" s="939"/>
      <c r="C290" s="272"/>
      <c r="D290" s="823"/>
      <c r="E290" s="18"/>
      <c r="F290" s="274"/>
      <c r="G290" s="18"/>
      <c r="H290" s="18"/>
      <c r="I290" s="663"/>
    </row>
    <row r="291">
      <c r="A291" s="305">
        <v>44190.0</v>
      </c>
      <c r="B291" s="940"/>
      <c r="C291" s="240"/>
      <c r="D291" s="824"/>
      <c r="E291" s="242"/>
      <c r="F291" s="243"/>
      <c r="G291" s="244"/>
      <c r="H291" s="244"/>
      <c r="I291" s="662"/>
    </row>
    <row r="292">
      <c r="A292" s="265"/>
      <c r="B292" s="938"/>
      <c r="C292" s="252"/>
      <c r="D292" s="822"/>
      <c r="F292" s="250"/>
      <c r="I292" s="847"/>
    </row>
    <row r="293">
      <c r="A293" s="265"/>
      <c r="B293" s="938"/>
      <c r="C293" s="248"/>
      <c r="D293" s="822"/>
      <c r="F293" s="250"/>
      <c r="I293" s="847"/>
    </row>
    <row r="294">
      <c r="A294" s="265"/>
      <c r="B294" s="938"/>
      <c r="C294" s="252"/>
      <c r="D294" s="822"/>
      <c r="F294" s="250"/>
      <c r="I294" s="847"/>
    </row>
    <row r="295">
      <c r="A295" s="265"/>
      <c r="B295" s="938"/>
      <c r="C295" s="252"/>
      <c r="D295" s="822"/>
      <c r="F295" s="250"/>
      <c r="I295" s="847"/>
    </row>
    <row r="296">
      <c r="A296" s="265"/>
      <c r="B296" s="938"/>
      <c r="C296" s="252"/>
      <c r="D296" s="822"/>
      <c r="F296" s="250"/>
      <c r="I296" s="847"/>
    </row>
    <row r="297">
      <c r="A297" s="265"/>
      <c r="B297" s="938"/>
      <c r="C297" s="252"/>
      <c r="D297" s="822"/>
      <c r="F297" s="250"/>
      <c r="I297" s="847"/>
    </row>
    <row r="298">
      <c r="A298" s="265"/>
      <c r="B298" s="938"/>
      <c r="C298" s="252"/>
      <c r="D298" s="822"/>
      <c r="F298" s="250"/>
      <c r="I298" s="847"/>
    </row>
    <row r="299">
      <c r="A299" s="265"/>
      <c r="B299" s="938"/>
      <c r="C299" s="252"/>
      <c r="D299" s="822"/>
      <c r="F299" s="250"/>
      <c r="I299" s="847"/>
    </row>
    <row r="300">
      <c r="A300" s="265"/>
      <c r="B300" s="938"/>
      <c r="C300" s="252"/>
      <c r="D300" s="822"/>
      <c r="F300" s="250"/>
      <c r="I300" s="847"/>
    </row>
    <row r="301">
      <c r="A301" s="270"/>
      <c r="B301" s="939"/>
      <c r="C301" s="272"/>
      <c r="D301" s="823"/>
      <c r="E301" s="18"/>
      <c r="F301" s="274"/>
      <c r="G301" s="18"/>
      <c r="H301" s="18"/>
      <c r="I301" s="663"/>
    </row>
    <row r="302">
      <c r="A302" s="305">
        <v>44191.0</v>
      </c>
      <c r="B302" s="940"/>
      <c r="C302" s="240"/>
      <c r="D302" s="824"/>
      <c r="E302" s="242"/>
      <c r="F302" s="243">
        <v>9100.0</v>
      </c>
      <c r="G302" s="244" t="s">
        <v>573</v>
      </c>
      <c r="H302" s="263"/>
      <c r="I302" s="662"/>
    </row>
    <row r="303">
      <c r="A303" s="265"/>
      <c r="B303" s="938"/>
      <c r="C303" s="252"/>
      <c r="D303" s="822"/>
      <c r="F303" s="250">
        <v>13500.0</v>
      </c>
      <c r="G303" s="2" t="s">
        <v>1105</v>
      </c>
      <c r="H303" s="252"/>
      <c r="I303" s="847"/>
    </row>
    <row r="304">
      <c r="A304" s="265"/>
      <c r="B304" s="938"/>
      <c r="C304" s="252"/>
      <c r="D304" s="822"/>
      <c r="F304" s="250">
        <v>6700.0</v>
      </c>
      <c r="G304" s="2" t="s">
        <v>3078</v>
      </c>
      <c r="H304" s="252"/>
      <c r="I304" s="847"/>
    </row>
    <row r="305">
      <c r="A305" s="265"/>
      <c r="B305" s="938"/>
      <c r="C305" s="252"/>
      <c r="D305" s="822"/>
      <c r="F305" s="250">
        <v>4500.0</v>
      </c>
      <c r="G305" s="2" t="s">
        <v>87</v>
      </c>
      <c r="I305" s="847"/>
    </row>
    <row r="306">
      <c r="A306" s="265"/>
      <c r="B306" s="938"/>
      <c r="C306" s="252"/>
      <c r="D306" s="822"/>
      <c r="F306" s="250">
        <v>1266.0</v>
      </c>
      <c r="G306" s="2" t="s">
        <v>708</v>
      </c>
      <c r="I306" s="847"/>
    </row>
    <row r="307">
      <c r="A307" s="265"/>
      <c r="B307" s="938"/>
      <c r="C307" s="252"/>
      <c r="D307" s="822"/>
      <c r="F307" s="250">
        <v>600.0</v>
      </c>
      <c r="G307" s="2" t="s">
        <v>344</v>
      </c>
      <c r="I307" s="847"/>
    </row>
    <row r="308">
      <c r="A308" s="265"/>
      <c r="B308" s="938"/>
      <c r="C308" s="252"/>
      <c r="D308" s="822"/>
      <c r="F308" s="250">
        <v>250.0</v>
      </c>
      <c r="G308" s="2" t="s">
        <v>85</v>
      </c>
      <c r="I308" s="847"/>
    </row>
    <row r="309">
      <c r="A309" s="265"/>
      <c r="B309" s="938"/>
      <c r="C309" s="252"/>
      <c r="D309" s="822"/>
      <c r="F309" s="250"/>
      <c r="I309" s="847"/>
    </row>
    <row r="310">
      <c r="A310" s="265"/>
      <c r="B310" s="938"/>
      <c r="C310" s="252"/>
      <c r="D310" s="822"/>
      <c r="F310" s="250"/>
      <c r="I310" s="847"/>
    </row>
    <row r="311">
      <c r="A311" s="265"/>
      <c r="B311" s="938"/>
      <c r="C311" s="252"/>
      <c r="D311" s="822"/>
      <c r="F311" s="250"/>
      <c r="I311" s="847"/>
    </row>
    <row r="312">
      <c r="A312" s="270"/>
      <c r="B312" s="939"/>
      <c r="C312" s="272"/>
      <c r="D312" s="823"/>
      <c r="E312" s="18"/>
      <c r="F312" s="274"/>
      <c r="G312" s="18"/>
      <c r="H312" s="18"/>
      <c r="I312" s="663"/>
    </row>
    <row r="313">
      <c r="A313" s="305">
        <v>44192.0</v>
      </c>
      <c r="B313" s="940"/>
      <c r="C313" s="240"/>
      <c r="D313" s="824"/>
      <c r="E313" s="242"/>
      <c r="F313" s="243">
        <v>8200.0</v>
      </c>
      <c r="G313" s="2" t="s">
        <v>2893</v>
      </c>
      <c r="H313" s="252"/>
      <c r="I313" s="662"/>
    </row>
    <row r="314">
      <c r="A314" s="265"/>
      <c r="B314" s="938"/>
      <c r="C314" s="248"/>
      <c r="D314" s="822"/>
      <c r="F314" s="250">
        <v>4400.0</v>
      </c>
      <c r="G314" s="2" t="s">
        <v>3753</v>
      </c>
      <c r="H314" s="252"/>
      <c r="I314" s="847"/>
    </row>
    <row r="315">
      <c r="A315" s="265"/>
      <c r="B315" s="938"/>
      <c r="C315" s="248"/>
      <c r="D315" s="822"/>
      <c r="F315" s="250">
        <v>2100.0</v>
      </c>
      <c r="G315" s="2" t="s">
        <v>3754</v>
      </c>
      <c r="H315" s="252"/>
      <c r="I315" s="847"/>
    </row>
    <row r="316">
      <c r="A316" s="265"/>
      <c r="B316" s="938"/>
      <c r="C316" s="252"/>
      <c r="D316" s="822"/>
      <c r="F316" s="250"/>
      <c r="I316" s="847"/>
    </row>
    <row r="317">
      <c r="A317" s="265"/>
      <c r="B317" s="938"/>
      <c r="C317" s="252"/>
      <c r="D317" s="822"/>
      <c r="F317" s="250"/>
      <c r="I317" s="847"/>
    </row>
    <row r="318">
      <c r="A318" s="265"/>
      <c r="B318" s="938"/>
      <c r="C318" s="252"/>
      <c r="D318" s="822"/>
      <c r="F318" s="250"/>
      <c r="I318" s="847"/>
    </row>
    <row r="319">
      <c r="A319" s="265"/>
      <c r="B319" s="938"/>
      <c r="C319" s="252"/>
      <c r="D319" s="822"/>
      <c r="F319" s="250"/>
      <c r="I319" s="847"/>
    </row>
    <row r="320">
      <c r="A320" s="265"/>
      <c r="B320" s="938"/>
      <c r="C320" s="252"/>
      <c r="D320" s="822"/>
      <c r="F320" s="250"/>
      <c r="I320" s="847"/>
    </row>
    <row r="321">
      <c r="A321" s="265"/>
      <c r="B321" s="938"/>
      <c r="C321" s="252"/>
      <c r="D321" s="822"/>
      <c r="F321" s="250"/>
      <c r="I321" s="847"/>
    </row>
    <row r="322">
      <c r="A322" s="265"/>
      <c r="B322" s="938"/>
      <c r="C322" s="252"/>
      <c r="D322" s="822"/>
      <c r="F322" s="250"/>
      <c r="I322" s="847"/>
    </row>
    <row r="323">
      <c r="A323" s="270"/>
      <c r="B323" s="939"/>
      <c r="C323" s="272"/>
      <c r="D323" s="823"/>
      <c r="E323" s="18"/>
      <c r="F323" s="274"/>
      <c r="G323" s="18"/>
      <c r="H323" s="18"/>
      <c r="I323" s="663"/>
    </row>
    <row r="324">
      <c r="A324" s="305">
        <v>44193.0</v>
      </c>
      <c r="B324" s="940"/>
      <c r="C324" s="240"/>
      <c r="D324" s="824"/>
      <c r="E324" s="242"/>
      <c r="F324" s="243">
        <v>2400.0</v>
      </c>
      <c r="G324" s="244" t="s">
        <v>3755</v>
      </c>
      <c r="H324" s="244"/>
      <c r="I324" s="662"/>
    </row>
    <row r="325">
      <c r="A325" s="265"/>
      <c r="B325" s="938"/>
      <c r="C325" s="248"/>
      <c r="D325" s="331">
        <v>1355.0</v>
      </c>
      <c r="F325" s="250"/>
      <c r="G325" s="2" t="s">
        <v>1732</v>
      </c>
      <c r="H325" s="2"/>
      <c r="I325" s="847"/>
    </row>
    <row r="326">
      <c r="A326" s="265"/>
      <c r="B326" s="938"/>
      <c r="C326" s="252"/>
      <c r="D326" s="331"/>
      <c r="F326" s="250">
        <v>2514.0</v>
      </c>
      <c r="G326" s="2" t="s">
        <v>58</v>
      </c>
      <c r="H326" s="2"/>
      <c r="I326" s="847"/>
    </row>
    <row r="327">
      <c r="A327" s="265"/>
      <c r="B327" s="938"/>
      <c r="C327" s="252"/>
      <c r="D327" s="822"/>
      <c r="F327" s="250">
        <v>4500.0</v>
      </c>
      <c r="G327" s="2" t="s">
        <v>64</v>
      </c>
      <c r="H327" s="2"/>
      <c r="I327" s="847"/>
    </row>
    <row r="328">
      <c r="A328" s="265"/>
      <c r="B328" s="938"/>
      <c r="C328" s="248">
        <v>9809.48</v>
      </c>
      <c r="D328" s="331"/>
      <c r="F328" s="250"/>
      <c r="G328" s="2" t="s">
        <v>77</v>
      </c>
      <c r="H328" s="2"/>
      <c r="I328" s="847"/>
    </row>
    <row r="329">
      <c r="A329" s="265"/>
      <c r="B329" s="938"/>
      <c r="C329" s="252"/>
      <c r="D329" s="331"/>
      <c r="F329" s="250">
        <v>3431.45</v>
      </c>
      <c r="G329" s="2" t="s">
        <v>708</v>
      </c>
      <c r="H329" s="2"/>
      <c r="I329" s="847"/>
    </row>
    <row r="330">
      <c r="A330" s="265"/>
      <c r="B330" s="938"/>
      <c r="C330" s="252"/>
      <c r="D330" s="822"/>
      <c r="F330" s="250">
        <v>800.0</v>
      </c>
      <c r="G330" s="2" t="s">
        <v>3756</v>
      </c>
      <c r="H330" s="2"/>
      <c r="I330" s="847"/>
    </row>
    <row r="331">
      <c r="A331" s="265"/>
      <c r="B331" s="938"/>
      <c r="C331" s="252"/>
      <c r="D331" s="331">
        <v>10800.0</v>
      </c>
      <c r="F331" s="250"/>
      <c r="G331" s="2" t="s">
        <v>167</v>
      </c>
      <c r="I331" s="847"/>
    </row>
    <row r="332">
      <c r="A332" s="265"/>
      <c r="B332" s="938"/>
      <c r="C332" s="252"/>
      <c r="D332" s="822"/>
      <c r="F332" s="250">
        <v>400.0</v>
      </c>
      <c r="G332" s="2" t="s">
        <v>215</v>
      </c>
      <c r="I332" s="847"/>
    </row>
    <row r="333">
      <c r="A333" s="265"/>
      <c r="B333" s="938"/>
      <c r="C333" s="252"/>
      <c r="D333" s="822"/>
      <c r="F333" s="250">
        <v>157.0</v>
      </c>
      <c r="G333" s="2" t="s">
        <v>3757</v>
      </c>
      <c r="I333" s="847"/>
    </row>
    <row r="334">
      <c r="A334" s="265"/>
      <c r="B334" s="938"/>
      <c r="C334" s="252"/>
      <c r="D334" s="331">
        <v>3388.0</v>
      </c>
      <c r="F334" s="250"/>
      <c r="G334" s="2" t="s">
        <v>3758</v>
      </c>
      <c r="I334" s="847"/>
    </row>
    <row r="335">
      <c r="A335" s="265"/>
      <c r="B335" s="938"/>
      <c r="C335" s="252"/>
      <c r="D335" s="822"/>
      <c r="F335" s="250"/>
      <c r="I335" s="847"/>
    </row>
    <row r="336">
      <c r="A336" s="270"/>
      <c r="B336" s="939"/>
      <c r="C336" s="272"/>
      <c r="D336" s="823"/>
      <c r="E336" s="18"/>
      <c r="F336" s="274"/>
      <c r="G336" s="18"/>
      <c r="H336" s="18"/>
      <c r="I336" s="663"/>
    </row>
    <row r="337">
      <c r="A337" s="305">
        <v>44194.0</v>
      </c>
      <c r="B337" s="940"/>
      <c r="C337" s="240"/>
      <c r="D337" s="824"/>
      <c r="E337" s="242"/>
      <c r="F337" s="243">
        <v>7321.5</v>
      </c>
      <c r="G337" s="244" t="s">
        <v>74</v>
      </c>
      <c r="H337" s="244"/>
      <c r="I337" s="662"/>
    </row>
    <row r="338">
      <c r="A338" s="265"/>
      <c r="B338" s="938"/>
      <c r="C338" s="248">
        <v>19436.7</v>
      </c>
      <c r="D338" s="331"/>
      <c r="F338" s="250"/>
      <c r="G338" s="2" t="s">
        <v>71</v>
      </c>
      <c r="I338" s="847"/>
    </row>
    <row r="339">
      <c r="A339" s="265"/>
      <c r="B339" s="938"/>
      <c r="C339" s="252"/>
      <c r="D339" s="822"/>
      <c r="E339" s="2">
        <v>7227.0</v>
      </c>
      <c r="F339" s="250"/>
      <c r="G339" s="2" t="s">
        <v>3455</v>
      </c>
      <c r="I339" s="847"/>
    </row>
    <row r="340">
      <c r="A340" s="265"/>
      <c r="B340" s="938"/>
      <c r="C340" s="252"/>
      <c r="D340" s="822"/>
      <c r="F340" s="250">
        <v>2190.0</v>
      </c>
      <c r="G340" s="2" t="s">
        <v>3003</v>
      </c>
      <c r="I340" s="847"/>
    </row>
    <row r="341">
      <c r="A341" s="265"/>
      <c r="B341" s="938"/>
      <c r="C341" s="252"/>
      <c r="D341" s="331"/>
      <c r="F341" s="250">
        <f>502+3500</f>
        <v>4002</v>
      </c>
      <c r="G341" s="2" t="s">
        <v>708</v>
      </c>
      <c r="I341" s="847"/>
    </row>
    <row r="342">
      <c r="A342" s="265"/>
      <c r="B342" s="938"/>
      <c r="C342" s="252"/>
      <c r="D342" s="822"/>
      <c r="F342" s="250">
        <v>7000.0</v>
      </c>
      <c r="G342" s="2" t="s">
        <v>3759</v>
      </c>
      <c r="H342" s="252"/>
      <c r="I342" s="847"/>
    </row>
    <row r="343">
      <c r="A343" s="265"/>
      <c r="B343" s="938"/>
      <c r="C343" s="252"/>
      <c r="D343" s="822"/>
      <c r="F343" s="250">
        <v>1300.0</v>
      </c>
      <c r="G343" s="2" t="s">
        <v>68</v>
      </c>
      <c r="I343" s="847"/>
    </row>
    <row r="344">
      <c r="A344" s="265"/>
      <c r="B344" s="938"/>
      <c r="C344" s="252"/>
      <c r="D344" s="822"/>
      <c r="F344" s="250">
        <v>250.0</v>
      </c>
      <c r="G344" s="2" t="s">
        <v>3149</v>
      </c>
      <c r="I344" s="847"/>
    </row>
    <row r="345">
      <c r="A345" s="265"/>
      <c r="B345" s="938"/>
      <c r="C345" s="252"/>
      <c r="D345" s="822"/>
      <c r="F345" s="250">
        <v>1500.0</v>
      </c>
      <c r="G345" s="2" t="s">
        <v>426</v>
      </c>
      <c r="I345" s="847"/>
    </row>
    <row r="346">
      <c r="A346" s="265"/>
      <c r="B346" s="941"/>
      <c r="C346" s="252"/>
      <c r="D346" s="822"/>
      <c r="F346" s="282"/>
      <c r="I346" s="847"/>
    </row>
    <row r="347">
      <c r="A347" s="265"/>
      <c r="B347" s="941"/>
      <c r="C347" s="252"/>
      <c r="D347" s="822"/>
      <c r="F347" s="282"/>
      <c r="I347" s="847"/>
    </row>
    <row r="348">
      <c r="A348" s="270"/>
      <c r="B348" s="939"/>
      <c r="C348" s="272"/>
      <c r="D348" s="823"/>
      <c r="E348" s="18"/>
      <c r="F348" s="274"/>
      <c r="G348" s="18"/>
      <c r="H348" s="18"/>
      <c r="I348" s="663"/>
    </row>
    <row r="349">
      <c r="A349" s="305">
        <v>44195.0</v>
      </c>
      <c r="B349" s="940"/>
      <c r="C349" s="240"/>
      <c r="D349" s="824"/>
      <c r="E349" s="242"/>
      <c r="F349" s="243">
        <v>700.0</v>
      </c>
      <c r="G349" s="244" t="s">
        <v>3719</v>
      </c>
      <c r="H349" s="244"/>
      <c r="I349" s="662"/>
    </row>
    <row r="350">
      <c r="A350" s="265"/>
      <c r="B350" s="938"/>
      <c r="C350" s="252"/>
      <c r="D350" s="331"/>
      <c r="F350" s="250">
        <v>4500.0</v>
      </c>
      <c r="G350" s="2" t="s">
        <v>64</v>
      </c>
      <c r="I350" s="847"/>
    </row>
    <row r="351">
      <c r="A351" s="265"/>
      <c r="B351" s="938"/>
      <c r="C351" s="252"/>
      <c r="D351" s="822"/>
      <c r="F351" s="250">
        <v>2044.0</v>
      </c>
      <c r="G351" s="2" t="s">
        <v>314</v>
      </c>
      <c r="I351" s="847"/>
    </row>
    <row r="352">
      <c r="A352" s="265"/>
      <c r="B352" s="938"/>
      <c r="C352" s="252"/>
      <c r="D352" s="331"/>
      <c r="F352" s="250">
        <v>200.0</v>
      </c>
      <c r="G352" s="2" t="s">
        <v>344</v>
      </c>
      <c r="I352" s="847"/>
    </row>
    <row r="353">
      <c r="A353" s="265"/>
      <c r="B353" s="938"/>
      <c r="C353" s="252"/>
      <c r="D353" s="822"/>
      <c r="F353" s="250"/>
      <c r="I353" s="847"/>
    </row>
    <row r="354">
      <c r="A354" s="265"/>
      <c r="B354" s="938"/>
      <c r="C354" s="252"/>
      <c r="D354" s="331"/>
      <c r="F354" s="250"/>
      <c r="I354" s="847"/>
    </row>
    <row r="355">
      <c r="A355" s="265"/>
      <c r="B355" s="938"/>
      <c r="C355" s="252"/>
      <c r="D355" s="822"/>
      <c r="F355" s="250"/>
      <c r="I355" s="847"/>
    </row>
    <row r="356">
      <c r="A356" s="265"/>
      <c r="B356" s="938"/>
      <c r="C356" s="252"/>
      <c r="D356" s="822"/>
      <c r="F356" s="250"/>
      <c r="I356" s="847"/>
    </row>
    <row r="357">
      <c r="A357" s="265"/>
      <c r="B357" s="938"/>
      <c r="C357" s="252"/>
      <c r="D357" s="822"/>
      <c r="F357" s="250"/>
      <c r="I357" s="847"/>
    </row>
    <row r="358">
      <c r="A358" s="265"/>
      <c r="B358" s="938"/>
      <c r="C358" s="252"/>
      <c r="D358" s="822"/>
      <c r="F358" s="250"/>
      <c r="I358" s="847"/>
    </row>
    <row r="359">
      <c r="A359" s="265"/>
      <c r="B359" s="938"/>
      <c r="C359" s="252"/>
      <c r="D359" s="822"/>
      <c r="F359" s="250"/>
      <c r="I359" s="847"/>
    </row>
    <row r="360">
      <c r="A360" s="270"/>
      <c r="B360" s="939"/>
      <c r="C360" s="272"/>
      <c r="D360" s="823"/>
      <c r="E360" s="18"/>
      <c r="F360" s="274">
        <f>SUM(F349:F359)</f>
        <v>7444</v>
      </c>
      <c r="G360" s="18"/>
      <c r="H360" s="18"/>
      <c r="I360" s="663"/>
    </row>
    <row r="361">
      <c r="A361" s="305">
        <v>44196.0</v>
      </c>
      <c r="B361" s="940"/>
      <c r="C361" s="240"/>
      <c r="D361" s="824"/>
      <c r="E361" s="242"/>
      <c r="F361" s="243">
        <v>2540.0</v>
      </c>
      <c r="G361" s="244" t="s">
        <v>2755</v>
      </c>
      <c r="H361" s="244"/>
      <c r="I361" s="662"/>
    </row>
    <row r="362">
      <c r="A362" s="265"/>
      <c r="B362" s="938"/>
      <c r="C362" s="252"/>
      <c r="D362" s="822"/>
      <c r="F362" s="250">
        <v>7900.0</v>
      </c>
      <c r="G362" s="2" t="s">
        <v>3760</v>
      </c>
      <c r="H362" s="252"/>
      <c r="I362" s="847"/>
    </row>
    <row r="363">
      <c r="A363" s="265"/>
      <c r="B363" s="938"/>
      <c r="C363" s="252"/>
      <c r="D363" s="822"/>
      <c r="F363" s="250">
        <v>5050.0</v>
      </c>
      <c r="G363" s="2" t="s">
        <v>3761</v>
      </c>
      <c r="H363" s="252"/>
      <c r="I363" s="847"/>
    </row>
    <row r="364">
      <c r="A364" s="265"/>
      <c r="B364" s="938"/>
      <c r="C364" s="252"/>
      <c r="D364" s="822"/>
      <c r="F364" s="250">
        <v>4300.0</v>
      </c>
      <c r="G364" s="2" t="s">
        <v>3762</v>
      </c>
      <c r="H364" s="252"/>
      <c r="I364" s="847"/>
    </row>
    <row r="365">
      <c r="A365" s="265"/>
      <c r="B365" s="938"/>
      <c r="C365" s="252"/>
      <c r="D365" s="822"/>
      <c r="F365" s="250">
        <v>7000.0</v>
      </c>
      <c r="G365" s="2" t="s">
        <v>3763</v>
      </c>
      <c r="H365" s="252"/>
      <c r="I365" s="847"/>
    </row>
    <row r="366">
      <c r="A366" s="265"/>
      <c r="B366" s="938"/>
      <c r="C366" s="252"/>
      <c r="D366" s="822"/>
      <c r="F366" s="250">
        <v>800.0</v>
      </c>
      <c r="G366" s="2" t="s">
        <v>708</v>
      </c>
      <c r="H366" s="2"/>
      <c r="I366" s="847"/>
    </row>
    <row r="367">
      <c r="A367" s="265"/>
      <c r="B367" s="938"/>
      <c r="C367" s="252"/>
      <c r="D367" s="822"/>
      <c r="F367" s="250"/>
      <c r="I367" s="847"/>
    </row>
    <row r="368">
      <c r="A368" s="265"/>
      <c r="B368" s="938"/>
      <c r="C368" s="252"/>
      <c r="D368" s="822"/>
      <c r="F368" s="250"/>
      <c r="I368" s="847"/>
    </row>
    <row r="369">
      <c r="A369" s="265"/>
      <c r="B369" s="938"/>
      <c r="C369" s="252"/>
      <c r="D369" s="822"/>
      <c r="F369" s="250"/>
      <c r="I369" s="847"/>
    </row>
    <row r="370">
      <c r="A370" s="270"/>
      <c r="B370" s="939"/>
      <c r="C370" s="272"/>
      <c r="D370" s="823"/>
      <c r="E370" s="18"/>
      <c r="F370" s="274"/>
      <c r="G370" s="18"/>
      <c r="H370" s="18"/>
      <c r="I370" s="663"/>
    </row>
    <row r="371">
      <c r="A371" s="305"/>
      <c r="B371" s="940"/>
      <c r="C371" s="240"/>
      <c r="D371" s="824"/>
      <c r="E371" s="242"/>
      <c r="F371" s="243"/>
      <c r="G371" s="244"/>
      <c r="H371" s="244"/>
      <c r="I371" s="662"/>
    </row>
    <row r="372">
      <c r="A372" s="265"/>
      <c r="B372" s="938"/>
      <c r="C372" s="252"/>
      <c r="D372" s="822"/>
      <c r="F372" s="250"/>
      <c r="I372" s="847"/>
    </row>
    <row r="373">
      <c r="A373" s="265"/>
      <c r="B373" s="938"/>
      <c r="C373" s="252"/>
      <c r="D373" s="822"/>
      <c r="F373" s="250"/>
      <c r="I373" s="847"/>
    </row>
    <row r="374">
      <c r="A374" s="265"/>
      <c r="B374" s="938"/>
      <c r="C374" s="252"/>
      <c r="D374" s="822"/>
      <c r="F374" s="250"/>
      <c r="I374" s="847"/>
    </row>
    <row r="375">
      <c r="A375" s="265"/>
      <c r="B375" s="938"/>
      <c r="C375" s="252"/>
      <c r="D375" s="822"/>
      <c r="F375" s="250"/>
      <c r="I375" s="847"/>
    </row>
    <row r="376">
      <c r="A376" s="265"/>
      <c r="B376" s="938"/>
      <c r="C376" s="252"/>
      <c r="D376" s="822"/>
      <c r="F376" s="250"/>
      <c r="I376" s="847"/>
    </row>
    <row r="377">
      <c r="A377" s="265"/>
      <c r="B377" s="938"/>
      <c r="C377" s="252"/>
      <c r="D377" s="822"/>
      <c r="F377" s="250"/>
      <c r="I377" s="847"/>
    </row>
    <row r="378">
      <c r="A378" s="265"/>
      <c r="B378" s="938"/>
      <c r="C378" s="252"/>
      <c r="D378" s="822"/>
      <c r="F378" s="250"/>
      <c r="I378" s="847"/>
    </row>
    <row r="379">
      <c r="A379" s="265"/>
      <c r="B379" s="938"/>
      <c r="C379" s="252"/>
      <c r="D379" s="822"/>
      <c r="F379" s="250"/>
      <c r="I379" s="847"/>
    </row>
    <row r="380">
      <c r="A380" s="270"/>
      <c r="B380" s="939"/>
      <c r="C380" s="272"/>
      <c r="D380" s="823"/>
      <c r="E380" s="18"/>
      <c r="F380" s="274"/>
      <c r="G380" s="18"/>
      <c r="H380" s="18"/>
      <c r="I380" s="663"/>
    </row>
    <row r="381">
      <c r="B381" s="940"/>
      <c r="C381" s="240"/>
      <c r="D381" s="824"/>
      <c r="E381" s="242"/>
      <c r="F381" s="243"/>
      <c r="G381" s="244"/>
      <c r="H381" s="244"/>
      <c r="I381" s="662"/>
    </row>
    <row r="382">
      <c r="B382" s="938" t="str">
        <f t="shared" ref="B382:B383" si="1">F382</f>
        <v/>
      </c>
      <c r="C382" s="252"/>
      <c r="D382" s="822"/>
      <c r="F382" s="250"/>
      <c r="I382" s="847"/>
    </row>
    <row r="383">
      <c r="B383" s="938" t="str">
        <f t="shared" si="1"/>
        <v/>
      </c>
      <c r="C383" s="252"/>
      <c r="D383" s="822"/>
      <c r="F383" s="250"/>
      <c r="I383" s="847"/>
    </row>
    <row r="384">
      <c r="B384" s="309"/>
      <c r="C384" s="252"/>
      <c r="D384" s="822"/>
      <c r="F384" s="309"/>
    </row>
    <row r="385">
      <c r="B385" s="309"/>
      <c r="C385" s="252"/>
      <c r="D385" s="822"/>
      <c r="F385" s="309"/>
    </row>
    <row r="386">
      <c r="B386" s="309"/>
      <c r="C386" s="252"/>
      <c r="D386" s="822"/>
      <c r="F386" s="309"/>
    </row>
    <row r="387">
      <c r="B387" s="309"/>
      <c r="C387" s="252"/>
      <c r="D387" s="822"/>
      <c r="F387" s="309"/>
    </row>
    <row r="388">
      <c r="B388" s="309"/>
      <c r="C388" s="252"/>
      <c r="D388" s="822"/>
      <c r="F388" s="309"/>
    </row>
    <row r="389">
      <c r="B389" s="309"/>
      <c r="C389" s="252"/>
      <c r="D389" s="822"/>
      <c r="F389" s="309"/>
    </row>
    <row r="390">
      <c r="B390" s="309"/>
      <c r="C390" s="252"/>
      <c r="D390" s="822"/>
      <c r="F390" s="309"/>
    </row>
    <row r="391">
      <c r="B391" s="309"/>
      <c r="C391" s="252"/>
      <c r="D391" s="822"/>
      <c r="F391" s="309"/>
    </row>
    <row r="392">
      <c r="B392" s="309"/>
      <c r="C392" s="252"/>
      <c r="D392" s="822"/>
      <c r="F392" s="309"/>
    </row>
    <row r="393">
      <c r="B393" s="309"/>
      <c r="C393" s="252"/>
      <c r="D393" s="822"/>
      <c r="F393" s="309"/>
    </row>
    <row r="394">
      <c r="B394" s="309"/>
      <c r="C394" s="252"/>
      <c r="D394" s="822"/>
      <c r="F394" s="309"/>
    </row>
    <row r="395">
      <c r="B395" s="309"/>
      <c r="C395" s="252"/>
      <c r="D395" s="822"/>
      <c r="F395" s="309"/>
    </row>
    <row r="396">
      <c r="B396" s="309"/>
      <c r="C396" s="252"/>
      <c r="D396" s="822"/>
      <c r="F396" s="309"/>
    </row>
    <row r="397">
      <c r="B397" s="309"/>
      <c r="C397" s="252"/>
      <c r="D397" s="822"/>
      <c r="F397" s="309"/>
    </row>
    <row r="398">
      <c r="B398" s="309"/>
      <c r="C398" s="252"/>
      <c r="D398" s="822"/>
      <c r="F398" s="309"/>
    </row>
    <row r="399">
      <c r="B399" s="309"/>
      <c r="C399" s="252"/>
      <c r="D399" s="822"/>
      <c r="F399" s="309"/>
    </row>
    <row r="400">
      <c r="B400" s="309"/>
      <c r="C400" s="252"/>
      <c r="D400" s="822"/>
      <c r="F400" s="309"/>
    </row>
    <row r="401">
      <c r="B401" s="309"/>
      <c r="C401" s="252"/>
      <c r="D401" s="822"/>
      <c r="F401" s="309"/>
    </row>
    <row r="402">
      <c r="B402" s="309"/>
      <c r="C402" s="252"/>
      <c r="D402" s="822"/>
      <c r="F402" s="309"/>
    </row>
    <row r="403">
      <c r="B403" s="309"/>
      <c r="C403" s="252"/>
      <c r="D403" s="822"/>
      <c r="F403" s="309"/>
    </row>
    <row r="404">
      <c r="B404" s="309"/>
      <c r="C404" s="252"/>
      <c r="D404" s="822"/>
      <c r="F404" s="309"/>
    </row>
    <row r="405">
      <c r="B405" s="309"/>
      <c r="C405" s="252"/>
      <c r="D405" s="822"/>
      <c r="F405" s="309"/>
    </row>
    <row r="406">
      <c r="B406" s="309"/>
      <c r="C406" s="252"/>
      <c r="D406" s="822"/>
      <c r="F406" s="309"/>
    </row>
    <row r="407">
      <c r="B407" s="309"/>
      <c r="C407" s="252"/>
      <c r="D407" s="822"/>
      <c r="F407" s="309"/>
    </row>
    <row r="408">
      <c r="B408" s="309"/>
      <c r="C408" s="252"/>
      <c r="D408" s="822"/>
      <c r="F408" s="309"/>
    </row>
    <row r="409">
      <c r="B409" s="309"/>
      <c r="C409" s="252"/>
      <c r="D409" s="822"/>
      <c r="F409" s="309"/>
    </row>
    <row r="410">
      <c r="B410" s="309"/>
      <c r="C410" s="252"/>
      <c r="D410" s="822"/>
      <c r="F410" s="309"/>
    </row>
    <row r="411">
      <c r="B411" s="309"/>
      <c r="C411" s="252"/>
      <c r="D411" s="822"/>
      <c r="F411" s="309"/>
    </row>
    <row r="412">
      <c r="B412" s="309"/>
      <c r="C412" s="252"/>
      <c r="D412" s="822"/>
      <c r="F412" s="309"/>
    </row>
    <row r="413">
      <c r="B413" s="309"/>
      <c r="C413" s="252"/>
      <c r="D413" s="822"/>
      <c r="F413" s="309"/>
    </row>
    <row r="414">
      <c r="B414" s="309"/>
      <c r="C414" s="252"/>
      <c r="D414" s="822"/>
      <c r="F414" s="309"/>
    </row>
    <row r="415">
      <c r="B415" s="309"/>
      <c r="C415" s="252"/>
      <c r="D415" s="822"/>
      <c r="F415" s="309"/>
    </row>
    <row r="416">
      <c r="B416" s="309"/>
      <c r="C416" s="252"/>
      <c r="D416" s="822"/>
      <c r="F416" s="309"/>
    </row>
    <row r="417">
      <c r="B417" s="309"/>
      <c r="C417" s="252"/>
      <c r="D417" s="822"/>
      <c r="F417" s="309"/>
    </row>
    <row r="418">
      <c r="B418" s="309"/>
      <c r="C418" s="252"/>
      <c r="D418" s="822"/>
      <c r="F418" s="309"/>
    </row>
    <row r="419">
      <c r="B419" s="309"/>
      <c r="C419" s="252"/>
      <c r="D419" s="822"/>
      <c r="F419" s="309"/>
    </row>
    <row r="420">
      <c r="B420" s="309"/>
      <c r="C420" s="252"/>
      <c r="D420" s="822"/>
      <c r="F420" s="309"/>
    </row>
    <row r="421">
      <c r="B421" s="309"/>
      <c r="C421" s="252"/>
      <c r="D421" s="822"/>
      <c r="F421" s="309"/>
    </row>
    <row r="422">
      <c r="B422" s="309"/>
      <c r="C422" s="252"/>
      <c r="D422" s="822"/>
      <c r="F422" s="309"/>
    </row>
    <row r="423">
      <c r="B423" s="309"/>
      <c r="C423" s="252"/>
      <c r="D423" s="822"/>
      <c r="F423" s="309"/>
    </row>
    <row r="424">
      <c r="B424" s="309"/>
      <c r="C424" s="252"/>
      <c r="D424" s="822"/>
      <c r="F424" s="309"/>
    </row>
    <row r="425">
      <c r="B425" s="309"/>
      <c r="C425" s="252"/>
      <c r="D425" s="822"/>
      <c r="F425" s="309"/>
    </row>
    <row r="426">
      <c r="B426" s="309"/>
      <c r="C426" s="252"/>
      <c r="D426" s="822"/>
      <c r="F426" s="309"/>
    </row>
    <row r="427">
      <c r="B427" s="309"/>
      <c r="C427" s="252"/>
      <c r="D427" s="822"/>
      <c r="F427" s="309"/>
    </row>
    <row r="428">
      <c r="B428" s="309"/>
      <c r="C428" s="252"/>
      <c r="D428" s="822"/>
      <c r="F428" s="309"/>
    </row>
    <row r="429">
      <c r="B429" s="309"/>
      <c r="C429" s="252"/>
      <c r="D429" s="822"/>
      <c r="F429" s="309"/>
    </row>
    <row r="430">
      <c r="B430" s="309"/>
      <c r="C430" s="252"/>
      <c r="D430" s="822"/>
      <c r="F430" s="309"/>
    </row>
    <row r="431">
      <c r="B431" s="309"/>
      <c r="C431" s="252"/>
      <c r="D431" s="822"/>
      <c r="F431" s="309"/>
    </row>
    <row r="432">
      <c r="B432" s="309"/>
      <c r="C432" s="252"/>
      <c r="D432" s="822"/>
      <c r="F432" s="309"/>
    </row>
    <row r="433">
      <c r="B433" s="309"/>
      <c r="C433" s="252"/>
      <c r="D433" s="822"/>
      <c r="F433" s="309"/>
    </row>
    <row r="434">
      <c r="B434" s="309"/>
      <c r="C434" s="252"/>
      <c r="D434" s="822"/>
      <c r="F434" s="309"/>
    </row>
    <row r="435">
      <c r="B435" s="309"/>
      <c r="C435" s="252"/>
      <c r="D435" s="822"/>
      <c r="F435" s="309"/>
    </row>
    <row r="436">
      <c r="B436" s="309"/>
      <c r="C436" s="252"/>
      <c r="D436" s="822"/>
      <c r="F436" s="309"/>
    </row>
    <row r="437">
      <c r="B437" s="309"/>
      <c r="C437" s="252"/>
      <c r="D437" s="822"/>
      <c r="F437" s="309"/>
    </row>
    <row r="438">
      <c r="B438" s="309"/>
      <c r="C438" s="252"/>
      <c r="D438" s="822"/>
      <c r="F438" s="309"/>
    </row>
    <row r="439">
      <c r="B439" s="309"/>
      <c r="C439" s="252"/>
      <c r="D439" s="822"/>
      <c r="F439" s="309"/>
    </row>
    <row r="440">
      <c r="B440" s="309"/>
      <c r="C440" s="252"/>
      <c r="D440" s="822"/>
      <c r="F440" s="309"/>
    </row>
    <row r="441">
      <c r="B441" s="309"/>
      <c r="C441" s="252"/>
      <c r="D441" s="822"/>
      <c r="F441" s="309"/>
    </row>
    <row r="442">
      <c r="B442" s="309"/>
      <c r="C442" s="252"/>
      <c r="D442" s="822"/>
      <c r="F442" s="309"/>
    </row>
    <row r="443">
      <c r="B443" s="309"/>
      <c r="C443" s="252"/>
      <c r="D443" s="822"/>
      <c r="F443" s="309"/>
    </row>
    <row r="444">
      <c r="B444" s="309"/>
      <c r="C444" s="252"/>
      <c r="D444" s="822"/>
      <c r="F444" s="309"/>
    </row>
    <row r="445">
      <c r="B445" s="309"/>
      <c r="C445" s="252"/>
      <c r="D445" s="822"/>
      <c r="F445" s="309"/>
    </row>
    <row r="446">
      <c r="B446" s="309"/>
      <c r="C446" s="252"/>
      <c r="D446" s="822"/>
      <c r="F446" s="309"/>
    </row>
    <row r="447">
      <c r="B447" s="309"/>
      <c r="C447" s="252"/>
      <c r="D447" s="822"/>
      <c r="F447" s="309"/>
    </row>
    <row r="448">
      <c r="B448" s="309"/>
      <c r="C448" s="252"/>
      <c r="D448" s="822"/>
      <c r="F448" s="309"/>
    </row>
    <row r="449">
      <c r="B449" s="309"/>
      <c r="C449" s="252"/>
      <c r="D449" s="822"/>
      <c r="F449" s="309"/>
    </row>
    <row r="450">
      <c r="B450" s="309"/>
      <c r="C450" s="252"/>
      <c r="D450" s="822"/>
      <c r="F450" s="309"/>
    </row>
    <row r="451">
      <c r="B451" s="309"/>
      <c r="C451" s="252"/>
      <c r="D451" s="822"/>
      <c r="F451" s="309"/>
    </row>
    <row r="452">
      <c r="B452" s="309"/>
      <c r="C452" s="252"/>
      <c r="D452" s="822"/>
      <c r="F452" s="309"/>
    </row>
    <row r="453">
      <c r="B453" s="309"/>
      <c r="C453" s="252"/>
      <c r="D453" s="822"/>
      <c r="F453" s="309"/>
    </row>
    <row r="454">
      <c r="B454" s="309"/>
      <c r="C454" s="252"/>
      <c r="D454" s="822"/>
      <c r="F454" s="309"/>
    </row>
    <row r="455">
      <c r="B455" s="309"/>
      <c r="C455" s="252"/>
      <c r="D455" s="822"/>
      <c r="F455" s="309"/>
    </row>
    <row r="456">
      <c r="B456" s="309"/>
      <c r="C456" s="252"/>
      <c r="D456" s="822"/>
      <c r="F456" s="309"/>
    </row>
    <row r="457">
      <c r="B457" s="309"/>
      <c r="C457" s="252"/>
      <c r="D457" s="822"/>
      <c r="F457" s="309"/>
    </row>
    <row r="458">
      <c r="B458" s="309"/>
      <c r="C458" s="252"/>
      <c r="D458" s="822"/>
      <c r="F458" s="309"/>
    </row>
    <row r="459">
      <c r="B459" s="309"/>
      <c r="C459" s="252"/>
      <c r="D459" s="822"/>
      <c r="F459" s="309"/>
    </row>
    <row r="460">
      <c r="B460" s="309"/>
      <c r="C460" s="252"/>
      <c r="D460" s="822"/>
      <c r="F460" s="309"/>
    </row>
    <row r="461">
      <c r="B461" s="309"/>
      <c r="C461" s="252"/>
      <c r="D461" s="822"/>
      <c r="F461" s="309"/>
    </row>
    <row r="462">
      <c r="B462" s="309"/>
      <c r="C462" s="252"/>
      <c r="D462" s="822"/>
      <c r="F462" s="309"/>
    </row>
    <row r="463">
      <c r="B463" s="309"/>
      <c r="C463" s="252"/>
      <c r="D463" s="822"/>
      <c r="F463" s="309"/>
    </row>
    <row r="464">
      <c r="B464" s="309"/>
      <c r="C464" s="252"/>
      <c r="D464" s="822"/>
      <c r="F464" s="309"/>
    </row>
    <row r="465">
      <c r="B465" s="309"/>
      <c r="C465" s="252"/>
      <c r="D465" s="822"/>
      <c r="F465" s="309"/>
    </row>
    <row r="466">
      <c r="B466" s="309"/>
      <c r="C466" s="252"/>
      <c r="D466" s="822"/>
      <c r="F466" s="309"/>
    </row>
    <row r="467">
      <c r="B467" s="309"/>
      <c r="C467" s="252"/>
      <c r="D467" s="822"/>
      <c r="F467" s="309"/>
    </row>
    <row r="468">
      <c r="B468" s="309"/>
      <c r="C468" s="252"/>
      <c r="D468" s="822"/>
      <c r="F468" s="309"/>
    </row>
    <row r="469">
      <c r="B469" s="309"/>
      <c r="C469" s="252"/>
      <c r="D469" s="822"/>
      <c r="F469" s="309"/>
    </row>
    <row r="470">
      <c r="B470" s="309"/>
      <c r="C470" s="252"/>
      <c r="D470" s="822"/>
      <c r="F470" s="309"/>
    </row>
    <row r="471">
      <c r="B471" s="309"/>
      <c r="C471" s="252"/>
      <c r="D471" s="822"/>
      <c r="F471" s="309"/>
    </row>
    <row r="472">
      <c r="B472" s="309"/>
      <c r="C472" s="252"/>
      <c r="D472" s="822"/>
      <c r="F472" s="309"/>
    </row>
    <row r="473">
      <c r="B473" s="309"/>
      <c r="C473" s="252"/>
      <c r="D473" s="822"/>
      <c r="F473" s="309"/>
    </row>
    <row r="474">
      <c r="B474" s="309"/>
      <c r="C474" s="252"/>
      <c r="D474" s="822"/>
      <c r="F474" s="309"/>
    </row>
    <row r="475">
      <c r="B475" s="309"/>
      <c r="C475" s="252"/>
      <c r="D475" s="822"/>
      <c r="F475" s="309"/>
    </row>
    <row r="476">
      <c r="B476" s="309"/>
      <c r="C476" s="252"/>
      <c r="D476" s="822"/>
      <c r="F476" s="309"/>
    </row>
    <row r="477">
      <c r="B477" s="309"/>
      <c r="C477" s="252"/>
      <c r="D477" s="822"/>
      <c r="F477" s="309"/>
    </row>
    <row r="478">
      <c r="B478" s="309"/>
      <c r="C478" s="252"/>
      <c r="D478" s="822"/>
      <c r="F478" s="309"/>
    </row>
    <row r="479">
      <c r="B479" s="309"/>
      <c r="C479" s="252"/>
      <c r="D479" s="822"/>
      <c r="F479" s="309"/>
    </row>
    <row r="480">
      <c r="B480" s="309"/>
      <c r="C480" s="252"/>
      <c r="D480" s="822"/>
      <c r="F480" s="309"/>
    </row>
    <row r="481">
      <c r="B481" s="309"/>
      <c r="C481" s="252"/>
      <c r="D481" s="822"/>
      <c r="F481" s="309"/>
    </row>
    <row r="482">
      <c r="B482" s="309"/>
      <c r="C482" s="252"/>
      <c r="D482" s="822"/>
      <c r="F482" s="309"/>
    </row>
    <row r="483">
      <c r="B483" s="309"/>
      <c r="C483" s="252"/>
      <c r="D483" s="822"/>
      <c r="F483" s="309"/>
    </row>
    <row r="484">
      <c r="B484" s="309"/>
      <c r="C484" s="252"/>
      <c r="D484" s="822"/>
      <c r="F484" s="309"/>
    </row>
    <row r="485">
      <c r="B485" s="309"/>
      <c r="C485" s="252"/>
      <c r="D485" s="822"/>
      <c r="F485" s="309"/>
    </row>
    <row r="486">
      <c r="B486" s="309"/>
      <c r="C486" s="252"/>
      <c r="D486" s="822"/>
      <c r="F486" s="309"/>
    </row>
    <row r="487">
      <c r="B487" s="309"/>
      <c r="C487" s="252"/>
      <c r="D487" s="822"/>
      <c r="F487" s="309"/>
    </row>
    <row r="488">
      <c r="B488" s="309"/>
      <c r="C488" s="252"/>
      <c r="D488" s="822"/>
      <c r="F488" s="309"/>
    </row>
    <row r="489">
      <c r="B489" s="309"/>
      <c r="C489" s="252"/>
      <c r="D489" s="822"/>
      <c r="F489" s="309"/>
    </row>
    <row r="490">
      <c r="B490" s="309"/>
      <c r="C490" s="252"/>
      <c r="D490" s="822"/>
      <c r="F490" s="309"/>
    </row>
    <row r="491">
      <c r="B491" s="309"/>
      <c r="C491" s="252"/>
      <c r="D491" s="822"/>
      <c r="F491" s="309"/>
    </row>
    <row r="492">
      <c r="B492" s="309"/>
      <c r="C492" s="252"/>
      <c r="D492" s="822"/>
      <c r="F492" s="309"/>
    </row>
    <row r="493">
      <c r="B493" s="309"/>
      <c r="C493" s="252"/>
      <c r="D493" s="822"/>
      <c r="F493" s="309"/>
    </row>
    <row r="494">
      <c r="B494" s="309"/>
      <c r="C494" s="252"/>
      <c r="D494" s="822"/>
      <c r="F494" s="309"/>
    </row>
    <row r="495">
      <c r="B495" s="309"/>
      <c r="C495" s="252"/>
      <c r="D495" s="822"/>
      <c r="F495" s="309"/>
    </row>
    <row r="496">
      <c r="B496" s="309"/>
      <c r="C496" s="252"/>
      <c r="D496" s="822"/>
      <c r="F496" s="309"/>
    </row>
    <row r="497">
      <c r="B497" s="309"/>
      <c r="C497" s="252"/>
      <c r="D497" s="822"/>
      <c r="F497" s="309"/>
    </row>
    <row r="498">
      <c r="B498" s="309"/>
      <c r="C498" s="252"/>
      <c r="D498" s="822"/>
      <c r="F498" s="309"/>
    </row>
    <row r="499">
      <c r="B499" s="309"/>
      <c r="C499" s="252"/>
      <c r="D499" s="822"/>
      <c r="F499" s="309"/>
    </row>
    <row r="500">
      <c r="B500" s="309"/>
      <c r="C500" s="252"/>
      <c r="D500" s="822"/>
      <c r="F500" s="309"/>
    </row>
    <row r="501">
      <c r="B501" s="309"/>
      <c r="C501" s="252"/>
      <c r="D501" s="822"/>
      <c r="F501" s="309"/>
    </row>
    <row r="502">
      <c r="B502" s="309"/>
      <c r="C502" s="252"/>
      <c r="D502" s="822"/>
      <c r="F502" s="309"/>
    </row>
    <row r="503">
      <c r="B503" s="309"/>
      <c r="C503" s="252"/>
      <c r="D503" s="822"/>
      <c r="F503" s="309"/>
    </row>
    <row r="504">
      <c r="B504" s="309"/>
      <c r="C504" s="252"/>
      <c r="D504" s="822"/>
      <c r="F504" s="309"/>
    </row>
    <row r="505">
      <c r="B505" s="309"/>
      <c r="C505" s="252"/>
      <c r="D505" s="822"/>
      <c r="F505" s="309"/>
    </row>
    <row r="506">
      <c r="B506" s="309"/>
      <c r="C506" s="252"/>
      <c r="D506" s="822"/>
      <c r="F506" s="309"/>
    </row>
    <row r="507">
      <c r="B507" s="309"/>
      <c r="C507" s="252"/>
      <c r="D507" s="822"/>
      <c r="F507" s="309"/>
    </row>
    <row r="508">
      <c r="B508" s="309"/>
      <c r="C508" s="252"/>
      <c r="D508" s="822"/>
      <c r="F508" s="309"/>
    </row>
    <row r="509">
      <c r="B509" s="309"/>
      <c r="C509" s="252"/>
      <c r="D509" s="822"/>
      <c r="F509" s="309"/>
    </row>
    <row r="510">
      <c r="B510" s="309"/>
      <c r="C510" s="252"/>
      <c r="D510" s="822"/>
      <c r="F510" s="309"/>
    </row>
    <row r="511">
      <c r="B511" s="309"/>
      <c r="C511" s="252"/>
      <c r="D511" s="822"/>
      <c r="F511" s="309"/>
    </row>
    <row r="512">
      <c r="B512" s="309"/>
      <c r="C512" s="252"/>
      <c r="D512" s="822"/>
      <c r="F512" s="309"/>
    </row>
    <row r="513">
      <c r="B513" s="309"/>
      <c r="C513" s="252"/>
      <c r="D513" s="822"/>
      <c r="F513" s="309"/>
    </row>
    <row r="514">
      <c r="B514" s="309"/>
      <c r="C514" s="252"/>
      <c r="D514" s="822"/>
      <c r="F514" s="309"/>
    </row>
    <row r="515">
      <c r="B515" s="309"/>
      <c r="C515" s="252"/>
      <c r="D515" s="822"/>
      <c r="F515" s="309"/>
    </row>
    <row r="516">
      <c r="B516" s="309"/>
      <c r="C516" s="252"/>
      <c r="D516" s="822"/>
      <c r="F516" s="309"/>
    </row>
    <row r="517">
      <c r="B517" s="309"/>
      <c r="C517" s="252"/>
      <c r="D517" s="822"/>
      <c r="F517" s="309"/>
    </row>
    <row r="518">
      <c r="B518" s="309"/>
      <c r="C518" s="252"/>
      <c r="D518" s="822"/>
      <c r="F518" s="309"/>
    </row>
    <row r="519">
      <c r="B519" s="309"/>
      <c r="C519" s="252"/>
      <c r="D519" s="822"/>
      <c r="F519" s="309"/>
    </row>
    <row r="520">
      <c r="B520" s="309"/>
      <c r="C520" s="252"/>
      <c r="D520" s="822"/>
      <c r="F520" s="309"/>
    </row>
    <row r="521">
      <c r="B521" s="309"/>
      <c r="C521" s="252"/>
      <c r="D521" s="822"/>
      <c r="F521" s="309"/>
    </row>
    <row r="522">
      <c r="B522" s="309"/>
      <c r="C522" s="252"/>
      <c r="D522" s="822"/>
      <c r="F522" s="309"/>
    </row>
    <row r="523">
      <c r="B523" s="309"/>
      <c r="C523" s="252"/>
      <c r="D523" s="822"/>
      <c r="F523" s="309"/>
    </row>
    <row r="524">
      <c r="B524" s="309"/>
      <c r="C524" s="252"/>
      <c r="D524" s="822"/>
      <c r="F524" s="309"/>
    </row>
    <row r="525">
      <c r="B525" s="309"/>
      <c r="C525" s="252"/>
      <c r="D525" s="822"/>
      <c r="F525" s="309"/>
    </row>
    <row r="526">
      <c r="B526" s="309"/>
      <c r="C526" s="252"/>
      <c r="D526" s="822"/>
      <c r="F526" s="309"/>
    </row>
    <row r="527">
      <c r="B527" s="309"/>
      <c r="C527" s="252"/>
      <c r="D527" s="822"/>
      <c r="F527" s="309"/>
    </row>
    <row r="528">
      <c r="B528" s="309"/>
      <c r="C528" s="252"/>
      <c r="D528" s="822"/>
      <c r="F528" s="309"/>
    </row>
    <row r="529">
      <c r="B529" s="309"/>
      <c r="C529" s="252"/>
      <c r="D529" s="822"/>
      <c r="F529" s="309"/>
    </row>
    <row r="530">
      <c r="B530" s="309"/>
      <c r="C530" s="252"/>
      <c r="D530" s="822"/>
      <c r="F530" s="309"/>
    </row>
    <row r="531">
      <c r="B531" s="309"/>
      <c r="C531" s="252"/>
      <c r="D531" s="822"/>
      <c r="F531" s="309"/>
    </row>
    <row r="532">
      <c r="B532" s="309"/>
      <c r="C532" s="252"/>
      <c r="D532" s="822"/>
      <c r="F532" s="309"/>
    </row>
    <row r="533">
      <c r="B533" s="309"/>
      <c r="C533" s="252"/>
      <c r="D533" s="822"/>
      <c r="F533" s="309"/>
    </row>
    <row r="534">
      <c r="B534" s="309"/>
      <c r="C534" s="252"/>
      <c r="D534" s="822"/>
      <c r="F534" s="309"/>
    </row>
    <row r="535">
      <c r="B535" s="309"/>
      <c r="C535" s="252"/>
      <c r="D535" s="822"/>
      <c r="F535" s="309"/>
    </row>
    <row r="536">
      <c r="B536" s="309"/>
      <c r="C536" s="252"/>
      <c r="D536" s="822"/>
      <c r="F536" s="309"/>
    </row>
    <row r="537">
      <c r="B537" s="309"/>
      <c r="C537" s="252"/>
      <c r="D537" s="822"/>
      <c r="F537" s="309"/>
    </row>
    <row r="538">
      <c r="B538" s="309"/>
      <c r="C538" s="252"/>
      <c r="D538" s="822"/>
      <c r="F538" s="309"/>
    </row>
    <row r="539">
      <c r="B539" s="309"/>
      <c r="C539" s="252"/>
      <c r="D539" s="822"/>
      <c r="F539" s="309"/>
    </row>
    <row r="540">
      <c r="B540" s="309"/>
      <c r="C540" s="252"/>
      <c r="D540" s="822"/>
      <c r="F540" s="309"/>
    </row>
    <row r="541">
      <c r="B541" s="309"/>
      <c r="C541" s="252"/>
      <c r="D541" s="822"/>
      <c r="F541" s="309"/>
    </row>
    <row r="542">
      <c r="B542" s="309"/>
      <c r="C542" s="252"/>
      <c r="D542" s="822"/>
      <c r="F542" s="309"/>
    </row>
    <row r="543">
      <c r="B543" s="309"/>
      <c r="C543" s="252"/>
      <c r="D543" s="822"/>
      <c r="F543" s="309"/>
    </row>
    <row r="544">
      <c r="B544" s="309"/>
      <c r="C544" s="252"/>
      <c r="D544" s="822"/>
      <c r="F544" s="309"/>
    </row>
    <row r="545">
      <c r="B545" s="309"/>
      <c r="C545" s="252"/>
      <c r="D545" s="822"/>
      <c r="F545" s="309"/>
    </row>
    <row r="546">
      <c r="B546" s="309"/>
      <c r="C546" s="252"/>
      <c r="D546" s="822"/>
      <c r="F546" s="309"/>
    </row>
    <row r="547">
      <c r="B547" s="309"/>
      <c r="C547" s="252"/>
      <c r="D547" s="822"/>
      <c r="F547" s="309"/>
    </row>
    <row r="548">
      <c r="B548" s="309"/>
      <c r="C548" s="252"/>
      <c r="D548" s="822"/>
      <c r="F548" s="309"/>
    </row>
    <row r="549">
      <c r="B549" s="309"/>
      <c r="C549" s="252"/>
      <c r="D549" s="822"/>
      <c r="F549" s="309"/>
    </row>
    <row r="550">
      <c r="B550" s="309"/>
      <c r="C550" s="252"/>
      <c r="D550" s="822"/>
      <c r="F550" s="309"/>
    </row>
    <row r="551">
      <c r="B551" s="309"/>
      <c r="C551" s="252"/>
      <c r="D551" s="822"/>
      <c r="F551" s="309"/>
    </row>
    <row r="552">
      <c r="B552" s="309"/>
      <c r="C552" s="252"/>
      <c r="D552" s="822"/>
      <c r="F552" s="309"/>
    </row>
    <row r="553">
      <c r="B553" s="309"/>
      <c r="C553" s="252"/>
      <c r="D553" s="822"/>
      <c r="F553" s="309"/>
    </row>
    <row r="554">
      <c r="B554" s="309"/>
      <c r="C554" s="252"/>
      <c r="D554" s="822"/>
      <c r="F554" s="309"/>
    </row>
    <row r="555">
      <c r="B555" s="309"/>
      <c r="C555" s="252"/>
      <c r="D555" s="822"/>
      <c r="F555" s="309"/>
    </row>
    <row r="556">
      <c r="B556" s="309"/>
      <c r="C556" s="252"/>
      <c r="D556" s="822"/>
      <c r="F556" s="309"/>
    </row>
    <row r="557">
      <c r="B557" s="309"/>
      <c r="C557" s="252"/>
      <c r="D557" s="822"/>
      <c r="F557" s="309"/>
    </row>
    <row r="558">
      <c r="B558" s="309"/>
      <c r="C558" s="252"/>
      <c r="D558" s="822"/>
      <c r="F558" s="309"/>
    </row>
    <row r="559">
      <c r="B559" s="309"/>
      <c r="C559" s="252"/>
      <c r="D559" s="822"/>
      <c r="F559" s="309"/>
    </row>
    <row r="560">
      <c r="B560" s="309"/>
      <c r="C560" s="252"/>
      <c r="D560" s="822"/>
      <c r="F560" s="309"/>
    </row>
    <row r="561">
      <c r="B561" s="309"/>
      <c r="C561" s="252"/>
      <c r="D561" s="822"/>
      <c r="F561" s="309"/>
    </row>
    <row r="562">
      <c r="B562" s="309"/>
      <c r="C562" s="252"/>
      <c r="D562" s="822"/>
      <c r="F562" s="309"/>
    </row>
    <row r="563">
      <c r="B563" s="309"/>
      <c r="C563" s="252"/>
      <c r="D563" s="822"/>
      <c r="F563" s="309"/>
    </row>
    <row r="564">
      <c r="B564" s="309"/>
      <c r="C564" s="252"/>
      <c r="D564" s="822"/>
      <c r="F564" s="309"/>
    </row>
    <row r="565">
      <c r="B565" s="309"/>
      <c r="C565" s="252"/>
      <c r="D565" s="822"/>
      <c r="F565" s="309"/>
    </row>
    <row r="566">
      <c r="B566" s="309"/>
      <c r="C566" s="252"/>
      <c r="D566" s="822"/>
      <c r="F566" s="309"/>
    </row>
    <row r="567">
      <c r="B567" s="309"/>
      <c r="C567" s="252"/>
      <c r="D567" s="822"/>
      <c r="F567" s="309"/>
    </row>
    <row r="568">
      <c r="B568" s="309"/>
      <c r="C568" s="252"/>
      <c r="D568" s="822"/>
      <c r="F568" s="309"/>
    </row>
    <row r="569">
      <c r="B569" s="309"/>
      <c r="C569" s="252"/>
      <c r="D569" s="822"/>
      <c r="F569" s="309"/>
    </row>
    <row r="570">
      <c r="B570" s="309"/>
      <c r="C570" s="252"/>
      <c r="D570" s="822"/>
      <c r="F570" s="309"/>
    </row>
    <row r="571">
      <c r="B571" s="309"/>
      <c r="C571" s="252"/>
      <c r="D571" s="822"/>
      <c r="F571" s="309"/>
    </row>
    <row r="572">
      <c r="B572" s="309"/>
      <c r="C572" s="252"/>
      <c r="D572" s="822"/>
      <c r="F572" s="309"/>
    </row>
    <row r="573">
      <c r="B573" s="309"/>
      <c r="C573" s="252"/>
      <c r="D573" s="822"/>
      <c r="F573" s="309"/>
    </row>
    <row r="574">
      <c r="B574" s="309"/>
      <c r="C574" s="252"/>
      <c r="D574" s="822"/>
      <c r="F574" s="309"/>
    </row>
    <row r="575">
      <c r="B575" s="309"/>
      <c r="C575" s="252"/>
      <c r="D575" s="822"/>
      <c r="F575" s="309"/>
    </row>
    <row r="576">
      <c r="B576" s="309"/>
      <c r="C576" s="252"/>
      <c r="D576" s="822"/>
      <c r="F576" s="309"/>
    </row>
    <row r="577">
      <c r="B577" s="309"/>
      <c r="C577" s="252"/>
      <c r="D577" s="822"/>
      <c r="F577" s="309"/>
    </row>
    <row r="578">
      <c r="B578" s="309"/>
      <c r="C578" s="252"/>
      <c r="D578" s="822"/>
      <c r="F578" s="309"/>
    </row>
    <row r="579">
      <c r="B579" s="309"/>
      <c r="C579" s="252"/>
      <c r="D579" s="822"/>
      <c r="F579" s="309"/>
    </row>
    <row r="580">
      <c r="B580" s="309"/>
      <c r="C580" s="252"/>
      <c r="D580" s="822"/>
      <c r="F580" s="309"/>
    </row>
    <row r="581">
      <c r="B581" s="309"/>
      <c r="C581" s="252"/>
      <c r="D581" s="822"/>
      <c r="F581" s="309"/>
    </row>
    <row r="582">
      <c r="B582" s="309"/>
      <c r="C582" s="252"/>
      <c r="D582" s="822"/>
      <c r="F582" s="309"/>
    </row>
    <row r="583">
      <c r="B583" s="309"/>
      <c r="C583" s="252"/>
      <c r="D583" s="822"/>
      <c r="F583" s="309"/>
    </row>
    <row r="584">
      <c r="B584" s="309"/>
      <c r="C584" s="252"/>
      <c r="D584" s="822"/>
      <c r="F584" s="309"/>
    </row>
    <row r="585">
      <c r="B585" s="309"/>
      <c r="C585" s="252"/>
      <c r="D585" s="822"/>
      <c r="F585" s="309"/>
    </row>
    <row r="586">
      <c r="B586" s="309"/>
      <c r="C586" s="252"/>
      <c r="D586" s="822"/>
      <c r="F586" s="309"/>
    </row>
    <row r="587">
      <c r="B587" s="309"/>
      <c r="C587" s="252"/>
      <c r="D587" s="822"/>
      <c r="F587" s="309"/>
    </row>
    <row r="588">
      <c r="B588" s="309"/>
      <c r="C588" s="252"/>
      <c r="D588" s="822"/>
      <c r="F588" s="309"/>
    </row>
    <row r="589">
      <c r="B589" s="309"/>
      <c r="C589" s="252"/>
      <c r="D589" s="822"/>
      <c r="F589" s="309"/>
    </row>
    <row r="590">
      <c r="B590" s="309"/>
      <c r="C590" s="252"/>
      <c r="D590" s="822"/>
      <c r="F590" s="309"/>
    </row>
    <row r="591">
      <c r="B591" s="309"/>
      <c r="C591" s="252"/>
      <c r="D591" s="822"/>
      <c r="F591" s="309"/>
    </row>
    <row r="592">
      <c r="B592" s="309"/>
      <c r="C592" s="252"/>
      <c r="D592" s="822"/>
      <c r="F592" s="309"/>
    </row>
    <row r="593">
      <c r="B593" s="309"/>
      <c r="C593" s="252"/>
      <c r="D593" s="822"/>
      <c r="F593" s="309"/>
    </row>
    <row r="594">
      <c r="B594" s="309"/>
      <c r="C594" s="252"/>
      <c r="D594" s="822"/>
      <c r="F594" s="309"/>
    </row>
    <row r="595">
      <c r="B595" s="309"/>
      <c r="C595" s="252"/>
      <c r="D595" s="822"/>
      <c r="F595" s="309"/>
    </row>
    <row r="596">
      <c r="B596" s="309"/>
      <c r="C596" s="252"/>
      <c r="D596" s="822"/>
      <c r="F596" s="309"/>
    </row>
    <row r="597">
      <c r="B597" s="309"/>
      <c r="C597" s="252"/>
      <c r="D597" s="822"/>
      <c r="F597" s="309"/>
    </row>
    <row r="598">
      <c r="B598" s="309"/>
      <c r="C598" s="252"/>
      <c r="D598" s="822"/>
      <c r="F598" s="309"/>
    </row>
    <row r="599">
      <c r="B599" s="309"/>
      <c r="C599" s="252"/>
      <c r="D599" s="822"/>
      <c r="F599" s="309"/>
    </row>
    <row r="600">
      <c r="B600" s="309"/>
      <c r="C600" s="252"/>
      <c r="D600" s="822"/>
      <c r="F600" s="309"/>
    </row>
    <row r="601">
      <c r="B601" s="309"/>
      <c r="C601" s="252"/>
      <c r="D601" s="822"/>
      <c r="F601" s="309"/>
    </row>
    <row r="602">
      <c r="B602" s="309"/>
      <c r="C602" s="252"/>
      <c r="D602" s="822"/>
      <c r="F602" s="309"/>
    </row>
    <row r="603">
      <c r="B603" s="309"/>
      <c r="C603" s="252"/>
      <c r="D603" s="822"/>
      <c r="F603" s="309"/>
    </row>
    <row r="604">
      <c r="B604" s="309"/>
      <c r="C604" s="252"/>
      <c r="D604" s="822"/>
      <c r="F604" s="309"/>
    </row>
    <row r="605">
      <c r="B605" s="309"/>
      <c r="C605" s="252"/>
      <c r="D605" s="822"/>
      <c r="F605" s="309"/>
    </row>
    <row r="606">
      <c r="B606" s="309"/>
      <c r="C606" s="252"/>
      <c r="D606" s="822"/>
      <c r="F606" s="309"/>
    </row>
    <row r="607">
      <c r="B607" s="309"/>
      <c r="C607" s="252"/>
      <c r="D607" s="822"/>
      <c r="F607" s="309"/>
    </row>
    <row r="608">
      <c r="B608" s="309"/>
      <c r="C608" s="252"/>
      <c r="D608" s="822"/>
      <c r="F608" s="309"/>
    </row>
    <row r="609">
      <c r="B609" s="309"/>
      <c r="C609" s="252"/>
      <c r="D609" s="822"/>
      <c r="F609" s="309"/>
    </row>
    <row r="610">
      <c r="B610" s="309"/>
      <c r="C610" s="252"/>
      <c r="D610" s="822"/>
      <c r="F610" s="309"/>
    </row>
    <row r="611">
      <c r="B611" s="309"/>
      <c r="C611" s="252"/>
      <c r="D611" s="822"/>
      <c r="F611" s="309"/>
    </row>
    <row r="612">
      <c r="B612" s="309"/>
      <c r="C612" s="252"/>
      <c r="D612" s="822"/>
      <c r="F612" s="309"/>
    </row>
    <row r="613">
      <c r="B613" s="309"/>
      <c r="C613" s="252"/>
      <c r="D613" s="822"/>
      <c r="F613" s="309"/>
    </row>
    <row r="614">
      <c r="B614" s="309"/>
      <c r="C614" s="252"/>
      <c r="D614" s="822"/>
      <c r="F614" s="309"/>
    </row>
    <row r="615">
      <c r="B615" s="309"/>
      <c r="C615" s="252"/>
      <c r="D615" s="822"/>
      <c r="F615" s="309"/>
    </row>
    <row r="616">
      <c r="B616" s="309"/>
      <c r="C616" s="252"/>
      <c r="D616" s="822"/>
      <c r="F616" s="309"/>
    </row>
    <row r="617">
      <c r="B617" s="309"/>
      <c r="C617" s="252"/>
      <c r="D617" s="822"/>
      <c r="F617" s="309"/>
    </row>
    <row r="618">
      <c r="B618" s="309"/>
      <c r="C618" s="252"/>
      <c r="D618" s="822"/>
      <c r="F618" s="309"/>
    </row>
    <row r="619">
      <c r="B619" s="309"/>
      <c r="C619" s="252"/>
      <c r="D619" s="822"/>
      <c r="F619" s="309"/>
    </row>
    <row r="620">
      <c r="B620" s="309"/>
      <c r="C620" s="252"/>
      <c r="D620" s="822"/>
      <c r="F620" s="309"/>
    </row>
    <row r="621">
      <c r="B621" s="309"/>
      <c r="C621" s="252"/>
      <c r="D621" s="822"/>
      <c r="F621" s="309"/>
    </row>
    <row r="622">
      <c r="B622" s="309"/>
      <c r="C622" s="252"/>
      <c r="D622" s="822"/>
      <c r="F622" s="309"/>
    </row>
    <row r="623">
      <c r="B623" s="309"/>
      <c r="C623" s="252"/>
      <c r="D623" s="822"/>
      <c r="F623" s="309"/>
    </row>
    <row r="624">
      <c r="B624" s="309"/>
      <c r="C624" s="252"/>
      <c r="D624" s="822"/>
      <c r="F624" s="309"/>
    </row>
    <row r="625">
      <c r="B625" s="309"/>
      <c r="C625" s="252"/>
      <c r="D625" s="822"/>
      <c r="F625" s="309"/>
    </row>
    <row r="626">
      <c r="B626" s="309"/>
      <c r="C626" s="252"/>
      <c r="D626" s="822"/>
      <c r="F626" s="309"/>
    </row>
    <row r="627">
      <c r="B627" s="309"/>
      <c r="C627" s="252"/>
      <c r="D627" s="822"/>
      <c r="F627" s="309"/>
    </row>
    <row r="628">
      <c r="B628" s="309"/>
      <c r="C628" s="252"/>
      <c r="D628" s="822"/>
      <c r="F628" s="309"/>
    </row>
    <row r="629">
      <c r="B629" s="309"/>
      <c r="C629" s="252"/>
      <c r="D629" s="822"/>
      <c r="F629" s="309"/>
    </row>
    <row r="630">
      <c r="B630" s="309"/>
      <c r="C630" s="252"/>
      <c r="D630" s="822"/>
      <c r="F630" s="309"/>
    </row>
    <row r="631">
      <c r="B631" s="309"/>
      <c r="C631" s="252"/>
      <c r="D631" s="822"/>
      <c r="F631" s="309"/>
    </row>
    <row r="632">
      <c r="B632" s="309"/>
      <c r="C632" s="252"/>
      <c r="D632" s="822"/>
      <c r="F632" s="309"/>
    </row>
    <row r="633">
      <c r="B633" s="309"/>
      <c r="C633" s="252"/>
      <c r="D633" s="822"/>
      <c r="F633" s="309"/>
    </row>
    <row r="634">
      <c r="B634" s="309"/>
      <c r="C634" s="252"/>
      <c r="D634" s="822"/>
      <c r="F634" s="309"/>
    </row>
    <row r="635">
      <c r="B635" s="309"/>
      <c r="C635" s="252"/>
      <c r="D635" s="822"/>
      <c r="F635" s="309"/>
    </row>
    <row r="636">
      <c r="B636" s="309"/>
      <c r="C636" s="252"/>
      <c r="D636" s="822"/>
      <c r="F636" s="309"/>
    </row>
    <row r="637">
      <c r="B637" s="309"/>
      <c r="C637" s="252"/>
      <c r="D637" s="822"/>
      <c r="F637" s="309"/>
    </row>
    <row r="638">
      <c r="B638" s="309"/>
      <c r="C638" s="252"/>
      <c r="D638" s="822"/>
      <c r="F638" s="309"/>
    </row>
    <row r="639">
      <c r="B639" s="309"/>
      <c r="C639" s="252"/>
      <c r="D639" s="822"/>
      <c r="F639" s="309"/>
    </row>
    <row r="640">
      <c r="B640" s="309"/>
      <c r="C640" s="252"/>
      <c r="D640" s="822"/>
      <c r="F640" s="309"/>
    </row>
    <row r="641">
      <c r="B641" s="309"/>
      <c r="C641" s="252"/>
      <c r="D641" s="822"/>
      <c r="F641" s="309"/>
    </row>
    <row r="642">
      <c r="B642" s="309"/>
      <c r="C642" s="252"/>
      <c r="D642" s="822"/>
      <c r="F642" s="309"/>
    </row>
    <row r="643">
      <c r="B643" s="309"/>
      <c r="C643" s="252"/>
      <c r="D643" s="822"/>
      <c r="F643" s="309"/>
    </row>
    <row r="644">
      <c r="B644" s="309"/>
      <c r="C644" s="252"/>
      <c r="D644" s="822"/>
      <c r="F644" s="309"/>
    </row>
    <row r="645">
      <c r="B645" s="309"/>
      <c r="C645" s="252"/>
      <c r="D645" s="822"/>
      <c r="F645" s="309"/>
    </row>
    <row r="646">
      <c r="B646" s="309"/>
      <c r="C646" s="252"/>
      <c r="D646" s="822"/>
      <c r="F646" s="309"/>
    </row>
    <row r="647">
      <c r="B647" s="309"/>
      <c r="C647" s="252"/>
      <c r="D647" s="822"/>
      <c r="F647" s="309"/>
    </row>
    <row r="648">
      <c r="B648" s="309"/>
      <c r="C648" s="252"/>
      <c r="D648" s="822"/>
      <c r="F648" s="309"/>
    </row>
    <row r="649">
      <c r="B649" s="309"/>
      <c r="C649" s="252"/>
      <c r="D649" s="822"/>
      <c r="F649" s="309"/>
    </row>
    <row r="650">
      <c r="B650" s="309"/>
      <c r="C650" s="252"/>
      <c r="D650" s="822"/>
      <c r="F650" s="309"/>
    </row>
    <row r="651">
      <c r="B651" s="309"/>
      <c r="C651" s="252"/>
      <c r="D651" s="822"/>
      <c r="F651" s="309"/>
    </row>
    <row r="652">
      <c r="B652" s="309"/>
      <c r="C652" s="252"/>
      <c r="D652" s="822"/>
      <c r="F652" s="309"/>
    </row>
    <row r="653">
      <c r="B653" s="309"/>
      <c r="C653" s="252"/>
      <c r="D653" s="822"/>
      <c r="F653" s="309"/>
    </row>
    <row r="654">
      <c r="B654" s="309"/>
      <c r="C654" s="252"/>
      <c r="D654" s="822"/>
      <c r="F654" s="309"/>
    </row>
    <row r="655">
      <c r="B655" s="309"/>
      <c r="C655" s="252"/>
      <c r="D655" s="822"/>
      <c r="F655" s="309"/>
    </row>
    <row r="656">
      <c r="B656" s="309"/>
      <c r="C656" s="252"/>
      <c r="D656" s="822"/>
      <c r="F656" s="309"/>
    </row>
    <row r="657">
      <c r="B657" s="309"/>
      <c r="C657" s="252"/>
      <c r="D657" s="822"/>
      <c r="F657" s="309"/>
    </row>
    <row r="658">
      <c r="B658" s="309"/>
      <c r="C658" s="252"/>
      <c r="D658" s="822"/>
      <c r="F658" s="309"/>
    </row>
    <row r="659">
      <c r="B659" s="309"/>
      <c r="C659" s="252"/>
      <c r="D659" s="822"/>
      <c r="F659" s="309"/>
    </row>
    <row r="660">
      <c r="B660" s="309"/>
      <c r="C660" s="252"/>
      <c r="D660" s="822"/>
      <c r="F660" s="309"/>
    </row>
    <row r="661">
      <c r="B661" s="309"/>
      <c r="C661" s="252"/>
      <c r="D661" s="822"/>
      <c r="F661" s="309"/>
    </row>
    <row r="662">
      <c r="B662" s="309"/>
      <c r="C662" s="252"/>
      <c r="D662" s="822"/>
      <c r="F662" s="309"/>
    </row>
    <row r="663">
      <c r="B663" s="309"/>
      <c r="C663" s="252"/>
      <c r="D663" s="822"/>
      <c r="F663" s="309"/>
    </row>
    <row r="664">
      <c r="B664" s="309"/>
      <c r="C664" s="252"/>
      <c r="D664" s="822"/>
      <c r="F664" s="309"/>
    </row>
    <row r="665">
      <c r="B665" s="309"/>
      <c r="C665" s="252"/>
      <c r="D665" s="822"/>
      <c r="F665" s="309"/>
    </row>
    <row r="666">
      <c r="B666" s="309"/>
      <c r="C666" s="252"/>
      <c r="D666" s="822"/>
      <c r="F666" s="309"/>
    </row>
    <row r="667">
      <c r="B667" s="309"/>
      <c r="C667" s="252"/>
      <c r="D667" s="822"/>
      <c r="F667" s="309"/>
    </row>
    <row r="668">
      <c r="B668" s="309"/>
      <c r="C668" s="252"/>
      <c r="D668" s="822"/>
      <c r="F668" s="309"/>
    </row>
    <row r="669">
      <c r="B669" s="309"/>
      <c r="C669" s="252"/>
      <c r="D669" s="822"/>
      <c r="F669" s="309"/>
    </row>
    <row r="670">
      <c r="B670" s="309"/>
      <c r="C670" s="252"/>
      <c r="D670" s="822"/>
      <c r="F670" s="309"/>
    </row>
    <row r="671">
      <c r="B671" s="309"/>
      <c r="C671" s="252"/>
      <c r="D671" s="822"/>
      <c r="F671" s="309"/>
    </row>
    <row r="672">
      <c r="B672" s="309"/>
      <c r="C672" s="252"/>
      <c r="D672" s="822"/>
      <c r="F672" s="309"/>
    </row>
    <row r="673">
      <c r="B673" s="309"/>
      <c r="C673" s="252"/>
      <c r="D673" s="822"/>
      <c r="F673" s="309"/>
    </row>
    <row r="674">
      <c r="B674" s="309"/>
      <c r="C674" s="252"/>
      <c r="D674" s="822"/>
      <c r="F674" s="309"/>
    </row>
    <row r="675">
      <c r="B675" s="309"/>
      <c r="C675" s="252"/>
      <c r="D675" s="822"/>
      <c r="F675" s="309"/>
    </row>
    <row r="676">
      <c r="B676" s="309"/>
      <c r="C676" s="252"/>
      <c r="D676" s="822"/>
      <c r="F676" s="309"/>
    </row>
    <row r="677">
      <c r="B677" s="309"/>
      <c r="C677" s="252"/>
      <c r="D677" s="822"/>
      <c r="F677" s="309"/>
    </row>
    <row r="678">
      <c r="B678" s="309"/>
      <c r="C678" s="252"/>
      <c r="D678" s="822"/>
      <c r="F678" s="309"/>
    </row>
    <row r="679">
      <c r="B679" s="309"/>
      <c r="C679" s="252"/>
      <c r="D679" s="822"/>
      <c r="F679" s="309"/>
    </row>
    <row r="680">
      <c r="B680" s="309"/>
      <c r="C680" s="252"/>
      <c r="D680" s="822"/>
      <c r="F680" s="309"/>
    </row>
    <row r="681">
      <c r="B681" s="309"/>
      <c r="C681" s="252"/>
      <c r="D681" s="822"/>
      <c r="F681" s="309"/>
    </row>
    <row r="682">
      <c r="B682" s="309"/>
      <c r="C682" s="252"/>
      <c r="D682" s="822"/>
      <c r="F682" s="309"/>
    </row>
    <row r="683">
      <c r="B683" s="309"/>
      <c r="C683" s="252"/>
      <c r="D683" s="822"/>
      <c r="F683" s="309"/>
    </row>
    <row r="684">
      <c r="B684" s="309"/>
      <c r="C684" s="252"/>
      <c r="D684" s="822"/>
      <c r="F684" s="309"/>
    </row>
    <row r="685">
      <c r="B685" s="309"/>
      <c r="C685" s="252"/>
      <c r="D685" s="822"/>
      <c r="F685" s="309"/>
    </row>
    <row r="686">
      <c r="B686" s="309"/>
      <c r="C686" s="252"/>
      <c r="D686" s="822"/>
      <c r="F686" s="309"/>
    </row>
    <row r="687">
      <c r="B687" s="309"/>
      <c r="C687" s="252"/>
      <c r="D687" s="822"/>
      <c r="F687" s="309"/>
    </row>
    <row r="688">
      <c r="B688" s="309"/>
      <c r="C688" s="252"/>
      <c r="D688" s="822"/>
      <c r="F688" s="309"/>
    </row>
    <row r="689">
      <c r="B689" s="309"/>
      <c r="C689" s="252"/>
      <c r="D689" s="822"/>
      <c r="F689" s="309"/>
    </row>
  </sheetData>
  <mergeCells count="33">
    <mergeCell ref="G1:H1"/>
    <mergeCell ref="A2:A11"/>
    <mergeCell ref="A12:A21"/>
    <mergeCell ref="A22:A34"/>
    <mergeCell ref="A35:A44"/>
    <mergeCell ref="A45:A54"/>
    <mergeCell ref="A55:A66"/>
    <mergeCell ref="A67:A76"/>
    <mergeCell ref="A77:A87"/>
    <mergeCell ref="A88:A98"/>
    <mergeCell ref="A99:A114"/>
    <mergeCell ref="A115:A124"/>
    <mergeCell ref="A125:A134"/>
    <mergeCell ref="A135:A144"/>
    <mergeCell ref="A145:A159"/>
    <mergeCell ref="A160:A175"/>
    <mergeCell ref="A176:A188"/>
    <mergeCell ref="A189:A200"/>
    <mergeCell ref="A201:A211"/>
    <mergeCell ref="A212:A225"/>
    <mergeCell ref="A226:A237"/>
    <mergeCell ref="A324:A336"/>
    <mergeCell ref="A337:A348"/>
    <mergeCell ref="A349:A360"/>
    <mergeCell ref="A361:A370"/>
    <mergeCell ref="A371:A380"/>
    <mergeCell ref="A238:A250"/>
    <mergeCell ref="A251:A264"/>
    <mergeCell ref="A265:A279"/>
    <mergeCell ref="A280:A290"/>
    <mergeCell ref="A291:A301"/>
    <mergeCell ref="A302:A312"/>
    <mergeCell ref="A313:A3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936" t="s">
        <v>3714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937">
        <v>44136.0</v>
      </c>
      <c r="B2" s="938"/>
      <c r="C2" s="240"/>
      <c r="D2" s="824"/>
      <c r="E2" s="242"/>
      <c r="F2" s="243">
        <v>390.0</v>
      </c>
      <c r="G2" s="244" t="s">
        <v>3433</v>
      </c>
      <c r="H2" s="244"/>
      <c r="I2" s="662"/>
    </row>
    <row r="3">
      <c r="A3" s="265"/>
      <c r="B3" s="938"/>
      <c r="C3" s="252"/>
      <c r="D3" s="822"/>
      <c r="F3" s="250">
        <v>10000.0</v>
      </c>
      <c r="G3" s="2" t="s">
        <v>3764</v>
      </c>
      <c r="I3" s="847"/>
    </row>
    <row r="4">
      <c r="A4" s="265"/>
      <c r="B4" s="938"/>
      <c r="C4" s="252"/>
      <c r="D4" s="822"/>
      <c r="F4" s="243">
        <v>1247.0</v>
      </c>
      <c r="G4" s="244" t="s">
        <v>708</v>
      </c>
      <c r="I4" s="847"/>
    </row>
    <row r="5">
      <c r="A5" s="265"/>
      <c r="B5" s="938"/>
      <c r="C5" s="248"/>
      <c r="D5" s="822"/>
      <c r="F5" s="250"/>
      <c r="I5" s="847"/>
    </row>
    <row r="6">
      <c r="A6" s="265"/>
      <c r="B6" s="938"/>
      <c r="C6" s="252"/>
      <c r="D6" s="822"/>
      <c r="F6" s="250"/>
      <c r="I6" s="847"/>
    </row>
    <row r="7">
      <c r="A7" s="265"/>
      <c r="B7" s="938"/>
      <c r="C7" s="252"/>
      <c r="D7" s="822"/>
      <c r="F7" s="250"/>
      <c r="I7" s="847"/>
    </row>
    <row r="8">
      <c r="A8" s="265"/>
      <c r="B8" s="938"/>
      <c r="C8" s="252"/>
      <c r="D8" s="822"/>
      <c r="F8" s="250"/>
      <c r="I8" s="847"/>
    </row>
    <row r="9">
      <c r="A9" s="265"/>
      <c r="B9" s="938"/>
      <c r="C9" s="252"/>
      <c r="D9" s="822"/>
      <c r="F9" s="250"/>
      <c r="I9" s="847"/>
    </row>
    <row r="10">
      <c r="A10" s="265"/>
      <c r="B10" s="938"/>
      <c r="C10" s="252"/>
      <c r="D10" s="822"/>
      <c r="F10" s="250"/>
      <c r="I10" s="847"/>
    </row>
    <row r="11">
      <c r="A11" s="270"/>
      <c r="B11" s="939"/>
      <c r="C11" s="272"/>
      <c r="D11" s="823"/>
      <c r="E11" s="18"/>
      <c r="F11" s="274"/>
      <c r="G11" s="18"/>
      <c r="H11" s="18"/>
      <c r="I11" s="663"/>
    </row>
    <row r="12">
      <c r="A12" s="937">
        <v>44137.0</v>
      </c>
      <c r="B12" s="938"/>
      <c r="C12" s="240"/>
      <c r="D12" s="824"/>
      <c r="E12" s="242"/>
      <c r="F12" s="243">
        <v>1350.0</v>
      </c>
      <c r="G12" s="244" t="s">
        <v>68</v>
      </c>
      <c r="H12" s="244"/>
      <c r="I12" s="662"/>
    </row>
    <row r="13">
      <c r="A13" s="265"/>
      <c r="B13" s="938"/>
      <c r="C13" s="252"/>
      <c r="D13" s="822"/>
      <c r="F13" s="250">
        <v>2166.6</v>
      </c>
      <c r="G13" s="2" t="s">
        <v>708</v>
      </c>
      <c r="I13" s="847"/>
    </row>
    <row r="14">
      <c r="A14" s="265"/>
      <c r="B14" s="938"/>
      <c r="C14" s="252"/>
      <c r="D14" s="822"/>
      <c r="F14" s="250">
        <v>455.0</v>
      </c>
      <c r="G14" s="2" t="s">
        <v>228</v>
      </c>
      <c r="I14" s="847"/>
    </row>
    <row r="15">
      <c r="A15" s="265"/>
      <c r="B15" s="938"/>
      <c r="C15" s="252"/>
      <c r="D15" s="822"/>
      <c r="F15" s="250">
        <v>1980.0</v>
      </c>
      <c r="G15" s="2" t="s">
        <v>926</v>
      </c>
      <c r="I15" s="847"/>
    </row>
    <row r="16">
      <c r="A16" s="265"/>
      <c r="B16" s="938"/>
      <c r="C16" s="252"/>
      <c r="D16" s="331">
        <v>7000.0</v>
      </c>
      <c r="F16" s="250"/>
      <c r="G16" s="2" t="s">
        <v>3765</v>
      </c>
      <c r="I16" s="847"/>
    </row>
    <row r="17">
      <c r="A17" s="265"/>
      <c r="B17" s="938"/>
      <c r="C17" s="252"/>
      <c r="D17" s="331">
        <v>1260.0</v>
      </c>
      <c r="F17" s="250"/>
      <c r="G17" s="2" t="s">
        <v>3766</v>
      </c>
      <c r="I17" s="847"/>
    </row>
    <row r="18">
      <c r="A18" s="265"/>
      <c r="B18" s="938"/>
      <c r="C18" s="252"/>
      <c r="D18" s="822"/>
      <c r="F18" s="250">
        <v>6000.0</v>
      </c>
      <c r="G18" s="2" t="s">
        <v>3135</v>
      </c>
      <c r="I18" s="847"/>
    </row>
    <row r="19">
      <c r="A19" s="265"/>
      <c r="B19" s="938"/>
      <c r="C19" s="252"/>
      <c r="D19" s="822"/>
      <c r="F19" s="250"/>
      <c r="I19" s="847"/>
    </row>
    <row r="20">
      <c r="A20" s="265"/>
      <c r="B20" s="938"/>
      <c r="C20" s="252"/>
      <c r="D20" s="822"/>
      <c r="F20" s="250"/>
      <c r="I20" s="847"/>
    </row>
    <row r="21">
      <c r="A21" s="270"/>
      <c r="B21" s="939"/>
      <c r="C21" s="272"/>
      <c r="D21" s="823"/>
      <c r="E21" s="18"/>
      <c r="F21" s="274">
        <f>SUM(F12:F20)</f>
        <v>11951.6</v>
      </c>
      <c r="G21" s="18"/>
      <c r="H21" s="18"/>
      <c r="I21" s="663"/>
    </row>
    <row r="22">
      <c r="A22" s="305">
        <v>44138.0</v>
      </c>
      <c r="B22" s="940"/>
      <c r="C22" s="263">
        <v>17031.0</v>
      </c>
      <c r="D22" s="824"/>
      <c r="E22" s="242"/>
      <c r="F22" s="243"/>
      <c r="G22" s="244" t="s">
        <v>71</v>
      </c>
      <c r="H22" s="244"/>
      <c r="I22" s="662"/>
    </row>
    <row r="23">
      <c r="A23" s="265"/>
      <c r="B23" s="938"/>
      <c r="C23" s="252"/>
      <c r="D23" s="822"/>
      <c r="F23" s="250">
        <v>1187.7</v>
      </c>
      <c r="G23" s="2" t="s">
        <v>2623</v>
      </c>
      <c r="I23" s="847"/>
    </row>
    <row r="24">
      <c r="A24" s="265"/>
      <c r="B24" s="938"/>
      <c r="C24" s="252"/>
      <c r="D24" s="822"/>
      <c r="F24" s="250">
        <v>838.0</v>
      </c>
      <c r="G24" s="2" t="s">
        <v>82</v>
      </c>
      <c r="I24" s="847"/>
    </row>
    <row r="25">
      <c r="A25" s="265"/>
      <c r="B25" s="938"/>
      <c r="C25" s="252"/>
      <c r="D25" s="822"/>
      <c r="F25" s="250">
        <v>4844.81</v>
      </c>
      <c r="G25" s="2" t="s">
        <v>405</v>
      </c>
      <c r="I25" s="847"/>
    </row>
    <row r="26">
      <c r="A26" s="265"/>
      <c r="B26" s="938"/>
      <c r="C26" s="252"/>
      <c r="D26" s="822"/>
      <c r="F26" s="250">
        <v>1700.0</v>
      </c>
      <c r="G26" s="2" t="s">
        <v>3767</v>
      </c>
      <c r="I26" s="847"/>
    </row>
    <row r="27">
      <c r="A27" s="265"/>
      <c r="B27" s="938"/>
      <c r="C27" s="252"/>
      <c r="D27" s="822"/>
      <c r="F27" s="250">
        <v>1062.0</v>
      </c>
      <c r="G27" s="2" t="s">
        <v>2642</v>
      </c>
      <c r="I27" s="847"/>
    </row>
    <row r="28">
      <c r="A28" s="265"/>
      <c r="B28" s="938"/>
      <c r="C28" s="252"/>
      <c r="D28" s="822"/>
      <c r="F28" s="250">
        <v>360.0</v>
      </c>
      <c r="G28" s="2" t="s">
        <v>344</v>
      </c>
      <c r="I28" s="847"/>
    </row>
    <row r="29">
      <c r="A29" s="265"/>
      <c r="B29" s="938"/>
      <c r="C29" s="252"/>
      <c r="D29" s="331">
        <v>2616.0</v>
      </c>
      <c r="F29" s="250"/>
      <c r="G29" s="2" t="s">
        <v>3027</v>
      </c>
      <c r="I29" s="847"/>
    </row>
    <row r="30">
      <c r="A30" s="265"/>
      <c r="B30" s="938"/>
      <c r="C30" s="252"/>
      <c r="D30" s="822"/>
      <c r="F30" s="250"/>
      <c r="I30" s="847"/>
    </row>
    <row r="31">
      <c r="A31" s="265"/>
      <c r="B31" s="938"/>
      <c r="C31" s="252"/>
      <c r="D31" s="822"/>
      <c r="F31" s="250"/>
      <c r="I31" s="847"/>
    </row>
    <row r="32">
      <c r="A32" s="265"/>
      <c r="B32" s="938"/>
      <c r="C32" s="252"/>
      <c r="D32" s="822"/>
      <c r="F32" s="250"/>
      <c r="I32" s="847"/>
    </row>
    <row r="33">
      <c r="A33" s="265"/>
      <c r="B33" s="938"/>
      <c r="C33" s="252"/>
      <c r="D33" s="822"/>
      <c r="F33" s="250"/>
      <c r="I33" s="847"/>
    </row>
    <row r="34">
      <c r="A34" s="270"/>
      <c r="B34" s="939"/>
      <c r="C34" s="272"/>
      <c r="D34" s="823"/>
      <c r="E34" s="18"/>
      <c r="F34" s="274">
        <f>SUM(F23:F33)</f>
        <v>9992.51</v>
      </c>
      <c r="G34" s="18"/>
      <c r="H34" s="18"/>
      <c r="I34" s="663"/>
    </row>
    <row r="35">
      <c r="A35" s="305">
        <v>44139.0</v>
      </c>
      <c r="B35" s="940"/>
      <c r="C35" s="240"/>
      <c r="D35" s="824"/>
      <c r="E35" s="242"/>
      <c r="F35" s="243">
        <v>3000.0</v>
      </c>
      <c r="G35" s="244" t="s">
        <v>87</v>
      </c>
      <c r="H35" s="244"/>
      <c r="I35" s="662"/>
    </row>
    <row r="36">
      <c r="A36" s="265"/>
      <c r="B36" s="938"/>
      <c r="C36" s="252"/>
      <c r="D36" s="822"/>
      <c r="F36" s="250">
        <v>1766.0</v>
      </c>
      <c r="G36" s="2" t="s">
        <v>708</v>
      </c>
      <c r="I36" s="847"/>
    </row>
    <row r="37">
      <c r="A37" s="265"/>
      <c r="B37" s="938"/>
      <c r="C37" s="252"/>
      <c r="D37" s="822"/>
      <c r="F37" s="250">
        <v>3000.0</v>
      </c>
      <c r="G37" s="2" t="s">
        <v>76</v>
      </c>
      <c r="I37" s="847"/>
    </row>
    <row r="38">
      <c r="A38" s="265"/>
      <c r="B38" s="938"/>
      <c r="C38" s="252"/>
      <c r="D38" s="822"/>
      <c r="F38" s="250">
        <v>190.0</v>
      </c>
      <c r="G38" s="2" t="s">
        <v>85</v>
      </c>
      <c r="I38" s="847"/>
    </row>
    <row r="39">
      <c r="A39" s="265"/>
      <c r="B39" s="938"/>
      <c r="C39" s="252"/>
      <c r="D39" s="822"/>
      <c r="F39" s="250">
        <v>4000.0</v>
      </c>
      <c r="G39" s="2" t="s">
        <v>3419</v>
      </c>
      <c r="H39" s="552"/>
      <c r="I39" s="847"/>
    </row>
    <row r="40">
      <c r="A40" s="265"/>
      <c r="B40" s="938"/>
      <c r="C40" s="252"/>
      <c r="D40" s="822"/>
      <c r="F40" s="250">
        <v>2000.0</v>
      </c>
      <c r="G40" s="2" t="s">
        <v>3362</v>
      </c>
      <c r="H40" s="552"/>
      <c r="I40" s="847"/>
    </row>
    <row r="41">
      <c r="A41" s="265"/>
      <c r="B41" s="938"/>
      <c r="C41" s="252"/>
      <c r="D41" s="822"/>
      <c r="F41" s="250">
        <v>8000.0</v>
      </c>
      <c r="G41" s="2" t="s">
        <v>877</v>
      </c>
      <c r="I41" s="847"/>
    </row>
    <row r="42">
      <c r="A42" s="265"/>
      <c r="B42" s="938"/>
      <c r="C42" s="252"/>
      <c r="D42" s="822"/>
      <c r="F42" s="250"/>
      <c r="I42" s="847"/>
    </row>
    <row r="43">
      <c r="A43" s="265"/>
      <c r="B43" s="938"/>
      <c r="C43" s="252"/>
      <c r="D43" s="822"/>
      <c r="F43" s="250"/>
      <c r="I43" s="847"/>
    </row>
    <row r="44">
      <c r="A44" s="270"/>
      <c r="B44" s="939"/>
      <c r="C44" s="272"/>
      <c r="D44" s="823"/>
      <c r="E44" s="18"/>
      <c r="F44" s="274"/>
      <c r="G44" s="18"/>
      <c r="H44" s="18"/>
      <c r="I44" s="663"/>
    </row>
    <row r="45">
      <c r="A45" s="305">
        <v>44140.0</v>
      </c>
      <c r="B45" s="940"/>
      <c r="C45" s="240"/>
      <c r="D45" s="824"/>
      <c r="E45" s="242"/>
      <c r="F45" s="243">
        <v>2720.0</v>
      </c>
      <c r="G45" s="244" t="s">
        <v>91</v>
      </c>
      <c r="H45" s="244"/>
      <c r="I45" s="662"/>
    </row>
    <row r="46">
      <c r="A46" s="265"/>
      <c r="B46" s="938"/>
      <c r="C46" s="252"/>
      <c r="D46" s="822"/>
      <c r="F46" s="250">
        <v>1831.0</v>
      </c>
      <c r="G46" s="2" t="s">
        <v>708</v>
      </c>
      <c r="I46" s="847"/>
    </row>
    <row r="47">
      <c r="A47" s="265"/>
      <c r="B47" s="938"/>
      <c r="C47" s="248">
        <v>19219.98</v>
      </c>
      <c r="D47" s="822"/>
      <c r="F47" s="250"/>
      <c r="G47" s="2" t="s">
        <v>84</v>
      </c>
      <c r="I47" s="847"/>
    </row>
    <row r="48">
      <c r="A48" s="265"/>
      <c r="B48" s="938"/>
      <c r="C48" s="252"/>
      <c r="D48" s="822"/>
      <c r="F48" s="250">
        <v>155.44</v>
      </c>
      <c r="G48" s="2" t="s">
        <v>708</v>
      </c>
      <c r="I48" s="847"/>
    </row>
    <row r="49">
      <c r="A49" s="265"/>
      <c r="B49" s="938"/>
      <c r="C49" s="252"/>
      <c r="D49" s="822"/>
      <c r="F49" s="250">
        <v>2300.0</v>
      </c>
      <c r="G49" s="2" t="s">
        <v>3768</v>
      </c>
      <c r="I49" s="847"/>
    </row>
    <row r="50">
      <c r="A50" s="265"/>
      <c r="B50" s="938"/>
      <c r="C50" s="252"/>
      <c r="D50" s="822"/>
      <c r="F50" s="250"/>
      <c r="I50" s="847"/>
    </row>
    <row r="51">
      <c r="A51" s="265"/>
      <c r="B51" s="938"/>
      <c r="C51" s="252"/>
      <c r="D51" s="822"/>
      <c r="F51" s="250"/>
      <c r="I51" s="847"/>
    </row>
    <row r="52">
      <c r="A52" s="265"/>
      <c r="B52" s="938"/>
      <c r="C52" s="252"/>
      <c r="D52" s="822"/>
      <c r="F52" s="250"/>
      <c r="I52" s="847"/>
    </row>
    <row r="53">
      <c r="A53" s="265"/>
      <c r="B53" s="938"/>
      <c r="C53" s="252"/>
      <c r="D53" s="822"/>
      <c r="F53" s="250"/>
      <c r="I53" s="847"/>
    </row>
    <row r="54">
      <c r="A54" s="270"/>
      <c r="B54" s="939"/>
      <c r="C54" s="272"/>
      <c r="D54" s="823"/>
      <c r="E54" s="18"/>
      <c r="F54" s="274"/>
      <c r="G54" s="18"/>
      <c r="H54" s="18"/>
      <c r="I54" s="663"/>
    </row>
    <row r="55">
      <c r="A55" s="305">
        <v>44141.0</v>
      </c>
      <c r="B55" s="940"/>
      <c r="C55" s="240"/>
      <c r="D55" s="824"/>
      <c r="E55" s="242"/>
      <c r="F55" s="243">
        <v>2424.0</v>
      </c>
      <c r="G55" s="244" t="s">
        <v>82</v>
      </c>
      <c r="H55" s="244"/>
      <c r="I55" s="662"/>
    </row>
    <row r="56">
      <c r="A56" s="265"/>
      <c r="B56" s="938"/>
      <c r="C56" s="252"/>
      <c r="D56" s="822"/>
      <c r="F56" s="250">
        <v>2482.0</v>
      </c>
      <c r="G56" s="2" t="s">
        <v>3253</v>
      </c>
      <c r="I56" s="847"/>
    </row>
    <row r="57">
      <c r="A57" s="265"/>
      <c r="B57" s="938"/>
      <c r="C57" s="252"/>
      <c r="D57" s="822"/>
      <c r="F57" s="250">
        <v>1667.0</v>
      </c>
      <c r="G57" s="2" t="s">
        <v>708</v>
      </c>
      <c r="I57" s="847"/>
    </row>
    <row r="58">
      <c r="A58" s="265"/>
      <c r="B58" s="938"/>
      <c r="C58" s="252"/>
      <c r="D58" s="822"/>
      <c r="F58" s="250">
        <v>5020.0</v>
      </c>
      <c r="G58" s="2" t="s">
        <v>3296</v>
      </c>
      <c r="I58" s="847"/>
    </row>
    <row r="59">
      <c r="A59" s="265"/>
      <c r="B59" s="938"/>
      <c r="C59" s="248"/>
      <c r="D59" s="822"/>
      <c r="F59" s="250"/>
      <c r="I59" s="847"/>
    </row>
    <row r="60">
      <c r="A60" s="265"/>
      <c r="B60" s="938"/>
      <c r="C60" s="252"/>
      <c r="D60" s="822"/>
      <c r="F60" s="250"/>
      <c r="I60" s="847"/>
    </row>
    <row r="61">
      <c r="A61" s="265"/>
      <c r="B61" s="938"/>
      <c r="C61" s="252"/>
      <c r="D61" s="822"/>
      <c r="F61" s="250"/>
      <c r="I61" s="847"/>
    </row>
    <row r="62">
      <c r="A62" s="265"/>
      <c r="B62" s="938"/>
      <c r="C62" s="252"/>
      <c r="D62" s="822"/>
      <c r="F62" s="250"/>
      <c r="I62" s="847"/>
    </row>
    <row r="63">
      <c r="A63" s="265"/>
      <c r="B63" s="938"/>
      <c r="C63" s="252"/>
      <c r="D63" s="822"/>
      <c r="F63" s="250"/>
      <c r="I63" s="847"/>
    </row>
    <row r="64">
      <c r="A64" s="265"/>
      <c r="B64" s="938"/>
      <c r="C64" s="252"/>
      <c r="D64" s="331"/>
      <c r="F64" s="250"/>
      <c r="I64" s="847"/>
    </row>
    <row r="65">
      <c r="A65" s="265"/>
      <c r="B65" s="941"/>
      <c r="C65" s="252"/>
      <c r="D65" s="822"/>
      <c r="F65" s="282"/>
      <c r="I65" s="847"/>
    </row>
    <row r="66">
      <c r="A66" s="270"/>
      <c r="B66" s="939"/>
      <c r="C66" s="272"/>
      <c r="D66" s="823"/>
      <c r="E66" s="18"/>
      <c r="F66" s="274">
        <f>SUM(F55:F65)</f>
        <v>11593</v>
      </c>
      <c r="G66" s="18"/>
      <c r="H66" s="18"/>
      <c r="I66" s="663"/>
    </row>
    <row r="67">
      <c r="A67" s="305">
        <v>44142.0</v>
      </c>
      <c r="B67" s="940"/>
      <c r="C67" s="240"/>
      <c r="D67" s="824"/>
      <c r="E67" s="242"/>
      <c r="F67" s="243">
        <v>3850.0</v>
      </c>
      <c r="G67" s="244" t="s">
        <v>1105</v>
      </c>
      <c r="H67" s="850" t="s">
        <v>3769</v>
      </c>
      <c r="I67" s="662"/>
    </row>
    <row r="68">
      <c r="A68" s="265"/>
      <c r="B68" s="938"/>
      <c r="C68" s="248"/>
      <c r="D68" s="822"/>
      <c r="F68" s="250">
        <v>6520.0</v>
      </c>
      <c r="G68" s="2" t="s">
        <v>3770</v>
      </c>
      <c r="H68" s="81" t="s">
        <v>3769</v>
      </c>
      <c r="I68" s="847"/>
    </row>
    <row r="69">
      <c r="A69" s="265"/>
      <c r="B69" s="938"/>
      <c r="C69" s="252"/>
      <c r="D69" s="822"/>
      <c r="F69" s="250">
        <v>5050.0</v>
      </c>
      <c r="G69" s="2" t="s">
        <v>573</v>
      </c>
      <c r="H69" s="81" t="s">
        <v>3769</v>
      </c>
      <c r="I69" s="847"/>
    </row>
    <row r="70">
      <c r="A70" s="265"/>
      <c r="B70" s="938"/>
      <c r="C70" s="252"/>
      <c r="D70" s="822"/>
      <c r="F70" s="250">
        <v>5050.0</v>
      </c>
      <c r="G70" s="2" t="s">
        <v>3487</v>
      </c>
      <c r="H70" s="81" t="s">
        <v>3769</v>
      </c>
      <c r="I70" s="847"/>
    </row>
    <row r="71">
      <c r="A71" s="265"/>
      <c r="B71" s="938"/>
      <c r="C71" s="252"/>
      <c r="D71" s="822"/>
      <c r="F71" s="250">
        <v>3000.0</v>
      </c>
      <c r="G71" s="2" t="s">
        <v>3078</v>
      </c>
      <c r="H71" s="81" t="s">
        <v>3769</v>
      </c>
      <c r="I71" s="847"/>
    </row>
    <row r="72">
      <c r="A72" s="265"/>
      <c r="B72" s="938"/>
      <c r="C72" s="252"/>
      <c r="D72" s="822"/>
      <c r="F72" s="250">
        <v>4270.0</v>
      </c>
      <c r="G72" s="2" t="s">
        <v>3209</v>
      </c>
      <c r="H72" s="81" t="s">
        <v>3769</v>
      </c>
      <c r="I72" s="847"/>
    </row>
    <row r="73">
      <c r="A73" s="265"/>
      <c r="B73" s="938"/>
      <c r="C73" s="252"/>
      <c r="D73" s="822"/>
      <c r="F73" s="250">
        <v>4270.0</v>
      </c>
      <c r="G73" s="2" t="s">
        <v>2893</v>
      </c>
      <c r="H73" s="81" t="s">
        <v>3769</v>
      </c>
      <c r="I73" s="847"/>
    </row>
    <row r="74">
      <c r="A74" s="265"/>
      <c r="B74" s="938"/>
      <c r="C74" s="252"/>
      <c r="D74" s="822"/>
      <c r="F74" s="250">
        <v>378.0</v>
      </c>
      <c r="G74" s="2" t="s">
        <v>708</v>
      </c>
      <c r="I74" s="847"/>
    </row>
    <row r="75">
      <c r="A75" s="265"/>
      <c r="B75" s="938"/>
      <c r="C75" s="252"/>
      <c r="D75" s="822"/>
      <c r="F75" s="250">
        <v>3000.0</v>
      </c>
      <c r="G75" s="2" t="s">
        <v>421</v>
      </c>
      <c r="I75" s="847"/>
    </row>
    <row r="76">
      <c r="A76" s="270"/>
      <c r="B76" s="939"/>
      <c r="C76" s="272"/>
      <c r="D76" s="823"/>
      <c r="E76" s="18"/>
      <c r="F76" s="274"/>
      <c r="G76" s="18"/>
      <c r="H76" s="18"/>
      <c r="I76" s="663"/>
    </row>
    <row r="77">
      <c r="A77" s="305">
        <v>44143.0</v>
      </c>
      <c r="B77" s="940"/>
      <c r="C77" s="263"/>
      <c r="D77" s="824"/>
      <c r="E77" s="242"/>
      <c r="F77" s="243">
        <v>488.0</v>
      </c>
      <c r="G77" s="244" t="s">
        <v>708</v>
      </c>
      <c r="H77" s="244"/>
      <c r="I77" s="662"/>
    </row>
    <row r="78">
      <c r="A78" s="265"/>
      <c r="B78" s="938"/>
      <c r="C78" s="252"/>
      <c r="D78" s="822"/>
      <c r="F78" s="250"/>
      <c r="I78" s="847"/>
    </row>
    <row r="79">
      <c r="A79" s="265"/>
      <c r="B79" s="938"/>
      <c r="C79" s="252"/>
      <c r="D79" s="822"/>
      <c r="F79" s="250"/>
      <c r="I79" s="847"/>
    </row>
    <row r="80">
      <c r="A80" s="265"/>
      <c r="B80" s="938"/>
      <c r="C80" s="252"/>
      <c r="D80" s="822"/>
      <c r="F80" s="250"/>
      <c r="I80" s="847"/>
    </row>
    <row r="81">
      <c r="A81" s="265"/>
      <c r="B81" s="938"/>
      <c r="C81" s="252"/>
      <c r="D81" s="822"/>
      <c r="F81" s="250"/>
      <c r="I81" s="847"/>
    </row>
    <row r="82">
      <c r="A82" s="265"/>
      <c r="B82" s="938"/>
      <c r="C82" s="252"/>
      <c r="D82" s="822"/>
      <c r="F82" s="250"/>
      <c r="I82" s="847"/>
    </row>
    <row r="83">
      <c r="A83" s="265"/>
      <c r="B83" s="938"/>
      <c r="C83" s="252"/>
      <c r="D83" s="822"/>
      <c r="F83" s="250"/>
      <c r="I83" s="847"/>
    </row>
    <row r="84">
      <c r="A84" s="265"/>
      <c r="B84" s="938"/>
      <c r="C84" s="252"/>
      <c r="D84" s="822"/>
      <c r="F84" s="250"/>
      <c r="I84" s="847"/>
    </row>
    <row r="85">
      <c r="A85" s="265"/>
      <c r="B85" s="938"/>
      <c r="C85" s="252"/>
      <c r="D85" s="822"/>
      <c r="F85" s="250"/>
      <c r="I85" s="847"/>
    </row>
    <row r="86">
      <c r="A86" s="270"/>
      <c r="B86" s="939"/>
      <c r="C86" s="272"/>
      <c r="D86" s="823"/>
      <c r="E86" s="18"/>
      <c r="F86" s="274"/>
      <c r="G86" s="18"/>
      <c r="H86" s="18"/>
      <c r="I86" s="663"/>
    </row>
    <row r="87">
      <c r="A87" s="305">
        <v>44144.0</v>
      </c>
      <c r="B87" s="940"/>
      <c r="C87" s="240"/>
      <c r="D87" s="821"/>
      <c r="E87" s="242"/>
      <c r="F87" s="250">
        <v>2359.33</v>
      </c>
      <c r="G87" s="244" t="s">
        <v>708</v>
      </c>
      <c r="H87" s="244"/>
      <c r="I87" s="662"/>
    </row>
    <row r="88">
      <c r="A88" s="265"/>
      <c r="B88" s="938"/>
      <c r="C88" s="252"/>
      <c r="D88" s="822"/>
      <c r="F88" s="250">
        <v>111.0</v>
      </c>
      <c r="G88" s="2" t="s">
        <v>172</v>
      </c>
      <c r="I88" s="847"/>
    </row>
    <row r="89">
      <c r="A89" s="265"/>
      <c r="B89" s="938"/>
      <c r="C89" s="252"/>
      <c r="D89" s="822"/>
      <c r="F89" s="250"/>
      <c r="I89" s="847"/>
    </row>
    <row r="90">
      <c r="A90" s="265"/>
      <c r="B90" s="938"/>
      <c r="C90" s="252"/>
      <c r="D90" s="822"/>
      <c r="F90" s="250"/>
      <c r="I90" s="847"/>
    </row>
    <row r="91">
      <c r="A91" s="265"/>
      <c r="B91" s="938"/>
      <c r="C91" s="252"/>
      <c r="D91" s="822"/>
      <c r="F91" s="250"/>
      <c r="I91" s="847"/>
    </row>
    <row r="92">
      <c r="A92" s="265"/>
      <c r="B92" s="938"/>
      <c r="C92" s="252"/>
      <c r="D92" s="822"/>
      <c r="F92" s="250"/>
      <c r="I92" s="847"/>
    </row>
    <row r="93">
      <c r="A93" s="265"/>
      <c r="B93" s="938"/>
      <c r="C93" s="252"/>
      <c r="D93" s="331"/>
      <c r="F93" s="250"/>
      <c r="I93" s="847"/>
    </row>
    <row r="94">
      <c r="A94" s="265"/>
      <c r="B94" s="938"/>
      <c r="C94" s="252"/>
      <c r="D94" s="822"/>
      <c r="F94" s="250"/>
      <c r="I94" s="847"/>
    </row>
    <row r="95">
      <c r="A95" s="265"/>
      <c r="B95" s="938"/>
      <c r="C95" s="252"/>
      <c r="D95" s="822"/>
      <c r="F95" s="250"/>
      <c r="I95" s="847"/>
    </row>
    <row r="96">
      <c r="A96" s="265"/>
      <c r="B96" s="938"/>
      <c r="C96" s="252"/>
      <c r="D96" s="822"/>
      <c r="F96" s="250"/>
      <c r="I96" s="847"/>
    </row>
    <row r="97">
      <c r="A97" s="270"/>
      <c r="B97" s="939"/>
      <c r="C97" s="272"/>
      <c r="D97" s="823"/>
      <c r="E97" s="18"/>
      <c r="F97" s="274">
        <f>SUM(F87:F96)</f>
        <v>2470.33</v>
      </c>
      <c r="G97" s="18"/>
      <c r="H97" s="18"/>
      <c r="I97" s="663"/>
    </row>
    <row r="98">
      <c r="A98" s="305">
        <v>44145.0</v>
      </c>
      <c r="B98" s="940"/>
      <c r="C98" s="263">
        <v>14850.0</v>
      </c>
      <c r="D98" s="824"/>
      <c r="E98" s="242"/>
      <c r="F98" s="243"/>
      <c r="G98" s="244" t="s">
        <v>2637</v>
      </c>
      <c r="H98" s="244"/>
      <c r="I98" s="662"/>
    </row>
    <row r="99">
      <c r="A99" s="265"/>
      <c r="B99" s="938"/>
      <c r="C99" s="252"/>
      <c r="D99" s="822"/>
      <c r="F99" s="250">
        <v>5405.0</v>
      </c>
      <c r="G99" s="2" t="s">
        <v>2456</v>
      </c>
      <c r="I99" s="847"/>
    </row>
    <row r="100">
      <c r="A100" s="265"/>
      <c r="B100" s="938"/>
      <c r="C100" s="252"/>
      <c r="D100" s="331"/>
      <c r="F100" s="250">
        <v>1350.0</v>
      </c>
      <c r="G100" s="2" t="s">
        <v>2887</v>
      </c>
      <c r="I100" s="847"/>
    </row>
    <row r="101">
      <c r="A101" s="265"/>
      <c r="B101" s="938"/>
      <c r="C101" s="252"/>
      <c r="D101" s="822"/>
      <c r="F101" s="250">
        <v>3000.0</v>
      </c>
      <c r="G101" s="2" t="s">
        <v>64</v>
      </c>
      <c r="I101" s="847"/>
    </row>
    <row r="102">
      <c r="A102" s="265"/>
      <c r="B102" s="938"/>
      <c r="C102" s="252"/>
      <c r="D102" s="822"/>
      <c r="F102" s="250">
        <v>2518.67</v>
      </c>
      <c r="G102" s="2" t="s">
        <v>708</v>
      </c>
      <c r="I102" s="847"/>
    </row>
    <row r="103">
      <c r="A103" s="265"/>
      <c r="B103" s="938"/>
      <c r="C103" s="252"/>
      <c r="D103" s="822"/>
      <c r="F103" s="250">
        <v>200.0</v>
      </c>
      <c r="G103" s="2" t="s">
        <v>344</v>
      </c>
      <c r="I103" s="847"/>
    </row>
    <row r="104">
      <c r="A104" s="265"/>
      <c r="B104" s="938"/>
      <c r="C104" s="252"/>
      <c r="D104" s="822"/>
      <c r="F104" s="250">
        <v>1791.83</v>
      </c>
      <c r="G104" s="2" t="s">
        <v>82</v>
      </c>
      <c r="I104" s="847"/>
    </row>
    <row r="105">
      <c r="A105" s="265"/>
      <c r="B105" s="938"/>
      <c r="C105" s="252"/>
      <c r="D105" s="822"/>
      <c r="F105" s="250">
        <v>3060.0</v>
      </c>
      <c r="G105" s="2" t="s">
        <v>76</v>
      </c>
      <c r="I105" s="847"/>
    </row>
    <row r="106">
      <c r="A106" s="265"/>
      <c r="B106" s="938"/>
      <c r="C106" s="252"/>
      <c r="D106" s="822"/>
      <c r="F106" s="250">
        <v>1122.0</v>
      </c>
      <c r="G106" s="2" t="s">
        <v>708</v>
      </c>
      <c r="I106" s="847"/>
    </row>
    <row r="107">
      <c r="A107" s="265"/>
      <c r="B107" s="938"/>
      <c r="C107" s="252"/>
      <c r="D107" s="822"/>
      <c r="F107" s="250">
        <v>190.0</v>
      </c>
      <c r="G107" s="2" t="s">
        <v>85</v>
      </c>
      <c r="I107" s="847"/>
    </row>
    <row r="108">
      <c r="A108" s="265"/>
      <c r="B108" s="938"/>
      <c r="C108" s="252"/>
      <c r="D108" s="822"/>
      <c r="F108" s="250">
        <v>200.0</v>
      </c>
      <c r="G108" s="2" t="s">
        <v>288</v>
      </c>
      <c r="I108" s="847"/>
    </row>
    <row r="109">
      <c r="A109" s="265"/>
      <c r="B109" s="938"/>
      <c r="C109" s="252"/>
      <c r="D109" s="822"/>
      <c r="F109" s="250">
        <v>5600.0</v>
      </c>
      <c r="G109" s="2" t="s">
        <v>3771</v>
      </c>
      <c r="H109" s="552"/>
      <c r="I109" s="847"/>
    </row>
    <row r="110">
      <c r="A110" s="265"/>
      <c r="B110" s="938"/>
      <c r="C110" s="252"/>
      <c r="D110" s="822"/>
      <c r="F110" s="250">
        <v>140.0</v>
      </c>
      <c r="G110" s="2" t="s">
        <v>3152</v>
      </c>
      <c r="I110" s="847"/>
    </row>
    <row r="111">
      <c r="A111" s="265"/>
      <c r="B111" s="938"/>
      <c r="C111" s="252"/>
      <c r="D111" s="822"/>
      <c r="F111" s="250"/>
      <c r="G111" s="2"/>
      <c r="I111" s="847"/>
    </row>
    <row r="112">
      <c r="A112" s="270"/>
      <c r="B112" s="939"/>
      <c r="C112" s="272"/>
      <c r="D112" s="823"/>
      <c r="E112" s="18"/>
      <c r="F112" s="274">
        <f>SUM(F99:F107)</f>
        <v>18637.5</v>
      </c>
      <c r="G112" s="18"/>
      <c r="H112" s="18"/>
      <c r="I112" s="663"/>
    </row>
    <row r="113">
      <c r="A113" s="305">
        <v>44146.0</v>
      </c>
      <c r="B113" s="940"/>
      <c r="C113" s="240"/>
      <c r="D113" s="824"/>
      <c r="E113" s="242"/>
      <c r="F113" s="243">
        <v>8320.0</v>
      </c>
      <c r="G113" s="244" t="s">
        <v>3772</v>
      </c>
      <c r="H113" s="244"/>
      <c r="I113" s="662"/>
    </row>
    <row r="114">
      <c r="A114" s="265"/>
      <c r="B114" s="938"/>
      <c r="C114" s="252"/>
      <c r="D114" s="822"/>
      <c r="F114" s="250">
        <v>1342.0</v>
      </c>
      <c r="G114" s="2" t="s">
        <v>708</v>
      </c>
      <c r="I114" s="847"/>
    </row>
    <row r="115">
      <c r="A115" s="265"/>
      <c r="B115" s="938"/>
      <c r="C115" s="252"/>
      <c r="D115" s="822"/>
      <c r="F115" s="250">
        <v>178.0</v>
      </c>
      <c r="G115" s="2" t="s">
        <v>3773</v>
      </c>
      <c r="I115" s="847"/>
    </row>
    <row r="116">
      <c r="A116" s="265"/>
      <c r="B116" s="938"/>
      <c r="C116" s="252"/>
      <c r="D116" s="331">
        <v>364.0</v>
      </c>
      <c r="F116" s="250"/>
      <c r="G116" s="2" t="s">
        <v>3774</v>
      </c>
      <c r="I116" s="847"/>
    </row>
    <row r="117">
      <c r="A117" s="265"/>
      <c r="B117" s="938"/>
      <c r="C117" s="252"/>
      <c r="D117" s="822"/>
      <c r="F117" s="250">
        <v>6500.0</v>
      </c>
      <c r="G117" s="2" t="s">
        <v>3775</v>
      </c>
      <c r="I117" s="847"/>
    </row>
    <row r="118">
      <c r="A118" s="265"/>
      <c r="B118" s="938"/>
      <c r="C118" s="252"/>
      <c r="D118" s="822"/>
      <c r="F118" s="250"/>
      <c r="I118" s="847"/>
    </row>
    <row r="119">
      <c r="A119" s="265"/>
      <c r="B119" s="938"/>
      <c r="C119" s="252"/>
      <c r="D119" s="822"/>
      <c r="F119" s="250"/>
      <c r="I119" s="847"/>
    </row>
    <row r="120">
      <c r="A120" s="265"/>
      <c r="B120" s="938"/>
      <c r="C120" s="252"/>
      <c r="D120" s="822"/>
      <c r="F120" s="250"/>
      <c r="I120" s="847"/>
    </row>
    <row r="121">
      <c r="A121" s="265"/>
      <c r="B121" s="938"/>
      <c r="C121" s="252"/>
      <c r="D121" s="822"/>
      <c r="F121" s="250"/>
      <c r="I121" s="847"/>
    </row>
    <row r="122">
      <c r="A122" s="270"/>
      <c r="B122" s="939"/>
      <c r="C122" s="272"/>
      <c r="D122" s="823"/>
      <c r="E122" s="18"/>
      <c r="F122" s="274"/>
      <c r="G122" s="18"/>
      <c r="H122" s="18"/>
      <c r="I122" s="663"/>
    </row>
    <row r="123">
      <c r="A123" s="305">
        <v>44147.0</v>
      </c>
      <c r="B123" s="940"/>
      <c r="C123" s="240"/>
      <c r="D123" s="824"/>
      <c r="E123" s="242"/>
      <c r="F123" s="243">
        <v>30.0</v>
      </c>
      <c r="G123" s="244" t="s">
        <v>3776</v>
      </c>
      <c r="H123" s="244"/>
      <c r="I123" s="662"/>
    </row>
    <row r="124">
      <c r="A124" s="265"/>
      <c r="B124" s="938"/>
      <c r="C124" s="252"/>
      <c r="D124" s="822"/>
      <c r="F124" s="250">
        <v>460.0</v>
      </c>
      <c r="G124" s="2" t="s">
        <v>143</v>
      </c>
      <c r="I124" s="847"/>
    </row>
    <row r="125">
      <c r="A125" s="265"/>
      <c r="B125" s="938"/>
      <c r="C125" s="252"/>
      <c r="D125" s="822"/>
      <c r="F125" s="250">
        <v>2185.0</v>
      </c>
      <c r="G125" s="2" t="s">
        <v>708</v>
      </c>
      <c r="I125" s="847"/>
    </row>
    <row r="126">
      <c r="A126" s="265"/>
      <c r="B126" s="938"/>
      <c r="C126" s="252"/>
      <c r="D126" s="822"/>
      <c r="F126" s="250">
        <v>3190.0</v>
      </c>
      <c r="G126" s="2" t="s">
        <v>3777</v>
      </c>
      <c r="I126" s="847"/>
    </row>
    <row r="127">
      <c r="A127" s="265"/>
      <c r="B127" s="938"/>
      <c r="C127" s="252"/>
      <c r="D127" s="822"/>
      <c r="F127" s="250"/>
      <c r="I127" s="847"/>
    </row>
    <row r="128">
      <c r="A128" s="265"/>
      <c r="B128" s="938"/>
      <c r="C128" s="252"/>
      <c r="D128" s="822"/>
      <c r="F128" s="250"/>
      <c r="I128" s="847"/>
    </row>
    <row r="129">
      <c r="A129" s="265"/>
      <c r="B129" s="938"/>
      <c r="C129" s="252"/>
      <c r="D129" s="822"/>
      <c r="F129" s="250"/>
      <c r="I129" s="847"/>
    </row>
    <row r="130">
      <c r="A130" s="265"/>
      <c r="B130" s="938"/>
      <c r="C130" s="252"/>
      <c r="D130" s="822"/>
      <c r="F130" s="250"/>
      <c r="I130" s="847"/>
    </row>
    <row r="131">
      <c r="A131" s="265"/>
      <c r="B131" s="938"/>
      <c r="C131" s="252"/>
      <c r="D131" s="822"/>
      <c r="F131" s="250"/>
      <c r="I131" s="847"/>
    </row>
    <row r="132">
      <c r="A132" s="270"/>
      <c r="B132" s="939"/>
      <c r="C132" s="272"/>
      <c r="D132" s="823"/>
      <c r="E132" s="18"/>
      <c r="F132" s="274"/>
      <c r="G132" s="18"/>
      <c r="H132" s="18"/>
      <c r="I132" s="663"/>
    </row>
    <row r="133">
      <c r="A133" s="305">
        <v>44148.0</v>
      </c>
      <c r="B133" s="940"/>
      <c r="C133" s="240"/>
      <c r="D133" s="824"/>
      <c r="E133" s="242"/>
      <c r="F133" s="243">
        <v>3000.0</v>
      </c>
      <c r="G133" s="244" t="s">
        <v>421</v>
      </c>
      <c r="H133" s="244"/>
      <c r="I133" s="662"/>
    </row>
    <row r="134">
      <c r="A134" s="265"/>
      <c r="B134" s="938"/>
      <c r="C134" s="252"/>
      <c r="D134" s="822"/>
      <c r="F134" s="250">
        <v>2405.0</v>
      </c>
      <c r="G134" s="2" t="s">
        <v>3778</v>
      </c>
      <c r="I134" s="847"/>
    </row>
    <row r="135">
      <c r="A135" s="265"/>
      <c r="B135" s="938"/>
      <c r="C135" s="248"/>
      <c r="D135" s="331">
        <v>6000.0</v>
      </c>
      <c r="F135" s="250"/>
      <c r="G135" s="2" t="s">
        <v>3779</v>
      </c>
      <c r="I135" s="847"/>
    </row>
    <row r="136">
      <c r="A136" s="265"/>
      <c r="B136" s="938"/>
      <c r="C136" s="252"/>
      <c r="D136" s="822"/>
      <c r="F136" s="250">
        <v>1202.61</v>
      </c>
      <c r="G136" s="2" t="s">
        <v>708</v>
      </c>
      <c r="I136" s="847"/>
    </row>
    <row r="137">
      <c r="A137" s="265"/>
      <c r="B137" s="938"/>
      <c r="C137" s="252"/>
      <c r="D137" s="822"/>
      <c r="F137" s="250">
        <v>1586.0</v>
      </c>
      <c r="G137" s="2" t="s">
        <v>82</v>
      </c>
      <c r="I137" s="847"/>
    </row>
    <row r="138">
      <c r="A138" s="265"/>
      <c r="B138" s="938"/>
      <c r="C138" s="252"/>
      <c r="D138" s="822"/>
      <c r="F138" s="250">
        <v>5000.0</v>
      </c>
      <c r="G138" s="2" t="s">
        <v>3763</v>
      </c>
      <c r="H138" s="552"/>
      <c r="I138" s="847"/>
    </row>
    <row r="139">
      <c r="A139" s="265"/>
      <c r="B139" s="938"/>
      <c r="C139" s="252"/>
      <c r="D139" s="331"/>
      <c r="F139" s="250">
        <v>5000.0</v>
      </c>
      <c r="G139" s="2" t="s">
        <v>3135</v>
      </c>
      <c r="I139" s="847"/>
    </row>
    <row r="140">
      <c r="A140" s="265"/>
      <c r="B140" s="938"/>
      <c r="C140" s="252"/>
      <c r="D140" s="822"/>
      <c r="F140" s="250"/>
      <c r="I140" s="847"/>
    </row>
    <row r="141">
      <c r="A141" s="265"/>
      <c r="B141" s="938"/>
      <c r="C141" s="252"/>
      <c r="D141" s="822"/>
      <c r="F141" s="250"/>
      <c r="I141" s="847"/>
    </row>
    <row r="142">
      <c r="A142" s="270"/>
      <c r="B142" s="939"/>
      <c r="C142" s="272"/>
      <c r="D142" s="823"/>
      <c r="E142" s="18"/>
      <c r="F142" s="274">
        <f>SUM(F133:F141)</f>
        <v>18193.61</v>
      </c>
      <c r="G142" s="18"/>
      <c r="H142" s="18"/>
      <c r="I142" s="663"/>
    </row>
    <row r="143">
      <c r="A143" s="305">
        <v>44149.0</v>
      </c>
      <c r="B143" s="940"/>
      <c r="C143" s="240"/>
      <c r="D143" s="821"/>
      <c r="E143" s="242"/>
      <c r="F143" s="243">
        <v>690.0</v>
      </c>
      <c r="G143" s="244" t="s">
        <v>708</v>
      </c>
      <c r="H143" s="244"/>
      <c r="I143" s="662"/>
    </row>
    <row r="144">
      <c r="A144" s="265"/>
      <c r="B144" s="938"/>
      <c r="C144" s="252"/>
      <c r="D144" s="331"/>
      <c r="F144" s="250"/>
      <c r="I144" s="847"/>
    </row>
    <row r="145">
      <c r="A145" s="265"/>
      <c r="B145" s="938"/>
      <c r="C145" s="252"/>
      <c r="D145" s="331"/>
      <c r="F145" s="250"/>
      <c r="I145" s="847"/>
    </row>
    <row r="146">
      <c r="A146" s="265"/>
      <c r="B146" s="938"/>
      <c r="C146" s="252"/>
      <c r="D146" s="822"/>
      <c r="F146" s="250"/>
      <c r="I146" s="847"/>
    </row>
    <row r="147">
      <c r="A147" s="265"/>
      <c r="B147" s="938"/>
      <c r="C147" s="252"/>
      <c r="D147" s="822"/>
      <c r="F147" s="250"/>
      <c r="I147" s="847"/>
    </row>
    <row r="148">
      <c r="A148" s="265"/>
      <c r="B148" s="938"/>
      <c r="C148" s="252"/>
      <c r="D148" s="822"/>
      <c r="F148" s="250"/>
      <c r="I148" s="847"/>
    </row>
    <row r="149">
      <c r="A149" s="265"/>
      <c r="B149" s="938"/>
      <c r="C149" s="252"/>
      <c r="D149" s="822"/>
      <c r="F149" s="250"/>
      <c r="I149" s="847"/>
    </row>
    <row r="150">
      <c r="A150" s="265"/>
      <c r="B150" s="938"/>
      <c r="C150" s="252"/>
      <c r="D150" s="822"/>
      <c r="F150" s="250"/>
      <c r="I150" s="847"/>
    </row>
    <row r="151">
      <c r="A151" s="265"/>
      <c r="B151" s="938"/>
      <c r="C151" s="252"/>
      <c r="D151" s="822"/>
      <c r="F151" s="250"/>
      <c r="I151" s="847"/>
    </row>
    <row r="152">
      <c r="A152" s="265"/>
      <c r="B152" s="938"/>
      <c r="C152" s="252"/>
      <c r="D152" s="822"/>
      <c r="F152" s="250"/>
      <c r="I152" s="847"/>
    </row>
    <row r="153">
      <c r="A153" s="265"/>
      <c r="B153" s="938"/>
      <c r="C153" s="252"/>
      <c r="D153" s="822"/>
      <c r="F153" s="250"/>
      <c r="I153" s="847"/>
    </row>
    <row r="154">
      <c r="A154" s="265"/>
      <c r="B154" s="938"/>
      <c r="C154" s="252"/>
      <c r="D154" s="822"/>
      <c r="F154" s="250"/>
      <c r="I154" s="847"/>
    </row>
    <row r="155">
      <c r="A155" s="265"/>
      <c r="B155" s="938"/>
      <c r="C155" s="252"/>
      <c r="D155" s="822"/>
      <c r="F155" s="250"/>
      <c r="I155" s="847"/>
    </row>
    <row r="156">
      <c r="A156" s="265"/>
      <c r="B156" s="938"/>
      <c r="C156" s="252"/>
      <c r="D156" s="822"/>
      <c r="F156" s="250"/>
      <c r="I156" s="847"/>
    </row>
    <row r="157">
      <c r="A157" s="270"/>
      <c r="B157" s="939"/>
      <c r="C157" s="272"/>
      <c r="D157" s="823"/>
      <c r="E157" s="18"/>
      <c r="F157" s="259"/>
      <c r="G157" s="293"/>
      <c r="H157" s="18"/>
      <c r="I157" s="663"/>
    </row>
    <row r="158">
      <c r="A158" s="305">
        <v>44150.0</v>
      </c>
      <c r="B158" s="940"/>
      <c r="C158" s="240"/>
      <c r="D158" s="824"/>
      <c r="E158" s="242"/>
      <c r="F158" s="243">
        <v>19000.0</v>
      </c>
      <c r="G158" s="244" t="s">
        <v>3780</v>
      </c>
      <c r="I158" s="244"/>
    </row>
    <row r="159">
      <c r="A159" s="265"/>
      <c r="B159" s="938"/>
      <c r="C159" s="252"/>
      <c r="D159" s="822"/>
      <c r="F159" s="250"/>
      <c r="I159" s="847"/>
    </row>
    <row r="160">
      <c r="A160" s="265"/>
      <c r="B160" s="938"/>
      <c r="C160" s="252"/>
      <c r="D160" s="822"/>
      <c r="F160" s="250"/>
      <c r="I160" s="847"/>
    </row>
    <row r="161">
      <c r="A161" s="265"/>
      <c r="B161" s="938"/>
      <c r="C161" s="252"/>
      <c r="D161" s="822"/>
      <c r="F161" s="250"/>
      <c r="I161" s="847"/>
    </row>
    <row r="162">
      <c r="A162" s="265"/>
      <c r="B162" s="938"/>
      <c r="C162" s="252"/>
      <c r="D162" s="822"/>
      <c r="F162" s="250"/>
      <c r="I162" s="847"/>
    </row>
    <row r="163">
      <c r="A163" s="265"/>
      <c r="B163" s="938"/>
      <c r="C163" s="252"/>
      <c r="D163" s="822"/>
      <c r="F163" s="250"/>
      <c r="I163" s="847"/>
    </row>
    <row r="164">
      <c r="A164" s="265"/>
      <c r="B164" s="938"/>
      <c r="C164" s="252"/>
      <c r="D164" s="822"/>
      <c r="F164" s="250"/>
      <c r="I164" s="847"/>
    </row>
    <row r="165">
      <c r="A165" s="265"/>
      <c r="B165" s="938"/>
      <c r="C165" s="252"/>
      <c r="D165" s="822"/>
      <c r="F165" s="250"/>
      <c r="I165" s="847"/>
    </row>
    <row r="166">
      <c r="A166" s="265"/>
      <c r="B166" s="938"/>
      <c r="C166" s="252"/>
      <c r="D166" s="822"/>
      <c r="F166" s="250"/>
      <c r="I166" s="847"/>
    </row>
    <row r="167">
      <c r="A167" s="270"/>
      <c r="B167" s="939"/>
      <c r="C167" s="272"/>
      <c r="D167" s="823"/>
      <c r="E167" s="18"/>
      <c r="F167" s="274"/>
      <c r="G167" s="18"/>
      <c r="H167" s="18"/>
      <c r="I167" s="663"/>
    </row>
    <row r="168">
      <c r="A168" s="305">
        <v>44151.0</v>
      </c>
      <c r="B168" s="940"/>
      <c r="C168" s="263"/>
      <c r="D168" s="824"/>
      <c r="E168" s="242"/>
      <c r="F168" s="243">
        <v>3000.0</v>
      </c>
      <c r="G168" s="244" t="s">
        <v>87</v>
      </c>
      <c r="H168" s="244"/>
      <c r="I168" s="662"/>
    </row>
    <row r="169">
      <c r="A169" s="265"/>
      <c r="B169" s="938"/>
      <c r="C169" s="252"/>
      <c r="D169" s="822"/>
      <c r="F169" s="250">
        <v>3717.85</v>
      </c>
      <c r="G169" s="2" t="s">
        <v>708</v>
      </c>
      <c r="I169" s="847"/>
    </row>
    <row r="170">
      <c r="A170" s="265"/>
      <c r="B170" s="938"/>
      <c r="C170" s="252"/>
      <c r="D170" s="331">
        <v>1647.66</v>
      </c>
      <c r="F170" s="250"/>
      <c r="G170" s="2" t="s">
        <v>1849</v>
      </c>
      <c r="I170" s="847"/>
    </row>
    <row r="171">
      <c r="A171" s="265"/>
      <c r="B171" s="938"/>
      <c r="C171" s="252"/>
      <c r="D171" s="331">
        <v>2031.61</v>
      </c>
      <c r="F171" s="250"/>
      <c r="G171" s="2" t="s">
        <v>3781</v>
      </c>
      <c r="I171" s="847"/>
    </row>
    <row r="172">
      <c r="A172" s="265"/>
      <c r="B172" s="938"/>
      <c r="C172" s="252"/>
      <c r="D172" s="331"/>
      <c r="F172" s="250">
        <v>5400.0</v>
      </c>
      <c r="G172" s="2" t="s">
        <v>3782</v>
      </c>
      <c r="I172" s="847"/>
    </row>
    <row r="173">
      <c r="A173" s="265"/>
      <c r="B173" s="938"/>
      <c r="C173" s="252"/>
      <c r="D173" s="822"/>
      <c r="F173" s="250"/>
      <c r="G173" s="2" t="s">
        <v>79</v>
      </c>
      <c r="I173" s="847"/>
    </row>
    <row r="174">
      <c r="A174" s="265"/>
      <c r="B174" s="938"/>
      <c r="C174" s="252"/>
      <c r="D174" s="822"/>
      <c r="F174" s="250">
        <v>280.0</v>
      </c>
      <c r="G174" s="2" t="s">
        <v>227</v>
      </c>
      <c r="I174" s="847"/>
    </row>
    <row r="175">
      <c r="A175" s="265"/>
      <c r="B175" s="938"/>
      <c r="C175" s="252"/>
      <c r="D175" s="331"/>
      <c r="F175" s="250"/>
      <c r="I175" s="847"/>
    </row>
    <row r="176">
      <c r="A176" s="265"/>
      <c r="B176" s="938"/>
      <c r="C176" s="252"/>
      <c r="D176" s="822"/>
      <c r="F176" s="250"/>
      <c r="I176" s="847"/>
    </row>
    <row r="177">
      <c r="A177" s="270"/>
      <c r="B177" s="939"/>
      <c r="C177" s="272"/>
      <c r="D177" s="823"/>
      <c r="E177" s="18"/>
      <c r="F177" s="274"/>
      <c r="G177" s="18"/>
      <c r="H177" s="18"/>
      <c r="I177" s="663"/>
    </row>
    <row r="178">
      <c r="A178" s="305">
        <v>44152.0</v>
      </c>
      <c r="B178" s="940"/>
      <c r="C178" s="263">
        <v>14670.0</v>
      </c>
      <c r="D178" s="824"/>
      <c r="E178" s="242"/>
      <c r="F178" s="243"/>
      <c r="G178" s="244" t="s">
        <v>71</v>
      </c>
      <c r="H178" s="244"/>
      <c r="I178" s="662"/>
    </row>
    <row r="179">
      <c r="A179" s="265"/>
      <c r="B179" s="938"/>
      <c r="C179" s="252"/>
      <c r="D179" s="331"/>
      <c r="F179" s="250">
        <v>300.0</v>
      </c>
      <c r="G179" s="2" t="s">
        <v>344</v>
      </c>
      <c r="I179" s="847"/>
    </row>
    <row r="180">
      <c r="A180" s="265"/>
      <c r="B180" s="938"/>
      <c r="C180" s="252"/>
      <c r="D180" s="822"/>
      <c r="F180" s="250">
        <f>1078+1038</f>
        <v>2116</v>
      </c>
      <c r="G180" s="2" t="s">
        <v>708</v>
      </c>
      <c r="I180" s="847"/>
    </row>
    <row r="181">
      <c r="A181" s="265"/>
      <c r="B181" s="938"/>
      <c r="C181" s="252"/>
      <c r="D181" s="822"/>
      <c r="F181" s="250">
        <v>1300.0</v>
      </c>
      <c r="G181" s="2" t="s">
        <v>3783</v>
      </c>
      <c r="I181" s="847"/>
    </row>
    <row r="182">
      <c r="A182" s="265"/>
      <c r="B182" s="938"/>
      <c r="C182" s="252"/>
      <c r="D182" s="822"/>
      <c r="F182" s="250">
        <v>1586.0</v>
      </c>
      <c r="G182" s="2" t="s">
        <v>82</v>
      </c>
      <c r="I182" s="847"/>
    </row>
    <row r="183">
      <c r="A183" s="265"/>
      <c r="B183" s="938"/>
      <c r="C183" s="252"/>
      <c r="D183" s="822"/>
      <c r="F183" s="250">
        <v>4600.0</v>
      </c>
      <c r="G183" s="2" t="s">
        <v>3784</v>
      </c>
      <c r="I183" s="847"/>
    </row>
    <row r="184">
      <c r="A184" s="265"/>
      <c r="B184" s="938"/>
      <c r="C184" s="252"/>
      <c r="D184" s="822"/>
      <c r="F184" s="250">
        <v>190.0</v>
      </c>
      <c r="G184" s="2" t="s">
        <v>85</v>
      </c>
      <c r="I184" s="847"/>
    </row>
    <row r="185">
      <c r="A185" s="265"/>
      <c r="B185" s="938"/>
      <c r="C185" s="252"/>
      <c r="D185" s="822"/>
      <c r="F185" s="250">
        <v>450.0</v>
      </c>
      <c r="G185" s="2" t="s">
        <v>3785</v>
      </c>
      <c r="I185" s="847"/>
    </row>
    <row r="186">
      <c r="A186" s="265"/>
      <c r="B186" s="938"/>
      <c r="C186" s="252"/>
      <c r="D186" s="822"/>
      <c r="F186" s="250">
        <v>1500.0</v>
      </c>
      <c r="G186" s="2" t="s">
        <v>3786</v>
      </c>
      <c r="H186" s="552"/>
      <c r="I186" s="847"/>
    </row>
    <row r="187">
      <c r="A187" s="265"/>
      <c r="B187" s="941"/>
      <c r="C187" s="252"/>
      <c r="D187" s="822"/>
      <c r="F187" s="250"/>
      <c r="I187" s="847"/>
    </row>
    <row r="188">
      <c r="A188" s="265"/>
      <c r="B188" s="941"/>
      <c r="C188" s="252"/>
      <c r="D188" s="822"/>
      <c r="F188" s="282"/>
      <c r="I188" s="847"/>
    </row>
    <row r="189">
      <c r="A189" s="270"/>
      <c r="B189" s="939"/>
      <c r="C189" s="272"/>
      <c r="D189" s="823"/>
      <c r="E189" s="18"/>
      <c r="F189" s="274">
        <f>SUM(F179:F188)</f>
        <v>12042</v>
      </c>
      <c r="G189" s="18"/>
      <c r="H189" s="18"/>
      <c r="I189" s="663"/>
    </row>
    <row r="190">
      <c r="A190" s="305">
        <v>44153.0</v>
      </c>
      <c r="B190" s="940"/>
      <c r="C190" s="240"/>
      <c r="D190" s="821">
        <v>13500.0</v>
      </c>
      <c r="E190" s="242"/>
      <c r="F190" s="243"/>
      <c r="G190" s="244" t="s">
        <v>167</v>
      </c>
      <c r="H190" s="244"/>
      <c r="I190" s="662"/>
    </row>
    <row r="191">
      <c r="A191" s="265"/>
      <c r="B191" s="938"/>
      <c r="C191" s="252"/>
      <c r="D191" s="331">
        <v>18150.0</v>
      </c>
      <c r="F191" s="250"/>
      <c r="G191" s="2" t="s">
        <v>3742</v>
      </c>
      <c r="I191" s="847"/>
    </row>
    <row r="192">
      <c r="A192" s="265"/>
      <c r="B192" s="938"/>
      <c r="C192" s="252"/>
      <c r="D192" s="822"/>
      <c r="F192" s="250">
        <v>285.0</v>
      </c>
      <c r="G192" s="2" t="s">
        <v>3787</v>
      </c>
      <c r="H192" s="552"/>
      <c r="I192" s="847"/>
    </row>
    <row r="193">
      <c r="A193" s="265"/>
      <c r="B193" s="938"/>
      <c r="C193" s="248">
        <v>14270.5</v>
      </c>
      <c r="D193" s="822"/>
      <c r="F193" s="250"/>
      <c r="G193" s="2" t="s">
        <v>2703</v>
      </c>
      <c r="I193" s="847"/>
    </row>
    <row r="194">
      <c r="A194" s="265"/>
      <c r="B194" s="938"/>
      <c r="C194" s="248">
        <v>15000.0</v>
      </c>
      <c r="D194" s="822"/>
      <c r="F194" s="250"/>
      <c r="G194" s="2" t="s">
        <v>2703</v>
      </c>
      <c r="I194" s="847"/>
    </row>
    <row r="195">
      <c r="A195" s="265"/>
      <c r="B195" s="938"/>
      <c r="C195" s="248">
        <v>12231.38</v>
      </c>
      <c r="D195" s="822"/>
      <c r="F195" s="250"/>
      <c r="G195" s="2" t="s">
        <v>84</v>
      </c>
      <c r="I195" s="847"/>
    </row>
    <row r="196">
      <c r="A196" s="265"/>
      <c r="B196" s="938"/>
      <c r="C196" s="252"/>
      <c r="D196" s="822"/>
      <c r="F196" s="250">
        <v>1977.73</v>
      </c>
      <c r="G196" s="2" t="s">
        <v>708</v>
      </c>
      <c r="I196" s="847"/>
    </row>
    <row r="197">
      <c r="A197" s="265"/>
      <c r="B197" s="938"/>
      <c r="C197" s="252"/>
      <c r="D197" s="822"/>
      <c r="F197" s="250">
        <v>15000.0</v>
      </c>
      <c r="G197" s="2" t="s">
        <v>3135</v>
      </c>
      <c r="I197" s="847"/>
    </row>
    <row r="198">
      <c r="A198" s="265"/>
      <c r="B198" s="938"/>
      <c r="C198" s="252"/>
      <c r="D198" s="822"/>
      <c r="F198" s="250"/>
      <c r="I198" s="847"/>
    </row>
    <row r="199">
      <c r="A199" s="265"/>
      <c r="B199" s="938"/>
      <c r="C199" s="252"/>
      <c r="D199" s="822"/>
      <c r="F199" s="250"/>
      <c r="I199" s="847"/>
    </row>
    <row r="200">
      <c r="A200" s="270"/>
      <c r="B200" s="939"/>
      <c r="C200" s="272"/>
      <c r="D200" s="823"/>
      <c r="E200" s="18"/>
      <c r="F200" s="274"/>
      <c r="G200" s="18"/>
      <c r="H200" s="18"/>
      <c r="I200" s="663"/>
    </row>
    <row r="201">
      <c r="A201" s="305">
        <v>44154.0</v>
      </c>
      <c r="B201" s="940"/>
      <c r="C201" s="240"/>
      <c r="D201" s="824"/>
      <c r="E201" s="242"/>
      <c r="F201" s="243">
        <v>460.0</v>
      </c>
      <c r="G201" s="244" t="s">
        <v>228</v>
      </c>
      <c r="H201" s="244"/>
      <c r="I201" s="662"/>
    </row>
    <row r="202">
      <c r="A202" s="265"/>
      <c r="B202" s="938"/>
      <c r="C202" s="252"/>
      <c r="D202" s="822"/>
      <c r="F202" s="250">
        <v>220.0</v>
      </c>
      <c r="G202" s="2" t="s">
        <v>228</v>
      </c>
      <c r="I202" s="847"/>
    </row>
    <row r="203">
      <c r="A203" s="265"/>
      <c r="B203" s="938"/>
      <c r="C203" s="252"/>
      <c r="D203" s="822"/>
      <c r="F203" s="250">
        <v>545.0</v>
      </c>
      <c r="G203" s="2" t="s">
        <v>228</v>
      </c>
      <c r="I203" s="847"/>
    </row>
    <row r="204">
      <c r="A204" s="265"/>
      <c r="B204" s="938"/>
      <c r="C204" s="252"/>
      <c r="D204" s="822"/>
      <c r="F204" s="250">
        <v>180.0</v>
      </c>
      <c r="G204" s="2" t="s">
        <v>94</v>
      </c>
      <c r="I204" s="847"/>
    </row>
    <row r="205">
      <c r="A205" s="265"/>
      <c r="B205" s="938"/>
      <c r="C205" s="252"/>
      <c r="D205" s="822"/>
      <c r="F205" s="250">
        <v>1081.0</v>
      </c>
      <c r="G205" s="2" t="s">
        <v>708</v>
      </c>
      <c r="I205" s="847"/>
    </row>
    <row r="206">
      <c r="A206" s="265"/>
      <c r="B206" s="938"/>
      <c r="C206" s="252"/>
      <c r="D206" s="822"/>
      <c r="F206" s="250">
        <v>1773.8</v>
      </c>
      <c r="G206" s="2" t="s">
        <v>2623</v>
      </c>
      <c r="I206" s="847"/>
    </row>
    <row r="207">
      <c r="A207" s="265"/>
      <c r="B207" s="938"/>
      <c r="C207" s="252"/>
      <c r="D207" s="822"/>
      <c r="F207" s="250">
        <v>200.0</v>
      </c>
      <c r="G207" s="2" t="s">
        <v>3152</v>
      </c>
      <c r="I207" s="847"/>
    </row>
    <row r="208">
      <c r="A208" s="265"/>
      <c r="B208" s="938"/>
      <c r="C208" s="252"/>
      <c r="D208" s="822"/>
      <c r="F208" s="250">
        <v>5600.0</v>
      </c>
      <c r="G208" s="2" t="s">
        <v>3788</v>
      </c>
      <c r="H208" s="252"/>
      <c r="I208" s="847"/>
    </row>
    <row r="209">
      <c r="A209" s="265"/>
      <c r="B209" s="938"/>
      <c r="C209" s="252"/>
      <c r="D209" s="822"/>
      <c r="F209" s="250">
        <v>400.0</v>
      </c>
      <c r="G209" s="2" t="s">
        <v>3789</v>
      </c>
      <c r="I209" s="847"/>
    </row>
    <row r="210">
      <c r="A210" s="265"/>
      <c r="B210" s="938"/>
      <c r="C210" s="252"/>
      <c r="D210" s="822"/>
      <c r="F210" s="250">
        <v>210.0</v>
      </c>
      <c r="G210" s="2" t="s">
        <v>3728</v>
      </c>
      <c r="I210" s="847"/>
    </row>
    <row r="211">
      <c r="A211" s="265"/>
      <c r="B211" s="941"/>
      <c r="C211" s="252"/>
      <c r="D211" s="822"/>
      <c r="F211" s="250">
        <v>3000.0</v>
      </c>
      <c r="G211" s="2" t="s">
        <v>3419</v>
      </c>
      <c r="H211" s="838"/>
      <c r="I211" s="847"/>
    </row>
    <row r="212">
      <c r="A212" s="265"/>
      <c r="B212" s="941"/>
      <c r="C212" s="252"/>
      <c r="D212" s="822"/>
      <c r="F212" s="250">
        <v>6176.0</v>
      </c>
      <c r="G212" s="2" t="s">
        <v>3324</v>
      </c>
      <c r="I212" s="847"/>
    </row>
    <row r="213">
      <c r="A213" s="265"/>
      <c r="B213" s="941"/>
      <c r="C213" s="252"/>
      <c r="D213" s="822"/>
      <c r="F213" s="250">
        <v>810.0</v>
      </c>
      <c r="G213" s="2" t="s">
        <v>260</v>
      </c>
      <c r="I213" s="847"/>
    </row>
    <row r="214">
      <c r="A214" s="270"/>
      <c r="B214" s="939"/>
      <c r="C214" s="272"/>
      <c r="D214" s="823"/>
      <c r="E214" s="18"/>
      <c r="F214" s="274">
        <f>SUM(F201:F213)</f>
        <v>20655.8</v>
      </c>
      <c r="G214" s="18"/>
      <c r="H214" s="18"/>
      <c r="I214" s="663"/>
    </row>
    <row r="215">
      <c r="A215" s="305">
        <v>44155.0</v>
      </c>
      <c r="B215" s="940"/>
      <c r="C215" s="240"/>
      <c r="D215" s="824"/>
      <c r="E215" s="242"/>
      <c r="F215" s="243">
        <v>2864.3</v>
      </c>
      <c r="G215" s="244" t="s">
        <v>708</v>
      </c>
      <c r="H215" s="244"/>
      <c r="I215" s="662"/>
    </row>
    <row r="216">
      <c r="A216" s="265"/>
      <c r="B216" s="938"/>
      <c r="C216" s="252"/>
      <c r="D216" s="822"/>
      <c r="F216" s="250">
        <v>3000.0</v>
      </c>
      <c r="G216" s="2" t="s">
        <v>421</v>
      </c>
      <c r="I216" s="847"/>
    </row>
    <row r="217">
      <c r="A217" s="265"/>
      <c r="B217" s="938"/>
      <c r="C217" s="252"/>
      <c r="D217" s="822"/>
      <c r="F217" s="250">
        <v>2145.0</v>
      </c>
      <c r="G217" s="2" t="s">
        <v>3130</v>
      </c>
      <c r="I217" s="847"/>
    </row>
    <row r="218">
      <c r="A218" s="265"/>
      <c r="B218" s="938"/>
      <c r="C218" s="252"/>
      <c r="D218" s="822"/>
      <c r="F218" s="250">
        <v>1785.0</v>
      </c>
      <c r="G218" s="2" t="s">
        <v>3003</v>
      </c>
      <c r="I218" s="847"/>
    </row>
    <row r="219">
      <c r="A219" s="265"/>
      <c r="B219" s="938"/>
      <c r="C219" s="252"/>
      <c r="D219" s="822"/>
      <c r="F219" s="250">
        <v>1586.0</v>
      </c>
      <c r="G219" s="2" t="s">
        <v>82</v>
      </c>
      <c r="I219" s="847"/>
    </row>
    <row r="220">
      <c r="A220" s="265"/>
      <c r="B220" s="938"/>
      <c r="C220" s="248"/>
      <c r="D220" s="822"/>
      <c r="F220" s="250">
        <v>1500.0</v>
      </c>
      <c r="G220" s="2" t="s">
        <v>275</v>
      </c>
      <c r="I220" s="847"/>
    </row>
    <row r="221">
      <c r="A221" s="265"/>
      <c r="B221" s="938"/>
      <c r="C221" s="252"/>
      <c r="D221" s="822"/>
      <c r="F221" s="250">
        <v>139.0</v>
      </c>
      <c r="G221" s="2" t="s">
        <v>590</v>
      </c>
      <c r="I221" s="847"/>
    </row>
    <row r="222">
      <c r="A222" s="265"/>
      <c r="B222" s="938"/>
      <c r="C222" s="252"/>
      <c r="D222" s="822"/>
      <c r="F222" s="250">
        <v>220.0</v>
      </c>
      <c r="G222" s="2" t="s">
        <v>3790</v>
      </c>
      <c r="I222" s="847"/>
    </row>
    <row r="223">
      <c r="A223" s="265"/>
      <c r="B223" s="938"/>
      <c r="C223" s="252"/>
      <c r="D223" s="822"/>
      <c r="F223" s="250">
        <v>1500.0</v>
      </c>
      <c r="G223" s="2" t="s">
        <v>3374</v>
      </c>
      <c r="I223" s="847"/>
    </row>
    <row r="224">
      <c r="A224" s="265"/>
      <c r="B224" s="938"/>
      <c r="C224" s="252"/>
      <c r="D224" s="822"/>
      <c r="F224" s="250">
        <v>14700.0</v>
      </c>
      <c r="G224" s="2" t="s">
        <v>698</v>
      </c>
      <c r="I224" s="847"/>
    </row>
    <row r="225">
      <c r="A225" s="265"/>
      <c r="B225" s="938"/>
      <c r="C225" s="252"/>
      <c r="D225" s="822"/>
      <c r="F225" s="250"/>
      <c r="I225" s="847"/>
    </row>
    <row r="226">
      <c r="A226" s="270"/>
      <c r="B226" s="939"/>
      <c r="C226" s="272"/>
      <c r="D226" s="823"/>
      <c r="E226" s="18"/>
      <c r="F226" s="274">
        <f>SUM(F215:F225)</f>
        <v>29439.3</v>
      </c>
      <c r="G226" s="18"/>
      <c r="H226" s="18"/>
      <c r="I226" s="663"/>
    </row>
    <row r="227">
      <c r="A227" s="305">
        <v>44156.0</v>
      </c>
      <c r="B227" s="940"/>
      <c r="C227" s="240"/>
      <c r="D227" s="821"/>
      <c r="E227" s="242"/>
      <c r="F227" s="243">
        <v>1095.0</v>
      </c>
      <c r="G227" s="244" t="s">
        <v>708</v>
      </c>
      <c r="H227" s="244"/>
      <c r="I227" s="662"/>
    </row>
    <row r="228">
      <c r="A228" s="265"/>
      <c r="B228" s="938"/>
      <c r="C228" s="252"/>
      <c r="D228" s="822"/>
      <c r="F228" s="250">
        <v>180.0</v>
      </c>
      <c r="G228" s="2" t="s">
        <v>176</v>
      </c>
      <c r="I228" s="847"/>
    </row>
    <row r="229">
      <c r="A229" s="265"/>
      <c r="B229" s="938"/>
      <c r="C229" s="252"/>
      <c r="D229" s="822"/>
      <c r="F229" s="250">
        <v>4850.0</v>
      </c>
      <c r="G229" s="2" t="s">
        <v>3760</v>
      </c>
      <c r="H229" s="838"/>
      <c r="I229" s="847"/>
    </row>
    <row r="230">
      <c r="A230" s="265"/>
      <c r="B230" s="938"/>
      <c r="C230" s="252"/>
      <c r="D230" s="822"/>
      <c r="F230" s="250">
        <v>6520.0</v>
      </c>
      <c r="G230" s="2" t="s">
        <v>3770</v>
      </c>
      <c r="H230" s="838"/>
      <c r="I230" s="847"/>
    </row>
    <row r="231">
      <c r="A231" s="265"/>
      <c r="B231" s="938"/>
      <c r="C231" s="252"/>
      <c r="D231" s="822"/>
      <c r="F231" s="250">
        <v>2050.0</v>
      </c>
      <c r="G231" s="2" t="s">
        <v>3791</v>
      </c>
      <c r="H231" s="838"/>
      <c r="I231" s="847"/>
    </row>
    <row r="232">
      <c r="A232" s="265"/>
      <c r="B232" s="938"/>
      <c r="C232" s="252"/>
      <c r="D232" s="822"/>
      <c r="F232" s="250">
        <v>5050.0</v>
      </c>
      <c r="G232" s="2" t="s">
        <v>573</v>
      </c>
      <c r="H232" s="838"/>
      <c r="I232" s="847"/>
    </row>
    <row r="233">
      <c r="A233" s="265"/>
      <c r="B233" s="938"/>
      <c r="C233" s="252"/>
      <c r="D233" s="822"/>
      <c r="F233" s="250">
        <v>4300.0</v>
      </c>
      <c r="G233" s="2" t="s">
        <v>2893</v>
      </c>
      <c r="H233" s="838"/>
      <c r="I233" s="847"/>
    </row>
    <row r="234">
      <c r="A234" s="265"/>
      <c r="B234" s="938"/>
      <c r="C234" s="252"/>
      <c r="D234" s="822"/>
      <c r="F234" s="250">
        <v>4300.0</v>
      </c>
      <c r="G234" s="2" t="s">
        <v>3209</v>
      </c>
      <c r="H234" s="81" t="s">
        <v>3769</v>
      </c>
      <c r="I234" s="847"/>
    </row>
    <row r="235">
      <c r="A235" s="265"/>
      <c r="B235" s="938"/>
      <c r="C235" s="252"/>
      <c r="D235" s="822"/>
      <c r="F235" s="250">
        <v>5000.0</v>
      </c>
      <c r="G235" s="2" t="s">
        <v>3078</v>
      </c>
      <c r="H235" s="81" t="s">
        <v>3769</v>
      </c>
      <c r="I235" s="847"/>
    </row>
    <row r="236">
      <c r="A236" s="265"/>
      <c r="B236" s="938"/>
      <c r="C236" s="252"/>
      <c r="D236" s="822"/>
      <c r="F236" s="250">
        <v>150.0</v>
      </c>
      <c r="G236" s="2" t="s">
        <v>3792</v>
      </c>
      <c r="I236" s="847"/>
    </row>
    <row r="237">
      <c r="A237" s="265"/>
      <c r="B237" s="938"/>
      <c r="C237" s="252"/>
      <c r="D237" s="822"/>
      <c r="F237" s="250"/>
      <c r="I237" s="847"/>
    </row>
    <row r="238">
      <c r="A238" s="265"/>
      <c r="B238" s="938"/>
      <c r="C238" s="252"/>
      <c r="D238" s="822"/>
      <c r="F238" s="250"/>
      <c r="I238" s="847"/>
    </row>
    <row r="239">
      <c r="A239" s="270"/>
      <c r="B239" s="939"/>
      <c r="C239" s="272"/>
      <c r="D239" s="823"/>
      <c r="E239" s="18"/>
      <c r="F239" s="274"/>
      <c r="G239" s="18"/>
      <c r="H239" s="18"/>
      <c r="I239" s="663"/>
    </row>
    <row r="240">
      <c r="A240" s="305">
        <v>44157.0</v>
      </c>
      <c r="B240" s="940"/>
      <c r="C240" s="263"/>
      <c r="D240" s="824"/>
      <c r="E240" s="242"/>
      <c r="F240" s="243">
        <v>190.0</v>
      </c>
      <c r="G240" s="244" t="s">
        <v>85</v>
      </c>
      <c r="H240" s="244"/>
      <c r="I240" s="662"/>
    </row>
    <row r="241">
      <c r="A241" s="265"/>
      <c r="B241" s="938"/>
      <c r="C241" s="252"/>
      <c r="D241" s="822"/>
      <c r="F241" s="250">
        <v>700.0</v>
      </c>
      <c r="G241" s="2" t="s">
        <v>3793</v>
      </c>
      <c r="I241" s="847"/>
    </row>
    <row r="242">
      <c r="A242" s="265"/>
      <c r="B242" s="938"/>
      <c r="C242" s="252"/>
      <c r="D242" s="822"/>
      <c r="F242" s="250">
        <v>500.0</v>
      </c>
      <c r="G242" s="2" t="s">
        <v>3794</v>
      </c>
      <c r="I242" s="847"/>
    </row>
    <row r="243">
      <c r="A243" s="265"/>
      <c r="B243" s="938"/>
      <c r="C243" s="252"/>
      <c r="D243" s="822"/>
      <c r="F243" s="250">
        <v>750.0</v>
      </c>
      <c r="G243" s="2" t="s">
        <v>3795</v>
      </c>
      <c r="I243" s="847"/>
    </row>
    <row r="244">
      <c r="A244" s="265"/>
      <c r="B244" s="938"/>
      <c r="C244" s="252"/>
      <c r="D244" s="822"/>
      <c r="F244" s="250"/>
      <c r="I244" s="847"/>
    </row>
    <row r="245">
      <c r="A245" s="265"/>
      <c r="B245" s="938"/>
      <c r="C245" s="252"/>
      <c r="D245" s="822"/>
      <c r="F245" s="250"/>
      <c r="I245" s="847"/>
    </row>
    <row r="246">
      <c r="A246" s="265"/>
      <c r="B246" s="938"/>
      <c r="C246" s="252"/>
      <c r="D246" s="822"/>
      <c r="F246" s="250"/>
      <c r="I246" s="847"/>
    </row>
    <row r="247">
      <c r="A247" s="265"/>
      <c r="B247" s="938"/>
      <c r="C247" s="252"/>
      <c r="D247" s="822"/>
      <c r="F247" s="250"/>
      <c r="I247" s="847"/>
    </row>
    <row r="248">
      <c r="A248" s="265"/>
      <c r="B248" s="938"/>
      <c r="C248" s="252"/>
      <c r="D248" s="822"/>
      <c r="F248" s="250"/>
      <c r="I248" s="847"/>
    </row>
    <row r="249">
      <c r="A249" s="270"/>
      <c r="B249" s="939"/>
      <c r="C249" s="272"/>
      <c r="D249" s="823"/>
      <c r="E249" s="18"/>
      <c r="F249" s="274"/>
      <c r="G249" s="18"/>
      <c r="H249" s="18"/>
      <c r="I249" s="663"/>
    </row>
    <row r="250">
      <c r="A250" s="305">
        <v>44158.0</v>
      </c>
      <c r="B250" s="940"/>
      <c r="C250" s="240"/>
      <c r="D250" s="824"/>
      <c r="E250" s="242"/>
      <c r="F250" s="243">
        <v>200.0</v>
      </c>
      <c r="G250" s="244" t="s">
        <v>288</v>
      </c>
      <c r="H250" s="244"/>
      <c r="I250" s="662"/>
    </row>
    <row r="251">
      <c r="A251" s="265"/>
      <c r="B251" s="938"/>
      <c r="C251" s="252"/>
      <c r="D251" s="822"/>
      <c r="F251" s="250">
        <v>2404.0</v>
      </c>
      <c r="G251" s="2" t="s">
        <v>708</v>
      </c>
      <c r="I251" s="847"/>
    </row>
    <row r="252">
      <c r="A252" s="265"/>
      <c r="B252" s="938"/>
      <c r="C252" s="252"/>
      <c r="D252" s="822"/>
      <c r="F252" s="250">
        <v>280.0</v>
      </c>
      <c r="G252" s="2" t="s">
        <v>708</v>
      </c>
      <c r="I252" s="847"/>
    </row>
    <row r="253">
      <c r="A253" s="265"/>
      <c r="B253" s="938"/>
      <c r="C253" s="252"/>
      <c r="D253" s="822"/>
      <c r="F253" s="250">
        <v>2030.0</v>
      </c>
      <c r="G253" s="2" t="s">
        <v>399</v>
      </c>
      <c r="I253" s="847"/>
    </row>
    <row r="254">
      <c r="A254" s="265"/>
      <c r="B254" s="938"/>
      <c r="C254" s="252"/>
      <c r="D254" s="822"/>
      <c r="F254" s="250"/>
      <c r="H254" s="2"/>
      <c r="I254" s="847"/>
    </row>
    <row r="255">
      <c r="A255" s="265"/>
      <c r="B255" s="938"/>
      <c r="C255" s="252"/>
      <c r="D255" s="822"/>
      <c r="F255" s="250"/>
      <c r="H255" s="2"/>
      <c r="I255" s="847"/>
    </row>
    <row r="256">
      <c r="A256" s="265"/>
      <c r="B256" s="938"/>
      <c r="C256" s="252"/>
      <c r="D256" s="822"/>
      <c r="F256" s="243"/>
      <c r="G256" s="244"/>
      <c r="H256" s="244"/>
      <c r="I256" s="847"/>
    </row>
    <row r="257">
      <c r="A257" s="265"/>
      <c r="B257" s="938"/>
      <c r="C257" s="252"/>
      <c r="D257" s="822"/>
      <c r="F257" s="250"/>
      <c r="H257" s="2"/>
      <c r="I257" s="847"/>
    </row>
    <row r="258">
      <c r="A258" s="265"/>
      <c r="B258" s="938"/>
      <c r="C258" s="252"/>
      <c r="D258" s="822"/>
      <c r="F258" s="250"/>
      <c r="H258" s="2"/>
      <c r="I258" s="847"/>
    </row>
    <row r="259">
      <c r="A259" s="265"/>
      <c r="B259" s="938"/>
      <c r="C259" s="252"/>
      <c r="D259" s="822"/>
      <c r="F259" s="250"/>
      <c r="H259" s="2"/>
      <c r="I259" s="847"/>
    </row>
    <row r="260">
      <c r="A260" s="265"/>
      <c r="B260" s="938"/>
      <c r="C260" s="252"/>
      <c r="D260" s="822"/>
      <c r="F260" s="250"/>
      <c r="I260" s="847"/>
    </row>
    <row r="261">
      <c r="A261" s="265"/>
      <c r="B261" s="938"/>
      <c r="C261" s="252"/>
      <c r="D261" s="822"/>
      <c r="F261" s="250"/>
      <c r="I261" s="847"/>
    </row>
    <row r="262">
      <c r="A262" s="265"/>
      <c r="B262" s="938"/>
      <c r="C262" s="252"/>
      <c r="D262" s="822"/>
      <c r="F262" s="250"/>
      <c r="I262" s="847"/>
    </row>
    <row r="263">
      <c r="A263" s="265"/>
      <c r="B263" s="938"/>
      <c r="C263" s="252"/>
      <c r="D263" s="822"/>
      <c r="F263" s="250"/>
      <c r="I263" s="847"/>
    </row>
    <row r="264">
      <c r="A264" s="270"/>
      <c r="B264" s="939"/>
      <c r="C264" s="272"/>
      <c r="D264" s="823"/>
      <c r="E264" s="18"/>
      <c r="F264" s="274">
        <f>SUM(F250:F263)</f>
        <v>4914</v>
      </c>
      <c r="G264" s="18"/>
      <c r="H264" s="18"/>
      <c r="I264" s="663"/>
    </row>
    <row r="265">
      <c r="A265" s="305">
        <v>44159.0</v>
      </c>
      <c r="B265" s="940"/>
      <c r="C265" s="240"/>
      <c r="D265" s="824"/>
      <c r="E265" s="242"/>
      <c r="F265" s="250">
        <f>300+600</f>
        <v>900</v>
      </c>
      <c r="G265" s="2" t="s">
        <v>3796</v>
      </c>
      <c r="I265" s="662"/>
    </row>
    <row r="266">
      <c r="A266" s="265"/>
      <c r="B266" s="938"/>
      <c r="C266" s="252"/>
      <c r="D266" s="822"/>
      <c r="F266" s="250">
        <v>3000.0</v>
      </c>
      <c r="G266" s="2" t="s">
        <v>87</v>
      </c>
      <c r="I266" s="847"/>
    </row>
    <row r="267">
      <c r="A267" s="265"/>
      <c r="B267" s="938"/>
      <c r="C267" s="252"/>
      <c r="D267" s="822"/>
      <c r="F267" s="250">
        <v>4893.9</v>
      </c>
      <c r="G267" s="2" t="s">
        <v>3003</v>
      </c>
      <c r="I267" s="847"/>
    </row>
    <row r="268">
      <c r="A268" s="265"/>
      <c r="B268" s="938"/>
      <c r="C268" s="252"/>
      <c r="D268" s="822"/>
      <c r="F268" s="250">
        <f>360+78.51+1890.78+203</f>
        <v>2532.29</v>
      </c>
      <c r="G268" s="2" t="s">
        <v>708</v>
      </c>
      <c r="I268" s="847"/>
    </row>
    <row r="269">
      <c r="A269" s="265"/>
      <c r="B269" s="938"/>
      <c r="C269" s="252"/>
      <c r="D269" s="822"/>
      <c r="F269" s="250">
        <v>1300.0</v>
      </c>
      <c r="G269" s="2" t="s">
        <v>68</v>
      </c>
      <c r="I269" s="847"/>
    </row>
    <row r="270">
      <c r="A270" s="265"/>
      <c r="B270" s="938"/>
      <c r="C270" s="252"/>
      <c r="D270" s="822"/>
      <c r="F270" s="250">
        <v>200.0</v>
      </c>
      <c r="G270" s="2" t="s">
        <v>862</v>
      </c>
      <c r="I270" s="847"/>
    </row>
    <row r="271">
      <c r="A271" s="265"/>
      <c r="B271" s="938"/>
      <c r="C271" s="252"/>
      <c r="D271" s="822"/>
      <c r="F271" s="250">
        <v>110.0</v>
      </c>
      <c r="G271" s="2" t="s">
        <v>3797</v>
      </c>
      <c r="I271" s="847"/>
    </row>
    <row r="272">
      <c r="A272" s="265"/>
      <c r="B272" s="938"/>
      <c r="C272" s="252"/>
      <c r="D272" s="822"/>
      <c r="F272" s="250">
        <v>133.0</v>
      </c>
      <c r="G272" s="2" t="s">
        <v>3798</v>
      </c>
      <c r="I272" s="847"/>
    </row>
    <row r="273">
      <c r="A273" s="265"/>
      <c r="B273" s="938"/>
      <c r="C273" s="252"/>
      <c r="D273" s="822"/>
      <c r="F273" s="250">
        <v>500.0</v>
      </c>
      <c r="G273" s="2" t="s">
        <v>3374</v>
      </c>
      <c r="H273" s="252"/>
      <c r="I273" s="847"/>
    </row>
    <row r="274">
      <c r="A274" s="265"/>
      <c r="B274" s="938"/>
      <c r="C274" s="252"/>
      <c r="D274" s="822"/>
      <c r="F274" s="250">
        <v>1500.0</v>
      </c>
      <c r="G274" s="2" t="s">
        <v>426</v>
      </c>
      <c r="I274" s="847"/>
    </row>
    <row r="275">
      <c r="A275" s="270"/>
      <c r="B275" s="939"/>
      <c r="C275" s="272"/>
      <c r="D275" s="823"/>
      <c r="E275" s="18"/>
      <c r="F275" s="274">
        <f>SUM(F265:F274)</f>
        <v>15069.19</v>
      </c>
      <c r="G275" s="18"/>
      <c r="H275" s="18"/>
      <c r="I275" s="663"/>
    </row>
    <row r="276">
      <c r="A276" s="305">
        <v>44160.0</v>
      </c>
      <c r="B276" s="940"/>
      <c r="C276" s="240"/>
      <c r="D276" s="824"/>
      <c r="E276" s="242"/>
      <c r="F276" s="243">
        <v>2975.0</v>
      </c>
      <c r="G276" s="244" t="s">
        <v>3326</v>
      </c>
      <c r="H276" s="244"/>
      <c r="I276" s="662"/>
    </row>
    <row r="277">
      <c r="A277" s="265"/>
      <c r="B277" s="938"/>
      <c r="C277" s="252"/>
      <c r="D277" s="822"/>
      <c r="F277" s="250">
        <v>942.36</v>
      </c>
      <c r="G277" s="2" t="s">
        <v>314</v>
      </c>
      <c r="I277" s="847"/>
    </row>
    <row r="278">
      <c r="A278" s="265"/>
      <c r="B278" s="938"/>
      <c r="C278" s="248">
        <v>6914.4</v>
      </c>
      <c r="D278" s="822"/>
      <c r="F278" s="250"/>
      <c r="G278" s="2" t="s">
        <v>2637</v>
      </c>
      <c r="I278" s="847"/>
    </row>
    <row r="279">
      <c r="A279" s="265"/>
      <c r="B279" s="938"/>
      <c r="C279" s="252"/>
      <c r="D279" s="822"/>
      <c r="F279" s="250">
        <v>2559.0</v>
      </c>
      <c r="G279" s="2" t="s">
        <v>58</v>
      </c>
      <c r="I279" s="847"/>
    </row>
    <row r="280">
      <c r="A280" s="265"/>
      <c r="B280" s="938"/>
      <c r="C280" s="252"/>
      <c r="D280" s="822"/>
      <c r="F280" s="250">
        <v>403.0</v>
      </c>
      <c r="G280" s="2" t="s">
        <v>3799</v>
      </c>
      <c r="I280" s="847"/>
    </row>
    <row r="281">
      <c r="A281" s="265"/>
      <c r="B281" s="938"/>
      <c r="C281" s="252"/>
      <c r="D281" s="822"/>
      <c r="F281" s="250">
        <v>8263.0</v>
      </c>
      <c r="G281" s="2" t="s">
        <v>2456</v>
      </c>
      <c r="I281" s="847"/>
    </row>
    <row r="282">
      <c r="A282" s="265"/>
      <c r="B282" s="938"/>
      <c r="C282" s="252"/>
      <c r="D282" s="822"/>
      <c r="F282" s="250"/>
      <c r="I282" s="847"/>
    </row>
    <row r="283">
      <c r="A283" s="265"/>
      <c r="B283" s="938"/>
      <c r="C283" s="252"/>
      <c r="D283" s="822"/>
      <c r="F283" s="250">
        <v>90.0</v>
      </c>
      <c r="G283" s="2" t="s">
        <v>3800</v>
      </c>
      <c r="I283" s="847"/>
    </row>
    <row r="284">
      <c r="A284" s="265"/>
      <c r="B284" s="938"/>
      <c r="C284" s="252"/>
      <c r="D284" s="822"/>
      <c r="F284" s="250">
        <v>2760.0</v>
      </c>
      <c r="G284" s="2" t="s">
        <v>3480</v>
      </c>
      <c r="I284" s="847"/>
    </row>
    <row r="285">
      <c r="A285" s="265"/>
      <c r="B285" s="938"/>
      <c r="C285" s="252"/>
      <c r="D285" s="822"/>
      <c r="F285" s="250">
        <v>1000.0</v>
      </c>
      <c r="G285" s="2" t="s">
        <v>3801</v>
      </c>
      <c r="I285" s="847"/>
    </row>
    <row r="286">
      <c r="A286" s="270"/>
      <c r="B286" s="939"/>
      <c r="C286" s="272"/>
      <c r="D286" s="823"/>
      <c r="E286" s="18"/>
      <c r="F286" s="274">
        <f>SUM(F276:F285)</f>
        <v>18992.36</v>
      </c>
      <c r="G286" s="18"/>
      <c r="H286" s="18"/>
      <c r="I286" s="663"/>
    </row>
    <row r="287">
      <c r="A287" s="305">
        <v>44161.0</v>
      </c>
      <c r="B287" s="940"/>
      <c r="C287" s="240"/>
      <c r="D287" s="824"/>
      <c r="E287" s="242"/>
      <c r="F287" s="243">
        <v>50.0</v>
      </c>
      <c r="G287" s="244" t="s">
        <v>367</v>
      </c>
      <c r="H287" s="244"/>
      <c r="I287" s="662"/>
    </row>
    <row r="288">
      <c r="A288" s="265"/>
      <c r="B288" s="938"/>
      <c r="C288" s="252"/>
      <c r="D288" s="822"/>
      <c r="F288" s="250">
        <v>1700.0</v>
      </c>
      <c r="G288" s="2" t="s">
        <v>3719</v>
      </c>
      <c r="I288" s="847"/>
    </row>
    <row r="289">
      <c r="A289" s="265"/>
      <c r="B289" s="938"/>
      <c r="C289" s="252"/>
      <c r="D289" s="822"/>
      <c r="F289" s="250">
        <v>1710.0</v>
      </c>
      <c r="G289" s="2" t="s">
        <v>708</v>
      </c>
      <c r="I289" s="847"/>
    </row>
    <row r="290">
      <c r="A290" s="265"/>
      <c r="B290" s="938"/>
      <c r="C290" s="252"/>
      <c r="D290" s="822"/>
      <c r="F290" s="250">
        <v>280.0</v>
      </c>
      <c r="G290" s="2" t="s">
        <v>3802</v>
      </c>
      <c r="I290" s="847"/>
    </row>
    <row r="291">
      <c r="A291" s="265"/>
      <c r="B291" s="938"/>
      <c r="C291" s="252"/>
      <c r="D291" s="822"/>
      <c r="F291" s="250">
        <v>3442.0</v>
      </c>
      <c r="G291" s="2" t="s">
        <v>87</v>
      </c>
      <c r="I291" s="847"/>
    </row>
    <row r="292">
      <c r="A292" s="265"/>
      <c r="B292" s="938"/>
      <c r="C292" s="252"/>
      <c r="D292" s="822"/>
      <c r="F292" s="250">
        <v>3060.0</v>
      </c>
      <c r="G292" s="2" t="s">
        <v>76</v>
      </c>
      <c r="I292" s="847"/>
    </row>
    <row r="293">
      <c r="A293" s="265"/>
      <c r="B293" s="938"/>
      <c r="C293" s="252"/>
      <c r="D293" s="822"/>
      <c r="F293" s="250">
        <v>420.0</v>
      </c>
      <c r="G293" s="2" t="s">
        <v>215</v>
      </c>
      <c r="I293" s="847"/>
    </row>
    <row r="294">
      <c r="A294" s="265"/>
      <c r="B294" s="938"/>
      <c r="C294" s="252"/>
      <c r="D294" s="822"/>
      <c r="F294" s="250">
        <v>190.0</v>
      </c>
      <c r="G294" s="2" t="s">
        <v>85</v>
      </c>
      <c r="I294" s="847"/>
    </row>
    <row r="295">
      <c r="A295" s="265"/>
      <c r="B295" s="938"/>
      <c r="C295" s="252"/>
      <c r="D295" s="822"/>
      <c r="F295" s="250"/>
      <c r="I295" s="847"/>
    </row>
    <row r="296">
      <c r="A296" s="265"/>
      <c r="B296" s="938"/>
      <c r="C296" s="252"/>
      <c r="D296" s="822"/>
      <c r="F296" s="250"/>
      <c r="I296" s="847"/>
    </row>
    <row r="297">
      <c r="A297" s="270"/>
      <c r="B297" s="939"/>
      <c r="C297" s="272"/>
      <c r="D297" s="823"/>
      <c r="E297" s="18"/>
      <c r="F297" s="274">
        <f>SUM(F287:F296)</f>
        <v>10852</v>
      </c>
      <c r="G297" s="18"/>
      <c r="H297" s="18"/>
      <c r="I297" s="663"/>
    </row>
    <row r="298">
      <c r="A298" s="305">
        <v>44162.0</v>
      </c>
      <c r="B298" s="940"/>
      <c r="C298" s="240"/>
      <c r="D298" s="824"/>
      <c r="E298" s="242"/>
      <c r="F298" s="243">
        <v>1360.0</v>
      </c>
      <c r="G298" s="2" t="s">
        <v>708</v>
      </c>
      <c r="I298" s="662"/>
    </row>
    <row r="299">
      <c r="A299" s="265"/>
      <c r="B299" s="938"/>
      <c r="C299" s="248"/>
      <c r="D299" s="822"/>
      <c r="F299" s="250">
        <v>305.0</v>
      </c>
      <c r="G299" s="2" t="s">
        <v>708</v>
      </c>
      <c r="I299" s="847"/>
    </row>
    <row r="300">
      <c r="A300" s="265"/>
      <c r="B300" s="938"/>
      <c r="C300" s="248"/>
      <c r="D300" s="822"/>
      <c r="F300" s="250">
        <v>2200.0</v>
      </c>
      <c r="G300" s="2" t="s">
        <v>3784</v>
      </c>
      <c r="I300" s="847"/>
    </row>
    <row r="301">
      <c r="A301" s="265"/>
      <c r="B301" s="938"/>
      <c r="C301" s="252"/>
      <c r="D301" s="822"/>
      <c r="F301" s="250">
        <v>1586.0</v>
      </c>
      <c r="I301" s="847"/>
    </row>
    <row r="302">
      <c r="A302" s="265"/>
      <c r="B302" s="938"/>
      <c r="C302" s="252"/>
      <c r="D302" s="822"/>
      <c r="F302" s="250"/>
      <c r="I302" s="847"/>
    </row>
    <row r="303">
      <c r="A303" s="265"/>
      <c r="B303" s="938"/>
      <c r="C303" s="252"/>
      <c r="D303" s="822"/>
      <c r="F303" s="250"/>
      <c r="I303" s="847"/>
    </row>
    <row r="304">
      <c r="A304" s="265"/>
      <c r="B304" s="938"/>
      <c r="C304" s="252"/>
      <c r="D304" s="822"/>
      <c r="F304" s="250"/>
      <c r="I304" s="847"/>
    </row>
    <row r="305">
      <c r="A305" s="265"/>
      <c r="B305" s="938"/>
      <c r="C305" s="252"/>
      <c r="D305" s="822"/>
      <c r="F305" s="250"/>
      <c r="I305" s="847"/>
    </row>
    <row r="306">
      <c r="A306" s="265"/>
      <c r="B306" s="938"/>
      <c r="C306" s="252"/>
      <c r="D306" s="822"/>
      <c r="F306" s="250"/>
      <c r="I306" s="847"/>
    </row>
    <row r="307">
      <c r="A307" s="265"/>
      <c r="B307" s="938"/>
      <c r="C307" s="252"/>
      <c r="D307" s="822"/>
      <c r="F307" s="250"/>
      <c r="I307" s="847"/>
    </row>
    <row r="308">
      <c r="A308" s="270"/>
      <c r="B308" s="939"/>
      <c r="C308" s="272"/>
      <c r="D308" s="823"/>
      <c r="E308" s="18"/>
      <c r="F308" s="274"/>
      <c r="G308" s="18"/>
      <c r="H308" s="18"/>
      <c r="I308" s="663"/>
    </row>
    <row r="309">
      <c r="A309" s="305">
        <v>44163.0</v>
      </c>
      <c r="B309" s="940"/>
      <c r="C309" s="240"/>
      <c r="D309" s="824"/>
      <c r="E309" s="242"/>
      <c r="F309" s="243">
        <v>7850.0</v>
      </c>
      <c r="G309" s="244" t="s">
        <v>3760</v>
      </c>
      <c r="H309" s="850" t="s">
        <v>3769</v>
      </c>
      <c r="I309" s="662"/>
    </row>
    <row r="310">
      <c r="A310" s="265"/>
      <c r="B310" s="938"/>
      <c r="C310" s="248"/>
      <c r="D310" s="822"/>
      <c r="F310" s="250">
        <v>6520.0</v>
      </c>
      <c r="G310" s="2" t="s">
        <v>3770</v>
      </c>
      <c r="H310" s="81" t="s">
        <v>3769</v>
      </c>
      <c r="I310" s="847"/>
    </row>
    <row r="311">
      <c r="A311" s="265"/>
      <c r="B311" s="938"/>
      <c r="C311" s="252"/>
      <c r="D311" s="331"/>
      <c r="F311" s="250">
        <v>5050.0</v>
      </c>
      <c r="G311" s="2" t="s">
        <v>573</v>
      </c>
      <c r="H311" s="81" t="s">
        <v>3769</v>
      </c>
      <c r="I311" s="847"/>
    </row>
    <row r="312">
      <c r="A312" s="265"/>
      <c r="B312" s="938"/>
      <c r="C312" s="252"/>
      <c r="D312" s="822"/>
      <c r="F312" s="250">
        <v>4550.0</v>
      </c>
      <c r="G312" s="2" t="s">
        <v>3487</v>
      </c>
      <c r="H312" s="81" t="s">
        <v>3769</v>
      </c>
      <c r="I312" s="847"/>
    </row>
    <row r="313">
      <c r="A313" s="265"/>
      <c r="B313" s="938"/>
      <c r="C313" s="252"/>
      <c r="D313" s="331"/>
      <c r="F313" s="250">
        <v>4270.0</v>
      </c>
      <c r="G313" s="2" t="s">
        <v>2893</v>
      </c>
      <c r="H313" s="81" t="s">
        <v>3769</v>
      </c>
      <c r="I313" s="847"/>
    </row>
    <row r="314">
      <c r="A314" s="265"/>
      <c r="B314" s="938"/>
      <c r="C314" s="252"/>
      <c r="D314" s="331"/>
      <c r="F314" s="250">
        <v>4270.0</v>
      </c>
      <c r="G314" s="2" t="s">
        <v>3209</v>
      </c>
      <c r="H314" s="81" t="s">
        <v>3769</v>
      </c>
      <c r="I314" s="847"/>
    </row>
    <row r="315">
      <c r="A315" s="265"/>
      <c r="B315" s="938"/>
      <c r="C315" s="252"/>
      <c r="D315" s="822"/>
      <c r="F315" s="250">
        <v>5000.0</v>
      </c>
      <c r="G315" s="2" t="s">
        <v>3078</v>
      </c>
      <c r="H315" s="81" t="s">
        <v>3769</v>
      </c>
      <c r="I315" s="847"/>
    </row>
    <row r="316">
      <c r="A316" s="265"/>
      <c r="B316" s="938"/>
      <c r="C316" s="252"/>
      <c r="D316" s="822"/>
      <c r="F316" s="250">
        <v>600.0</v>
      </c>
      <c r="G316" s="2" t="s">
        <v>3726</v>
      </c>
      <c r="I316" s="847"/>
    </row>
    <row r="317">
      <c r="A317" s="265"/>
      <c r="B317" s="938"/>
      <c r="C317" s="252"/>
      <c r="D317" s="822"/>
      <c r="F317" s="250">
        <v>1240.0</v>
      </c>
      <c r="G317" s="2" t="s">
        <v>708</v>
      </c>
      <c r="I317" s="847"/>
    </row>
    <row r="318">
      <c r="A318" s="270"/>
      <c r="B318" s="939"/>
      <c r="C318" s="272"/>
      <c r="D318" s="823"/>
      <c r="E318" s="18"/>
      <c r="F318" s="274"/>
      <c r="G318" s="18"/>
      <c r="H318" s="18"/>
      <c r="I318" s="663"/>
    </row>
    <row r="319">
      <c r="A319" s="305">
        <v>44164.0</v>
      </c>
      <c r="B319" s="940"/>
      <c r="C319" s="240"/>
      <c r="D319" s="824"/>
      <c r="E319" s="242"/>
      <c r="F319" s="243">
        <v>20600.0</v>
      </c>
      <c r="G319" s="244" t="s">
        <v>3135</v>
      </c>
      <c r="H319" s="244"/>
      <c r="I319" s="662"/>
    </row>
    <row r="320">
      <c r="A320" s="265"/>
      <c r="B320" s="938"/>
      <c r="C320" s="252"/>
      <c r="D320" s="331"/>
      <c r="F320" s="250">
        <v>1355.43</v>
      </c>
      <c r="G320" s="2" t="s">
        <v>708</v>
      </c>
      <c r="I320" s="847"/>
    </row>
    <row r="321">
      <c r="A321" s="265"/>
      <c r="B321" s="938"/>
      <c r="C321" s="252"/>
      <c r="D321" s="822"/>
      <c r="F321" s="250"/>
      <c r="I321" s="847"/>
    </row>
    <row r="322">
      <c r="A322" s="265"/>
      <c r="B322" s="938"/>
      <c r="C322" s="252"/>
      <c r="D322" s="822"/>
      <c r="F322" s="250"/>
      <c r="I322" s="847"/>
    </row>
    <row r="323">
      <c r="A323" s="265"/>
      <c r="B323" s="938"/>
      <c r="C323" s="252"/>
      <c r="D323" s="331"/>
      <c r="F323" s="250"/>
      <c r="I323" s="847"/>
    </row>
    <row r="324">
      <c r="A324" s="265"/>
      <c r="B324" s="938"/>
      <c r="C324" s="252"/>
      <c r="D324" s="822"/>
      <c r="F324" s="250"/>
      <c r="I324" s="847"/>
    </row>
    <row r="325">
      <c r="A325" s="265"/>
      <c r="B325" s="938"/>
      <c r="C325" s="252"/>
      <c r="D325" s="822"/>
      <c r="F325" s="250"/>
      <c r="I325" s="847"/>
    </row>
    <row r="326">
      <c r="A326" s="265"/>
      <c r="B326" s="938"/>
      <c r="C326" s="252"/>
      <c r="D326" s="822"/>
      <c r="F326" s="250"/>
      <c r="I326" s="847"/>
    </row>
    <row r="327">
      <c r="A327" s="265"/>
      <c r="B327" s="938"/>
      <c r="C327" s="252"/>
      <c r="D327" s="822"/>
      <c r="F327" s="250"/>
      <c r="I327" s="847"/>
    </row>
    <row r="328">
      <c r="A328" s="265"/>
      <c r="B328" s="941"/>
      <c r="C328" s="252"/>
      <c r="D328" s="822"/>
      <c r="F328" s="282"/>
      <c r="I328" s="847"/>
    </row>
    <row r="329">
      <c r="A329" s="265"/>
      <c r="B329" s="941"/>
      <c r="C329" s="252"/>
      <c r="D329" s="822"/>
      <c r="F329" s="282"/>
      <c r="I329" s="847"/>
    </row>
    <row r="330">
      <c r="A330" s="270"/>
      <c r="B330" s="939"/>
      <c r="C330" s="272"/>
      <c r="D330" s="823"/>
      <c r="E330" s="18"/>
      <c r="F330" s="274"/>
      <c r="G330" s="18"/>
      <c r="H330" s="18"/>
      <c r="I330" s="663"/>
    </row>
    <row r="331">
      <c r="A331" s="305">
        <v>44165.0</v>
      </c>
      <c r="B331" s="940"/>
      <c r="C331" s="240"/>
      <c r="D331" s="824"/>
      <c r="E331" s="242"/>
      <c r="F331" s="243">
        <v>300.0</v>
      </c>
      <c r="G331" s="244" t="s">
        <v>228</v>
      </c>
      <c r="H331" s="244"/>
      <c r="I331" s="662"/>
    </row>
    <row r="332">
      <c r="A332" s="265"/>
      <c r="B332" s="938"/>
      <c r="C332" s="252"/>
      <c r="D332" s="331">
        <v>1000.0</v>
      </c>
      <c r="F332" s="250"/>
      <c r="G332" s="2" t="s">
        <v>3803</v>
      </c>
      <c r="I332" s="847"/>
    </row>
    <row r="333">
      <c r="A333" s="265"/>
      <c r="B333" s="938"/>
      <c r="C333" s="252"/>
      <c r="D333" s="822"/>
      <c r="F333" s="250">
        <f>56+1496</f>
        <v>1552</v>
      </c>
      <c r="G333" s="2" t="s">
        <v>708</v>
      </c>
      <c r="I333" s="847"/>
    </row>
    <row r="334">
      <c r="A334" s="265"/>
      <c r="B334" s="938"/>
      <c r="C334" s="252"/>
      <c r="D334" s="331"/>
      <c r="F334" s="250">
        <v>3000.0</v>
      </c>
      <c r="G334" s="2" t="s">
        <v>87</v>
      </c>
      <c r="I334" s="847"/>
    </row>
    <row r="335">
      <c r="A335" s="265"/>
      <c r="B335" s="938"/>
      <c r="C335" s="252"/>
      <c r="D335" s="822"/>
      <c r="F335" s="250">
        <v>1850.0</v>
      </c>
      <c r="G335" s="2" t="s">
        <v>3253</v>
      </c>
      <c r="I335" s="847"/>
    </row>
    <row r="336">
      <c r="A336" s="265"/>
      <c r="B336" s="938"/>
      <c r="C336" s="252"/>
      <c r="D336" s="331">
        <v>12000.0</v>
      </c>
      <c r="F336" s="250">
        <v>4700.0</v>
      </c>
      <c r="G336" s="2" t="s">
        <v>3537</v>
      </c>
      <c r="I336" s="847"/>
    </row>
    <row r="337">
      <c r="A337" s="265"/>
      <c r="B337" s="938"/>
      <c r="C337" s="252"/>
      <c r="D337" s="822"/>
      <c r="F337" s="250">
        <v>220.0</v>
      </c>
      <c r="G337" s="2" t="s">
        <v>1315</v>
      </c>
      <c r="I337" s="847"/>
    </row>
    <row r="338">
      <c r="A338" s="265"/>
      <c r="B338" s="938"/>
      <c r="C338" s="252"/>
      <c r="D338" s="822"/>
      <c r="F338" s="250">
        <v>20000.0</v>
      </c>
      <c r="G338" s="2" t="s">
        <v>3748</v>
      </c>
      <c r="I338" s="847"/>
    </row>
    <row r="339">
      <c r="A339" s="265"/>
      <c r="B339" s="938"/>
      <c r="C339" s="252"/>
      <c r="D339" s="822"/>
      <c r="F339" s="250">
        <v>1220.0</v>
      </c>
      <c r="G339" s="2" t="s">
        <v>3804</v>
      </c>
      <c r="I339" s="847"/>
    </row>
    <row r="340">
      <c r="A340" s="265"/>
      <c r="B340" s="938"/>
      <c r="C340" s="252"/>
      <c r="D340" s="331">
        <v>9500.0</v>
      </c>
      <c r="F340" s="250"/>
      <c r="G340" s="2" t="s">
        <v>3805</v>
      </c>
      <c r="I340" s="847"/>
    </row>
    <row r="341">
      <c r="A341" s="265"/>
      <c r="B341" s="938"/>
      <c r="C341" s="252"/>
      <c r="D341" s="822"/>
      <c r="F341" s="250"/>
      <c r="I341" s="847"/>
    </row>
    <row r="342">
      <c r="A342" s="270"/>
      <c r="B342" s="939"/>
      <c r="C342" s="272"/>
      <c r="D342" s="823"/>
      <c r="E342" s="18"/>
      <c r="F342" s="274">
        <f>SUM(F331:F341)</f>
        <v>32842</v>
      </c>
      <c r="G342" s="18"/>
      <c r="H342" s="18"/>
      <c r="I342" s="663"/>
    </row>
    <row r="343">
      <c r="A343" s="305">
        <v>44135.0</v>
      </c>
      <c r="B343" s="940"/>
      <c r="C343" s="240"/>
      <c r="D343" s="824"/>
      <c r="E343" s="242"/>
      <c r="F343" s="243"/>
      <c r="G343" s="244"/>
      <c r="H343" s="244"/>
      <c r="I343" s="662"/>
    </row>
    <row r="344">
      <c r="A344" s="265"/>
      <c r="B344" s="938"/>
      <c r="C344" s="252"/>
      <c r="D344" s="822"/>
      <c r="F344" s="250"/>
      <c r="H344" s="2"/>
      <c r="I344" s="847"/>
    </row>
    <row r="345">
      <c r="A345" s="265"/>
      <c r="B345" s="938"/>
      <c r="C345" s="252"/>
      <c r="D345" s="822"/>
      <c r="F345" s="250"/>
      <c r="H345" s="2"/>
      <c r="I345" s="847"/>
    </row>
    <row r="346">
      <c r="A346" s="265"/>
      <c r="B346" s="938"/>
      <c r="C346" s="252"/>
      <c r="D346" s="822"/>
      <c r="F346" s="250"/>
      <c r="I346" s="847"/>
    </row>
    <row r="347">
      <c r="A347" s="265"/>
      <c r="B347" s="938"/>
      <c r="C347" s="252"/>
      <c r="D347" s="822"/>
      <c r="F347" s="250"/>
      <c r="H347" s="2"/>
      <c r="I347" s="847"/>
    </row>
    <row r="348">
      <c r="A348" s="265"/>
      <c r="B348" s="938"/>
      <c r="C348" s="252"/>
      <c r="D348" s="822"/>
      <c r="F348" s="250"/>
      <c r="H348" s="2"/>
      <c r="I348" s="847"/>
    </row>
    <row r="349">
      <c r="A349" s="265"/>
      <c r="B349" s="938"/>
      <c r="C349" s="252"/>
      <c r="D349" s="822"/>
      <c r="F349" s="250"/>
      <c r="I349" s="847"/>
    </row>
    <row r="350">
      <c r="A350" s="265"/>
      <c r="B350" s="938"/>
      <c r="C350" s="252"/>
      <c r="D350" s="822"/>
      <c r="F350" s="250"/>
      <c r="I350" s="847"/>
    </row>
    <row r="351">
      <c r="A351" s="265"/>
      <c r="B351" s="938"/>
      <c r="C351" s="252"/>
      <c r="D351" s="822"/>
      <c r="F351" s="250"/>
      <c r="I351" s="847"/>
    </row>
    <row r="352">
      <c r="A352" s="270"/>
      <c r="B352" s="939"/>
      <c r="C352" s="272"/>
      <c r="D352" s="823"/>
      <c r="E352" s="18"/>
      <c r="F352" s="274"/>
      <c r="G352" s="18"/>
      <c r="H352" s="18"/>
      <c r="I352" s="663"/>
    </row>
    <row r="353">
      <c r="A353" s="305"/>
      <c r="B353" s="940"/>
      <c r="C353" s="240"/>
      <c r="D353" s="824"/>
      <c r="E353" s="242"/>
      <c r="F353" s="243"/>
      <c r="G353" s="244"/>
      <c r="H353" s="244"/>
      <c r="I353" s="662"/>
    </row>
    <row r="354">
      <c r="A354" s="265"/>
      <c r="B354" s="938"/>
      <c r="C354" s="252"/>
      <c r="D354" s="822"/>
      <c r="F354" s="250"/>
      <c r="I354" s="847"/>
    </row>
    <row r="355">
      <c r="A355" s="265"/>
      <c r="B355" s="938"/>
      <c r="C355" s="252"/>
      <c r="D355" s="822"/>
      <c r="F355" s="250"/>
      <c r="I355" s="847"/>
    </row>
    <row r="356">
      <c r="A356" s="265"/>
      <c r="B356" s="938"/>
      <c r="C356" s="252"/>
      <c r="D356" s="822"/>
      <c r="F356" s="250"/>
      <c r="I356" s="847"/>
    </row>
    <row r="357">
      <c r="A357" s="265"/>
      <c r="B357" s="938"/>
      <c r="C357" s="252"/>
      <c r="D357" s="822"/>
      <c r="F357" s="250"/>
      <c r="I357" s="847"/>
    </row>
    <row r="358">
      <c r="A358" s="265"/>
      <c r="B358" s="938"/>
      <c r="C358" s="252"/>
      <c r="D358" s="822"/>
      <c r="F358" s="250"/>
      <c r="I358" s="847"/>
    </row>
    <row r="359">
      <c r="A359" s="265"/>
      <c r="B359" s="938"/>
      <c r="C359" s="252"/>
      <c r="D359" s="822"/>
      <c r="F359" s="250"/>
      <c r="I359" s="847"/>
    </row>
    <row r="360">
      <c r="A360" s="265"/>
      <c r="B360" s="938"/>
      <c r="C360" s="252"/>
      <c r="D360" s="822"/>
      <c r="F360" s="250"/>
      <c r="I360" s="847"/>
    </row>
    <row r="361">
      <c r="A361" s="265"/>
      <c r="B361" s="938"/>
      <c r="C361" s="252"/>
      <c r="D361" s="822"/>
      <c r="F361" s="250"/>
      <c r="I361" s="847"/>
    </row>
    <row r="362">
      <c r="A362" s="270"/>
      <c r="B362" s="939"/>
      <c r="C362" s="272"/>
      <c r="D362" s="823"/>
      <c r="E362" s="18"/>
      <c r="F362" s="274"/>
      <c r="G362" s="18"/>
      <c r="H362" s="18"/>
      <c r="I362" s="663"/>
    </row>
    <row r="363">
      <c r="B363" s="940"/>
      <c r="C363" s="240"/>
      <c r="D363" s="824"/>
      <c r="E363" s="242"/>
      <c r="F363" s="243"/>
      <c r="G363" s="244"/>
      <c r="H363" s="244"/>
      <c r="I363" s="662"/>
    </row>
    <row r="364">
      <c r="B364" s="938" t="str">
        <f t="shared" ref="B364:B365" si="1">F364</f>
        <v/>
      </c>
      <c r="C364" s="252"/>
      <c r="D364" s="822"/>
      <c r="F364" s="250"/>
      <c r="I364" s="847"/>
    </row>
    <row r="365">
      <c r="B365" s="938" t="str">
        <f t="shared" si="1"/>
        <v/>
      </c>
      <c r="C365" s="252"/>
      <c r="D365" s="822"/>
      <c r="F365" s="250"/>
      <c r="I365" s="847"/>
    </row>
    <row r="366">
      <c r="B366" s="309"/>
      <c r="C366" s="252"/>
      <c r="D366" s="822"/>
      <c r="F366" s="309"/>
    </row>
    <row r="367">
      <c r="B367" s="309"/>
      <c r="C367" s="252"/>
      <c r="D367" s="822"/>
      <c r="F367" s="309"/>
    </row>
    <row r="368">
      <c r="B368" s="309"/>
      <c r="C368" s="252"/>
      <c r="D368" s="822"/>
      <c r="F368" s="309"/>
    </row>
    <row r="369">
      <c r="B369" s="309"/>
      <c r="C369" s="252"/>
      <c r="D369" s="822"/>
      <c r="F369" s="309"/>
    </row>
    <row r="370">
      <c r="B370" s="309"/>
      <c r="C370" s="252"/>
      <c r="D370" s="822"/>
      <c r="F370" s="309"/>
    </row>
    <row r="371">
      <c r="B371" s="309"/>
      <c r="C371" s="252"/>
      <c r="D371" s="822"/>
      <c r="F371" s="309"/>
    </row>
    <row r="372">
      <c r="B372" s="309"/>
      <c r="C372" s="252"/>
      <c r="D372" s="822"/>
      <c r="F372" s="309"/>
    </row>
    <row r="373">
      <c r="B373" s="309"/>
      <c r="C373" s="252"/>
      <c r="D373" s="822"/>
      <c r="F373" s="309"/>
    </row>
    <row r="374">
      <c r="B374" s="309"/>
      <c r="C374" s="252"/>
      <c r="D374" s="822"/>
      <c r="F374" s="309"/>
    </row>
    <row r="375">
      <c r="B375" s="309"/>
      <c r="C375" s="252"/>
      <c r="D375" s="822"/>
      <c r="F375" s="309"/>
    </row>
    <row r="376">
      <c r="B376" s="309"/>
      <c r="C376" s="252"/>
      <c r="D376" s="822"/>
      <c r="F376" s="309"/>
    </row>
    <row r="377">
      <c r="B377" s="309"/>
      <c r="C377" s="252"/>
      <c r="D377" s="822"/>
      <c r="F377" s="309"/>
    </row>
    <row r="378">
      <c r="B378" s="309"/>
      <c r="C378" s="252"/>
      <c r="D378" s="822"/>
      <c r="F378" s="309"/>
    </row>
    <row r="379">
      <c r="B379" s="309"/>
      <c r="C379" s="252"/>
      <c r="D379" s="822"/>
      <c r="F379" s="309"/>
    </row>
    <row r="380">
      <c r="B380" s="309"/>
      <c r="C380" s="252"/>
      <c r="D380" s="822"/>
      <c r="F380" s="309"/>
    </row>
    <row r="381">
      <c r="B381" s="309"/>
      <c r="C381" s="252"/>
      <c r="D381" s="822"/>
      <c r="F381" s="309"/>
    </row>
    <row r="382">
      <c r="B382" s="309"/>
      <c r="C382" s="252"/>
      <c r="D382" s="822"/>
      <c r="F382" s="309"/>
    </row>
    <row r="383">
      <c r="B383" s="309"/>
      <c r="C383" s="252"/>
      <c r="D383" s="822"/>
      <c r="F383" s="309"/>
    </row>
    <row r="384">
      <c r="B384" s="309"/>
      <c r="C384" s="252"/>
      <c r="D384" s="822"/>
      <c r="F384" s="309"/>
    </row>
    <row r="385">
      <c r="B385" s="309"/>
      <c r="C385" s="252"/>
      <c r="D385" s="822"/>
      <c r="F385" s="309"/>
    </row>
    <row r="386">
      <c r="B386" s="309"/>
      <c r="C386" s="252"/>
      <c r="D386" s="822"/>
      <c r="F386" s="309"/>
    </row>
    <row r="387">
      <c r="B387" s="309"/>
      <c r="C387" s="252"/>
      <c r="D387" s="822"/>
      <c r="F387" s="309"/>
    </row>
    <row r="388">
      <c r="B388" s="309"/>
      <c r="C388" s="252"/>
      <c r="D388" s="822"/>
      <c r="F388" s="309"/>
    </row>
    <row r="389">
      <c r="B389" s="309"/>
      <c r="C389" s="252"/>
      <c r="D389" s="822"/>
      <c r="F389" s="309"/>
    </row>
    <row r="390">
      <c r="B390" s="309"/>
      <c r="C390" s="252"/>
      <c r="D390" s="822"/>
      <c r="F390" s="309"/>
    </row>
    <row r="391">
      <c r="B391" s="309"/>
      <c r="C391" s="252"/>
      <c r="D391" s="822"/>
      <c r="F391" s="309"/>
    </row>
    <row r="392">
      <c r="B392" s="309"/>
      <c r="C392" s="252"/>
      <c r="D392" s="822"/>
      <c r="F392" s="309"/>
    </row>
    <row r="393">
      <c r="B393" s="309"/>
      <c r="C393" s="252"/>
      <c r="D393" s="822"/>
      <c r="F393" s="309"/>
    </row>
    <row r="394">
      <c r="B394" s="309"/>
      <c r="C394" s="252"/>
      <c r="D394" s="822"/>
      <c r="F394" s="309"/>
    </row>
    <row r="395">
      <c r="B395" s="309"/>
      <c r="C395" s="252"/>
      <c r="D395" s="822"/>
      <c r="F395" s="309"/>
    </row>
    <row r="396">
      <c r="B396" s="309"/>
      <c r="C396" s="252"/>
      <c r="D396" s="822"/>
      <c r="F396" s="309"/>
    </row>
    <row r="397">
      <c r="B397" s="309"/>
      <c r="C397" s="252"/>
      <c r="D397" s="822"/>
      <c r="F397" s="309"/>
    </row>
    <row r="398">
      <c r="B398" s="309"/>
      <c r="C398" s="252"/>
      <c r="D398" s="822"/>
      <c r="F398" s="309"/>
    </row>
    <row r="399">
      <c r="B399" s="309"/>
      <c r="C399" s="252"/>
      <c r="D399" s="822"/>
      <c r="F399" s="309"/>
    </row>
    <row r="400">
      <c r="B400" s="309"/>
      <c r="C400" s="252"/>
      <c r="D400" s="822"/>
      <c r="F400" s="309"/>
    </row>
    <row r="401">
      <c r="B401" s="309"/>
      <c r="C401" s="252"/>
      <c r="D401" s="822"/>
      <c r="F401" s="309"/>
    </row>
    <row r="402">
      <c r="B402" s="309"/>
      <c r="C402" s="252"/>
      <c r="D402" s="822"/>
      <c r="F402" s="309"/>
    </row>
    <row r="403">
      <c r="B403" s="309"/>
      <c r="C403" s="252"/>
      <c r="D403" s="822"/>
      <c r="F403" s="309"/>
    </row>
    <row r="404">
      <c r="B404" s="309"/>
      <c r="C404" s="252"/>
      <c r="D404" s="822"/>
      <c r="F404" s="309"/>
    </row>
    <row r="405">
      <c r="B405" s="309"/>
      <c r="C405" s="252"/>
      <c r="D405" s="822"/>
      <c r="F405" s="309"/>
    </row>
    <row r="406">
      <c r="B406" s="309"/>
      <c r="C406" s="252"/>
      <c r="D406" s="822"/>
      <c r="F406" s="309"/>
    </row>
    <row r="407">
      <c r="B407" s="309"/>
      <c r="C407" s="252"/>
      <c r="D407" s="822"/>
      <c r="F407" s="309"/>
    </row>
    <row r="408">
      <c r="B408" s="309"/>
      <c r="C408" s="252"/>
      <c r="D408" s="822"/>
      <c r="F408" s="309"/>
    </row>
    <row r="409">
      <c r="B409" s="309"/>
      <c r="C409" s="252"/>
      <c r="D409" s="822"/>
      <c r="F409" s="309"/>
    </row>
    <row r="410">
      <c r="B410" s="309"/>
      <c r="C410" s="252"/>
      <c r="D410" s="822"/>
      <c r="F410" s="309"/>
    </row>
    <row r="411">
      <c r="B411" s="309"/>
      <c r="C411" s="252"/>
      <c r="D411" s="822"/>
      <c r="F411" s="309"/>
    </row>
    <row r="412">
      <c r="B412" s="309"/>
      <c r="C412" s="252"/>
      <c r="D412" s="822"/>
      <c r="F412" s="309"/>
    </row>
    <row r="413">
      <c r="B413" s="309"/>
      <c r="C413" s="252"/>
      <c r="D413" s="822"/>
      <c r="F413" s="309"/>
    </row>
    <row r="414">
      <c r="B414" s="309"/>
      <c r="C414" s="252"/>
      <c r="D414" s="822"/>
      <c r="F414" s="309"/>
    </row>
    <row r="415">
      <c r="B415" s="309"/>
      <c r="C415" s="252"/>
      <c r="D415" s="822"/>
      <c r="F415" s="309"/>
    </row>
    <row r="416">
      <c r="B416" s="309"/>
      <c r="C416" s="252"/>
      <c r="D416" s="822"/>
      <c r="F416" s="309"/>
    </row>
    <row r="417">
      <c r="B417" s="309"/>
      <c r="C417" s="252"/>
      <c r="D417" s="822"/>
      <c r="F417" s="309"/>
    </row>
    <row r="418">
      <c r="B418" s="309"/>
      <c r="C418" s="252"/>
      <c r="D418" s="822"/>
      <c r="F418" s="309"/>
    </row>
    <row r="419">
      <c r="B419" s="309"/>
      <c r="C419" s="252"/>
      <c r="D419" s="822"/>
      <c r="F419" s="309"/>
    </row>
    <row r="420">
      <c r="B420" s="309"/>
      <c r="C420" s="252"/>
      <c r="D420" s="822"/>
      <c r="F420" s="309"/>
    </row>
    <row r="421">
      <c r="B421" s="309"/>
      <c r="C421" s="252"/>
      <c r="D421" s="822"/>
      <c r="F421" s="309"/>
    </row>
    <row r="422">
      <c r="B422" s="309"/>
      <c r="C422" s="252"/>
      <c r="D422" s="822"/>
      <c r="F422" s="309"/>
    </row>
    <row r="423">
      <c r="B423" s="309"/>
      <c r="C423" s="252"/>
      <c r="D423" s="822"/>
      <c r="F423" s="309"/>
    </row>
    <row r="424">
      <c r="B424" s="309"/>
      <c r="C424" s="252"/>
      <c r="D424" s="822"/>
      <c r="F424" s="309"/>
    </row>
    <row r="425">
      <c r="B425" s="309"/>
      <c r="C425" s="252"/>
      <c r="D425" s="822"/>
      <c r="F425" s="309"/>
    </row>
    <row r="426">
      <c r="B426" s="309"/>
      <c r="C426" s="252"/>
      <c r="D426" s="822"/>
      <c r="F426" s="309"/>
    </row>
    <row r="427">
      <c r="B427" s="309"/>
      <c r="C427" s="252"/>
      <c r="D427" s="822"/>
      <c r="F427" s="309"/>
    </row>
    <row r="428">
      <c r="B428" s="309"/>
      <c r="C428" s="252"/>
      <c r="D428" s="822"/>
      <c r="F428" s="309"/>
    </row>
    <row r="429">
      <c r="B429" s="309"/>
      <c r="C429" s="252"/>
      <c r="D429" s="822"/>
      <c r="F429" s="309"/>
    </row>
    <row r="430">
      <c r="B430" s="309"/>
      <c r="C430" s="252"/>
      <c r="D430" s="822"/>
      <c r="F430" s="309"/>
    </row>
    <row r="431">
      <c r="B431" s="309"/>
      <c r="C431" s="252"/>
      <c r="D431" s="822"/>
      <c r="F431" s="309"/>
    </row>
    <row r="432">
      <c r="B432" s="309"/>
      <c r="C432" s="252"/>
      <c r="D432" s="822"/>
      <c r="F432" s="309"/>
    </row>
    <row r="433">
      <c r="B433" s="309"/>
      <c r="C433" s="252"/>
      <c r="D433" s="822"/>
      <c r="F433" s="309"/>
    </row>
    <row r="434">
      <c r="B434" s="309"/>
      <c r="C434" s="252"/>
      <c r="D434" s="822"/>
      <c r="F434" s="309"/>
    </row>
    <row r="435">
      <c r="B435" s="309"/>
      <c r="C435" s="252"/>
      <c r="D435" s="822"/>
      <c r="F435" s="309"/>
    </row>
    <row r="436">
      <c r="B436" s="309"/>
      <c r="C436" s="252"/>
      <c r="D436" s="822"/>
      <c r="F436" s="309"/>
    </row>
    <row r="437">
      <c r="B437" s="309"/>
      <c r="C437" s="252"/>
      <c r="D437" s="822"/>
      <c r="F437" s="309"/>
    </row>
    <row r="438">
      <c r="B438" s="309"/>
      <c r="C438" s="252"/>
      <c r="D438" s="822"/>
      <c r="F438" s="309"/>
    </row>
    <row r="439">
      <c r="B439" s="309"/>
      <c r="C439" s="252"/>
      <c r="D439" s="822"/>
      <c r="F439" s="309"/>
    </row>
    <row r="440">
      <c r="B440" s="309"/>
      <c r="C440" s="252"/>
      <c r="D440" s="822"/>
      <c r="F440" s="309"/>
    </row>
    <row r="441">
      <c r="B441" s="309"/>
      <c r="C441" s="252"/>
      <c r="D441" s="822"/>
      <c r="F441" s="309"/>
    </row>
    <row r="442">
      <c r="B442" s="309"/>
      <c r="C442" s="252"/>
      <c r="D442" s="822"/>
      <c r="F442" s="309"/>
    </row>
    <row r="443">
      <c r="B443" s="309"/>
      <c r="C443" s="252"/>
      <c r="D443" s="822"/>
      <c r="F443" s="309"/>
    </row>
    <row r="444">
      <c r="B444" s="309"/>
      <c r="C444" s="252"/>
      <c r="D444" s="822"/>
      <c r="F444" s="309"/>
    </row>
    <row r="445">
      <c r="B445" s="309"/>
      <c r="C445" s="252"/>
      <c r="D445" s="822"/>
      <c r="F445" s="309"/>
    </row>
    <row r="446">
      <c r="B446" s="309"/>
      <c r="C446" s="252"/>
      <c r="D446" s="822"/>
      <c r="F446" s="309"/>
    </row>
    <row r="447">
      <c r="B447" s="309"/>
      <c r="C447" s="252"/>
      <c r="D447" s="822"/>
      <c r="F447" s="309"/>
    </row>
    <row r="448">
      <c r="B448" s="309"/>
      <c r="C448" s="252"/>
      <c r="D448" s="822"/>
      <c r="F448" s="309"/>
    </row>
    <row r="449">
      <c r="B449" s="309"/>
      <c r="C449" s="252"/>
      <c r="D449" s="822"/>
      <c r="F449" s="309"/>
    </row>
    <row r="450">
      <c r="B450" s="309"/>
      <c r="C450" s="252"/>
      <c r="D450" s="822"/>
      <c r="F450" s="309"/>
    </row>
    <row r="451">
      <c r="B451" s="309"/>
      <c r="C451" s="252"/>
      <c r="D451" s="822"/>
      <c r="F451" s="309"/>
    </row>
    <row r="452">
      <c r="B452" s="309"/>
      <c r="C452" s="252"/>
      <c r="D452" s="822"/>
      <c r="F452" s="309"/>
    </row>
    <row r="453">
      <c r="B453" s="309"/>
      <c r="C453" s="252"/>
      <c r="D453" s="822"/>
      <c r="F453" s="309"/>
    </row>
    <row r="454">
      <c r="B454" s="309"/>
      <c r="C454" s="252"/>
      <c r="D454" s="822"/>
      <c r="F454" s="309"/>
    </row>
    <row r="455">
      <c r="B455" s="309"/>
      <c r="C455" s="252"/>
      <c r="D455" s="822"/>
      <c r="F455" s="309"/>
    </row>
    <row r="456">
      <c r="B456" s="309"/>
      <c r="C456" s="252"/>
      <c r="D456" s="822"/>
      <c r="F456" s="309"/>
    </row>
    <row r="457">
      <c r="B457" s="309"/>
      <c r="C457" s="252"/>
      <c r="D457" s="822"/>
      <c r="F457" s="309"/>
    </row>
    <row r="458">
      <c r="B458" s="309"/>
      <c r="C458" s="252"/>
      <c r="D458" s="822"/>
      <c r="F458" s="309"/>
    </row>
    <row r="459">
      <c r="B459" s="309"/>
      <c r="C459" s="252"/>
      <c r="D459" s="822"/>
      <c r="F459" s="309"/>
    </row>
    <row r="460">
      <c r="B460" s="309"/>
      <c r="C460" s="252"/>
      <c r="D460" s="822"/>
      <c r="F460" s="309"/>
    </row>
    <row r="461">
      <c r="B461" s="309"/>
      <c r="C461" s="252"/>
      <c r="D461" s="822"/>
      <c r="F461" s="309"/>
    </row>
    <row r="462">
      <c r="B462" s="309"/>
      <c r="C462" s="252"/>
      <c r="D462" s="822"/>
      <c r="F462" s="309"/>
    </row>
    <row r="463">
      <c r="B463" s="309"/>
      <c r="C463" s="252"/>
      <c r="D463" s="822"/>
      <c r="F463" s="309"/>
    </row>
    <row r="464">
      <c r="B464" s="309"/>
      <c r="C464" s="252"/>
      <c r="D464" s="822"/>
      <c r="F464" s="309"/>
    </row>
    <row r="465">
      <c r="B465" s="309"/>
      <c r="C465" s="252"/>
      <c r="D465" s="822"/>
      <c r="F465" s="309"/>
    </row>
    <row r="466">
      <c r="B466" s="309"/>
      <c r="C466" s="252"/>
      <c r="D466" s="822"/>
      <c r="F466" s="309"/>
    </row>
    <row r="467">
      <c r="B467" s="309"/>
      <c r="C467" s="252"/>
      <c r="D467" s="822"/>
      <c r="F467" s="309"/>
    </row>
    <row r="468">
      <c r="B468" s="309"/>
      <c r="C468" s="252"/>
      <c r="D468" s="822"/>
      <c r="F468" s="309"/>
    </row>
    <row r="469">
      <c r="B469" s="309"/>
      <c r="C469" s="252"/>
      <c r="D469" s="822"/>
      <c r="F469" s="309"/>
    </row>
    <row r="470">
      <c r="B470" s="309"/>
      <c r="C470" s="252"/>
      <c r="D470" s="822"/>
      <c r="F470" s="309"/>
    </row>
    <row r="471">
      <c r="B471" s="309"/>
      <c r="C471" s="252"/>
      <c r="D471" s="822"/>
      <c r="F471" s="309"/>
    </row>
    <row r="472">
      <c r="B472" s="309"/>
      <c r="C472" s="252"/>
      <c r="D472" s="822"/>
      <c r="F472" s="309"/>
    </row>
    <row r="473">
      <c r="B473" s="309"/>
      <c r="C473" s="252"/>
      <c r="D473" s="822"/>
      <c r="F473" s="309"/>
    </row>
    <row r="474">
      <c r="B474" s="309"/>
      <c r="C474" s="252"/>
      <c r="D474" s="822"/>
      <c r="F474" s="309"/>
    </row>
    <row r="475">
      <c r="B475" s="309"/>
      <c r="C475" s="252"/>
      <c r="D475" s="822"/>
      <c r="F475" s="309"/>
    </row>
    <row r="476">
      <c r="B476" s="309"/>
      <c r="C476" s="252"/>
      <c r="D476" s="822"/>
      <c r="F476" s="309"/>
    </row>
    <row r="477">
      <c r="B477" s="309"/>
      <c r="C477" s="252"/>
      <c r="D477" s="822"/>
      <c r="F477" s="309"/>
    </row>
    <row r="478">
      <c r="B478" s="309"/>
      <c r="C478" s="252"/>
      <c r="D478" s="822"/>
      <c r="F478" s="309"/>
    </row>
    <row r="479">
      <c r="B479" s="309"/>
      <c r="C479" s="252"/>
      <c r="D479" s="822"/>
      <c r="F479" s="309"/>
    </row>
    <row r="480">
      <c r="B480" s="309"/>
      <c r="C480" s="252"/>
      <c r="D480" s="822"/>
      <c r="F480" s="309"/>
    </row>
    <row r="481">
      <c r="B481" s="309"/>
      <c r="C481" s="252"/>
      <c r="D481" s="822"/>
      <c r="F481" s="309"/>
    </row>
    <row r="482">
      <c r="B482" s="309"/>
      <c r="C482" s="252"/>
      <c r="D482" s="822"/>
      <c r="F482" s="309"/>
    </row>
    <row r="483">
      <c r="B483" s="309"/>
      <c r="C483" s="252"/>
      <c r="D483" s="822"/>
      <c r="F483" s="309"/>
    </row>
    <row r="484">
      <c r="B484" s="309"/>
      <c r="C484" s="252"/>
      <c r="D484" s="822"/>
      <c r="F484" s="309"/>
    </row>
    <row r="485">
      <c r="B485" s="309"/>
      <c r="C485" s="252"/>
      <c r="D485" s="822"/>
      <c r="F485" s="309"/>
    </row>
    <row r="486">
      <c r="B486" s="309"/>
      <c r="C486" s="252"/>
      <c r="D486" s="822"/>
      <c r="F486" s="309"/>
    </row>
    <row r="487">
      <c r="B487" s="309"/>
      <c r="C487" s="252"/>
      <c r="D487" s="822"/>
      <c r="F487" s="309"/>
    </row>
    <row r="488">
      <c r="B488" s="309"/>
      <c r="C488" s="252"/>
      <c r="D488" s="822"/>
      <c r="F488" s="309"/>
    </row>
    <row r="489">
      <c r="B489" s="309"/>
      <c r="C489" s="252"/>
      <c r="D489" s="822"/>
      <c r="F489" s="309"/>
    </row>
    <row r="490">
      <c r="B490" s="309"/>
      <c r="C490" s="252"/>
      <c r="D490" s="822"/>
      <c r="F490" s="309"/>
    </row>
    <row r="491">
      <c r="B491" s="309"/>
      <c r="C491" s="252"/>
      <c r="D491" s="822"/>
      <c r="F491" s="309"/>
    </row>
    <row r="492">
      <c r="B492" s="309"/>
      <c r="C492" s="252"/>
      <c r="D492" s="822"/>
      <c r="F492" s="309"/>
    </row>
    <row r="493">
      <c r="B493" s="309"/>
      <c r="C493" s="252"/>
      <c r="D493" s="822"/>
      <c r="F493" s="309"/>
    </row>
    <row r="494">
      <c r="B494" s="309"/>
      <c r="C494" s="252"/>
      <c r="D494" s="822"/>
      <c r="F494" s="309"/>
    </row>
    <row r="495">
      <c r="B495" s="309"/>
      <c r="C495" s="252"/>
      <c r="D495" s="822"/>
      <c r="F495" s="309"/>
    </row>
    <row r="496">
      <c r="B496" s="309"/>
      <c r="C496" s="252"/>
      <c r="D496" s="822"/>
      <c r="F496" s="309"/>
    </row>
    <row r="497">
      <c r="B497" s="309"/>
      <c r="C497" s="252"/>
      <c r="D497" s="822"/>
      <c r="F497" s="309"/>
    </row>
    <row r="498">
      <c r="B498" s="309"/>
      <c r="C498" s="252"/>
      <c r="D498" s="822"/>
      <c r="F498" s="309"/>
    </row>
    <row r="499">
      <c r="B499" s="309"/>
      <c r="C499" s="252"/>
      <c r="D499" s="822"/>
      <c r="F499" s="309"/>
    </row>
    <row r="500">
      <c r="B500" s="309"/>
      <c r="C500" s="252"/>
      <c r="D500" s="822"/>
      <c r="F500" s="309"/>
    </row>
    <row r="501">
      <c r="B501" s="309"/>
      <c r="C501" s="252"/>
      <c r="D501" s="822"/>
      <c r="F501" s="309"/>
    </row>
    <row r="502">
      <c r="B502" s="309"/>
      <c r="C502" s="252"/>
      <c r="D502" s="822"/>
      <c r="F502" s="309"/>
    </row>
    <row r="503">
      <c r="B503" s="309"/>
      <c r="C503" s="252"/>
      <c r="D503" s="822"/>
      <c r="F503" s="309"/>
    </row>
    <row r="504">
      <c r="B504" s="309"/>
      <c r="C504" s="252"/>
      <c r="D504" s="822"/>
      <c r="F504" s="309"/>
    </row>
    <row r="505">
      <c r="B505" s="309"/>
      <c r="C505" s="252"/>
      <c r="D505" s="822"/>
      <c r="F505" s="309"/>
    </row>
    <row r="506">
      <c r="B506" s="309"/>
      <c r="C506" s="252"/>
      <c r="D506" s="822"/>
      <c r="F506" s="309"/>
    </row>
    <row r="507">
      <c r="B507" s="309"/>
      <c r="C507" s="252"/>
      <c r="D507" s="822"/>
      <c r="F507" s="309"/>
    </row>
    <row r="508">
      <c r="B508" s="309"/>
      <c r="C508" s="252"/>
      <c r="D508" s="822"/>
      <c r="F508" s="309"/>
    </row>
    <row r="509">
      <c r="B509" s="309"/>
      <c r="C509" s="252"/>
      <c r="D509" s="822"/>
      <c r="F509" s="309"/>
    </row>
    <row r="510">
      <c r="B510" s="309"/>
      <c r="C510" s="252"/>
      <c r="D510" s="822"/>
      <c r="F510" s="309"/>
    </row>
    <row r="511">
      <c r="B511" s="309"/>
      <c r="C511" s="252"/>
      <c r="D511" s="822"/>
      <c r="F511" s="309"/>
    </row>
    <row r="512">
      <c r="B512" s="309"/>
      <c r="C512" s="252"/>
      <c r="D512" s="822"/>
      <c r="F512" s="309"/>
    </row>
    <row r="513">
      <c r="B513" s="309"/>
      <c r="C513" s="252"/>
      <c r="D513" s="822"/>
      <c r="F513" s="309"/>
    </row>
    <row r="514">
      <c r="B514" s="309"/>
      <c r="C514" s="252"/>
      <c r="D514" s="822"/>
      <c r="F514" s="309"/>
    </row>
    <row r="515">
      <c r="B515" s="309"/>
      <c r="C515" s="252"/>
      <c r="D515" s="822"/>
      <c r="F515" s="309"/>
    </row>
    <row r="516">
      <c r="B516" s="309"/>
      <c r="C516" s="252"/>
      <c r="D516" s="822"/>
      <c r="F516" s="309"/>
    </row>
    <row r="517">
      <c r="B517" s="309"/>
      <c r="C517" s="252"/>
      <c r="D517" s="822"/>
      <c r="F517" s="309"/>
    </row>
    <row r="518">
      <c r="B518" s="309"/>
      <c r="C518" s="252"/>
      <c r="D518" s="822"/>
      <c r="F518" s="309"/>
    </row>
    <row r="519">
      <c r="B519" s="309"/>
      <c r="C519" s="252"/>
      <c r="D519" s="822"/>
      <c r="F519" s="309"/>
    </row>
    <row r="520">
      <c r="B520" s="309"/>
      <c r="C520" s="252"/>
      <c r="D520" s="822"/>
      <c r="F520" s="309"/>
    </row>
    <row r="521">
      <c r="B521" s="309"/>
      <c r="C521" s="252"/>
      <c r="D521" s="822"/>
      <c r="F521" s="309"/>
    </row>
    <row r="522">
      <c r="B522" s="309"/>
      <c r="C522" s="252"/>
      <c r="D522" s="822"/>
      <c r="F522" s="309"/>
    </row>
    <row r="523">
      <c r="B523" s="309"/>
      <c r="C523" s="252"/>
      <c r="D523" s="822"/>
      <c r="F523" s="309"/>
    </row>
    <row r="524">
      <c r="B524" s="309"/>
      <c r="C524" s="252"/>
      <c r="D524" s="822"/>
      <c r="F524" s="309"/>
    </row>
    <row r="525">
      <c r="B525" s="309"/>
      <c r="C525" s="252"/>
      <c r="D525" s="822"/>
      <c r="F525" s="309"/>
    </row>
    <row r="526">
      <c r="B526" s="309"/>
      <c r="C526" s="252"/>
      <c r="D526" s="822"/>
      <c r="F526" s="309"/>
    </row>
    <row r="527">
      <c r="B527" s="309"/>
      <c r="C527" s="252"/>
      <c r="D527" s="822"/>
      <c r="F527" s="309"/>
    </row>
    <row r="528">
      <c r="B528" s="309"/>
      <c r="C528" s="252"/>
      <c r="D528" s="822"/>
      <c r="F528" s="309"/>
    </row>
    <row r="529">
      <c r="B529" s="309"/>
      <c r="C529" s="252"/>
      <c r="D529" s="822"/>
      <c r="F529" s="309"/>
    </row>
    <row r="530">
      <c r="B530" s="309"/>
      <c r="C530" s="252"/>
      <c r="D530" s="822"/>
      <c r="F530" s="309"/>
    </row>
    <row r="531">
      <c r="B531" s="309"/>
      <c r="C531" s="252"/>
      <c r="D531" s="822"/>
      <c r="F531" s="309"/>
    </row>
    <row r="532">
      <c r="B532" s="309"/>
      <c r="C532" s="252"/>
      <c r="D532" s="822"/>
      <c r="F532" s="309"/>
    </row>
    <row r="533">
      <c r="B533" s="309"/>
      <c r="C533" s="252"/>
      <c r="D533" s="822"/>
      <c r="F533" s="309"/>
    </row>
    <row r="534">
      <c r="B534" s="309"/>
      <c r="C534" s="252"/>
      <c r="D534" s="822"/>
      <c r="F534" s="309"/>
    </row>
    <row r="535">
      <c r="B535" s="309"/>
      <c r="C535" s="252"/>
      <c r="D535" s="822"/>
      <c r="F535" s="309"/>
    </row>
    <row r="536">
      <c r="B536" s="309"/>
      <c r="C536" s="252"/>
      <c r="D536" s="822"/>
      <c r="F536" s="309"/>
    </row>
    <row r="537">
      <c r="B537" s="309"/>
      <c r="C537" s="252"/>
      <c r="D537" s="822"/>
      <c r="F537" s="309"/>
    </row>
    <row r="538">
      <c r="B538" s="309"/>
      <c r="C538" s="252"/>
      <c r="D538" s="822"/>
      <c r="F538" s="309"/>
    </row>
    <row r="539">
      <c r="B539" s="309"/>
      <c r="C539" s="252"/>
      <c r="D539" s="822"/>
      <c r="F539" s="309"/>
    </row>
    <row r="540">
      <c r="B540" s="309"/>
      <c r="C540" s="252"/>
      <c r="D540" s="822"/>
      <c r="F540" s="309"/>
    </row>
    <row r="541">
      <c r="B541" s="309"/>
      <c r="C541" s="252"/>
      <c r="D541" s="822"/>
      <c r="F541" s="309"/>
    </row>
    <row r="542">
      <c r="B542" s="309"/>
      <c r="C542" s="252"/>
      <c r="D542" s="822"/>
      <c r="F542" s="309"/>
    </row>
    <row r="543">
      <c r="B543" s="309"/>
      <c r="C543" s="252"/>
      <c r="D543" s="822"/>
      <c r="F543" s="309"/>
    </row>
    <row r="544">
      <c r="B544" s="309"/>
      <c r="C544" s="252"/>
      <c r="D544" s="822"/>
      <c r="F544" s="309"/>
    </row>
    <row r="545">
      <c r="B545" s="309"/>
      <c r="C545" s="252"/>
      <c r="D545" s="822"/>
      <c r="F545" s="309"/>
    </row>
    <row r="546">
      <c r="B546" s="309"/>
      <c r="C546" s="252"/>
      <c r="D546" s="822"/>
      <c r="F546" s="309"/>
    </row>
    <row r="547">
      <c r="B547" s="309"/>
      <c r="C547" s="252"/>
      <c r="D547" s="822"/>
      <c r="F547" s="309"/>
    </row>
    <row r="548">
      <c r="B548" s="309"/>
      <c r="C548" s="252"/>
      <c r="D548" s="822"/>
      <c r="F548" s="309"/>
    </row>
    <row r="549">
      <c r="B549" s="309"/>
      <c r="C549" s="252"/>
      <c r="D549" s="822"/>
      <c r="F549" s="309"/>
    </row>
    <row r="550">
      <c r="B550" s="309"/>
      <c r="C550" s="252"/>
      <c r="D550" s="822"/>
      <c r="F550" s="309"/>
    </row>
    <row r="551">
      <c r="B551" s="309"/>
      <c r="C551" s="252"/>
      <c r="D551" s="822"/>
      <c r="F551" s="309"/>
    </row>
    <row r="552">
      <c r="B552" s="309"/>
      <c r="C552" s="252"/>
      <c r="D552" s="822"/>
      <c r="F552" s="309"/>
    </row>
    <row r="553">
      <c r="B553" s="309"/>
      <c r="C553" s="252"/>
      <c r="D553" s="822"/>
      <c r="F553" s="309"/>
    </row>
    <row r="554">
      <c r="B554" s="309"/>
      <c r="C554" s="252"/>
      <c r="D554" s="822"/>
      <c r="F554" s="309"/>
    </row>
    <row r="555">
      <c r="B555" s="309"/>
      <c r="C555" s="252"/>
      <c r="D555" s="822"/>
      <c r="F555" s="309"/>
    </row>
    <row r="556">
      <c r="B556" s="309"/>
      <c r="C556" s="252"/>
      <c r="D556" s="822"/>
      <c r="F556" s="309"/>
    </row>
    <row r="557">
      <c r="B557" s="309"/>
      <c r="C557" s="252"/>
      <c r="D557" s="822"/>
      <c r="F557" s="309"/>
    </row>
    <row r="558">
      <c r="B558" s="309"/>
      <c r="C558" s="252"/>
      <c r="D558" s="822"/>
      <c r="F558" s="309"/>
    </row>
    <row r="559">
      <c r="B559" s="309"/>
      <c r="C559" s="252"/>
      <c r="D559" s="822"/>
      <c r="F559" s="309"/>
    </row>
    <row r="560">
      <c r="B560" s="309"/>
      <c r="C560" s="252"/>
      <c r="D560" s="822"/>
      <c r="F560" s="309"/>
    </row>
    <row r="561">
      <c r="B561" s="309"/>
      <c r="C561" s="252"/>
      <c r="D561" s="822"/>
      <c r="F561" s="309"/>
    </row>
    <row r="562">
      <c r="B562" s="309"/>
      <c r="C562" s="252"/>
      <c r="D562" s="822"/>
      <c r="F562" s="309"/>
    </row>
    <row r="563">
      <c r="B563" s="309"/>
      <c r="C563" s="252"/>
      <c r="D563" s="822"/>
      <c r="F563" s="309"/>
    </row>
    <row r="564">
      <c r="B564" s="309"/>
      <c r="C564" s="252"/>
      <c r="D564" s="822"/>
      <c r="F564" s="309"/>
    </row>
    <row r="565">
      <c r="B565" s="309"/>
      <c r="C565" s="252"/>
      <c r="D565" s="822"/>
      <c r="F565" s="309"/>
    </row>
    <row r="566">
      <c r="B566" s="309"/>
      <c r="C566" s="252"/>
      <c r="D566" s="822"/>
      <c r="F566" s="309"/>
    </row>
    <row r="567">
      <c r="B567" s="309"/>
      <c r="C567" s="252"/>
      <c r="D567" s="822"/>
      <c r="F567" s="309"/>
    </row>
    <row r="568">
      <c r="B568" s="309"/>
      <c r="C568" s="252"/>
      <c r="D568" s="822"/>
      <c r="F568" s="309"/>
    </row>
    <row r="569">
      <c r="B569" s="309"/>
      <c r="C569" s="252"/>
      <c r="D569" s="822"/>
      <c r="F569" s="309"/>
    </row>
    <row r="570">
      <c r="B570" s="309"/>
      <c r="C570" s="252"/>
      <c r="D570" s="822"/>
      <c r="F570" s="309"/>
    </row>
    <row r="571">
      <c r="B571" s="309"/>
      <c r="C571" s="252"/>
      <c r="D571" s="822"/>
      <c r="F571" s="309"/>
    </row>
    <row r="572">
      <c r="B572" s="309"/>
      <c r="C572" s="252"/>
      <c r="D572" s="822"/>
      <c r="F572" s="309"/>
    </row>
    <row r="573">
      <c r="B573" s="309"/>
      <c r="C573" s="252"/>
      <c r="D573" s="822"/>
      <c r="F573" s="309"/>
    </row>
    <row r="574">
      <c r="B574" s="309"/>
      <c r="C574" s="252"/>
      <c r="D574" s="822"/>
      <c r="F574" s="309"/>
    </row>
    <row r="575">
      <c r="B575" s="309"/>
      <c r="C575" s="252"/>
      <c r="D575" s="822"/>
      <c r="F575" s="309"/>
    </row>
    <row r="576">
      <c r="B576" s="309"/>
      <c r="C576" s="252"/>
      <c r="D576" s="822"/>
      <c r="F576" s="309"/>
    </row>
    <row r="577">
      <c r="B577" s="309"/>
      <c r="C577" s="252"/>
      <c r="D577" s="822"/>
      <c r="F577" s="309"/>
    </row>
    <row r="578">
      <c r="B578" s="309"/>
      <c r="C578" s="252"/>
      <c r="D578" s="822"/>
      <c r="F578" s="309"/>
    </row>
    <row r="579">
      <c r="B579" s="309"/>
      <c r="C579" s="252"/>
      <c r="D579" s="822"/>
      <c r="F579" s="309"/>
    </row>
    <row r="580">
      <c r="B580" s="309"/>
      <c r="C580" s="252"/>
      <c r="D580" s="822"/>
      <c r="F580" s="309"/>
    </row>
    <row r="581">
      <c r="B581" s="309"/>
      <c r="C581" s="252"/>
      <c r="D581" s="822"/>
      <c r="F581" s="309"/>
    </row>
    <row r="582">
      <c r="B582" s="309"/>
      <c r="C582" s="252"/>
      <c r="D582" s="822"/>
      <c r="F582" s="309"/>
    </row>
    <row r="583">
      <c r="B583" s="309"/>
      <c r="C583" s="252"/>
      <c r="D583" s="822"/>
      <c r="F583" s="309"/>
    </row>
    <row r="584">
      <c r="B584" s="309"/>
      <c r="C584" s="252"/>
      <c r="D584" s="822"/>
      <c r="F584" s="309"/>
    </row>
    <row r="585">
      <c r="B585" s="309"/>
      <c r="C585" s="252"/>
      <c r="D585" s="822"/>
      <c r="F585" s="309"/>
    </row>
    <row r="586">
      <c r="B586" s="309"/>
      <c r="C586" s="252"/>
      <c r="D586" s="822"/>
      <c r="F586" s="309"/>
    </row>
    <row r="587">
      <c r="B587" s="309"/>
      <c r="C587" s="252"/>
      <c r="D587" s="822"/>
      <c r="F587" s="309"/>
    </row>
    <row r="588">
      <c r="B588" s="309"/>
      <c r="C588" s="252"/>
      <c r="D588" s="822"/>
      <c r="F588" s="309"/>
    </row>
    <row r="589">
      <c r="B589" s="309"/>
      <c r="C589" s="252"/>
      <c r="D589" s="822"/>
      <c r="F589" s="309"/>
    </row>
    <row r="590">
      <c r="B590" s="309"/>
      <c r="C590" s="252"/>
      <c r="D590" s="822"/>
      <c r="F590" s="309"/>
    </row>
    <row r="591">
      <c r="B591" s="309"/>
      <c r="C591" s="252"/>
      <c r="D591" s="822"/>
      <c r="F591" s="309"/>
    </row>
    <row r="592">
      <c r="B592" s="309"/>
      <c r="C592" s="252"/>
      <c r="D592" s="822"/>
      <c r="F592" s="309"/>
    </row>
    <row r="593">
      <c r="B593" s="309"/>
      <c r="C593" s="252"/>
      <c r="D593" s="822"/>
      <c r="F593" s="309"/>
    </row>
    <row r="594">
      <c r="B594" s="309"/>
      <c r="C594" s="252"/>
      <c r="D594" s="822"/>
      <c r="F594" s="309"/>
    </row>
    <row r="595">
      <c r="B595" s="309"/>
      <c r="C595" s="252"/>
      <c r="D595" s="822"/>
      <c r="F595" s="309"/>
    </row>
    <row r="596">
      <c r="B596" s="309"/>
      <c r="C596" s="252"/>
      <c r="D596" s="822"/>
      <c r="F596" s="309"/>
    </row>
    <row r="597">
      <c r="B597" s="309"/>
      <c r="C597" s="252"/>
      <c r="D597" s="822"/>
      <c r="F597" s="309"/>
    </row>
    <row r="598">
      <c r="B598" s="309"/>
      <c r="C598" s="252"/>
      <c r="D598" s="822"/>
      <c r="F598" s="309"/>
    </row>
    <row r="599">
      <c r="B599" s="309"/>
      <c r="C599" s="252"/>
      <c r="D599" s="822"/>
      <c r="F599" s="309"/>
    </row>
    <row r="600">
      <c r="B600" s="309"/>
      <c r="C600" s="252"/>
      <c r="D600" s="822"/>
      <c r="F600" s="309"/>
    </row>
    <row r="601">
      <c r="B601" s="309"/>
      <c r="C601" s="252"/>
      <c r="D601" s="822"/>
      <c r="F601" s="309"/>
    </row>
    <row r="602">
      <c r="B602" s="309"/>
      <c r="C602" s="252"/>
      <c r="D602" s="822"/>
      <c r="F602" s="309"/>
    </row>
    <row r="603">
      <c r="B603" s="309"/>
      <c r="C603" s="252"/>
      <c r="D603" s="822"/>
      <c r="F603" s="309"/>
    </row>
    <row r="604">
      <c r="B604" s="309"/>
      <c r="C604" s="252"/>
      <c r="D604" s="822"/>
      <c r="F604" s="309"/>
    </row>
    <row r="605">
      <c r="B605" s="309"/>
      <c r="C605" s="252"/>
      <c r="D605" s="822"/>
      <c r="F605" s="309"/>
    </row>
    <row r="606">
      <c r="B606" s="309"/>
      <c r="C606" s="252"/>
      <c r="D606" s="822"/>
      <c r="F606" s="309"/>
    </row>
    <row r="607">
      <c r="B607" s="309"/>
      <c r="C607" s="252"/>
      <c r="D607" s="822"/>
      <c r="F607" s="309"/>
    </row>
    <row r="608">
      <c r="B608" s="309"/>
      <c r="C608" s="252"/>
      <c r="D608" s="822"/>
      <c r="F608" s="309"/>
    </row>
    <row r="609">
      <c r="B609" s="309"/>
      <c r="C609" s="252"/>
      <c r="D609" s="822"/>
      <c r="F609" s="309"/>
    </row>
    <row r="610">
      <c r="B610" s="309"/>
      <c r="C610" s="252"/>
      <c r="D610" s="822"/>
      <c r="F610" s="309"/>
    </row>
    <row r="611">
      <c r="B611" s="309"/>
      <c r="C611" s="252"/>
      <c r="D611" s="822"/>
      <c r="F611" s="309"/>
    </row>
    <row r="612">
      <c r="B612" s="309"/>
      <c r="C612" s="252"/>
      <c r="D612" s="822"/>
      <c r="F612" s="309"/>
    </row>
    <row r="613">
      <c r="B613" s="309"/>
      <c r="C613" s="252"/>
      <c r="D613" s="822"/>
      <c r="F613" s="309"/>
    </row>
    <row r="614">
      <c r="B614" s="309"/>
      <c r="C614" s="252"/>
      <c r="D614" s="822"/>
      <c r="F614" s="309"/>
    </row>
    <row r="615">
      <c r="B615" s="309"/>
      <c r="C615" s="252"/>
      <c r="D615" s="822"/>
      <c r="F615" s="309"/>
    </row>
    <row r="616">
      <c r="B616" s="309"/>
      <c r="C616" s="252"/>
      <c r="D616" s="822"/>
      <c r="F616" s="309"/>
    </row>
    <row r="617">
      <c r="B617" s="309"/>
      <c r="C617" s="252"/>
      <c r="D617" s="822"/>
      <c r="F617" s="309"/>
    </row>
    <row r="618">
      <c r="B618" s="309"/>
      <c r="C618" s="252"/>
      <c r="D618" s="822"/>
      <c r="F618" s="309"/>
    </row>
    <row r="619">
      <c r="B619" s="309"/>
      <c r="C619" s="252"/>
      <c r="D619" s="822"/>
      <c r="F619" s="309"/>
    </row>
    <row r="620">
      <c r="B620" s="309"/>
      <c r="C620" s="252"/>
      <c r="D620" s="822"/>
      <c r="F620" s="309"/>
    </row>
    <row r="621">
      <c r="B621" s="309"/>
      <c r="C621" s="252"/>
      <c r="D621" s="822"/>
      <c r="F621" s="309"/>
    </row>
    <row r="622">
      <c r="B622" s="309"/>
      <c r="C622" s="252"/>
      <c r="D622" s="822"/>
      <c r="F622" s="309"/>
    </row>
    <row r="623">
      <c r="B623" s="309"/>
      <c r="C623" s="252"/>
      <c r="D623" s="822"/>
      <c r="F623" s="309"/>
    </row>
    <row r="624">
      <c r="B624" s="309"/>
      <c r="C624" s="252"/>
      <c r="D624" s="822"/>
      <c r="F624" s="309"/>
    </row>
    <row r="625">
      <c r="B625" s="309"/>
      <c r="C625" s="252"/>
      <c r="D625" s="822"/>
      <c r="F625" s="309"/>
    </row>
    <row r="626">
      <c r="B626" s="309"/>
      <c r="C626" s="252"/>
      <c r="D626" s="822"/>
      <c r="F626" s="309"/>
    </row>
    <row r="627">
      <c r="B627" s="309"/>
      <c r="C627" s="252"/>
      <c r="D627" s="822"/>
      <c r="F627" s="309"/>
    </row>
    <row r="628">
      <c r="B628" s="309"/>
      <c r="C628" s="252"/>
      <c r="D628" s="822"/>
      <c r="F628" s="309"/>
    </row>
    <row r="629">
      <c r="B629" s="309"/>
      <c r="C629" s="252"/>
      <c r="D629" s="822"/>
      <c r="F629" s="309"/>
    </row>
    <row r="630">
      <c r="B630" s="309"/>
      <c r="C630" s="252"/>
      <c r="D630" s="822"/>
      <c r="F630" s="309"/>
    </row>
    <row r="631">
      <c r="B631" s="309"/>
      <c r="C631" s="252"/>
      <c r="D631" s="822"/>
      <c r="F631" s="309"/>
    </row>
    <row r="632">
      <c r="B632" s="309"/>
      <c r="C632" s="252"/>
      <c r="D632" s="822"/>
      <c r="F632" s="309"/>
    </row>
    <row r="633">
      <c r="B633" s="309"/>
      <c r="C633" s="252"/>
      <c r="D633" s="822"/>
      <c r="F633" s="309"/>
    </row>
    <row r="634">
      <c r="B634" s="309"/>
      <c r="C634" s="252"/>
      <c r="D634" s="822"/>
      <c r="F634" s="309"/>
    </row>
    <row r="635">
      <c r="B635" s="309"/>
      <c r="C635" s="252"/>
      <c r="D635" s="822"/>
      <c r="F635" s="309"/>
    </row>
    <row r="636">
      <c r="B636" s="309"/>
      <c r="C636" s="252"/>
      <c r="D636" s="822"/>
      <c r="F636" s="309"/>
    </row>
    <row r="637">
      <c r="B637" s="309"/>
      <c r="C637" s="252"/>
      <c r="D637" s="822"/>
      <c r="F637" s="309"/>
    </row>
    <row r="638">
      <c r="B638" s="309"/>
      <c r="C638" s="252"/>
      <c r="D638" s="822"/>
      <c r="F638" s="309"/>
    </row>
    <row r="639">
      <c r="B639" s="309"/>
      <c r="C639" s="252"/>
      <c r="D639" s="822"/>
      <c r="F639" s="309"/>
    </row>
    <row r="640">
      <c r="B640" s="309"/>
      <c r="C640" s="252"/>
      <c r="D640" s="822"/>
      <c r="F640" s="309"/>
    </row>
    <row r="641">
      <c r="B641" s="309"/>
      <c r="C641" s="252"/>
      <c r="D641" s="822"/>
      <c r="F641" s="309"/>
    </row>
    <row r="642">
      <c r="B642" s="309"/>
      <c r="C642" s="252"/>
      <c r="D642" s="822"/>
      <c r="F642" s="309"/>
    </row>
    <row r="643">
      <c r="B643" s="309"/>
      <c r="C643" s="252"/>
      <c r="D643" s="822"/>
      <c r="F643" s="309"/>
    </row>
    <row r="644">
      <c r="B644" s="309"/>
      <c r="C644" s="252"/>
      <c r="D644" s="822"/>
      <c r="F644" s="309"/>
    </row>
    <row r="645">
      <c r="B645" s="309"/>
      <c r="C645" s="252"/>
      <c r="D645" s="822"/>
      <c r="F645" s="309"/>
    </row>
    <row r="646">
      <c r="B646" s="309"/>
      <c r="C646" s="252"/>
      <c r="D646" s="822"/>
      <c r="F646" s="309"/>
    </row>
    <row r="647">
      <c r="B647" s="309"/>
      <c r="C647" s="252"/>
      <c r="D647" s="822"/>
      <c r="F647" s="309"/>
    </row>
    <row r="648">
      <c r="B648" s="309"/>
      <c r="C648" s="252"/>
      <c r="D648" s="822"/>
      <c r="F648" s="309"/>
    </row>
    <row r="649">
      <c r="B649" s="309"/>
      <c r="C649" s="252"/>
      <c r="D649" s="822"/>
      <c r="F649" s="309"/>
    </row>
    <row r="650">
      <c r="B650" s="309"/>
      <c r="C650" s="252"/>
      <c r="D650" s="822"/>
      <c r="F650" s="309"/>
    </row>
    <row r="651">
      <c r="B651" s="309"/>
      <c r="C651" s="252"/>
      <c r="D651" s="822"/>
      <c r="F651" s="309"/>
    </row>
    <row r="652">
      <c r="B652" s="309"/>
      <c r="C652" s="252"/>
      <c r="D652" s="822"/>
      <c r="F652" s="309"/>
    </row>
    <row r="653">
      <c r="B653" s="309"/>
      <c r="C653" s="252"/>
      <c r="D653" s="822"/>
      <c r="F653" s="309"/>
    </row>
    <row r="654">
      <c r="B654" s="309"/>
      <c r="C654" s="252"/>
      <c r="D654" s="822"/>
      <c r="F654" s="309"/>
    </row>
    <row r="655">
      <c r="B655" s="309"/>
      <c r="C655" s="252"/>
      <c r="D655" s="822"/>
      <c r="F655" s="309"/>
    </row>
    <row r="656">
      <c r="B656" s="309"/>
      <c r="C656" s="252"/>
      <c r="D656" s="822"/>
      <c r="F656" s="309"/>
    </row>
    <row r="657">
      <c r="B657" s="309"/>
      <c r="C657" s="252"/>
      <c r="D657" s="822"/>
      <c r="F657" s="309"/>
    </row>
    <row r="658">
      <c r="B658" s="309"/>
      <c r="C658" s="252"/>
      <c r="D658" s="822"/>
      <c r="F658" s="309"/>
    </row>
    <row r="659">
      <c r="B659" s="309"/>
      <c r="C659" s="252"/>
      <c r="D659" s="822"/>
      <c r="F659" s="309"/>
    </row>
    <row r="660">
      <c r="B660" s="309"/>
      <c r="C660" s="252"/>
      <c r="D660" s="822"/>
      <c r="F660" s="309"/>
    </row>
    <row r="661">
      <c r="B661" s="309"/>
      <c r="C661" s="252"/>
      <c r="D661" s="822"/>
      <c r="F661" s="309"/>
    </row>
    <row r="662">
      <c r="B662" s="309"/>
      <c r="C662" s="252"/>
      <c r="D662" s="822"/>
      <c r="F662" s="309"/>
    </row>
    <row r="663">
      <c r="B663" s="309"/>
      <c r="C663" s="252"/>
      <c r="D663" s="822"/>
      <c r="F663" s="309"/>
    </row>
    <row r="664">
      <c r="B664" s="309"/>
      <c r="C664" s="252"/>
      <c r="D664" s="822"/>
      <c r="F664" s="309"/>
    </row>
    <row r="665">
      <c r="B665" s="309"/>
      <c r="C665" s="252"/>
      <c r="D665" s="822"/>
      <c r="F665" s="309"/>
    </row>
    <row r="666">
      <c r="B666" s="309"/>
      <c r="C666" s="252"/>
      <c r="D666" s="822"/>
      <c r="F666" s="309"/>
    </row>
    <row r="667">
      <c r="B667" s="309"/>
      <c r="C667" s="252"/>
      <c r="D667" s="822"/>
      <c r="F667" s="309"/>
    </row>
    <row r="668">
      <c r="B668" s="309"/>
      <c r="C668" s="252"/>
      <c r="D668" s="822"/>
      <c r="F668" s="309"/>
    </row>
    <row r="669">
      <c r="B669" s="309"/>
      <c r="C669" s="252"/>
      <c r="D669" s="822"/>
      <c r="F669" s="309"/>
    </row>
    <row r="670">
      <c r="B670" s="309"/>
      <c r="C670" s="252"/>
      <c r="D670" s="822"/>
      <c r="F670" s="309"/>
    </row>
    <row r="671">
      <c r="B671" s="309"/>
      <c r="C671" s="252"/>
      <c r="D671" s="822"/>
      <c r="F671" s="309"/>
    </row>
  </sheetData>
  <mergeCells count="33">
    <mergeCell ref="G1:H1"/>
    <mergeCell ref="A2:A11"/>
    <mergeCell ref="A12:A21"/>
    <mergeCell ref="A22:A34"/>
    <mergeCell ref="A35:A44"/>
    <mergeCell ref="A45:A54"/>
    <mergeCell ref="A55:A66"/>
    <mergeCell ref="A67:A76"/>
    <mergeCell ref="A77:A86"/>
    <mergeCell ref="A87:A97"/>
    <mergeCell ref="A98:A112"/>
    <mergeCell ref="A113:A122"/>
    <mergeCell ref="A123:A132"/>
    <mergeCell ref="A133:A142"/>
    <mergeCell ref="A143:A157"/>
    <mergeCell ref="A158:A167"/>
    <mergeCell ref="A168:A177"/>
    <mergeCell ref="A178:A189"/>
    <mergeCell ref="A190:A200"/>
    <mergeCell ref="A201:A214"/>
    <mergeCell ref="A215:A226"/>
    <mergeCell ref="A309:A318"/>
    <mergeCell ref="A319:A330"/>
    <mergeCell ref="A331:A342"/>
    <mergeCell ref="A343:A352"/>
    <mergeCell ref="A353:A362"/>
    <mergeCell ref="A227:A239"/>
    <mergeCell ref="A240:A249"/>
    <mergeCell ref="A250:A264"/>
    <mergeCell ref="A265:A275"/>
    <mergeCell ref="A276:A286"/>
    <mergeCell ref="A287:A297"/>
    <mergeCell ref="A298:A308"/>
  </mergeCell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936" t="s">
        <v>3714</v>
      </c>
      <c r="C1" s="409" t="s">
        <v>53</v>
      </c>
      <c r="D1" s="832" t="s">
        <v>2858</v>
      </c>
      <c r="E1" s="411" t="s">
        <v>55</v>
      </c>
      <c r="F1" s="412" t="s">
        <v>56</v>
      </c>
      <c r="G1" s="833" t="s">
        <v>2781</v>
      </c>
      <c r="H1" s="637"/>
      <c r="I1" s="411" t="s">
        <v>2782</v>
      </c>
    </row>
    <row r="2">
      <c r="A2" s="937">
        <v>44105.0</v>
      </c>
      <c r="B2" s="938">
        <f t="shared" ref="B2:B10" si="1">F2</f>
        <v>715</v>
      </c>
      <c r="C2" s="240"/>
      <c r="D2" s="824"/>
      <c r="E2" s="242"/>
      <c r="F2" s="243">
        <v>715.0</v>
      </c>
      <c r="G2" s="244" t="s">
        <v>708</v>
      </c>
      <c r="H2" s="244"/>
      <c r="I2" s="662"/>
    </row>
    <row r="3">
      <c r="A3" s="265"/>
      <c r="B3" s="938">
        <f t="shared" si="1"/>
        <v>3000</v>
      </c>
      <c r="C3" s="252"/>
      <c r="D3" s="822"/>
      <c r="F3" s="250">
        <v>3000.0</v>
      </c>
      <c r="G3" s="2" t="s">
        <v>64</v>
      </c>
      <c r="I3" s="847"/>
    </row>
    <row r="4">
      <c r="A4" s="265"/>
      <c r="B4" s="938">
        <f t="shared" si="1"/>
        <v>3070</v>
      </c>
      <c r="C4" s="252"/>
      <c r="D4" s="822"/>
      <c r="F4" s="250">
        <v>3070.0</v>
      </c>
      <c r="G4" s="2" t="s">
        <v>3329</v>
      </c>
      <c r="I4" s="847"/>
    </row>
    <row r="5">
      <c r="A5" s="265"/>
      <c r="B5" s="938" t="str">
        <f t="shared" si="1"/>
        <v/>
      </c>
      <c r="C5" s="248">
        <v>10684.68</v>
      </c>
      <c r="D5" s="822"/>
      <c r="F5" s="250"/>
      <c r="G5" s="2" t="s">
        <v>951</v>
      </c>
      <c r="I5" s="847"/>
    </row>
    <row r="6">
      <c r="A6" s="265"/>
      <c r="B6" s="938">
        <f t="shared" si="1"/>
        <v>700</v>
      </c>
      <c r="C6" s="252"/>
      <c r="D6" s="822"/>
      <c r="F6" s="250">
        <v>700.0</v>
      </c>
      <c r="G6" s="2" t="s">
        <v>3806</v>
      </c>
      <c r="I6" s="847"/>
    </row>
    <row r="7">
      <c r="A7" s="265"/>
      <c r="B7" s="938">
        <f t="shared" si="1"/>
        <v>1500</v>
      </c>
      <c r="C7" s="252"/>
      <c r="D7" s="822"/>
      <c r="F7" s="250">
        <v>1500.0</v>
      </c>
      <c r="G7" s="2" t="s">
        <v>3807</v>
      </c>
      <c r="H7" s="778"/>
      <c r="I7" s="847"/>
    </row>
    <row r="8">
      <c r="A8" s="265"/>
      <c r="B8" s="938">
        <f t="shared" si="1"/>
        <v>720</v>
      </c>
      <c r="C8" s="252"/>
      <c r="D8" s="822"/>
      <c r="F8" s="250">
        <v>720.0</v>
      </c>
      <c r="G8" s="2" t="s">
        <v>708</v>
      </c>
      <c r="I8" s="847"/>
    </row>
    <row r="9">
      <c r="A9" s="265"/>
      <c r="B9" s="938">
        <f t="shared" si="1"/>
        <v>284.2</v>
      </c>
      <c r="C9" s="252"/>
      <c r="D9" s="822"/>
      <c r="F9" s="250">
        <v>284.2</v>
      </c>
      <c r="G9" s="2" t="s">
        <v>708</v>
      </c>
      <c r="I9" s="847"/>
    </row>
    <row r="10">
      <c r="A10" s="265"/>
      <c r="B10" s="938">
        <f t="shared" si="1"/>
        <v>430</v>
      </c>
      <c r="C10" s="252"/>
      <c r="D10" s="822"/>
      <c r="F10" s="250">
        <v>430.0</v>
      </c>
      <c r="G10" s="2" t="s">
        <v>3536</v>
      </c>
      <c r="I10" s="847"/>
    </row>
    <row r="11">
      <c r="A11" s="270"/>
      <c r="B11" s="939">
        <f>SUM(B2:B10)</f>
        <v>10419.2</v>
      </c>
      <c r="C11" s="272"/>
      <c r="D11" s="823"/>
      <c r="E11" s="18"/>
      <c r="F11" s="274"/>
      <c r="G11" s="18"/>
      <c r="H11" s="18"/>
      <c r="I11" s="663"/>
    </row>
    <row r="12">
      <c r="A12" s="937">
        <v>44106.0</v>
      </c>
      <c r="B12" s="938">
        <f t="shared" ref="B12:B20" si="2">F12</f>
        <v>225</v>
      </c>
      <c r="C12" s="240"/>
      <c r="D12" s="824"/>
      <c r="E12" s="242"/>
      <c r="F12" s="243">
        <v>225.0</v>
      </c>
      <c r="G12" s="244" t="s">
        <v>708</v>
      </c>
      <c r="H12" s="244"/>
      <c r="I12" s="662"/>
    </row>
    <row r="13">
      <c r="A13" s="265"/>
      <c r="B13" s="938">
        <f t="shared" si="2"/>
        <v>463</v>
      </c>
      <c r="C13" s="252"/>
      <c r="D13" s="822"/>
      <c r="F13" s="250">
        <v>463.0</v>
      </c>
      <c r="G13" s="2" t="s">
        <v>708</v>
      </c>
      <c r="I13" s="847"/>
    </row>
    <row r="14">
      <c r="A14" s="265"/>
      <c r="B14" s="938">
        <f t="shared" si="2"/>
        <v>5155</v>
      </c>
      <c r="C14" s="252"/>
      <c r="D14" s="822"/>
      <c r="F14" s="250">
        <v>5155.0</v>
      </c>
      <c r="G14" s="2" t="s">
        <v>74</v>
      </c>
      <c r="I14" s="847"/>
    </row>
    <row r="15">
      <c r="A15" s="265"/>
      <c r="B15" s="938">
        <f t="shared" si="2"/>
        <v>2080</v>
      </c>
      <c r="C15" s="252"/>
      <c r="D15" s="822"/>
      <c r="F15" s="250">
        <v>2080.0</v>
      </c>
      <c r="G15" s="2" t="s">
        <v>79</v>
      </c>
      <c r="I15" s="847"/>
    </row>
    <row r="16">
      <c r="A16" s="265"/>
      <c r="B16" s="938" t="str">
        <f t="shared" si="2"/>
        <v/>
      </c>
      <c r="C16" s="252"/>
      <c r="D16" s="331">
        <v>714.48</v>
      </c>
      <c r="F16" s="250"/>
      <c r="G16" s="2" t="s">
        <v>3808</v>
      </c>
      <c r="I16" s="847"/>
    </row>
    <row r="17">
      <c r="A17" s="265"/>
      <c r="B17" s="938">
        <f t="shared" si="2"/>
        <v>500</v>
      </c>
      <c r="C17" s="252"/>
      <c r="D17" s="822"/>
      <c r="F17" s="250">
        <v>500.0</v>
      </c>
      <c r="G17" s="2" t="s">
        <v>3809</v>
      </c>
      <c r="I17" s="847"/>
    </row>
    <row r="18">
      <c r="A18" s="265"/>
      <c r="B18" s="938">
        <f t="shared" si="2"/>
        <v>30</v>
      </c>
      <c r="C18" s="252"/>
      <c r="D18" s="822"/>
      <c r="F18" s="250">
        <v>30.0</v>
      </c>
      <c r="G18" s="2" t="s">
        <v>708</v>
      </c>
      <c r="I18" s="847"/>
    </row>
    <row r="19">
      <c r="A19" s="265"/>
      <c r="B19" s="938">
        <f t="shared" si="2"/>
        <v>250</v>
      </c>
      <c r="C19" s="252"/>
      <c r="D19" s="822"/>
      <c r="F19" s="250">
        <v>250.0</v>
      </c>
      <c r="G19" s="2" t="s">
        <v>764</v>
      </c>
      <c r="H19" s="552"/>
      <c r="I19" s="847"/>
    </row>
    <row r="20">
      <c r="A20" s="265"/>
      <c r="B20" s="938" t="str">
        <f t="shared" si="2"/>
        <v/>
      </c>
      <c r="C20" s="252"/>
      <c r="D20" s="822"/>
      <c r="F20" s="250"/>
      <c r="I20" s="847"/>
    </row>
    <row r="21">
      <c r="A21" s="270"/>
      <c r="B21" s="939">
        <f>SUM(B12:B20)</f>
        <v>8703</v>
      </c>
      <c r="C21" s="272"/>
      <c r="D21" s="823"/>
      <c r="E21" s="18"/>
      <c r="F21" s="274"/>
      <c r="G21" s="18"/>
      <c r="H21" s="18"/>
      <c r="I21" s="663"/>
    </row>
    <row r="22">
      <c r="A22" s="305">
        <v>44107.0</v>
      </c>
      <c r="B22" s="940">
        <f t="shared" ref="B22:B33" si="3">F22</f>
        <v>1411</v>
      </c>
      <c r="C22" s="240"/>
      <c r="D22" s="824"/>
      <c r="E22" s="242"/>
      <c r="F22" s="243">
        <v>1411.0</v>
      </c>
      <c r="G22" s="244" t="s">
        <v>314</v>
      </c>
      <c r="H22" s="244"/>
      <c r="I22" s="662"/>
    </row>
    <row r="23">
      <c r="A23" s="265"/>
      <c r="B23" s="938" t="str">
        <f t="shared" si="3"/>
        <v/>
      </c>
      <c r="C23" s="252"/>
      <c r="D23" s="822"/>
      <c r="F23" s="250"/>
      <c r="I23" s="847"/>
    </row>
    <row r="24">
      <c r="A24" s="265"/>
      <c r="B24" s="938" t="str">
        <f t="shared" si="3"/>
        <v/>
      </c>
      <c r="C24" s="252"/>
      <c r="D24" s="822"/>
      <c r="F24" s="250"/>
      <c r="I24" s="847"/>
    </row>
    <row r="25">
      <c r="A25" s="265"/>
      <c r="B25" s="938">
        <f t="shared" si="3"/>
        <v>7000</v>
      </c>
      <c r="C25" s="252"/>
      <c r="D25" s="822"/>
      <c r="F25" s="250">
        <v>7000.0</v>
      </c>
      <c r="G25" s="2" t="s">
        <v>2787</v>
      </c>
      <c r="H25" s="942"/>
      <c r="I25" s="847"/>
    </row>
    <row r="26">
      <c r="A26" s="265"/>
      <c r="B26" s="938">
        <f t="shared" si="3"/>
        <v>7250</v>
      </c>
      <c r="C26" s="252"/>
      <c r="D26" s="822"/>
      <c r="F26" s="250">
        <v>7250.0</v>
      </c>
      <c r="G26" s="2" t="s">
        <v>3810</v>
      </c>
      <c r="H26" s="942"/>
      <c r="I26" s="847"/>
    </row>
    <row r="27">
      <c r="A27" s="265"/>
      <c r="B27" s="938">
        <f t="shared" si="3"/>
        <v>6050</v>
      </c>
      <c r="C27" s="252"/>
      <c r="D27" s="822"/>
      <c r="F27" s="250">
        <v>6050.0</v>
      </c>
      <c r="G27" s="2" t="s">
        <v>3811</v>
      </c>
      <c r="H27" s="942"/>
      <c r="I27" s="847"/>
    </row>
    <row r="28">
      <c r="A28" s="265"/>
      <c r="B28" s="938">
        <f t="shared" si="3"/>
        <v>3230</v>
      </c>
      <c r="C28" s="252"/>
      <c r="D28" s="822"/>
      <c r="F28" s="250">
        <v>3230.0</v>
      </c>
      <c r="G28" s="2" t="s">
        <v>3812</v>
      </c>
      <c r="H28" s="942"/>
      <c r="I28" s="847"/>
    </row>
    <row r="29">
      <c r="A29" s="265"/>
      <c r="B29" s="938">
        <f t="shared" si="3"/>
        <v>5800</v>
      </c>
      <c r="C29" s="252"/>
      <c r="D29" s="822"/>
      <c r="F29" s="250">
        <v>5800.0</v>
      </c>
      <c r="G29" s="2" t="s">
        <v>3813</v>
      </c>
      <c r="H29" s="942"/>
      <c r="I29" s="847"/>
    </row>
    <row r="30">
      <c r="A30" s="265"/>
      <c r="B30" s="938">
        <f t="shared" si="3"/>
        <v>5800</v>
      </c>
      <c r="C30" s="252"/>
      <c r="D30" s="822"/>
      <c r="F30" s="250">
        <v>5800.0</v>
      </c>
      <c r="G30" s="2" t="s">
        <v>3814</v>
      </c>
      <c r="H30" s="942"/>
      <c r="I30" s="847"/>
    </row>
    <row r="31">
      <c r="A31" s="265"/>
      <c r="B31" s="938">
        <f t="shared" si="3"/>
        <v>6000</v>
      </c>
      <c r="C31" s="252"/>
      <c r="D31" s="822"/>
      <c r="E31" s="2"/>
      <c r="F31" s="250">
        <v>6000.0</v>
      </c>
      <c r="G31" s="2" t="s">
        <v>3815</v>
      </c>
      <c r="H31" s="942"/>
      <c r="I31" s="847"/>
    </row>
    <row r="32">
      <c r="A32" s="265"/>
      <c r="B32" s="938">
        <f t="shared" si="3"/>
        <v>3750</v>
      </c>
      <c r="C32" s="252"/>
      <c r="D32" s="822"/>
      <c r="F32" s="250">
        <v>3750.0</v>
      </c>
      <c r="G32" s="2" t="s">
        <v>764</v>
      </c>
      <c r="H32" s="942"/>
      <c r="I32" s="847"/>
    </row>
    <row r="33">
      <c r="A33" s="265"/>
      <c r="B33" s="938">
        <f t="shared" si="3"/>
        <v>4200</v>
      </c>
      <c r="C33" s="252"/>
      <c r="D33" s="822"/>
      <c r="F33" s="250">
        <v>4200.0</v>
      </c>
      <c r="G33" s="2" t="s">
        <v>3816</v>
      </c>
      <c r="H33" s="942"/>
      <c r="I33" s="847"/>
    </row>
    <row r="34">
      <c r="A34" s="270"/>
      <c r="B34" s="939">
        <f>SUM(B22:B33)</f>
        <v>50491</v>
      </c>
      <c r="C34" s="272"/>
      <c r="D34" s="823"/>
      <c r="E34" s="18"/>
      <c r="F34" s="274"/>
      <c r="G34" s="18"/>
      <c r="H34" s="18"/>
      <c r="I34" s="663"/>
    </row>
    <row r="35">
      <c r="A35" s="305">
        <v>44108.0</v>
      </c>
      <c r="B35" s="940">
        <f t="shared" ref="B35:B43" si="4">F35</f>
        <v>430</v>
      </c>
      <c r="C35" s="240"/>
      <c r="D35" s="824"/>
      <c r="E35" s="242"/>
      <c r="F35" s="243">
        <v>430.0</v>
      </c>
      <c r="G35" s="244" t="s">
        <v>3817</v>
      </c>
      <c r="H35" s="244"/>
      <c r="I35" s="662"/>
    </row>
    <row r="36">
      <c r="A36" s="265"/>
      <c r="B36" s="938">
        <f t="shared" si="4"/>
        <v>500</v>
      </c>
      <c r="C36" s="252"/>
      <c r="D36" s="822"/>
      <c r="F36" s="250">
        <v>500.0</v>
      </c>
      <c r="G36" s="2" t="s">
        <v>3818</v>
      </c>
      <c r="H36" s="942"/>
      <c r="I36" s="847"/>
    </row>
    <row r="37">
      <c r="A37" s="265"/>
      <c r="B37" s="938">
        <f t="shared" si="4"/>
        <v>490</v>
      </c>
      <c r="C37" s="252"/>
      <c r="D37" s="822"/>
      <c r="F37" s="250">
        <v>490.0</v>
      </c>
      <c r="G37" s="2" t="s">
        <v>3819</v>
      </c>
      <c r="H37" s="942"/>
      <c r="I37" s="847"/>
    </row>
    <row r="38">
      <c r="A38" s="265"/>
      <c r="B38" s="938">
        <f t="shared" si="4"/>
        <v>1200</v>
      </c>
      <c r="C38" s="252"/>
      <c r="D38" s="822"/>
      <c r="F38" s="250">
        <v>1200.0</v>
      </c>
      <c r="G38" s="2" t="s">
        <v>3820</v>
      </c>
      <c r="H38" s="942"/>
      <c r="I38" s="847"/>
    </row>
    <row r="39">
      <c r="A39" s="265"/>
      <c r="B39" s="938" t="str">
        <f t="shared" si="4"/>
        <v/>
      </c>
      <c r="C39" s="252"/>
      <c r="D39" s="822"/>
      <c r="F39" s="250"/>
      <c r="I39" s="847"/>
    </row>
    <row r="40">
      <c r="A40" s="265"/>
      <c r="B40" s="938" t="str">
        <f t="shared" si="4"/>
        <v/>
      </c>
      <c r="C40" s="252"/>
      <c r="D40" s="822"/>
      <c r="F40" s="250"/>
      <c r="I40" s="847"/>
    </row>
    <row r="41">
      <c r="A41" s="265"/>
      <c r="B41" s="938" t="str">
        <f t="shared" si="4"/>
        <v/>
      </c>
      <c r="C41" s="252"/>
      <c r="D41" s="822"/>
      <c r="F41" s="250"/>
      <c r="I41" s="847"/>
    </row>
    <row r="42">
      <c r="A42" s="265"/>
      <c r="B42" s="938" t="str">
        <f t="shared" si="4"/>
        <v/>
      </c>
      <c r="C42" s="252"/>
      <c r="D42" s="822"/>
      <c r="F42" s="250"/>
      <c r="I42" s="847"/>
    </row>
    <row r="43">
      <c r="A43" s="265"/>
      <c r="B43" s="938" t="str">
        <f t="shared" si="4"/>
        <v/>
      </c>
      <c r="C43" s="252"/>
      <c r="D43" s="822"/>
      <c r="F43" s="250"/>
      <c r="I43" s="847"/>
    </row>
    <row r="44">
      <c r="A44" s="270"/>
      <c r="B44" s="939">
        <f>SUM(B35:B43)</f>
        <v>2620</v>
      </c>
      <c r="C44" s="272"/>
      <c r="D44" s="823"/>
      <c r="E44" s="18"/>
      <c r="F44" s="274"/>
      <c r="G44" s="18"/>
      <c r="H44" s="18"/>
      <c r="I44" s="663"/>
    </row>
    <row r="45">
      <c r="A45" s="305">
        <v>44109.0</v>
      </c>
      <c r="B45" s="940">
        <f t="shared" ref="B45:B53" si="5">F45</f>
        <v>3000</v>
      </c>
      <c r="C45" s="240"/>
      <c r="D45" s="824"/>
      <c r="E45" s="242"/>
      <c r="F45" s="243">
        <v>3000.0</v>
      </c>
      <c r="G45" s="244" t="s">
        <v>3731</v>
      </c>
      <c r="H45" s="244"/>
      <c r="I45" s="662"/>
    </row>
    <row r="46">
      <c r="A46" s="265"/>
      <c r="B46" s="938">
        <f t="shared" si="5"/>
        <v>1149</v>
      </c>
      <c r="C46" s="252"/>
      <c r="D46" s="822"/>
      <c r="F46" s="250">
        <v>1149.0</v>
      </c>
      <c r="G46" s="2" t="s">
        <v>314</v>
      </c>
      <c r="I46" s="847"/>
    </row>
    <row r="47">
      <c r="A47" s="265"/>
      <c r="B47" s="938">
        <f t="shared" si="5"/>
        <v>2945</v>
      </c>
      <c r="C47" s="252"/>
      <c r="D47" s="822"/>
      <c r="F47" s="250">
        <v>2945.0</v>
      </c>
      <c r="G47" s="2" t="s">
        <v>3821</v>
      </c>
      <c r="I47" s="847"/>
    </row>
    <row r="48">
      <c r="A48" s="265"/>
      <c r="B48" s="938">
        <f t="shared" si="5"/>
        <v>1250</v>
      </c>
      <c r="C48" s="252"/>
      <c r="D48" s="822"/>
      <c r="F48" s="250">
        <v>1250.0</v>
      </c>
      <c r="G48" s="2" t="s">
        <v>3087</v>
      </c>
      <c r="I48" s="847"/>
    </row>
    <row r="49">
      <c r="A49" s="265"/>
      <c r="B49" s="938">
        <f t="shared" si="5"/>
        <v>137</v>
      </c>
      <c r="C49" s="252"/>
      <c r="D49" s="822"/>
      <c r="F49" s="250">
        <v>137.0</v>
      </c>
      <c r="G49" s="2" t="s">
        <v>314</v>
      </c>
      <c r="I49" s="847"/>
    </row>
    <row r="50">
      <c r="A50" s="265"/>
      <c r="B50" s="938" t="str">
        <f t="shared" si="5"/>
        <v/>
      </c>
      <c r="C50" s="252"/>
      <c r="D50" s="822"/>
      <c r="F50" s="250"/>
      <c r="I50" s="847"/>
    </row>
    <row r="51">
      <c r="A51" s="265"/>
      <c r="B51" s="938" t="str">
        <f t="shared" si="5"/>
        <v/>
      </c>
      <c r="C51" s="252"/>
      <c r="D51" s="822"/>
      <c r="F51" s="250"/>
      <c r="I51" s="847"/>
    </row>
    <row r="52">
      <c r="A52" s="265"/>
      <c r="B52" s="938" t="str">
        <f t="shared" si="5"/>
        <v/>
      </c>
      <c r="C52" s="252"/>
      <c r="D52" s="822"/>
      <c r="F52" s="250"/>
      <c r="I52" s="847"/>
    </row>
    <row r="53">
      <c r="A53" s="265"/>
      <c r="B53" s="938" t="str">
        <f t="shared" si="5"/>
        <v/>
      </c>
      <c r="C53" s="252"/>
      <c r="D53" s="822"/>
      <c r="F53" s="250"/>
      <c r="I53" s="847"/>
    </row>
    <row r="54">
      <c r="A54" s="270"/>
      <c r="B54" s="939">
        <f>SUM(B45:B53)</f>
        <v>8481</v>
      </c>
      <c r="C54" s="272"/>
      <c r="D54" s="823"/>
      <c r="E54" s="18"/>
      <c r="F54" s="274"/>
      <c r="G54" s="18"/>
      <c r="H54" s="18"/>
      <c r="I54" s="663"/>
    </row>
    <row r="55">
      <c r="A55" s="305">
        <v>44110.0</v>
      </c>
      <c r="B55" s="940">
        <f t="shared" ref="B55:B63" si="6">F55</f>
        <v>5500</v>
      </c>
      <c r="C55" s="240"/>
      <c r="D55" s="824"/>
      <c r="E55" s="242"/>
      <c r="F55" s="243">
        <v>5500.0</v>
      </c>
      <c r="G55" s="244" t="s">
        <v>167</v>
      </c>
      <c r="H55" s="244"/>
      <c r="I55" s="662"/>
    </row>
    <row r="56">
      <c r="A56" s="265"/>
      <c r="B56" s="938">
        <f t="shared" si="6"/>
        <v>1828</v>
      </c>
      <c r="C56" s="252"/>
      <c r="D56" s="822"/>
      <c r="F56" s="250">
        <v>1828.0</v>
      </c>
      <c r="G56" s="2" t="s">
        <v>708</v>
      </c>
      <c r="I56" s="847"/>
    </row>
    <row r="57">
      <c r="A57" s="265"/>
      <c r="B57" s="938">
        <f t="shared" si="6"/>
        <v>1350</v>
      </c>
      <c r="C57" s="252"/>
      <c r="D57" s="822"/>
      <c r="F57" s="250">
        <v>1350.0</v>
      </c>
      <c r="G57" s="2" t="s">
        <v>139</v>
      </c>
      <c r="I57" s="847"/>
    </row>
    <row r="58">
      <c r="A58" s="265"/>
      <c r="B58" s="938">
        <f t="shared" si="6"/>
        <v>120</v>
      </c>
      <c r="C58" s="252"/>
      <c r="D58" s="822"/>
      <c r="F58" s="250">
        <v>120.0</v>
      </c>
      <c r="G58" s="2" t="s">
        <v>3324</v>
      </c>
      <c r="I58" s="847"/>
    </row>
    <row r="59">
      <c r="A59" s="265"/>
      <c r="B59" s="938" t="str">
        <f t="shared" si="6"/>
        <v/>
      </c>
      <c r="C59" s="248" t="s">
        <v>3822</v>
      </c>
      <c r="D59" s="822"/>
      <c r="F59" s="250"/>
      <c r="G59" s="2" t="s">
        <v>71</v>
      </c>
      <c r="I59" s="847"/>
    </row>
    <row r="60">
      <c r="A60" s="265"/>
      <c r="B60" s="938">
        <f t="shared" si="6"/>
        <v>1650</v>
      </c>
      <c r="C60" s="252"/>
      <c r="D60" s="822"/>
      <c r="F60" s="250">
        <v>1650.0</v>
      </c>
      <c r="G60" s="2" t="s">
        <v>3003</v>
      </c>
      <c r="I60" s="847"/>
    </row>
    <row r="61">
      <c r="A61" s="265"/>
      <c r="B61" s="938" t="str">
        <f t="shared" si="6"/>
        <v>3958.88</v>
      </c>
      <c r="C61" s="252"/>
      <c r="D61" s="822"/>
      <c r="F61" s="250" t="s">
        <v>3823</v>
      </c>
      <c r="G61" s="2" t="s">
        <v>3824</v>
      </c>
      <c r="I61" s="847"/>
    </row>
    <row r="62">
      <c r="A62" s="265"/>
      <c r="B62" s="938">
        <f t="shared" si="6"/>
        <v>131</v>
      </c>
      <c r="C62" s="252"/>
      <c r="D62" s="822"/>
      <c r="F62" s="250">
        <v>131.0</v>
      </c>
      <c r="G62" s="2" t="s">
        <v>288</v>
      </c>
      <c r="I62" s="847"/>
    </row>
    <row r="63">
      <c r="A63" s="265"/>
      <c r="B63" s="938">
        <f t="shared" si="6"/>
        <v>9000</v>
      </c>
      <c r="C63" s="252"/>
      <c r="D63" s="822"/>
      <c r="F63" s="250">
        <v>9000.0</v>
      </c>
      <c r="G63" s="2" t="s">
        <v>3237</v>
      </c>
      <c r="I63" s="847"/>
    </row>
    <row r="64">
      <c r="A64" s="265"/>
      <c r="B64" s="938"/>
      <c r="C64" s="252"/>
      <c r="D64" s="331">
        <v>9438.0</v>
      </c>
      <c r="F64" s="250"/>
      <c r="G64" s="2" t="s">
        <v>3825</v>
      </c>
      <c r="I64" s="847"/>
    </row>
    <row r="65">
      <c r="A65" s="265"/>
      <c r="B65" s="941"/>
      <c r="C65" s="252"/>
      <c r="D65" s="822"/>
      <c r="F65" s="282"/>
      <c r="I65" s="847"/>
    </row>
    <row r="66">
      <c r="A66" s="270"/>
      <c r="B66" s="939">
        <f>SUM(B55:B63)</f>
        <v>19579</v>
      </c>
      <c r="C66" s="272"/>
      <c r="D66" s="823"/>
      <c r="E66" s="18"/>
      <c r="F66" s="274"/>
      <c r="G66" s="18"/>
      <c r="H66" s="18"/>
      <c r="I66" s="663"/>
    </row>
    <row r="67">
      <c r="A67" s="305">
        <v>44111.0</v>
      </c>
      <c r="B67" s="940">
        <f t="shared" ref="B67:B75" si="7">F67</f>
        <v>9900</v>
      </c>
      <c r="C67" s="240"/>
      <c r="D67" s="824"/>
      <c r="E67" s="242"/>
      <c r="F67" s="243">
        <v>9900.0</v>
      </c>
      <c r="G67" s="244" t="s">
        <v>877</v>
      </c>
      <c r="H67" s="244"/>
      <c r="I67" s="662"/>
    </row>
    <row r="68">
      <c r="A68" s="265"/>
      <c r="B68" s="938" t="str">
        <f t="shared" si="7"/>
        <v/>
      </c>
      <c r="C68" s="248">
        <v>17390.0</v>
      </c>
      <c r="D68" s="822"/>
      <c r="F68" s="250"/>
      <c r="G68" s="2" t="s">
        <v>3826</v>
      </c>
      <c r="I68" s="847"/>
    </row>
    <row r="69">
      <c r="A69" s="265"/>
      <c r="B69" s="938">
        <f t="shared" si="7"/>
        <v>360</v>
      </c>
      <c r="C69" s="252"/>
      <c r="D69" s="822"/>
      <c r="F69" s="250">
        <v>360.0</v>
      </c>
      <c r="G69" s="2" t="s">
        <v>3014</v>
      </c>
      <c r="I69" s="847"/>
    </row>
    <row r="70">
      <c r="A70" s="265"/>
      <c r="B70" s="938">
        <f t="shared" si="7"/>
        <v>609</v>
      </c>
      <c r="C70" s="252"/>
      <c r="D70" s="822"/>
      <c r="F70" s="250">
        <v>609.0</v>
      </c>
      <c r="G70" s="2" t="s">
        <v>3827</v>
      </c>
      <c r="I70" s="847"/>
    </row>
    <row r="71">
      <c r="A71" s="265"/>
      <c r="B71" s="938">
        <f t="shared" si="7"/>
        <v>720</v>
      </c>
      <c r="C71" s="252"/>
      <c r="D71" s="822"/>
      <c r="F71" s="250">
        <v>720.0</v>
      </c>
      <c r="G71" s="2" t="s">
        <v>3827</v>
      </c>
      <c r="I71" s="847"/>
    </row>
    <row r="72">
      <c r="A72" s="265"/>
      <c r="B72" s="938">
        <f t="shared" si="7"/>
        <v>5800</v>
      </c>
      <c r="C72" s="252"/>
      <c r="D72" s="822"/>
      <c r="F72" s="250">
        <v>5800.0</v>
      </c>
      <c r="G72" s="2" t="s">
        <v>698</v>
      </c>
      <c r="I72" s="847"/>
    </row>
    <row r="73">
      <c r="A73" s="265"/>
      <c r="B73" s="938">
        <f t="shared" si="7"/>
        <v>149.5</v>
      </c>
      <c r="C73" s="252"/>
      <c r="D73" s="822"/>
      <c r="F73" s="250">
        <v>149.5</v>
      </c>
      <c r="G73" s="2" t="s">
        <v>3827</v>
      </c>
      <c r="I73" s="847"/>
    </row>
    <row r="74">
      <c r="A74" s="265"/>
      <c r="B74" s="938">
        <f t="shared" si="7"/>
        <v>300</v>
      </c>
      <c r="C74" s="252"/>
      <c r="D74" s="822"/>
      <c r="F74" s="250">
        <v>300.0</v>
      </c>
      <c r="G74" s="2" t="s">
        <v>3828</v>
      </c>
      <c r="I74" s="847"/>
    </row>
    <row r="75">
      <c r="A75" s="265"/>
      <c r="B75" s="938" t="str">
        <f t="shared" si="7"/>
        <v/>
      </c>
      <c r="C75" s="252"/>
      <c r="D75" s="822"/>
      <c r="F75" s="250"/>
      <c r="I75" s="847"/>
    </row>
    <row r="76">
      <c r="A76" s="270"/>
      <c r="B76" s="939">
        <f>SUM(B67:B75)</f>
        <v>17838.5</v>
      </c>
      <c r="C76" s="272"/>
      <c r="D76" s="823"/>
      <c r="E76" s="18"/>
      <c r="F76" s="274"/>
      <c r="G76" s="18"/>
      <c r="H76" s="18"/>
      <c r="I76" s="663"/>
    </row>
    <row r="77">
      <c r="A77" s="305">
        <v>44112.0</v>
      </c>
      <c r="B77" s="940" t="str">
        <f t="shared" ref="B77:B85" si="8">F77</f>
        <v/>
      </c>
      <c r="C77" s="263">
        <v>7824.15</v>
      </c>
      <c r="D77" s="824"/>
      <c r="E77" s="242"/>
      <c r="F77" s="243"/>
      <c r="G77" s="244" t="s">
        <v>84</v>
      </c>
      <c r="H77" s="244"/>
      <c r="I77" s="662"/>
    </row>
    <row r="78">
      <c r="A78" s="265"/>
      <c r="B78" s="938">
        <f t="shared" si="8"/>
        <v>840</v>
      </c>
      <c r="C78" s="252"/>
      <c r="D78" s="822"/>
      <c r="F78" s="250">
        <v>840.0</v>
      </c>
      <c r="G78" s="2" t="s">
        <v>708</v>
      </c>
      <c r="I78" s="847"/>
    </row>
    <row r="79">
      <c r="A79" s="265"/>
      <c r="B79" s="938">
        <f t="shared" si="8"/>
        <v>190</v>
      </c>
      <c r="C79" s="252"/>
      <c r="D79" s="822"/>
      <c r="F79" s="250">
        <v>190.0</v>
      </c>
      <c r="G79" s="2" t="s">
        <v>85</v>
      </c>
      <c r="I79" s="847"/>
    </row>
    <row r="80">
      <c r="A80" s="265"/>
      <c r="B80" s="938">
        <f t="shared" si="8"/>
        <v>6000</v>
      </c>
      <c r="C80" s="252"/>
      <c r="D80" s="822"/>
      <c r="F80" s="250">
        <v>6000.0</v>
      </c>
      <c r="G80" s="2" t="s">
        <v>3829</v>
      </c>
      <c r="I80" s="847"/>
    </row>
    <row r="81">
      <c r="A81" s="265"/>
      <c r="B81" s="938">
        <f t="shared" si="8"/>
        <v>6515</v>
      </c>
      <c r="C81" s="252"/>
      <c r="D81" s="822"/>
      <c r="F81" s="250">
        <v>6515.0</v>
      </c>
      <c r="G81" s="2" t="s">
        <v>3830</v>
      </c>
      <c r="I81" s="847"/>
    </row>
    <row r="82">
      <c r="A82" s="265"/>
      <c r="B82" s="938" t="str">
        <f t="shared" si="8"/>
        <v/>
      </c>
      <c r="C82" s="252"/>
      <c r="D82" s="822"/>
      <c r="F82" s="250"/>
      <c r="I82" s="847"/>
    </row>
    <row r="83">
      <c r="A83" s="265"/>
      <c r="B83" s="938" t="str">
        <f t="shared" si="8"/>
        <v/>
      </c>
      <c r="C83" s="252"/>
      <c r="D83" s="822"/>
      <c r="F83" s="250"/>
      <c r="I83" s="847"/>
    </row>
    <row r="84">
      <c r="A84" s="265"/>
      <c r="B84" s="938" t="str">
        <f t="shared" si="8"/>
        <v/>
      </c>
      <c r="C84" s="252"/>
      <c r="D84" s="822"/>
      <c r="F84" s="250"/>
      <c r="I84" s="847"/>
    </row>
    <row r="85">
      <c r="A85" s="265"/>
      <c r="B85" s="938" t="str">
        <f t="shared" si="8"/>
        <v/>
      </c>
      <c r="C85" s="252"/>
      <c r="D85" s="822"/>
      <c r="F85" s="250"/>
      <c r="I85" s="847"/>
    </row>
    <row r="86">
      <c r="A86" s="270"/>
      <c r="B86" s="939">
        <f>SUM(B77:B85)</f>
        <v>13545</v>
      </c>
      <c r="C86" s="272"/>
      <c r="D86" s="823"/>
      <c r="E86" s="18"/>
      <c r="F86" s="274"/>
      <c r="G86" s="18"/>
      <c r="H86" s="18"/>
      <c r="I86" s="663"/>
    </row>
    <row r="87">
      <c r="A87" s="305">
        <v>44113.0</v>
      </c>
      <c r="B87" s="940" t="str">
        <f t="shared" ref="B87:B94" si="9">F87</f>
        <v/>
      </c>
      <c r="C87" s="240"/>
      <c r="D87" s="821">
        <v>1438.0</v>
      </c>
      <c r="E87" s="242"/>
      <c r="F87" s="243"/>
      <c r="G87" s="244" t="s">
        <v>776</v>
      </c>
      <c r="H87" s="244"/>
      <c r="I87" s="662"/>
    </row>
    <row r="88">
      <c r="A88" s="265"/>
      <c r="B88" s="938">
        <f t="shared" si="9"/>
        <v>2122.75</v>
      </c>
      <c r="C88" s="252"/>
      <c r="D88" s="822"/>
      <c r="F88" s="250">
        <v>2122.75</v>
      </c>
      <c r="G88" s="2" t="s">
        <v>82</v>
      </c>
      <c r="I88" s="847"/>
    </row>
    <row r="89">
      <c r="A89" s="265"/>
      <c r="B89" s="938">
        <f t="shared" si="9"/>
        <v>3150</v>
      </c>
      <c r="C89" s="252"/>
      <c r="D89" s="822"/>
      <c r="F89" s="250">
        <v>3150.0</v>
      </c>
      <c r="G89" s="2" t="s">
        <v>421</v>
      </c>
      <c r="I89" s="847"/>
    </row>
    <row r="90">
      <c r="A90" s="265"/>
      <c r="B90" s="938">
        <f t="shared" si="9"/>
        <v>924.07</v>
      </c>
      <c r="C90" s="252"/>
      <c r="D90" s="822"/>
      <c r="F90" s="250">
        <v>924.07</v>
      </c>
      <c r="G90" s="2" t="s">
        <v>3831</v>
      </c>
      <c r="I90" s="847"/>
    </row>
    <row r="91">
      <c r="A91" s="265"/>
      <c r="B91" s="938">
        <f t="shared" si="9"/>
        <v>503.64</v>
      </c>
      <c r="C91" s="252"/>
      <c r="D91" s="822"/>
      <c r="F91" s="250">
        <v>503.64</v>
      </c>
      <c r="G91" s="2" t="s">
        <v>368</v>
      </c>
      <c r="I91" s="847"/>
    </row>
    <row r="92">
      <c r="A92" s="265"/>
      <c r="B92" s="938">
        <f t="shared" si="9"/>
        <v>10000</v>
      </c>
      <c r="C92" s="252"/>
      <c r="D92" s="822"/>
      <c r="F92" s="250">
        <v>10000.0</v>
      </c>
      <c r="G92" s="2" t="s">
        <v>3237</v>
      </c>
      <c r="I92" s="847"/>
    </row>
    <row r="93">
      <c r="A93" s="265"/>
      <c r="B93" s="938" t="str">
        <f t="shared" si="9"/>
        <v>METROGAS</v>
      </c>
      <c r="C93" s="252"/>
      <c r="D93" s="331">
        <v>6287.2</v>
      </c>
      <c r="F93" s="250" t="s">
        <v>2819</v>
      </c>
      <c r="I93" s="847"/>
    </row>
    <row r="94">
      <c r="A94" s="265"/>
      <c r="B94" s="938">
        <f t="shared" si="9"/>
        <v>1229</v>
      </c>
      <c r="C94" s="252"/>
      <c r="D94" s="822"/>
      <c r="F94" s="250">
        <v>1229.0</v>
      </c>
      <c r="G94" s="2" t="s">
        <v>1732</v>
      </c>
      <c r="I94" s="847"/>
    </row>
    <row r="95">
      <c r="A95" s="265"/>
      <c r="B95" s="938"/>
      <c r="C95" s="252"/>
      <c r="D95" s="822"/>
      <c r="F95" s="250">
        <v>5000.0</v>
      </c>
      <c r="G95" s="2" t="s">
        <v>3237</v>
      </c>
      <c r="I95" s="847"/>
    </row>
    <row r="96">
      <c r="A96" s="265"/>
      <c r="B96" s="938" t="str">
        <f>F96</f>
        <v/>
      </c>
      <c r="C96" s="252"/>
      <c r="D96" s="822"/>
      <c r="F96" s="250"/>
      <c r="I96" s="847"/>
    </row>
    <row r="97">
      <c r="A97" s="270"/>
      <c r="B97" s="939">
        <f>SUM(B87:B96)</f>
        <v>17929.46</v>
      </c>
      <c r="C97" s="272"/>
      <c r="D97" s="823"/>
      <c r="E97" s="18"/>
      <c r="F97" s="274"/>
      <c r="G97" s="18"/>
      <c r="H97" s="18"/>
      <c r="I97" s="663"/>
    </row>
    <row r="98">
      <c r="A98" s="305">
        <v>44114.0</v>
      </c>
      <c r="B98" s="940">
        <f t="shared" ref="B98:B106" si="10">F98</f>
        <v>925</v>
      </c>
      <c r="C98" s="240"/>
      <c r="D98" s="824"/>
      <c r="E98" s="242"/>
      <c r="F98" s="243">
        <v>925.0</v>
      </c>
      <c r="G98" s="244" t="s">
        <v>708</v>
      </c>
      <c r="H98" s="244"/>
      <c r="I98" s="662"/>
    </row>
    <row r="99">
      <c r="A99" s="265"/>
      <c r="B99" s="938">
        <f t="shared" si="10"/>
        <v>360</v>
      </c>
      <c r="C99" s="252"/>
      <c r="D99" s="822"/>
      <c r="F99" s="250">
        <v>360.0</v>
      </c>
      <c r="G99" s="2" t="s">
        <v>1750</v>
      </c>
      <c r="I99" s="847"/>
    </row>
    <row r="100">
      <c r="A100" s="265"/>
      <c r="B100" s="938" t="str">
        <f t="shared" si="10"/>
        <v/>
      </c>
      <c r="C100" s="252"/>
      <c r="D100" s="331">
        <v>975.0</v>
      </c>
      <c r="F100" s="250"/>
      <c r="G100" s="2" t="s">
        <v>717</v>
      </c>
      <c r="I100" s="847"/>
    </row>
    <row r="101">
      <c r="A101" s="265"/>
      <c r="B101" s="938">
        <f t="shared" si="10"/>
        <v>6000</v>
      </c>
      <c r="C101" s="252"/>
      <c r="D101" s="822"/>
      <c r="F101" s="250">
        <v>6000.0</v>
      </c>
      <c r="G101" s="2" t="s">
        <v>3832</v>
      </c>
      <c r="H101" s="778"/>
      <c r="I101" s="847"/>
    </row>
    <row r="102">
      <c r="A102" s="265"/>
      <c r="B102" s="938">
        <f t="shared" si="10"/>
        <v>2000</v>
      </c>
      <c r="C102" s="252"/>
      <c r="D102" s="822"/>
      <c r="F102" s="250">
        <v>2000.0</v>
      </c>
      <c r="G102" s="2" t="s">
        <v>3829</v>
      </c>
      <c r="I102" s="847"/>
    </row>
    <row r="103">
      <c r="A103" s="265"/>
      <c r="B103" s="938" t="str">
        <f t="shared" si="10"/>
        <v/>
      </c>
      <c r="C103" s="252"/>
      <c r="D103" s="822"/>
      <c r="F103" s="250"/>
      <c r="I103" s="847"/>
    </row>
    <row r="104">
      <c r="A104" s="265"/>
      <c r="B104" s="938" t="str">
        <f t="shared" si="10"/>
        <v/>
      </c>
      <c r="C104" s="252"/>
      <c r="D104" s="822"/>
      <c r="F104" s="250"/>
      <c r="I104" s="847"/>
    </row>
    <row r="105">
      <c r="A105" s="265"/>
      <c r="B105" s="938" t="str">
        <f t="shared" si="10"/>
        <v/>
      </c>
      <c r="C105" s="252"/>
      <c r="D105" s="822"/>
      <c r="F105" s="250"/>
      <c r="I105" s="847"/>
    </row>
    <row r="106">
      <c r="A106" s="265"/>
      <c r="B106" s="938" t="str">
        <f t="shared" si="10"/>
        <v/>
      </c>
      <c r="C106" s="252"/>
      <c r="D106" s="822"/>
      <c r="F106" s="250"/>
      <c r="I106" s="847"/>
    </row>
    <row r="107">
      <c r="A107" s="270"/>
      <c r="B107" s="939">
        <f>SUM(B98:B106)</f>
        <v>9285</v>
      </c>
      <c r="C107" s="272"/>
      <c r="D107" s="823"/>
      <c r="E107" s="18"/>
      <c r="F107" s="274"/>
      <c r="G107" s="18"/>
      <c r="H107" s="18"/>
      <c r="I107" s="663"/>
    </row>
    <row r="108">
      <c r="A108" s="305">
        <v>44115.0</v>
      </c>
      <c r="B108" s="940">
        <f t="shared" ref="B108:B116" si="11">F108</f>
        <v>5000</v>
      </c>
      <c r="C108" s="240"/>
      <c r="D108" s="824"/>
      <c r="E108" s="242"/>
      <c r="F108" s="243">
        <v>5000.0</v>
      </c>
      <c r="G108" s="244" t="s">
        <v>764</v>
      </c>
      <c r="H108" s="943"/>
      <c r="I108" s="662"/>
    </row>
    <row r="109">
      <c r="A109" s="265"/>
      <c r="B109" s="938">
        <f t="shared" si="11"/>
        <v>540</v>
      </c>
      <c r="C109" s="252"/>
      <c r="D109" s="822"/>
      <c r="F109" s="250">
        <v>540.0</v>
      </c>
      <c r="G109" s="2" t="s">
        <v>3833</v>
      </c>
      <c r="I109" s="847"/>
    </row>
    <row r="110">
      <c r="A110" s="265"/>
      <c r="B110" s="938">
        <f t="shared" si="11"/>
        <v>5000</v>
      </c>
      <c r="C110" s="252"/>
      <c r="D110" s="822"/>
      <c r="F110" s="250">
        <v>5000.0</v>
      </c>
      <c r="G110" s="2" t="s">
        <v>3237</v>
      </c>
      <c r="I110" s="847"/>
    </row>
    <row r="111">
      <c r="A111" s="265"/>
      <c r="B111" s="938" t="str">
        <f t="shared" si="11"/>
        <v/>
      </c>
      <c r="C111" s="252"/>
      <c r="D111" s="822"/>
      <c r="F111" s="250"/>
      <c r="I111" s="847"/>
    </row>
    <row r="112">
      <c r="A112" s="265"/>
      <c r="B112" s="938" t="str">
        <f t="shared" si="11"/>
        <v/>
      </c>
      <c r="C112" s="252"/>
      <c r="D112" s="822"/>
      <c r="F112" s="250"/>
      <c r="I112" s="847"/>
    </row>
    <row r="113">
      <c r="A113" s="265"/>
      <c r="B113" s="938" t="str">
        <f t="shared" si="11"/>
        <v/>
      </c>
      <c r="C113" s="252"/>
      <c r="D113" s="822"/>
      <c r="F113" s="250"/>
      <c r="I113" s="847"/>
    </row>
    <row r="114">
      <c r="A114" s="265"/>
      <c r="B114" s="938" t="str">
        <f t="shared" si="11"/>
        <v/>
      </c>
      <c r="C114" s="252"/>
      <c r="D114" s="822"/>
      <c r="F114" s="250"/>
      <c r="I114" s="847"/>
    </row>
    <row r="115">
      <c r="A115" s="265"/>
      <c r="B115" s="938" t="str">
        <f t="shared" si="11"/>
        <v/>
      </c>
      <c r="C115" s="252"/>
      <c r="D115" s="822"/>
      <c r="F115" s="250"/>
      <c r="I115" s="847"/>
    </row>
    <row r="116">
      <c r="A116" s="265"/>
      <c r="B116" s="938" t="str">
        <f t="shared" si="11"/>
        <v/>
      </c>
      <c r="C116" s="252"/>
      <c r="D116" s="822"/>
      <c r="F116" s="250"/>
      <c r="I116" s="847"/>
    </row>
    <row r="117">
      <c r="A117" s="270"/>
      <c r="B117" s="939">
        <f>SUM(B108:B116)</f>
        <v>10540</v>
      </c>
      <c r="C117" s="272"/>
      <c r="D117" s="823"/>
      <c r="E117" s="18"/>
      <c r="F117" s="274"/>
      <c r="G117" s="18"/>
      <c r="H117" s="18"/>
      <c r="I117" s="663"/>
    </row>
    <row r="118">
      <c r="A118" s="305">
        <v>44116.0</v>
      </c>
      <c r="B118" s="940">
        <f t="shared" ref="B118:B126" si="12">F118</f>
        <v>90</v>
      </c>
      <c r="C118" s="240"/>
      <c r="D118" s="824"/>
      <c r="E118" s="242"/>
      <c r="F118" s="243">
        <v>90.0</v>
      </c>
      <c r="G118" s="244" t="s">
        <v>708</v>
      </c>
      <c r="H118" s="244"/>
      <c r="I118" s="662"/>
    </row>
    <row r="119">
      <c r="A119" s="265"/>
      <c r="B119" s="938">
        <f t="shared" si="12"/>
        <v>1088</v>
      </c>
      <c r="C119" s="252"/>
      <c r="D119" s="822"/>
      <c r="F119" s="250">
        <v>1088.0</v>
      </c>
      <c r="G119" s="2" t="s">
        <v>708</v>
      </c>
      <c r="I119" s="847"/>
    </row>
    <row r="120">
      <c r="A120" s="265"/>
      <c r="B120" s="938">
        <f t="shared" si="12"/>
        <v>134</v>
      </c>
      <c r="C120" s="252"/>
      <c r="D120" s="822"/>
      <c r="F120" s="250">
        <v>134.0</v>
      </c>
      <c r="G120" s="2" t="s">
        <v>708</v>
      </c>
      <c r="I120" s="847"/>
    </row>
    <row r="121">
      <c r="A121" s="265"/>
      <c r="B121" s="938">
        <f t="shared" si="12"/>
        <v>1650</v>
      </c>
      <c r="C121" s="252"/>
      <c r="D121" s="822"/>
      <c r="F121" s="250">
        <v>1650.0</v>
      </c>
      <c r="G121" s="2" t="s">
        <v>3834</v>
      </c>
      <c r="I121" s="847"/>
    </row>
    <row r="122">
      <c r="A122" s="265"/>
      <c r="B122" s="938" t="str">
        <f t="shared" si="12"/>
        <v/>
      </c>
      <c r="C122" s="252"/>
      <c r="D122" s="822"/>
      <c r="F122" s="250"/>
      <c r="I122" s="847"/>
    </row>
    <row r="123">
      <c r="A123" s="265"/>
      <c r="B123" s="938" t="str">
        <f t="shared" si="12"/>
        <v/>
      </c>
      <c r="C123" s="252"/>
      <c r="D123" s="822"/>
      <c r="F123" s="250"/>
      <c r="I123" s="847"/>
    </row>
    <row r="124">
      <c r="A124" s="265"/>
      <c r="B124" s="938" t="str">
        <f t="shared" si="12"/>
        <v/>
      </c>
      <c r="C124" s="252"/>
      <c r="D124" s="822"/>
      <c r="F124" s="250"/>
      <c r="I124" s="847"/>
    </row>
    <row r="125">
      <c r="A125" s="265"/>
      <c r="B125" s="938" t="str">
        <f t="shared" si="12"/>
        <v/>
      </c>
      <c r="C125" s="252"/>
      <c r="D125" s="822"/>
      <c r="F125" s="250"/>
      <c r="I125" s="847"/>
    </row>
    <row r="126">
      <c r="A126" s="265"/>
      <c r="B126" s="938" t="str">
        <f t="shared" si="12"/>
        <v/>
      </c>
      <c r="C126" s="252"/>
      <c r="D126" s="822"/>
      <c r="F126" s="250"/>
      <c r="I126" s="847"/>
    </row>
    <row r="127">
      <c r="A127" s="270"/>
      <c r="B127" s="939">
        <f>SUM(B118:B126)</f>
        <v>2962</v>
      </c>
      <c r="C127" s="272"/>
      <c r="D127" s="823"/>
      <c r="E127" s="18"/>
      <c r="F127" s="274"/>
      <c r="G127" s="18"/>
      <c r="H127" s="18"/>
      <c r="I127" s="663"/>
    </row>
    <row r="128">
      <c r="A128" s="305">
        <v>44117.0</v>
      </c>
      <c r="B128" s="940">
        <f t="shared" ref="B128:B136" si="13">F128</f>
        <v>1350</v>
      </c>
      <c r="C128" s="240"/>
      <c r="D128" s="824"/>
      <c r="E128" s="242"/>
      <c r="F128" s="243">
        <v>1350.0</v>
      </c>
      <c r="G128" s="244" t="s">
        <v>68</v>
      </c>
      <c r="H128" s="244"/>
      <c r="I128" s="662"/>
    </row>
    <row r="129">
      <c r="A129" s="265"/>
      <c r="B129" s="938">
        <f t="shared" si="13"/>
        <v>1587.86</v>
      </c>
      <c r="C129" s="252"/>
      <c r="D129" s="822"/>
      <c r="F129" s="250">
        <v>1587.86</v>
      </c>
      <c r="G129" s="2" t="s">
        <v>708</v>
      </c>
      <c r="I129" s="847"/>
    </row>
    <row r="130">
      <c r="A130" s="265"/>
      <c r="B130" s="938" t="str">
        <f t="shared" si="13"/>
        <v/>
      </c>
      <c r="C130" s="248">
        <v>9204.2</v>
      </c>
      <c r="D130" s="822"/>
      <c r="F130" s="250"/>
      <c r="G130" s="2" t="s">
        <v>71</v>
      </c>
      <c r="I130" s="847"/>
    </row>
    <row r="131">
      <c r="A131" s="265"/>
      <c r="B131" s="938">
        <f t="shared" si="13"/>
        <v>4056</v>
      </c>
      <c r="C131" s="252"/>
      <c r="D131" s="822"/>
      <c r="F131" s="250">
        <v>4056.0</v>
      </c>
      <c r="G131" s="2" t="s">
        <v>74</v>
      </c>
      <c r="I131" s="847"/>
    </row>
    <row r="132">
      <c r="A132" s="265"/>
      <c r="B132" s="938">
        <f t="shared" si="13"/>
        <v>5000</v>
      </c>
      <c r="C132" s="252"/>
      <c r="D132" s="822"/>
      <c r="F132" s="250">
        <v>5000.0</v>
      </c>
      <c r="G132" s="2" t="s">
        <v>3237</v>
      </c>
      <c r="I132" s="847"/>
    </row>
    <row r="133">
      <c r="A133" s="265"/>
      <c r="B133" s="938">
        <f t="shared" si="13"/>
        <v>600</v>
      </c>
      <c r="C133" s="252"/>
      <c r="D133" s="822"/>
      <c r="F133" s="250">
        <v>600.0</v>
      </c>
      <c r="G133" s="2" t="s">
        <v>3374</v>
      </c>
      <c r="H133" s="552"/>
      <c r="I133" s="847"/>
    </row>
    <row r="134">
      <c r="A134" s="265"/>
      <c r="B134" s="938" t="str">
        <f t="shared" si="13"/>
        <v/>
      </c>
      <c r="C134" s="252"/>
      <c r="D134" s="331">
        <v>18150.0</v>
      </c>
      <c r="F134" s="250"/>
      <c r="G134" s="2" t="s">
        <v>3835</v>
      </c>
      <c r="I134" s="847"/>
    </row>
    <row r="135">
      <c r="A135" s="265"/>
      <c r="B135" s="938" t="str">
        <f t="shared" si="13"/>
        <v/>
      </c>
      <c r="C135" s="252"/>
      <c r="D135" s="822"/>
      <c r="F135" s="250"/>
      <c r="I135" s="847"/>
    </row>
    <row r="136">
      <c r="A136" s="265"/>
      <c r="B136" s="938" t="str">
        <f t="shared" si="13"/>
        <v/>
      </c>
      <c r="C136" s="252"/>
      <c r="D136" s="822"/>
      <c r="F136" s="250"/>
      <c r="I136" s="847"/>
    </row>
    <row r="137">
      <c r="A137" s="270"/>
      <c r="B137" s="939">
        <f>SUM(B128:B136)</f>
        <v>12593.86</v>
      </c>
      <c r="C137" s="272"/>
      <c r="D137" s="823"/>
      <c r="E137" s="18"/>
      <c r="F137" s="274"/>
      <c r="G137" s="18"/>
      <c r="H137" s="18"/>
      <c r="I137" s="663"/>
    </row>
    <row r="138">
      <c r="A138" s="305">
        <v>44118.0</v>
      </c>
      <c r="B138" s="940" t="str">
        <f t="shared" ref="B138:B148" si="14">F138</f>
        <v/>
      </c>
      <c r="C138" s="240"/>
      <c r="D138" s="821">
        <v>3450.0</v>
      </c>
      <c r="E138" s="242"/>
      <c r="F138" s="243"/>
      <c r="G138" s="244" t="s">
        <v>3836</v>
      </c>
      <c r="H138" s="244"/>
      <c r="I138" s="662"/>
    </row>
    <row r="139">
      <c r="A139" s="265"/>
      <c r="B139" s="938" t="str">
        <f t="shared" si="14"/>
        <v/>
      </c>
      <c r="C139" s="252"/>
      <c r="D139" s="331">
        <v>1529.59</v>
      </c>
      <c r="F139" s="250"/>
      <c r="G139" s="2" t="s">
        <v>3837</v>
      </c>
      <c r="I139" s="847"/>
    </row>
    <row r="140">
      <c r="A140" s="265"/>
      <c r="B140" s="938" t="str">
        <f t="shared" si="14"/>
        <v/>
      </c>
      <c r="C140" s="252"/>
      <c r="D140" s="331">
        <v>1579.26</v>
      </c>
      <c r="F140" s="250"/>
      <c r="G140" s="2" t="s">
        <v>3838</v>
      </c>
      <c r="I140" s="847"/>
    </row>
    <row r="141">
      <c r="A141" s="265"/>
      <c r="B141" s="938">
        <f t="shared" si="14"/>
        <v>2348.33</v>
      </c>
      <c r="C141" s="252"/>
      <c r="D141" s="822"/>
      <c r="F141" s="250">
        <v>2348.33</v>
      </c>
      <c r="G141" s="2" t="s">
        <v>2748</v>
      </c>
      <c r="I141" s="847"/>
    </row>
    <row r="142">
      <c r="A142" s="265"/>
      <c r="B142" s="938">
        <f t="shared" si="14"/>
        <v>2216.87</v>
      </c>
      <c r="C142" s="252"/>
      <c r="D142" s="822"/>
      <c r="F142" s="250">
        <v>2216.87</v>
      </c>
      <c r="G142" s="2" t="s">
        <v>58</v>
      </c>
      <c r="I142" s="847"/>
    </row>
    <row r="143">
      <c r="A143" s="265"/>
      <c r="B143" s="938">
        <f t="shared" si="14"/>
        <v>2720</v>
      </c>
      <c r="C143" s="252"/>
      <c r="D143" s="822"/>
      <c r="F143" s="250">
        <v>2720.0</v>
      </c>
      <c r="G143" s="2" t="s">
        <v>3839</v>
      </c>
      <c r="I143" s="847"/>
    </row>
    <row r="144">
      <c r="A144" s="265"/>
      <c r="B144" s="938">
        <f t="shared" si="14"/>
        <v>2149</v>
      </c>
      <c r="C144" s="252"/>
      <c r="D144" s="822"/>
      <c r="F144" s="250">
        <v>2149.0</v>
      </c>
      <c r="G144" s="2" t="s">
        <v>2456</v>
      </c>
      <c r="I144" s="847"/>
    </row>
    <row r="145">
      <c r="A145" s="265"/>
      <c r="B145" s="938">
        <f t="shared" si="14"/>
        <v>1500</v>
      </c>
      <c r="C145" s="252"/>
      <c r="D145" s="822"/>
      <c r="F145" s="250">
        <v>1500.0</v>
      </c>
      <c r="G145" s="2" t="s">
        <v>2673</v>
      </c>
      <c r="I145" s="847"/>
    </row>
    <row r="146">
      <c r="A146" s="265"/>
      <c r="B146" s="938">
        <f t="shared" si="14"/>
        <v>3375</v>
      </c>
      <c r="C146" s="252"/>
      <c r="D146" s="822"/>
      <c r="F146" s="250">
        <v>3375.0</v>
      </c>
      <c r="G146" s="2" t="s">
        <v>64</v>
      </c>
      <c r="I146" s="847"/>
    </row>
    <row r="147">
      <c r="A147" s="265"/>
      <c r="B147" s="938">
        <f t="shared" si="14"/>
        <v>1361</v>
      </c>
      <c r="C147" s="252"/>
      <c r="D147" s="822"/>
      <c r="F147" s="250">
        <v>1361.0</v>
      </c>
      <c r="G147" s="2" t="s">
        <v>314</v>
      </c>
      <c r="I147" s="847"/>
    </row>
    <row r="148">
      <c r="A148" s="265"/>
      <c r="B148" s="938">
        <f t="shared" si="14"/>
        <v>2020</v>
      </c>
      <c r="C148" s="252"/>
      <c r="D148" s="822"/>
      <c r="F148" s="250">
        <v>2020.0</v>
      </c>
      <c r="G148" s="2" t="s">
        <v>3287</v>
      </c>
      <c r="I148" s="847"/>
    </row>
    <row r="149">
      <c r="A149" s="265"/>
      <c r="B149" s="938"/>
      <c r="C149" s="252"/>
      <c r="D149" s="822"/>
      <c r="F149" s="250">
        <v>190.0</v>
      </c>
      <c r="G149" s="2" t="s">
        <v>85</v>
      </c>
      <c r="I149" s="847"/>
    </row>
    <row r="150">
      <c r="A150" s="265"/>
      <c r="B150" s="938"/>
      <c r="C150" s="252"/>
      <c r="D150" s="822"/>
      <c r="F150" s="250"/>
      <c r="G150" s="2"/>
      <c r="I150" s="847"/>
    </row>
    <row r="151">
      <c r="A151" s="265"/>
      <c r="B151" s="938"/>
      <c r="C151" s="252"/>
      <c r="D151" s="822"/>
      <c r="F151" s="250"/>
      <c r="G151" s="2"/>
      <c r="I151" s="847"/>
    </row>
    <row r="152">
      <c r="A152" s="270"/>
      <c r="B152" s="939">
        <f>SUM(B138:B150)</f>
        <v>17690.2</v>
      </c>
      <c r="C152" s="272"/>
      <c r="D152" s="823"/>
      <c r="E152" s="18"/>
      <c r="F152" s="259"/>
      <c r="G152" s="293"/>
      <c r="H152" s="18"/>
      <c r="I152" s="663"/>
    </row>
    <row r="153">
      <c r="A153" s="305">
        <v>44119.0</v>
      </c>
      <c r="B153" s="940">
        <f t="shared" ref="B153:B161" si="15">F153</f>
        <v>6000</v>
      </c>
      <c r="C153" s="240"/>
      <c r="D153" s="824"/>
      <c r="E153" s="242"/>
      <c r="F153" s="243">
        <v>6000.0</v>
      </c>
      <c r="G153" s="244" t="s">
        <v>3840</v>
      </c>
      <c r="H153" s="778"/>
      <c r="I153" s="244" t="s">
        <v>3841</v>
      </c>
    </row>
    <row r="154">
      <c r="A154" s="265"/>
      <c r="B154" s="938">
        <f t="shared" si="15"/>
        <v>2850</v>
      </c>
      <c r="C154" s="252"/>
      <c r="D154" s="822"/>
      <c r="F154" s="250">
        <v>2850.0</v>
      </c>
      <c r="G154" s="2" t="s">
        <v>76</v>
      </c>
      <c r="I154" s="847"/>
    </row>
    <row r="155">
      <c r="A155" s="265"/>
      <c r="B155" s="938">
        <f t="shared" si="15"/>
        <v>1460.87</v>
      </c>
      <c r="C155" s="252"/>
      <c r="D155" s="822"/>
      <c r="F155" s="250">
        <v>1460.87</v>
      </c>
      <c r="G155" s="2" t="s">
        <v>708</v>
      </c>
      <c r="I155" s="847"/>
    </row>
    <row r="156">
      <c r="A156" s="265"/>
      <c r="B156" s="938">
        <f t="shared" si="15"/>
        <v>1300</v>
      </c>
      <c r="C156" s="252"/>
      <c r="D156" s="822"/>
      <c r="F156" s="250">
        <v>1300.0</v>
      </c>
      <c r="G156" s="2" t="s">
        <v>3842</v>
      </c>
      <c r="I156" s="847"/>
    </row>
    <row r="157">
      <c r="A157" s="265"/>
      <c r="B157" s="938">
        <f t="shared" si="15"/>
        <v>231</v>
      </c>
      <c r="C157" s="252"/>
      <c r="D157" s="822"/>
      <c r="F157" s="250">
        <v>231.0</v>
      </c>
      <c r="G157" s="2" t="s">
        <v>708</v>
      </c>
      <c r="I157" s="847"/>
    </row>
    <row r="158">
      <c r="A158" s="265"/>
      <c r="B158" s="938">
        <f t="shared" si="15"/>
        <v>380</v>
      </c>
      <c r="C158" s="252"/>
      <c r="D158" s="822"/>
      <c r="F158" s="250">
        <v>380.0</v>
      </c>
      <c r="G158" s="2" t="s">
        <v>143</v>
      </c>
      <c r="I158" s="847"/>
    </row>
    <row r="159">
      <c r="A159" s="265"/>
      <c r="B159" s="938" t="str">
        <f t="shared" si="15"/>
        <v/>
      </c>
      <c r="C159" s="252"/>
      <c r="D159" s="822"/>
      <c r="F159" s="250"/>
      <c r="I159" s="847"/>
    </row>
    <row r="160">
      <c r="A160" s="265"/>
      <c r="B160" s="938" t="str">
        <f t="shared" si="15"/>
        <v/>
      </c>
      <c r="C160" s="252"/>
      <c r="D160" s="822"/>
      <c r="F160" s="250"/>
      <c r="I160" s="847"/>
    </row>
    <row r="161">
      <c r="A161" s="265"/>
      <c r="B161" s="938" t="str">
        <f t="shared" si="15"/>
        <v/>
      </c>
      <c r="C161" s="252"/>
      <c r="D161" s="822"/>
      <c r="F161" s="250"/>
      <c r="I161" s="847"/>
    </row>
    <row r="162">
      <c r="A162" s="270"/>
      <c r="B162" s="939">
        <f>SUM(B153:B161)</f>
        <v>12221.87</v>
      </c>
      <c r="C162" s="272"/>
      <c r="D162" s="823"/>
      <c r="E162" s="18"/>
      <c r="F162" s="274"/>
      <c r="G162" s="18"/>
      <c r="H162" s="18"/>
      <c r="I162" s="663"/>
    </row>
    <row r="163">
      <c r="A163" s="305">
        <v>44120.0</v>
      </c>
      <c r="B163" s="940" t="str">
        <f t="shared" ref="B163:B171" si="16">F163</f>
        <v/>
      </c>
      <c r="C163" s="263">
        <v>4119.99</v>
      </c>
      <c r="D163" s="824"/>
      <c r="E163" s="242"/>
      <c r="F163" s="243"/>
      <c r="G163" s="244" t="s">
        <v>71</v>
      </c>
      <c r="H163" s="244"/>
      <c r="I163" s="662"/>
    </row>
    <row r="164">
      <c r="A164" s="265"/>
      <c r="B164" s="938">
        <f t="shared" si="16"/>
        <v>1751.31</v>
      </c>
      <c r="C164" s="252"/>
      <c r="D164" s="822"/>
      <c r="F164" s="250">
        <v>1751.31</v>
      </c>
      <c r="G164" s="2" t="s">
        <v>314</v>
      </c>
      <c r="I164" s="847"/>
    </row>
    <row r="165">
      <c r="A165" s="265"/>
      <c r="B165" s="938">
        <f t="shared" si="16"/>
        <v>1274.88</v>
      </c>
      <c r="C165" s="252"/>
      <c r="D165" s="822"/>
      <c r="F165" s="250">
        <v>1274.88</v>
      </c>
      <c r="G165" s="2" t="s">
        <v>58</v>
      </c>
      <c r="I165" s="847"/>
    </row>
    <row r="166">
      <c r="A166" s="265"/>
      <c r="B166" s="938">
        <f t="shared" si="16"/>
        <v>2524.56</v>
      </c>
      <c r="C166" s="252"/>
      <c r="D166" s="822"/>
      <c r="F166" s="250">
        <v>2524.56</v>
      </c>
      <c r="G166" s="2" t="s">
        <v>3799</v>
      </c>
      <c r="I166" s="847"/>
    </row>
    <row r="167">
      <c r="A167" s="265"/>
      <c r="B167" s="938" t="str">
        <f t="shared" si="16"/>
        <v/>
      </c>
      <c r="C167" s="252"/>
      <c r="D167" s="331">
        <v>710.0</v>
      </c>
      <c r="F167" s="250"/>
      <c r="G167" s="2" t="s">
        <v>3843</v>
      </c>
      <c r="I167" s="847"/>
    </row>
    <row r="168">
      <c r="A168" s="265"/>
      <c r="B168" s="938">
        <f t="shared" si="16"/>
        <v>6000</v>
      </c>
      <c r="C168" s="252"/>
      <c r="D168" s="822"/>
      <c r="F168" s="250">
        <v>6000.0</v>
      </c>
      <c r="G168" s="2" t="s">
        <v>3135</v>
      </c>
      <c r="I168" s="847"/>
    </row>
    <row r="169">
      <c r="A169" s="265"/>
      <c r="B169" s="938">
        <f t="shared" si="16"/>
        <v>4570</v>
      </c>
      <c r="C169" s="252"/>
      <c r="D169" s="822"/>
      <c r="F169" s="250">
        <v>4570.0</v>
      </c>
      <c r="G169" s="2" t="s">
        <v>3844</v>
      </c>
      <c r="I169" s="847"/>
    </row>
    <row r="170">
      <c r="A170" s="265"/>
      <c r="B170" s="938" t="str">
        <f t="shared" si="16"/>
        <v/>
      </c>
      <c r="C170" s="252"/>
      <c r="D170" s="331">
        <v>2102.35</v>
      </c>
      <c r="F170" s="250"/>
      <c r="G170" s="2" t="s">
        <v>84</v>
      </c>
      <c r="I170" s="847"/>
    </row>
    <row r="171">
      <c r="A171" s="265"/>
      <c r="B171" s="938" t="str">
        <f t="shared" si="16"/>
        <v/>
      </c>
      <c r="C171" s="252"/>
      <c r="D171" s="822"/>
      <c r="F171" s="250"/>
      <c r="I171" s="847"/>
    </row>
    <row r="172">
      <c r="A172" s="270"/>
      <c r="B172" s="939">
        <f>SUM(B163:B171)</f>
        <v>16120.75</v>
      </c>
      <c r="C172" s="272"/>
      <c r="D172" s="823"/>
      <c r="E172" s="18"/>
      <c r="F172" s="274"/>
      <c r="G172" s="18"/>
      <c r="H172" s="18"/>
      <c r="I172" s="663"/>
    </row>
    <row r="173">
      <c r="A173" s="305">
        <v>44121.0</v>
      </c>
      <c r="B173" s="940">
        <f t="shared" ref="B173:B181" si="17">F173</f>
        <v>720</v>
      </c>
      <c r="C173" s="240"/>
      <c r="D173" s="824"/>
      <c r="E173" s="242"/>
      <c r="F173" s="243">
        <v>720.0</v>
      </c>
      <c r="G173" s="244" t="s">
        <v>708</v>
      </c>
      <c r="H173" s="244"/>
      <c r="I173" s="662"/>
    </row>
    <row r="174">
      <c r="A174" s="265"/>
      <c r="B174" s="938" t="str">
        <f t="shared" si="17"/>
        <v/>
      </c>
      <c r="C174" s="252"/>
      <c r="D174" s="331">
        <v>3400.0</v>
      </c>
      <c r="F174" s="250"/>
      <c r="G174" s="2" t="s">
        <v>3138</v>
      </c>
      <c r="I174" s="847"/>
    </row>
    <row r="175">
      <c r="A175" s="265"/>
      <c r="B175" s="938">
        <f t="shared" si="17"/>
        <v>7900</v>
      </c>
      <c r="C175" s="252"/>
      <c r="D175" s="822"/>
      <c r="F175" s="250">
        <v>7900.0</v>
      </c>
      <c r="G175" s="2" t="s">
        <v>2787</v>
      </c>
      <c r="H175" s="942"/>
      <c r="I175" s="847"/>
    </row>
    <row r="176">
      <c r="A176" s="265"/>
      <c r="B176" s="938">
        <f t="shared" si="17"/>
        <v>6520</v>
      </c>
      <c r="C176" s="252"/>
      <c r="D176" s="822"/>
      <c r="F176" s="250">
        <v>6520.0</v>
      </c>
      <c r="G176" s="2" t="s">
        <v>3845</v>
      </c>
      <c r="H176" s="942"/>
      <c r="I176" s="847"/>
    </row>
    <row r="177">
      <c r="A177" s="265"/>
      <c r="B177" s="938">
        <f t="shared" si="17"/>
        <v>5050</v>
      </c>
      <c r="C177" s="252"/>
      <c r="D177" s="822"/>
      <c r="F177" s="250">
        <v>5050.0</v>
      </c>
      <c r="G177" s="2" t="s">
        <v>3811</v>
      </c>
      <c r="H177" s="942"/>
      <c r="I177" s="847"/>
    </row>
    <row r="178">
      <c r="A178" s="265"/>
      <c r="B178" s="938">
        <f t="shared" si="17"/>
        <v>2850</v>
      </c>
      <c r="C178" s="252"/>
      <c r="D178" s="822"/>
      <c r="F178" s="250">
        <v>2850.0</v>
      </c>
      <c r="G178" s="2" t="s">
        <v>3846</v>
      </c>
      <c r="H178" s="942"/>
      <c r="I178" s="847"/>
    </row>
    <row r="179">
      <c r="A179" s="265"/>
      <c r="B179" s="938">
        <f t="shared" si="17"/>
        <v>4300</v>
      </c>
      <c r="C179" s="252"/>
      <c r="D179" s="822"/>
      <c r="F179" s="250">
        <v>4300.0</v>
      </c>
      <c r="G179" s="2" t="s">
        <v>3847</v>
      </c>
      <c r="H179" s="942"/>
      <c r="I179" s="847"/>
    </row>
    <row r="180">
      <c r="A180" s="265"/>
      <c r="B180" s="938">
        <f t="shared" si="17"/>
        <v>4300</v>
      </c>
      <c r="C180" s="252"/>
      <c r="D180" s="822"/>
      <c r="F180" s="250">
        <v>4300.0</v>
      </c>
      <c r="G180" s="2" t="s">
        <v>3848</v>
      </c>
      <c r="H180" s="942"/>
      <c r="I180" s="847"/>
    </row>
    <row r="181">
      <c r="A181" s="265"/>
      <c r="B181" s="938">
        <f t="shared" si="17"/>
        <v>5000</v>
      </c>
      <c r="C181" s="252"/>
      <c r="D181" s="822"/>
      <c r="F181" s="250">
        <v>5000.0</v>
      </c>
      <c r="G181" s="2" t="s">
        <v>764</v>
      </c>
      <c r="H181" s="942"/>
      <c r="I181" s="847"/>
    </row>
    <row r="182">
      <c r="A182" s="265"/>
      <c r="B182" s="941"/>
      <c r="C182" s="252"/>
      <c r="D182" s="822"/>
      <c r="F182" s="250">
        <v>13000.0</v>
      </c>
      <c r="G182" s="2" t="s">
        <v>3849</v>
      </c>
      <c r="I182" s="847"/>
    </row>
    <row r="183">
      <c r="A183" s="265"/>
      <c r="B183" s="941"/>
      <c r="C183" s="252"/>
      <c r="D183" s="822"/>
      <c r="F183" s="282"/>
      <c r="I183" s="847"/>
    </row>
    <row r="184">
      <c r="A184" s="270"/>
      <c r="B184" s="939">
        <f>SUM(B173:B181)</f>
        <v>36640</v>
      </c>
      <c r="C184" s="272"/>
      <c r="D184" s="823"/>
      <c r="E184" s="18"/>
      <c r="F184" s="274"/>
      <c r="G184" s="18"/>
      <c r="H184" s="18"/>
      <c r="I184" s="663"/>
    </row>
    <row r="185">
      <c r="A185" s="305">
        <v>44122.0</v>
      </c>
      <c r="B185" s="940">
        <f t="shared" ref="B185:B193" si="18">F185</f>
        <v>150</v>
      </c>
      <c r="C185" s="240"/>
      <c r="D185" s="824"/>
      <c r="E185" s="242"/>
      <c r="F185" s="243">
        <v>150.0</v>
      </c>
      <c r="G185" s="244" t="s">
        <v>3850</v>
      </c>
      <c r="H185" s="244"/>
      <c r="I185" s="662"/>
    </row>
    <row r="186">
      <c r="A186" s="265"/>
      <c r="B186" s="938">
        <f t="shared" si="18"/>
        <v>720</v>
      </c>
      <c r="C186" s="252"/>
      <c r="D186" s="822"/>
      <c r="F186" s="250">
        <v>720.0</v>
      </c>
      <c r="G186" s="2" t="s">
        <v>708</v>
      </c>
      <c r="I186" s="847"/>
    </row>
    <row r="187">
      <c r="A187" s="265"/>
      <c r="B187" s="938">
        <f t="shared" si="18"/>
        <v>7000</v>
      </c>
      <c r="C187" s="252"/>
      <c r="D187" s="822"/>
      <c r="F187" s="250">
        <v>7000.0</v>
      </c>
      <c r="G187" s="2" t="s">
        <v>3851</v>
      </c>
      <c r="I187" s="847"/>
    </row>
    <row r="188">
      <c r="A188" s="265"/>
      <c r="B188" s="938" t="str">
        <f t="shared" si="18"/>
        <v/>
      </c>
      <c r="C188" s="252"/>
      <c r="D188" s="822"/>
      <c r="F188" s="250"/>
      <c r="I188" s="847"/>
    </row>
    <row r="189">
      <c r="A189" s="265"/>
      <c r="B189" s="938" t="str">
        <f t="shared" si="18"/>
        <v/>
      </c>
      <c r="C189" s="252"/>
      <c r="D189" s="822"/>
      <c r="F189" s="250"/>
      <c r="I189" s="847"/>
    </row>
    <row r="190">
      <c r="A190" s="265"/>
      <c r="B190" s="938" t="str">
        <f t="shared" si="18"/>
        <v/>
      </c>
      <c r="C190" s="252"/>
      <c r="D190" s="822"/>
      <c r="F190" s="250"/>
      <c r="I190" s="847"/>
    </row>
    <row r="191">
      <c r="A191" s="265"/>
      <c r="B191" s="938" t="str">
        <f t="shared" si="18"/>
        <v/>
      </c>
      <c r="C191" s="252"/>
      <c r="D191" s="822"/>
      <c r="F191" s="250"/>
      <c r="I191" s="847"/>
    </row>
    <row r="192">
      <c r="A192" s="265"/>
      <c r="B192" s="938" t="str">
        <f t="shared" si="18"/>
        <v/>
      </c>
      <c r="C192" s="252"/>
      <c r="D192" s="822"/>
      <c r="F192" s="250"/>
      <c r="I192" s="847"/>
    </row>
    <row r="193">
      <c r="A193" s="265"/>
      <c r="B193" s="938" t="str">
        <f t="shared" si="18"/>
        <v/>
      </c>
      <c r="C193" s="252"/>
      <c r="D193" s="822"/>
      <c r="F193" s="250"/>
      <c r="I193" s="847"/>
    </row>
    <row r="194">
      <c r="A194" s="270"/>
      <c r="B194" s="939">
        <f>SUM(B185:B193)</f>
        <v>7870</v>
      </c>
      <c r="C194" s="272"/>
      <c r="D194" s="823"/>
      <c r="E194" s="18"/>
      <c r="F194" s="274"/>
      <c r="G194" s="18"/>
      <c r="H194" s="18"/>
      <c r="I194" s="663"/>
    </row>
    <row r="195">
      <c r="A195" s="305">
        <v>44123.0</v>
      </c>
      <c r="B195" s="940">
        <f t="shared" ref="B195:B203" si="19">F195</f>
        <v>1482</v>
      </c>
      <c r="C195" s="240"/>
      <c r="D195" s="824"/>
      <c r="E195" s="242"/>
      <c r="F195" s="243">
        <v>1482.0</v>
      </c>
      <c r="G195" s="244" t="s">
        <v>708</v>
      </c>
      <c r="H195" s="244"/>
      <c r="I195" s="662"/>
    </row>
    <row r="196">
      <c r="A196" s="265"/>
      <c r="B196" s="938">
        <f t="shared" si="19"/>
        <v>162</v>
      </c>
      <c r="C196" s="252"/>
      <c r="D196" s="822"/>
      <c r="F196" s="250">
        <v>162.0</v>
      </c>
      <c r="G196" s="2" t="s">
        <v>708</v>
      </c>
      <c r="I196" s="847"/>
    </row>
    <row r="197">
      <c r="A197" s="265"/>
      <c r="B197" s="938" t="str">
        <f t="shared" si="19"/>
        <v/>
      </c>
      <c r="C197" s="252"/>
      <c r="D197" s="822"/>
      <c r="F197" s="250"/>
      <c r="I197" s="847"/>
    </row>
    <row r="198">
      <c r="A198" s="265"/>
      <c r="B198" s="938" t="str">
        <f t="shared" si="19"/>
        <v/>
      </c>
      <c r="C198" s="252"/>
      <c r="D198" s="822"/>
      <c r="F198" s="250"/>
      <c r="I198" s="847"/>
    </row>
    <row r="199">
      <c r="A199" s="265"/>
      <c r="B199" s="938" t="str">
        <f t="shared" si="19"/>
        <v/>
      </c>
      <c r="C199" s="252"/>
      <c r="D199" s="822"/>
      <c r="F199" s="250"/>
      <c r="I199" s="847"/>
    </row>
    <row r="200">
      <c r="A200" s="265"/>
      <c r="B200" s="938" t="str">
        <f t="shared" si="19"/>
        <v/>
      </c>
      <c r="C200" s="252"/>
      <c r="D200" s="822"/>
      <c r="F200" s="250"/>
      <c r="I200" s="847"/>
    </row>
    <row r="201">
      <c r="A201" s="265"/>
      <c r="B201" s="938" t="str">
        <f t="shared" si="19"/>
        <v/>
      </c>
      <c r="C201" s="252"/>
      <c r="D201" s="822"/>
      <c r="F201" s="250"/>
      <c r="I201" s="847"/>
    </row>
    <row r="202">
      <c r="A202" s="265"/>
      <c r="B202" s="938" t="str">
        <f t="shared" si="19"/>
        <v/>
      </c>
      <c r="C202" s="252"/>
      <c r="D202" s="822"/>
      <c r="F202" s="250"/>
      <c r="I202" s="847"/>
    </row>
    <row r="203">
      <c r="A203" s="265"/>
      <c r="B203" s="938" t="str">
        <f t="shared" si="19"/>
        <v/>
      </c>
      <c r="C203" s="252"/>
      <c r="D203" s="822"/>
      <c r="F203" s="250"/>
      <c r="I203" s="847"/>
    </row>
    <row r="204">
      <c r="A204" s="270"/>
      <c r="B204" s="939">
        <f>SUM(B195:B203)</f>
        <v>1644</v>
      </c>
      <c r="C204" s="272"/>
      <c r="D204" s="823"/>
      <c r="E204" s="18"/>
      <c r="F204" s="274"/>
      <c r="G204" s="18"/>
      <c r="H204" s="18"/>
      <c r="I204" s="663"/>
    </row>
    <row r="205">
      <c r="A205" s="305">
        <v>44124.0</v>
      </c>
      <c r="B205" s="940">
        <f t="shared" ref="B205:B212" si="20">F205</f>
        <v>415</v>
      </c>
      <c r="C205" s="240"/>
      <c r="D205" s="824"/>
      <c r="E205" s="242"/>
      <c r="F205" s="243">
        <v>415.0</v>
      </c>
      <c r="G205" s="244" t="s">
        <v>708</v>
      </c>
      <c r="H205" s="244"/>
      <c r="I205" s="662"/>
    </row>
    <row r="206">
      <c r="A206" s="265"/>
      <c r="B206" s="938">
        <f t="shared" si="20"/>
        <v>3000</v>
      </c>
      <c r="C206" s="252"/>
      <c r="D206" s="822"/>
      <c r="F206" s="250">
        <v>3000.0</v>
      </c>
      <c r="G206" s="2" t="s">
        <v>87</v>
      </c>
      <c r="I206" s="847"/>
    </row>
    <row r="207">
      <c r="A207" s="265"/>
      <c r="B207" s="938">
        <f t="shared" si="20"/>
        <v>1350</v>
      </c>
      <c r="C207" s="252"/>
      <c r="D207" s="822"/>
      <c r="F207" s="250">
        <v>1350.0</v>
      </c>
      <c r="G207" s="2" t="s">
        <v>68</v>
      </c>
      <c r="I207" s="847"/>
    </row>
    <row r="208">
      <c r="A208" s="265"/>
      <c r="B208" s="938">
        <f t="shared" si="20"/>
        <v>7634</v>
      </c>
      <c r="C208" s="252"/>
      <c r="D208" s="822"/>
      <c r="F208" s="250">
        <v>7634.0</v>
      </c>
      <c r="G208" s="2" t="s">
        <v>91</v>
      </c>
      <c r="I208" s="847"/>
    </row>
    <row r="209">
      <c r="A209" s="265"/>
      <c r="B209" s="938">
        <f t="shared" si="20"/>
        <v>1200</v>
      </c>
      <c r="C209" s="252"/>
      <c r="D209" s="822"/>
      <c r="F209" s="250">
        <v>1200.0</v>
      </c>
      <c r="G209" s="2" t="s">
        <v>708</v>
      </c>
      <c r="I209" s="847"/>
    </row>
    <row r="210">
      <c r="A210" s="265"/>
      <c r="B210" s="938" t="str">
        <f t="shared" si="20"/>
        <v/>
      </c>
      <c r="C210" s="248">
        <v>12749.5</v>
      </c>
      <c r="D210" s="822"/>
      <c r="F210" s="250"/>
      <c r="G210" s="2" t="s">
        <v>71</v>
      </c>
      <c r="I210" s="847"/>
    </row>
    <row r="211">
      <c r="A211" s="265"/>
      <c r="B211" s="938">
        <f t="shared" si="20"/>
        <v>133</v>
      </c>
      <c r="C211" s="252"/>
      <c r="D211" s="822"/>
      <c r="F211" s="250">
        <v>133.0</v>
      </c>
      <c r="G211" s="2" t="s">
        <v>227</v>
      </c>
      <c r="I211" s="847"/>
    </row>
    <row r="212">
      <c r="A212" s="265"/>
      <c r="B212" s="938">
        <f t="shared" si="20"/>
        <v>109</v>
      </c>
      <c r="C212" s="252"/>
      <c r="D212" s="822"/>
      <c r="F212" s="250">
        <v>109.0</v>
      </c>
      <c r="G212" s="2" t="s">
        <v>708</v>
      </c>
      <c r="I212" s="847"/>
    </row>
    <row r="213">
      <c r="A213" s="265"/>
      <c r="B213" s="938"/>
      <c r="C213" s="252"/>
      <c r="D213" s="822"/>
      <c r="F213" s="250">
        <v>5060.0</v>
      </c>
      <c r="G213" s="2" t="s">
        <v>3852</v>
      </c>
      <c r="I213" s="847"/>
    </row>
    <row r="214">
      <c r="A214" s="265"/>
      <c r="B214" s="938" t="str">
        <f>F214</f>
        <v/>
      </c>
      <c r="C214" s="252"/>
      <c r="D214" s="822"/>
      <c r="F214" s="250"/>
      <c r="I214" s="847"/>
    </row>
    <row r="215">
      <c r="A215" s="270"/>
      <c r="B215" s="939">
        <f>SUM(B205:B214)</f>
        <v>13841</v>
      </c>
      <c r="C215" s="272"/>
      <c r="D215" s="823"/>
      <c r="E215" s="18"/>
      <c r="F215" s="274"/>
      <c r="G215" s="18"/>
      <c r="H215" s="18"/>
      <c r="I215" s="663"/>
    </row>
    <row r="216">
      <c r="A216" s="305">
        <v>44125.0</v>
      </c>
      <c r="B216" s="940" t="str">
        <f t="shared" ref="B216:B224" si="21">F216</f>
        <v/>
      </c>
      <c r="C216" s="240"/>
      <c r="D216" s="821">
        <v>595.0</v>
      </c>
      <c r="E216" s="242"/>
      <c r="F216" s="243"/>
      <c r="G216" s="244" t="s">
        <v>717</v>
      </c>
      <c r="H216" s="244"/>
      <c r="I216" s="662"/>
    </row>
    <row r="217">
      <c r="A217" s="265"/>
      <c r="B217" s="938">
        <f t="shared" si="21"/>
        <v>2720</v>
      </c>
      <c r="C217" s="252"/>
      <c r="D217" s="822"/>
      <c r="F217" s="250">
        <v>2720.0</v>
      </c>
      <c r="G217" s="2" t="s">
        <v>877</v>
      </c>
      <c r="I217" s="847"/>
    </row>
    <row r="218">
      <c r="A218" s="265"/>
      <c r="B218" s="938">
        <f t="shared" si="21"/>
        <v>871.2</v>
      </c>
      <c r="C218" s="252"/>
      <c r="D218" s="822"/>
      <c r="F218" s="250">
        <v>871.2</v>
      </c>
      <c r="G218" s="2" t="s">
        <v>708</v>
      </c>
      <c r="I218" s="847"/>
    </row>
    <row r="219">
      <c r="A219" s="265"/>
      <c r="B219" s="938">
        <f t="shared" si="21"/>
        <v>1586</v>
      </c>
      <c r="C219" s="252"/>
      <c r="D219" s="822"/>
      <c r="F219" s="250">
        <v>1586.0</v>
      </c>
      <c r="G219" s="2" t="s">
        <v>82</v>
      </c>
      <c r="I219" s="847"/>
    </row>
    <row r="220">
      <c r="A220" s="265"/>
      <c r="B220" s="938">
        <f t="shared" si="21"/>
        <v>3000</v>
      </c>
      <c r="C220" s="252"/>
      <c r="D220" s="822"/>
      <c r="F220" s="250">
        <v>3000.0</v>
      </c>
      <c r="G220" s="2" t="s">
        <v>76</v>
      </c>
      <c r="I220" s="847"/>
    </row>
    <row r="221">
      <c r="A221" s="265"/>
      <c r="B221" s="938">
        <f t="shared" si="21"/>
        <v>1000</v>
      </c>
      <c r="C221" s="252"/>
      <c r="D221" s="822"/>
      <c r="F221" s="250">
        <v>1000.0</v>
      </c>
      <c r="G221" s="2" t="s">
        <v>3374</v>
      </c>
      <c r="H221" s="942"/>
      <c r="I221" s="847"/>
    </row>
    <row r="222">
      <c r="A222" s="265"/>
      <c r="B222" s="938">
        <f t="shared" si="21"/>
        <v>6700</v>
      </c>
      <c r="C222" s="252"/>
      <c r="D222" s="822"/>
      <c r="F222" s="250">
        <v>6700.0</v>
      </c>
      <c r="G222" s="2" t="s">
        <v>167</v>
      </c>
      <c r="I222" s="847"/>
    </row>
    <row r="223">
      <c r="A223" s="265"/>
      <c r="B223" s="938">
        <f t="shared" si="21"/>
        <v>2600</v>
      </c>
      <c r="C223" s="252"/>
      <c r="D223" s="822"/>
      <c r="F223" s="250">
        <v>2600.0</v>
      </c>
      <c r="G223" s="2" t="s">
        <v>3853</v>
      </c>
      <c r="I223" s="847"/>
    </row>
    <row r="224">
      <c r="A224" s="265"/>
      <c r="B224" s="938" t="str">
        <f t="shared" si="21"/>
        <v/>
      </c>
      <c r="C224" s="252"/>
      <c r="D224" s="822"/>
      <c r="F224" s="250"/>
      <c r="I224" s="847"/>
    </row>
    <row r="225">
      <c r="A225" s="270"/>
      <c r="B225" s="939">
        <f>SUM(B216:B224)</f>
        <v>18477.2</v>
      </c>
      <c r="C225" s="272"/>
      <c r="D225" s="823"/>
      <c r="E225" s="18"/>
      <c r="F225" s="274"/>
      <c r="G225" s="18"/>
      <c r="H225" s="18"/>
      <c r="I225" s="663"/>
    </row>
    <row r="226">
      <c r="A226" s="305">
        <v>44126.0</v>
      </c>
      <c r="B226" s="940" t="str">
        <f t="shared" ref="B226:B234" si="22">F226</f>
        <v/>
      </c>
      <c r="C226" s="263">
        <v>14310.19</v>
      </c>
      <c r="D226" s="824"/>
      <c r="E226" s="242"/>
      <c r="F226" s="243"/>
      <c r="G226" s="244" t="s">
        <v>84</v>
      </c>
      <c r="H226" s="244"/>
      <c r="I226" s="662"/>
    </row>
    <row r="227">
      <c r="A227" s="265"/>
      <c r="B227" s="938">
        <f t="shared" si="22"/>
        <v>2710.18</v>
      </c>
      <c r="C227" s="252"/>
      <c r="D227" s="822"/>
      <c r="F227" s="250">
        <v>2710.18</v>
      </c>
      <c r="G227" s="2" t="s">
        <v>77</v>
      </c>
      <c r="I227" s="847"/>
    </row>
    <row r="228">
      <c r="A228" s="265"/>
      <c r="B228" s="938">
        <f t="shared" si="22"/>
        <v>1355.07</v>
      </c>
      <c r="C228" s="252"/>
      <c r="D228" s="822"/>
      <c r="F228" s="250">
        <v>1355.07</v>
      </c>
      <c r="G228" s="2" t="s">
        <v>2623</v>
      </c>
      <c r="I228" s="847"/>
    </row>
    <row r="229">
      <c r="A229" s="265"/>
      <c r="B229" s="938">
        <f t="shared" si="22"/>
        <v>1625.51</v>
      </c>
      <c r="C229" s="252"/>
      <c r="D229" s="822"/>
      <c r="F229" s="250">
        <v>1625.51</v>
      </c>
      <c r="G229" s="2" t="s">
        <v>708</v>
      </c>
      <c r="I229" s="847"/>
    </row>
    <row r="230">
      <c r="A230" s="265"/>
      <c r="B230" s="938" t="str">
        <f t="shared" si="22"/>
        <v/>
      </c>
      <c r="C230" s="252"/>
      <c r="D230" s="822"/>
      <c r="F230" s="250"/>
      <c r="I230" s="847"/>
    </row>
    <row r="231">
      <c r="A231" s="265"/>
      <c r="B231" s="938" t="str">
        <f t="shared" si="22"/>
        <v/>
      </c>
      <c r="C231" s="252"/>
      <c r="D231" s="822"/>
      <c r="F231" s="250"/>
      <c r="I231" s="847"/>
    </row>
    <row r="232">
      <c r="A232" s="265"/>
      <c r="B232" s="938" t="str">
        <f t="shared" si="22"/>
        <v/>
      </c>
      <c r="C232" s="252"/>
      <c r="D232" s="822"/>
      <c r="F232" s="250"/>
      <c r="I232" s="847"/>
    </row>
    <row r="233">
      <c r="A233" s="265"/>
      <c r="B233" s="938" t="str">
        <f t="shared" si="22"/>
        <v/>
      </c>
      <c r="C233" s="252"/>
      <c r="D233" s="822"/>
      <c r="F233" s="250"/>
      <c r="I233" s="847"/>
    </row>
    <row r="234">
      <c r="A234" s="265"/>
      <c r="B234" s="938" t="str">
        <f t="shared" si="22"/>
        <v/>
      </c>
      <c r="C234" s="252"/>
      <c r="D234" s="822"/>
      <c r="F234" s="250"/>
      <c r="I234" s="847"/>
    </row>
    <row r="235">
      <c r="A235" s="270"/>
      <c r="B235" s="939">
        <f>SUM(B226:B234)</f>
        <v>5690.76</v>
      </c>
      <c r="C235" s="272"/>
      <c r="D235" s="823"/>
      <c r="E235" s="18"/>
      <c r="F235" s="274"/>
      <c r="G235" s="18"/>
      <c r="H235" s="18"/>
      <c r="I235" s="663"/>
    </row>
    <row r="236">
      <c r="A236" s="305">
        <v>44127.0</v>
      </c>
      <c r="B236" s="940">
        <f t="shared" ref="B236:B249" si="23">F236</f>
        <v>1810</v>
      </c>
      <c r="C236" s="240"/>
      <c r="D236" s="824"/>
      <c r="E236" s="242"/>
      <c r="F236" s="243">
        <v>1810.0</v>
      </c>
      <c r="G236" s="244" t="s">
        <v>708</v>
      </c>
      <c r="H236" s="244"/>
      <c r="I236" s="662"/>
    </row>
    <row r="237">
      <c r="A237" s="265"/>
      <c r="B237" s="938">
        <f t="shared" si="23"/>
        <v>3000</v>
      </c>
      <c r="C237" s="252"/>
      <c r="D237" s="822"/>
      <c r="F237" s="250">
        <v>3000.0</v>
      </c>
      <c r="G237" s="2" t="s">
        <v>421</v>
      </c>
      <c r="I237" s="847"/>
    </row>
    <row r="238">
      <c r="A238" s="265"/>
      <c r="B238" s="938">
        <f t="shared" si="23"/>
        <v>2211</v>
      </c>
      <c r="C238" s="252"/>
      <c r="D238" s="822"/>
      <c r="F238" s="250">
        <v>2211.0</v>
      </c>
      <c r="G238" s="2" t="s">
        <v>82</v>
      </c>
      <c r="I238" s="847"/>
    </row>
    <row r="239">
      <c r="A239" s="265"/>
      <c r="B239" s="938">
        <f t="shared" si="23"/>
        <v>5600</v>
      </c>
      <c r="C239" s="252"/>
      <c r="D239" s="822"/>
      <c r="F239" s="250">
        <v>5600.0</v>
      </c>
      <c r="G239" s="2" t="s">
        <v>3854</v>
      </c>
      <c r="H239" s="942"/>
      <c r="I239" s="847"/>
    </row>
    <row r="240">
      <c r="A240" s="265"/>
      <c r="B240" s="938">
        <f t="shared" si="23"/>
        <v>5050</v>
      </c>
      <c r="C240" s="252"/>
      <c r="D240" s="822"/>
      <c r="F240" s="250">
        <v>5050.0</v>
      </c>
      <c r="G240" s="2" t="s">
        <v>573</v>
      </c>
      <c r="H240" s="84" t="s">
        <v>3769</v>
      </c>
      <c r="I240" s="847"/>
    </row>
    <row r="241">
      <c r="A241" s="265"/>
      <c r="B241" s="938">
        <f t="shared" si="23"/>
        <v>5000</v>
      </c>
      <c r="C241" s="252"/>
      <c r="D241" s="822"/>
      <c r="F241" s="250">
        <v>5000.0</v>
      </c>
      <c r="G241" s="2" t="s">
        <v>3078</v>
      </c>
      <c r="H241" s="84" t="s">
        <v>3769</v>
      </c>
      <c r="I241" s="847"/>
    </row>
    <row r="242">
      <c r="A242" s="265"/>
      <c r="B242" s="938">
        <f t="shared" si="23"/>
        <v>6520</v>
      </c>
      <c r="C242" s="252"/>
      <c r="D242" s="822"/>
      <c r="F242" s="243">
        <v>6520.0</v>
      </c>
      <c r="G242" s="244" t="s">
        <v>3770</v>
      </c>
      <c r="H242" s="943" t="s">
        <v>3769</v>
      </c>
      <c r="I242" s="847"/>
    </row>
    <row r="243">
      <c r="A243" s="265"/>
      <c r="B243" s="938">
        <f t="shared" si="23"/>
        <v>7850</v>
      </c>
      <c r="C243" s="252"/>
      <c r="D243" s="822"/>
      <c r="F243" s="250">
        <v>7850.0</v>
      </c>
      <c r="G243" s="2" t="s">
        <v>1105</v>
      </c>
      <c r="H243" s="84" t="s">
        <v>3769</v>
      </c>
      <c r="I243" s="847"/>
    </row>
    <row r="244">
      <c r="A244" s="265"/>
      <c r="B244" s="938">
        <f t="shared" si="23"/>
        <v>3650</v>
      </c>
      <c r="C244" s="252"/>
      <c r="D244" s="822"/>
      <c r="F244" s="250">
        <v>3650.0</v>
      </c>
      <c r="G244" s="2" t="s">
        <v>3487</v>
      </c>
      <c r="H244" s="84" t="s">
        <v>3769</v>
      </c>
      <c r="I244" s="847"/>
    </row>
    <row r="245">
      <c r="A245" s="265"/>
      <c r="B245" s="938">
        <f t="shared" si="23"/>
        <v>4270</v>
      </c>
      <c r="C245" s="252"/>
      <c r="D245" s="822"/>
      <c r="F245" s="250">
        <v>4270.0</v>
      </c>
      <c r="G245" s="2" t="s">
        <v>3209</v>
      </c>
      <c r="H245" s="84" t="s">
        <v>3769</v>
      </c>
      <c r="I245" s="847"/>
    </row>
    <row r="246">
      <c r="A246" s="265"/>
      <c r="B246" s="938">
        <f t="shared" si="23"/>
        <v>2000</v>
      </c>
      <c r="C246" s="252"/>
      <c r="D246" s="822"/>
      <c r="F246" s="250">
        <v>2000.0</v>
      </c>
      <c r="G246" s="2" t="s">
        <v>3135</v>
      </c>
      <c r="I246" s="847"/>
    </row>
    <row r="247">
      <c r="A247" s="265"/>
      <c r="B247" s="938" t="str">
        <f t="shared" si="23"/>
        <v/>
      </c>
      <c r="C247" s="252"/>
      <c r="D247" s="822"/>
      <c r="F247" s="250"/>
      <c r="I247" s="847"/>
    </row>
    <row r="248">
      <c r="A248" s="265"/>
      <c r="B248" s="938" t="str">
        <f t="shared" si="23"/>
        <v/>
      </c>
      <c r="C248" s="252"/>
      <c r="D248" s="822"/>
      <c r="F248" s="250"/>
      <c r="I248" s="847"/>
    </row>
    <row r="249">
      <c r="A249" s="265"/>
      <c r="B249" s="938" t="str">
        <f t="shared" si="23"/>
        <v/>
      </c>
      <c r="C249" s="252"/>
      <c r="D249" s="822"/>
      <c r="F249" s="250"/>
      <c r="I249" s="847"/>
    </row>
    <row r="250">
      <c r="A250" s="270"/>
      <c r="B250" s="939">
        <f>SUM(B236:B249)</f>
        <v>46961</v>
      </c>
      <c r="C250" s="272"/>
      <c r="D250" s="823"/>
      <c r="E250" s="18"/>
      <c r="F250" s="274"/>
      <c r="G250" s="18"/>
      <c r="H250" s="18"/>
      <c r="I250" s="663"/>
    </row>
    <row r="251">
      <c r="A251" s="305">
        <v>44128.0</v>
      </c>
      <c r="B251" s="940">
        <f t="shared" ref="B251:B259" si="24">F251</f>
        <v>4270</v>
      </c>
      <c r="C251" s="240"/>
      <c r="D251" s="824"/>
      <c r="E251" s="242"/>
      <c r="F251" s="250">
        <v>4270.0</v>
      </c>
      <c r="G251" s="2" t="s">
        <v>2893</v>
      </c>
      <c r="H251" s="942"/>
      <c r="I251" s="662"/>
    </row>
    <row r="252">
      <c r="A252" s="265"/>
      <c r="B252" s="938">
        <f t="shared" si="24"/>
        <v>356</v>
      </c>
      <c r="C252" s="252"/>
      <c r="D252" s="822"/>
      <c r="F252" s="250">
        <v>356.0</v>
      </c>
      <c r="G252" s="2" t="s">
        <v>708</v>
      </c>
      <c r="H252" s="2"/>
      <c r="I252" s="847"/>
    </row>
    <row r="253">
      <c r="A253" s="265"/>
      <c r="B253" s="938">
        <f t="shared" si="24"/>
        <v>720</v>
      </c>
      <c r="C253" s="252"/>
      <c r="D253" s="822"/>
      <c r="F253" s="250">
        <v>720.0</v>
      </c>
      <c r="G253" s="2" t="s">
        <v>708</v>
      </c>
      <c r="H253" s="2"/>
      <c r="I253" s="847"/>
    </row>
    <row r="254">
      <c r="A254" s="265"/>
      <c r="B254" s="938">
        <f t="shared" si="24"/>
        <v>480</v>
      </c>
      <c r="C254" s="252"/>
      <c r="D254" s="822"/>
      <c r="F254" s="250">
        <v>480.0</v>
      </c>
      <c r="G254" s="2" t="s">
        <v>3855</v>
      </c>
      <c r="H254" s="2"/>
      <c r="I254" s="847"/>
    </row>
    <row r="255">
      <c r="A255" s="265"/>
      <c r="B255" s="938">
        <f t="shared" si="24"/>
        <v>55</v>
      </c>
      <c r="C255" s="252"/>
      <c r="D255" s="822"/>
      <c r="F255" s="250">
        <v>55.0</v>
      </c>
      <c r="G255" s="2" t="s">
        <v>2724</v>
      </c>
      <c r="H255" s="2"/>
      <c r="I255" s="847"/>
    </row>
    <row r="256">
      <c r="A256" s="265"/>
      <c r="B256" s="938">
        <f t="shared" si="24"/>
        <v>8000</v>
      </c>
      <c r="C256" s="252"/>
      <c r="D256" s="822"/>
      <c r="F256" s="250">
        <v>8000.0</v>
      </c>
      <c r="G256" s="2" t="s">
        <v>3135</v>
      </c>
      <c r="H256" s="2"/>
      <c r="I256" s="847"/>
    </row>
    <row r="257">
      <c r="A257" s="265"/>
      <c r="B257" s="938" t="str">
        <f t="shared" si="24"/>
        <v/>
      </c>
      <c r="C257" s="252"/>
      <c r="D257" s="822"/>
      <c r="F257" s="250"/>
      <c r="I257" s="847"/>
    </row>
    <row r="258">
      <c r="A258" s="265"/>
      <c r="B258" s="938" t="str">
        <f t="shared" si="24"/>
        <v/>
      </c>
      <c r="C258" s="252"/>
      <c r="D258" s="822"/>
      <c r="F258" s="250"/>
      <c r="I258" s="847"/>
    </row>
    <row r="259">
      <c r="A259" s="265"/>
      <c r="B259" s="938" t="str">
        <f t="shared" si="24"/>
        <v/>
      </c>
      <c r="C259" s="252"/>
      <c r="D259" s="822"/>
      <c r="F259" s="250"/>
      <c r="I259" s="847"/>
    </row>
    <row r="260">
      <c r="A260" s="270"/>
      <c r="B260" s="939">
        <f>SUM(B251:B259)</f>
        <v>13881</v>
      </c>
      <c r="C260" s="272"/>
      <c r="D260" s="823"/>
      <c r="E260" s="18"/>
      <c r="F260" s="274"/>
      <c r="G260" s="18"/>
      <c r="H260" s="18"/>
      <c r="I260" s="663"/>
    </row>
    <row r="261">
      <c r="A261" s="305">
        <v>44129.0</v>
      </c>
      <c r="B261" s="940">
        <f t="shared" ref="B261:B269" si="25">F261</f>
        <v>1055</v>
      </c>
      <c r="C261" s="240"/>
      <c r="D261" s="824"/>
      <c r="E261" s="242"/>
      <c r="F261" s="243">
        <v>1055.0</v>
      </c>
      <c r="G261" s="244" t="s">
        <v>708</v>
      </c>
      <c r="H261" s="244"/>
      <c r="I261" s="662"/>
    </row>
    <row r="262">
      <c r="A262" s="265"/>
      <c r="B262" s="938">
        <f t="shared" si="25"/>
        <v>100</v>
      </c>
      <c r="C262" s="252"/>
      <c r="D262" s="822"/>
      <c r="F262" s="250">
        <v>100.0</v>
      </c>
      <c r="G262" s="2" t="s">
        <v>3856</v>
      </c>
      <c r="I262" s="847"/>
    </row>
    <row r="263">
      <c r="A263" s="265"/>
      <c r="B263" s="938" t="str">
        <f t="shared" si="25"/>
        <v/>
      </c>
      <c r="C263" s="252"/>
      <c r="D263" s="822"/>
      <c r="F263" s="250"/>
      <c r="I263" s="847"/>
    </row>
    <row r="264">
      <c r="A264" s="265"/>
      <c r="B264" s="938" t="str">
        <f t="shared" si="25"/>
        <v/>
      </c>
      <c r="C264" s="252"/>
      <c r="D264" s="822"/>
      <c r="F264" s="250"/>
      <c r="I264" s="847"/>
    </row>
    <row r="265">
      <c r="A265" s="265"/>
      <c r="B265" s="938" t="str">
        <f t="shared" si="25"/>
        <v/>
      </c>
      <c r="C265" s="252"/>
      <c r="D265" s="822"/>
      <c r="F265" s="250"/>
      <c r="I265" s="847"/>
    </row>
    <row r="266">
      <c r="A266" s="265"/>
      <c r="B266" s="938" t="str">
        <f t="shared" si="25"/>
        <v/>
      </c>
      <c r="C266" s="252"/>
      <c r="D266" s="822"/>
      <c r="F266" s="250"/>
      <c r="I266" s="847"/>
    </row>
    <row r="267">
      <c r="A267" s="265"/>
      <c r="B267" s="938" t="str">
        <f t="shared" si="25"/>
        <v/>
      </c>
      <c r="C267" s="252"/>
      <c r="D267" s="822"/>
      <c r="F267" s="250"/>
      <c r="I267" s="847"/>
    </row>
    <row r="268">
      <c r="A268" s="265"/>
      <c r="B268" s="938" t="str">
        <f t="shared" si="25"/>
        <v/>
      </c>
      <c r="C268" s="252"/>
      <c r="D268" s="822"/>
      <c r="F268" s="250"/>
      <c r="I268" s="847"/>
    </row>
    <row r="269">
      <c r="A269" s="265"/>
      <c r="B269" s="938" t="str">
        <f t="shared" si="25"/>
        <v/>
      </c>
      <c r="C269" s="252"/>
      <c r="D269" s="822"/>
      <c r="F269" s="250"/>
      <c r="I269" s="847"/>
    </row>
    <row r="270">
      <c r="A270" s="270"/>
      <c r="B270" s="939">
        <f>SUM(B261:B269)</f>
        <v>1155</v>
      </c>
      <c r="C270" s="272"/>
      <c r="D270" s="823"/>
      <c r="E270" s="18"/>
      <c r="F270" s="274"/>
      <c r="G270" s="18"/>
      <c r="H270" s="18"/>
      <c r="I270" s="663"/>
    </row>
    <row r="271">
      <c r="A271" s="305">
        <v>44130.0</v>
      </c>
      <c r="B271" s="940">
        <f t="shared" ref="B271:B279" si="26">F271</f>
        <v>957</v>
      </c>
      <c r="C271" s="240"/>
      <c r="D271" s="824"/>
      <c r="E271" s="242"/>
      <c r="F271" s="243">
        <v>957.0</v>
      </c>
      <c r="G271" s="244" t="s">
        <v>708</v>
      </c>
      <c r="H271" s="244"/>
      <c r="I271" s="662"/>
    </row>
    <row r="272">
      <c r="A272" s="265"/>
      <c r="B272" s="938">
        <f t="shared" si="26"/>
        <v>130</v>
      </c>
      <c r="C272" s="252"/>
      <c r="D272" s="822"/>
      <c r="F272" s="250">
        <v>130.0</v>
      </c>
      <c r="G272" s="2" t="s">
        <v>228</v>
      </c>
      <c r="I272" s="847"/>
    </row>
    <row r="273">
      <c r="A273" s="265"/>
      <c r="B273" s="938">
        <f t="shared" si="26"/>
        <v>472</v>
      </c>
      <c r="C273" s="252"/>
      <c r="D273" s="822"/>
      <c r="F273" s="250">
        <v>472.0</v>
      </c>
      <c r="G273" s="2" t="s">
        <v>227</v>
      </c>
      <c r="I273" s="847"/>
    </row>
    <row r="274">
      <c r="A274" s="265"/>
      <c r="B274" s="938">
        <f t="shared" si="26"/>
        <v>650</v>
      </c>
      <c r="C274" s="252"/>
      <c r="D274" s="822"/>
      <c r="F274" s="250">
        <v>650.0</v>
      </c>
      <c r="G274" s="2" t="s">
        <v>176</v>
      </c>
      <c r="I274" s="847"/>
    </row>
    <row r="275">
      <c r="A275" s="265"/>
      <c r="B275" s="938">
        <f t="shared" si="26"/>
        <v>300</v>
      </c>
      <c r="C275" s="252"/>
      <c r="D275" s="822"/>
      <c r="F275" s="250">
        <v>300.0</v>
      </c>
      <c r="G275" s="2" t="s">
        <v>3857</v>
      </c>
      <c r="I275" s="847"/>
    </row>
    <row r="276">
      <c r="A276" s="265"/>
      <c r="B276" s="938" t="str">
        <f t="shared" si="26"/>
        <v/>
      </c>
      <c r="C276" s="252"/>
      <c r="D276" s="822"/>
      <c r="F276" s="250"/>
      <c r="G276" s="2">
        <v>5.0</v>
      </c>
      <c r="I276" s="847"/>
    </row>
    <row r="277">
      <c r="A277" s="265"/>
      <c r="B277" s="938" t="str">
        <f t="shared" si="26"/>
        <v/>
      </c>
      <c r="C277" s="252"/>
      <c r="D277" s="822"/>
      <c r="F277" s="250"/>
      <c r="I277" s="847"/>
    </row>
    <row r="278">
      <c r="A278" s="265"/>
      <c r="B278" s="938" t="str">
        <f t="shared" si="26"/>
        <v/>
      </c>
      <c r="C278" s="252"/>
      <c r="D278" s="822"/>
      <c r="F278" s="250"/>
      <c r="I278" s="847"/>
    </row>
    <row r="279">
      <c r="A279" s="265"/>
      <c r="B279" s="938" t="str">
        <f t="shared" si="26"/>
        <v/>
      </c>
      <c r="C279" s="252"/>
      <c r="D279" s="822"/>
      <c r="F279" s="250"/>
      <c r="I279" s="847"/>
    </row>
    <row r="280">
      <c r="A280" s="270"/>
      <c r="B280" s="939">
        <f>SUM(B271:B279)</f>
        <v>2509</v>
      </c>
      <c r="C280" s="272"/>
      <c r="D280" s="823"/>
      <c r="E280" s="18"/>
      <c r="F280" s="274"/>
      <c r="G280" s="18"/>
      <c r="H280" s="18"/>
      <c r="I280" s="663"/>
    </row>
    <row r="281">
      <c r="A281" s="305">
        <v>44131.0</v>
      </c>
      <c r="B281" s="940" t="str">
        <f t="shared" ref="B281:B287" si="27">F281</f>
        <v/>
      </c>
      <c r="C281" s="240"/>
      <c r="D281" s="824"/>
      <c r="E281" s="242"/>
      <c r="F281" s="243"/>
      <c r="I281" s="662"/>
    </row>
    <row r="282">
      <c r="A282" s="265"/>
      <c r="B282" s="938" t="str">
        <f t="shared" si="27"/>
        <v/>
      </c>
      <c r="C282" s="248">
        <v>10369.53</v>
      </c>
      <c r="D282" s="822"/>
      <c r="F282" s="250"/>
      <c r="G282" s="2" t="s">
        <v>2637</v>
      </c>
      <c r="I282" s="847"/>
    </row>
    <row r="283">
      <c r="A283" s="265"/>
      <c r="B283" s="938" t="str">
        <f t="shared" si="27"/>
        <v/>
      </c>
      <c r="C283" s="248">
        <v>9003.91</v>
      </c>
      <c r="D283" s="822"/>
      <c r="F283" s="250"/>
      <c r="G283" s="2" t="s">
        <v>2637</v>
      </c>
      <c r="I283" s="847"/>
    </row>
    <row r="284">
      <c r="A284" s="265"/>
      <c r="B284" s="938">
        <f t="shared" si="27"/>
        <v>1913.63</v>
      </c>
      <c r="C284" s="252"/>
      <c r="D284" s="822"/>
      <c r="F284" s="250">
        <v>1913.63</v>
      </c>
      <c r="G284" s="2" t="s">
        <v>82</v>
      </c>
      <c r="I284" s="847"/>
    </row>
    <row r="285">
      <c r="A285" s="265"/>
      <c r="B285" s="938">
        <f t="shared" si="27"/>
        <v>1586</v>
      </c>
      <c r="C285" s="252"/>
      <c r="D285" s="822"/>
      <c r="F285" s="250">
        <v>1586.0</v>
      </c>
      <c r="G285" s="2" t="s">
        <v>708</v>
      </c>
      <c r="I285" s="847"/>
    </row>
    <row r="286">
      <c r="A286" s="265"/>
      <c r="B286" s="938">
        <f t="shared" si="27"/>
        <v>11383</v>
      </c>
      <c r="C286" s="252"/>
      <c r="D286" s="822"/>
      <c r="F286" s="250">
        <v>11383.0</v>
      </c>
      <c r="G286" s="2" t="s">
        <v>405</v>
      </c>
      <c r="I286" s="847"/>
    </row>
    <row r="287">
      <c r="A287" s="265"/>
      <c r="B287" s="938">
        <f t="shared" si="27"/>
        <v>3000</v>
      </c>
      <c r="C287" s="252"/>
      <c r="D287" s="822"/>
      <c r="F287" s="250">
        <v>3000.0</v>
      </c>
      <c r="G287" s="2" t="s">
        <v>421</v>
      </c>
      <c r="I287" s="847"/>
    </row>
    <row r="288">
      <c r="A288" s="265"/>
      <c r="B288" s="938"/>
      <c r="C288" s="252"/>
      <c r="D288" s="822"/>
      <c r="F288" s="250">
        <v>1350.0</v>
      </c>
      <c r="G288" s="2" t="s">
        <v>68</v>
      </c>
      <c r="I288" s="847"/>
    </row>
    <row r="289">
      <c r="A289" s="265"/>
      <c r="B289" s="938">
        <f t="shared" ref="B289:B290" si="28">F289</f>
        <v>1650</v>
      </c>
      <c r="C289" s="252"/>
      <c r="D289" s="822"/>
      <c r="F289" s="250">
        <v>1650.0</v>
      </c>
      <c r="G289" s="2" t="s">
        <v>3858</v>
      </c>
      <c r="I289" s="847"/>
    </row>
    <row r="290">
      <c r="A290" s="265"/>
      <c r="B290" s="938">
        <f t="shared" si="28"/>
        <v>150</v>
      </c>
      <c r="C290" s="252"/>
      <c r="D290" s="822"/>
      <c r="F290" s="250">
        <v>150.0</v>
      </c>
      <c r="G290" s="2" t="s">
        <v>3212</v>
      </c>
      <c r="I290" s="847"/>
    </row>
    <row r="291">
      <c r="A291" s="270"/>
      <c r="B291" s="939">
        <f>SUM(B281:B290)</f>
        <v>19682.63</v>
      </c>
      <c r="C291" s="272"/>
      <c r="D291" s="823"/>
      <c r="E291" s="18"/>
      <c r="F291" s="274"/>
      <c r="G291" s="18"/>
      <c r="H291" s="18"/>
      <c r="I291" s="663"/>
    </row>
    <row r="292">
      <c r="A292" s="305">
        <v>44132.0</v>
      </c>
      <c r="B292" s="940">
        <f t="shared" ref="B292:B293" si="29">F292</f>
        <v>1426</v>
      </c>
      <c r="C292" s="240"/>
      <c r="D292" s="824"/>
      <c r="E292" s="242"/>
      <c r="F292" s="243">
        <v>1426.0</v>
      </c>
      <c r="G292" s="244" t="s">
        <v>708</v>
      </c>
      <c r="H292" s="244"/>
      <c r="I292" s="662"/>
    </row>
    <row r="293">
      <c r="A293" s="265"/>
      <c r="B293" s="938" t="str">
        <f t="shared" si="29"/>
        <v/>
      </c>
      <c r="C293" s="248">
        <v>3019.7</v>
      </c>
      <c r="D293" s="822"/>
      <c r="F293" s="250"/>
      <c r="G293" s="2" t="s">
        <v>71</v>
      </c>
      <c r="I293" s="847"/>
    </row>
    <row r="294">
      <c r="A294" s="265"/>
      <c r="B294" s="938"/>
      <c r="C294" s="252"/>
      <c r="D294" s="331">
        <v>3290.0</v>
      </c>
      <c r="F294" s="250">
        <v>3290.0</v>
      </c>
      <c r="G294" s="2" t="s">
        <v>94</v>
      </c>
      <c r="I294" s="847"/>
    </row>
    <row r="295">
      <c r="A295" s="265"/>
      <c r="B295" s="938">
        <f t="shared" ref="B295:B300" si="30">F295</f>
        <v>1440</v>
      </c>
      <c r="C295" s="252"/>
      <c r="D295" s="822"/>
      <c r="F295" s="250">
        <v>1440.0</v>
      </c>
      <c r="G295" s="2" t="s">
        <v>228</v>
      </c>
      <c r="I295" s="847"/>
    </row>
    <row r="296">
      <c r="A296" s="265"/>
      <c r="B296" s="938" t="str">
        <f t="shared" si="30"/>
        <v/>
      </c>
      <c r="C296" s="252"/>
      <c r="D296" s="331">
        <v>7000.0</v>
      </c>
      <c r="F296" s="250"/>
      <c r="G296" s="2" t="s">
        <v>3859</v>
      </c>
      <c r="I296" s="847"/>
    </row>
    <row r="297">
      <c r="A297" s="265"/>
      <c r="B297" s="938" t="str">
        <f t="shared" si="30"/>
        <v/>
      </c>
      <c r="C297" s="252"/>
      <c r="D297" s="331">
        <v>1800.0</v>
      </c>
      <c r="F297" s="250"/>
      <c r="G297" s="2" t="s">
        <v>3860</v>
      </c>
      <c r="I297" s="847"/>
    </row>
    <row r="298">
      <c r="A298" s="265"/>
      <c r="B298" s="938">
        <f t="shared" si="30"/>
        <v>5000</v>
      </c>
      <c r="C298" s="252"/>
      <c r="D298" s="822"/>
      <c r="F298" s="250">
        <v>5000.0</v>
      </c>
      <c r="G298" s="2" t="s">
        <v>3135</v>
      </c>
      <c r="I298" s="847"/>
    </row>
    <row r="299">
      <c r="A299" s="265"/>
      <c r="B299" s="938" t="str">
        <f t="shared" si="30"/>
        <v/>
      </c>
      <c r="C299" s="252"/>
      <c r="D299" s="822"/>
      <c r="F299" s="250"/>
      <c r="I299" s="847"/>
    </row>
    <row r="300">
      <c r="A300" s="265"/>
      <c r="B300" s="938" t="str">
        <f t="shared" si="30"/>
        <v/>
      </c>
      <c r="C300" s="252"/>
      <c r="D300" s="822"/>
      <c r="F300" s="250"/>
      <c r="I300" s="847"/>
    </row>
    <row r="301">
      <c r="A301" s="270"/>
      <c r="B301" s="939">
        <f>SUM(B292:B300)</f>
        <v>7866</v>
      </c>
      <c r="C301" s="272"/>
      <c r="D301" s="823"/>
      <c r="E301" s="18"/>
      <c r="F301" s="274"/>
      <c r="G301" s="18"/>
      <c r="H301" s="18"/>
      <c r="I301" s="663"/>
    </row>
    <row r="302">
      <c r="A302" s="305">
        <v>44133.0</v>
      </c>
      <c r="B302" s="940">
        <f t="shared" ref="B302:B310" si="31">F302</f>
        <v>7600</v>
      </c>
      <c r="C302" s="240"/>
      <c r="D302" s="824"/>
      <c r="E302" s="242"/>
      <c r="F302" s="243">
        <v>7600.0</v>
      </c>
      <c r="G302" s="244" t="s">
        <v>3861</v>
      </c>
      <c r="H302" s="943"/>
      <c r="I302" s="662"/>
    </row>
    <row r="303">
      <c r="A303" s="265"/>
      <c r="B303" s="938" t="str">
        <f t="shared" si="31"/>
        <v/>
      </c>
      <c r="C303" s="252"/>
      <c r="D303" s="331">
        <v>9500.0</v>
      </c>
      <c r="F303" s="250"/>
      <c r="G303" s="2" t="s">
        <v>3805</v>
      </c>
      <c r="I303" s="847"/>
    </row>
    <row r="304">
      <c r="A304" s="265"/>
      <c r="B304" s="938">
        <f t="shared" si="31"/>
        <v>950</v>
      </c>
      <c r="C304" s="252"/>
      <c r="D304" s="822"/>
      <c r="F304" s="250">
        <v>950.0</v>
      </c>
      <c r="G304" s="2" t="s">
        <v>3862</v>
      </c>
      <c r="I304" s="847"/>
    </row>
    <row r="305">
      <c r="A305" s="265"/>
      <c r="B305" s="938">
        <f t="shared" si="31"/>
        <v>1200</v>
      </c>
      <c r="C305" s="252"/>
      <c r="D305" s="822"/>
      <c r="F305" s="250">
        <v>1200.0</v>
      </c>
      <c r="G305" s="2" t="s">
        <v>3863</v>
      </c>
      <c r="I305" s="847"/>
    </row>
    <row r="306">
      <c r="A306" s="265"/>
      <c r="B306" s="938" t="str">
        <f t="shared" si="31"/>
        <v/>
      </c>
      <c r="C306" s="252"/>
      <c r="D306" s="331">
        <v>10648.0</v>
      </c>
      <c r="F306" s="250"/>
      <c r="G306" s="2" t="s">
        <v>877</v>
      </c>
      <c r="I306" s="847"/>
    </row>
    <row r="307">
      <c r="A307" s="265"/>
      <c r="B307" s="938">
        <f t="shared" si="31"/>
        <v>543</v>
      </c>
      <c r="C307" s="252"/>
      <c r="D307" s="822"/>
      <c r="F307" s="250">
        <v>543.0</v>
      </c>
      <c r="G307" s="2" t="s">
        <v>3864</v>
      </c>
      <c r="I307" s="847"/>
    </row>
    <row r="308">
      <c r="A308" s="265"/>
      <c r="B308" s="938">
        <f t="shared" si="31"/>
        <v>1744</v>
      </c>
      <c r="C308" s="252"/>
      <c r="D308" s="822"/>
      <c r="F308" s="250">
        <v>1744.0</v>
      </c>
      <c r="G308" s="2" t="s">
        <v>708</v>
      </c>
      <c r="I308" s="847"/>
    </row>
    <row r="309">
      <c r="A309" s="265"/>
      <c r="B309" s="938">
        <f t="shared" si="31"/>
        <v>190</v>
      </c>
      <c r="C309" s="252"/>
      <c r="D309" s="822"/>
      <c r="F309" s="250">
        <v>190.0</v>
      </c>
      <c r="G309" s="2" t="s">
        <v>85</v>
      </c>
      <c r="I309" s="847"/>
    </row>
    <row r="310">
      <c r="A310" s="265"/>
      <c r="B310" s="938">
        <f t="shared" si="31"/>
        <v>1200</v>
      </c>
      <c r="C310" s="252"/>
      <c r="D310" s="822"/>
      <c r="F310" s="250">
        <v>1200.0</v>
      </c>
      <c r="G310" s="2" t="s">
        <v>3374</v>
      </c>
      <c r="H310" s="942"/>
      <c r="I310" s="847"/>
    </row>
    <row r="311">
      <c r="A311" s="265"/>
      <c r="B311" s="941"/>
      <c r="C311" s="252"/>
      <c r="D311" s="822"/>
      <c r="F311" s="282"/>
      <c r="I311" s="847"/>
    </row>
    <row r="312">
      <c r="A312" s="265"/>
      <c r="B312" s="941"/>
      <c r="C312" s="252"/>
      <c r="D312" s="822"/>
      <c r="F312" s="282"/>
      <c r="I312" s="847"/>
    </row>
    <row r="313">
      <c r="A313" s="270"/>
      <c r="B313" s="939">
        <f>SUM(B302:B310)</f>
        <v>13427</v>
      </c>
      <c r="C313" s="272"/>
      <c r="D313" s="823"/>
      <c r="E313" s="18"/>
      <c r="F313" s="274"/>
      <c r="G313" s="18"/>
      <c r="H313" s="18"/>
      <c r="I313" s="663"/>
    </row>
    <row r="314">
      <c r="A314" s="305">
        <v>44134.0</v>
      </c>
      <c r="B314" s="940">
        <f t="shared" ref="B314:B322" si="32">F314</f>
        <v>3000</v>
      </c>
      <c r="C314" s="240"/>
      <c r="D314" s="824"/>
      <c r="E314" s="242"/>
      <c r="F314" s="243">
        <v>3000.0</v>
      </c>
      <c r="G314" s="244" t="s">
        <v>421</v>
      </c>
      <c r="H314" s="244"/>
      <c r="I314" s="662"/>
    </row>
    <row r="315">
      <c r="A315" s="265"/>
      <c r="B315" s="938">
        <f t="shared" si="32"/>
        <v>2379</v>
      </c>
      <c r="C315" s="252"/>
      <c r="D315" s="822"/>
      <c r="F315" s="250">
        <v>2379.0</v>
      </c>
      <c r="G315" s="2" t="s">
        <v>82</v>
      </c>
      <c r="I315" s="847"/>
    </row>
    <row r="316">
      <c r="A316" s="265"/>
      <c r="B316" s="938">
        <f t="shared" si="32"/>
        <v>1650</v>
      </c>
      <c r="C316" s="252"/>
      <c r="D316" s="822"/>
      <c r="F316" s="250">
        <v>1650.0</v>
      </c>
      <c r="G316" s="2" t="s">
        <v>3858</v>
      </c>
      <c r="I316" s="847"/>
    </row>
    <row r="317">
      <c r="A317" s="265"/>
      <c r="B317" s="938" t="str">
        <f t="shared" si="32"/>
        <v/>
      </c>
      <c r="C317" s="252"/>
      <c r="D317" s="331">
        <v>20000.0</v>
      </c>
      <c r="F317" s="250"/>
      <c r="G317" s="2" t="s">
        <v>3259</v>
      </c>
      <c r="I317" s="847"/>
    </row>
    <row r="318">
      <c r="A318" s="265"/>
      <c r="B318" s="938">
        <f t="shared" si="32"/>
        <v>1088</v>
      </c>
      <c r="C318" s="252"/>
      <c r="D318" s="822"/>
      <c r="F318" s="250">
        <v>1088.0</v>
      </c>
      <c r="G318" s="2" t="s">
        <v>708</v>
      </c>
      <c r="I318" s="847"/>
    </row>
    <row r="319">
      <c r="A319" s="265"/>
      <c r="B319" s="938">
        <f t="shared" si="32"/>
        <v>220</v>
      </c>
      <c r="C319" s="252"/>
      <c r="D319" s="822"/>
      <c r="F319" s="250">
        <v>220.0</v>
      </c>
      <c r="G319" s="2" t="s">
        <v>1083</v>
      </c>
      <c r="I319" s="847"/>
    </row>
    <row r="320">
      <c r="A320" s="265"/>
      <c r="B320" s="938" t="str">
        <f t="shared" si="32"/>
        <v/>
      </c>
      <c r="C320" s="252"/>
      <c r="D320" s="822"/>
      <c r="F320" s="250"/>
      <c r="I320" s="847"/>
    </row>
    <row r="321">
      <c r="A321" s="265"/>
      <c r="B321" s="938" t="str">
        <f t="shared" si="32"/>
        <v/>
      </c>
      <c r="C321" s="252"/>
      <c r="D321" s="822"/>
      <c r="F321" s="250"/>
      <c r="I321" s="847"/>
    </row>
    <row r="322">
      <c r="A322" s="265"/>
      <c r="B322" s="938" t="str">
        <f t="shared" si="32"/>
        <v/>
      </c>
      <c r="C322" s="252"/>
      <c r="D322" s="822"/>
      <c r="F322" s="250"/>
      <c r="I322" s="847"/>
    </row>
    <row r="323">
      <c r="A323" s="270"/>
      <c r="B323" s="939">
        <f>SUM(B314:B322)</f>
        <v>8337</v>
      </c>
      <c r="C323" s="272"/>
      <c r="D323" s="823"/>
      <c r="E323" s="18"/>
      <c r="F323" s="274"/>
      <c r="G323" s="18"/>
      <c r="H323" s="18"/>
      <c r="I323" s="663"/>
    </row>
    <row r="324">
      <c r="A324" s="305">
        <v>44135.0</v>
      </c>
      <c r="B324" s="940">
        <f t="shared" ref="B324:B332" si="33">F324</f>
        <v>7850</v>
      </c>
      <c r="C324" s="240"/>
      <c r="D324" s="824"/>
      <c r="E324" s="242"/>
      <c r="F324" s="243">
        <v>7850.0</v>
      </c>
      <c r="G324" s="244" t="s">
        <v>1105</v>
      </c>
      <c r="H324" s="850" t="s">
        <v>3769</v>
      </c>
      <c r="I324" s="662"/>
    </row>
    <row r="325">
      <c r="A325" s="265"/>
      <c r="B325" s="938">
        <f t="shared" si="33"/>
        <v>6520</v>
      </c>
      <c r="C325" s="252"/>
      <c r="D325" s="822"/>
      <c r="F325" s="250">
        <v>6520.0</v>
      </c>
      <c r="G325" s="2" t="s">
        <v>3770</v>
      </c>
      <c r="H325" s="81" t="s">
        <v>3769</v>
      </c>
      <c r="I325" s="847"/>
    </row>
    <row r="326">
      <c r="A326" s="265"/>
      <c r="B326" s="938">
        <f t="shared" si="33"/>
        <v>5050</v>
      </c>
      <c r="C326" s="252"/>
      <c r="D326" s="822"/>
      <c r="F326" s="250">
        <v>5050.0</v>
      </c>
      <c r="G326" s="2" t="s">
        <v>573</v>
      </c>
      <c r="H326" s="81" t="s">
        <v>3769</v>
      </c>
      <c r="I326" s="847"/>
    </row>
    <row r="327">
      <c r="A327" s="265"/>
      <c r="B327" s="938">
        <f t="shared" si="33"/>
        <v>3440</v>
      </c>
      <c r="C327" s="252"/>
      <c r="D327" s="822"/>
      <c r="F327" s="250">
        <v>3440.0</v>
      </c>
      <c r="G327" s="2" t="s">
        <v>3487</v>
      </c>
      <c r="H327" s="838"/>
      <c r="I327" s="847"/>
    </row>
    <row r="328">
      <c r="A328" s="265"/>
      <c r="B328" s="938">
        <f t="shared" si="33"/>
        <v>4300</v>
      </c>
      <c r="C328" s="252"/>
      <c r="D328" s="822"/>
      <c r="F328" s="250">
        <v>4300.0</v>
      </c>
      <c r="G328" s="2" t="s">
        <v>2893</v>
      </c>
      <c r="H328" s="81" t="s">
        <v>3769</v>
      </c>
      <c r="I328" s="847"/>
    </row>
    <row r="329">
      <c r="A329" s="265"/>
      <c r="B329" s="938">
        <f t="shared" si="33"/>
        <v>4270</v>
      </c>
      <c r="C329" s="252"/>
      <c r="D329" s="822"/>
      <c r="F329" s="250">
        <v>4270.0</v>
      </c>
      <c r="G329" s="2" t="s">
        <v>3209</v>
      </c>
      <c r="H329" s="81" t="s">
        <v>3769</v>
      </c>
      <c r="I329" s="847"/>
    </row>
    <row r="330">
      <c r="A330" s="265"/>
      <c r="B330" s="938">
        <f t="shared" si="33"/>
        <v>5000</v>
      </c>
      <c r="C330" s="252"/>
      <c r="D330" s="822"/>
      <c r="F330" s="250">
        <v>5000.0</v>
      </c>
      <c r="G330" s="2" t="s">
        <v>3078</v>
      </c>
      <c r="H330" s="838"/>
      <c r="I330" s="847"/>
    </row>
    <row r="331">
      <c r="A331" s="265"/>
      <c r="B331" s="938">
        <f t="shared" si="33"/>
        <v>300</v>
      </c>
      <c r="C331" s="252"/>
      <c r="D331" s="822"/>
      <c r="F331" s="250">
        <v>300.0</v>
      </c>
      <c r="G331" s="2" t="s">
        <v>344</v>
      </c>
      <c r="I331" s="847"/>
    </row>
    <row r="332">
      <c r="A332" s="265"/>
      <c r="B332" s="938" t="str">
        <f t="shared" si="33"/>
        <v/>
      </c>
      <c r="C332" s="252"/>
      <c r="D332" s="822"/>
      <c r="F332" s="250"/>
      <c r="I332" s="847"/>
    </row>
    <row r="333">
      <c r="A333" s="270"/>
      <c r="B333" s="939">
        <f>SUM(B324:B332)</f>
        <v>36730</v>
      </c>
      <c r="C333" s="272"/>
      <c r="D333" s="823"/>
      <c r="E333" s="18"/>
      <c r="F333" s="274"/>
      <c r="G333" s="18"/>
      <c r="H333" s="18"/>
      <c r="I333" s="663"/>
    </row>
    <row r="334">
      <c r="A334" s="305">
        <v>44136.0</v>
      </c>
      <c r="B334" s="940">
        <f t="shared" ref="B334:B342" si="34">F334</f>
        <v>1247</v>
      </c>
      <c r="C334" s="240"/>
      <c r="D334" s="824"/>
      <c r="E334" s="242"/>
      <c r="F334" s="243">
        <v>1247.0</v>
      </c>
      <c r="G334" s="244" t="s">
        <v>708</v>
      </c>
      <c r="H334" s="244"/>
      <c r="I334" s="662"/>
    </row>
    <row r="335">
      <c r="A335" s="265"/>
      <c r="B335" s="938" t="str">
        <f t="shared" si="34"/>
        <v/>
      </c>
      <c r="C335" s="252"/>
      <c r="D335" s="822"/>
      <c r="F335" s="250"/>
      <c r="I335" s="847"/>
    </row>
    <row r="336">
      <c r="A336" s="265"/>
      <c r="B336" s="938" t="str">
        <f t="shared" si="34"/>
        <v/>
      </c>
      <c r="C336" s="252"/>
      <c r="D336" s="822"/>
      <c r="F336" s="250"/>
      <c r="I336" s="847"/>
    </row>
    <row r="337">
      <c r="A337" s="265"/>
      <c r="B337" s="938" t="str">
        <f t="shared" si="34"/>
        <v/>
      </c>
      <c r="C337" s="252"/>
      <c r="D337" s="822"/>
      <c r="F337" s="250"/>
      <c r="I337" s="847"/>
    </row>
    <row r="338">
      <c r="A338" s="265"/>
      <c r="B338" s="938" t="str">
        <f t="shared" si="34"/>
        <v/>
      </c>
      <c r="C338" s="252"/>
      <c r="D338" s="822"/>
      <c r="F338" s="250"/>
      <c r="I338" s="847"/>
    </row>
    <row r="339">
      <c r="A339" s="265"/>
      <c r="B339" s="938" t="str">
        <f t="shared" si="34"/>
        <v/>
      </c>
      <c r="C339" s="252"/>
      <c r="D339" s="822"/>
      <c r="F339" s="250"/>
      <c r="I339" s="847"/>
    </row>
    <row r="340">
      <c r="A340" s="265"/>
      <c r="B340" s="938" t="str">
        <f t="shared" si="34"/>
        <v/>
      </c>
      <c r="C340" s="252"/>
      <c r="D340" s="822"/>
      <c r="F340" s="250"/>
      <c r="I340" s="847"/>
    </row>
    <row r="341">
      <c r="A341" s="265"/>
      <c r="B341" s="938" t="str">
        <f t="shared" si="34"/>
        <v/>
      </c>
      <c r="C341" s="252"/>
      <c r="D341" s="822"/>
      <c r="F341" s="250"/>
      <c r="I341" s="847"/>
    </row>
    <row r="342">
      <c r="A342" s="265"/>
      <c r="B342" s="938" t="str">
        <f t="shared" si="34"/>
        <v/>
      </c>
      <c r="C342" s="252"/>
      <c r="D342" s="822"/>
      <c r="F342" s="250"/>
      <c r="I342" s="847"/>
    </row>
    <row r="343">
      <c r="A343" s="270"/>
      <c r="B343" s="939">
        <f>SUM(B334:B342)</f>
        <v>1247</v>
      </c>
      <c r="C343" s="272"/>
      <c r="D343" s="823"/>
      <c r="E343" s="18"/>
      <c r="F343" s="274"/>
      <c r="G343" s="18"/>
      <c r="H343" s="18"/>
      <c r="I343" s="663"/>
    </row>
    <row r="344">
      <c r="B344" s="940" t="str">
        <f t="shared" ref="B344:B346" si="35">F344</f>
        <v/>
      </c>
      <c r="C344" s="240"/>
      <c r="D344" s="824"/>
      <c r="E344" s="242"/>
      <c r="F344" s="243"/>
      <c r="G344" s="244"/>
      <c r="H344" s="244"/>
      <c r="I344" s="662"/>
    </row>
    <row r="345">
      <c r="B345" s="938" t="str">
        <f t="shared" si="35"/>
        <v/>
      </c>
      <c r="C345" s="252"/>
      <c r="D345" s="822"/>
      <c r="F345" s="250"/>
      <c r="I345" s="847"/>
    </row>
    <row r="346">
      <c r="B346" s="938" t="str">
        <f t="shared" si="35"/>
        <v/>
      </c>
      <c r="C346" s="252"/>
      <c r="D346" s="822"/>
      <c r="F346" s="250"/>
      <c r="I346" s="847"/>
    </row>
    <row r="347">
      <c r="B347" s="309"/>
      <c r="C347" s="252"/>
      <c r="D347" s="822"/>
      <c r="F347" s="309"/>
    </row>
    <row r="348">
      <c r="B348" s="309"/>
      <c r="C348" s="252"/>
      <c r="D348" s="822"/>
      <c r="F348" s="309"/>
    </row>
    <row r="349">
      <c r="B349" s="309"/>
      <c r="C349" s="252"/>
      <c r="D349" s="822"/>
      <c r="F349" s="309"/>
    </row>
    <row r="350">
      <c r="B350" s="309"/>
      <c r="C350" s="252"/>
      <c r="D350" s="822"/>
      <c r="F350" s="309"/>
    </row>
    <row r="351">
      <c r="B351" s="309"/>
      <c r="C351" s="252"/>
      <c r="D351" s="822"/>
      <c r="F351" s="309"/>
    </row>
    <row r="352">
      <c r="B352" s="309"/>
      <c r="C352" s="252"/>
      <c r="D352" s="822"/>
      <c r="F352" s="309"/>
    </row>
    <row r="353">
      <c r="B353" s="309"/>
      <c r="C353" s="252"/>
      <c r="D353" s="822"/>
      <c r="F353" s="309"/>
    </row>
    <row r="354">
      <c r="B354" s="309"/>
      <c r="C354" s="252"/>
      <c r="D354" s="822"/>
      <c r="F354" s="309"/>
    </row>
    <row r="355">
      <c r="B355" s="309"/>
      <c r="C355" s="252"/>
      <c r="D355" s="822"/>
      <c r="F355" s="309"/>
    </row>
    <row r="356">
      <c r="B356" s="309"/>
      <c r="C356" s="252"/>
      <c r="D356" s="822"/>
      <c r="F356" s="309"/>
    </row>
    <row r="357">
      <c r="B357" s="309"/>
      <c r="C357" s="252"/>
      <c r="D357" s="822"/>
      <c r="F357" s="309"/>
    </row>
    <row r="358">
      <c r="B358" s="309"/>
      <c r="C358" s="252"/>
      <c r="D358" s="822"/>
      <c r="F358" s="309"/>
    </row>
    <row r="359">
      <c r="B359" s="309"/>
      <c r="C359" s="252"/>
      <c r="D359" s="822"/>
      <c r="F359" s="309"/>
    </row>
    <row r="360">
      <c r="B360" s="309"/>
      <c r="C360" s="252"/>
      <c r="D360" s="822"/>
      <c r="F360" s="309"/>
    </row>
    <row r="361">
      <c r="B361" s="309"/>
      <c r="C361" s="252"/>
      <c r="D361" s="822"/>
      <c r="F361" s="309"/>
    </row>
    <row r="362">
      <c r="B362" s="309"/>
      <c r="C362" s="252"/>
      <c r="D362" s="822"/>
      <c r="F362" s="309"/>
    </row>
    <row r="363">
      <c r="B363" s="309"/>
      <c r="C363" s="252"/>
      <c r="D363" s="822"/>
      <c r="F363" s="309"/>
    </row>
    <row r="364">
      <c r="B364" s="309"/>
      <c r="C364" s="252"/>
      <c r="D364" s="822"/>
      <c r="F364" s="309"/>
    </row>
    <row r="365">
      <c r="B365" s="309"/>
      <c r="C365" s="252"/>
      <c r="D365" s="822"/>
      <c r="F365" s="309"/>
    </row>
    <row r="366">
      <c r="B366" s="309"/>
      <c r="C366" s="252"/>
      <c r="D366" s="822"/>
      <c r="F366" s="309"/>
    </row>
    <row r="367">
      <c r="B367" s="309"/>
      <c r="C367" s="252"/>
      <c r="D367" s="822"/>
      <c r="F367" s="309"/>
    </row>
    <row r="368">
      <c r="B368" s="309"/>
      <c r="C368" s="252"/>
      <c r="D368" s="822"/>
      <c r="F368" s="309"/>
    </row>
    <row r="369">
      <c r="B369" s="309"/>
      <c r="C369" s="252"/>
      <c r="D369" s="822"/>
      <c r="F369" s="309"/>
    </row>
    <row r="370">
      <c r="B370" s="309"/>
      <c r="C370" s="252"/>
      <c r="D370" s="822"/>
      <c r="F370" s="309"/>
    </row>
    <row r="371">
      <c r="B371" s="309"/>
      <c r="C371" s="252"/>
      <c r="D371" s="822"/>
      <c r="F371" s="309"/>
    </row>
    <row r="372">
      <c r="B372" s="309"/>
      <c r="C372" s="252"/>
      <c r="D372" s="822"/>
      <c r="F372" s="309"/>
    </row>
    <row r="373">
      <c r="B373" s="309"/>
      <c r="C373" s="252"/>
      <c r="D373" s="822"/>
      <c r="F373" s="309"/>
    </row>
    <row r="374">
      <c r="B374" s="309"/>
      <c r="C374" s="252"/>
      <c r="D374" s="822"/>
      <c r="F374" s="309"/>
    </row>
    <row r="375">
      <c r="B375" s="309"/>
      <c r="C375" s="252"/>
      <c r="D375" s="822"/>
      <c r="F375" s="309"/>
    </row>
    <row r="376">
      <c r="B376" s="309"/>
      <c r="C376" s="252"/>
      <c r="D376" s="822"/>
      <c r="F376" s="309"/>
    </row>
    <row r="377">
      <c r="B377" s="309"/>
      <c r="C377" s="252"/>
      <c r="D377" s="822"/>
      <c r="F377" s="309"/>
    </row>
    <row r="378">
      <c r="B378" s="309"/>
      <c r="C378" s="252"/>
      <c r="D378" s="822"/>
      <c r="F378" s="309"/>
    </row>
    <row r="379">
      <c r="B379" s="309"/>
      <c r="C379" s="252"/>
      <c r="D379" s="822"/>
      <c r="F379" s="309"/>
    </row>
    <row r="380">
      <c r="B380" s="309"/>
      <c r="C380" s="252"/>
      <c r="D380" s="822"/>
      <c r="F380" s="309"/>
    </row>
    <row r="381">
      <c r="B381" s="309"/>
      <c r="C381" s="252"/>
      <c r="D381" s="822"/>
      <c r="F381" s="309"/>
    </row>
    <row r="382">
      <c r="B382" s="309"/>
      <c r="C382" s="252"/>
      <c r="D382" s="822"/>
      <c r="F382" s="309"/>
    </row>
    <row r="383">
      <c r="B383" s="309"/>
      <c r="C383" s="252"/>
      <c r="D383" s="822"/>
      <c r="F383" s="309"/>
    </row>
    <row r="384">
      <c r="B384" s="309"/>
      <c r="C384" s="252"/>
      <c r="D384" s="822"/>
      <c r="F384" s="309"/>
    </row>
    <row r="385">
      <c r="B385" s="309"/>
      <c r="C385" s="252"/>
      <c r="D385" s="822"/>
      <c r="F385" s="309"/>
    </row>
    <row r="386">
      <c r="B386" s="309"/>
      <c r="C386" s="252"/>
      <c r="D386" s="822"/>
      <c r="F386" s="309"/>
    </row>
    <row r="387">
      <c r="B387" s="309"/>
      <c r="C387" s="252"/>
      <c r="D387" s="822"/>
      <c r="F387" s="309"/>
    </row>
    <row r="388">
      <c r="B388" s="309"/>
      <c r="C388" s="252"/>
      <c r="D388" s="822"/>
      <c r="F388" s="309"/>
    </row>
    <row r="389">
      <c r="B389" s="309"/>
      <c r="C389" s="252"/>
      <c r="D389" s="822"/>
      <c r="F389" s="309"/>
    </row>
    <row r="390">
      <c r="B390" s="309"/>
      <c r="C390" s="252"/>
      <c r="D390" s="822"/>
      <c r="F390" s="309"/>
    </row>
    <row r="391">
      <c r="B391" s="309"/>
      <c r="C391" s="252"/>
      <c r="D391" s="822"/>
      <c r="F391" s="309"/>
    </row>
    <row r="392">
      <c r="B392" s="309"/>
      <c r="C392" s="252"/>
      <c r="D392" s="822"/>
      <c r="F392" s="309"/>
    </row>
    <row r="393">
      <c r="B393" s="309"/>
      <c r="C393" s="252"/>
      <c r="D393" s="822"/>
      <c r="F393" s="309"/>
    </row>
    <row r="394">
      <c r="B394" s="309"/>
      <c r="C394" s="252"/>
      <c r="D394" s="822"/>
      <c r="F394" s="309"/>
    </row>
    <row r="395">
      <c r="B395" s="309"/>
      <c r="C395" s="252"/>
      <c r="D395" s="822"/>
      <c r="F395" s="309"/>
    </row>
    <row r="396">
      <c r="B396" s="309"/>
      <c r="C396" s="252"/>
      <c r="D396" s="822"/>
      <c r="F396" s="309"/>
    </row>
    <row r="397">
      <c r="B397" s="309"/>
      <c r="C397" s="252"/>
      <c r="D397" s="822"/>
      <c r="F397" s="309"/>
    </row>
    <row r="398">
      <c r="B398" s="309"/>
      <c r="C398" s="252"/>
      <c r="D398" s="822"/>
      <c r="F398" s="309"/>
    </row>
    <row r="399">
      <c r="B399" s="309"/>
      <c r="C399" s="252"/>
      <c r="D399" s="822"/>
      <c r="F399" s="309"/>
    </row>
    <row r="400">
      <c r="B400" s="309"/>
      <c r="C400" s="252"/>
      <c r="D400" s="822"/>
      <c r="F400" s="309"/>
    </row>
    <row r="401">
      <c r="B401" s="309"/>
      <c r="C401" s="252"/>
      <c r="D401" s="822"/>
      <c r="F401" s="309"/>
    </row>
    <row r="402">
      <c r="B402" s="309"/>
      <c r="C402" s="252"/>
      <c r="D402" s="822"/>
      <c r="F402" s="309"/>
    </row>
    <row r="403">
      <c r="B403" s="309"/>
      <c r="C403" s="252"/>
      <c r="D403" s="822"/>
      <c r="F403" s="309"/>
    </row>
    <row r="404">
      <c r="B404" s="309"/>
      <c r="C404" s="252"/>
      <c r="D404" s="822"/>
      <c r="F404" s="309"/>
    </row>
    <row r="405">
      <c r="B405" s="309"/>
      <c r="C405" s="252"/>
      <c r="D405" s="822"/>
      <c r="F405" s="309"/>
    </row>
    <row r="406">
      <c r="B406" s="309"/>
      <c r="C406" s="252"/>
      <c r="D406" s="822"/>
      <c r="F406" s="309"/>
    </row>
    <row r="407">
      <c r="B407" s="309"/>
      <c r="C407" s="252"/>
      <c r="D407" s="822"/>
      <c r="F407" s="309"/>
    </row>
    <row r="408">
      <c r="B408" s="309"/>
      <c r="C408" s="252"/>
      <c r="D408" s="822"/>
      <c r="F408" s="309"/>
    </row>
    <row r="409">
      <c r="B409" s="309"/>
      <c r="C409" s="252"/>
      <c r="D409" s="822"/>
      <c r="F409" s="309"/>
    </row>
    <row r="410">
      <c r="B410" s="309"/>
      <c r="C410" s="252"/>
      <c r="D410" s="822"/>
      <c r="F410" s="309"/>
    </row>
    <row r="411">
      <c r="B411" s="309"/>
      <c r="C411" s="252"/>
      <c r="D411" s="822"/>
      <c r="F411" s="309"/>
    </row>
    <row r="412">
      <c r="B412" s="309"/>
      <c r="C412" s="252"/>
      <c r="D412" s="822"/>
      <c r="F412" s="309"/>
    </row>
    <row r="413">
      <c r="B413" s="309"/>
      <c r="C413" s="252"/>
      <c r="D413" s="822"/>
      <c r="F413" s="309"/>
    </row>
    <row r="414">
      <c r="B414" s="309"/>
      <c r="C414" s="252"/>
      <c r="D414" s="822"/>
      <c r="F414" s="309"/>
    </row>
    <row r="415">
      <c r="B415" s="309"/>
      <c r="C415" s="252"/>
      <c r="D415" s="822"/>
      <c r="F415" s="309"/>
    </row>
    <row r="416">
      <c r="B416" s="309"/>
      <c r="C416" s="252"/>
      <c r="D416" s="822"/>
      <c r="F416" s="309"/>
    </row>
    <row r="417">
      <c r="B417" s="309"/>
      <c r="C417" s="252"/>
      <c r="D417" s="822"/>
      <c r="F417" s="309"/>
    </row>
    <row r="418">
      <c r="B418" s="309"/>
      <c r="C418" s="252"/>
      <c r="D418" s="822"/>
      <c r="F418" s="309"/>
    </row>
    <row r="419">
      <c r="B419" s="309"/>
      <c r="C419" s="252"/>
      <c r="D419" s="822"/>
      <c r="F419" s="309"/>
    </row>
    <row r="420">
      <c r="B420" s="309"/>
      <c r="C420" s="252"/>
      <c r="D420" s="822"/>
      <c r="F420" s="309"/>
    </row>
    <row r="421">
      <c r="B421" s="309"/>
      <c r="C421" s="252"/>
      <c r="D421" s="822"/>
      <c r="F421" s="309"/>
    </row>
    <row r="422">
      <c r="B422" s="309"/>
      <c r="C422" s="252"/>
      <c r="D422" s="822"/>
      <c r="F422" s="309"/>
    </row>
    <row r="423">
      <c r="B423" s="309"/>
      <c r="C423" s="252"/>
      <c r="D423" s="822"/>
      <c r="F423" s="309"/>
    </row>
    <row r="424">
      <c r="B424" s="309"/>
      <c r="C424" s="252"/>
      <c r="D424" s="822"/>
      <c r="F424" s="309"/>
    </row>
    <row r="425">
      <c r="B425" s="309"/>
      <c r="C425" s="252"/>
      <c r="D425" s="822"/>
      <c r="F425" s="309"/>
    </row>
    <row r="426">
      <c r="B426" s="309"/>
      <c r="C426" s="252"/>
      <c r="D426" s="822"/>
      <c r="F426" s="309"/>
    </row>
    <row r="427">
      <c r="B427" s="309"/>
      <c r="C427" s="252"/>
      <c r="D427" s="822"/>
      <c r="F427" s="309"/>
    </row>
    <row r="428">
      <c r="B428" s="309"/>
      <c r="C428" s="252"/>
      <c r="D428" s="822"/>
      <c r="F428" s="309"/>
    </row>
    <row r="429">
      <c r="B429" s="309"/>
      <c r="C429" s="252"/>
      <c r="D429" s="822"/>
      <c r="F429" s="309"/>
    </row>
    <row r="430">
      <c r="B430" s="309"/>
      <c r="C430" s="252"/>
      <c r="D430" s="822"/>
      <c r="F430" s="309"/>
    </row>
    <row r="431">
      <c r="B431" s="309"/>
      <c r="C431" s="252"/>
      <c r="D431" s="822"/>
      <c r="F431" s="309"/>
    </row>
    <row r="432">
      <c r="B432" s="309"/>
      <c r="C432" s="252"/>
      <c r="D432" s="822"/>
      <c r="F432" s="309"/>
    </row>
    <row r="433">
      <c r="B433" s="309"/>
      <c r="C433" s="252"/>
      <c r="D433" s="822"/>
      <c r="F433" s="309"/>
    </row>
    <row r="434">
      <c r="B434" s="309"/>
      <c r="C434" s="252"/>
      <c r="D434" s="822"/>
      <c r="F434" s="309"/>
    </row>
    <row r="435">
      <c r="B435" s="309"/>
      <c r="C435" s="252"/>
      <c r="D435" s="822"/>
      <c r="F435" s="309"/>
    </row>
    <row r="436">
      <c r="B436" s="309"/>
      <c r="C436" s="252"/>
      <c r="D436" s="822"/>
      <c r="F436" s="309"/>
    </row>
    <row r="437">
      <c r="B437" s="309"/>
      <c r="C437" s="252"/>
      <c r="D437" s="822"/>
      <c r="F437" s="309"/>
    </row>
    <row r="438">
      <c r="B438" s="309"/>
      <c r="C438" s="252"/>
      <c r="D438" s="822"/>
      <c r="F438" s="309"/>
    </row>
    <row r="439">
      <c r="B439" s="309"/>
      <c r="C439" s="252"/>
      <c r="D439" s="822"/>
      <c r="F439" s="309"/>
    </row>
    <row r="440">
      <c r="B440" s="309"/>
      <c r="C440" s="252"/>
      <c r="D440" s="822"/>
      <c r="F440" s="309"/>
    </row>
    <row r="441">
      <c r="B441" s="309"/>
      <c r="C441" s="252"/>
      <c r="D441" s="822"/>
      <c r="F441" s="309"/>
    </row>
    <row r="442">
      <c r="B442" s="309"/>
      <c r="C442" s="252"/>
      <c r="D442" s="822"/>
      <c r="F442" s="309"/>
    </row>
    <row r="443">
      <c r="B443" s="309"/>
      <c r="C443" s="252"/>
      <c r="D443" s="822"/>
      <c r="F443" s="309"/>
    </row>
    <row r="444">
      <c r="B444" s="309"/>
      <c r="C444" s="252"/>
      <c r="D444" s="822"/>
      <c r="F444" s="309"/>
    </row>
    <row r="445">
      <c r="B445" s="309"/>
      <c r="C445" s="252"/>
      <c r="D445" s="822"/>
      <c r="F445" s="309"/>
    </row>
    <row r="446">
      <c r="B446" s="309"/>
      <c r="C446" s="252"/>
      <c r="D446" s="822"/>
      <c r="F446" s="309"/>
    </row>
    <row r="447">
      <c r="B447" s="309"/>
      <c r="C447" s="252"/>
      <c r="D447" s="822"/>
      <c r="F447" s="309"/>
    </row>
    <row r="448">
      <c r="B448" s="309"/>
      <c r="C448" s="252"/>
      <c r="D448" s="822"/>
      <c r="F448" s="309"/>
    </row>
    <row r="449">
      <c r="B449" s="309"/>
      <c r="C449" s="252"/>
      <c r="D449" s="822"/>
      <c r="F449" s="309"/>
    </row>
    <row r="450">
      <c r="B450" s="309"/>
      <c r="C450" s="252"/>
      <c r="D450" s="822"/>
      <c r="F450" s="309"/>
    </row>
    <row r="451">
      <c r="B451" s="309"/>
      <c r="C451" s="252"/>
      <c r="D451" s="822"/>
      <c r="F451" s="309"/>
    </row>
    <row r="452">
      <c r="B452" s="309"/>
      <c r="C452" s="252"/>
      <c r="D452" s="822"/>
      <c r="F452" s="309"/>
    </row>
    <row r="453">
      <c r="B453" s="309"/>
      <c r="C453" s="252"/>
      <c r="D453" s="822"/>
      <c r="F453" s="309"/>
    </row>
    <row r="454">
      <c r="B454" s="309"/>
      <c r="C454" s="252"/>
      <c r="D454" s="822"/>
      <c r="F454" s="309"/>
    </row>
    <row r="455">
      <c r="B455" s="309"/>
      <c r="C455" s="252"/>
      <c r="D455" s="822"/>
      <c r="F455" s="309"/>
    </row>
    <row r="456">
      <c r="B456" s="309"/>
      <c r="C456" s="252"/>
      <c r="D456" s="822"/>
      <c r="F456" s="309"/>
    </row>
    <row r="457">
      <c r="B457" s="309"/>
      <c r="C457" s="252"/>
      <c r="D457" s="822"/>
      <c r="F457" s="309"/>
    </row>
    <row r="458">
      <c r="B458" s="309"/>
      <c r="C458" s="252"/>
      <c r="D458" s="822"/>
      <c r="F458" s="309"/>
    </row>
    <row r="459">
      <c r="B459" s="309"/>
      <c r="C459" s="252"/>
      <c r="D459" s="822"/>
      <c r="F459" s="309"/>
    </row>
    <row r="460">
      <c r="B460" s="309"/>
      <c r="C460" s="252"/>
      <c r="D460" s="822"/>
      <c r="F460" s="309"/>
    </row>
    <row r="461">
      <c r="B461" s="309"/>
      <c r="C461" s="252"/>
      <c r="D461" s="822"/>
      <c r="F461" s="309"/>
    </row>
    <row r="462">
      <c r="B462" s="309"/>
      <c r="C462" s="252"/>
      <c r="D462" s="822"/>
      <c r="F462" s="309"/>
    </row>
    <row r="463">
      <c r="B463" s="309"/>
      <c r="C463" s="252"/>
      <c r="D463" s="822"/>
      <c r="F463" s="309"/>
    </row>
    <row r="464">
      <c r="B464" s="309"/>
      <c r="C464" s="252"/>
      <c r="D464" s="822"/>
      <c r="F464" s="309"/>
    </row>
    <row r="465">
      <c r="B465" s="309"/>
      <c r="C465" s="252"/>
      <c r="D465" s="822"/>
      <c r="F465" s="309"/>
    </row>
    <row r="466">
      <c r="B466" s="309"/>
      <c r="C466" s="252"/>
      <c r="D466" s="822"/>
      <c r="F466" s="309"/>
    </row>
    <row r="467">
      <c r="B467" s="309"/>
      <c r="C467" s="252"/>
      <c r="D467" s="822"/>
      <c r="F467" s="309"/>
    </row>
    <row r="468">
      <c r="B468" s="309"/>
      <c r="C468" s="252"/>
      <c r="D468" s="822"/>
      <c r="F468" s="309"/>
    </row>
    <row r="469">
      <c r="B469" s="309"/>
      <c r="C469" s="252"/>
      <c r="D469" s="822"/>
      <c r="F469" s="309"/>
    </row>
    <row r="470">
      <c r="B470" s="309"/>
      <c r="C470" s="252"/>
      <c r="D470" s="822"/>
      <c r="F470" s="309"/>
    </row>
    <row r="471">
      <c r="B471" s="309"/>
      <c r="C471" s="252"/>
      <c r="D471" s="822"/>
      <c r="F471" s="309"/>
    </row>
    <row r="472">
      <c r="B472" s="309"/>
      <c r="C472" s="252"/>
      <c r="D472" s="822"/>
      <c r="F472" s="309"/>
    </row>
    <row r="473">
      <c r="B473" s="309"/>
      <c r="C473" s="252"/>
      <c r="D473" s="822"/>
      <c r="F473" s="309"/>
    </row>
    <row r="474">
      <c r="B474" s="309"/>
      <c r="C474" s="252"/>
      <c r="D474" s="822"/>
      <c r="F474" s="309"/>
    </row>
    <row r="475">
      <c r="B475" s="309"/>
      <c r="C475" s="252"/>
      <c r="D475" s="822"/>
      <c r="F475" s="309"/>
    </row>
    <row r="476">
      <c r="B476" s="309"/>
      <c r="C476" s="252"/>
      <c r="D476" s="822"/>
      <c r="F476" s="309"/>
    </row>
    <row r="477">
      <c r="B477" s="309"/>
      <c r="C477" s="252"/>
      <c r="D477" s="822"/>
      <c r="F477" s="309"/>
    </row>
    <row r="478">
      <c r="B478" s="309"/>
      <c r="C478" s="252"/>
      <c r="D478" s="822"/>
      <c r="F478" s="309"/>
    </row>
    <row r="479">
      <c r="B479" s="309"/>
      <c r="C479" s="252"/>
      <c r="D479" s="822"/>
      <c r="F479" s="309"/>
    </row>
    <row r="480">
      <c r="B480" s="309"/>
      <c r="C480" s="252"/>
      <c r="D480" s="822"/>
      <c r="F480" s="309"/>
    </row>
    <row r="481">
      <c r="B481" s="309"/>
      <c r="C481" s="252"/>
      <c r="D481" s="822"/>
      <c r="F481" s="309"/>
    </row>
    <row r="482">
      <c r="B482" s="309"/>
      <c r="C482" s="252"/>
      <c r="D482" s="822"/>
      <c r="F482" s="309"/>
    </row>
    <row r="483">
      <c r="B483" s="309"/>
      <c r="C483" s="252"/>
      <c r="D483" s="822"/>
      <c r="F483" s="309"/>
    </row>
    <row r="484">
      <c r="B484" s="309"/>
      <c r="C484" s="252"/>
      <c r="D484" s="822"/>
      <c r="F484" s="309"/>
    </row>
    <row r="485">
      <c r="B485" s="309"/>
      <c r="C485" s="252"/>
      <c r="D485" s="822"/>
      <c r="F485" s="309"/>
    </row>
    <row r="486">
      <c r="B486" s="309"/>
      <c r="C486" s="252"/>
      <c r="D486" s="822"/>
      <c r="F486" s="309"/>
    </row>
    <row r="487">
      <c r="B487" s="309"/>
      <c r="C487" s="252"/>
      <c r="D487" s="822"/>
      <c r="F487" s="309"/>
    </row>
    <row r="488">
      <c r="B488" s="309"/>
      <c r="C488" s="252"/>
      <c r="D488" s="822"/>
      <c r="F488" s="309"/>
    </row>
    <row r="489">
      <c r="B489" s="309"/>
      <c r="C489" s="252"/>
      <c r="D489" s="822"/>
      <c r="F489" s="309"/>
    </row>
    <row r="490">
      <c r="B490" s="309"/>
      <c r="C490" s="252"/>
      <c r="D490" s="822"/>
      <c r="F490" s="309"/>
    </row>
    <row r="491">
      <c r="B491" s="309"/>
      <c r="C491" s="252"/>
      <c r="D491" s="822"/>
      <c r="F491" s="309"/>
    </row>
    <row r="492">
      <c r="B492" s="309"/>
      <c r="C492" s="252"/>
      <c r="D492" s="822"/>
      <c r="F492" s="309"/>
    </row>
    <row r="493">
      <c r="B493" s="309"/>
      <c r="C493" s="252"/>
      <c r="D493" s="822"/>
      <c r="F493" s="309"/>
    </row>
    <row r="494">
      <c r="B494" s="309"/>
      <c r="C494" s="252"/>
      <c r="D494" s="822"/>
      <c r="F494" s="309"/>
    </row>
    <row r="495">
      <c r="B495" s="309"/>
      <c r="C495" s="252"/>
      <c r="D495" s="822"/>
      <c r="F495" s="309"/>
    </row>
    <row r="496">
      <c r="B496" s="309"/>
      <c r="C496" s="252"/>
      <c r="D496" s="822"/>
      <c r="F496" s="309"/>
    </row>
    <row r="497">
      <c r="B497" s="309"/>
      <c r="C497" s="252"/>
      <c r="D497" s="822"/>
      <c r="F497" s="309"/>
    </row>
    <row r="498">
      <c r="B498" s="309"/>
      <c r="C498" s="252"/>
      <c r="D498" s="822"/>
      <c r="F498" s="309"/>
    </row>
    <row r="499">
      <c r="B499" s="309"/>
      <c r="C499" s="252"/>
      <c r="D499" s="822"/>
      <c r="F499" s="309"/>
    </row>
    <row r="500">
      <c r="B500" s="309"/>
      <c r="C500" s="252"/>
      <c r="D500" s="822"/>
      <c r="F500" s="309"/>
    </row>
    <row r="501">
      <c r="B501" s="309"/>
      <c r="C501" s="252"/>
      <c r="D501" s="822"/>
      <c r="F501" s="309"/>
    </row>
    <row r="502">
      <c r="B502" s="309"/>
      <c r="C502" s="252"/>
      <c r="D502" s="822"/>
      <c r="F502" s="309"/>
    </row>
    <row r="503">
      <c r="B503" s="309"/>
      <c r="C503" s="252"/>
      <c r="D503" s="822"/>
      <c r="F503" s="309"/>
    </row>
    <row r="504">
      <c r="B504" s="309"/>
      <c r="C504" s="252"/>
      <c r="D504" s="822"/>
      <c r="F504" s="309"/>
    </row>
    <row r="505">
      <c r="B505" s="309"/>
      <c r="C505" s="252"/>
      <c r="D505" s="822"/>
      <c r="F505" s="309"/>
    </row>
    <row r="506">
      <c r="B506" s="309"/>
      <c r="C506" s="252"/>
      <c r="D506" s="822"/>
      <c r="F506" s="309"/>
    </row>
    <row r="507">
      <c r="B507" s="309"/>
      <c r="C507" s="252"/>
      <c r="D507" s="822"/>
      <c r="F507" s="309"/>
    </row>
    <row r="508">
      <c r="B508" s="309"/>
      <c r="C508" s="252"/>
      <c r="D508" s="822"/>
      <c r="F508" s="309"/>
    </row>
    <row r="509">
      <c r="B509" s="309"/>
      <c r="C509" s="252"/>
      <c r="D509" s="822"/>
      <c r="F509" s="309"/>
    </row>
    <row r="510">
      <c r="B510" s="309"/>
      <c r="C510" s="252"/>
      <c r="D510" s="822"/>
      <c r="F510" s="309"/>
    </row>
    <row r="511">
      <c r="B511" s="309"/>
      <c r="C511" s="252"/>
      <c r="D511" s="822"/>
      <c r="F511" s="309"/>
    </row>
    <row r="512">
      <c r="B512" s="309"/>
      <c r="C512" s="252"/>
      <c r="D512" s="822"/>
      <c r="F512" s="309"/>
    </row>
    <row r="513">
      <c r="B513" s="309"/>
      <c r="C513" s="252"/>
      <c r="D513" s="822"/>
      <c r="F513" s="309"/>
    </row>
    <row r="514">
      <c r="B514" s="309"/>
      <c r="C514" s="252"/>
      <c r="D514" s="822"/>
      <c r="F514" s="309"/>
    </row>
    <row r="515">
      <c r="B515" s="309"/>
      <c r="C515" s="252"/>
      <c r="D515" s="822"/>
      <c r="F515" s="309"/>
    </row>
    <row r="516">
      <c r="B516" s="309"/>
      <c r="C516" s="252"/>
      <c r="D516" s="822"/>
      <c r="F516" s="309"/>
    </row>
    <row r="517">
      <c r="B517" s="309"/>
      <c r="C517" s="252"/>
      <c r="D517" s="822"/>
      <c r="F517" s="309"/>
    </row>
    <row r="518">
      <c r="B518" s="309"/>
      <c r="C518" s="252"/>
      <c r="D518" s="822"/>
      <c r="F518" s="309"/>
    </row>
    <row r="519">
      <c r="B519" s="309"/>
      <c r="C519" s="252"/>
      <c r="D519" s="822"/>
      <c r="F519" s="309"/>
    </row>
    <row r="520">
      <c r="B520" s="309"/>
      <c r="C520" s="252"/>
      <c r="D520" s="822"/>
      <c r="F520" s="309"/>
    </row>
    <row r="521">
      <c r="B521" s="309"/>
      <c r="C521" s="252"/>
      <c r="D521" s="822"/>
      <c r="F521" s="309"/>
    </row>
    <row r="522">
      <c r="B522" s="309"/>
      <c r="C522" s="252"/>
      <c r="D522" s="822"/>
      <c r="F522" s="309"/>
    </row>
    <row r="523">
      <c r="B523" s="309"/>
      <c r="C523" s="252"/>
      <c r="D523" s="822"/>
      <c r="F523" s="309"/>
    </row>
    <row r="524">
      <c r="B524" s="309"/>
      <c r="C524" s="252"/>
      <c r="D524" s="822"/>
      <c r="F524" s="309"/>
    </row>
    <row r="525">
      <c r="B525" s="309"/>
      <c r="C525" s="252"/>
      <c r="D525" s="822"/>
      <c r="F525" s="309"/>
    </row>
    <row r="526">
      <c r="B526" s="309"/>
      <c r="C526" s="252"/>
      <c r="D526" s="822"/>
      <c r="F526" s="309"/>
    </row>
    <row r="527">
      <c r="B527" s="309"/>
      <c r="C527" s="252"/>
      <c r="D527" s="822"/>
      <c r="F527" s="309"/>
    </row>
    <row r="528">
      <c r="B528" s="309"/>
      <c r="C528" s="252"/>
      <c r="D528" s="822"/>
      <c r="F528" s="309"/>
    </row>
    <row r="529">
      <c r="B529" s="309"/>
      <c r="C529" s="252"/>
      <c r="D529" s="822"/>
      <c r="F529" s="309"/>
    </row>
    <row r="530">
      <c r="B530" s="309"/>
      <c r="C530" s="252"/>
      <c r="D530" s="822"/>
      <c r="F530" s="309"/>
    </row>
    <row r="531">
      <c r="B531" s="309"/>
      <c r="C531" s="252"/>
      <c r="D531" s="822"/>
      <c r="F531" s="309"/>
    </row>
    <row r="532">
      <c r="B532" s="309"/>
      <c r="C532" s="252"/>
      <c r="D532" s="822"/>
      <c r="F532" s="309"/>
    </row>
    <row r="533">
      <c r="B533" s="309"/>
      <c r="C533" s="252"/>
      <c r="D533" s="822"/>
      <c r="F533" s="309"/>
    </row>
    <row r="534">
      <c r="B534" s="309"/>
      <c r="C534" s="252"/>
      <c r="D534" s="822"/>
      <c r="F534" s="309"/>
    </row>
    <row r="535">
      <c r="B535" s="309"/>
      <c r="C535" s="252"/>
      <c r="D535" s="822"/>
      <c r="F535" s="309"/>
    </row>
    <row r="536">
      <c r="B536" s="309"/>
      <c r="C536" s="252"/>
      <c r="D536" s="822"/>
      <c r="F536" s="309"/>
    </row>
    <row r="537">
      <c r="B537" s="309"/>
      <c r="C537" s="252"/>
      <c r="D537" s="822"/>
      <c r="F537" s="309"/>
    </row>
    <row r="538">
      <c r="B538" s="309"/>
      <c r="C538" s="252"/>
      <c r="D538" s="822"/>
      <c r="F538" s="309"/>
    </row>
    <row r="539">
      <c r="B539" s="309"/>
      <c r="C539" s="252"/>
      <c r="D539" s="822"/>
      <c r="F539" s="309"/>
    </row>
    <row r="540">
      <c r="B540" s="309"/>
      <c r="C540" s="252"/>
      <c r="D540" s="822"/>
      <c r="F540" s="309"/>
    </row>
    <row r="541">
      <c r="B541" s="309"/>
      <c r="C541" s="252"/>
      <c r="D541" s="822"/>
      <c r="F541" s="309"/>
    </row>
    <row r="542">
      <c r="B542" s="309"/>
      <c r="C542" s="252"/>
      <c r="D542" s="822"/>
      <c r="F542" s="309"/>
    </row>
    <row r="543">
      <c r="B543" s="309"/>
      <c r="C543" s="252"/>
      <c r="D543" s="822"/>
      <c r="F543" s="309"/>
    </row>
    <row r="544">
      <c r="B544" s="309"/>
      <c r="C544" s="252"/>
      <c r="D544" s="822"/>
      <c r="F544" s="309"/>
    </row>
    <row r="545">
      <c r="B545" s="309"/>
      <c r="C545" s="252"/>
      <c r="D545" s="822"/>
      <c r="F545" s="309"/>
    </row>
    <row r="546">
      <c r="B546" s="309"/>
      <c r="C546" s="252"/>
      <c r="D546" s="822"/>
      <c r="F546" s="309"/>
    </row>
    <row r="547">
      <c r="B547" s="309"/>
      <c r="C547" s="252"/>
      <c r="D547" s="822"/>
      <c r="F547" s="309"/>
    </row>
    <row r="548">
      <c r="B548" s="309"/>
      <c r="C548" s="252"/>
      <c r="D548" s="822"/>
      <c r="F548" s="309"/>
    </row>
    <row r="549">
      <c r="B549" s="309"/>
      <c r="C549" s="252"/>
      <c r="D549" s="822"/>
      <c r="F549" s="309"/>
    </row>
    <row r="550">
      <c r="B550" s="309"/>
      <c r="C550" s="252"/>
      <c r="D550" s="822"/>
      <c r="F550" s="309"/>
    </row>
    <row r="551">
      <c r="B551" s="309"/>
      <c r="C551" s="252"/>
      <c r="D551" s="822"/>
      <c r="F551" s="309"/>
    </row>
    <row r="552">
      <c r="B552" s="309"/>
      <c r="C552" s="252"/>
      <c r="D552" s="822"/>
      <c r="F552" s="309"/>
    </row>
    <row r="553">
      <c r="B553" s="309"/>
      <c r="C553" s="252"/>
      <c r="D553" s="822"/>
      <c r="F553" s="309"/>
    </row>
    <row r="554">
      <c r="B554" s="309"/>
      <c r="C554" s="252"/>
      <c r="D554" s="822"/>
      <c r="F554" s="309"/>
    </row>
    <row r="555">
      <c r="B555" s="309"/>
      <c r="C555" s="252"/>
      <c r="D555" s="822"/>
      <c r="F555" s="309"/>
    </row>
    <row r="556">
      <c r="B556" s="309"/>
      <c r="C556" s="252"/>
      <c r="D556" s="822"/>
      <c r="F556" s="309"/>
    </row>
    <row r="557">
      <c r="B557" s="309"/>
      <c r="C557" s="252"/>
      <c r="D557" s="822"/>
      <c r="F557" s="309"/>
    </row>
    <row r="558">
      <c r="B558" s="309"/>
      <c r="C558" s="252"/>
      <c r="D558" s="822"/>
      <c r="F558" s="309"/>
    </row>
    <row r="559">
      <c r="B559" s="309"/>
      <c r="C559" s="252"/>
      <c r="D559" s="822"/>
      <c r="F559" s="309"/>
    </row>
    <row r="560">
      <c r="B560" s="309"/>
      <c r="C560" s="252"/>
      <c r="D560" s="822"/>
      <c r="F560" s="309"/>
    </row>
    <row r="561">
      <c r="B561" s="309"/>
      <c r="C561" s="252"/>
      <c r="D561" s="822"/>
      <c r="F561" s="309"/>
    </row>
    <row r="562">
      <c r="B562" s="309"/>
      <c r="C562" s="252"/>
      <c r="D562" s="822"/>
      <c r="F562" s="309"/>
    </row>
    <row r="563">
      <c r="B563" s="309"/>
      <c r="C563" s="252"/>
      <c r="D563" s="822"/>
      <c r="F563" s="309"/>
    </row>
    <row r="564">
      <c r="B564" s="309"/>
      <c r="C564" s="252"/>
      <c r="D564" s="822"/>
      <c r="F564" s="309"/>
    </row>
    <row r="565">
      <c r="B565" s="309"/>
      <c r="C565" s="252"/>
      <c r="D565" s="822"/>
      <c r="F565" s="309"/>
    </row>
    <row r="566">
      <c r="B566" s="309"/>
      <c r="C566" s="252"/>
      <c r="D566" s="822"/>
      <c r="F566" s="309"/>
    </row>
    <row r="567">
      <c r="B567" s="309"/>
      <c r="C567" s="252"/>
      <c r="D567" s="822"/>
      <c r="F567" s="309"/>
    </row>
    <row r="568">
      <c r="B568" s="309"/>
      <c r="C568" s="252"/>
      <c r="D568" s="822"/>
      <c r="F568" s="309"/>
    </row>
    <row r="569">
      <c r="B569" s="309"/>
      <c r="C569" s="252"/>
      <c r="D569" s="822"/>
      <c r="F569" s="309"/>
    </row>
    <row r="570">
      <c r="B570" s="309"/>
      <c r="C570" s="252"/>
      <c r="D570" s="822"/>
      <c r="F570" s="309"/>
    </row>
    <row r="571">
      <c r="B571" s="309"/>
      <c r="C571" s="252"/>
      <c r="D571" s="822"/>
      <c r="F571" s="309"/>
    </row>
    <row r="572">
      <c r="B572" s="309"/>
      <c r="C572" s="252"/>
      <c r="D572" s="822"/>
      <c r="F572" s="309"/>
    </row>
    <row r="573">
      <c r="B573" s="309"/>
      <c r="C573" s="252"/>
      <c r="D573" s="822"/>
      <c r="F573" s="309"/>
    </row>
    <row r="574">
      <c r="B574" s="309"/>
      <c r="C574" s="252"/>
      <c r="D574" s="822"/>
      <c r="F574" s="309"/>
    </row>
    <row r="575">
      <c r="B575" s="309"/>
      <c r="C575" s="252"/>
      <c r="D575" s="822"/>
      <c r="F575" s="309"/>
    </row>
    <row r="576">
      <c r="B576" s="309"/>
      <c r="C576" s="252"/>
      <c r="D576" s="822"/>
      <c r="F576" s="309"/>
    </row>
    <row r="577">
      <c r="B577" s="309"/>
      <c r="C577" s="252"/>
      <c r="D577" s="822"/>
      <c r="F577" s="309"/>
    </row>
    <row r="578">
      <c r="B578" s="309"/>
      <c r="C578" s="252"/>
      <c r="D578" s="822"/>
      <c r="F578" s="309"/>
    </row>
    <row r="579">
      <c r="B579" s="309"/>
      <c r="C579" s="252"/>
      <c r="D579" s="822"/>
      <c r="F579" s="309"/>
    </row>
    <row r="580">
      <c r="B580" s="309"/>
      <c r="C580" s="252"/>
      <c r="D580" s="822"/>
      <c r="F580" s="309"/>
    </row>
    <row r="581">
      <c r="B581" s="309"/>
      <c r="C581" s="252"/>
      <c r="D581" s="822"/>
      <c r="F581" s="309"/>
    </row>
    <row r="582">
      <c r="B582" s="309"/>
      <c r="C582" s="252"/>
      <c r="D582" s="822"/>
      <c r="F582" s="309"/>
    </row>
    <row r="583">
      <c r="B583" s="309"/>
      <c r="C583" s="252"/>
      <c r="D583" s="822"/>
      <c r="F583" s="309"/>
    </row>
    <row r="584">
      <c r="B584" s="309"/>
      <c r="C584" s="252"/>
      <c r="D584" s="822"/>
      <c r="F584" s="309"/>
    </row>
    <row r="585">
      <c r="B585" s="309"/>
      <c r="C585" s="252"/>
      <c r="D585" s="822"/>
      <c r="F585" s="309"/>
    </row>
    <row r="586">
      <c r="B586" s="309"/>
      <c r="C586" s="252"/>
      <c r="D586" s="822"/>
      <c r="F586" s="309"/>
    </row>
    <row r="587">
      <c r="B587" s="309"/>
      <c r="C587" s="252"/>
      <c r="D587" s="822"/>
      <c r="F587" s="309"/>
    </row>
    <row r="588">
      <c r="B588" s="309"/>
      <c r="C588" s="252"/>
      <c r="D588" s="822"/>
      <c r="F588" s="309"/>
    </row>
    <row r="589">
      <c r="B589" s="309"/>
      <c r="C589" s="252"/>
      <c r="D589" s="822"/>
      <c r="F589" s="309"/>
    </row>
    <row r="590">
      <c r="B590" s="309"/>
      <c r="C590" s="252"/>
      <c r="D590" s="822"/>
      <c r="F590" s="309"/>
    </row>
    <row r="591">
      <c r="B591" s="309"/>
      <c r="C591" s="252"/>
      <c r="D591" s="822"/>
      <c r="F591" s="309"/>
    </row>
    <row r="592">
      <c r="B592" s="309"/>
      <c r="C592" s="252"/>
      <c r="D592" s="822"/>
      <c r="F592" s="309"/>
    </row>
    <row r="593">
      <c r="B593" s="309"/>
      <c r="C593" s="252"/>
      <c r="D593" s="822"/>
      <c r="F593" s="309"/>
    </row>
    <row r="594">
      <c r="B594" s="309"/>
      <c r="C594" s="252"/>
      <c r="D594" s="822"/>
      <c r="F594" s="309"/>
    </row>
    <row r="595">
      <c r="B595" s="309"/>
      <c r="C595" s="252"/>
      <c r="D595" s="822"/>
      <c r="F595" s="309"/>
    </row>
    <row r="596">
      <c r="B596" s="309"/>
      <c r="C596" s="252"/>
      <c r="D596" s="822"/>
      <c r="F596" s="309"/>
    </row>
    <row r="597">
      <c r="B597" s="309"/>
      <c r="C597" s="252"/>
      <c r="D597" s="822"/>
      <c r="F597" s="309"/>
    </row>
    <row r="598">
      <c r="B598" s="309"/>
      <c r="C598" s="252"/>
      <c r="D598" s="822"/>
      <c r="F598" s="309"/>
    </row>
    <row r="599">
      <c r="B599" s="309"/>
      <c r="C599" s="252"/>
      <c r="D599" s="822"/>
      <c r="F599" s="309"/>
    </row>
    <row r="600">
      <c r="B600" s="309"/>
      <c r="C600" s="252"/>
      <c r="D600" s="822"/>
      <c r="F600" s="309"/>
    </row>
    <row r="601">
      <c r="B601" s="309"/>
      <c r="C601" s="252"/>
      <c r="D601" s="822"/>
      <c r="F601" s="309"/>
    </row>
    <row r="602">
      <c r="B602" s="309"/>
      <c r="C602" s="252"/>
      <c r="D602" s="822"/>
      <c r="F602" s="309"/>
    </row>
    <row r="603">
      <c r="B603" s="309"/>
      <c r="C603" s="252"/>
      <c r="D603" s="822"/>
      <c r="F603" s="309"/>
    </row>
    <row r="604">
      <c r="B604" s="309"/>
      <c r="C604" s="252"/>
      <c r="D604" s="822"/>
      <c r="F604" s="309"/>
    </row>
    <row r="605">
      <c r="B605" s="309"/>
      <c r="C605" s="252"/>
      <c r="D605" s="822"/>
      <c r="F605" s="309"/>
    </row>
    <row r="606">
      <c r="B606" s="309"/>
      <c r="C606" s="252"/>
      <c r="D606" s="822"/>
      <c r="F606" s="309"/>
    </row>
    <row r="607">
      <c r="B607" s="309"/>
      <c r="C607" s="252"/>
      <c r="D607" s="822"/>
      <c r="F607" s="309"/>
    </row>
    <row r="608">
      <c r="B608" s="309"/>
      <c r="C608" s="252"/>
      <c r="D608" s="822"/>
      <c r="F608" s="309"/>
    </row>
    <row r="609">
      <c r="B609" s="309"/>
      <c r="C609" s="252"/>
      <c r="D609" s="822"/>
      <c r="F609" s="309"/>
    </row>
    <row r="610">
      <c r="B610" s="309"/>
      <c r="C610" s="252"/>
      <c r="D610" s="822"/>
      <c r="F610" s="309"/>
    </row>
    <row r="611">
      <c r="B611" s="309"/>
      <c r="C611" s="252"/>
      <c r="D611" s="822"/>
      <c r="F611" s="309"/>
    </row>
    <row r="612">
      <c r="B612" s="309"/>
      <c r="C612" s="252"/>
      <c r="D612" s="822"/>
      <c r="F612" s="309"/>
    </row>
    <row r="613">
      <c r="B613" s="309"/>
      <c r="C613" s="252"/>
      <c r="D613" s="822"/>
      <c r="F613" s="309"/>
    </row>
    <row r="614">
      <c r="B614" s="309"/>
      <c r="C614" s="252"/>
      <c r="D614" s="822"/>
      <c r="F614" s="309"/>
    </row>
    <row r="615">
      <c r="B615" s="309"/>
      <c r="C615" s="252"/>
      <c r="D615" s="822"/>
      <c r="F615" s="309"/>
    </row>
    <row r="616">
      <c r="B616" s="309"/>
      <c r="C616" s="252"/>
      <c r="D616" s="822"/>
      <c r="F616" s="309"/>
    </row>
    <row r="617">
      <c r="B617" s="309"/>
      <c r="C617" s="252"/>
      <c r="D617" s="822"/>
      <c r="F617" s="309"/>
    </row>
    <row r="618">
      <c r="B618" s="309"/>
      <c r="C618" s="252"/>
      <c r="D618" s="822"/>
      <c r="F618" s="309"/>
    </row>
    <row r="619">
      <c r="B619" s="309"/>
      <c r="C619" s="252"/>
      <c r="D619" s="822"/>
      <c r="F619" s="309"/>
    </row>
    <row r="620">
      <c r="B620" s="309"/>
      <c r="C620" s="252"/>
      <c r="D620" s="822"/>
      <c r="F620" s="309"/>
    </row>
    <row r="621">
      <c r="B621" s="309"/>
      <c r="C621" s="252"/>
      <c r="D621" s="822"/>
      <c r="F621" s="309"/>
    </row>
    <row r="622">
      <c r="B622" s="309"/>
      <c r="C622" s="252"/>
      <c r="D622" s="822"/>
      <c r="F622" s="309"/>
    </row>
    <row r="623">
      <c r="B623" s="309"/>
      <c r="C623" s="252"/>
      <c r="D623" s="822"/>
      <c r="F623" s="309"/>
    </row>
    <row r="624">
      <c r="B624" s="309"/>
      <c r="C624" s="252"/>
      <c r="D624" s="822"/>
      <c r="F624" s="309"/>
    </row>
    <row r="625">
      <c r="B625" s="309"/>
      <c r="C625" s="252"/>
      <c r="D625" s="822"/>
      <c r="F625" s="309"/>
    </row>
    <row r="626">
      <c r="B626" s="309"/>
      <c r="C626" s="252"/>
      <c r="D626" s="822"/>
      <c r="F626" s="309"/>
    </row>
    <row r="627">
      <c r="B627" s="309"/>
      <c r="C627" s="252"/>
      <c r="D627" s="822"/>
      <c r="F627" s="309"/>
    </row>
    <row r="628">
      <c r="B628" s="309"/>
      <c r="C628" s="252"/>
      <c r="D628" s="822"/>
      <c r="F628" s="309"/>
    </row>
    <row r="629">
      <c r="B629" s="309"/>
      <c r="C629" s="252"/>
      <c r="D629" s="822"/>
      <c r="F629" s="309"/>
    </row>
    <row r="630">
      <c r="B630" s="309"/>
      <c r="C630" s="252"/>
      <c r="D630" s="822"/>
      <c r="F630" s="309"/>
    </row>
    <row r="631">
      <c r="B631" s="309"/>
      <c r="C631" s="252"/>
      <c r="D631" s="822"/>
      <c r="F631" s="309"/>
    </row>
    <row r="632">
      <c r="B632" s="309"/>
      <c r="C632" s="252"/>
      <c r="D632" s="822"/>
      <c r="F632" s="309"/>
    </row>
    <row r="633">
      <c r="B633" s="309"/>
      <c r="C633" s="252"/>
      <c r="D633" s="822"/>
      <c r="F633" s="309"/>
    </row>
    <row r="634">
      <c r="B634" s="309"/>
      <c r="C634" s="252"/>
      <c r="D634" s="822"/>
      <c r="F634" s="309"/>
    </row>
    <row r="635">
      <c r="B635" s="309"/>
      <c r="C635" s="252"/>
      <c r="D635" s="822"/>
      <c r="F635" s="309"/>
    </row>
    <row r="636">
      <c r="B636" s="309"/>
      <c r="C636" s="252"/>
      <c r="D636" s="822"/>
      <c r="F636" s="309"/>
    </row>
    <row r="637">
      <c r="B637" s="309"/>
      <c r="C637" s="252"/>
      <c r="D637" s="822"/>
      <c r="F637" s="309"/>
    </row>
    <row r="638">
      <c r="B638" s="309"/>
      <c r="C638" s="252"/>
      <c r="D638" s="822"/>
      <c r="F638" s="309"/>
    </row>
    <row r="639">
      <c r="B639" s="309"/>
      <c r="C639" s="252"/>
      <c r="D639" s="822"/>
      <c r="F639" s="309"/>
    </row>
    <row r="640">
      <c r="B640" s="309"/>
      <c r="C640" s="252"/>
      <c r="D640" s="822"/>
      <c r="F640" s="309"/>
    </row>
    <row r="641">
      <c r="B641" s="309"/>
      <c r="C641" s="252"/>
      <c r="D641" s="822"/>
      <c r="F641" s="309"/>
    </row>
    <row r="642">
      <c r="B642" s="309"/>
      <c r="C642" s="252"/>
      <c r="D642" s="822"/>
      <c r="F642" s="309"/>
    </row>
    <row r="643">
      <c r="B643" s="309"/>
      <c r="C643" s="252"/>
      <c r="D643" s="822"/>
      <c r="F643" s="309"/>
    </row>
    <row r="644">
      <c r="B644" s="309"/>
      <c r="C644" s="252"/>
      <c r="D644" s="822"/>
      <c r="F644" s="309"/>
    </row>
    <row r="645">
      <c r="B645" s="309"/>
      <c r="C645" s="252"/>
      <c r="D645" s="822"/>
      <c r="F645" s="309"/>
    </row>
    <row r="646">
      <c r="B646" s="309"/>
      <c r="C646" s="252"/>
      <c r="D646" s="822"/>
      <c r="F646" s="309"/>
    </row>
    <row r="647">
      <c r="B647" s="309"/>
      <c r="C647" s="252"/>
      <c r="D647" s="822"/>
      <c r="F647" s="309"/>
    </row>
    <row r="648">
      <c r="B648" s="309"/>
      <c r="C648" s="252"/>
      <c r="D648" s="822"/>
      <c r="F648" s="309"/>
    </row>
    <row r="649">
      <c r="B649" s="309"/>
      <c r="C649" s="252"/>
      <c r="D649" s="822"/>
      <c r="F649" s="309"/>
    </row>
    <row r="650">
      <c r="B650" s="309"/>
      <c r="C650" s="252"/>
      <c r="D650" s="822"/>
      <c r="F650" s="309"/>
    </row>
    <row r="651">
      <c r="B651" s="309"/>
      <c r="C651" s="252"/>
      <c r="D651" s="822"/>
      <c r="F651" s="309"/>
    </row>
    <row r="652">
      <c r="B652" s="309"/>
      <c r="C652" s="252"/>
      <c r="D652" s="822"/>
      <c r="F652" s="309"/>
    </row>
  </sheetData>
  <mergeCells count="33">
    <mergeCell ref="G1:H1"/>
    <mergeCell ref="A2:A11"/>
    <mergeCell ref="A12:A21"/>
    <mergeCell ref="A22:A34"/>
    <mergeCell ref="A35:A44"/>
    <mergeCell ref="A45:A54"/>
    <mergeCell ref="A55:A66"/>
    <mergeCell ref="A67:A76"/>
    <mergeCell ref="A77:A86"/>
    <mergeCell ref="A87:A97"/>
    <mergeCell ref="A98:A107"/>
    <mergeCell ref="A108:A117"/>
    <mergeCell ref="A118:A127"/>
    <mergeCell ref="A128:A137"/>
    <mergeCell ref="A138:A152"/>
    <mergeCell ref="A153:A162"/>
    <mergeCell ref="A163:A172"/>
    <mergeCell ref="A173:A184"/>
    <mergeCell ref="A185:A194"/>
    <mergeCell ref="A195:A204"/>
    <mergeCell ref="A205:A215"/>
    <mergeCell ref="A292:A301"/>
    <mergeCell ref="A302:A313"/>
    <mergeCell ref="A314:A323"/>
    <mergeCell ref="A324:A333"/>
    <mergeCell ref="A334:A343"/>
    <mergeCell ref="A216:A225"/>
    <mergeCell ref="A226:A235"/>
    <mergeCell ref="A236:A250"/>
    <mergeCell ref="A251:A260"/>
    <mergeCell ref="A261:A270"/>
    <mergeCell ref="A271:A280"/>
    <mergeCell ref="A281:A291"/>
  </mergeCell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3865</v>
      </c>
      <c r="E1" s="2" t="s">
        <v>3866</v>
      </c>
    </row>
    <row r="2">
      <c r="A2" s="2" t="s">
        <v>763</v>
      </c>
    </row>
    <row r="3">
      <c r="E3" s="2">
        <v>1000.0</v>
      </c>
    </row>
    <row r="4">
      <c r="A4" s="2" t="s">
        <v>3866</v>
      </c>
      <c r="E4" s="2">
        <v>500.0</v>
      </c>
    </row>
    <row r="5">
      <c r="A5" s="2" t="s">
        <v>3867</v>
      </c>
      <c r="E5" s="2">
        <v>200.0</v>
      </c>
    </row>
    <row r="6">
      <c r="A6" s="2" t="s">
        <v>3868</v>
      </c>
      <c r="E6" s="2">
        <v>100.0</v>
      </c>
    </row>
    <row r="7">
      <c r="A7" s="2" t="s">
        <v>3869</v>
      </c>
      <c r="E7" s="2">
        <v>50.0</v>
      </c>
    </row>
    <row r="8">
      <c r="A8" s="2" t="s">
        <v>3870</v>
      </c>
      <c r="E8" s="2">
        <v>20.0</v>
      </c>
    </row>
    <row r="9">
      <c r="A9" s="2" t="s">
        <v>3871</v>
      </c>
      <c r="E9" s="2">
        <v>10.0</v>
      </c>
    </row>
    <row r="10">
      <c r="A10" s="2" t="s">
        <v>3872</v>
      </c>
      <c r="E10" s="2">
        <v>5.0</v>
      </c>
    </row>
    <row r="11">
      <c r="A11" s="2" t="s">
        <v>3873</v>
      </c>
      <c r="E11" s="2">
        <v>2.0</v>
      </c>
    </row>
    <row r="12">
      <c r="E12" s="2">
        <v>1.0</v>
      </c>
    </row>
    <row r="13">
      <c r="A13" s="2" t="s">
        <v>3874</v>
      </c>
    </row>
    <row r="14">
      <c r="A14" s="2" t="s">
        <v>3875</v>
      </c>
      <c r="E14" s="2" t="s">
        <v>28</v>
      </c>
    </row>
    <row r="15">
      <c r="A15" s="2" t="s">
        <v>3876</v>
      </c>
    </row>
  </sheetData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</cols>
  <sheetData>
    <row r="1" ht="27.0" customHeight="1">
      <c r="A1" s="944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</row>
    <row r="2">
      <c r="A2" s="937">
        <v>44075.0</v>
      </c>
      <c r="B2" s="948">
        <f t="shared" ref="B2:B11" si="1">F2</f>
        <v>1700</v>
      </c>
      <c r="C2" s="242"/>
      <c r="D2" s="242"/>
      <c r="E2" s="242"/>
      <c r="F2" s="949">
        <v>1700.0</v>
      </c>
      <c r="G2" s="244" t="s">
        <v>314</v>
      </c>
      <c r="H2" s="244"/>
      <c r="I2" s="662"/>
    </row>
    <row r="3">
      <c r="A3" s="265"/>
      <c r="B3" s="950">
        <f t="shared" si="1"/>
        <v>268</v>
      </c>
      <c r="F3" s="161">
        <v>268.0</v>
      </c>
      <c r="G3" s="2" t="s">
        <v>345</v>
      </c>
      <c r="I3" s="847"/>
    </row>
    <row r="4">
      <c r="A4" s="265"/>
      <c r="B4" s="950">
        <f t="shared" si="1"/>
        <v>800</v>
      </c>
      <c r="F4" s="161">
        <v>800.0</v>
      </c>
      <c r="G4" s="2" t="s">
        <v>3877</v>
      </c>
      <c r="I4" s="847"/>
    </row>
    <row r="5">
      <c r="A5" s="265"/>
      <c r="B5" s="950">
        <f t="shared" si="1"/>
        <v>160</v>
      </c>
      <c r="F5" s="161">
        <v>160.0</v>
      </c>
      <c r="G5" s="2" t="s">
        <v>3878</v>
      </c>
      <c r="I5" s="847"/>
    </row>
    <row r="6">
      <c r="A6" s="265"/>
      <c r="B6" s="950">
        <f t="shared" si="1"/>
        <v>5000</v>
      </c>
      <c r="D6" s="2">
        <v>3300.0</v>
      </c>
      <c r="F6" s="161">
        <v>5000.0</v>
      </c>
      <c r="G6" s="2" t="s">
        <v>3879</v>
      </c>
      <c r="I6" s="847"/>
    </row>
    <row r="7">
      <c r="A7" s="265"/>
      <c r="B7" s="950">
        <f t="shared" si="1"/>
        <v>3300</v>
      </c>
      <c r="F7" s="161">
        <v>3300.0</v>
      </c>
      <c r="G7" s="2" t="s">
        <v>3880</v>
      </c>
      <c r="I7" s="847"/>
    </row>
    <row r="8">
      <c r="A8" s="265"/>
      <c r="B8" s="950">
        <f t="shared" si="1"/>
        <v>2000</v>
      </c>
      <c r="F8" s="161">
        <v>2000.0</v>
      </c>
      <c r="G8" s="2" t="s">
        <v>3237</v>
      </c>
      <c r="I8" s="847"/>
    </row>
    <row r="9">
      <c r="A9" s="265"/>
      <c r="B9" s="950">
        <f t="shared" si="1"/>
        <v>3150</v>
      </c>
      <c r="F9" s="161">
        <v>3150.0</v>
      </c>
      <c r="G9" s="2" t="s">
        <v>3881</v>
      </c>
      <c r="I9" s="951"/>
    </row>
    <row r="10">
      <c r="A10" s="265"/>
      <c r="B10" s="950">
        <f t="shared" si="1"/>
        <v>2800</v>
      </c>
      <c r="F10" s="161">
        <v>2800.0</v>
      </c>
      <c r="G10" s="2" t="s">
        <v>3882</v>
      </c>
      <c r="I10" s="951"/>
    </row>
    <row r="11">
      <c r="A11" s="265"/>
      <c r="B11" s="950">
        <f t="shared" si="1"/>
        <v>1000</v>
      </c>
      <c r="F11" s="161">
        <v>1000.0</v>
      </c>
      <c r="G11" s="2" t="s">
        <v>3818</v>
      </c>
      <c r="I11" s="951"/>
    </row>
    <row r="12">
      <c r="A12" s="270"/>
      <c r="B12" s="194">
        <f>SUM(B2:B11)</f>
        <v>20178</v>
      </c>
      <c r="C12" s="18"/>
      <c r="D12" s="18"/>
      <c r="E12" s="18"/>
      <c r="F12" s="952"/>
      <c r="G12" s="18"/>
      <c r="H12" s="18"/>
      <c r="I12" s="663"/>
    </row>
    <row r="13">
      <c r="A13" s="937">
        <v>44076.0</v>
      </c>
      <c r="B13" s="948">
        <f t="shared" ref="B13:B21" si="2">F13</f>
        <v>420</v>
      </c>
      <c r="C13" s="242"/>
      <c r="D13" s="242"/>
      <c r="E13" s="242"/>
      <c r="F13" s="949">
        <v>420.0</v>
      </c>
      <c r="G13" s="244" t="s">
        <v>314</v>
      </c>
      <c r="H13" s="244"/>
      <c r="I13" s="662"/>
    </row>
    <row r="14">
      <c r="A14" s="265"/>
      <c r="B14" s="950">
        <f t="shared" si="2"/>
        <v>2200</v>
      </c>
      <c r="F14" s="161">
        <v>2200.0</v>
      </c>
      <c r="G14" s="2" t="s">
        <v>87</v>
      </c>
      <c r="I14" s="847"/>
    </row>
    <row r="15">
      <c r="A15" s="265"/>
      <c r="B15" s="950" t="str">
        <f t="shared" si="2"/>
        <v/>
      </c>
      <c r="C15" s="2">
        <v>14073.0</v>
      </c>
      <c r="F15" s="161"/>
      <c r="G15" s="2" t="s">
        <v>2603</v>
      </c>
      <c r="I15" s="847"/>
    </row>
    <row r="16">
      <c r="A16" s="265"/>
      <c r="B16" s="950">
        <f t="shared" si="2"/>
        <v>435</v>
      </c>
      <c r="F16" s="161">
        <v>435.0</v>
      </c>
      <c r="G16" s="2" t="s">
        <v>3488</v>
      </c>
      <c r="I16" s="847"/>
    </row>
    <row r="17">
      <c r="A17" s="265"/>
      <c r="B17" s="950" t="str">
        <f t="shared" si="2"/>
        <v/>
      </c>
      <c r="F17" s="161"/>
      <c r="I17" s="847"/>
    </row>
    <row r="18">
      <c r="A18" s="265"/>
      <c r="B18" s="950" t="str">
        <f t="shared" si="2"/>
        <v/>
      </c>
      <c r="F18" s="161"/>
      <c r="I18" s="847"/>
    </row>
    <row r="19">
      <c r="A19" s="265"/>
      <c r="B19" s="950" t="str">
        <f t="shared" si="2"/>
        <v/>
      </c>
      <c r="F19" s="161"/>
      <c r="I19" s="847"/>
    </row>
    <row r="20">
      <c r="A20" s="265"/>
      <c r="B20" s="950" t="str">
        <f t="shared" si="2"/>
        <v/>
      </c>
      <c r="F20" s="161"/>
      <c r="I20" s="847"/>
    </row>
    <row r="21">
      <c r="A21" s="265"/>
      <c r="B21" s="950" t="str">
        <f t="shared" si="2"/>
        <v/>
      </c>
      <c r="F21" s="161"/>
      <c r="I21" s="847"/>
    </row>
    <row r="22">
      <c r="A22" s="270"/>
      <c r="B22" s="194">
        <f>SUM(B13:B21)</f>
        <v>3055</v>
      </c>
      <c r="C22" s="18"/>
      <c r="D22" s="18"/>
      <c r="E22" s="18"/>
      <c r="F22" s="952"/>
      <c r="G22" s="18"/>
      <c r="H22" s="18"/>
      <c r="I22" s="663"/>
    </row>
    <row r="23">
      <c r="A23" s="937">
        <v>44077.0</v>
      </c>
      <c r="B23" s="948">
        <f t="shared" ref="B23:B31" si="3">F23</f>
        <v>787</v>
      </c>
      <c r="C23" s="242"/>
      <c r="D23" s="242"/>
      <c r="E23" s="242"/>
      <c r="F23" s="949">
        <v>787.0</v>
      </c>
      <c r="G23" s="244" t="s">
        <v>708</v>
      </c>
      <c r="H23" s="244"/>
      <c r="I23" s="662"/>
    </row>
    <row r="24">
      <c r="A24" s="265"/>
      <c r="B24" s="950">
        <f t="shared" si="3"/>
        <v>2000</v>
      </c>
      <c r="F24" s="161">
        <v>2000.0</v>
      </c>
      <c r="G24" s="2" t="s">
        <v>87</v>
      </c>
      <c r="I24" s="847"/>
    </row>
    <row r="25">
      <c r="A25" s="265"/>
      <c r="B25" s="950">
        <f t="shared" si="3"/>
        <v>1500</v>
      </c>
      <c r="F25" s="161">
        <v>1500.0</v>
      </c>
      <c r="G25" s="2" t="s">
        <v>3488</v>
      </c>
      <c r="I25" s="847"/>
    </row>
    <row r="26">
      <c r="A26" s="265"/>
      <c r="B26" s="950">
        <f t="shared" si="3"/>
        <v>900</v>
      </c>
      <c r="F26" s="161">
        <v>900.0</v>
      </c>
      <c r="G26" s="2" t="s">
        <v>293</v>
      </c>
      <c r="I26" s="847"/>
    </row>
    <row r="27">
      <c r="A27" s="265"/>
      <c r="B27" s="950">
        <f t="shared" si="3"/>
        <v>60</v>
      </c>
      <c r="F27" s="161">
        <v>60.0</v>
      </c>
      <c r="G27" s="2" t="s">
        <v>3502</v>
      </c>
      <c r="I27" s="847"/>
    </row>
    <row r="28">
      <c r="A28" s="265"/>
      <c r="B28" s="950" t="str">
        <f t="shared" si="3"/>
        <v/>
      </c>
      <c r="F28" s="161"/>
      <c r="I28" s="847"/>
    </row>
    <row r="29">
      <c r="A29" s="265"/>
      <c r="B29" s="950" t="str">
        <f t="shared" si="3"/>
        <v/>
      </c>
      <c r="F29" s="161"/>
      <c r="I29" s="847"/>
    </row>
    <row r="30">
      <c r="A30" s="265"/>
      <c r="B30" s="950" t="str">
        <f t="shared" si="3"/>
        <v/>
      </c>
      <c r="F30" s="161"/>
      <c r="I30" s="847"/>
    </row>
    <row r="31">
      <c r="A31" s="265"/>
      <c r="B31" s="950" t="str">
        <f t="shared" si="3"/>
        <v/>
      </c>
      <c r="F31" s="161"/>
      <c r="I31" s="847"/>
    </row>
    <row r="32">
      <c r="A32" s="270"/>
      <c r="B32" s="194">
        <f>SUM(B23:B31)</f>
        <v>5247</v>
      </c>
      <c r="C32" s="18"/>
      <c r="D32" s="18"/>
      <c r="E32" s="18"/>
      <c r="F32" s="952"/>
      <c r="G32" s="18"/>
      <c r="H32" s="18"/>
      <c r="I32" s="663"/>
    </row>
    <row r="33">
      <c r="A33" s="937">
        <v>44078.0</v>
      </c>
      <c r="B33" s="948">
        <f t="shared" ref="B33:B41" si="4">F33</f>
        <v>180</v>
      </c>
      <c r="C33" s="242"/>
      <c r="D33" s="242"/>
      <c r="E33" s="242"/>
      <c r="F33" s="949">
        <v>180.0</v>
      </c>
      <c r="G33" s="244" t="s">
        <v>1762</v>
      </c>
      <c r="H33" s="244"/>
      <c r="I33" s="662"/>
    </row>
    <row r="34">
      <c r="A34" s="265"/>
      <c r="B34" s="950">
        <f t="shared" si="4"/>
        <v>796</v>
      </c>
      <c r="F34" s="161">
        <v>796.0</v>
      </c>
      <c r="G34" s="2" t="s">
        <v>3883</v>
      </c>
      <c r="I34" s="847"/>
    </row>
    <row r="35">
      <c r="A35" s="265"/>
      <c r="B35" s="950">
        <f t="shared" si="4"/>
        <v>1320</v>
      </c>
      <c r="F35" s="161">
        <v>1320.0</v>
      </c>
      <c r="G35" s="2" t="s">
        <v>2673</v>
      </c>
      <c r="I35" s="847"/>
    </row>
    <row r="36">
      <c r="A36" s="265"/>
      <c r="B36" s="950">
        <f t="shared" si="4"/>
        <v>70</v>
      </c>
      <c r="F36" s="161">
        <v>70.0</v>
      </c>
      <c r="G36" s="2" t="s">
        <v>2638</v>
      </c>
      <c r="I36" s="847"/>
    </row>
    <row r="37">
      <c r="A37" s="265"/>
      <c r="B37" s="950">
        <f t="shared" si="4"/>
        <v>5750</v>
      </c>
      <c r="F37" s="161">
        <v>5750.0</v>
      </c>
      <c r="G37" s="2" t="s">
        <v>3846</v>
      </c>
      <c r="H37" s="552"/>
      <c r="I37" s="847"/>
    </row>
    <row r="38">
      <c r="A38" s="265"/>
      <c r="B38" s="950">
        <f t="shared" si="4"/>
        <v>5800</v>
      </c>
      <c r="F38" s="161">
        <v>5800.0</v>
      </c>
      <c r="G38" s="2" t="s">
        <v>3847</v>
      </c>
      <c r="H38" s="552"/>
      <c r="I38" s="847"/>
    </row>
    <row r="39">
      <c r="A39" s="265"/>
      <c r="B39" s="950">
        <f t="shared" si="4"/>
        <v>6050</v>
      </c>
      <c r="F39" s="161">
        <v>6050.0</v>
      </c>
      <c r="G39" s="2" t="s">
        <v>3811</v>
      </c>
      <c r="H39" s="552"/>
      <c r="I39" s="847"/>
    </row>
    <row r="40">
      <c r="A40" s="265"/>
      <c r="B40" s="950">
        <f t="shared" si="4"/>
        <v>5800</v>
      </c>
      <c r="F40" s="161">
        <v>5800.0</v>
      </c>
      <c r="G40" s="2" t="s">
        <v>3848</v>
      </c>
      <c r="H40" s="552"/>
      <c r="I40" s="847"/>
    </row>
    <row r="41">
      <c r="A41" s="265"/>
      <c r="B41" s="950" t="str">
        <f t="shared" si="4"/>
        <v/>
      </c>
      <c r="F41" s="161"/>
      <c r="I41" s="847"/>
    </row>
    <row r="42">
      <c r="A42" s="270"/>
      <c r="B42" s="194">
        <f>SUM(B33:B41)</f>
        <v>25766</v>
      </c>
      <c r="C42" s="18"/>
      <c r="D42" s="18"/>
      <c r="E42" s="18"/>
      <c r="F42" s="952"/>
      <c r="G42" s="18"/>
      <c r="H42" s="18"/>
      <c r="I42" s="663"/>
    </row>
    <row r="43">
      <c r="A43" s="937">
        <v>44079.0</v>
      </c>
      <c r="B43" s="948">
        <f t="shared" ref="B43:B51" si="5">F43</f>
        <v>2025.39</v>
      </c>
      <c r="C43" s="242"/>
      <c r="D43" s="242"/>
      <c r="E43" s="242"/>
      <c r="F43" s="949">
        <v>2025.39</v>
      </c>
      <c r="G43" s="244" t="s">
        <v>314</v>
      </c>
      <c r="H43" s="244"/>
      <c r="I43" s="662"/>
    </row>
    <row r="44">
      <c r="A44" s="265"/>
      <c r="B44" s="950">
        <f t="shared" si="5"/>
        <v>7250</v>
      </c>
      <c r="F44" s="161">
        <v>7250.0</v>
      </c>
      <c r="G44" s="2" t="s">
        <v>3845</v>
      </c>
      <c r="H44" s="552"/>
      <c r="I44" s="847"/>
    </row>
    <row r="45">
      <c r="A45" s="265"/>
      <c r="B45" s="950" t="str">
        <f t="shared" si="5"/>
        <v/>
      </c>
      <c r="F45" s="161"/>
      <c r="I45" s="847"/>
    </row>
    <row r="46">
      <c r="A46" s="265"/>
      <c r="B46" s="950" t="str">
        <f t="shared" si="5"/>
        <v/>
      </c>
      <c r="F46" s="161"/>
      <c r="I46" s="847"/>
    </row>
    <row r="47">
      <c r="A47" s="265"/>
      <c r="B47" s="950" t="str">
        <f t="shared" si="5"/>
        <v/>
      </c>
      <c r="F47" s="161"/>
      <c r="I47" s="847"/>
    </row>
    <row r="48">
      <c r="A48" s="265"/>
      <c r="B48" s="950" t="str">
        <f t="shared" si="5"/>
        <v/>
      </c>
      <c r="F48" s="161"/>
      <c r="I48" s="847"/>
    </row>
    <row r="49">
      <c r="A49" s="265"/>
      <c r="B49" s="950" t="str">
        <f t="shared" si="5"/>
        <v/>
      </c>
      <c r="F49" s="161"/>
      <c r="I49" s="847"/>
    </row>
    <row r="50">
      <c r="A50" s="265"/>
      <c r="B50" s="950" t="str">
        <f t="shared" si="5"/>
        <v/>
      </c>
      <c r="F50" s="161"/>
      <c r="I50" s="847"/>
    </row>
    <row r="51">
      <c r="A51" s="265"/>
      <c r="B51" s="950" t="str">
        <f t="shared" si="5"/>
        <v/>
      </c>
      <c r="F51" s="161"/>
      <c r="I51" s="847"/>
    </row>
    <row r="52">
      <c r="A52" s="270"/>
      <c r="B52" s="194">
        <f>SUM(B43:B51)</f>
        <v>9275.39</v>
      </c>
      <c r="C52" s="18"/>
      <c r="D52" s="18"/>
      <c r="E52" s="18"/>
      <c r="F52" s="952"/>
      <c r="G52" s="18"/>
      <c r="H52" s="18"/>
      <c r="I52" s="663"/>
    </row>
    <row r="53">
      <c r="A53" s="937">
        <v>44080.0</v>
      </c>
      <c r="B53" s="948">
        <f t="shared" ref="B53:B61" si="6">F53</f>
        <v>3000</v>
      </c>
      <c r="C53" s="242"/>
      <c r="D53" s="242"/>
      <c r="E53" s="953"/>
      <c r="F53" s="949">
        <v>3000.0</v>
      </c>
      <c r="G53" s="244" t="s">
        <v>764</v>
      </c>
      <c r="H53" s="244"/>
      <c r="I53" s="662"/>
    </row>
    <row r="54">
      <c r="A54" s="265"/>
      <c r="B54" s="950">
        <f t="shared" si="6"/>
        <v>8500</v>
      </c>
      <c r="E54" s="954"/>
      <c r="F54" s="161">
        <v>8500.0</v>
      </c>
      <c r="G54" s="2" t="s">
        <v>2787</v>
      </c>
      <c r="I54" s="847"/>
    </row>
    <row r="55">
      <c r="A55" s="265"/>
      <c r="B55" s="950" t="str">
        <f t="shared" si="6"/>
        <v/>
      </c>
      <c r="E55" s="954"/>
      <c r="F55" s="161"/>
      <c r="I55" s="847"/>
    </row>
    <row r="56">
      <c r="A56" s="265"/>
      <c r="B56" s="950" t="str">
        <f t="shared" si="6"/>
        <v/>
      </c>
      <c r="E56" s="954"/>
      <c r="F56" s="161"/>
      <c r="I56" s="847"/>
    </row>
    <row r="57">
      <c r="A57" s="265"/>
      <c r="B57" s="950" t="str">
        <f t="shared" si="6"/>
        <v/>
      </c>
      <c r="E57" s="954"/>
      <c r="F57" s="161"/>
      <c r="I57" s="847"/>
    </row>
    <row r="58">
      <c r="A58" s="265"/>
      <c r="B58" s="950" t="str">
        <f t="shared" si="6"/>
        <v/>
      </c>
      <c r="E58" s="954"/>
      <c r="F58" s="161"/>
      <c r="I58" s="847"/>
    </row>
    <row r="59">
      <c r="A59" s="265"/>
      <c r="B59" s="950" t="str">
        <f t="shared" si="6"/>
        <v/>
      </c>
      <c r="E59" s="954"/>
      <c r="F59" s="161"/>
      <c r="I59" s="847"/>
    </row>
    <row r="60">
      <c r="A60" s="265"/>
      <c r="B60" s="950" t="str">
        <f t="shared" si="6"/>
        <v/>
      </c>
      <c r="E60" s="954"/>
      <c r="F60" s="161"/>
      <c r="I60" s="847"/>
    </row>
    <row r="61">
      <c r="A61" s="265"/>
      <c r="B61" s="950" t="str">
        <f t="shared" si="6"/>
        <v/>
      </c>
      <c r="F61" s="161"/>
      <c r="I61" s="847"/>
    </row>
    <row r="62">
      <c r="A62" s="270"/>
      <c r="B62" s="194">
        <f>SUM(B53:B61)</f>
        <v>11500</v>
      </c>
      <c r="C62" s="18"/>
      <c r="D62" s="18"/>
      <c r="E62" s="18"/>
      <c r="F62" s="952"/>
      <c r="G62" s="18"/>
      <c r="H62" s="18"/>
      <c r="I62" s="663"/>
    </row>
    <row r="63">
      <c r="A63" s="937">
        <v>44081.0</v>
      </c>
      <c r="B63" s="948">
        <f t="shared" ref="B63:B71" si="7">F63</f>
        <v>1449</v>
      </c>
      <c r="C63" s="242"/>
      <c r="D63" s="242"/>
      <c r="E63" s="242"/>
      <c r="F63" s="949">
        <v>1449.0</v>
      </c>
      <c r="G63" s="244" t="s">
        <v>3821</v>
      </c>
      <c r="H63" s="244"/>
      <c r="I63" s="662"/>
    </row>
    <row r="64">
      <c r="A64" s="265"/>
      <c r="B64" s="950">
        <f t="shared" si="7"/>
        <v>3670</v>
      </c>
      <c r="F64" s="161">
        <v>3670.0</v>
      </c>
      <c r="G64" s="2" t="s">
        <v>3884</v>
      </c>
      <c r="I64" s="847"/>
    </row>
    <row r="65">
      <c r="A65" s="265"/>
      <c r="B65" s="950">
        <f t="shared" si="7"/>
        <v>595</v>
      </c>
      <c r="F65" s="161">
        <v>595.0</v>
      </c>
      <c r="G65" s="2" t="s">
        <v>314</v>
      </c>
      <c r="I65" s="847"/>
    </row>
    <row r="66">
      <c r="A66" s="265"/>
      <c r="B66" s="950">
        <f t="shared" si="7"/>
        <v>2000</v>
      </c>
      <c r="F66" s="161">
        <v>2000.0</v>
      </c>
      <c r="G66" s="2" t="s">
        <v>3731</v>
      </c>
      <c r="I66" s="847"/>
    </row>
    <row r="67">
      <c r="A67" s="265"/>
      <c r="B67" s="950">
        <f t="shared" si="7"/>
        <v>1950</v>
      </c>
      <c r="F67" s="161">
        <v>1950.0</v>
      </c>
      <c r="G67" s="2" t="s">
        <v>394</v>
      </c>
      <c r="I67" s="847"/>
    </row>
    <row r="68">
      <c r="A68" s="265"/>
      <c r="B68" s="950" t="str">
        <f t="shared" si="7"/>
        <v/>
      </c>
      <c r="F68" s="161"/>
      <c r="I68" s="847"/>
    </row>
    <row r="69">
      <c r="A69" s="265"/>
      <c r="B69" s="950" t="str">
        <f t="shared" si="7"/>
        <v/>
      </c>
      <c r="F69" s="161"/>
      <c r="I69" s="847"/>
    </row>
    <row r="70">
      <c r="A70" s="265"/>
      <c r="B70" s="950" t="str">
        <f t="shared" si="7"/>
        <v/>
      </c>
      <c r="F70" s="161"/>
      <c r="I70" s="847"/>
    </row>
    <row r="71">
      <c r="A71" s="265"/>
      <c r="B71" s="950" t="str">
        <f t="shared" si="7"/>
        <v/>
      </c>
      <c r="F71" s="161"/>
      <c r="I71" s="847"/>
    </row>
    <row r="72">
      <c r="A72" s="270"/>
      <c r="B72" s="194">
        <f>SUM(B63:B71)</f>
        <v>9664</v>
      </c>
      <c r="C72" s="18"/>
      <c r="D72" s="18"/>
      <c r="E72" s="18"/>
      <c r="F72" s="952"/>
      <c r="G72" s="18"/>
      <c r="H72" s="18"/>
      <c r="I72" s="663"/>
    </row>
    <row r="73">
      <c r="A73" s="937">
        <v>44082.0</v>
      </c>
      <c r="B73" s="948">
        <f t="shared" ref="B73:B81" si="8">F73</f>
        <v>1194</v>
      </c>
      <c r="C73" s="242"/>
      <c r="D73" s="242"/>
      <c r="E73" s="242"/>
      <c r="F73" s="949">
        <v>1194.0</v>
      </c>
      <c r="G73" s="244" t="s">
        <v>708</v>
      </c>
      <c r="H73" s="244"/>
      <c r="I73" s="662"/>
    </row>
    <row r="74">
      <c r="A74" s="265"/>
      <c r="B74" s="950">
        <f t="shared" si="8"/>
        <v>266</v>
      </c>
      <c r="F74" s="161">
        <v>266.0</v>
      </c>
      <c r="G74" s="2" t="s">
        <v>708</v>
      </c>
      <c r="I74" s="847"/>
    </row>
    <row r="75">
      <c r="A75" s="265"/>
      <c r="B75" s="950">
        <f t="shared" si="8"/>
        <v>3567</v>
      </c>
      <c r="F75" s="161">
        <v>3567.0</v>
      </c>
      <c r="G75" s="2" t="s">
        <v>3885</v>
      </c>
      <c r="I75" s="847"/>
    </row>
    <row r="76">
      <c r="A76" s="265"/>
      <c r="B76" s="950">
        <f t="shared" si="8"/>
        <v>1350</v>
      </c>
      <c r="F76" s="161">
        <v>1350.0</v>
      </c>
      <c r="G76" s="2" t="s">
        <v>139</v>
      </c>
      <c r="I76" s="847"/>
    </row>
    <row r="77">
      <c r="A77" s="265"/>
      <c r="B77" s="950">
        <f t="shared" si="8"/>
        <v>520</v>
      </c>
      <c r="F77" s="161">
        <v>520.0</v>
      </c>
      <c r="G77" s="2" t="s">
        <v>3886</v>
      </c>
      <c r="I77" s="847"/>
    </row>
    <row r="78">
      <c r="A78" s="265"/>
      <c r="B78" s="950">
        <f t="shared" si="8"/>
        <v>3300</v>
      </c>
      <c r="F78" s="161">
        <v>3300.0</v>
      </c>
      <c r="G78" s="2" t="s">
        <v>3183</v>
      </c>
      <c r="I78" s="847"/>
    </row>
    <row r="79">
      <c r="A79" s="265"/>
      <c r="B79" s="950" t="str">
        <f t="shared" si="8"/>
        <v/>
      </c>
      <c r="D79" s="2">
        <v>3200.0</v>
      </c>
      <c r="F79" s="161"/>
      <c r="G79" s="2" t="s">
        <v>201</v>
      </c>
      <c r="I79" s="847"/>
    </row>
    <row r="80">
      <c r="A80" s="265"/>
      <c r="B80" s="950">
        <f t="shared" si="8"/>
        <v>119</v>
      </c>
      <c r="F80" s="161">
        <v>119.0</v>
      </c>
      <c r="G80" s="2" t="s">
        <v>512</v>
      </c>
      <c r="I80" s="847"/>
    </row>
    <row r="81">
      <c r="A81" s="265"/>
      <c r="B81" s="950">
        <f t="shared" si="8"/>
        <v>500</v>
      </c>
      <c r="F81" s="161">
        <v>500.0</v>
      </c>
      <c r="G81" s="2" t="s">
        <v>3887</v>
      </c>
      <c r="H81" s="552"/>
      <c r="I81" s="847"/>
    </row>
    <row r="82">
      <c r="A82" s="265"/>
      <c r="B82" s="950"/>
      <c r="F82" s="161">
        <v>2670.0</v>
      </c>
      <c r="G82" s="2" t="s">
        <v>3888</v>
      </c>
      <c r="I82" s="847"/>
    </row>
    <row r="83">
      <c r="A83" s="265"/>
      <c r="B83" s="950"/>
      <c r="F83" s="161">
        <v>1400.0</v>
      </c>
      <c r="G83" s="2" t="s">
        <v>3493</v>
      </c>
      <c r="H83" s="552"/>
      <c r="I83" s="847"/>
    </row>
    <row r="84">
      <c r="A84" s="270"/>
      <c r="B84" s="194">
        <f>SUM(B73:B81)</f>
        <v>10816</v>
      </c>
      <c r="C84" s="18"/>
      <c r="D84" s="18"/>
      <c r="E84" s="18"/>
      <c r="F84" s="952"/>
      <c r="G84" s="18"/>
      <c r="H84" s="18"/>
      <c r="I84" s="663"/>
    </row>
    <row r="85">
      <c r="A85" s="937">
        <v>44083.0</v>
      </c>
      <c r="B85" s="948" t="str">
        <f t="shared" ref="B85:B93" si="9">F85</f>
        <v/>
      </c>
      <c r="C85" s="242"/>
      <c r="D85" s="244">
        <v>9772.08</v>
      </c>
      <c r="E85" s="242"/>
      <c r="F85" s="949"/>
      <c r="G85" s="244" t="s">
        <v>2637</v>
      </c>
      <c r="H85" s="244"/>
      <c r="I85" s="662"/>
    </row>
    <row r="86">
      <c r="A86" s="265"/>
      <c r="B86" s="950">
        <f t="shared" si="9"/>
        <v>11700</v>
      </c>
      <c r="F86" s="161">
        <v>11700.0</v>
      </c>
      <c r="G86" s="2" t="s">
        <v>2456</v>
      </c>
      <c r="I86" s="847"/>
    </row>
    <row r="87">
      <c r="A87" s="265"/>
      <c r="B87" s="950">
        <f t="shared" si="9"/>
        <v>3560</v>
      </c>
      <c r="F87" s="161">
        <v>3560.0</v>
      </c>
      <c r="G87" s="2" t="s">
        <v>612</v>
      </c>
      <c r="I87" s="847"/>
    </row>
    <row r="88">
      <c r="A88" s="265"/>
      <c r="B88" s="950">
        <f t="shared" si="9"/>
        <v>802.2</v>
      </c>
      <c r="F88" s="161">
        <v>802.2</v>
      </c>
      <c r="G88" s="2" t="s">
        <v>314</v>
      </c>
      <c r="I88" s="847"/>
    </row>
    <row r="89">
      <c r="A89" s="265"/>
      <c r="B89" s="950" t="str">
        <f t="shared" si="9"/>
        <v/>
      </c>
      <c r="D89" s="2">
        <v>9500.0</v>
      </c>
      <c r="F89" s="161"/>
      <c r="G89" s="2" t="s">
        <v>3889</v>
      </c>
      <c r="I89" s="847"/>
    </row>
    <row r="90">
      <c r="A90" s="265"/>
      <c r="B90" s="950" t="str">
        <f t="shared" si="9"/>
        <v/>
      </c>
      <c r="D90" s="2">
        <v>1050.0</v>
      </c>
      <c r="F90" s="161"/>
      <c r="G90" s="2" t="s">
        <v>3890</v>
      </c>
      <c r="I90" s="847"/>
    </row>
    <row r="91">
      <c r="A91" s="265"/>
      <c r="B91" s="950">
        <f t="shared" si="9"/>
        <v>3200</v>
      </c>
      <c r="F91" s="161">
        <v>3200.0</v>
      </c>
      <c r="G91" s="2" t="s">
        <v>3891</v>
      </c>
      <c r="H91" s="552"/>
      <c r="I91" s="847"/>
    </row>
    <row r="92">
      <c r="A92" s="265"/>
      <c r="B92" s="950" t="str">
        <f t="shared" si="9"/>
        <v/>
      </c>
      <c r="F92" s="161"/>
      <c r="I92" s="847"/>
    </row>
    <row r="93">
      <c r="A93" s="265"/>
      <c r="B93" s="950" t="str">
        <f t="shared" si="9"/>
        <v/>
      </c>
      <c r="F93" s="161"/>
      <c r="I93" s="847"/>
    </row>
    <row r="94">
      <c r="A94" s="270"/>
      <c r="B94" s="194">
        <f>SUM(B85:B93)</f>
        <v>19262.2</v>
      </c>
      <c r="C94" s="18"/>
      <c r="D94" s="18"/>
      <c r="E94" s="18"/>
      <c r="F94" s="952"/>
      <c r="G94" s="18"/>
      <c r="H94" s="18"/>
      <c r="I94" s="663"/>
    </row>
    <row r="95">
      <c r="A95" s="937">
        <v>44084.0</v>
      </c>
      <c r="B95" s="948">
        <f t="shared" ref="B95:B103" si="10">F95</f>
        <v>380</v>
      </c>
      <c r="C95" s="242"/>
      <c r="D95" s="242"/>
      <c r="E95" s="242"/>
      <c r="F95" s="949">
        <v>380.0</v>
      </c>
      <c r="G95" s="244" t="s">
        <v>143</v>
      </c>
      <c r="H95" s="244"/>
      <c r="I95" s="662"/>
    </row>
    <row r="96">
      <c r="A96" s="265"/>
      <c r="B96" s="950">
        <f t="shared" si="10"/>
        <v>136</v>
      </c>
      <c r="F96" s="161">
        <v>136.0</v>
      </c>
      <c r="G96" s="2" t="s">
        <v>3798</v>
      </c>
      <c r="I96" s="847"/>
    </row>
    <row r="97">
      <c r="A97" s="265"/>
      <c r="B97" s="950">
        <f t="shared" si="10"/>
        <v>88</v>
      </c>
      <c r="F97" s="161">
        <v>88.0</v>
      </c>
      <c r="G97" s="2" t="s">
        <v>708</v>
      </c>
      <c r="I97" s="847"/>
    </row>
    <row r="98">
      <c r="A98" s="265"/>
      <c r="B98" s="950">
        <f t="shared" si="10"/>
        <v>2000</v>
      </c>
      <c r="F98" s="161">
        <v>2000.0</v>
      </c>
      <c r="G98" s="2" t="s">
        <v>87</v>
      </c>
      <c r="I98" s="847"/>
    </row>
    <row r="99">
      <c r="A99" s="265"/>
      <c r="B99" s="950">
        <f t="shared" si="10"/>
        <v>100</v>
      </c>
      <c r="F99" s="161">
        <v>100.0</v>
      </c>
      <c r="G99" s="2" t="s">
        <v>3078</v>
      </c>
      <c r="H99" s="552"/>
      <c r="I99" s="847"/>
    </row>
    <row r="100">
      <c r="A100" s="265"/>
      <c r="B100" s="950" t="str">
        <f t="shared" si="10"/>
        <v/>
      </c>
      <c r="F100" s="161"/>
      <c r="I100" s="847"/>
    </row>
    <row r="101">
      <c r="A101" s="265"/>
      <c r="B101" s="950" t="str">
        <f t="shared" si="10"/>
        <v/>
      </c>
      <c r="F101" s="161"/>
      <c r="I101" s="847"/>
    </row>
    <row r="102">
      <c r="A102" s="265"/>
      <c r="B102" s="950" t="str">
        <f t="shared" si="10"/>
        <v/>
      </c>
      <c r="F102" s="161"/>
      <c r="I102" s="847"/>
    </row>
    <row r="103">
      <c r="A103" s="265"/>
      <c r="B103" s="950" t="str">
        <f t="shared" si="10"/>
        <v/>
      </c>
      <c r="F103" s="161"/>
      <c r="I103" s="847"/>
    </row>
    <row r="104">
      <c r="A104" s="270"/>
      <c r="B104" s="194">
        <f>SUM(B95:B103)</f>
        <v>2704</v>
      </c>
      <c r="C104" s="18"/>
      <c r="D104" s="18"/>
      <c r="E104" s="18"/>
      <c r="F104" s="952"/>
      <c r="G104" s="18"/>
      <c r="H104" s="18"/>
      <c r="I104" s="663"/>
    </row>
    <row r="105">
      <c r="A105" s="937">
        <v>44085.0</v>
      </c>
      <c r="B105" s="948" t="str">
        <f t="shared" ref="B105:B114" si="11">F105</f>
        <v/>
      </c>
      <c r="C105" s="242"/>
      <c r="D105" s="242"/>
      <c r="E105" s="244"/>
      <c r="F105" s="949"/>
      <c r="G105" s="244"/>
      <c r="H105" s="244"/>
      <c r="I105" s="662"/>
    </row>
    <row r="106">
      <c r="A106" s="265"/>
      <c r="B106" s="950">
        <f t="shared" si="11"/>
        <v>3335.47</v>
      </c>
      <c r="F106" s="161">
        <v>3335.47</v>
      </c>
      <c r="G106" s="2" t="s">
        <v>314</v>
      </c>
      <c r="I106" s="847"/>
    </row>
    <row r="107">
      <c r="A107" s="265"/>
      <c r="B107" s="950">
        <f t="shared" si="11"/>
        <v>205.13</v>
      </c>
      <c r="F107" s="161">
        <v>205.13</v>
      </c>
      <c r="G107" s="2" t="s">
        <v>314</v>
      </c>
      <c r="I107" s="847"/>
    </row>
    <row r="108">
      <c r="A108" s="265"/>
      <c r="B108" s="950">
        <f t="shared" si="11"/>
        <v>310</v>
      </c>
      <c r="F108" s="161">
        <v>310.0</v>
      </c>
      <c r="G108" s="2" t="s">
        <v>3892</v>
      </c>
      <c r="I108" s="847"/>
    </row>
    <row r="109">
      <c r="A109" s="265"/>
      <c r="B109" s="950">
        <f t="shared" si="11"/>
        <v>2810</v>
      </c>
      <c r="F109" s="161">
        <v>2810.0</v>
      </c>
      <c r="G109" s="2" t="s">
        <v>3821</v>
      </c>
      <c r="I109" s="847"/>
    </row>
    <row r="110">
      <c r="A110" s="265"/>
      <c r="B110" s="950">
        <f t="shared" si="11"/>
        <v>2490</v>
      </c>
      <c r="F110" s="161">
        <v>2490.0</v>
      </c>
      <c r="G110" s="2" t="s">
        <v>3329</v>
      </c>
      <c r="I110" s="847"/>
    </row>
    <row r="111">
      <c r="A111" s="265"/>
      <c r="B111" s="950">
        <f t="shared" si="11"/>
        <v>40</v>
      </c>
      <c r="F111" s="161">
        <v>40.0</v>
      </c>
      <c r="G111" s="2" t="s">
        <v>367</v>
      </c>
      <c r="I111" s="847"/>
    </row>
    <row r="112">
      <c r="A112" s="265"/>
      <c r="B112" s="950">
        <f t="shared" si="11"/>
        <v>1000</v>
      </c>
      <c r="F112" s="161">
        <v>1000.0</v>
      </c>
      <c r="G112" s="2" t="s">
        <v>3893</v>
      </c>
      <c r="H112" s="552"/>
      <c r="I112" s="847"/>
    </row>
    <row r="113">
      <c r="A113" s="265"/>
      <c r="B113" s="950">
        <f t="shared" si="11"/>
        <v>500</v>
      </c>
      <c r="F113" s="161">
        <v>500.0</v>
      </c>
      <c r="G113" s="2" t="s">
        <v>3818</v>
      </c>
      <c r="H113" s="552"/>
      <c r="I113" s="847"/>
    </row>
    <row r="114">
      <c r="A114" s="265"/>
      <c r="B114" s="950">
        <f t="shared" si="11"/>
        <v>3150</v>
      </c>
      <c r="F114" s="161">
        <v>3150.0</v>
      </c>
      <c r="G114" s="2" t="s">
        <v>3894</v>
      </c>
      <c r="H114" s="552"/>
      <c r="I114" s="847"/>
    </row>
    <row r="115">
      <c r="A115" s="270"/>
      <c r="B115" s="194">
        <f>SUM(B105:B114)</f>
        <v>13840.6</v>
      </c>
      <c r="C115" s="18"/>
      <c r="D115" s="18"/>
      <c r="E115" s="18"/>
      <c r="F115" s="952"/>
      <c r="I115" s="847"/>
    </row>
    <row r="116">
      <c r="A116" s="937">
        <v>44086.0</v>
      </c>
      <c r="B116" s="948">
        <f>F116</f>
        <v>1283</v>
      </c>
      <c r="C116" s="242"/>
      <c r="D116" s="242"/>
      <c r="E116" s="242"/>
      <c r="F116" s="949">
        <v>1283.0</v>
      </c>
      <c r="G116" s="244" t="s">
        <v>708</v>
      </c>
      <c r="H116" s="955"/>
      <c r="I116" s="662"/>
    </row>
    <row r="117">
      <c r="A117" s="265"/>
      <c r="B117" s="950"/>
      <c r="F117" s="161">
        <v>2300.0</v>
      </c>
      <c r="G117" s="2" t="s">
        <v>3895</v>
      </c>
      <c r="H117" s="35"/>
      <c r="I117" s="847"/>
    </row>
    <row r="118">
      <c r="A118" s="265"/>
      <c r="B118" s="950"/>
      <c r="F118" s="161"/>
      <c r="G118" s="2" t="s">
        <v>2787</v>
      </c>
      <c r="H118" s="956">
        <v>10474.76</v>
      </c>
      <c r="I118" s="957">
        <v>10475.0</v>
      </c>
    </row>
    <row r="119">
      <c r="A119" s="265"/>
      <c r="B119" s="950">
        <f t="shared" ref="B119:B126" si="12">F119</f>
        <v>1000</v>
      </c>
      <c r="F119" s="161">
        <v>1000.0</v>
      </c>
      <c r="G119" s="2" t="s">
        <v>3845</v>
      </c>
      <c r="H119" s="956">
        <v>9462.74</v>
      </c>
      <c r="I119" s="957">
        <v>10963.0</v>
      </c>
    </row>
    <row r="120">
      <c r="A120" s="265"/>
      <c r="B120" s="950">
        <f t="shared" si="12"/>
        <v>1000</v>
      </c>
      <c r="F120" s="161">
        <v>1000.0</v>
      </c>
      <c r="G120" s="2" t="s">
        <v>3896</v>
      </c>
      <c r="H120" s="956">
        <v>9075.67</v>
      </c>
      <c r="I120" s="957">
        <v>10076.0</v>
      </c>
    </row>
    <row r="121">
      <c r="A121" s="265"/>
      <c r="B121" s="950">
        <f t="shared" si="12"/>
        <v>1500</v>
      </c>
      <c r="F121" s="161">
        <v>1500.0</v>
      </c>
      <c r="G121" s="2" t="s">
        <v>3897</v>
      </c>
      <c r="H121" s="956">
        <v>9075.67</v>
      </c>
      <c r="I121" s="957">
        <v>13776.0</v>
      </c>
    </row>
    <row r="122">
      <c r="A122" s="265"/>
      <c r="B122" s="950">
        <f t="shared" si="12"/>
        <v>1000</v>
      </c>
      <c r="F122" s="161">
        <v>1000.0</v>
      </c>
      <c r="G122" s="2" t="s">
        <v>3815</v>
      </c>
      <c r="H122" s="956">
        <v>10409.98</v>
      </c>
      <c r="I122" s="957">
        <v>11910.0</v>
      </c>
    </row>
    <row r="123">
      <c r="A123" s="265"/>
      <c r="B123" s="950" t="str">
        <f t="shared" si="12"/>
        <v/>
      </c>
      <c r="F123" s="161"/>
      <c r="G123" s="2" t="s">
        <v>3848</v>
      </c>
      <c r="H123" s="956">
        <v>10409.98</v>
      </c>
      <c r="I123" s="957">
        <v>10410.0</v>
      </c>
    </row>
    <row r="124">
      <c r="A124" s="265"/>
      <c r="B124" s="950">
        <f t="shared" si="12"/>
        <v>200</v>
      </c>
      <c r="F124" s="161">
        <v>200.0</v>
      </c>
      <c r="G124" s="2" t="s">
        <v>3847</v>
      </c>
      <c r="H124" s="956">
        <v>10409.98</v>
      </c>
      <c r="I124" s="957">
        <v>11610.0</v>
      </c>
    </row>
    <row r="125">
      <c r="A125" s="265"/>
      <c r="B125" s="950">
        <f t="shared" si="12"/>
        <v>3000</v>
      </c>
      <c r="F125" s="161">
        <v>3000.0</v>
      </c>
      <c r="G125" s="2" t="s">
        <v>764</v>
      </c>
      <c r="I125" s="847"/>
    </row>
    <row r="126">
      <c r="A126" s="265"/>
      <c r="B126" s="950" t="str">
        <f t="shared" si="12"/>
        <v/>
      </c>
      <c r="E126" s="2" t="s">
        <v>1385</v>
      </c>
      <c r="F126" s="161"/>
      <c r="I126" s="847"/>
    </row>
    <row r="127">
      <c r="A127" s="270"/>
      <c r="B127" s="194">
        <f>SUM(B116:B126)</f>
        <v>8983</v>
      </c>
      <c r="C127" s="18"/>
      <c r="D127" s="18"/>
      <c r="E127" s="18"/>
      <c r="F127" s="952"/>
      <c r="G127" s="18"/>
      <c r="H127" s="18"/>
      <c r="I127" s="663"/>
    </row>
    <row r="128">
      <c r="A128" s="937">
        <v>44087.0</v>
      </c>
      <c r="B128" s="948">
        <f t="shared" ref="B128:B136" si="13">F128</f>
        <v>158</v>
      </c>
      <c r="C128" s="242"/>
      <c r="D128" s="242"/>
      <c r="E128" s="242"/>
      <c r="F128" s="949">
        <v>158.0</v>
      </c>
      <c r="G128" s="244" t="s">
        <v>2543</v>
      </c>
      <c r="H128" s="244"/>
      <c r="I128" s="662"/>
    </row>
    <row r="129">
      <c r="A129" s="265"/>
      <c r="B129" s="950" t="str">
        <f t="shared" si="13"/>
        <v/>
      </c>
      <c r="F129" s="161"/>
      <c r="I129" s="847"/>
    </row>
    <row r="130">
      <c r="A130" s="265"/>
      <c r="B130" s="950" t="str">
        <f t="shared" si="13"/>
        <v/>
      </c>
      <c r="F130" s="161"/>
      <c r="I130" s="847"/>
    </row>
    <row r="131">
      <c r="A131" s="265"/>
      <c r="B131" s="950" t="str">
        <f t="shared" si="13"/>
        <v/>
      </c>
      <c r="F131" s="161"/>
      <c r="I131" s="847"/>
    </row>
    <row r="132">
      <c r="A132" s="265"/>
      <c r="B132" s="950" t="str">
        <f t="shared" si="13"/>
        <v/>
      </c>
      <c r="F132" s="161"/>
      <c r="I132" s="847"/>
    </row>
    <row r="133">
      <c r="A133" s="265"/>
      <c r="B133" s="950" t="str">
        <f t="shared" si="13"/>
        <v/>
      </c>
      <c r="F133" s="161"/>
      <c r="I133" s="847"/>
    </row>
    <row r="134">
      <c r="A134" s="265"/>
      <c r="B134" s="950" t="str">
        <f t="shared" si="13"/>
        <v/>
      </c>
      <c r="F134" s="161"/>
      <c r="I134" s="847"/>
    </row>
    <row r="135">
      <c r="A135" s="265"/>
      <c r="B135" s="950" t="str">
        <f t="shared" si="13"/>
        <v/>
      </c>
      <c r="F135" s="161"/>
      <c r="I135" s="847"/>
    </row>
    <row r="136">
      <c r="A136" s="265"/>
      <c r="B136" s="950" t="str">
        <f t="shared" si="13"/>
        <v/>
      </c>
      <c r="F136" s="161"/>
      <c r="I136" s="847"/>
    </row>
    <row r="137">
      <c r="A137" s="270"/>
      <c r="B137" s="194">
        <f>SUM(B128:B136)</f>
        <v>158</v>
      </c>
      <c r="C137" s="18"/>
      <c r="D137" s="18"/>
      <c r="E137" s="18"/>
      <c r="F137" s="952"/>
      <c r="G137" s="18"/>
      <c r="H137" s="18"/>
      <c r="I137" s="663"/>
    </row>
    <row r="138">
      <c r="A138" s="937">
        <v>44088.0</v>
      </c>
      <c r="B138" s="948">
        <f t="shared" ref="B138:B146" si="14">F138</f>
        <v>930</v>
      </c>
      <c r="C138" s="242"/>
      <c r="D138" s="242"/>
      <c r="E138" s="242"/>
      <c r="F138" s="949">
        <v>930.0</v>
      </c>
      <c r="G138" s="244" t="s">
        <v>708</v>
      </c>
      <c r="H138" s="244"/>
      <c r="I138" s="662"/>
    </row>
    <row r="139">
      <c r="A139" s="265"/>
      <c r="B139" s="950">
        <f t="shared" si="14"/>
        <v>3000</v>
      </c>
      <c r="F139" s="161">
        <v>3000.0</v>
      </c>
      <c r="G139" s="2" t="s">
        <v>421</v>
      </c>
      <c r="I139" s="847"/>
    </row>
    <row r="140">
      <c r="A140" s="265"/>
      <c r="B140" s="950">
        <f t="shared" si="14"/>
        <v>170</v>
      </c>
      <c r="F140" s="161">
        <v>170.0</v>
      </c>
      <c r="G140" s="2" t="s">
        <v>3898</v>
      </c>
      <c r="I140" s="847"/>
    </row>
    <row r="141">
      <c r="A141" s="265"/>
      <c r="B141" s="950" t="str">
        <f t="shared" si="14"/>
        <v/>
      </c>
      <c r="F141" s="161"/>
      <c r="I141" s="847"/>
    </row>
    <row r="142">
      <c r="A142" s="265"/>
      <c r="B142" s="950" t="str">
        <f t="shared" si="14"/>
        <v/>
      </c>
      <c r="F142" s="161"/>
      <c r="I142" s="847"/>
    </row>
    <row r="143">
      <c r="A143" s="265"/>
      <c r="B143" s="950" t="str">
        <f t="shared" si="14"/>
        <v/>
      </c>
      <c r="F143" s="161"/>
      <c r="I143" s="847"/>
    </row>
    <row r="144">
      <c r="A144" s="265"/>
      <c r="B144" s="950" t="str">
        <f t="shared" si="14"/>
        <v/>
      </c>
      <c r="F144" s="161"/>
      <c r="I144" s="847"/>
    </row>
    <row r="145">
      <c r="A145" s="265"/>
      <c r="B145" s="950" t="str">
        <f t="shared" si="14"/>
        <v/>
      </c>
      <c r="F145" s="161"/>
      <c r="I145" s="847"/>
    </row>
    <row r="146">
      <c r="A146" s="265"/>
      <c r="B146" s="950" t="str">
        <f t="shared" si="14"/>
        <v/>
      </c>
      <c r="F146" s="161"/>
      <c r="I146" s="847"/>
    </row>
    <row r="147">
      <c r="A147" s="270"/>
      <c r="B147" s="194">
        <f>SUM(B138:B146)</f>
        <v>4100</v>
      </c>
      <c r="C147" s="18"/>
      <c r="D147" s="18"/>
      <c r="E147" s="18"/>
      <c r="F147" s="952"/>
      <c r="G147" s="18"/>
      <c r="H147" s="18"/>
      <c r="I147" s="663"/>
    </row>
    <row r="148">
      <c r="A148" s="937">
        <v>44089.0</v>
      </c>
      <c r="B148" s="948">
        <f t="shared" ref="B148:B156" si="15">F148</f>
        <v>2885</v>
      </c>
      <c r="C148" s="242"/>
      <c r="D148" s="242"/>
      <c r="E148" s="242"/>
      <c r="F148" s="949">
        <v>2885.0</v>
      </c>
      <c r="G148" s="244" t="s">
        <v>3899</v>
      </c>
      <c r="H148" s="244"/>
      <c r="I148" s="662"/>
    </row>
    <row r="149">
      <c r="A149" s="265"/>
      <c r="B149" s="950">
        <f t="shared" si="15"/>
        <v>1130</v>
      </c>
      <c r="F149" s="161">
        <v>1130.0</v>
      </c>
      <c r="G149" s="2" t="s">
        <v>314</v>
      </c>
      <c r="I149" s="847"/>
    </row>
    <row r="150">
      <c r="A150" s="265"/>
      <c r="B150" s="950">
        <f t="shared" si="15"/>
        <v>259</v>
      </c>
      <c r="F150" s="161">
        <v>259.0</v>
      </c>
      <c r="G150" s="2" t="s">
        <v>656</v>
      </c>
      <c r="I150" s="847"/>
    </row>
    <row r="151">
      <c r="A151" s="265"/>
      <c r="B151" s="950">
        <f t="shared" si="15"/>
        <v>1350</v>
      </c>
      <c r="F151" s="161">
        <v>1350.0</v>
      </c>
      <c r="G151" s="2" t="s">
        <v>3900</v>
      </c>
      <c r="I151" s="847"/>
    </row>
    <row r="152">
      <c r="A152" s="265"/>
      <c r="B152" s="950" t="str">
        <f t="shared" si="15"/>
        <v/>
      </c>
      <c r="C152" s="2">
        <v>8840.0</v>
      </c>
      <c r="F152" s="161"/>
      <c r="G152" s="2" t="s">
        <v>2637</v>
      </c>
      <c r="I152" s="847"/>
    </row>
    <row r="153">
      <c r="A153" s="265"/>
      <c r="B153" s="950" t="str">
        <f t="shared" si="15"/>
        <v/>
      </c>
      <c r="D153" s="2">
        <v>13338.0</v>
      </c>
      <c r="F153" s="161"/>
      <c r="G153" s="2" t="s">
        <v>3901</v>
      </c>
      <c r="I153" s="847"/>
    </row>
    <row r="154">
      <c r="A154" s="265"/>
      <c r="B154" s="950">
        <f t="shared" si="15"/>
        <v>3000</v>
      </c>
      <c r="F154" s="161">
        <v>3000.0</v>
      </c>
      <c r="G154" s="2" t="s">
        <v>3902</v>
      </c>
      <c r="H154" s="552"/>
      <c r="I154" s="847"/>
    </row>
    <row r="155">
      <c r="A155" s="265"/>
      <c r="B155" s="950">
        <f t="shared" si="15"/>
        <v>645</v>
      </c>
      <c r="F155" s="161">
        <v>645.0</v>
      </c>
      <c r="G155" s="2" t="s">
        <v>2914</v>
      </c>
      <c r="I155" s="847"/>
    </row>
    <row r="156">
      <c r="A156" s="265"/>
      <c r="B156" s="950" t="str">
        <f t="shared" si="15"/>
        <v/>
      </c>
      <c r="F156" s="161"/>
      <c r="I156" s="847"/>
    </row>
    <row r="157">
      <c r="A157" s="270"/>
      <c r="B157" s="194">
        <f>SUM(B148:B156)</f>
        <v>9269</v>
      </c>
      <c r="C157" s="18"/>
      <c r="D157" s="18"/>
      <c r="E157" s="18"/>
      <c r="F157" s="952"/>
      <c r="G157" s="18"/>
      <c r="H157" s="18"/>
      <c r="I157" s="663"/>
    </row>
    <row r="158">
      <c r="A158" s="937">
        <v>44090.0</v>
      </c>
      <c r="B158" s="948">
        <f t="shared" ref="B158:B166" si="16">F158</f>
        <v>8360</v>
      </c>
      <c r="C158" s="242"/>
      <c r="D158" s="242"/>
      <c r="E158" s="244"/>
      <c r="F158" s="949">
        <v>8360.0</v>
      </c>
      <c r="G158" s="244" t="s">
        <v>3903</v>
      </c>
      <c r="H158" s="244"/>
      <c r="I158" s="662"/>
    </row>
    <row r="159">
      <c r="A159" s="265"/>
      <c r="B159" s="950">
        <f t="shared" si="16"/>
        <v>1835</v>
      </c>
      <c r="F159" s="161">
        <v>1835.0</v>
      </c>
      <c r="G159" s="2" t="s">
        <v>329</v>
      </c>
      <c r="I159" s="847"/>
    </row>
    <row r="160">
      <c r="A160" s="265"/>
      <c r="B160" s="950">
        <f t="shared" si="16"/>
        <v>2467</v>
      </c>
      <c r="F160" s="161">
        <v>2467.0</v>
      </c>
      <c r="G160" s="2" t="s">
        <v>74</v>
      </c>
      <c r="I160" s="847"/>
    </row>
    <row r="161">
      <c r="A161" s="265"/>
      <c r="B161" s="950">
        <f t="shared" si="16"/>
        <v>911.85</v>
      </c>
      <c r="F161" s="161">
        <v>911.85</v>
      </c>
      <c r="G161" s="2" t="s">
        <v>708</v>
      </c>
      <c r="I161" s="847"/>
    </row>
    <row r="162">
      <c r="A162" s="265"/>
      <c r="B162" s="950" t="str">
        <f t="shared" si="16"/>
        <v/>
      </c>
      <c r="F162" s="161"/>
      <c r="I162" s="847"/>
    </row>
    <row r="163">
      <c r="A163" s="265"/>
      <c r="B163" s="950">
        <f t="shared" si="16"/>
        <v>2800</v>
      </c>
      <c r="F163" s="161">
        <v>2800.0</v>
      </c>
      <c r="G163" s="2" t="s">
        <v>167</v>
      </c>
      <c r="I163" s="847"/>
    </row>
    <row r="164">
      <c r="A164" s="265"/>
      <c r="B164" s="950" t="str">
        <f t="shared" si="16"/>
        <v/>
      </c>
      <c r="C164" s="2">
        <v>11116.6</v>
      </c>
      <c r="F164" s="161"/>
      <c r="G164" s="2" t="s">
        <v>3504</v>
      </c>
      <c r="I164" s="847"/>
    </row>
    <row r="165">
      <c r="A165" s="265"/>
      <c r="B165" s="950" t="str">
        <f t="shared" si="16"/>
        <v/>
      </c>
      <c r="F165" s="161"/>
      <c r="I165" s="847"/>
    </row>
    <row r="166">
      <c r="A166" s="265"/>
      <c r="B166" s="950" t="str">
        <f t="shared" si="16"/>
        <v/>
      </c>
      <c r="F166" s="161"/>
      <c r="I166" s="847"/>
    </row>
    <row r="167">
      <c r="A167" s="270"/>
      <c r="B167" s="194">
        <f>SUM(B158:B166)</f>
        <v>16373.85</v>
      </c>
      <c r="C167" s="18"/>
      <c r="D167" s="18"/>
      <c r="E167" s="18"/>
      <c r="F167" s="952"/>
      <c r="G167" s="18"/>
      <c r="H167" s="18"/>
      <c r="I167" s="663"/>
    </row>
    <row r="168">
      <c r="A168" s="937">
        <v>44091.0</v>
      </c>
      <c r="B168" s="948">
        <f t="shared" ref="B168:B176" si="17">F168</f>
        <v>3000</v>
      </c>
      <c r="C168" s="242"/>
      <c r="D168" s="242"/>
      <c r="E168" s="242"/>
      <c r="F168" s="949">
        <v>3000.0</v>
      </c>
      <c r="G168" s="244" t="s">
        <v>3904</v>
      </c>
      <c r="H168" s="244"/>
      <c r="I168" s="662"/>
    </row>
    <row r="169">
      <c r="A169" s="265"/>
      <c r="B169" s="950">
        <f t="shared" si="17"/>
        <v>2862</v>
      </c>
      <c r="F169" s="161">
        <v>2862.0</v>
      </c>
      <c r="G169" s="2" t="s">
        <v>615</v>
      </c>
      <c r="I169" s="847"/>
    </row>
    <row r="170">
      <c r="A170" s="265"/>
      <c r="B170" s="950">
        <f t="shared" si="17"/>
        <v>3300</v>
      </c>
      <c r="F170" s="161">
        <v>3300.0</v>
      </c>
      <c r="G170" s="2" t="s">
        <v>3905</v>
      </c>
      <c r="I170" s="847"/>
    </row>
    <row r="171">
      <c r="A171" s="265"/>
      <c r="B171" s="950">
        <f t="shared" si="17"/>
        <v>832</v>
      </c>
      <c r="F171" s="161">
        <v>832.0</v>
      </c>
      <c r="G171" s="2" t="s">
        <v>314</v>
      </c>
      <c r="I171" s="847"/>
    </row>
    <row r="172">
      <c r="A172" s="265"/>
      <c r="B172" s="950">
        <f t="shared" si="17"/>
        <v>1300</v>
      </c>
      <c r="F172" s="161">
        <v>1300.0</v>
      </c>
      <c r="G172" s="2" t="s">
        <v>3906</v>
      </c>
      <c r="I172" s="847"/>
    </row>
    <row r="173">
      <c r="A173" s="265"/>
      <c r="B173" s="950" t="str">
        <f t="shared" si="17"/>
        <v/>
      </c>
      <c r="D173" s="2">
        <v>13007.0</v>
      </c>
      <c r="F173" s="161"/>
      <c r="G173" s="2" t="s">
        <v>3907</v>
      </c>
      <c r="I173" s="847"/>
    </row>
    <row r="174">
      <c r="A174" s="265"/>
      <c r="B174" s="950">
        <f t="shared" si="17"/>
        <v>4900</v>
      </c>
      <c r="F174" s="161">
        <f>(14*350)</f>
        <v>4900</v>
      </c>
      <c r="G174" s="2" t="s">
        <v>3908</v>
      </c>
      <c r="I174" s="612"/>
    </row>
    <row r="175">
      <c r="A175" s="265"/>
      <c r="B175" s="950" t="str">
        <f t="shared" si="17"/>
        <v/>
      </c>
      <c r="C175" s="2">
        <v>18409.0</v>
      </c>
      <c r="F175" s="161"/>
      <c r="G175" s="2" t="s">
        <v>951</v>
      </c>
      <c r="I175" s="847"/>
    </row>
    <row r="176">
      <c r="A176" s="265"/>
      <c r="B176" s="950">
        <f t="shared" si="17"/>
        <v>1400</v>
      </c>
      <c r="F176" s="161">
        <v>1400.0</v>
      </c>
      <c r="G176" s="2" t="s">
        <v>3909</v>
      </c>
      <c r="I176" s="612"/>
    </row>
    <row r="177">
      <c r="A177" s="270"/>
      <c r="B177" s="194">
        <f>SUM(B168:B176)</f>
        <v>17594</v>
      </c>
      <c r="C177" s="18"/>
      <c r="D177" s="18"/>
      <c r="E177" s="18"/>
      <c r="F177" s="952"/>
      <c r="G177" s="18"/>
      <c r="H177" s="18"/>
      <c r="I177" s="663"/>
    </row>
    <row r="178">
      <c r="A178" s="937">
        <v>44092.0</v>
      </c>
      <c r="B178" s="948">
        <f t="shared" ref="B178:B186" si="18">F178</f>
        <v>1433.96</v>
      </c>
      <c r="C178" s="242"/>
      <c r="D178" s="242"/>
      <c r="E178" s="242"/>
      <c r="F178" s="949">
        <v>1433.96</v>
      </c>
      <c r="G178" s="244" t="s">
        <v>314</v>
      </c>
      <c r="H178" s="244"/>
      <c r="I178" s="662"/>
    </row>
    <row r="179">
      <c r="A179" s="265"/>
      <c r="B179" s="950" t="str">
        <f t="shared" si="18"/>
        <v/>
      </c>
      <c r="D179" s="2">
        <v>2295.59</v>
      </c>
      <c r="F179" s="161"/>
      <c r="G179" s="2" t="s">
        <v>951</v>
      </c>
      <c r="I179" s="847"/>
    </row>
    <row r="180">
      <c r="A180" s="265"/>
      <c r="B180" s="950">
        <f t="shared" si="18"/>
        <v>4020</v>
      </c>
      <c r="F180" s="161">
        <v>4020.0</v>
      </c>
      <c r="G180" s="2" t="s">
        <v>434</v>
      </c>
      <c r="I180" s="847"/>
    </row>
    <row r="181">
      <c r="A181" s="265"/>
      <c r="B181" s="950" t="str">
        <f t="shared" si="18"/>
        <v/>
      </c>
      <c r="F181" s="161"/>
      <c r="I181" s="847"/>
    </row>
    <row r="182">
      <c r="A182" s="265"/>
      <c r="B182" s="950" t="str">
        <f t="shared" si="18"/>
        <v/>
      </c>
      <c r="F182" s="161"/>
      <c r="I182" s="847"/>
    </row>
    <row r="183">
      <c r="A183" s="265"/>
      <c r="B183" s="950" t="str">
        <f t="shared" si="18"/>
        <v/>
      </c>
      <c r="F183" s="161"/>
      <c r="I183" s="847"/>
    </row>
    <row r="184">
      <c r="A184" s="265"/>
      <c r="B184" s="950" t="str">
        <f t="shared" si="18"/>
        <v/>
      </c>
      <c r="F184" s="161"/>
      <c r="I184" s="847"/>
    </row>
    <row r="185">
      <c r="A185" s="265"/>
      <c r="B185" s="950" t="str">
        <f t="shared" si="18"/>
        <v/>
      </c>
      <c r="F185" s="161"/>
      <c r="I185" s="847"/>
    </row>
    <row r="186">
      <c r="A186" s="265"/>
      <c r="B186" s="950" t="str">
        <f t="shared" si="18"/>
        <v/>
      </c>
      <c r="F186" s="161"/>
      <c r="I186" s="847"/>
    </row>
    <row r="187">
      <c r="A187" s="270"/>
      <c r="B187" s="194">
        <f>SUM(B178:B186)</f>
        <v>5453.96</v>
      </c>
      <c r="C187" s="18"/>
      <c r="D187" s="18"/>
      <c r="E187" s="18"/>
      <c r="F187" s="952"/>
      <c r="G187" s="18"/>
      <c r="H187" s="18"/>
      <c r="I187" s="663"/>
    </row>
    <row r="188">
      <c r="A188" s="937">
        <v>44093.0</v>
      </c>
      <c r="B188" s="948">
        <f t="shared" ref="B188:B196" si="19">F188</f>
        <v>297</v>
      </c>
      <c r="C188" s="242"/>
      <c r="D188" s="242"/>
      <c r="E188" s="242"/>
      <c r="F188" s="949">
        <v>297.0</v>
      </c>
      <c r="G188" s="244" t="s">
        <v>708</v>
      </c>
      <c r="H188" s="244"/>
      <c r="I188" s="662"/>
    </row>
    <row r="189">
      <c r="A189" s="265"/>
      <c r="B189" s="950">
        <f t="shared" si="19"/>
        <v>0</v>
      </c>
      <c r="F189" s="161">
        <v>0.0</v>
      </c>
      <c r="G189" s="2" t="s">
        <v>3786</v>
      </c>
      <c r="H189" s="552"/>
      <c r="I189" s="847"/>
    </row>
    <row r="190">
      <c r="A190" s="265"/>
      <c r="B190" s="950" t="str">
        <f t="shared" si="19"/>
        <v/>
      </c>
      <c r="F190" s="161"/>
      <c r="I190" s="847"/>
    </row>
    <row r="191">
      <c r="A191" s="265"/>
      <c r="B191" s="950" t="str">
        <f t="shared" si="19"/>
        <v/>
      </c>
      <c r="F191" s="161"/>
      <c r="I191" s="847"/>
    </row>
    <row r="192">
      <c r="A192" s="265"/>
      <c r="B192" s="950" t="str">
        <f t="shared" si="19"/>
        <v/>
      </c>
      <c r="F192" s="161"/>
      <c r="I192" s="847"/>
    </row>
    <row r="193">
      <c r="A193" s="265"/>
      <c r="B193" s="950" t="str">
        <f t="shared" si="19"/>
        <v/>
      </c>
      <c r="F193" s="161"/>
      <c r="I193" s="847"/>
    </row>
    <row r="194">
      <c r="A194" s="265"/>
      <c r="B194" s="950" t="str">
        <f t="shared" si="19"/>
        <v/>
      </c>
      <c r="F194" s="161"/>
      <c r="I194" s="847"/>
    </row>
    <row r="195">
      <c r="A195" s="265"/>
      <c r="B195" s="950" t="str">
        <f t="shared" si="19"/>
        <v/>
      </c>
      <c r="F195" s="161"/>
      <c r="I195" s="847"/>
    </row>
    <row r="196">
      <c r="A196" s="265"/>
      <c r="B196" s="950" t="str">
        <f t="shared" si="19"/>
        <v/>
      </c>
      <c r="F196" s="161"/>
      <c r="I196" s="847"/>
    </row>
    <row r="197">
      <c r="A197" s="270"/>
      <c r="B197" s="194">
        <f>SUM(B188:B196)</f>
        <v>297</v>
      </c>
      <c r="C197" s="18"/>
      <c r="D197" s="18"/>
      <c r="E197" s="18"/>
      <c r="F197" s="952"/>
      <c r="G197" s="18"/>
      <c r="H197" s="18"/>
      <c r="I197" s="663"/>
    </row>
    <row r="198">
      <c r="A198" s="937">
        <v>44094.0</v>
      </c>
      <c r="B198" s="948">
        <f t="shared" ref="B198:B206" si="20">F198</f>
        <v>3000</v>
      </c>
      <c r="C198" s="242"/>
      <c r="D198" s="242"/>
      <c r="E198" s="244"/>
      <c r="F198" s="949">
        <v>3000.0</v>
      </c>
      <c r="G198" s="244" t="s">
        <v>764</v>
      </c>
      <c r="H198" s="244"/>
      <c r="I198" s="958" t="s">
        <v>3910</v>
      </c>
    </row>
    <row r="199">
      <c r="A199" s="265"/>
      <c r="B199" s="950">
        <f t="shared" si="20"/>
        <v>6530</v>
      </c>
      <c r="F199" s="161">
        <v>6530.0</v>
      </c>
      <c r="G199" s="2" t="s">
        <v>2787</v>
      </c>
      <c r="H199" s="959">
        <f t="shared" ref="H199:H205" si="21">I118</f>
        <v>10475</v>
      </c>
      <c r="I199" s="957">
        <v>17000.0</v>
      </c>
    </row>
    <row r="200">
      <c r="A200" s="265"/>
      <c r="B200" s="950">
        <f t="shared" si="20"/>
        <v>3540</v>
      </c>
      <c r="F200" s="161">
        <v>3540.0</v>
      </c>
      <c r="G200" s="2" t="s">
        <v>3845</v>
      </c>
      <c r="H200" s="959">
        <f t="shared" si="21"/>
        <v>10963</v>
      </c>
      <c r="I200" s="957">
        <v>14500.0</v>
      </c>
    </row>
    <row r="201">
      <c r="A201" s="265"/>
      <c r="B201" s="950">
        <f t="shared" si="20"/>
        <v>2030</v>
      </c>
      <c r="E201">
        <f>I201-H201</f>
        <v>2024</v>
      </c>
      <c r="F201" s="161">
        <v>2030.0</v>
      </c>
      <c r="G201" s="2" t="s">
        <v>3896</v>
      </c>
      <c r="H201" s="959">
        <f t="shared" si="21"/>
        <v>10076</v>
      </c>
      <c r="I201" s="957">
        <v>12100.0</v>
      </c>
    </row>
    <row r="202">
      <c r="A202" s="265"/>
      <c r="B202" s="950">
        <f t="shared" si="20"/>
        <v>1000</v>
      </c>
      <c r="E202" s="37">
        <f>I202-H202-F202</f>
        <v>-3276</v>
      </c>
      <c r="F202" s="161">
        <v>1000.0</v>
      </c>
      <c r="G202" s="2" t="s">
        <v>3897</v>
      </c>
      <c r="H202" s="959">
        <f t="shared" si="21"/>
        <v>13776</v>
      </c>
      <c r="I202" s="957">
        <v>11500.0</v>
      </c>
    </row>
    <row r="203">
      <c r="A203" s="265"/>
      <c r="B203" s="950">
        <f t="shared" si="20"/>
        <v>5500</v>
      </c>
      <c r="D203" s="2">
        <v>5090.0</v>
      </c>
      <c r="E203" s="960">
        <v>-8500.0</v>
      </c>
      <c r="F203" s="161">
        <v>5500.0</v>
      </c>
      <c r="G203" s="2" t="s">
        <v>3815</v>
      </c>
      <c r="H203" s="959">
        <f t="shared" si="21"/>
        <v>11910</v>
      </c>
      <c r="I203" s="957">
        <v>17000.0</v>
      </c>
    </row>
    <row r="204">
      <c r="A204" s="265"/>
      <c r="B204" s="950">
        <f t="shared" si="20"/>
        <v>1200</v>
      </c>
      <c r="E204">
        <f t="shared" ref="E204:E205" si="22">I204-H204</f>
        <v>1190</v>
      </c>
      <c r="F204" s="161">
        <v>1200.0</v>
      </c>
      <c r="G204" s="2" t="s">
        <v>3848</v>
      </c>
      <c r="H204" s="959">
        <f t="shared" si="21"/>
        <v>10410</v>
      </c>
      <c r="I204" s="957">
        <v>11600.0</v>
      </c>
    </row>
    <row r="205">
      <c r="A205" s="265"/>
      <c r="B205" s="950">
        <f t="shared" si="20"/>
        <v>0</v>
      </c>
      <c r="E205" s="961">
        <f t="shared" si="22"/>
        <v>-10</v>
      </c>
      <c r="F205" s="161">
        <v>0.0</v>
      </c>
      <c r="G205" s="2" t="s">
        <v>3847</v>
      </c>
      <c r="H205" s="959">
        <f t="shared" si="21"/>
        <v>11610</v>
      </c>
      <c r="I205" s="957">
        <v>11600.0</v>
      </c>
    </row>
    <row r="206">
      <c r="A206" s="265"/>
      <c r="B206" s="950">
        <f t="shared" si="20"/>
        <v>763</v>
      </c>
      <c r="F206" s="161">
        <v>763.0</v>
      </c>
      <c r="G206" s="2" t="s">
        <v>314</v>
      </c>
      <c r="I206" s="847"/>
    </row>
    <row r="207">
      <c r="A207" s="270"/>
      <c r="B207" s="194">
        <f>SUM(B198:B206)</f>
        <v>23563</v>
      </c>
      <c r="C207" s="18"/>
      <c r="D207" s="18"/>
      <c r="E207" s="18"/>
      <c r="F207" s="952"/>
      <c r="G207" s="18"/>
      <c r="H207" s="18"/>
      <c r="I207" s="663"/>
    </row>
    <row r="208">
      <c r="A208" s="937">
        <v>44095.0</v>
      </c>
      <c r="B208" s="948">
        <f t="shared" ref="B208:B216" si="23">F208</f>
        <v>1449</v>
      </c>
      <c r="C208" s="242"/>
      <c r="D208" s="242"/>
      <c r="E208" s="242"/>
      <c r="F208" s="949">
        <v>1449.0</v>
      </c>
      <c r="G208" s="244" t="s">
        <v>3911</v>
      </c>
      <c r="H208" s="244"/>
      <c r="I208" s="662"/>
    </row>
    <row r="209">
      <c r="A209" s="265"/>
      <c r="B209" s="950">
        <f t="shared" si="23"/>
        <v>1827</v>
      </c>
      <c r="F209" s="161">
        <v>1827.0</v>
      </c>
      <c r="G209" s="2" t="s">
        <v>708</v>
      </c>
      <c r="I209" s="847"/>
    </row>
    <row r="210">
      <c r="A210" s="265"/>
      <c r="B210" s="950">
        <f t="shared" si="23"/>
        <v>3000</v>
      </c>
      <c r="F210" s="161">
        <v>3000.0</v>
      </c>
      <c r="G210" s="2" t="s">
        <v>3912</v>
      </c>
      <c r="I210" s="847"/>
    </row>
    <row r="211">
      <c r="A211" s="265"/>
      <c r="B211" s="950">
        <f t="shared" si="23"/>
        <v>880</v>
      </c>
      <c r="F211" s="161">
        <v>880.0</v>
      </c>
      <c r="G211" s="2" t="s">
        <v>2708</v>
      </c>
      <c r="I211" s="847"/>
    </row>
    <row r="212">
      <c r="A212" s="265"/>
      <c r="B212" s="950">
        <f t="shared" si="23"/>
        <v>48</v>
      </c>
      <c r="F212" s="161">
        <v>48.0</v>
      </c>
      <c r="G212" s="2" t="s">
        <v>2741</v>
      </c>
      <c r="I212" s="847"/>
    </row>
    <row r="213">
      <c r="A213" s="265"/>
      <c r="B213" s="950">
        <f t="shared" si="23"/>
        <v>3073</v>
      </c>
      <c r="F213" s="161">
        <v>3073.0</v>
      </c>
      <c r="G213" s="2" t="s">
        <v>2708</v>
      </c>
      <c r="I213" s="847"/>
    </row>
    <row r="214">
      <c r="A214" s="265"/>
      <c r="B214" s="950">
        <f t="shared" si="23"/>
        <v>2230</v>
      </c>
      <c r="F214" s="161">
        <v>2230.0</v>
      </c>
      <c r="G214" s="2" t="s">
        <v>3913</v>
      </c>
      <c r="I214" s="847"/>
    </row>
    <row r="215">
      <c r="A215" s="265"/>
      <c r="B215" s="950" t="str">
        <f t="shared" si="23"/>
        <v/>
      </c>
      <c r="F215" s="161"/>
      <c r="I215" s="847"/>
    </row>
    <row r="216">
      <c r="A216" s="265"/>
      <c r="B216" s="950" t="str">
        <f t="shared" si="23"/>
        <v/>
      </c>
      <c r="F216" s="161"/>
      <c r="I216" s="847"/>
    </row>
    <row r="217">
      <c r="A217" s="270"/>
      <c r="B217" s="194">
        <f>SUM(B208:B216)</f>
        <v>12507</v>
      </c>
      <c r="C217" s="18"/>
      <c r="D217" s="18"/>
      <c r="E217" s="18"/>
      <c r="F217" s="952"/>
      <c r="G217" s="18"/>
      <c r="H217" s="18"/>
      <c r="I217" s="663"/>
    </row>
    <row r="218">
      <c r="A218" s="937">
        <v>44096.0</v>
      </c>
      <c r="B218" s="948" t="str">
        <f t="shared" ref="B218:B226" si="24">F218</f>
        <v/>
      </c>
      <c r="C218" s="244">
        <v>17717.0</v>
      </c>
      <c r="D218" s="242"/>
      <c r="E218" s="242"/>
      <c r="F218" s="949"/>
      <c r="G218" s="244" t="s">
        <v>2637</v>
      </c>
      <c r="H218" s="244"/>
      <c r="I218" s="662"/>
    </row>
    <row r="219">
      <c r="A219" s="265"/>
      <c r="B219" s="950">
        <f t="shared" si="24"/>
        <v>2670</v>
      </c>
      <c r="F219" s="161">
        <v>2670.0</v>
      </c>
      <c r="G219" s="2" t="s">
        <v>612</v>
      </c>
      <c r="I219" s="847"/>
    </row>
    <row r="220">
      <c r="A220" s="265"/>
      <c r="B220" s="950">
        <f t="shared" si="24"/>
        <v>3300</v>
      </c>
      <c r="F220" s="161">
        <v>3300.0</v>
      </c>
      <c r="G220" s="2" t="s">
        <v>3914</v>
      </c>
      <c r="I220" s="847"/>
    </row>
    <row r="221">
      <c r="A221" s="265"/>
      <c r="B221" s="950">
        <f t="shared" si="24"/>
        <v>3240</v>
      </c>
      <c r="F221" s="161">
        <v>3240.0</v>
      </c>
      <c r="G221" s="2" t="s">
        <v>3309</v>
      </c>
      <c r="I221" s="847"/>
    </row>
    <row r="222">
      <c r="A222" s="265"/>
      <c r="B222" s="950">
        <f t="shared" si="24"/>
        <v>480</v>
      </c>
      <c r="F222" s="161">
        <v>480.0</v>
      </c>
      <c r="G222" s="2" t="s">
        <v>314</v>
      </c>
      <c r="I222" s="847"/>
    </row>
    <row r="223">
      <c r="A223" s="265"/>
      <c r="B223" s="950">
        <f t="shared" si="24"/>
        <v>400</v>
      </c>
      <c r="F223" s="161">
        <f>140+260</f>
        <v>400</v>
      </c>
      <c r="G223" s="2" t="s">
        <v>3915</v>
      </c>
      <c r="I223" s="847"/>
    </row>
    <row r="224">
      <c r="A224" s="265"/>
      <c r="B224" s="950">
        <f t="shared" si="24"/>
        <v>3000</v>
      </c>
      <c r="F224" s="161">
        <v>3000.0</v>
      </c>
      <c r="G224" s="2" t="s">
        <v>3916</v>
      </c>
      <c r="H224" s="942"/>
      <c r="I224" s="847"/>
    </row>
    <row r="225">
      <c r="A225" s="265"/>
      <c r="B225" s="950" t="str">
        <f t="shared" si="24"/>
        <v/>
      </c>
      <c r="F225" s="161"/>
      <c r="I225" s="847"/>
    </row>
    <row r="226">
      <c r="A226" s="265"/>
      <c r="B226" s="950" t="str">
        <f t="shared" si="24"/>
        <v/>
      </c>
      <c r="F226" s="161"/>
      <c r="I226" s="847"/>
    </row>
    <row r="227">
      <c r="A227" s="270"/>
      <c r="B227" s="194">
        <f>SUM(B218:B226)</f>
        <v>13090</v>
      </c>
      <c r="C227" s="18"/>
      <c r="D227" s="18"/>
      <c r="E227" s="18"/>
      <c r="F227" s="952"/>
      <c r="G227" s="18"/>
      <c r="H227" s="18"/>
      <c r="I227" s="663"/>
    </row>
    <row r="228">
      <c r="A228" s="937">
        <v>44097.0</v>
      </c>
      <c r="B228" s="948">
        <f t="shared" ref="B228:B236" si="25">F228</f>
        <v>800</v>
      </c>
      <c r="C228" s="242"/>
      <c r="D228" s="242"/>
      <c r="E228" s="242"/>
      <c r="F228" s="949">
        <v>800.0</v>
      </c>
      <c r="G228" s="244" t="s">
        <v>314</v>
      </c>
      <c r="H228" s="244"/>
      <c r="I228" s="662"/>
    </row>
    <row r="229">
      <c r="A229" s="265"/>
      <c r="B229" s="950">
        <f t="shared" si="25"/>
        <v>1350</v>
      </c>
      <c r="F229" s="161">
        <v>1350.0</v>
      </c>
      <c r="G229" s="2" t="s">
        <v>2887</v>
      </c>
      <c r="I229" s="847"/>
    </row>
    <row r="230">
      <c r="A230" s="265"/>
      <c r="B230" s="950">
        <f t="shared" si="25"/>
        <v>387</v>
      </c>
      <c r="F230" s="161">
        <v>387.0</v>
      </c>
      <c r="G230" s="2" t="s">
        <v>2962</v>
      </c>
      <c r="I230" s="847"/>
    </row>
    <row r="231">
      <c r="A231" s="265"/>
      <c r="B231" s="950">
        <f t="shared" si="25"/>
        <v>8000</v>
      </c>
      <c r="F231" s="161">
        <v>8000.0</v>
      </c>
      <c r="G231" s="2" t="s">
        <v>3772</v>
      </c>
      <c r="I231" s="847"/>
    </row>
    <row r="232">
      <c r="A232" s="265"/>
      <c r="B232" s="950">
        <f t="shared" si="25"/>
        <v>210</v>
      </c>
      <c r="F232" s="161">
        <v>210.0</v>
      </c>
      <c r="G232" s="2" t="s">
        <v>314</v>
      </c>
      <c r="I232" s="847"/>
    </row>
    <row r="233">
      <c r="A233" s="265"/>
      <c r="B233" s="950">
        <f t="shared" si="25"/>
        <v>430</v>
      </c>
      <c r="F233" s="161">
        <v>430.0</v>
      </c>
      <c r="G233" s="2" t="s">
        <v>143</v>
      </c>
      <c r="I233" s="847"/>
    </row>
    <row r="234">
      <c r="A234" s="265"/>
      <c r="B234" s="950" t="str">
        <f t="shared" si="25"/>
        <v/>
      </c>
      <c r="D234" s="2">
        <v>18150.0</v>
      </c>
      <c r="F234" s="161"/>
      <c r="G234" s="2" t="s">
        <v>3440</v>
      </c>
      <c r="I234" s="847"/>
    </row>
    <row r="235">
      <c r="A235" s="265"/>
      <c r="B235" s="950">
        <f t="shared" si="25"/>
        <v>360</v>
      </c>
      <c r="F235" s="161">
        <v>360.0</v>
      </c>
      <c r="G235" s="2" t="s">
        <v>764</v>
      </c>
      <c r="H235" s="552"/>
      <c r="I235" s="847"/>
    </row>
    <row r="236">
      <c r="A236" s="265"/>
      <c r="B236" s="950" t="str">
        <f t="shared" si="25"/>
        <v/>
      </c>
      <c r="F236" s="161"/>
      <c r="I236" s="847"/>
    </row>
    <row r="237">
      <c r="A237" s="270"/>
      <c r="B237" s="194">
        <f>SUM(B228:B236)</f>
        <v>11537</v>
      </c>
      <c r="C237" s="18"/>
      <c r="D237" s="18"/>
      <c r="E237" s="18"/>
      <c r="F237" s="952"/>
      <c r="G237" s="18"/>
      <c r="H237" s="18"/>
      <c r="I237" s="663"/>
    </row>
    <row r="238">
      <c r="A238" s="937">
        <v>44098.0</v>
      </c>
      <c r="B238" s="948">
        <f t="shared" ref="B238:B246" si="26">F238</f>
        <v>7100</v>
      </c>
      <c r="C238" s="242"/>
      <c r="D238" s="242"/>
      <c r="E238" s="242"/>
      <c r="F238" s="949">
        <v>7100.0</v>
      </c>
      <c r="G238" s="244" t="s">
        <v>615</v>
      </c>
      <c r="H238" s="244"/>
      <c r="I238" s="662"/>
    </row>
    <row r="239">
      <c r="A239" s="265"/>
      <c r="B239" s="950">
        <f t="shared" si="26"/>
        <v>3300</v>
      </c>
      <c r="F239" s="161">
        <v>3300.0</v>
      </c>
      <c r="G239" s="2" t="s">
        <v>64</v>
      </c>
      <c r="I239" s="847"/>
    </row>
    <row r="240">
      <c r="A240" s="265"/>
      <c r="B240" s="950">
        <f t="shared" si="26"/>
        <v>2140</v>
      </c>
      <c r="F240" s="161">
        <v>2140.0</v>
      </c>
      <c r="G240" s="2" t="s">
        <v>3917</v>
      </c>
      <c r="I240" s="847"/>
    </row>
    <row r="241">
      <c r="A241" s="265"/>
      <c r="B241" s="950">
        <f t="shared" si="26"/>
        <v>480.38</v>
      </c>
      <c r="F241" s="161">
        <v>480.38</v>
      </c>
      <c r="G241" s="2" t="s">
        <v>314</v>
      </c>
      <c r="I241" s="847"/>
    </row>
    <row r="242">
      <c r="A242" s="265"/>
      <c r="B242" s="950">
        <f t="shared" si="26"/>
        <v>344</v>
      </c>
      <c r="F242" s="161">
        <v>344.0</v>
      </c>
      <c r="G242" s="2" t="s">
        <v>3918</v>
      </c>
      <c r="I242" s="847"/>
    </row>
    <row r="243">
      <c r="A243" s="265"/>
      <c r="B243" s="950">
        <f t="shared" si="26"/>
        <v>1320</v>
      </c>
      <c r="F243" s="161">
        <v>1320.0</v>
      </c>
      <c r="G243" s="2" t="s">
        <v>3919</v>
      </c>
      <c r="I243" s="847"/>
    </row>
    <row r="244">
      <c r="A244" s="265"/>
      <c r="B244" s="950">
        <f t="shared" si="26"/>
        <v>2800</v>
      </c>
      <c r="F244" s="161">
        <v>2800.0</v>
      </c>
      <c r="G244" s="2" t="s">
        <v>3920</v>
      </c>
      <c r="H244" s="552"/>
      <c r="I244" s="847"/>
    </row>
    <row r="245">
      <c r="A245" s="265"/>
      <c r="B245" s="950">
        <f t="shared" si="26"/>
        <v>500</v>
      </c>
      <c r="F245" s="161">
        <v>500.0</v>
      </c>
      <c r="G245" s="2" t="s">
        <v>3811</v>
      </c>
      <c r="H245" s="552"/>
      <c r="I245" s="847"/>
    </row>
    <row r="246">
      <c r="A246" s="265"/>
      <c r="B246" s="950" t="str">
        <f t="shared" si="26"/>
        <v/>
      </c>
      <c r="F246" s="161"/>
      <c r="I246" s="847"/>
    </row>
    <row r="247">
      <c r="A247" s="270"/>
      <c r="B247" s="194">
        <f>SUM(B238:B246)</f>
        <v>17984.38</v>
      </c>
      <c r="C247" s="18"/>
      <c r="D247" s="18"/>
      <c r="E247" s="18"/>
      <c r="F247" s="952"/>
      <c r="G247" s="18"/>
      <c r="H247" s="18"/>
      <c r="I247" s="663"/>
    </row>
    <row r="248">
      <c r="A248" s="937">
        <v>44099.0</v>
      </c>
      <c r="B248" s="948">
        <f t="shared" ref="B248:B256" si="27">F248</f>
        <v>1128</v>
      </c>
      <c r="C248" s="242"/>
      <c r="D248" s="242"/>
      <c r="E248" s="242"/>
      <c r="F248" s="949">
        <v>1128.0</v>
      </c>
      <c r="G248" s="244" t="s">
        <v>314</v>
      </c>
      <c r="H248" s="244"/>
      <c r="I248" s="662"/>
    </row>
    <row r="249">
      <c r="A249" s="265"/>
      <c r="B249" s="950">
        <f t="shared" si="27"/>
        <v>2176.5</v>
      </c>
      <c r="F249" s="161">
        <v>2176.5</v>
      </c>
      <c r="G249" s="2" t="s">
        <v>58</v>
      </c>
      <c r="I249" s="847"/>
    </row>
    <row r="250">
      <c r="A250" s="265"/>
      <c r="B250" s="950" t="str">
        <f t="shared" si="27"/>
        <v/>
      </c>
      <c r="D250" s="2">
        <v>1317.16</v>
      </c>
      <c r="F250" s="161"/>
      <c r="G250" s="2" t="s">
        <v>951</v>
      </c>
      <c r="I250" s="847"/>
    </row>
    <row r="251">
      <c r="A251" s="265"/>
      <c r="B251" s="950" t="str">
        <f t="shared" si="27"/>
        <v/>
      </c>
      <c r="D251" s="2">
        <v>9500.0</v>
      </c>
      <c r="F251" s="161"/>
      <c r="G251" s="2" t="s">
        <v>3889</v>
      </c>
      <c r="I251" s="847"/>
    </row>
    <row r="252">
      <c r="A252" s="265"/>
      <c r="B252" s="950" t="str">
        <f t="shared" si="27"/>
        <v/>
      </c>
      <c r="F252" s="161"/>
      <c r="I252" s="847"/>
    </row>
    <row r="253">
      <c r="A253" s="265"/>
      <c r="B253" s="950" t="str">
        <f t="shared" si="27"/>
        <v/>
      </c>
      <c r="F253" s="161"/>
      <c r="I253" s="847"/>
    </row>
    <row r="254">
      <c r="A254" s="265"/>
      <c r="B254" s="950" t="str">
        <f t="shared" si="27"/>
        <v/>
      </c>
      <c r="F254" s="161"/>
      <c r="I254" s="847"/>
    </row>
    <row r="255">
      <c r="A255" s="265"/>
      <c r="B255" s="950" t="str">
        <f t="shared" si="27"/>
        <v/>
      </c>
      <c r="F255" s="161"/>
      <c r="I255" s="847"/>
    </row>
    <row r="256">
      <c r="A256" s="265"/>
      <c r="B256" s="950" t="str">
        <f t="shared" si="27"/>
        <v/>
      </c>
      <c r="F256" s="161"/>
      <c r="I256" s="847"/>
    </row>
    <row r="257">
      <c r="A257" s="270"/>
      <c r="B257" s="194">
        <f>SUM(B248:B256)</f>
        <v>3304.5</v>
      </c>
      <c r="C257" s="18"/>
      <c r="D257" s="18"/>
      <c r="E257" s="18"/>
      <c r="F257" s="952"/>
      <c r="G257" s="18"/>
      <c r="H257" s="18"/>
      <c r="I257" s="663"/>
    </row>
    <row r="258">
      <c r="A258" s="937">
        <v>44100.0</v>
      </c>
      <c r="B258" s="948">
        <f t="shared" ref="B258:B266" si="28">F258</f>
        <v>1636</v>
      </c>
      <c r="C258" s="242"/>
      <c r="D258" s="242"/>
      <c r="E258" s="242"/>
      <c r="F258" s="949">
        <v>1636.0</v>
      </c>
      <c r="G258" s="244" t="s">
        <v>314</v>
      </c>
      <c r="H258" s="244"/>
      <c r="I258" s="662"/>
    </row>
    <row r="259">
      <c r="A259" s="265"/>
      <c r="B259" s="950">
        <f t="shared" si="28"/>
        <v>150</v>
      </c>
      <c r="F259" s="161">
        <v>150.0</v>
      </c>
      <c r="G259" s="2" t="s">
        <v>3921</v>
      </c>
      <c r="I259" s="847"/>
    </row>
    <row r="260">
      <c r="A260" s="265"/>
      <c r="B260" s="950">
        <f t="shared" si="28"/>
        <v>7250</v>
      </c>
      <c r="F260" s="161">
        <v>7250.0</v>
      </c>
      <c r="G260" s="2" t="s">
        <v>3845</v>
      </c>
      <c r="H260" s="552"/>
      <c r="I260" s="847"/>
    </row>
    <row r="261">
      <c r="A261" s="265"/>
      <c r="B261" s="950">
        <f t="shared" si="28"/>
        <v>5550</v>
      </c>
      <c r="F261" s="161">
        <v>5550.0</v>
      </c>
      <c r="G261" s="2" t="s">
        <v>3896</v>
      </c>
      <c r="H261" s="552"/>
      <c r="I261" s="847"/>
    </row>
    <row r="262">
      <c r="A262" s="265"/>
      <c r="B262" s="950">
        <f t="shared" si="28"/>
        <v>5800</v>
      </c>
      <c r="F262" s="161">
        <v>5800.0</v>
      </c>
      <c r="G262" s="2" t="s">
        <v>3848</v>
      </c>
      <c r="H262" s="552"/>
      <c r="I262" s="847"/>
    </row>
    <row r="263">
      <c r="A263" s="265"/>
      <c r="B263" s="950">
        <f t="shared" si="28"/>
        <v>0</v>
      </c>
      <c r="F263" s="161">
        <v>0.0</v>
      </c>
      <c r="G263" s="2" t="s">
        <v>3815</v>
      </c>
      <c r="H263" s="552"/>
      <c r="I263" s="847"/>
    </row>
    <row r="264">
      <c r="A264" s="265"/>
      <c r="B264" s="950" t="str">
        <f t="shared" si="28"/>
        <v/>
      </c>
      <c r="F264" s="161"/>
      <c r="I264" s="847"/>
    </row>
    <row r="265">
      <c r="A265" s="265"/>
      <c r="B265" s="950" t="str">
        <f t="shared" si="28"/>
        <v/>
      </c>
      <c r="F265" s="161"/>
      <c r="I265" s="847"/>
    </row>
    <row r="266">
      <c r="A266" s="265"/>
      <c r="B266" s="950" t="str">
        <f t="shared" si="28"/>
        <v/>
      </c>
      <c r="F266" s="161"/>
      <c r="I266" s="847"/>
    </row>
    <row r="267">
      <c r="A267" s="270"/>
      <c r="B267" s="194">
        <f>SUM(B258:B266)</f>
        <v>20386</v>
      </c>
      <c r="C267" s="18"/>
      <c r="D267" s="18"/>
      <c r="E267" s="18"/>
      <c r="F267" s="952"/>
      <c r="G267" s="18"/>
      <c r="H267" s="18"/>
      <c r="I267" s="663"/>
    </row>
    <row r="268">
      <c r="A268" s="937">
        <v>44101.0</v>
      </c>
      <c r="B268" s="948">
        <f t="shared" ref="B268:B276" si="29">F268</f>
        <v>2700</v>
      </c>
      <c r="C268" s="242"/>
      <c r="D268" s="242"/>
      <c r="E268" s="244"/>
      <c r="F268" s="949">
        <v>2700.0</v>
      </c>
      <c r="G268" s="244" t="s">
        <v>764</v>
      </c>
      <c r="H268" s="962"/>
      <c r="I268" s="662"/>
    </row>
    <row r="269">
      <c r="A269" s="265"/>
      <c r="B269" s="950">
        <f t="shared" si="29"/>
        <v>8500</v>
      </c>
      <c r="F269" s="161">
        <v>8500.0</v>
      </c>
      <c r="G269" s="2" t="s">
        <v>2787</v>
      </c>
      <c r="H269" s="552"/>
      <c r="I269" s="847"/>
    </row>
    <row r="270">
      <c r="A270" s="265"/>
      <c r="B270" s="950">
        <f t="shared" si="29"/>
        <v>5800</v>
      </c>
      <c r="F270" s="161">
        <v>5800.0</v>
      </c>
      <c r="G270" s="2" t="s">
        <v>3847</v>
      </c>
      <c r="H270" s="552"/>
      <c r="I270" s="847"/>
    </row>
    <row r="271">
      <c r="A271" s="265"/>
      <c r="B271" s="950">
        <f t="shared" si="29"/>
        <v>4000</v>
      </c>
      <c r="F271" s="161">
        <v>4000.0</v>
      </c>
      <c r="G271" s="2" t="s">
        <v>3897</v>
      </c>
      <c r="H271" s="552"/>
      <c r="I271" s="963" t="s">
        <v>3922</v>
      </c>
    </row>
    <row r="272">
      <c r="A272" s="265"/>
      <c r="B272" s="950">
        <f t="shared" si="29"/>
        <v>140</v>
      </c>
      <c r="F272" s="161">
        <v>140.0</v>
      </c>
      <c r="G272" s="2" t="s">
        <v>3923</v>
      </c>
      <c r="I272" s="847"/>
    </row>
    <row r="273">
      <c r="A273" s="265"/>
      <c r="B273" s="950">
        <f t="shared" si="29"/>
        <v>903</v>
      </c>
      <c r="F273" s="161">
        <v>903.0</v>
      </c>
      <c r="G273" s="2" t="s">
        <v>708</v>
      </c>
      <c r="I273" s="847"/>
    </row>
    <row r="274">
      <c r="A274" s="265"/>
      <c r="B274" s="950" t="str">
        <f t="shared" si="29"/>
        <v/>
      </c>
      <c r="F274" s="161"/>
      <c r="I274" s="847"/>
    </row>
    <row r="275">
      <c r="A275" s="265"/>
      <c r="B275" s="950" t="str">
        <f t="shared" si="29"/>
        <v/>
      </c>
      <c r="F275" s="161"/>
      <c r="I275" s="847"/>
    </row>
    <row r="276">
      <c r="A276" s="265"/>
      <c r="B276" s="950" t="str">
        <f t="shared" si="29"/>
        <v/>
      </c>
      <c r="F276" s="161"/>
      <c r="I276" s="847"/>
    </row>
    <row r="277">
      <c r="A277" s="270"/>
      <c r="B277" s="194">
        <f>SUM(B268:B276)</f>
        <v>22043</v>
      </c>
      <c r="C277" s="18"/>
      <c r="D277" s="18"/>
      <c r="E277" s="18"/>
      <c r="F277" s="952"/>
      <c r="G277" s="18"/>
      <c r="H277" s="18"/>
      <c r="I277" s="663"/>
    </row>
    <row r="278">
      <c r="A278" s="937">
        <v>44102.0</v>
      </c>
      <c r="B278" s="948">
        <f t="shared" ref="B278:B293" si="30">F278</f>
        <v>500</v>
      </c>
      <c r="C278" s="242"/>
      <c r="D278" s="242"/>
      <c r="E278" s="242"/>
      <c r="F278" s="949">
        <v>500.0</v>
      </c>
      <c r="G278" s="244" t="s">
        <v>3924</v>
      </c>
      <c r="H278" s="244"/>
      <c r="I278" s="662"/>
    </row>
    <row r="279">
      <c r="A279" s="265"/>
      <c r="B279" s="950">
        <f t="shared" si="30"/>
        <v>503</v>
      </c>
      <c r="F279" s="161">
        <v>503.0</v>
      </c>
      <c r="G279" s="2" t="s">
        <v>3925</v>
      </c>
      <c r="I279" s="847"/>
    </row>
    <row r="280">
      <c r="A280" s="265"/>
      <c r="B280" s="950">
        <f t="shared" si="30"/>
        <v>1310</v>
      </c>
      <c r="F280" s="161">
        <v>1310.0</v>
      </c>
      <c r="G280" s="2" t="s">
        <v>314</v>
      </c>
      <c r="I280" s="847"/>
    </row>
    <row r="281">
      <c r="A281" s="265"/>
      <c r="B281" s="950">
        <f t="shared" si="30"/>
        <v>3000</v>
      </c>
      <c r="F281" s="161">
        <v>3000.0</v>
      </c>
      <c r="G281" s="2" t="s">
        <v>3731</v>
      </c>
      <c r="I281" s="847"/>
    </row>
    <row r="282">
      <c r="A282" s="265"/>
      <c r="B282" s="950">
        <f t="shared" si="30"/>
        <v>2310</v>
      </c>
      <c r="F282" s="161">
        <v>2310.0</v>
      </c>
      <c r="G282" s="2" t="s">
        <v>3755</v>
      </c>
      <c r="I282" s="847"/>
    </row>
    <row r="283">
      <c r="A283" s="265"/>
      <c r="B283" s="950">
        <f t="shared" si="30"/>
        <v>190</v>
      </c>
      <c r="F283" s="161">
        <v>190.0</v>
      </c>
      <c r="G283" s="2" t="s">
        <v>1729</v>
      </c>
      <c r="I283" s="847"/>
    </row>
    <row r="284">
      <c r="A284" s="265"/>
      <c r="B284" s="950">
        <f t="shared" si="30"/>
        <v>50</v>
      </c>
      <c r="F284" s="161">
        <v>50.0</v>
      </c>
      <c r="G284" s="2" t="s">
        <v>3926</v>
      </c>
      <c r="I284" s="847"/>
    </row>
    <row r="285">
      <c r="A285" s="265"/>
      <c r="B285" s="950">
        <f t="shared" si="30"/>
        <v>5500</v>
      </c>
      <c r="F285" s="161">
        <v>5500.0</v>
      </c>
      <c r="G285" s="2" t="s">
        <v>3927</v>
      </c>
      <c r="I285" s="847"/>
    </row>
    <row r="286">
      <c r="A286" s="265"/>
      <c r="B286" s="950">
        <f t="shared" si="30"/>
        <v>286</v>
      </c>
      <c r="F286" s="161">
        <v>286.0</v>
      </c>
      <c r="G286" s="2" t="s">
        <v>94</v>
      </c>
      <c r="I286" s="847"/>
    </row>
    <row r="287">
      <c r="A287" s="265"/>
      <c r="B287" s="950">
        <f t="shared" si="30"/>
        <v>2590</v>
      </c>
      <c r="F287" s="161">
        <v>2590.0</v>
      </c>
      <c r="G287" s="2" t="s">
        <v>3888</v>
      </c>
      <c r="I287" s="847"/>
    </row>
    <row r="288">
      <c r="A288" s="265"/>
      <c r="B288" s="950">
        <f t="shared" si="30"/>
        <v>560</v>
      </c>
      <c r="F288" s="161">
        <v>560.0</v>
      </c>
      <c r="G288" s="2" t="s">
        <v>3928</v>
      </c>
      <c r="I288" s="847"/>
    </row>
    <row r="289">
      <c r="A289" s="265"/>
      <c r="B289" s="950">
        <f t="shared" si="30"/>
        <v>65</v>
      </c>
      <c r="F289" s="161">
        <v>65.0</v>
      </c>
      <c r="G289" s="2" t="s">
        <v>3929</v>
      </c>
      <c r="I289" s="847"/>
    </row>
    <row r="290">
      <c r="A290" s="265"/>
      <c r="B290" s="950">
        <f t="shared" si="30"/>
        <v>207</v>
      </c>
      <c r="F290" s="161">
        <v>207.0</v>
      </c>
      <c r="G290" s="2" t="s">
        <v>3489</v>
      </c>
      <c r="I290" s="847"/>
    </row>
    <row r="291">
      <c r="A291" s="265"/>
      <c r="B291" s="950">
        <f t="shared" si="30"/>
        <v>450</v>
      </c>
      <c r="F291" s="161">
        <v>450.0</v>
      </c>
      <c r="G291" s="2" t="s">
        <v>3828</v>
      </c>
      <c r="I291" s="847"/>
    </row>
    <row r="292">
      <c r="A292" s="265"/>
      <c r="B292" s="950" t="str">
        <f t="shared" si="30"/>
        <v/>
      </c>
      <c r="F292" s="161"/>
      <c r="G292" s="2"/>
      <c r="I292" s="847"/>
    </row>
    <row r="293">
      <c r="A293" s="265"/>
      <c r="B293" s="950" t="str">
        <f t="shared" si="30"/>
        <v/>
      </c>
      <c r="F293" s="161"/>
      <c r="G293" s="2"/>
      <c r="I293" s="847"/>
    </row>
    <row r="294">
      <c r="A294" s="270"/>
      <c r="B294" s="194">
        <f>SUM(B278:B293)</f>
        <v>17521</v>
      </c>
      <c r="C294" s="18"/>
      <c r="D294" s="18"/>
      <c r="E294" s="18"/>
      <c r="F294" s="952"/>
      <c r="G294" s="18"/>
      <c r="H294" s="18"/>
      <c r="I294" s="663"/>
    </row>
    <row r="295">
      <c r="A295" s="937">
        <v>44103.0</v>
      </c>
      <c r="B295" s="948">
        <f t="shared" ref="B295:B303" si="31">F295</f>
        <v>980</v>
      </c>
      <c r="C295" s="242"/>
      <c r="D295" s="242"/>
      <c r="E295" s="242"/>
      <c r="F295" s="949">
        <v>980.0</v>
      </c>
      <c r="G295" s="244" t="s">
        <v>708</v>
      </c>
      <c r="H295" s="244"/>
      <c r="I295" s="662"/>
    </row>
    <row r="296">
      <c r="A296" s="265"/>
      <c r="B296" s="950" t="str">
        <f t="shared" si="31"/>
        <v/>
      </c>
      <c r="D296" s="2">
        <v>13375.34</v>
      </c>
      <c r="F296" s="161"/>
      <c r="G296" s="2" t="s">
        <v>2637</v>
      </c>
      <c r="I296" s="847"/>
    </row>
    <row r="297">
      <c r="A297" s="265"/>
      <c r="B297" s="950">
        <f t="shared" si="31"/>
        <v>2400</v>
      </c>
      <c r="F297" s="161">
        <v>2400.0</v>
      </c>
      <c r="G297" s="2" t="s">
        <v>612</v>
      </c>
      <c r="I297" s="847"/>
    </row>
    <row r="298">
      <c r="A298" s="265"/>
      <c r="B298" s="950">
        <f t="shared" si="31"/>
        <v>1000</v>
      </c>
      <c r="F298" s="161">
        <v>1000.0</v>
      </c>
      <c r="G298" s="2" t="s">
        <v>3818</v>
      </c>
      <c r="H298" s="552"/>
      <c r="I298" s="847"/>
    </row>
    <row r="299">
      <c r="A299" s="265"/>
      <c r="B299" s="950">
        <f t="shared" si="31"/>
        <v>800</v>
      </c>
      <c r="F299" s="161">
        <v>800.0</v>
      </c>
      <c r="G299" s="2" t="s">
        <v>633</v>
      </c>
      <c r="I299" s="847"/>
    </row>
    <row r="300">
      <c r="A300" s="265"/>
      <c r="B300" s="950">
        <f t="shared" si="31"/>
        <v>155</v>
      </c>
      <c r="F300" s="161">
        <v>155.0</v>
      </c>
      <c r="G300" s="2" t="s">
        <v>3930</v>
      </c>
      <c r="I300" s="847"/>
    </row>
    <row r="301">
      <c r="A301" s="265"/>
      <c r="B301" s="950">
        <f t="shared" si="31"/>
        <v>166</v>
      </c>
      <c r="F301" s="161">
        <v>166.0</v>
      </c>
      <c r="G301" s="2" t="s">
        <v>3931</v>
      </c>
      <c r="I301" s="847"/>
    </row>
    <row r="302">
      <c r="A302" s="265"/>
      <c r="B302" s="950">
        <f t="shared" si="31"/>
        <v>3150</v>
      </c>
      <c r="F302" s="161">
        <v>3150.0</v>
      </c>
      <c r="G302" s="2" t="s">
        <v>3932</v>
      </c>
      <c r="I302" s="847"/>
    </row>
    <row r="303">
      <c r="A303" s="265"/>
      <c r="B303" s="950">
        <f t="shared" si="31"/>
        <v>2500</v>
      </c>
      <c r="F303" s="161">
        <v>2500.0</v>
      </c>
      <c r="G303" s="2" t="s">
        <v>3933</v>
      </c>
      <c r="H303" s="552"/>
      <c r="I303" s="847"/>
    </row>
    <row r="304">
      <c r="A304" s="265"/>
      <c r="B304" s="964">
        <v>6000.0</v>
      </c>
      <c r="F304" s="161">
        <v>6000.0</v>
      </c>
      <c r="G304" s="2" t="s">
        <v>3934</v>
      </c>
      <c r="I304" s="847"/>
    </row>
    <row r="305">
      <c r="A305" s="270"/>
      <c r="B305" s="194">
        <f>SUM(B295:B304)</f>
        <v>17151</v>
      </c>
      <c r="C305" s="18"/>
      <c r="D305" s="18"/>
      <c r="E305" s="18"/>
      <c r="F305" s="952"/>
      <c r="G305" s="18"/>
      <c r="H305" s="18"/>
      <c r="I305" s="663"/>
    </row>
    <row r="306">
      <c r="A306" s="937">
        <v>44104.0</v>
      </c>
      <c r="B306" s="948">
        <f t="shared" ref="B306:B314" si="32">F306</f>
        <v>1384</v>
      </c>
      <c r="C306" s="242"/>
      <c r="D306" s="242"/>
      <c r="E306" s="242"/>
      <c r="F306" s="949">
        <v>1384.0</v>
      </c>
      <c r="G306" s="244" t="s">
        <v>314</v>
      </c>
      <c r="H306" s="244"/>
      <c r="I306" s="662"/>
    </row>
    <row r="307">
      <c r="A307" s="265"/>
      <c r="B307" s="950">
        <f t="shared" si="32"/>
        <v>100</v>
      </c>
      <c r="F307" s="161">
        <v>100.0</v>
      </c>
      <c r="G307" s="2" t="s">
        <v>3935</v>
      </c>
      <c r="I307" s="847"/>
    </row>
    <row r="308">
      <c r="A308" s="265"/>
      <c r="B308" s="950">
        <f t="shared" si="32"/>
        <v>1350</v>
      </c>
      <c r="F308" s="161">
        <v>1350.0</v>
      </c>
      <c r="G308" s="2" t="s">
        <v>2887</v>
      </c>
      <c r="I308" s="847"/>
    </row>
    <row r="309">
      <c r="A309" s="265"/>
      <c r="B309" s="950">
        <f t="shared" si="32"/>
        <v>2180</v>
      </c>
      <c r="F309" s="161">
        <v>2180.0</v>
      </c>
      <c r="G309" s="2" t="s">
        <v>82</v>
      </c>
      <c r="I309" s="847"/>
    </row>
    <row r="310">
      <c r="A310" s="265"/>
      <c r="B310" s="950">
        <f t="shared" si="32"/>
        <v>60</v>
      </c>
      <c r="F310" s="161">
        <v>60.0</v>
      </c>
      <c r="G310" s="2" t="s">
        <v>3936</v>
      </c>
      <c r="I310" s="847"/>
    </row>
    <row r="311">
      <c r="A311" s="265"/>
      <c r="B311" s="950">
        <f t="shared" si="32"/>
        <v>255</v>
      </c>
      <c r="F311" s="161">
        <v>255.0</v>
      </c>
      <c r="G311" s="2" t="s">
        <v>3937</v>
      </c>
      <c r="I311" s="847"/>
    </row>
    <row r="312">
      <c r="A312" s="265"/>
      <c r="B312" s="950">
        <f t="shared" si="32"/>
        <v>1000</v>
      </c>
      <c r="F312" s="161">
        <v>1000.0</v>
      </c>
      <c r="G312" s="2" t="s">
        <v>3938</v>
      </c>
      <c r="H312" s="965"/>
      <c r="I312" s="847"/>
    </row>
    <row r="313">
      <c r="A313" s="265"/>
      <c r="B313" s="950" t="str">
        <f t="shared" si="32"/>
        <v/>
      </c>
      <c r="F313" s="161"/>
      <c r="I313" s="847"/>
    </row>
    <row r="314">
      <c r="A314" s="265"/>
      <c r="B314" s="950" t="str">
        <f t="shared" si="32"/>
        <v/>
      </c>
      <c r="F314" s="161"/>
      <c r="I314" s="847"/>
    </row>
    <row r="315">
      <c r="A315" s="270"/>
      <c r="B315" s="194">
        <f>SUM(B306:B314)</f>
        <v>6329</v>
      </c>
      <c r="C315" s="18"/>
      <c r="D315" s="18"/>
      <c r="E315" s="18"/>
      <c r="F315" s="952"/>
      <c r="G315" s="18"/>
      <c r="H315" s="18"/>
      <c r="I315" s="663"/>
    </row>
    <row r="316">
      <c r="A316" s="937">
        <v>44105.0</v>
      </c>
      <c r="B316" s="950">
        <f t="shared" ref="B316:B324" si="33">F316</f>
        <v>715</v>
      </c>
      <c r="C316" s="242"/>
      <c r="D316" s="242"/>
      <c r="E316" s="242"/>
      <c r="F316" s="949">
        <v>715.0</v>
      </c>
      <c r="G316" s="244" t="s">
        <v>708</v>
      </c>
      <c r="H316" s="244"/>
      <c r="I316" s="662"/>
    </row>
    <row r="317">
      <c r="A317" s="265"/>
      <c r="B317" s="950">
        <f t="shared" si="33"/>
        <v>3000</v>
      </c>
      <c r="F317" s="161">
        <v>3000.0</v>
      </c>
      <c r="G317" s="2" t="s">
        <v>64</v>
      </c>
      <c r="I317" s="847"/>
    </row>
    <row r="318">
      <c r="A318" s="265"/>
      <c r="B318" s="950">
        <f t="shared" si="33"/>
        <v>3070</v>
      </c>
      <c r="F318" s="161">
        <v>3070.0</v>
      </c>
      <c r="G318" s="2" t="s">
        <v>3329</v>
      </c>
      <c r="I318" s="847"/>
    </row>
    <row r="319">
      <c r="A319" s="265"/>
      <c r="B319" s="950" t="str">
        <f t="shared" si="33"/>
        <v/>
      </c>
      <c r="C319" s="2">
        <v>10684.68</v>
      </c>
      <c r="F319" s="161"/>
      <c r="G319" s="2" t="s">
        <v>951</v>
      </c>
      <c r="I319" s="847"/>
    </row>
    <row r="320">
      <c r="A320" s="265"/>
      <c r="B320" s="950">
        <f t="shared" si="33"/>
        <v>700</v>
      </c>
      <c r="F320" s="161">
        <v>700.0</v>
      </c>
      <c r="G320" s="2" t="s">
        <v>3806</v>
      </c>
      <c r="I320" s="847"/>
    </row>
    <row r="321">
      <c r="A321" s="265"/>
      <c r="B321" s="950">
        <f t="shared" si="33"/>
        <v>1500</v>
      </c>
      <c r="F321" s="161">
        <v>1500.0</v>
      </c>
      <c r="G321" s="2" t="s">
        <v>3807</v>
      </c>
      <c r="H321" s="778"/>
      <c r="I321" s="847"/>
    </row>
    <row r="322">
      <c r="A322" s="265"/>
      <c r="B322" s="950">
        <f t="shared" si="33"/>
        <v>720</v>
      </c>
      <c r="F322" s="161">
        <v>720.0</v>
      </c>
      <c r="G322" s="2" t="s">
        <v>708</v>
      </c>
      <c r="I322" s="847"/>
    </row>
    <row r="323">
      <c r="A323" s="265"/>
      <c r="B323" s="950">
        <f t="shared" si="33"/>
        <v>284.2</v>
      </c>
      <c r="F323" s="161">
        <v>284.2</v>
      </c>
      <c r="G323" s="2" t="s">
        <v>708</v>
      </c>
      <c r="I323" s="847"/>
    </row>
    <row r="324">
      <c r="A324" s="265"/>
      <c r="B324" s="950">
        <f t="shared" si="33"/>
        <v>430</v>
      </c>
      <c r="F324" s="161">
        <v>430.0</v>
      </c>
      <c r="G324" s="2" t="s">
        <v>3536</v>
      </c>
      <c r="I324" s="847"/>
    </row>
    <row r="325">
      <c r="A325" s="270"/>
      <c r="B325" s="194">
        <f>SUM(B316:B324)</f>
        <v>10419.2</v>
      </c>
      <c r="C325" s="18"/>
      <c r="D325" s="18"/>
      <c r="E325" s="18"/>
      <c r="F325" s="952"/>
      <c r="G325" s="18"/>
      <c r="H325" s="18"/>
      <c r="I325" s="663"/>
    </row>
    <row r="326">
      <c r="A326" s="937">
        <v>44106.0</v>
      </c>
      <c r="B326" s="950">
        <f t="shared" ref="B326:B334" si="34">F326</f>
        <v>225</v>
      </c>
      <c r="C326" s="242"/>
      <c r="D326" s="242"/>
      <c r="E326" s="242"/>
      <c r="F326" s="949">
        <v>225.0</v>
      </c>
      <c r="G326" s="244" t="s">
        <v>708</v>
      </c>
      <c r="H326" s="244"/>
      <c r="I326" s="662"/>
    </row>
    <row r="327">
      <c r="A327" s="265"/>
      <c r="B327" s="950">
        <f t="shared" si="34"/>
        <v>463</v>
      </c>
      <c r="F327" s="161">
        <v>463.0</v>
      </c>
      <c r="G327" s="2" t="s">
        <v>708</v>
      </c>
      <c r="I327" s="847"/>
    </row>
    <row r="328">
      <c r="A328" s="265"/>
      <c r="B328" s="950">
        <f t="shared" si="34"/>
        <v>5155</v>
      </c>
      <c r="F328" s="161">
        <v>5155.0</v>
      </c>
      <c r="G328" s="2" t="s">
        <v>74</v>
      </c>
      <c r="I328" s="847"/>
    </row>
    <row r="329">
      <c r="A329" s="265"/>
      <c r="B329" s="950">
        <f t="shared" si="34"/>
        <v>2080</v>
      </c>
      <c r="F329" s="161">
        <v>2080.0</v>
      </c>
      <c r="G329" s="2" t="s">
        <v>79</v>
      </c>
      <c r="I329" s="847"/>
    </row>
    <row r="330">
      <c r="A330" s="265"/>
      <c r="B330" s="950" t="str">
        <f t="shared" si="34"/>
        <v/>
      </c>
      <c r="D330" s="2">
        <v>714.48</v>
      </c>
      <c r="F330" s="161"/>
      <c r="G330" s="2" t="s">
        <v>3808</v>
      </c>
      <c r="I330" s="847"/>
    </row>
    <row r="331">
      <c r="A331" s="265"/>
      <c r="B331" s="950">
        <f t="shared" si="34"/>
        <v>500</v>
      </c>
      <c r="F331" s="161">
        <v>500.0</v>
      </c>
      <c r="G331" s="2" t="s">
        <v>3809</v>
      </c>
      <c r="I331" s="847"/>
    </row>
    <row r="332">
      <c r="A332" s="265"/>
      <c r="B332" s="950">
        <f t="shared" si="34"/>
        <v>30</v>
      </c>
      <c r="F332" s="161">
        <v>30.0</v>
      </c>
      <c r="G332" s="2" t="s">
        <v>708</v>
      </c>
      <c r="I332" s="847"/>
    </row>
    <row r="333">
      <c r="A333" s="265"/>
      <c r="B333" s="950">
        <f t="shared" si="34"/>
        <v>550</v>
      </c>
      <c r="F333" s="161">
        <v>550.0</v>
      </c>
      <c r="G333" s="2" t="s">
        <v>764</v>
      </c>
      <c r="H333" s="552"/>
      <c r="I333" s="847"/>
    </row>
    <row r="334">
      <c r="A334" s="265"/>
      <c r="B334" s="950" t="str">
        <f t="shared" si="34"/>
        <v/>
      </c>
      <c r="F334" s="161"/>
      <c r="I334" s="847"/>
    </row>
    <row r="335">
      <c r="A335" s="270"/>
      <c r="B335" s="194">
        <f>SUM(B326:B334)</f>
        <v>9003</v>
      </c>
      <c r="C335" s="18"/>
      <c r="D335" s="18"/>
      <c r="E335" s="18"/>
      <c r="F335" s="952"/>
      <c r="G335" s="18"/>
      <c r="H335" s="18"/>
      <c r="I335" s="663"/>
    </row>
    <row r="336">
      <c r="A336" s="966"/>
    </row>
    <row r="337">
      <c r="A337" s="966"/>
    </row>
    <row r="338">
      <c r="A338" s="966"/>
    </row>
    <row r="339">
      <c r="A339" s="966"/>
    </row>
    <row r="340">
      <c r="A340" s="966"/>
    </row>
    <row r="341">
      <c r="A341" s="966"/>
    </row>
    <row r="342">
      <c r="A342" s="966"/>
    </row>
    <row r="343">
      <c r="A343" s="966"/>
    </row>
    <row r="344">
      <c r="A344" s="966"/>
    </row>
    <row r="345">
      <c r="A345" s="966"/>
    </row>
    <row r="346">
      <c r="A346" s="966"/>
    </row>
    <row r="347">
      <c r="A347" s="966"/>
    </row>
    <row r="348">
      <c r="A348" s="966"/>
    </row>
    <row r="349">
      <c r="A349" s="966"/>
    </row>
    <row r="350">
      <c r="A350" s="966"/>
    </row>
    <row r="351">
      <c r="A351" s="966"/>
    </row>
    <row r="352">
      <c r="A352" s="966"/>
    </row>
    <row r="353">
      <c r="A353" s="966"/>
    </row>
    <row r="354">
      <c r="A354" s="966"/>
    </row>
    <row r="355">
      <c r="A355" s="966"/>
    </row>
    <row r="356">
      <c r="A356" s="966"/>
    </row>
    <row r="357">
      <c r="A357" s="966"/>
    </row>
    <row r="358">
      <c r="A358" s="966"/>
    </row>
    <row r="359">
      <c r="A359" s="966"/>
    </row>
    <row r="360">
      <c r="A360" s="966"/>
    </row>
    <row r="361">
      <c r="A361" s="966"/>
    </row>
    <row r="362">
      <c r="A362" s="966"/>
    </row>
    <row r="363">
      <c r="A363" s="966"/>
    </row>
    <row r="364">
      <c r="A364" s="966"/>
    </row>
    <row r="365">
      <c r="A365" s="966"/>
    </row>
    <row r="366">
      <c r="A366" s="966"/>
    </row>
    <row r="367">
      <c r="A367" s="966"/>
    </row>
    <row r="368">
      <c r="A368" s="966"/>
    </row>
    <row r="369">
      <c r="A369" s="966"/>
    </row>
    <row r="370">
      <c r="A370" s="966"/>
    </row>
    <row r="371">
      <c r="A371" s="966"/>
    </row>
    <row r="372">
      <c r="A372" s="966"/>
    </row>
    <row r="373">
      <c r="A373" s="966"/>
    </row>
    <row r="374">
      <c r="A374" s="966"/>
    </row>
    <row r="375">
      <c r="A375" s="966"/>
    </row>
    <row r="376">
      <c r="A376" s="966"/>
    </row>
    <row r="377">
      <c r="A377" s="966"/>
    </row>
    <row r="378">
      <c r="A378" s="966"/>
    </row>
    <row r="379">
      <c r="A379" s="966"/>
    </row>
    <row r="380">
      <c r="A380" s="966"/>
    </row>
    <row r="381">
      <c r="A381" s="966"/>
    </row>
    <row r="382">
      <c r="A382" s="966"/>
    </row>
    <row r="383">
      <c r="A383" s="966"/>
    </row>
    <row r="384">
      <c r="A384" s="966"/>
    </row>
    <row r="385">
      <c r="A385" s="966"/>
    </row>
    <row r="386">
      <c r="A386" s="966"/>
    </row>
    <row r="387">
      <c r="A387" s="966"/>
    </row>
    <row r="388">
      <c r="A388" s="966"/>
    </row>
    <row r="389">
      <c r="A389" s="966"/>
    </row>
    <row r="390">
      <c r="A390" s="966"/>
    </row>
    <row r="391">
      <c r="A391" s="966"/>
    </row>
    <row r="392">
      <c r="A392" s="966"/>
    </row>
    <row r="393">
      <c r="A393" s="966"/>
    </row>
    <row r="394">
      <c r="A394" s="966"/>
    </row>
    <row r="395">
      <c r="A395" s="966"/>
    </row>
    <row r="396">
      <c r="A396" s="966"/>
    </row>
    <row r="397">
      <c r="A397" s="966"/>
    </row>
    <row r="398">
      <c r="A398" s="966"/>
    </row>
    <row r="399">
      <c r="A399" s="966"/>
    </row>
    <row r="400">
      <c r="A400" s="966"/>
    </row>
    <row r="401">
      <c r="A401" s="966"/>
    </row>
    <row r="402">
      <c r="A402" s="966"/>
    </row>
    <row r="403">
      <c r="A403" s="966"/>
    </row>
    <row r="404">
      <c r="A404" s="966"/>
    </row>
    <row r="405">
      <c r="A405" s="966"/>
    </row>
    <row r="406">
      <c r="A406" s="966"/>
    </row>
    <row r="407">
      <c r="A407" s="966"/>
    </row>
    <row r="408">
      <c r="A408" s="966"/>
    </row>
    <row r="409">
      <c r="A409" s="966"/>
    </row>
    <row r="410">
      <c r="A410" s="966"/>
    </row>
    <row r="411">
      <c r="A411" s="966"/>
    </row>
    <row r="412">
      <c r="A412" s="966"/>
    </row>
    <row r="413">
      <c r="A413" s="966"/>
    </row>
    <row r="414">
      <c r="A414" s="966"/>
    </row>
    <row r="415">
      <c r="A415" s="966"/>
    </row>
    <row r="416">
      <c r="A416" s="966"/>
    </row>
    <row r="417">
      <c r="A417" s="966"/>
    </row>
    <row r="418">
      <c r="A418" s="966"/>
    </row>
    <row r="419">
      <c r="A419" s="966"/>
    </row>
    <row r="420">
      <c r="A420" s="966"/>
    </row>
    <row r="421">
      <c r="A421" s="966"/>
    </row>
    <row r="422">
      <c r="A422" s="966"/>
    </row>
    <row r="423">
      <c r="A423" s="966"/>
    </row>
    <row r="424">
      <c r="A424" s="966"/>
    </row>
    <row r="425">
      <c r="A425" s="966"/>
    </row>
    <row r="426">
      <c r="A426" s="966"/>
    </row>
    <row r="427">
      <c r="A427" s="966"/>
    </row>
    <row r="428">
      <c r="A428" s="966"/>
    </row>
    <row r="429">
      <c r="A429" s="966"/>
    </row>
    <row r="430">
      <c r="A430" s="966"/>
    </row>
    <row r="431">
      <c r="A431" s="966"/>
    </row>
    <row r="432">
      <c r="A432" s="966"/>
    </row>
    <row r="433">
      <c r="A433" s="966"/>
    </row>
    <row r="434">
      <c r="A434" s="966"/>
    </row>
    <row r="435">
      <c r="A435" s="966"/>
    </row>
    <row r="436">
      <c r="A436" s="966"/>
    </row>
    <row r="437">
      <c r="A437" s="966"/>
    </row>
    <row r="438">
      <c r="A438" s="966"/>
    </row>
    <row r="439">
      <c r="A439" s="966"/>
    </row>
    <row r="440">
      <c r="A440" s="966"/>
    </row>
    <row r="441">
      <c r="A441" s="966"/>
    </row>
    <row r="442">
      <c r="A442" s="966"/>
    </row>
    <row r="443">
      <c r="A443" s="966"/>
    </row>
    <row r="444">
      <c r="A444" s="966"/>
    </row>
    <row r="445">
      <c r="A445" s="966"/>
    </row>
    <row r="446">
      <c r="A446" s="966"/>
    </row>
    <row r="447">
      <c r="A447" s="966"/>
    </row>
    <row r="448">
      <c r="A448" s="966"/>
    </row>
    <row r="449">
      <c r="A449" s="966"/>
    </row>
    <row r="450">
      <c r="A450" s="966"/>
    </row>
    <row r="451">
      <c r="A451" s="966"/>
    </row>
    <row r="452">
      <c r="A452" s="966"/>
    </row>
    <row r="453">
      <c r="A453" s="966"/>
    </row>
    <row r="454">
      <c r="A454" s="966"/>
    </row>
    <row r="455">
      <c r="A455" s="966"/>
    </row>
    <row r="456">
      <c r="A456" s="966"/>
    </row>
    <row r="457">
      <c r="A457" s="966"/>
    </row>
    <row r="458">
      <c r="A458" s="966"/>
    </row>
    <row r="459">
      <c r="A459" s="966"/>
    </row>
    <row r="460">
      <c r="A460" s="966"/>
    </row>
    <row r="461">
      <c r="A461" s="966"/>
    </row>
    <row r="462">
      <c r="A462" s="966"/>
    </row>
    <row r="463">
      <c r="A463" s="966"/>
    </row>
    <row r="464">
      <c r="A464" s="966"/>
    </row>
    <row r="465">
      <c r="A465" s="966"/>
    </row>
    <row r="466">
      <c r="A466" s="966"/>
    </row>
    <row r="467">
      <c r="A467" s="966"/>
    </row>
    <row r="468">
      <c r="A468" s="966"/>
    </row>
    <row r="469">
      <c r="A469" s="966"/>
    </row>
    <row r="470">
      <c r="A470" s="966"/>
    </row>
    <row r="471">
      <c r="A471" s="966"/>
    </row>
    <row r="472">
      <c r="A472" s="966"/>
    </row>
    <row r="473">
      <c r="A473" s="966"/>
    </row>
    <row r="474">
      <c r="A474" s="966"/>
    </row>
    <row r="475">
      <c r="A475" s="966"/>
    </row>
    <row r="476">
      <c r="A476" s="966"/>
    </row>
    <row r="477">
      <c r="A477" s="966"/>
    </row>
    <row r="478">
      <c r="A478" s="966"/>
    </row>
    <row r="479">
      <c r="A479" s="966"/>
    </row>
    <row r="480">
      <c r="A480" s="966"/>
    </row>
    <row r="481">
      <c r="A481" s="966"/>
    </row>
    <row r="482">
      <c r="A482" s="966"/>
    </row>
    <row r="483">
      <c r="A483" s="966"/>
    </row>
    <row r="484">
      <c r="A484" s="966"/>
    </row>
    <row r="485">
      <c r="A485" s="966"/>
    </row>
    <row r="486">
      <c r="A486" s="966"/>
    </row>
    <row r="487">
      <c r="A487" s="966"/>
    </row>
    <row r="488">
      <c r="A488" s="966"/>
    </row>
    <row r="489">
      <c r="A489" s="966"/>
    </row>
    <row r="490">
      <c r="A490" s="966"/>
    </row>
    <row r="491">
      <c r="A491" s="966"/>
    </row>
    <row r="492">
      <c r="A492" s="966"/>
    </row>
    <row r="493">
      <c r="A493" s="966"/>
    </row>
    <row r="494">
      <c r="A494" s="966"/>
    </row>
    <row r="495">
      <c r="A495" s="966"/>
    </row>
    <row r="496">
      <c r="A496" s="966"/>
    </row>
    <row r="497">
      <c r="A497" s="966"/>
    </row>
    <row r="498">
      <c r="A498" s="966"/>
    </row>
    <row r="499">
      <c r="A499" s="966"/>
    </row>
    <row r="500">
      <c r="A500" s="966"/>
    </row>
    <row r="501">
      <c r="A501" s="966"/>
    </row>
    <row r="502">
      <c r="A502" s="966"/>
    </row>
    <row r="503">
      <c r="A503" s="966"/>
    </row>
    <row r="504">
      <c r="A504" s="966"/>
    </row>
    <row r="505">
      <c r="A505" s="966"/>
    </row>
    <row r="506">
      <c r="A506" s="966"/>
    </row>
    <row r="507">
      <c r="A507" s="966"/>
    </row>
    <row r="508">
      <c r="A508" s="966"/>
    </row>
    <row r="509">
      <c r="A509" s="966"/>
    </row>
    <row r="510">
      <c r="A510" s="966"/>
    </row>
    <row r="511">
      <c r="A511" s="966"/>
    </row>
    <row r="512">
      <c r="A512" s="966"/>
    </row>
    <row r="513">
      <c r="A513" s="966"/>
    </row>
    <row r="514">
      <c r="A514" s="966"/>
    </row>
    <row r="515">
      <c r="A515" s="966"/>
    </row>
    <row r="516">
      <c r="A516" s="966"/>
    </row>
    <row r="517">
      <c r="A517" s="966"/>
    </row>
    <row r="518">
      <c r="A518" s="966"/>
    </row>
    <row r="519">
      <c r="A519" s="966"/>
    </row>
    <row r="520">
      <c r="A520" s="966"/>
    </row>
    <row r="521">
      <c r="A521" s="966"/>
    </row>
    <row r="522">
      <c r="A522" s="966"/>
    </row>
    <row r="523">
      <c r="A523" s="966"/>
    </row>
    <row r="524">
      <c r="A524" s="966"/>
    </row>
    <row r="525">
      <c r="A525" s="966"/>
    </row>
    <row r="526">
      <c r="A526" s="966"/>
    </row>
    <row r="527">
      <c r="A527" s="966"/>
    </row>
    <row r="528">
      <c r="A528" s="966"/>
    </row>
    <row r="529">
      <c r="A529" s="966"/>
    </row>
    <row r="530">
      <c r="A530" s="966"/>
    </row>
    <row r="531">
      <c r="A531" s="966"/>
    </row>
    <row r="532">
      <c r="A532" s="966"/>
    </row>
    <row r="533">
      <c r="A533" s="966"/>
    </row>
    <row r="534">
      <c r="A534" s="966"/>
    </row>
    <row r="535">
      <c r="A535" s="966"/>
    </row>
    <row r="536">
      <c r="A536" s="966"/>
    </row>
    <row r="537">
      <c r="A537" s="966"/>
    </row>
    <row r="538">
      <c r="A538" s="966"/>
    </row>
    <row r="539">
      <c r="A539" s="966"/>
    </row>
    <row r="540">
      <c r="A540" s="966"/>
    </row>
    <row r="541">
      <c r="A541" s="966"/>
    </row>
    <row r="542">
      <c r="A542" s="966"/>
    </row>
    <row r="543">
      <c r="A543" s="966"/>
    </row>
    <row r="544">
      <c r="A544" s="966"/>
    </row>
    <row r="545">
      <c r="A545" s="966"/>
    </row>
    <row r="546">
      <c r="A546" s="966"/>
    </row>
    <row r="547">
      <c r="A547" s="966"/>
    </row>
    <row r="548">
      <c r="A548" s="966"/>
    </row>
    <row r="549">
      <c r="A549" s="966"/>
    </row>
    <row r="550">
      <c r="A550" s="966"/>
    </row>
    <row r="551">
      <c r="A551" s="966"/>
    </row>
    <row r="552">
      <c r="A552" s="966"/>
    </row>
    <row r="553">
      <c r="A553" s="966"/>
    </row>
    <row r="554">
      <c r="A554" s="966"/>
    </row>
    <row r="555">
      <c r="A555" s="966"/>
    </row>
    <row r="556">
      <c r="A556" s="966"/>
    </row>
    <row r="557">
      <c r="A557" s="966"/>
    </row>
    <row r="558">
      <c r="A558" s="966"/>
    </row>
    <row r="559">
      <c r="A559" s="966"/>
    </row>
    <row r="560">
      <c r="A560" s="966"/>
    </row>
    <row r="561">
      <c r="A561" s="966"/>
    </row>
    <row r="562">
      <c r="A562" s="966"/>
    </row>
    <row r="563">
      <c r="A563" s="966"/>
    </row>
    <row r="564">
      <c r="A564" s="966"/>
    </row>
    <row r="565">
      <c r="A565" s="966"/>
    </row>
    <row r="566">
      <c r="A566" s="966"/>
    </row>
    <row r="567">
      <c r="A567" s="966"/>
    </row>
    <row r="568">
      <c r="A568" s="966"/>
    </row>
    <row r="569">
      <c r="A569" s="966"/>
    </row>
    <row r="570">
      <c r="A570" s="966"/>
    </row>
    <row r="571">
      <c r="A571" s="966"/>
    </row>
    <row r="572">
      <c r="A572" s="966"/>
    </row>
    <row r="573">
      <c r="A573" s="966"/>
    </row>
    <row r="574">
      <c r="A574" s="966"/>
    </row>
    <row r="575">
      <c r="A575" s="966"/>
    </row>
    <row r="576">
      <c r="A576" s="966"/>
    </row>
    <row r="577">
      <c r="A577" s="966"/>
    </row>
    <row r="578">
      <c r="A578" s="966"/>
    </row>
    <row r="579">
      <c r="A579" s="966"/>
    </row>
    <row r="580">
      <c r="A580" s="966"/>
    </row>
    <row r="581">
      <c r="A581" s="966"/>
    </row>
    <row r="582">
      <c r="A582" s="966"/>
    </row>
    <row r="583">
      <c r="A583" s="966"/>
    </row>
    <row r="584">
      <c r="A584" s="966"/>
    </row>
    <row r="585">
      <c r="A585" s="966"/>
    </row>
    <row r="586">
      <c r="A586" s="966"/>
    </row>
    <row r="587">
      <c r="A587" s="966"/>
    </row>
    <row r="588">
      <c r="A588" s="966"/>
    </row>
    <row r="589">
      <c r="A589" s="966"/>
    </row>
    <row r="590">
      <c r="A590" s="966"/>
    </row>
    <row r="591">
      <c r="A591" s="966"/>
    </row>
    <row r="592">
      <c r="A592" s="966"/>
    </row>
    <row r="593">
      <c r="A593" s="966"/>
    </row>
    <row r="594">
      <c r="A594" s="966"/>
    </row>
    <row r="595">
      <c r="A595" s="966"/>
    </row>
    <row r="596">
      <c r="A596" s="966"/>
    </row>
    <row r="597">
      <c r="A597" s="966"/>
    </row>
    <row r="598">
      <c r="A598" s="966"/>
    </row>
    <row r="599">
      <c r="A599" s="966"/>
    </row>
    <row r="600">
      <c r="A600" s="966"/>
    </row>
    <row r="601">
      <c r="A601" s="966"/>
    </row>
    <row r="602">
      <c r="A602" s="966"/>
    </row>
    <row r="603">
      <c r="A603" s="966"/>
    </row>
    <row r="604">
      <c r="A604" s="966"/>
    </row>
    <row r="605">
      <c r="A605" s="966"/>
    </row>
    <row r="606">
      <c r="A606" s="966"/>
    </row>
    <row r="607">
      <c r="A607" s="966"/>
    </row>
    <row r="608">
      <c r="A608" s="966"/>
    </row>
    <row r="609">
      <c r="A609" s="966"/>
    </row>
    <row r="610">
      <c r="A610" s="966"/>
    </row>
    <row r="611">
      <c r="A611" s="966"/>
    </row>
    <row r="612">
      <c r="A612" s="966"/>
    </row>
    <row r="613">
      <c r="A613" s="966"/>
    </row>
    <row r="614">
      <c r="A614" s="966"/>
    </row>
    <row r="615">
      <c r="A615" s="966"/>
    </row>
    <row r="616">
      <c r="A616" s="966"/>
    </row>
    <row r="617">
      <c r="A617" s="966"/>
    </row>
    <row r="618">
      <c r="A618" s="966"/>
    </row>
    <row r="619">
      <c r="A619" s="966"/>
    </row>
    <row r="620">
      <c r="A620" s="966"/>
    </row>
    <row r="621">
      <c r="A621" s="966"/>
    </row>
    <row r="622">
      <c r="A622" s="966"/>
    </row>
    <row r="623">
      <c r="A623" s="966"/>
    </row>
    <row r="624">
      <c r="A624" s="966"/>
    </row>
    <row r="625">
      <c r="A625" s="966"/>
    </row>
    <row r="626">
      <c r="A626" s="966"/>
    </row>
    <row r="627">
      <c r="A627" s="966"/>
    </row>
    <row r="628">
      <c r="A628" s="966"/>
    </row>
    <row r="629">
      <c r="A629" s="966"/>
    </row>
    <row r="630">
      <c r="A630" s="966"/>
    </row>
    <row r="631">
      <c r="A631" s="966"/>
    </row>
    <row r="632">
      <c r="A632" s="966"/>
    </row>
    <row r="633">
      <c r="A633" s="966"/>
    </row>
    <row r="634">
      <c r="A634" s="966"/>
    </row>
    <row r="635">
      <c r="A635" s="966"/>
    </row>
    <row r="636">
      <c r="A636" s="966"/>
    </row>
    <row r="637">
      <c r="A637" s="966"/>
    </row>
    <row r="638">
      <c r="A638" s="966"/>
    </row>
    <row r="639">
      <c r="A639" s="966"/>
    </row>
    <row r="640">
      <c r="A640" s="966"/>
    </row>
    <row r="641">
      <c r="A641" s="966"/>
    </row>
    <row r="642">
      <c r="A642" s="966"/>
    </row>
    <row r="643">
      <c r="A643" s="966"/>
    </row>
    <row r="644">
      <c r="A644" s="966"/>
    </row>
  </sheetData>
  <mergeCells count="33">
    <mergeCell ref="G1:H1"/>
    <mergeCell ref="A2:A12"/>
    <mergeCell ref="A13:A22"/>
    <mergeCell ref="A23:A32"/>
    <mergeCell ref="A33:A42"/>
    <mergeCell ref="A43:A52"/>
    <mergeCell ref="A53:A62"/>
    <mergeCell ref="A63:A72"/>
    <mergeCell ref="A73:A84"/>
    <mergeCell ref="A85:A94"/>
    <mergeCell ref="A95:A104"/>
    <mergeCell ref="A105:A115"/>
    <mergeCell ref="A116:A127"/>
    <mergeCell ref="A128:A137"/>
    <mergeCell ref="A138:A147"/>
    <mergeCell ref="A148:A157"/>
    <mergeCell ref="A158:A167"/>
    <mergeCell ref="A168:A177"/>
    <mergeCell ref="A178:A187"/>
    <mergeCell ref="A188:A197"/>
    <mergeCell ref="A198:A207"/>
    <mergeCell ref="A278:A294"/>
    <mergeCell ref="A295:A305"/>
    <mergeCell ref="A306:A315"/>
    <mergeCell ref="A316:A325"/>
    <mergeCell ref="A326:A335"/>
    <mergeCell ref="A208:A217"/>
    <mergeCell ref="A218:A227"/>
    <mergeCell ref="A228:A237"/>
    <mergeCell ref="A238:A247"/>
    <mergeCell ref="A248:A257"/>
    <mergeCell ref="A258:A267"/>
    <mergeCell ref="A268:A277"/>
  </mergeCell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</row>
    <row r="2">
      <c r="A2" s="305">
        <v>44044.0</v>
      </c>
      <c r="B2" s="948">
        <f t="shared" ref="B2:B10" si="1">F2</f>
        <v>8500</v>
      </c>
      <c r="C2" s="242"/>
      <c r="D2" s="242"/>
      <c r="E2" s="242"/>
      <c r="F2" s="161">
        <v>8500.0</v>
      </c>
      <c r="G2" s="2" t="s">
        <v>2787</v>
      </c>
      <c r="H2" s="943"/>
      <c r="I2" s="662"/>
    </row>
    <row r="3">
      <c r="A3" s="265"/>
      <c r="B3" s="950">
        <f t="shared" si="1"/>
        <v>7250</v>
      </c>
      <c r="F3" s="161">
        <v>7250.0</v>
      </c>
      <c r="G3" s="2" t="s">
        <v>3845</v>
      </c>
      <c r="H3" s="942"/>
      <c r="I3" s="847"/>
    </row>
    <row r="4">
      <c r="A4" s="265"/>
      <c r="B4" s="950">
        <f t="shared" si="1"/>
        <v>5750</v>
      </c>
      <c r="F4" s="161">
        <v>5750.0</v>
      </c>
      <c r="G4" s="2" t="s">
        <v>3846</v>
      </c>
      <c r="H4" s="942"/>
      <c r="I4" s="847"/>
    </row>
    <row r="5">
      <c r="A5" s="265"/>
      <c r="B5" s="950">
        <f t="shared" si="1"/>
        <v>3000</v>
      </c>
      <c r="F5" s="161">
        <v>3000.0</v>
      </c>
      <c r="G5" s="2" t="s">
        <v>764</v>
      </c>
      <c r="H5" s="942"/>
      <c r="I5" s="847"/>
    </row>
    <row r="6">
      <c r="A6" s="265"/>
      <c r="B6" s="950">
        <f t="shared" si="1"/>
        <v>5800</v>
      </c>
      <c r="F6" s="161">
        <v>5800.0</v>
      </c>
      <c r="G6" s="2" t="s">
        <v>3847</v>
      </c>
      <c r="H6" s="942"/>
      <c r="I6" s="847"/>
    </row>
    <row r="7">
      <c r="A7" s="265"/>
      <c r="B7" s="950">
        <f t="shared" si="1"/>
        <v>645</v>
      </c>
      <c r="F7" s="161">
        <v>645.0</v>
      </c>
      <c r="G7" s="2" t="s">
        <v>695</v>
      </c>
      <c r="I7" s="847"/>
    </row>
    <row r="8">
      <c r="A8" s="265"/>
      <c r="B8" s="950">
        <f t="shared" si="1"/>
        <v>1681</v>
      </c>
      <c r="F8" s="161">
        <v>1681.0</v>
      </c>
      <c r="G8" s="2" t="s">
        <v>708</v>
      </c>
      <c r="I8" s="847"/>
    </row>
    <row r="9">
      <c r="A9" s="265"/>
      <c r="B9" s="950" t="str">
        <f t="shared" si="1"/>
        <v/>
      </c>
      <c r="D9" s="2">
        <v>3000.0</v>
      </c>
      <c r="F9" s="161"/>
      <c r="G9" s="2" t="s">
        <v>3939</v>
      </c>
      <c r="I9" s="847"/>
    </row>
    <row r="10">
      <c r="A10" s="265"/>
      <c r="B10" s="950" t="str">
        <f t="shared" si="1"/>
        <v/>
      </c>
      <c r="F10" s="161"/>
      <c r="I10" s="847"/>
    </row>
    <row r="11">
      <c r="A11" s="270"/>
      <c r="B11" s="194">
        <f>SUM(B2:B10)</f>
        <v>32626</v>
      </c>
      <c r="C11" s="18"/>
      <c r="D11" s="18"/>
      <c r="E11" s="18"/>
      <c r="F11" s="952"/>
      <c r="G11" s="18"/>
      <c r="H11" s="18"/>
      <c r="I11" s="663"/>
    </row>
    <row r="12">
      <c r="A12" s="305">
        <v>44045.0</v>
      </c>
      <c r="B12" s="948">
        <f t="shared" ref="B12:B14" si="2">F12</f>
        <v>595.94</v>
      </c>
      <c r="C12" s="242"/>
      <c r="D12" s="242"/>
      <c r="E12" s="242"/>
      <c r="F12" s="949">
        <v>595.94</v>
      </c>
      <c r="G12" s="244" t="s">
        <v>2824</v>
      </c>
      <c r="H12" s="244"/>
      <c r="I12" s="662"/>
    </row>
    <row r="13">
      <c r="A13" s="265"/>
      <c r="B13" s="950">
        <f t="shared" si="2"/>
        <v>706.89</v>
      </c>
      <c r="F13" s="161">
        <v>706.89</v>
      </c>
      <c r="G13" s="2" t="s">
        <v>314</v>
      </c>
      <c r="I13" s="847"/>
    </row>
    <row r="14">
      <c r="A14" s="265"/>
      <c r="B14" s="950">
        <f t="shared" si="2"/>
        <v>800</v>
      </c>
      <c r="F14" s="161">
        <v>800.0</v>
      </c>
      <c r="G14" s="2" t="s">
        <v>3940</v>
      </c>
      <c r="I14" s="847"/>
    </row>
    <row r="15">
      <c r="A15" s="265"/>
      <c r="B15" s="950"/>
      <c r="D15" s="2">
        <v>849.0</v>
      </c>
      <c r="F15" s="161"/>
      <c r="G15" s="2" t="s">
        <v>2649</v>
      </c>
      <c r="I15" s="847"/>
    </row>
    <row r="16">
      <c r="A16" s="265"/>
      <c r="B16" s="950"/>
      <c r="D16" s="2">
        <v>2467.0</v>
      </c>
      <c r="F16" s="161"/>
      <c r="G16" s="2" t="s">
        <v>3941</v>
      </c>
      <c r="I16" s="847"/>
    </row>
    <row r="17">
      <c r="A17" s="265"/>
      <c r="B17" s="950" t="str">
        <f t="shared" ref="B17:B20" si="3">F17</f>
        <v/>
      </c>
      <c r="F17" s="161"/>
      <c r="I17" s="847"/>
    </row>
    <row r="18">
      <c r="A18" s="265"/>
      <c r="B18" s="950" t="str">
        <f t="shared" si="3"/>
        <v/>
      </c>
      <c r="F18" s="161"/>
      <c r="I18" s="847"/>
    </row>
    <row r="19">
      <c r="A19" s="265"/>
      <c r="B19" s="950" t="str">
        <f t="shared" si="3"/>
        <v/>
      </c>
      <c r="F19" s="161"/>
      <c r="I19" s="847"/>
    </row>
    <row r="20">
      <c r="A20" s="265"/>
      <c r="B20" s="950" t="str">
        <f t="shared" si="3"/>
        <v/>
      </c>
      <c r="F20" s="161"/>
      <c r="I20" s="847"/>
    </row>
    <row r="21">
      <c r="A21" s="270"/>
      <c r="B21" s="194">
        <f>SUM(B12:B20)</f>
        <v>2102.83</v>
      </c>
      <c r="C21" s="18"/>
      <c r="D21" s="18"/>
      <c r="E21" s="18"/>
      <c r="F21" s="952"/>
      <c r="G21" s="18"/>
      <c r="H21" s="18"/>
      <c r="I21" s="663"/>
    </row>
    <row r="22">
      <c r="A22" s="305">
        <v>44046.0</v>
      </c>
      <c r="B22" s="948">
        <f t="shared" ref="B22:B30" si="4">F22</f>
        <v>2000</v>
      </c>
      <c r="C22" s="242"/>
      <c r="D22" s="242"/>
      <c r="E22" s="242"/>
      <c r="F22" s="949">
        <v>2000.0</v>
      </c>
      <c r="G22" s="244" t="s">
        <v>3731</v>
      </c>
      <c r="H22" s="244"/>
      <c r="I22" s="662"/>
    </row>
    <row r="23">
      <c r="A23" s="265"/>
      <c r="B23" s="950">
        <f t="shared" si="4"/>
        <v>4330</v>
      </c>
      <c r="F23" s="161">
        <v>4330.0</v>
      </c>
      <c r="G23" s="2" t="s">
        <v>65</v>
      </c>
      <c r="I23" s="847"/>
    </row>
    <row r="24">
      <c r="A24" s="265"/>
      <c r="B24" s="950">
        <f t="shared" si="4"/>
        <v>609</v>
      </c>
      <c r="F24" s="161">
        <v>609.0</v>
      </c>
      <c r="G24" s="2" t="s">
        <v>314</v>
      </c>
      <c r="I24" s="847"/>
    </row>
    <row r="25">
      <c r="A25" s="265"/>
      <c r="B25" s="950">
        <f t="shared" si="4"/>
        <v>274</v>
      </c>
      <c r="F25" s="161">
        <v>274.0</v>
      </c>
      <c r="G25" s="2" t="s">
        <v>345</v>
      </c>
      <c r="I25" s="847"/>
    </row>
    <row r="26">
      <c r="A26" s="265"/>
      <c r="B26" s="950">
        <f t="shared" si="4"/>
        <v>645</v>
      </c>
      <c r="F26" s="161">
        <v>645.0</v>
      </c>
      <c r="G26" s="2" t="s">
        <v>329</v>
      </c>
      <c r="I26" s="847"/>
    </row>
    <row r="27">
      <c r="A27" s="265"/>
      <c r="B27" s="950" t="str">
        <f t="shared" si="4"/>
        <v/>
      </c>
      <c r="D27" s="2">
        <v>8200.0</v>
      </c>
      <c r="F27" s="161"/>
      <c r="G27" s="2" t="s">
        <v>3942</v>
      </c>
      <c r="I27" s="847"/>
    </row>
    <row r="28">
      <c r="A28" s="265"/>
      <c r="B28" s="950">
        <f t="shared" si="4"/>
        <v>1046.32</v>
      </c>
      <c r="F28" s="161">
        <v>1046.32</v>
      </c>
      <c r="G28" s="2" t="s">
        <v>314</v>
      </c>
      <c r="I28" s="847"/>
    </row>
    <row r="29">
      <c r="A29" s="265"/>
      <c r="B29" s="950" t="str">
        <f t="shared" si="4"/>
        <v/>
      </c>
      <c r="F29" s="161"/>
      <c r="I29" s="847"/>
    </row>
    <row r="30">
      <c r="A30" s="265"/>
      <c r="B30" s="950" t="str">
        <f t="shared" si="4"/>
        <v/>
      </c>
      <c r="F30" s="161"/>
      <c r="I30" s="847"/>
    </row>
    <row r="31">
      <c r="A31" s="270"/>
      <c r="B31" s="194">
        <f>SUM(B22:B30)</f>
        <v>8904.32</v>
      </c>
      <c r="C31" s="18"/>
      <c r="D31" s="18"/>
      <c r="E31" s="18"/>
      <c r="F31" s="952"/>
      <c r="G31" s="18"/>
      <c r="H31" s="18"/>
      <c r="I31" s="663"/>
    </row>
    <row r="32">
      <c r="A32" s="305">
        <v>44047.0</v>
      </c>
      <c r="B32" s="948">
        <f t="shared" ref="B32:B40" si="5">F32</f>
        <v>265</v>
      </c>
      <c r="C32" s="242"/>
      <c r="D32" s="242"/>
      <c r="E32" s="242"/>
      <c r="F32" s="949">
        <f>245+20</f>
        <v>265</v>
      </c>
      <c r="G32" s="244" t="s">
        <v>3510</v>
      </c>
      <c r="H32" s="244"/>
      <c r="I32" s="662"/>
    </row>
    <row r="33">
      <c r="A33" s="265"/>
      <c r="B33" s="950">
        <f t="shared" si="5"/>
        <v>2482</v>
      </c>
      <c r="F33" s="161">
        <v>2482.0</v>
      </c>
      <c r="G33" s="2" t="s">
        <v>314</v>
      </c>
      <c r="I33" s="847"/>
    </row>
    <row r="34">
      <c r="A34" s="265"/>
      <c r="B34" s="950">
        <f t="shared" si="5"/>
        <v>736</v>
      </c>
      <c r="F34" s="161">
        <v>736.0</v>
      </c>
      <c r="G34" s="2" t="s">
        <v>3911</v>
      </c>
      <c r="I34" s="847"/>
    </row>
    <row r="35">
      <c r="A35" s="265"/>
      <c r="B35" s="950">
        <f t="shared" si="5"/>
        <v>2920</v>
      </c>
      <c r="F35" s="161">
        <v>2920.0</v>
      </c>
      <c r="G35" s="2" t="s">
        <v>2349</v>
      </c>
      <c r="I35" s="847"/>
    </row>
    <row r="36">
      <c r="A36" s="265"/>
      <c r="B36" s="950" t="str">
        <f t="shared" si="5"/>
        <v/>
      </c>
      <c r="F36" s="161"/>
      <c r="I36" s="847"/>
    </row>
    <row r="37">
      <c r="A37" s="265"/>
      <c r="B37" s="950" t="str">
        <f t="shared" si="5"/>
        <v/>
      </c>
      <c r="F37" s="161"/>
      <c r="I37" s="847"/>
    </row>
    <row r="38">
      <c r="A38" s="265"/>
      <c r="B38" s="950" t="str">
        <f t="shared" si="5"/>
        <v/>
      </c>
      <c r="F38" s="161"/>
      <c r="I38" s="847"/>
    </row>
    <row r="39">
      <c r="A39" s="265"/>
      <c r="B39" s="950" t="str">
        <f t="shared" si="5"/>
        <v/>
      </c>
      <c r="F39" s="161"/>
      <c r="I39" s="847"/>
    </row>
    <row r="40">
      <c r="A40" s="265"/>
      <c r="B40" s="950" t="str">
        <f t="shared" si="5"/>
        <v/>
      </c>
      <c r="F40" s="161"/>
      <c r="I40" s="847"/>
    </row>
    <row r="41">
      <c r="A41" s="270"/>
      <c r="B41" s="194">
        <f>SUM(B32:B40)</f>
        <v>6403</v>
      </c>
      <c r="C41" s="18"/>
      <c r="D41" s="18"/>
      <c r="E41" s="18"/>
      <c r="F41" s="952"/>
      <c r="G41" s="18"/>
      <c r="H41" s="18"/>
      <c r="I41" s="663"/>
    </row>
    <row r="42">
      <c r="A42" s="305">
        <v>44048.0</v>
      </c>
      <c r="B42" s="948">
        <f t="shared" ref="B42:B50" si="6">F42</f>
        <v>987</v>
      </c>
      <c r="C42" s="242"/>
      <c r="D42" s="242"/>
      <c r="E42" s="242"/>
      <c r="F42" s="949">
        <v>987.0</v>
      </c>
      <c r="G42" s="244" t="s">
        <v>314</v>
      </c>
      <c r="H42" s="244"/>
      <c r="I42" s="662"/>
    </row>
    <row r="43">
      <c r="A43" s="265"/>
      <c r="B43" s="950">
        <f t="shared" si="6"/>
        <v>4218</v>
      </c>
      <c r="F43" s="161">
        <v>4218.0</v>
      </c>
      <c r="G43" s="2" t="s">
        <v>3943</v>
      </c>
      <c r="I43" s="847"/>
    </row>
    <row r="44">
      <c r="A44" s="265"/>
      <c r="B44" s="950">
        <f t="shared" si="6"/>
        <v>1320</v>
      </c>
      <c r="F44" s="161">
        <v>1320.0</v>
      </c>
      <c r="G44" s="2" t="s">
        <v>2673</v>
      </c>
      <c r="I44" s="847"/>
    </row>
    <row r="45">
      <c r="A45" s="265"/>
      <c r="B45" s="950">
        <f t="shared" si="6"/>
        <v>2272</v>
      </c>
      <c r="F45" s="161">
        <v>2272.0</v>
      </c>
      <c r="G45" s="2" t="s">
        <v>3944</v>
      </c>
      <c r="I45" s="847"/>
    </row>
    <row r="46">
      <c r="A46" s="265"/>
      <c r="B46" s="950" t="str">
        <f t="shared" si="6"/>
        <v/>
      </c>
      <c r="C46" s="2">
        <v>17261.62</v>
      </c>
      <c r="F46" s="161"/>
      <c r="G46" s="2" t="s">
        <v>2637</v>
      </c>
      <c r="I46" s="847"/>
    </row>
    <row r="47">
      <c r="A47" s="265"/>
      <c r="B47" s="950" t="str">
        <f t="shared" si="6"/>
        <v/>
      </c>
      <c r="F47" s="161"/>
      <c r="I47" s="847"/>
    </row>
    <row r="48">
      <c r="A48" s="265"/>
      <c r="B48" s="950" t="str">
        <f t="shared" si="6"/>
        <v/>
      </c>
      <c r="F48" s="161"/>
      <c r="I48" s="847"/>
    </row>
    <row r="49">
      <c r="A49" s="265"/>
      <c r="B49" s="950" t="str">
        <f t="shared" si="6"/>
        <v/>
      </c>
      <c r="F49" s="161"/>
      <c r="I49" s="847"/>
    </row>
    <row r="50">
      <c r="A50" s="265"/>
      <c r="B50" s="950" t="str">
        <f t="shared" si="6"/>
        <v/>
      </c>
      <c r="F50" s="161"/>
      <c r="I50" s="847"/>
    </row>
    <row r="51">
      <c r="A51" s="270"/>
      <c r="B51" s="194">
        <f>SUM(B42:B50)</f>
        <v>8797</v>
      </c>
      <c r="C51" s="18"/>
      <c r="D51" s="18"/>
      <c r="E51" s="18"/>
      <c r="F51" s="952"/>
      <c r="G51" s="18"/>
      <c r="H51" s="18"/>
      <c r="I51" s="663"/>
    </row>
    <row r="52">
      <c r="A52" s="305">
        <v>44049.0</v>
      </c>
      <c r="B52" s="948">
        <f t="shared" ref="B52:B60" si="7">F52</f>
        <v>3237</v>
      </c>
      <c r="C52" s="242"/>
      <c r="D52" s="242"/>
      <c r="E52" s="242"/>
      <c r="F52" s="949">
        <v>3237.0</v>
      </c>
      <c r="G52" s="244" t="s">
        <v>3945</v>
      </c>
      <c r="H52" s="244"/>
      <c r="I52" s="662"/>
    </row>
    <row r="53">
      <c r="A53" s="265"/>
      <c r="B53" s="950">
        <f t="shared" si="7"/>
        <v>2075.51</v>
      </c>
      <c r="F53" s="161">
        <v>2075.51</v>
      </c>
      <c r="G53" s="2" t="s">
        <v>3946</v>
      </c>
      <c r="I53" s="847"/>
    </row>
    <row r="54">
      <c r="A54" s="265"/>
      <c r="B54" s="950">
        <f t="shared" si="7"/>
        <v>1016</v>
      </c>
      <c r="F54" s="161">
        <v>1016.0</v>
      </c>
      <c r="G54" s="2" t="s">
        <v>314</v>
      </c>
      <c r="I54" s="847"/>
    </row>
    <row r="55">
      <c r="A55" s="265"/>
      <c r="B55" s="950">
        <f t="shared" si="7"/>
        <v>182</v>
      </c>
      <c r="F55" s="161">
        <f>122+60</f>
        <v>182</v>
      </c>
      <c r="G55" s="2" t="s">
        <v>3947</v>
      </c>
      <c r="I55" s="847"/>
    </row>
    <row r="56">
      <c r="A56" s="265"/>
      <c r="B56" s="950">
        <f t="shared" si="7"/>
        <v>215</v>
      </c>
      <c r="F56" s="161">
        <v>215.0</v>
      </c>
      <c r="G56" s="2" t="s">
        <v>3948</v>
      </c>
      <c r="I56" s="847"/>
    </row>
    <row r="57">
      <c r="A57" s="265"/>
      <c r="B57" s="950">
        <f t="shared" si="7"/>
        <v>2850</v>
      </c>
      <c r="F57" s="161">
        <v>2850.0</v>
      </c>
      <c r="G57" s="2" t="s">
        <v>612</v>
      </c>
      <c r="I57" s="847"/>
    </row>
    <row r="58">
      <c r="A58" s="265"/>
      <c r="B58" s="950">
        <f t="shared" si="7"/>
        <v>2000</v>
      </c>
      <c r="F58" s="161">
        <v>2000.0</v>
      </c>
      <c r="G58" s="2" t="s">
        <v>3949</v>
      </c>
      <c r="I58" s="847"/>
    </row>
    <row r="59">
      <c r="A59" s="265"/>
      <c r="B59" s="950">
        <f t="shared" si="7"/>
        <v>101.72</v>
      </c>
      <c r="F59" s="161">
        <v>101.72</v>
      </c>
      <c r="G59" s="2" t="s">
        <v>3935</v>
      </c>
      <c r="I59" s="847"/>
    </row>
    <row r="60">
      <c r="A60" s="265"/>
      <c r="B60" s="950">
        <f t="shared" si="7"/>
        <v>462</v>
      </c>
      <c r="F60" s="161">
        <f>247+215</f>
        <v>462</v>
      </c>
      <c r="G60" s="2" t="s">
        <v>3950</v>
      </c>
      <c r="I60" s="847"/>
    </row>
    <row r="61">
      <c r="A61" s="265"/>
      <c r="B61" s="967"/>
      <c r="F61" s="852"/>
      <c r="I61" s="847"/>
    </row>
    <row r="62">
      <c r="A62" s="270"/>
      <c r="B62" s="194">
        <f>SUM(B52:B60)</f>
        <v>12139.23</v>
      </c>
      <c r="C62" s="18"/>
      <c r="D62" s="18"/>
      <c r="E62" s="18"/>
      <c r="F62" s="952"/>
      <c r="G62" s="18"/>
      <c r="H62" s="18"/>
      <c r="I62" s="663"/>
    </row>
    <row r="63">
      <c r="A63" s="305">
        <v>44050.0</v>
      </c>
      <c r="B63" s="948">
        <f t="shared" ref="B63:B72" si="8">F63</f>
        <v>1492.8</v>
      </c>
      <c r="C63" s="242"/>
      <c r="D63" s="242"/>
      <c r="E63" s="242"/>
      <c r="F63" s="949">
        <v>1492.8</v>
      </c>
      <c r="G63" s="244" t="s">
        <v>58</v>
      </c>
      <c r="H63" s="244"/>
      <c r="I63" s="662"/>
    </row>
    <row r="64">
      <c r="A64" s="265"/>
      <c r="B64" s="950">
        <f t="shared" si="8"/>
        <v>4480</v>
      </c>
      <c r="F64" s="161">
        <v>4480.0</v>
      </c>
      <c r="G64" s="2" t="s">
        <v>394</v>
      </c>
      <c r="I64" s="847"/>
    </row>
    <row r="65">
      <c r="A65" s="265"/>
      <c r="B65" s="950">
        <f t="shared" si="8"/>
        <v>2000</v>
      </c>
      <c r="F65" s="161">
        <v>2000.0</v>
      </c>
      <c r="G65" s="2" t="s">
        <v>64</v>
      </c>
      <c r="I65" s="847"/>
    </row>
    <row r="66">
      <c r="A66" s="265"/>
      <c r="B66" s="950" t="str">
        <f t="shared" si="8"/>
        <v/>
      </c>
      <c r="D66" s="2">
        <v>9500.0</v>
      </c>
      <c r="F66" s="161"/>
      <c r="G66" s="2" t="s">
        <v>3951</v>
      </c>
      <c r="I66" s="847"/>
    </row>
    <row r="67">
      <c r="A67" s="265"/>
      <c r="B67" s="950">
        <f t="shared" si="8"/>
        <v>558</v>
      </c>
      <c r="F67" s="161">
        <v>558.0</v>
      </c>
      <c r="G67" s="2" t="s">
        <v>68</v>
      </c>
      <c r="I67" s="847"/>
    </row>
    <row r="68">
      <c r="A68" s="265"/>
      <c r="B68" s="950">
        <f t="shared" si="8"/>
        <v>200</v>
      </c>
      <c r="F68" s="161">
        <v>200.0</v>
      </c>
      <c r="G68" s="2" t="s">
        <v>649</v>
      </c>
      <c r="I68" s="847"/>
    </row>
    <row r="69">
      <c r="A69" s="265"/>
      <c r="B69" s="950">
        <f t="shared" si="8"/>
        <v>15000</v>
      </c>
      <c r="F69" s="161">
        <v>15000.0</v>
      </c>
      <c r="G69" s="2" t="s">
        <v>3952</v>
      </c>
      <c r="I69" s="847"/>
    </row>
    <row r="70">
      <c r="A70" s="265"/>
      <c r="B70" s="950">
        <f t="shared" si="8"/>
        <v>560</v>
      </c>
      <c r="F70" s="161">
        <v>560.0</v>
      </c>
      <c r="G70" s="2" t="s">
        <v>3803</v>
      </c>
      <c r="I70" s="847"/>
    </row>
    <row r="71">
      <c r="A71" s="265"/>
      <c r="B71" s="950">
        <f t="shared" si="8"/>
        <v>3150</v>
      </c>
      <c r="F71" s="161">
        <v>3150.0</v>
      </c>
      <c r="G71" s="2" t="s">
        <v>3953</v>
      </c>
      <c r="I71" s="847"/>
    </row>
    <row r="72">
      <c r="A72" s="265"/>
      <c r="B72" s="950">
        <f t="shared" si="8"/>
        <v>300</v>
      </c>
      <c r="F72" s="161">
        <v>300.0</v>
      </c>
      <c r="G72" s="2" t="s">
        <v>3078</v>
      </c>
      <c r="I72" s="847"/>
    </row>
    <row r="73">
      <c r="A73" s="270"/>
      <c r="B73" s="194">
        <f>SUM(B63:B72)</f>
        <v>27740.8</v>
      </c>
      <c r="C73" s="18"/>
      <c r="D73" s="18"/>
      <c r="E73" s="18"/>
      <c r="F73" s="968"/>
      <c r="G73" s="293"/>
      <c r="H73" s="18"/>
      <c r="I73" s="663"/>
    </row>
    <row r="74">
      <c r="A74" s="305">
        <v>44051.0</v>
      </c>
      <c r="B74" s="948">
        <f t="shared" ref="B74:B84" si="9">F74</f>
        <v>1999</v>
      </c>
      <c r="C74" s="242"/>
      <c r="D74" s="242"/>
      <c r="E74" s="242"/>
      <c r="F74" s="161">
        <v>1999.0</v>
      </c>
      <c r="G74" s="2" t="s">
        <v>314</v>
      </c>
      <c r="H74" s="244"/>
      <c r="I74" s="662"/>
    </row>
    <row r="75">
      <c r="A75" s="265"/>
      <c r="B75" s="950">
        <f t="shared" si="9"/>
        <v>530</v>
      </c>
      <c r="F75" s="161">
        <v>530.0</v>
      </c>
      <c r="G75" s="2" t="s">
        <v>3954</v>
      </c>
      <c r="I75" s="847"/>
    </row>
    <row r="76">
      <c r="A76" s="265"/>
      <c r="B76" s="950">
        <f t="shared" si="9"/>
        <v>5750</v>
      </c>
      <c r="F76" s="248">
        <v>5750.0</v>
      </c>
      <c r="G76" s="2" t="s">
        <v>3897</v>
      </c>
      <c r="H76" s="552"/>
      <c r="I76" s="847"/>
    </row>
    <row r="77">
      <c r="A77" s="265"/>
      <c r="B77" s="950">
        <f t="shared" si="9"/>
        <v>5800</v>
      </c>
      <c r="F77" s="248">
        <v>5800.0</v>
      </c>
      <c r="G77" s="2" t="s">
        <v>3847</v>
      </c>
      <c r="H77" s="552"/>
      <c r="I77" s="847"/>
    </row>
    <row r="78">
      <c r="A78" s="265"/>
      <c r="B78" s="950">
        <f t="shared" si="9"/>
        <v>8500</v>
      </c>
      <c r="F78" s="248">
        <v>8500.0</v>
      </c>
      <c r="G78" s="2" t="s">
        <v>3815</v>
      </c>
      <c r="H78" s="552"/>
      <c r="I78" s="847"/>
    </row>
    <row r="79">
      <c r="A79" s="265"/>
      <c r="B79" s="950">
        <f t="shared" si="9"/>
        <v>6050</v>
      </c>
      <c r="F79" s="248">
        <v>6050.0</v>
      </c>
      <c r="G79" s="2" t="s">
        <v>3811</v>
      </c>
      <c r="H79" s="552"/>
      <c r="I79" s="847"/>
    </row>
    <row r="80">
      <c r="A80" s="265"/>
      <c r="B80" s="950">
        <f t="shared" si="9"/>
        <v>7250</v>
      </c>
      <c r="F80" s="248">
        <v>7250.0</v>
      </c>
      <c r="G80" s="2" t="s">
        <v>3845</v>
      </c>
      <c r="H80" s="552"/>
      <c r="I80" s="847"/>
    </row>
    <row r="81">
      <c r="A81" s="265"/>
      <c r="B81" s="950">
        <f t="shared" si="9"/>
        <v>5800</v>
      </c>
      <c r="F81" s="248">
        <v>5800.0</v>
      </c>
      <c r="G81" s="2" t="s">
        <v>3848</v>
      </c>
      <c r="H81" s="552"/>
      <c r="I81" s="847"/>
    </row>
    <row r="82">
      <c r="A82" s="265"/>
      <c r="B82" s="950">
        <f t="shared" si="9"/>
        <v>2700</v>
      </c>
      <c r="F82" s="248">
        <v>2700.0</v>
      </c>
      <c r="G82" s="2" t="s">
        <v>3955</v>
      </c>
      <c r="H82" s="552"/>
      <c r="I82" s="847"/>
    </row>
    <row r="83">
      <c r="A83" s="265"/>
      <c r="B83" s="950">
        <f t="shared" si="9"/>
        <v>8500</v>
      </c>
      <c r="F83" s="248">
        <v>8500.0</v>
      </c>
      <c r="G83" s="2" t="s">
        <v>2787</v>
      </c>
      <c r="H83" s="552"/>
      <c r="I83" s="847"/>
    </row>
    <row r="84">
      <c r="A84" s="265"/>
      <c r="B84" s="950" t="str">
        <f t="shared" si="9"/>
        <v/>
      </c>
      <c r="F84" s="161"/>
      <c r="I84" s="847"/>
    </row>
    <row r="85">
      <c r="A85" s="270"/>
      <c r="B85" s="194">
        <f>SUM(B74:B84)</f>
        <v>52879</v>
      </c>
      <c r="C85" s="18"/>
      <c r="D85" s="18"/>
      <c r="E85" s="18"/>
      <c r="F85" s="952"/>
      <c r="G85" s="18"/>
      <c r="H85" s="18"/>
      <c r="I85" s="663"/>
    </row>
    <row r="86">
      <c r="A86" s="305">
        <v>44052.0</v>
      </c>
      <c r="B86" s="948">
        <f t="shared" ref="B86:B94" si="10">F86</f>
        <v>980</v>
      </c>
      <c r="C86" s="242"/>
      <c r="D86" s="242"/>
      <c r="E86" s="242"/>
      <c r="F86" s="949">
        <v>980.0</v>
      </c>
      <c r="G86" s="244" t="s">
        <v>3956</v>
      </c>
      <c r="H86" s="244"/>
      <c r="I86" s="662"/>
    </row>
    <row r="87">
      <c r="A87" s="265"/>
      <c r="B87" s="950">
        <f t="shared" si="10"/>
        <v>450</v>
      </c>
      <c r="F87" s="161">
        <v>450.0</v>
      </c>
      <c r="G87" s="2" t="s">
        <v>3957</v>
      </c>
      <c r="I87" s="847"/>
    </row>
    <row r="88">
      <c r="A88" s="265"/>
      <c r="B88" s="950" t="str">
        <f t="shared" si="10"/>
        <v/>
      </c>
      <c r="F88" s="161"/>
      <c r="I88" s="847"/>
    </row>
    <row r="89">
      <c r="A89" s="265"/>
      <c r="B89" s="950" t="str">
        <f t="shared" si="10"/>
        <v/>
      </c>
      <c r="F89" s="161"/>
      <c r="I89" s="847"/>
    </row>
    <row r="90">
      <c r="A90" s="265"/>
      <c r="B90" s="950" t="str">
        <f t="shared" si="10"/>
        <v/>
      </c>
      <c r="F90" s="161"/>
      <c r="I90" s="847"/>
    </row>
    <row r="91">
      <c r="A91" s="265"/>
      <c r="B91" s="950" t="str">
        <f t="shared" si="10"/>
        <v/>
      </c>
      <c r="F91" s="161"/>
      <c r="I91" s="847"/>
    </row>
    <row r="92">
      <c r="A92" s="265"/>
      <c r="B92" s="950" t="str">
        <f t="shared" si="10"/>
        <v/>
      </c>
      <c r="F92" s="161"/>
      <c r="I92" s="847"/>
    </row>
    <row r="93">
      <c r="A93" s="265"/>
      <c r="B93" s="950" t="str">
        <f t="shared" si="10"/>
        <v/>
      </c>
      <c r="F93" s="161"/>
      <c r="I93" s="847"/>
    </row>
    <row r="94">
      <c r="A94" s="265"/>
      <c r="B94" s="950" t="str">
        <f t="shared" si="10"/>
        <v/>
      </c>
      <c r="F94" s="161"/>
      <c r="I94" s="847"/>
    </row>
    <row r="95">
      <c r="A95" s="270"/>
      <c r="B95" s="194">
        <f>SUM(B86:B94)</f>
        <v>1430</v>
      </c>
      <c r="C95" s="18"/>
      <c r="D95" s="18"/>
      <c r="E95" s="18"/>
      <c r="F95" s="952"/>
      <c r="G95" s="18"/>
      <c r="H95" s="18"/>
      <c r="I95" s="663"/>
    </row>
    <row r="96">
      <c r="A96" s="305">
        <v>44053.0</v>
      </c>
      <c r="B96" s="948">
        <f t="shared" ref="B96:B104" si="11">F96</f>
        <v>1150</v>
      </c>
      <c r="C96" s="242"/>
      <c r="D96" s="242"/>
      <c r="E96" s="242"/>
      <c r="F96" s="949">
        <v>1150.0</v>
      </c>
      <c r="G96" s="244" t="s">
        <v>314</v>
      </c>
      <c r="H96" s="244"/>
      <c r="I96" s="662"/>
    </row>
    <row r="97">
      <c r="A97" s="265"/>
      <c r="B97" s="950">
        <f t="shared" si="11"/>
        <v>2000</v>
      </c>
      <c r="F97" s="161">
        <v>2000.0</v>
      </c>
      <c r="G97" s="2" t="s">
        <v>3731</v>
      </c>
      <c r="I97" s="847"/>
    </row>
    <row r="98">
      <c r="A98" s="265"/>
      <c r="B98" s="950">
        <f t="shared" si="11"/>
        <v>430</v>
      </c>
      <c r="F98" s="161">
        <v>430.0</v>
      </c>
      <c r="G98" s="2" t="s">
        <v>3958</v>
      </c>
      <c r="I98" s="847"/>
    </row>
    <row r="99">
      <c r="A99" s="265"/>
      <c r="B99" s="950">
        <f t="shared" si="11"/>
        <v>5680</v>
      </c>
      <c r="F99" s="161">
        <v>5680.0</v>
      </c>
      <c r="G99" s="2" t="s">
        <v>3959</v>
      </c>
      <c r="I99" s="847"/>
    </row>
    <row r="100">
      <c r="A100" s="265"/>
      <c r="B100" s="950" t="str">
        <f t="shared" si="11"/>
        <v/>
      </c>
      <c r="F100" s="161"/>
      <c r="I100" s="847"/>
    </row>
    <row r="101">
      <c r="A101" s="265"/>
      <c r="B101" s="950" t="str">
        <f t="shared" si="11"/>
        <v/>
      </c>
      <c r="F101" s="161"/>
      <c r="I101" s="847"/>
    </row>
    <row r="102">
      <c r="A102" s="265"/>
      <c r="B102" s="950" t="str">
        <f t="shared" si="11"/>
        <v/>
      </c>
      <c r="F102" s="161"/>
      <c r="I102" s="847"/>
    </row>
    <row r="103">
      <c r="A103" s="265"/>
      <c r="B103" s="950" t="str">
        <f t="shared" si="11"/>
        <v/>
      </c>
      <c r="F103" s="161"/>
      <c r="I103" s="847"/>
    </row>
    <row r="104">
      <c r="A104" s="265"/>
      <c r="B104" s="950" t="str">
        <f t="shared" si="11"/>
        <v/>
      </c>
      <c r="F104" s="161"/>
      <c r="I104" s="847"/>
    </row>
    <row r="105">
      <c r="A105" s="270"/>
      <c r="B105" s="194">
        <f>SUM(B96:B104)</f>
        <v>9260</v>
      </c>
      <c r="C105" s="18"/>
      <c r="D105" s="18"/>
      <c r="E105" s="18"/>
      <c r="F105" s="952"/>
      <c r="G105" s="18"/>
      <c r="H105" s="18"/>
      <c r="I105" s="663"/>
    </row>
    <row r="106">
      <c r="A106" s="305">
        <v>44054.0</v>
      </c>
      <c r="B106" s="948">
        <f t="shared" ref="B106:B114" si="12">F106</f>
        <v>482</v>
      </c>
      <c r="C106" s="242"/>
      <c r="D106" s="242"/>
      <c r="E106" s="242"/>
      <c r="F106" s="949">
        <v>482.0</v>
      </c>
      <c r="G106" s="244" t="s">
        <v>708</v>
      </c>
      <c r="H106" s="244"/>
      <c r="I106" s="662"/>
    </row>
    <row r="107">
      <c r="A107" s="265"/>
      <c r="B107" s="950">
        <f t="shared" si="12"/>
        <v>4440</v>
      </c>
      <c r="F107" s="161">
        <v>4440.0</v>
      </c>
      <c r="G107" s="2" t="s">
        <v>3003</v>
      </c>
      <c r="I107" s="847"/>
    </row>
    <row r="108">
      <c r="A108" s="265"/>
      <c r="B108" s="950">
        <f t="shared" si="12"/>
        <v>719</v>
      </c>
      <c r="F108" s="161">
        <v>719.0</v>
      </c>
      <c r="G108" s="2" t="s">
        <v>708</v>
      </c>
      <c r="I108" s="847"/>
    </row>
    <row r="109">
      <c r="A109" s="265"/>
      <c r="B109" s="950">
        <f t="shared" si="12"/>
        <v>430</v>
      </c>
      <c r="F109" s="161">
        <v>430.0</v>
      </c>
      <c r="G109" s="2" t="s">
        <v>3960</v>
      </c>
      <c r="I109" s="847"/>
    </row>
    <row r="110">
      <c r="A110" s="265"/>
      <c r="B110" s="950">
        <f t="shared" si="12"/>
        <v>91</v>
      </c>
      <c r="F110" s="161">
        <v>91.0</v>
      </c>
      <c r="G110" s="2" t="s">
        <v>288</v>
      </c>
      <c r="I110" s="847"/>
    </row>
    <row r="111">
      <c r="A111" s="265"/>
      <c r="B111" s="950">
        <f t="shared" si="12"/>
        <v>1750</v>
      </c>
      <c r="F111" s="161">
        <v>1750.0</v>
      </c>
      <c r="G111" s="2" t="s">
        <v>3939</v>
      </c>
      <c r="I111" s="847"/>
    </row>
    <row r="112">
      <c r="A112" s="265"/>
      <c r="B112" s="950">
        <f t="shared" si="12"/>
        <v>110</v>
      </c>
      <c r="F112" s="161">
        <v>110.0</v>
      </c>
      <c r="G112" s="2" t="s">
        <v>1741</v>
      </c>
      <c r="I112" s="847"/>
    </row>
    <row r="113">
      <c r="A113" s="265"/>
      <c r="B113" s="950" t="str">
        <f t="shared" si="12"/>
        <v/>
      </c>
      <c r="F113" s="161"/>
      <c r="I113" s="847"/>
    </row>
    <row r="114">
      <c r="A114" s="265"/>
      <c r="B114" s="950" t="str">
        <f t="shared" si="12"/>
        <v/>
      </c>
      <c r="F114" s="161"/>
      <c r="I114" s="847"/>
    </row>
    <row r="115">
      <c r="A115" s="270"/>
      <c r="B115" s="194">
        <f>SUM(B106:B114)</f>
        <v>8022</v>
      </c>
      <c r="C115" s="18"/>
      <c r="D115" s="18"/>
      <c r="E115" s="18"/>
      <c r="F115" s="952"/>
      <c r="G115" s="18"/>
      <c r="H115" s="18"/>
      <c r="I115" s="663"/>
    </row>
    <row r="116">
      <c r="A116" s="305">
        <v>44055.0</v>
      </c>
      <c r="B116" s="948">
        <f t="shared" ref="B116:B124" si="13">F116</f>
        <v>845.66</v>
      </c>
      <c r="C116" s="242"/>
      <c r="D116" s="242"/>
      <c r="E116" s="242"/>
      <c r="F116" s="949">
        <v>845.66</v>
      </c>
      <c r="G116" s="244" t="s">
        <v>708</v>
      </c>
      <c r="H116" s="244"/>
      <c r="I116" s="662"/>
    </row>
    <row r="117">
      <c r="A117" s="265"/>
      <c r="B117" s="950">
        <f t="shared" si="13"/>
        <v>3240</v>
      </c>
      <c r="F117" s="161">
        <v>3240.0</v>
      </c>
      <c r="G117" s="2" t="s">
        <v>2703</v>
      </c>
      <c r="I117" s="847"/>
    </row>
    <row r="118">
      <c r="A118" s="265"/>
      <c r="B118" s="950">
        <f t="shared" si="13"/>
        <v>1450</v>
      </c>
      <c r="F118" s="161">
        <v>1450.0</v>
      </c>
      <c r="G118" s="2" t="s">
        <v>329</v>
      </c>
      <c r="I118" s="847"/>
    </row>
    <row r="119">
      <c r="A119" s="265"/>
      <c r="B119" s="950">
        <f t="shared" si="13"/>
        <v>261.9</v>
      </c>
      <c r="F119" s="161">
        <v>261.9</v>
      </c>
      <c r="G119" s="2" t="s">
        <v>708</v>
      </c>
      <c r="I119" s="847"/>
    </row>
    <row r="120">
      <c r="A120" s="265"/>
      <c r="B120" s="950">
        <f t="shared" si="13"/>
        <v>180</v>
      </c>
      <c r="F120" s="161">
        <v>180.0</v>
      </c>
      <c r="G120" s="2" t="s">
        <v>3961</v>
      </c>
      <c r="I120" s="847"/>
    </row>
    <row r="121">
      <c r="A121" s="265"/>
      <c r="B121" s="950" t="str">
        <f t="shared" si="13"/>
        <v/>
      </c>
      <c r="F121" s="161"/>
      <c r="I121" s="847"/>
    </row>
    <row r="122">
      <c r="A122" s="265"/>
      <c r="B122" s="950" t="str">
        <f t="shared" si="13"/>
        <v/>
      </c>
      <c r="F122" s="161"/>
      <c r="I122" s="847"/>
    </row>
    <row r="123">
      <c r="A123" s="265"/>
      <c r="B123" s="950" t="str">
        <f t="shared" si="13"/>
        <v/>
      </c>
      <c r="F123" s="161"/>
      <c r="I123" s="847"/>
    </row>
    <row r="124">
      <c r="A124" s="265"/>
      <c r="B124" s="950" t="str">
        <f t="shared" si="13"/>
        <v/>
      </c>
      <c r="F124" s="161"/>
      <c r="I124" s="847"/>
    </row>
    <row r="125">
      <c r="A125" s="270"/>
      <c r="B125" s="194">
        <f>SUM(B116:B124)</f>
        <v>5977.56</v>
      </c>
      <c r="C125" s="18"/>
      <c r="D125" s="18"/>
      <c r="E125" s="18"/>
      <c r="F125" s="952"/>
      <c r="G125" s="18"/>
      <c r="H125" s="18"/>
      <c r="I125" s="663"/>
    </row>
    <row r="126">
      <c r="A126" s="305">
        <v>44056.0</v>
      </c>
      <c r="B126" s="948">
        <f t="shared" ref="B126:B134" si="14">F126</f>
        <v>1118.93</v>
      </c>
      <c r="C126" s="242"/>
      <c r="D126" s="242"/>
      <c r="E126" s="242"/>
      <c r="F126" s="949">
        <v>1118.93</v>
      </c>
      <c r="G126" s="244" t="s">
        <v>314</v>
      </c>
      <c r="H126" s="244"/>
      <c r="I126" s="662"/>
    </row>
    <row r="127">
      <c r="A127" s="265"/>
      <c r="B127" s="950">
        <f t="shared" si="14"/>
        <v>840</v>
      </c>
      <c r="F127" s="161">
        <v>840.0</v>
      </c>
      <c r="G127" s="2" t="s">
        <v>3962</v>
      </c>
      <c r="I127" s="847"/>
    </row>
    <row r="128">
      <c r="A128" s="265"/>
      <c r="B128" s="950" t="str">
        <f t="shared" si="14"/>
        <v/>
      </c>
      <c r="D128" s="2">
        <v>10371.88</v>
      </c>
      <c r="F128" s="161"/>
      <c r="G128" s="2" t="s">
        <v>2637</v>
      </c>
      <c r="I128" s="847"/>
    </row>
    <row r="129">
      <c r="A129" s="265"/>
      <c r="B129" s="950">
        <f t="shared" si="14"/>
        <v>800</v>
      </c>
      <c r="F129" s="161">
        <v>800.0</v>
      </c>
      <c r="G129" s="2" t="s">
        <v>3963</v>
      </c>
      <c r="I129" s="847"/>
    </row>
    <row r="130">
      <c r="A130" s="265"/>
      <c r="B130" s="950" t="str">
        <f t="shared" si="14"/>
        <v/>
      </c>
      <c r="F130" s="161"/>
      <c r="I130" s="847"/>
    </row>
    <row r="131">
      <c r="A131" s="265"/>
      <c r="B131" s="950" t="str">
        <f t="shared" si="14"/>
        <v/>
      </c>
      <c r="F131" s="161"/>
      <c r="I131" s="847"/>
    </row>
    <row r="132">
      <c r="A132" s="265"/>
      <c r="B132" s="950" t="str">
        <f t="shared" si="14"/>
        <v/>
      </c>
      <c r="F132" s="161"/>
      <c r="I132" s="847"/>
    </row>
    <row r="133">
      <c r="A133" s="265"/>
      <c r="B133" s="950" t="str">
        <f t="shared" si="14"/>
        <v/>
      </c>
      <c r="F133" s="161"/>
      <c r="I133" s="847"/>
    </row>
    <row r="134">
      <c r="A134" s="265"/>
      <c r="B134" s="950" t="str">
        <f t="shared" si="14"/>
        <v/>
      </c>
      <c r="F134" s="161"/>
      <c r="I134" s="847"/>
    </row>
    <row r="135">
      <c r="A135" s="270"/>
      <c r="B135" s="194">
        <f>SUM(B126:B134)</f>
        <v>2758.93</v>
      </c>
      <c r="C135" s="18"/>
      <c r="D135" s="18"/>
      <c r="E135" s="18"/>
      <c r="F135" s="952"/>
      <c r="G135" s="18"/>
      <c r="H135" s="18"/>
      <c r="I135" s="663"/>
    </row>
    <row r="136">
      <c r="A136" s="305">
        <v>44057.0</v>
      </c>
      <c r="B136" s="948">
        <f t="shared" ref="B136:B144" si="15">F136</f>
        <v>4000</v>
      </c>
      <c r="C136" s="242"/>
      <c r="D136" s="242"/>
      <c r="E136" s="242"/>
      <c r="F136" s="949">
        <v>4000.0</v>
      </c>
      <c r="G136" s="244" t="s">
        <v>3904</v>
      </c>
      <c r="H136" s="244"/>
      <c r="I136" s="662"/>
    </row>
    <row r="137">
      <c r="A137" s="265"/>
      <c r="B137" s="950">
        <f t="shared" si="15"/>
        <v>928</v>
      </c>
      <c r="F137" s="161">
        <v>928.0</v>
      </c>
      <c r="G137" s="2" t="s">
        <v>314</v>
      </c>
      <c r="I137" s="847"/>
    </row>
    <row r="138">
      <c r="A138" s="265"/>
      <c r="B138" s="950">
        <f t="shared" si="15"/>
        <v>2272</v>
      </c>
      <c r="F138" s="161">
        <v>2272.0</v>
      </c>
      <c r="G138" s="2" t="s">
        <v>3964</v>
      </c>
      <c r="I138" s="847"/>
    </row>
    <row r="139">
      <c r="A139" s="265"/>
      <c r="B139" s="950">
        <f t="shared" si="15"/>
        <v>15500</v>
      </c>
      <c r="F139" s="161">
        <v>15500.0</v>
      </c>
      <c r="G139" s="2" t="s">
        <v>3965</v>
      </c>
      <c r="I139" s="847"/>
    </row>
    <row r="140">
      <c r="A140" s="265"/>
      <c r="B140" s="950" t="str">
        <f t="shared" si="15"/>
        <v/>
      </c>
      <c r="D140" s="2">
        <v>9466.03</v>
      </c>
      <c r="F140" s="161"/>
      <c r="G140" s="2" t="s">
        <v>3966</v>
      </c>
      <c r="I140" s="847"/>
    </row>
    <row r="141">
      <c r="A141" s="265"/>
      <c r="B141" s="950" t="str">
        <f t="shared" si="15"/>
        <v/>
      </c>
      <c r="D141" s="2">
        <v>3520.04</v>
      </c>
      <c r="F141" s="161"/>
      <c r="G141" s="2" t="s">
        <v>3967</v>
      </c>
      <c r="I141" s="847"/>
    </row>
    <row r="142">
      <c r="A142" s="265"/>
      <c r="B142" s="950" t="str">
        <f t="shared" si="15"/>
        <v/>
      </c>
      <c r="F142" s="161"/>
      <c r="I142" s="847"/>
    </row>
    <row r="143">
      <c r="A143" s="265"/>
      <c r="B143" s="950" t="str">
        <f t="shared" si="15"/>
        <v/>
      </c>
      <c r="F143" s="161"/>
      <c r="I143" s="847"/>
    </row>
    <row r="144">
      <c r="A144" s="265"/>
      <c r="B144" s="950" t="str">
        <f t="shared" si="15"/>
        <v/>
      </c>
      <c r="F144" s="161"/>
      <c r="I144" s="847"/>
    </row>
    <row r="145">
      <c r="A145" s="270"/>
      <c r="B145" s="194">
        <f>SUM(B136:B144)</f>
        <v>22700</v>
      </c>
      <c r="C145" s="18"/>
      <c r="D145" s="18"/>
      <c r="E145" s="18"/>
      <c r="F145" s="952"/>
      <c r="G145" s="18"/>
      <c r="H145" s="18"/>
      <c r="I145" s="663"/>
    </row>
    <row r="146">
      <c r="A146" s="305">
        <v>44058.0</v>
      </c>
      <c r="B146" s="948">
        <f t="shared" ref="B146:B154" si="16">F146</f>
        <v>1450</v>
      </c>
      <c r="C146" s="242"/>
      <c r="D146" s="242"/>
      <c r="E146" s="242"/>
      <c r="F146" s="949">
        <v>1450.0</v>
      </c>
      <c r="G146" s="244" t="s">
        <v>3911</v>
      </c>
      <c r="H146" s="244"/>
      <c r="I146" s="662"/>
    </row>
    <row r="147">
      <c r="A147" s="265"/>
      <c r="B147" s="950">
        <f t="shared" si="16"/>
        <v>1475</v>
      </c>
      <c r="F147" s="161">
        <v>1475.0</v>
      </c>
      <c r="G147" s="2" t="s">
        <v>708</v>
      </c>
      <c r="I147" s="847"/>
    </row>
    <row r="148">
      <c r="A148" s="265"/>
      <c r="B148" s="950">
        <f t="shared" si="16"/>
        <v>50</v>
      </c>
      <c r="F148" s="161">
        <v>50.0</v>
      </c>
      <c r="G148" s="2" t="s">
        <v>708</v>
      </c>
      <c r="I148" s="847"/>
    </row>
    <row r="149">
      <c r="A149" s="265"/>
      <c r="B149" s="950">
        <f t="shared" si="16"/>
        <v>4000</v>
      </c>
      <c r="F149" s="161">
        <v>4000.0</v>
      </c>
      <c r="G149" s="2" t="s">
        <v>3717</v>
      </c>
      <c r="I149" s="847"/>
    </row>
    <row r="150">
      <c r="A150" s="265"/>
      <c r="B150" s="950">
        <f t="shared" si="16"/>
        <v>260</v>
      </c>
      <c r="F150" s="161">
        <v>260.0</v>
      </c>
      <c r="G150" s="2" t="s">
        <v>3968</v>
      </c>
      <c r="I150" s="847"/>
    </row>
    <row r="151">
      <c r="A151" s="265"/>
      <c r="B151" s="950">
        <f t="shared" si="16"/>
        <v>3000</v>
      </c>
      <c r="F151" s="161">
        <v>3000.0</v>
      </c>
      <c r="G151" s="2" t="s">
        <v>764</v>
      </c>
      <c r="I151" s="847"/>
    </row>
    <row r="152">
      <c r="A152" s="265"/>
      <c r="B152" s="950" t="str">
        <f t="shared" si="16"/>
        <v/>
      </c>
      <c r="F152" s="161"/>
      <c r="I152" s="847"/>
    </row>
    <row r="153">
      <c r="A153" s="265"/>
      <c r="B153" s="950" t="str">
        <f t="shared" si="16"/>
        <v/>
      </c>
      <c r="F153" s="161"/>
      <c r="I153" s="847"/>
    </row>
    <row r="154">
      <c r="A154" s="265"/>
      <c r="B154" s="950" t="str">
        <f t="shared" si="16"/>
        <v/>
      </c>
      <c r="F154" s="161"/>
      <c r="I154" s="847"/>
    </row>
    <row r="155">
      <c r="A155" s="270"/>
      <c r="B155" s="194">
        <f>SUM(B146:B154)</f>
        <v>10235</v>
      </c>
      <c r="C155" s="18"/>
      <c r="D155" s="18"/>
      <c r="E155" s="18"/>
      <c r="F155" s="952"/>
      <c r="G155" s="18"/>
      <c r="H155" s="18"/>
      <c r="I155" s="663"/>
    </row>
    <row r="156">
      <c r="A156" s="305">
        <v>44059.0</v>
      </c>
      <c r="B156" s="948">
        <f t="shared" ref="B156:B164" si="17">F156</f>
        <v>401.8</v>
      </c>
      <c r="C156" s="242"/>
      <c r="D156" s="242"/>
      <c r="E156" s="242"/>
      <c r="F156" s="949">
        <v>401.8</v>
      </c>
      <c r="G156" s="244" t="s">
        <v>3969</v>
      </c>
      <c r="H156" s="244"/>
      <c r="I156" s="662"/>
    </row>
    <row r="157">
      <c r="A157" s="265"/>
      <c r="B157" s="950">
        <f t="shared" si="17"/>
        <v>937.06</v>
      </c>
      <c r="F157" s="161">
        <v>937.06</v>
      </c>
      <c r="G157" s="2" t="s">
        <v>314</v>
      </c>
      <c r="I157" s="847"/>
    </row>
    <row r="158">
      <c r="A158" s="265"/>
      <c r="B158" s="950">
        <f t="shared" si="17"/>
        <v>22000</v>
      </c>
      <c r="F158" s="161">
        <v>22000.0</v>
      </c>
      <c r="G158" s="2" t="s">
        <v>3949</v>
      </c>
      <c r="I158" s="847"/>
    </row>
    <row r="159">
      <c r="A159" s="265"/>
      <c r="B159" s="950" t="str">
        <f t="shared" si="17"/>
        <v/>
      </c>
      <c r="F159" s="161"/>
      <c r="G159" s="2" t="s">
        <v>2787</v>
      </c>
      <c r="H159" s="569">
        <v>10474.0</v>
      </c>
      <c r="I159" s="847">
        <f>H159-8500</f>
        <v>1974</v>
      </c>
    </row>
    <row r="160">
      <c r="A160" s="265"/>
      <c r="B160" s="950" t="str">
        <f t="shared" si="17"/>
        <v/>
      </c>
      <c r="F160" s="161"/>
      <c r="G160" s="2" t="s">
        <v>3845</v>
      </c>
      <c r="H160" s="569">
        <v>9463.0</v>
      </c>
      <c r="I160" s="847">
        <f>H160-7250</f>
        <v>2213</v>
      </c>
    </row>
    <row r="161">
      <c r="A161" s="265"/>
      <c r="B161" s="950" t="str">
        <f t="shared" si="17"/>
        <v/>
      </c>
      <c r="F161" s="161"/>
      <c r="G161" s="2" t="s">
        <v>3811</v>
      </c>
      <c r="H161" s="569">
        <v>9075.0</v>
      </c>
      <c r="I161" s="847">
        <f>H161-6050</f>
        <v>3025</v>
      </c>
    </row>
    <row r="162">
      <c r="A162" s="265"/>
      <c r="B162" s="950" t="str">
        <f t="shared" si="17"/>
        <v/>
      </c>
      <c r="F162" s="161"/>
      <c r="G162" s="2" t="s">
        <v>3846</v>
      </c>
      <c r="H162" s="569">
        <v>9075.0</v>
      </c>
      <c r="I162" s="847">
        <f>H162-5750</f>
        <v>3325</v>
      </c>
    </row>
    <row r="163">
      <c r="A163" s="265"/>
      <c r="B163" s="950" t="str">
        <f t="shared" si="17"/>
        <v/>
      </c>
      <c r="F163" s="161"/>
      <c r="G163" s="2" t="s">
        <v>3815</v>
      </c>
      <c r="H163" s="569">
        <v>10410.0</v>
      </c>
      <c r="I163" s="847">
        <f>H163-8500</f>
        <v>1910</v>
      </c>
    </row>
    <row r="164">
      <c r="A164" s="265"/>
      <c r="B164" s="950" t="str">
        <f t="shared" si="17"/>
        <v/>
      </c>
      <c r="F164" s="161"/>
      <c r="G164" s="2" t="s">
        <v>3848</v>
      </c>
      <c r="H164" s="569">
        <v>10410.0</v>
      </c>
      <c r="I164" s="847">
        <f t="shared" ref="I164:I165" si="18">H164-5800</f>
        <v>4610</v>
      </c>
    </row>
    <row r="165">
      <c r="A165" s="270"/>
      <c r="B165" s="194">
        <f>SUM(B156:B164)</f>
        <v>23338.86</v>
      </c>
      <c r="C165" s="18"/>
      <c r="D165" s="18"/>
      <c r="E165" s="18"/>
      <c r="F165" s="952"/>
      <c r="G165" s="2" t="s">
        <v>3847</v>
      </c>
      <c r="H165" s="569">
        <v>10410.0</v>
      </c>
      <c r="I165" s="847">
        <f t="shared" si="18"/>
        <v>4610</v>
      </c>
    </row>
    <row r="166">
      <c r="A166" s="305">
        <v>44060.0</v>
      </c>
      <c r="B166" s="948">
        <f t="shared" ref="B166:B174" si="19">F166</f>
        <v>377</v>
      </c>
      <c r="C166" s="242"/>
      <c r="D166" s="242"/>
      <c r="E166" s="242"/>
      <c r="F166" s="949">
        <v>377.0</v>
      </c>
      <c r="G166" s="244" t="s">
        <v>314</v>
      </c>
      <c r="H166" s="244"/>
      <c r="I166" s="662"/>
    </row>
    <row r="167">
      <c r="A167" s="265"/>
      <c r="B167" s="950">
        <f t="shared" si="19"/>
        <v>424</v>
      </c>
      <c r="F167" s="161">
        <v>424.0</v>
      </c>
      <c r="G167" s="2" t="s">
        <v>3970</v>
      </c>
      <c r="I167" s="847"/>
    </row>
    <row r="168">
      <c r="A168" s="265"/>
      <c r="B168" s="950">
        <f t="shared" si="19"/>
        <v>220</v>
      </c>
      <c r="F168" s="161">
        <v>220.0</v>
      </c>
      <c r="G168" s="2" t="s">
        <v>314</v>
      </c>
      <c r="I168" s="847"/>
    </row>
    <row r="169">
      <c r="A169" s="265"/>
      <c r="B169" s="950">
        <f t="shared" si="19"/>
        <v>3150</v>
      </c>
      <c r="F169" s="161">
        <v>3150.0</v>
      </c>
      <c r="G169" s="2" t="s">
        <v>3971</v>
      </c>
      <c r="I169" s="847"/>
    </row>
    <row r="170">
      <c r="A170" s="265"/>
      <c r="B170" s="950">
        <f t="shared" si="19"/>
        <v>99</v>
      </c>
      <c r="F170" s="161">
        <v>99.0</v>
      </c>
      <c r="G170" s="2" t="s">
        <v>543</v>
      </c>
      <c r="I170" s="847"/>
    </row>
    <row r="171">
      <c r="A171" s="265"/>
      <c r="B171" s="950" t="str">
        <f t="shared" si="19"/>
        <v/>
      </c>
      <c r="F171" s="161"/>
      <c r="I171" s="847"/>
    </row>
    <row r="172">
      <c r="A172" s="265"/>
      <c r="B172" s="950" t="str">
        <f t="shared" si="19"/>
        <v/>
      </c>
      <c r="F172" s="161"/>
      <c r="I172" s="847"/>
    </row>
    <row r="173">
      <c r="A173" s="265"/>
      <c r="B173" s="950" t="str">
        <f t="shared" si="19"/>
        <v/>
      </c>
      <c r="F173" s="161"/>
      <c r="I173" s="847"/>
    </row>
    <row r="174">
      <c r="A174" s="265"/>
      <c r="B174" s="950" t="str">
        <f t="shared" si="19"/>
        <v/>
      </c>
      <c r="F174" s="161"/>
      <c r="I174" s="847"/>
    </row>
    <row r="175">
      <c r="A175" s="270"/>
      <c r="B175" s="194">
        <f>SUM(B166:B174)</f>
        <v>4270</v>
      </c>
      <c r="C175" s="18"/>
      <c r="D175" s="18"/>
      <c r="E175" s="18"/>
      <c r="F175" s="952"/>
      <c r="G175" s="18"/>
      <c r="H175" s="18"/>
      <c r="I175" s="663"/>
    </row>
    <row r="176">
      <c r="A176" s="305">
        <v>44061.0</v>
      </c>
      <c r="B176" s="948">
        <f t="shared" ref="B176:B184" si="20">F176</f>
        <v>981</v>
      </c>
      <c r="C176" s="242"/>
      <c r="D176" s="242"/>
      <c r="E176" s="242"/>
      <c r="F176" s="949">
        <v>981.0</v>
      </c>
      <c r="G176" s="244" t="s">
        <v>314</v>
      </c>
      <c r="H176" s="244"/>
      <c r="I176" s="662"/>
    </row>
    <row r="177">
      <c r="A177" s="265"/>
      <c r="B177" s="950">
        <f t="shared" si="20"/>
        <v>2000</v>
      </c>
      <c r="F177" s="161">
        <v>2000.0</v>
      </c>
      <c r="G177" s="2" t="s">
        <v>421</v>
      </c>
      <c r="I177" s="847"/>
    </row>
    <row r="178">
      <c r="A178" s="265"/>
      <c r="B178" s="950" t="str">
        <f t="shared" si="20"/>
        <v/>
      </c>
      <c r="D178" s="2">
        <v>3600.0</v>
      </c>
      <c r="F178" s="161"/>
      <c r="G178" s="2" t="s">
        <v>3972</v>
      </c>
      <c r="I178" s="847"/>
    </row>
    <row r="179">
      <c r="A179" s="265"/>
      <c r="B179" s="950">
        <f t="shared" si="20"/>
        <v>9000</v>
      </c>
      <c r="F179" s="161">
        <v>9000.0</v>
      </c>
      <c r="G179" s="2" t="s">
        <v>3973</v>
      </c>
      <c r="I179" s="847"/>
    </row>
    <row r="180">
      <c r="A180" s="265"/>
      <c r="B180" s="950">
        <f t="shared" si="20"/>
        <v>3669</v>
      </c>
      <c r="F180" s="161">
        <v>3669.0</v>
      </c>
      <c r="G180" s="2" t="s">
        <v>2285</v>
      </c>
      <c r="I180" s="847"/>
    </row>
    <row r="181">
      <c r="A181" s="265"/>
      <c r="B181" s="950">
        <f t="shared" si="20"/>
        <v>950</v>
      </c>
      <c r="F181" s="161">
        <v>950.0</v>
      </c>
      <c r="G181" s="2" t="s">
        <v>215</v>
      </c>
      <c r="I181" s="847"/>
    </row>
    <row r="182">
      <c r="A182" s="265"/>
      <c r="B182" s="950">
        <f t="shared" si="20"/>
        <v>410</v>
      </c>
      <c r="F182" s="161">
        <f>260+150</f>
        <v>410</v>
      </c>
      <c r="G182" s="2" t="s">
        <v>3974</v>
      </c>
      <c r="I182" s="847"/>
    </row>
    <row r="183">
      <c r="A183" s="265"/>
      <c r="B183" s="950">
        <f t="shared" si="20"/>
        <v>286</v>
      </c>
      <c r="F183" s="161">
        <v>286.0</v>
      </c>
      <c r="G183" s="2" t="s">
        <v>314</v>
      </c>
      <c r="I183" s="847"/>
    </row>
    <row r="184">
      <c r="A184" s="265"/>
      <c r="B184" s="950">
        <f t="shared" si="20"/>
        <v>3500</v>
      </c>
      <c r="F184" s="161">
        <v>3500.0</v>
      </c>
      <c r="G184" s="2" t="s">
        <v>3975</v>
      </c>
      <c r="I184" s="847"/>
    </row>
    <row r="185">
      <c r="A185" s="270"/>
      <c r="B185" s="194">
        <f>SUM(B176:B184)</f>
        <v>20796</v>
      </c>
      <c r="C185" s="18"/>
      <c r="D185" s="18"/>
      <c r="E185" s="18"/>
      <c r="F185" s="952"/>
      <c r="G185" s="18"/>
      <c r="H185" s="18"/>
      <c r="I185" s="663"/>
    </row>
    <row r="186">
      <c r="A186" s="305">
        <v>44062.0</v>
      </c>
      <c r="B186" s="948" t="str">
        <f t="shared" ref="B186:B194" si="21">F186</f>
        <v/>
      </c>
      <c r="C186" s="244">
        <v>14574.0</v>
      </c>
      <c r="D186" s="244"/>
      <c r="E186" s="242"/>
      <c r="F186" s="949"/>
      <c r="G186" s="244" t="s">
        <v>3976</v>
      </c>
      <c r="H186" s="244"/>
      <c r="I186" s="662"/>
    </row>
    <row r="187">
      <c r="A187" s="265"/>
      <c r="B187" s="950">
        <f t="shared" si="21"/>
        <v>1917</v>
      </c>
      <c r="F187" s="161">
        <v>1917.0</v>
      </c>
      <c r="G187" s="2" t="s">
        <v>91</v>
      </c>
      <c r="I187" s="847"/>
    </row>
    <row r="188">
      <c r="A188" s="265"/>
      <c r="B188" s="950">
        <f t="shared" si="21"/>
        <v>970</v>
      </c>
      <c r="F188" s="161">
        <v>970.0</v>
      </c>
      <c r="G188" s="2" t="s">
        <v>708</v>
      </c>
      <c r="I188" s="847"/>
    </row>
    <row r="189">
      <c r="A189" s="265"/>
      <c r="B189" s="950">
        <f t="shared" si="21"/>
        <v>430</v>
      </c>
      <c r="F189" s="161">
        <v>430.0</v>
      </c>
      <c r="G189" s="2" t="s">
        <v>227</v>
      </c>
      <c r="I189" s="847"/>
    </row>
    <row r="190">
      <c r="A190" s="265"/>
      <c r="B190" s="950">
        <f t="shared" si="21"/>
        <v>3200</v>
      </c>
      <c r="F190" s="161">
        <v>3200.0</v>
      </c>
      <c r="G190" s="2" t="s">
        <v>114</v>
      </c>
      <c r="I190" s="847"/>
    </row>
    <row r="191">
      <c r="A191" s="265"/>
      <c r="B191" s="950">
        <f t="shared" si="21"/>
        <v>649</v>
      </c>
      <c r="F191" s="161">
        <v>649.0</v>
      </c>
      <c r="G191" s="2" t="s">
        <v>3977</v>
      </c>
      <c r="I191" s="847"/>
    </row>
    <row r="192">
      <c r="A192" s="265"/>
      <c r="B192" s="950" t="str">
        <f t="shared" si="21"/>
        <v/>
      </c>
      <c r="F192" s="161"/>
      <c r="I192" s="847"/>
    </row>
    <row r="193">
      <c r="A193" s="265"/>
      <c r="B193" s="950" t="str">
        <f t="shared" si="21"/>
        <v/>
      </c>
      <c r="F193" s="161"/>
      <c r="I193" s="847"/>
    </row>
    <row r="194">
      <c r="A194" s="265"/>
      <c r="B194" s="950" t="str">
        <f t="shared" si="21"/>
        <v/>
      </c>
      <c r="F194" s="161"/>
      <c r="I194" s="847"/>
    </row>
    <row r="195">
      <c r="A195" s="270"/>
      <c r="B195" s="194">
        <f>SUM(B186:B194)</f>
        <v>7166</v>
      </c>
      <c r="C195" s="18"/>
      <c r="D195" s="18"/>
      <c r="E195" s="18"/>
      <c r="F195" s="952"/>
      <c r="G195" s="18"/>
      <c r="H195" s="18"/>
      <c r="I195" s="663"/>
    </row>
    <row r="196">
      <c r="A196" s="305">
        <v>44063.0</v>
      </c>
      <c r="B196" s="948">
        <f t="shared" ref="B196:B204" si="22">F196</f>
        <v>2790</v>
      </c>
      <c r="C196" s="242"/>
      <c r="D196" s="242"/>
      <c r="E196" s="242"/>
      <c r="F196" s="949">
        <v>2790.0</v>
      </c>
      <c r="G196" s="244" t="s">
        <v>612</v>
      </c>
      <c r="H196" s="244"/>
      <c r="I196" s="662"/>
    </row>
    <row r="197">
      <c r="A197" s="265"/>
      <c r="B197" s="950">
        <f t="shared" si="22"/>
        <v>1448.91</v>
      </c>
      <c r="F197" s="161">
        <v>1448.91</v>
      </c>
      <c r="G197" s="2" t="s">
        <v>3911</v>
      </c>
      <c r="I197" s="847"/>
    </row>
    <row r="198">
      <c r="A198" s="265"/>
      <c r="B198" s="950">
        <f t="shared" si="22"/>
        <v>2080</v>
      </c>
      <c r="F198" s="161">
        <v>2080.0</v>
      </c>
      <c r="G198" s="2" t="s">
        <v>2516</v>
      </c>
      <c r="I198" s="847"/>
    </row>
    <row r="199">
      <c r="A199" s="265"/>
      <c r="B199" s="950" t="str">
        <f t="shared" si="22"/>
        <v/>
      </c>
      <c r="C199" s="2">
        <v>17420.22</v>
      </c>
      <c r="F199" s="161"/>
      <c r="G199" s="2" t="s">
        <v>3978</v>
      </c>
      <c r="H199" s="417"/>
      <c r="I199" s="847"/>
    </row>
    <row r="200">
      <c r="A200" s="265"/>
      <c r="B200" s="950">
        <f t="shared" si="22"/>
        <v>136</v>
      </c>
      <c r="F200" s="161">
        <v>136.0</v>
      </c>
      <c r="G200" s="2" t="s">
        <v>3979</v>
      </c>
      <c r="I200" s="847"/>
    </row>
    <row r="201">
      <c r="A201" s="265"/>
      <c r="B201" s="950">
        <f t="shared" si="22"/>
        <v>62</v>
      </c>
      <c r="F201" s="161">
        <v>62.0</v>
      </c>
      <c r="G201" s="2" t="s">
        <v>2899</v>
      </c>
      <c r="I201" s="847"/>
    </row>
    <row r="202">
      <c r="A202" s="265"/>
      <c r="B202" s="950">
        <f t="shared" si="22"/>
        <v>1450</v>
      </c>
      <c r="F202" s="161">
        <v>1450.0</v>
      </c>
      <c r="G202" s="2" t="s">
        <v>3980</v>
      </c>
      <c r="I202" s="847"/>
    </row>
    <row r="203">
      <c r="A203" s="265"/>
      <c r="B203" s="950">
        <f t="shared" si="22"/>
        <v>80</v>
      </c>
      <c r="F203" s="161">
        <v>80.0</v>
      </c>
      <c r="G203" s="2" t="s">
        <v>1683</v>
      </c>
      <c r="I203" s="847"/>
    </row>
    <row r="204">
      <c r="A204" s="265"/>
      <c r="B204" s="950" t="str">
        <f t="shared" si="22"/>
        <v/>
      </c>
      <c r="F204" s="161"/>
      <c r="I204" s="847"/>
    </row>
    <row r="205">
      <c r="A205" s="270"/>
      <c r="B205" s="194">
        <f>SUM(B196:B204)</f>
        <v>8046.91</v>
      </c>
      <c r="C205" s="18"/>
      <c r="D205" s="18"/>
      <c r="E205" s="18"/>
      <c r="F205" s="952"/>
      <c r="G205" s="18"/>
      <c r="H205" s="18"/>
      <c r="I205" s="663"/>
    </row>
    <row r="206">
      <c r="A206" s="305">
        <v>44064.0</v>
      </c>
      <c r="B206" s="948" t="str">
        <f t="shared" ref="B206:B214" si="23">F206</f>
        <v/>
      </c>
      <c r="C206" s="242"/>
      <c r="D206" s="244">
        <v>6000.0</v>
      </c>
      <c r="E206" s="242"/>
      <c r="F206" s="949"/>
      <c r="G206" s="244" t="s">
        <v>3981</v>
      </c>
      <c r="H206" s="244"/>
      <c r="I206" s="662"/>
    </row>
    <row r="207">
      <c r="A207" s="265"/>
      <c r="B207" s="950">
        <f t="shared" si="23"/>
        <v>1767</v>
      </c>
      <c r="F207" s="161">
        <v>1767.0</v>
      </c>
      <c r="G207" s="2" t="s">
        <v>314</v>
      </c>
      <c r="I207" s="847"/>
    </row>
    <row r="208">
      <c r="A208" s="265"/>
      <c r="B208" s="950">
        <f t="shared" si="23"/>
        <v>2000</v>
      </c>
      <c r="F208" s="161">
        <v>2000.0</v>
      </c>
      <c r="G208" s="2" t="s">
        <v>87</v>
      </c>
      <c r="I208" s="847"/>
    </row>
    <row r="209">
      <c r="A209" s="265"/>
      <c r="B209" s="950" t="str">
        <f t="shared" si="23"/>
        <v/>
      </c>
      <c r="D209" s="2">
        <v>7160.0</v>
      </c>
      <c r="F209" s="161"/>
      <c r="G209" s="2" t="s">
        <v>2819</v>
      </c>
      <c r="I209" s="847"/>
    </row>
    <row r="210">
      <c r="A210" s="265"/>
      <c r="B210" s="950" t="str">
        <f t="shared" si="23"/>
        <v/>
      </c>
      <c r="D210" s="2">
        <v>1579.59</v>
      </c>
      <c r="F210" s="161"/>
      <c r="G210" s="2" t="s">
        <v>2284</v>
      </c>
      <c r="I210" s="847"/>
    </row>
    <row r="211">
      <c r="A211" s="265"/>
      <c r="B211" s="950">
        <f t="shared" si="23"/>
        <v>136</v>
      </c>
      <c r="F211" s="161">
        <v>136.0</v>
      </c>
      <c r="G211" s="2" t="s">
        <v>314</v>
      </c>
      <c r="I211" s="847"/>
    </row>
    <row r="212">
      <c r="A212" s="265"/>
      <c r="B212" s="950">
        <f t="shared" si="23"/>
        <v>2300</v>
      </c>
      <c r="F212" s="161">
        <v>2300.0</v>
      </c>
      <c r="G212" s="2" t="s">
        <v>3851</v>
      </c>
      <c r="I212" s="847"/>
    </row>
    <row r="213">
      <c r="A213" s="265"/>
      <c r="B213" s="950" t="str">
        <f t="shared" si="23"/>
        <v/>
      </c>
      <c r="D213" s="2">
        <v>18150.0</v>
      </c>
      <c r="F213" s="161"/>
      <c r="G213" s="2" t="s">
        <v>3982</v>
      </c>
      <c r="I213" s="847"/>
    </row>
    <row r="214">
      <c r="A214" s="265"/>
      <c r="B214" s="950" t="str">
        <f t="shared" si="23"/>
        <v/>
      </c>
      <c r="F214" s="161"/>
      <c r="I214" s="847"/>
    </row>
    <row r="215">
      <c r="A215" s="270"/>
      <c r="B215" s="194">
        <f>SUM(B206:B214)</f>
        <v>6203</v>
      </c>
      <c r="C215" s="18"/>
      <c r="D215" s="18"/>
      <c r="E215" s="18"/>
      <c r="F215" s="952"/>
      <c r="G215" s="18"/>
      <c r="H215" s="18"/>
      <c r="I215" s="663"/>
    </row>
    <row r="216">
      <c r="A216" s="305">
        <v>44065.0</v>
      </c>
      <c r="B216" s="948">
        <f t="shared" ref="B216:B227" si="24">F216</f>
        <v>960</v>
      </c>
      <c r="C216" s="242"/>
      <c r="D216" s="242"/>
      <c r="E216" s="242"/>
      <c r="F216" s="949">
        <v>960.0</v>
      </c>
      <c r="G216" s="244" t="s">
        <v>3983</v>
      </c>
      <c r="H216" s="244"/>
      <c r="I216" s="662"/>
    </row>
    <row r="217">
      <c r="A217" s="265"/>
      <c r="B217" s="950">
        <f t="shared" si="24"/>
        <v>146</v>
      </c>
      <c r="F217" s="161">
        <v>146.0</v>
      </c>
      <c r="G217" s="2" t="s">
        <v>3392</v>
      </c>
      <c r="I217" s="847"/>
    </row>
    <row r="218">
      <c r="A218" s="265"/>
      <c r="B218" s="950">
        <f t="shared" si="24"/>
        <v>100</v>
      </c>
      <c r="F218" s="161">
        <v>100.0</v>
      </c>
      <c r="G218" s="2" t="s">
        <v>512</v>
      </c>
      <c r="I218" s="847"/>
    </row>
    <row r="219">
      <c r="A219" s="265"/>
      <c r="B219" s="950">
        <f t="shared" si="24"/>
        <v>1323.5</v>
      </c>
      <c r="F219" s="161">
        <v>1323.5</v>
      </c>
      <c r="G219" s="2" t="s">
        <v>314</v>
      </c>
      <c r="I219" s="847"/>
    </row>
    <row r="220">
      <c r="A220" s="265"/>
      <c r="B220" s="950">
        <f t="shared" si="24"/>
        <v>760</v>
      </c>
      <c r="F220" s="161">
        <v>760.0</v>
      </c>
      <c r="G220" s="2" t="s">
        <v>3984</v>
      </c>
      <c r="I220" s="847"/>
    </row>
    <row r="221">
      <c r="A221" s="265"/>
      <c r="B221" s="950">
        <f t="shared" si="24"/>
        <v>1190</v>
      </c>
      <c r="D221" s="2"/>
      <c r="F221" s="161">
        <v>1190.0</v>
      </c>
      <c r="G221" s="2" t="s">
        <v>3985</v>
      </c>
      <c r="I221" s="847"/>
    </row>
    <row r="222">
      <c r="A222" s="265"/>
      <c r="B222" s="950">
        <f t="shared" si="24"/>
        <v>1750</v>
      </c>
      <c r="D222" s="2"/>
      <c r="F222" s="161">
        <v>1750.0</v>
      </c>
      <c r="G222" s="2" t="s">
        <v>3986</v>
      </c>
      <c r="H222" s="552"/>
      <c r="I222" s="847"/>
    </row>
    <row r="223">
      <c r="A223" s="265"/>
      <c r="B223" s="950" t="str">
        <f t="shared" si="24"/>
        <v/>
      </c>
      <c r="D223" s="2">
        <v>6590.0</v>
      </c>
      <c r="F223" s="161"/>
      <c r="G223" s="2" t="s">
        <v>3815</v>
      </c>
      <c r="H223" s="552"/>
      <c r="I223" s="847"/>
    </row>
    <row r="224">
      <c r="A224" s="265"/>
      <c r="B224" s="950">
        <f t="shared" si="24"/>
        <v>1200</v>
      </c>
      <c r="F224" s="161">
        <v>1200.0</v>
      </c>
      <c r="G224" s="2" t="s">
        <v>3848</v>
      </c>
      <c r="H224" s="552" t="str">
        <f>I154</f>
        <v/>
      </c>
      <c r="I224" s="847"/>
    </row>
    <row r="225">
      <c r="A225" s="265"/>
      <c r="B225" s="950">
        <f t="shared" si="24"/>
        <v>2450</v>
      </c>
      <c r="F225" s="161">
        <v>2450.0</v>
      </c>
      <c r="G225" s="2" t="s">
        <v>3846</v>
      </c>
      <c r="H225" s="552"/>
      <c r="I225" s="847"/>
    </row>
    <row r="226">
      <c r="A226" s="265"/>
      <c r="B226" s="950">
        <f t="shared" si="24"/>
        <v>5050</v>
      </c>
      <c r="F226" s="161">
        <v>5050.0</v>
      </c>
      <c r="G226" s="2" t="s">
        <v>3845</v>
      </c>
      <c r="H226" s="552"/>
      <c r="I226" s="847"/>
    </row>
    <row r="227">
      <c r="A227" s="265"/>
      <c r="B227" s="950" t="str">
        <f t="shared" si="24"/>
        <v/>
      </c>
      <c r="F227" s="852"/>
      <c r="I227" s="847"/>
    </row>
    <row r="228">
      <c r="A228" s="270"/>
      <c r="B228" s="194">
        <f>SUM(B216:B226)</f>
        <v>14929.5</v>
      </c>
      <c r="C228" s="18"/>
      <c r="D228" s="18"/>
      <c r="E228" s="18"/>
      <c r="F228" s="952"/>
      <c r="G228" s="18"/>
      <c r="H228" s="18"/>
      <c r="I228" s="663"/>
    </row>
    <row r="229">
      <c r="A229" s="305">
        <v>44066.0</v>
      </c>
      <c r="B229" s="948">
        <f t="shared" ref="B229:B237" si="25">F229</f>
        <v>3000</v>
      </c>
      <c r="C229" s="242"/>
      <c r="D229" s="242"/>
      <c r="E229" s="242"/>
      <c r="F229" s="949">
        <v>3000.0</v>
      </c>
      <c r="G229" s="244" t="s">
        <v>764</v>
      </c>
      <c r="H229" s="244"/>
      <c r="I229" s="969" t="s">
        <v>3841</v>
      </c>
    </row>
    <row r="230">
      <c r="A230" s="265"/>
      <c r="B230" s="950">
        <f t="shared" si="25"/>
        <v>6530</v>
      </c>
      <c r="E230" s="970">
        <v>8500.0</v>
      </c>
      <c r="F230" s="161">
        <v>6530.0</v>
      </c>
      <c r="G230" s="2" t="s">
        <v>2787</v>
      </c>
      <c r="H230" s="552">
        <f t="shared" ref="H230:H236" si="26">I159</f>
        <v>1974</v>
      </c>
      <c r="I230" s="971">
        <f t="shared" ref="I230:I236" si="27">E230-H230</f>
        <v>6526</v>
      </c>
    </row>
    <row r="231">
      <c r="A231" s="265"/>
      <c r="B231" s="950">
        <f t="shared" si="25"/>
        <v>0</v>
      </c>
      <c r="E231" s="970">
        <v>7250.0</v>
      </c>
      <c r="F231" s="161">
        <v>0.0</v>
      </c>
      <c r="G231" s="2" t="s">
        <v>3845</v>
      </c>
      <c r="H231" s="552">
        <f t="shared" si="26"/>
        <v>2213</v>
      </c>
      <c r="I231" s="971">
        <f t="shared" si="27"/>
        <v>5037</v>
      </c>
    </row>
    <row r="232">
      <c r="A232" s="265"/>
      <c r="B232" s="950">
        <f t="shared" si="25"/>
        <v>3030</v>
      </c>
      <c r="E232" s="970">
        <v>6050.0</v>
      </c>
      <c r="F232" s="161">
        <v>3030.0</v>
      </c>
      <c r="G232" s="2" t="s">
        <v>3811</v>
      </c>
      <c r="H232" s="552">
        <f t="shared" si="26"/>
        <v>3025</v>
      </c>
      <c r="I232" s="971">
        <f t="shared" si="27"/>
        <v>3025</v>
      </c>
    </row>
    <row r="233">
      <c r="A233" s="265"/>
      <c r="B233" s="950">
        <f t="shared" si="25"/>
        <v>0</v>
      </c>
      <c r="E233" s="970">
        <v>5750.0</v>
      </c>
      <c r="F233" s="161">
        <v>0.0</v>
      </c>
      <c r="G233" s="2" t="s">
        <v>3846</v>
      </c>
      <c r="H233" s="552">
        <f t="shared" si="26"/>
        <v>3325</v>
      </c>
      <c r="I233" s="971">
        <f t="shared" si="27"/>
        <v>2425</v>
      </c>
    </row>
    <row r="234">
      <c r="A234" s="265"/>
      <c r="B234" s="950">
        <f t="shared" si="25"/>
        <v>0</v>
      </c>
      <c r="E234" s="970">
        <v>8500.0</v>
      </c>
      <c r="F234" s="161">
        <v>0.0</v>
      </c>
      <c r="G234" s="2" t="s">
        <v>3815</v>
      </c>
      <c r="H234" s="552">
        <f t="shared" si="26"/>
        <v>1910</v>
      </c>
      <c r="I234" s="971">
        <f t="shared" si="27"/>
        <v>6590</v>
      </c>
    </row>
    <row r="235">
      <c r="A235" s="265"/>
      <c r="B235" s="950">
        <f t="shared" si="25"/>
        <v>0</v>
      </c>
      <c r="E235" s="970">
        <v>5800.0</v>
      </c>
      <c r="F235" s="161">
        <v>0.0</v>
      </c>
      <c r="G235" s="2" t="s">
        <v>3848</v>
      </c>
      <c r="H235" s="552">
        <f t="shared" si="26"/>
        <v>4610</v>
      </c>
      <c r="I235" s="971">
        <f t="shared" si="27"/>
        <v>1190</v>
      </c>
    </row>
    <row r="236">
      <c r="A236" s="265"/>
      <c r="B236" s="950">
        <f t="shared" si="25"/>
        <v>1200</v>
      </c>
      <c r="E236" s="970">
        <v>5800.0</v>
      </c>
      <c r="F236" s="161">
        <v>1200.0</v>
      </c>
      <c r="G236" s="2" t="s">
        <v>3847</v>
      </c>
      <c r="H236" s="552">
        <f t="shared" si="26"/>
        <v>4610</v>
      </c>
      <c r="I236" s="971">
        <f t="shared" si="27"/>
        <v>1190</v>
      </c>
    </row>
    <row r="237">
      <c r="A237" s="265"/>
      <c r="B237" s="950">
        <f t="shared" si="25"/>
        <v>554</v>
      </c>
      <c r="F237" s="161">
        <v>554.0</v>
      </c>
      <c r="G237" s="2" t="s">
        <v>345</v>
      </c>
      <c r="I237" s="265"/>
    </row>
    <row r="238">
      <c r="A238" s="270"/>
      <c r="B238" s="194">
        <f>SUM(B229:B237)</f>
        <v>14314</v>
      </c>
      <c r="C238" s="18"/>
      <c r="D238" s="18"/>
      <c r="E238" s="18"/>
      <c r="F238" s="952"/>
      <c r="G238" s="18"/>
      <c r="H238" s="18"/>
      <c r="I238" s="270"/>
    </row>
    <row r="239">
      <c r="A239" s="305">
        <v>44067.0</v>
      </c>
      <c r="B239" s="948">
        <f t="shared" ref="B239:B247" si="28">F239</f>
        <v>704</v>
      </c>
      <c r="C239" s="242"/>
      <c r="D239" s="242"/>
      <c r="E239" s="242"/>
      <c r="F239" s="949">
        <v>704.0</v>
      </c>
      <c r="G239" s="244" t="s">
        <v>3987</v>
      </c>
      <c r="H239" s="244"/>
      <c r="I239" s="662"/>
    </row>
    <row r="240">
      <c r="A240" s="265"/>
      <c r="B240" s="950">
        <f t="shared" si="28"/>
        <v>1350</v>
      </c>
      <c r="F240" s="161">
        <v>1350.0</v>
      </c>
      <c r="G240" s="2" t="s">
        <v>314</v>
      </c>
      <c r="I240" s="847"/>
    </row>
    <row r="241">
      <c r="A241" s="265"/>
      <c r="B241" s="950">
        <f t="shared" si="28"/>
        <v>2670</v>
      </c>
      <c r="F241" s="161">
        <v>2670.0</v>
      </c>
      <c r="G241" s="2" t="s">
        <v>3988</v>
      </c>
      <c r="I241" s="847"/>
    </row>
    <row r="242">
      <c r="A242" s="265"/>
      <c r="B242" s="950" t="str">
        <f t="shared" si="28"/>
        <v/>
      </c>
      <c r="F242" s="161"/>
      <c r="I242" s="847"/>
    </row>
    <row r="243">
      <c r="A243" s="265"/>
      <c r="B243" s="950" t="str">
        <f t="shared" si="28"/>
        <v/>
      </c>
      <c r="F243" s="161"/>
      <c r="I243" s="847"/>
    </row>
    <row r="244">
      <c r="A244" s="265"/>
      <c r="B244" s="950" t="str">
        <f t="shared" si="28"/>
        <v/>
      </c>
      <c r="F244" s="161"/>
      <c r="I244" s="847"/>
    </row>
    <row r="245">
      <c r="A245" s="265"/>
      <c r="B245" s="950" t="str">
        <f t="shared" si="28"/>
        <v/>
      </c>
      <c r="F245" s="161"/>
      <c r="I245" s="847"/>
    </row>
    <row r="246">
      <c r="A246" s="265"/>
      <c r="B246" s="950" t="str">
        <f t="shared" si="28"/>
        <v/>
      </c>
      <c r="F246" s="161"/>
      <c r="I246" s="847"/>
    </row>
    <row r="247">
      <c r="A247" s="265"/>
      <c r="B247" s="950" t="str">
        <f t="shared" si="28"/>
        <v/>
      </c>
      <c r="F247" s="161"/>
      <c r="I247" s="847"/>
    </row>
    <row r="248">
      <c r="A248" s="270"/>
      <c r="B248" s="194">
        <f>SUM(B239:B247)</f>
        <v>4724</v>
      </c>
      <c r="C248" s="18"/>
      <c r="D248" s="18"/>
      <c r="E248" s="18"/>
      <c r="F248" s="952"/>
      <c r="G248" s="18"/>
      <c r="H248" s="18"/>
      <c r="I248" s="663"/>
    </row>
    <row r="249">
      <c r="A249" s="305">
        <v>44068.0</v>
      </c>
      <c r="B249" s="948">
        <f t="shared" ref="B249:B257" si="29">F249</f>
        <v>2173</v>
      </c>
      <c r="C249" s="242"/>
      <c r="D249" s="242"/>
      <c r="E249" s="242"/>
      <c r="F249" s="949">
        <v>2173.0</v>
      </c>
      <c r="G249" s="244" t="s">
        <v>3989</v>
      </c>
      <c r="H249" s="244"/>
      <c r="I249" s="662"/>
    </row>
    <row r="250">
      <c r="A250" s="265"/>
      <c r="B250" s="950">
        <f t="shared" si="29"/>
        <v>2148</v>
      </c>
      <c r="F250" s="161">
        <v>2148.0</v>
      </c>
      <c r="G250" s="2" t="s">
        <v>3990</v>
      </c>
      <c r="I250" s="847"/>
    </row>
    <row r="251">
      <c r="A251" s="265"/>
      <c r="B251" s="950">
        <f t="shared" si="29"/>
        <v>2000</v>
      </c>
      <c r="F251" s="161">
        <v>2000.0</v>
      </c>
      <c r="G251" s="2" t="s">
        <v>64</v>
      </c>
      <c r="I251" s="847"/>
    </row>
    <row r="252">
      <c r="A252" s="265"/>
      <c r="B252" s="950">
        <f t="shared" si="29"/>
        <v>259</v>
      </c>
      <c r="F252" s="161">
        <v>259.0</v>
      </c>
      <c r="G252" s="2" t="s">
        <v>3433</v>
      </c>
      <c r="I252" s="847"/>
    </row>
    <row r="253">
      <c r="A253" s="265"/>
      <c r="B253" s="950">
        <f t="shared" si="29"/>
        <v>202</v>
      </c>
      <c r="F253" s="161">
        <v>202.0</v>
      </c>
      <c r="G253" s="2" t="s">
        <v>3991</v>
      </c>
      <c r="I253" s="847"/>
    </row>
    <row r="254">
      <c r="A254" s="265"/>
      <c r="B254" s="950">
        <f t="shared" si="29"/>
        <v>1100</v>
      </c>
      <c r="F254" s="161">
        <v>1100.0</v>
      </c>
      <c r="G254" s="2" t="s">
        <v>3992</v>
      </c>
      <c r="H254" s="552"/>
      <c r="I254" s="847"/>
    </row>
    <row r="255">
      <c r="A255" s="265"/>
      <c r="B255" s="950">
        <f t="shared" si="29"/>
        <v>599</v>
      </c>
      <c r="F255" s="161">
        <v>599.0</v>
      </c>
      <c r="G255" s="2" t="s">
        <v>708</v>
      </c>
      <c r="I255" s="847"/>
    </row>
    <row r="256">
      <c r="A256" s="265"/>
      <c r="B256" s="950">
        <f t="shared" si="29"/>
        <v>11996</v>
      </c>
      <c r="F256" s="161">
        <v>11996.0</v>
      </c>
      <c r="G256" s="2" t="s">
        <v>3309</v>
      </c>
      <c r="I256" s="847"/>
    </row>
    <row r="257">
      <c r="A257" s="265"/>
      <c r="B257" s="950" t="str">
        <f t="shared" si="29"/>
        <v/>
      </c>
      <c r="F257" s="161"/>
      <c r="I257" s="847"/>
    </row>
    <row r="258">
      <c r="A258" s="270"/>
      <c r="B258" s="194">
        <f>SUM(B249:B257)</f>
        <v>20477</v>
      </c>
      <c r="C258" s="18"/>
      <c r="D258" s="18"/>
      <c r="E258" s="18"/>
      <c r="F258" s="952"/>
      <c r="G258" s="18"/>
      <c r="H258" s="18"/>
      <c r="I258" s="663"/>
    </row>
    <row r="259">
      <c r="A259" s="305">
        <v>44069.0</v>
      </c>
      <c r="B259" s="948">
        <f t="shared" ref="B259:B267" si="30">F259</f>
        <v>1594</v>
      </c>
      <c r="C259" s="242"/>
      <c r="D259" s="242"/>
      <c r="E259" s="242"/>
      <c r="F259" s="949">
        <v>1594.0</v>
      </c>
      <c r="G259" s="244" t="s">
        <v>314</v>
      </c>
      <c r="H259" s="244"/>
      <c r="I259" s="662"/>
    </row>
    <row r="260">
      <c r="A260" s="265"/>
      <c r="B260" s="950">
        <f t="shared" si="30"/>
        <v>46</v>
      </c>
      <c r="F260" s="161">
        <v>46.0</v>
      </c>
      <c r="G260" s="2" t="s">
        <v>3993</v>
      </c>
      <c r="I260" s="847"/>
    </row>
    <row r="261">
      <c r="A261" s="265"/>
      <c r="B261" s="950" t="str">
        <f t="shared" si="30"/>
        <v/>
      </c>
      <c r="C261" s="2">
        <v>14068.0</v>
      </c>
      <c r="F261" s="161"/>
      <c r="G261" s="2" t="s">
        <v>3445</v>
      </c>
      <c r="I261" s="847"/>
    </row>
    <row r="262">
      <c r="A262" s="265"/>
      <c r="B262" s="950" t="str">
        <f t="shared" si="30"/>
        <v/>
      </c>
      <c r="D262" s="2">
        <v>500.0</v>
      </c>
      <c r="F262" s="161"/>
      <c r="G262" s="2" t="s">
        <v>3994</v>
      </c>
      <c r="H262" s="552"/>
      <c r="I262" s="847"/>
    </row>
    <row r="263">
      <c r="A263" s="265"/>
      <c r="B263" s="950">
        <f t="shared" si="30"/>
        <v>2520</v>
      </c>
      <c r="F263" s="161">
        <v>2520.0</v>
      </c>
      <c r="G263" s="2" t="s">
        <v>3995</v>
      </c>
      <c r="I263" s="847"/>
    </row>
    <row r="264">
      <c r="A264" s="265"/>
      <c r="B264" s="950">
        <f t="shared" si="30"/>
        <v>638</v>
      </c>
      <c r="F264" s="161">
        <v>638.0</v>
      </c>
      <c r="G264" s="2" t="s">
        <v>3808</v>
      </c>
      <c r="I264" s="847"/>
    </row>
    <row r="265">
      <c r="A265" s="265"/>
      <c r="B265" s="950" t="str">
        <f t="shared" si="30"/>
        <v/>
      </c>
      <c r="F265" s="161"/>
      <c r="I265" s="847"/>
    </row>
    <row r="266">
      <c r="A266" s="265"/>
      <c r="B266" s="950" t="str">
        <f t="shared" si="30"/>
        <v/>
      </c>
      <c r="F266" s="161"/>
      <c r="I266" s="847"/>
    </row>
    <row r="267">
      <c r="A267" s="265"/>
      <c r="B267" s="950" t="str">
        <f t="shared" si="30"/>
        <v/>
      </c>
      <c r="F267" s="161"/>
      <c r="I267" s="847"/>
    </row>
    <row r="268">
      <c r="A268" s="270"/>
      <c r="B268" s="194">
        <f>SUM(B259:B267)</f>
        <v>4798</v>
      </c>
      <c r="C268" s="18"/>
      <c r="D268" s="18"/>
      <c r="E268" s="18"/>
      <c r="F268" s="952"/>
      <c r="G268" s="18"/>
      <c r="H268" s="18"/>
      <c r="I268" s="663"/>
    </row>
    <row r="269">
      <c r="A269" s="305">
        <v>44070.0</v>
      </c>
      <c r="B269" s="948">
        <f t="shared" ref="B269:B277" si="31">F269</f>
        <v>623</v>
      </c>
      <c r="C269" s="242"/>
      <c r="D269" s="242"/>
      <c r="E269" s="242"/>
      <c r="F269" s="949">
        <v>623.0</v>
      </c>
      <c r="G269" s="244" t="s">
        <v>708</v>
      </c>
      <c r="H269" s="244"/>
      <c r="I269" s="662"/>
    </row>
    <row r="270">
      <c r="A270" s="265"/>
      <c r="B270" s="950">
        <f t="shared" si="31"/>
        <v>8000</v>
      </c>
      <c r="F270" s="161">
        <v>8000.0</v>
      </c>
      <c r="G270" s="2" t="s">
        <v>3996</v>
      </c>
      <c r="I270" s="847"/>
    </row>
    <row r="271">
      <c r="A271" s="265"/>
      <c r="B271" s="950">
        <f t="shared" si="31"/>
        <v>200</v>
      </c>
      <c r="F271" s="161">
        <v>200.0</v>
      </c>
      <c r="G271" s="2" t="s">
        <v>346</v>
      </c>
      <c r="I271" s="847"/>
    </row>
    <row r="272">
      <c r="A272" s="265"/>
      <c r="B272" s="950">
        <f t="shared" si="31"/>
        <v>300</v>
      </c>
      <c r="F272" s="161">
        <v>300.0</v>
      </c>
      <c r="G272" s="2" t="s">
        <v>3362</v>
      </c>
      <c r="H272" s="552"/>
      <c r="I272" s="847"/>
    </row>
    <row r="273">
      <c r="A273" s="265"/>
      <c r="B273" s="950" t="str">
        <f t="shared" si="31"/>
        <v/>
      </c>
      <c r="F273" s="161"/>
      <c r="I273" s="847"/>
    </row>
    <row r="274">
      <c r="A274" s="265"/>
      <c r="B274" s="950" t="str">
        <f t="shared" si="31"/>
        <v/>
      </c>
      <c r="F274" s="161"/>
      <c r="I274" s="847"/>
    </row>
    <row r="275">
      <c r="A275" s="265"/>
      <c r="B275" s="950" t="str">
        <f t="shared" si="31"/>
        <v/>
      </c>
      <c r="F275" s="161"/>
      <c r="I275" s="847"/>
    </row>
    <row r="276">
      <c r="A276" s="265"/>
      <c r="B276" s="950" t="str">
        <f t="shared" si="31"/>
        <v/>
      </c>
      <c r="F276" s="161"/>
      <c r="I276" s="847"/>
    </row>
    <row r="277">
      <c r="A277" s="265"/>
      <c r="B277" s="950" t="str">
        <f t="shared" si="31"/>
        <v/>
      </c>
      <c r="F277" s="161"/>
      <c r="I277" s="847"/>
    </row>
    <row r="278">
      <c r="A278" s="270"/>
      <c r="B278" s="194">
        <f>SUM(B269:B277)</f>
        <v>9123</v>
      </c>
      <c r="C278" s="18"/>
      <c r="D278" s="18"/>
      <c r="E278" s="18"/>
      <c r="F278" s="952"/>
      <c r="G278" s="18"/>
      <c r="H278" s="18"/>
      <c r="I278" s="663"/>
    </row>
    <row r="279">
      <c r="A279" s="305">
        <v>44071.0</v>
      </c>
      <c r="B279" s="948">
        <f t="shared" ref="B279:B287" si="32">F279</f>
        <v>1539.33</v>
      </c>
      <c r="C279" s="242"/>
      <c r="D279" s="242"/>
      <c r="E279" s="242"/>
      <c r="F279" s="949">
        <f>1461.54+77.79</f>
        <v>1539.33</v>
      </c>
      <c r="G279" s="244" t="s">
        <v>314</v>
      </c>
      <c r="H279" s="244"/>
      <c r="I279" s="662"/>
    </row>
    <row r="280">
      <c r="A280" s="265"/>
      <c r="B280" s="950">
        <f t="shared" si="32"/>
        <v>2000</v>
      </c>
      <c r="F280" s="161">
        <v>2000.0</v>
      </c>
      <c r="G280" s="2" t="s">
        <v>64</v>
      </c>
      <c r="I280" s="847"/>
    </row>
    <row r="281">
      <c r="A281" s="265"/>
      <c r="B281" s="950">
        <f t="shared" si="32"/>
        <v>1449</v>
      </c>
      <c r="F281" s="161">
        <v>1449.0</v>
      </c>
      <c r="G281" s="2" t="s">
        <v>3821</v>
      </c>
      <c r="I281" s="847"/>
    </row>
    <row r="282">
      <c r="A282" s="265"/>
      <c r="B282" s="950">
        <f t="shared" si="32"/>
        <v>2731</v>
      </c>
      <c r="F282" s="161">
        <v>2731.0</v>
      </c>
      <c r="G282" s="2" t="s">
        <v>3003</v>
      </c>
      <c r="I282" s="847"/>
    </row>
    <row r="283">
      <c r="A283" s="265"/>
      <c r="B283" s="950" t="str">
        <f t="shared" si="32"/>
        <v/>
      </c>
      <c r="C283" s="2">
        <v>12690.0</v>
      </c>
      <c r="F283" s="161"/>
      <c r="G283" s="2" t="s">
        <v>3997</v>
      </c>
      <c r="I283" s="847"/>
    </row>
    <row r="284">
      <c r="A284" s="265"/>
      <c r="B284" s="950">
        <f t="shared" si="32"/>
        <v>4250</v>
      </c>
      <c r="F284" s="161">
        <v>4250.0</v>
      </c>
      <c r="G284" s="2" t="s">
        <v>3998</v>
      </c>
      <c r="H284" s="552"/>
      <c r="I284" s="847"/>
    </row>
    <row r="285">
      <c r="A285" s="265"/>
      <c r="B285" s="950">
        <f t="shared" si="32"/>
        <v>5800</v>
      </c>
      <c r="F285" s="161">
        <v>5800.0</v>
      </c>
      <c r="G285" s="2" t="s">
        <v>3999</v>
      </c>
      <c r="H285" s="552"/>
      <c r="I285" s="847"/>
    </row>
    <row r="286">
      <c r="A286" s="265"/>
      <c r="B286" s="950">
        <f t="shared" si="32"/>
        <v>8000</v>
      </c>
      <c r="F286" s="161">
        <v>8000.0</v>
      </c>
      <c r="G286" s="2" t="s">
        <v>4000</v>
      </c>
      <c r="H286" s="552"/>
      <c r="I286" s="847"/>
    </row>
    <row r="287">
      <c r="A287" s="265"/>
      <c r="B287" s="950" t="str">
        <f t="shared" si="32"/>
        <v/>
      </c>
      <c r="F287" s="161"/>
      <c r="I287" s="847"/>
    </row>
    <row r="288">
      <c r="A288" s="270"/>
      <c r="B288" s="194">
        <f>SUM(B279:B287)</f>
        <v>25769.33</v>
      </c>
      <c r="C288" s="18"/>
      <c r="D288" s="18"/>
      <c r="E288" s="18"/>
      <c r="F288" s="952"/>
      <c r="G288" s="18"/>
      <c r="H288" s="18"/>
      <c r="I288" s="663"/>
    </row>
    <row r="289">
      <c r="A289" s="305">
        <v>44072.0</v>
      </c>
      <c r="B289" s="948">
        <f t="shared" ref="B289:B297" si="33">F289</f>
        <v>2700</v>
      </c>
      <c r="C289" s="242"/>
      <c r="D289" s="242"/>
      <c r="E289" s="244"/>
      <c r="F289" s="949">
        <v>2700.0</v>
      </c>
      <c r="G289" s="244" t="s">
        <v>4001</v>
      </c>
      <c r="H289" s="962"/>
      <c r="I289" s="662"/>
    </row>
    <row r="290">
      <c r="A290" s="265"/>
      <c r="B290" s="950">
        <f t="shared" si="33"/>
        <v>6050</v>
      </c>
      <c r="F290" s="161">
        <v>6050.0</v>
      </c>
      <c r="G290" s="2" t="s">
        <v>4002</v>
      </c>
      <c r="H290" s="552"/>
      <c r="I290" s="847"/>
    </row>
    <row r="291">
      <c r="A291" s="265"/>
      <c r="B291" s="950">
        <f t="shared" si="33"/>
        <v>5800</v>
      </c>
      <c r="F291" s="161">
        <v>5800.0</v>
      </c>
      <c r="G291" s="2" t="s">
        <v>4003</v>
      </c>
      <c r="H291" s="552"/>
      <c r="I291" s="847"/>
    </row>
    <row r="292">
      <c r="A292" s="265"/>
      <c r="B292" s="950">
        <f t="shared" si="33"/>
        <v>1350</v>
      </c>
      <c r="F292" s="161">
        <v>1350.0</v>
      </c>
      <c r="G292" s="2" t="s">
        <v>139</v>
      </c>
      <c r="I292" s="847"/>
    </row>
    <row r="293">
      <c r="A293" s="265"/>
      <c r="B293" s="950">
        <f t="shared" si="33"/>
        <v>1431</v>
      </c>
      <c r="F293" s="161">
        <v>1431.0</v>
      </c>
      <c r="G293" s="2" t="s">
        <v>708</v>
      </c>
      <c r="I293" s="847"/>
    </row>
    <row r="294">
      <c r="A294" s="265"/>
      <c r="B294" s="950">
        <f t="shared" si="33"/>
        <v>518</v>
      </c>
      <c r="F294" s="161">
        <v>518.0</v>
      </c>
      <c r="G294" s="2" t="s">
        <v>708</v>
      </c>
      <c r="I294" s="847"/>
    </row>
    <row r="295">
      <c r="A295" s="265"/>
      <c r="B295" s="950">
        <f t="shared" si="33"/>
        <v>1322</v>
      </c>
      <c r="F295" s="161">
        <v>1322.0</v>
      </c>
      <c r="G295" s="2" t="s">
        <v>3237</v>
      </c>
      <c r="I295" s="847"/>
    </row>
    <row r="296">
      <c r="A296" s="265"/>
      <c r="B296" s="950">
        <f t="shared" si="33"/>
        <v>3150</v>
      </c>
      <c r="F296" s="161">
        <v>3150.0</v>
      </c>
      <c r="G296" s="2" t="s">
        <v>4004</v>
      </c>
      <c r="I296" s="847"/>
    </row>
    <row r="297">
      <c r="A297" s="265"/>
      <c r="B297" s="950" t="str">
        <f t="shared" si="33"/>
        <v/>
      </c>
      <c r="F297" s="161"/>
      <c r="I297" s="847"/>
    </row>
    <row r="298">
      <c r="A298" s="270"/>
      <c r="B298" s="194">
        <f>SUM(B289:B297)</f>
        <v>22321</v>
      </c>
      <c r="C298" s="18"/>
      <c r="D298" s="18"/>
      <c r="E298" s="18"/>
      <c r="F298" s="952"/>
      <c r="G298" s="18"/>
      <c r="H298" s="18"/>
      <c r="I298" s="663"/>
    </row>
    <row r="299">
      <c r="A299" s="305">
        <v>44073.0</v>
      </c>
      <c r="B299" s="948">
        <f t="shared" ref="B299:B307" si="34">F299</f>
        <v>60</v>
      </c>
      <c r="C299" s="242"/>
      <c r="D299" s="242"/>
      <c r="E299" s="244"/>
      <c r="F299" s="949">
        <v>60.0</v>
      </c>
      <c r="G299" s="244" t="s">
        <v>314</v>
      </c>
      <c r="H299" s="244"/>
      <c r="I299" s="662"/>
    </row>
    <row r="300">
      <c r="A300" s="265"/>
      <c r="B300" s="950">
        <f t="shared" si="34"/>
        <v>8500</v>
      </c>
      <c r="F300" s="161">
        <v>8500.0</v>
      </c>
      <c r="G300" s="2" t="s">
        <v>2787</v>
      </c>
      <c r="H300" s="552"/>
      <c r="I300" s="847"/>
    </row>
    <row r="301">
      <c r="A301" s="265"/>
      <c r="B301" s="950">
        <f t="shared" si="34"/>
        <v>7250</v>
      </c>
      <c r="F301" s="161">
        <v>7250.0</v>
      </c>
      <c r="G301" s="2" t="s">
        <v>3845</v>
      </c>
      <c r="H301" s="552"/>
      <c r="I301" s="847"/>
    </row>
    <row r="302">
      <c r="A302" s="265"/>
      <c r="B302" s="950" t="str">
        <f t="shared" si="34"/>
        <v/>
      </c>
      <c r="F302" s="161"/>
      <c r="I302" s="847"/>
    </row>
    <row r="303">
      <c r="A303" s="265"/>
      <c r="B303" s="950" t="str">
        <f t="shared" si="34"/>
        <v/>
      </c>
      <c r="F303" s="161"/>
      <c r="I303" s="847"/>
    </row>
    <row r="304">
      <c r="A304" s="265"/>
      <c r="B304" s="950" t="str">
        <f t="shared" si="34"/>
        <v/>
      </c>
      <c r="F304" s="161"/>
      <c r="I304" s="847"/>
    </row>
    <row r="305">
      <c r="A305" s="265"/>
      <c r="B305" s="950" t="str">
        <f t="shared" si="34"/>
        <v/>
      </c>
      <c r="F305" s="161"/>
      <c r="I305" s="847"/>
    </row>
    <row r="306">
      <c r="A306" s="265"/>
      <c r="B306" s="950" t="str">
        <f t="shared" si="34"/>
        <v/>
      </c>
      <c r="F306" s="161"/>
      <c r="I306" s="847"/>
    </row>
    <row r="307">
      <c r="A307" s="265"/>
      <c r="B307" s="950" t="str">
        <f t="shared" si="34"/>
        <v/>
      </c>
      <c r="F307" s="161"/>
      <c r="I307" s="847"/>
    </row>
    <row r="308">
      <c r="A308" s="270"/>
      <c r="B308" s="194">
        <f>SUM(B299:B307)</f>
        <v>15810</v>
      </c>
      <c r="C308" s="18"/>
      <c r="D308" s="18"/>
      <c r="E308" s="18"/>
      <c r="F308" s="952"/>
      <c r="G308" s="18"/>
      <c r="H308" s="18"/>
      <c r="I308" s="663"/>
    </row>
    <row r="309">
      <c r="A309" s="305">
        <v>44074.0</v>
      </c>
      <c r="B309" s="948">
        <f t="shared" ref="B309:B317" si="35">F309</f>
        <v>1133</v>
      </c>
      <c r="C309" s="242"/>
      <c r="D309" s="242"/>
      <c r="E309" s="242"/>
      <c r="F309" s="949">
        <v>1133.0</v>
      </c>
      <c r="G309" s="244" t="s">
        <v>708</v>
      </c>
      <c r="H309" s="244"/>
      <c r="I309" s="662"/>
    </row>
    <row r="310">
      <c r="A310" s="265"/>
      <c r="B310" s="950">
        <f t="shared" si="35"/>
        <v>1277</v>
      </c>
      <c r="F310" s="161">
        <v>1277.0</v>
      </c>
      <c r="G310" s="2" t="s">
        <v>103</v>
      </c>
      <c r="I310" s="847"/>
    </row>
    <row r="311">
      <c r="A311" s="265"/>
      <c r="B311" s="950">
        <f t="shared" si="35"/>
        <v>173</v>
      </c>
      <c r="F311" s="161">
        <v>173.0</v>
      </c>
      <c r="G311" s="2" t="s">
        <v>708</v>
      </c>
      <c r="I311" s="847"/>
    </row>
    <row r="312">
      <c r="A312" s="265"/>
      <c r="B312" s="950">
        <f t="shared" si="35"/>
        <v>500</v>
      </c>
      <c r="F312" s="161">
        <v>500.0</v>
      </c>
      <c r="G312" s="2" t="s">
        <v>425</v>
      </c>
      <c r="I312" s="847"/>
    </row>
    <row r="313">
      <c r="A313" s="265"/>
      <c r="B313" s="950" t="str">
        <f t="shared" si="35"/>
        <v/>
      </c>
      <c r="D313" s="2">
        <v>4200.0</v>
      </c>
      <c r="F313" s="161"/>
      <c r="G313" s="2" t="s">
        <v>4005</v>
      </c>
      <c r="I313" s="847"/>
    </row>
    <row r="314">
      <c r="A314" s="265"/>
      <c r="B314" s="950" t="str">
        <f t="shared" si="35"/>
        <v/>
      </c>
      <c r="D314" s="2">
        <v>18150.0</v>
      </c>
      <c r="F314" s="161"/>
      <c r="G314" s="2" t="s">
        <v>4006</v>
      </c>
      <c r="I314" s="847"/>
    </row>
    <row r="315">
      <c r="A315" s="265"/>
      <c r="B315" s="950">
        <f t="shared" si="35"/>
        <v>2000</v>
      </c>
      <c r="F315" s="161">
        <v>2000.0</v>
      </c>
      <c r="G315" s="2" t="s">
        <v>4007</v>
      </c>
      <c r="H315" s="942"/>
      <c r="I315" s="847"/>
    </row>
    <row r="316">
      <c r="A316" s="265"/>
      <c r="B316" s="950">
        <f t="shared" si="35"/>
        <v>160</v>
      </c>
      <c r="F316" s="161">
        <v>160.0</v>
      </c>
      <c r="G316" s="2" t="s">
        <v>4008</v>
      </c>
      <c r="I316" s="847"/>
    </row>
    <row r="317">
      <c r="A317" s="265"/>
      <c r="B317" s="950">
        <f t="shared" si="35"/>
        <v>200</v>
      </c>
      <c r="F317" s="161">
        <v>200.0</v>
      </c>
      <c r="G317" s="2" t="s">
        <v>3078</v>
      </c>
      <c r="I317" s="847"/>
    </row>
    <row r="318">
      <c r="A318" s="270"/>
      <c r="B318" s="194">
        <f>SUM(B309:B317)</f>
        <v>5443</v>
      </c>
      <c r="C318" s="18"/>
      <c r="D318" s="18"/>
      <c r="E318" s="18"/>
      <c r="F318" s="952"/>
      <c r="G318" s="18"/>
      <c r="H318" s="18"/>
      <c r="I318" s="663"/>
    </row>
    <row r="322">
      <c r="C322">
        <f t="shared" ref="C322:D322" si="36">SUM(C2:C321)</f>
        <v>76013.84</v>
      </c>
      <c r="D322">
        <f t="shared" si="36"/>
        <v>113303.54</v>
      </c>
      <c r="F322" s="33">
        <f>SUM(F2:F321)</f>
        <v>419505.27</v>
      </c>
      <c r="I322">
        <f>SUM(C322:H322)</f>
        <v>608822.65</v>
      </c>
    </row>
  </sheetData>
  <mergeCells count="32">
    <mergeCell ref="G1:H1"/>
    <mergeCell ref="A2:A11"/>
    <mergeCell ref="A12:A21"/>
    <mergeCell ref="A22:A31"/>
    <mergeCell ref="A32:A41"/>
    <mergeCell ref="A42:A51"/>
    <mergeCell ref="A52:A62"/>
    <mergeCell ref="A63:A73"/>
    <mergeCell ref="A74:A85"/>
    <mergeCell ref="A86:A95"/>
    <mergeCell ref="A96:A105"/>
    <mergeCell ref="A106:A115"/>
    <mergeCell ref="A116:A125"/>
    <mergeCell ref="A126:A135"/>
    <mergeCell ref="A136:A145"/>
    <mergeCell ref="A146:A155"/>
    <mergeCell ref="A156:A165"/>
    <mergeCell ref="A166:A175"/>
    <mergeCell ref="A176:A185"/>
    <mergeCell ref="A186:A195"/>
    <mergeCell ref="A196:A205"/>
    <mergeCell ref="A279:A288"/>
    <mergeCell ref="A289:A298"/>
    <mergeCell ref="A299:A308"/>
    <mergeCell ref="A309:A318"/>
    <mergeCell ref="A206:A215"/>
    <mergeCell ref="A216:A228"/>
    <mergeCell ref="A229:A238"/>
    <mergeCell ref="A239:A248"/>
    <mergeCell ref="A249:A258"/>
    <mergeCell ref="A259:A268"/>
    <mergeCell ref="A269:A278"/>
  </mergeCell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5.38"/>
  </cols>
  <sheetData>
    <row r="1" ht="27.0" customHeight="1">
      <c r="A1" s="972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</row>
    <row r="2">
      <c r="A2" s="973">
        <v>44013.0</v>
      </c>
      <c r="B2" s="948" t="str">
        <f t="shared" ref="B2:B10" si="1">F2</f>
        <v/>
      </c>
      <c r="C2" s="242"/>
      <c r="D2" s="244">
        <v>17486.18</v>
      </c>
      <c r="E2" s="242"/>
      <c r="F2" s="949"/>
      <c r="G2" s="244" t="s">
        <v>2637</v>
      </c>
      <c r="H2" s="244"/>
      <c r="I2" s="662"/>
    </row>
    <row r="3">
      <c r="A3" s="265"/>
      <c r="B3" s="950" t="str">
        <f t="shared" si="1"/>
        <v/>
      </c>
      <c r="D3" s="2">
        <v>11000.84</v>
      </c>
      <c r="F3" s="161"/>
      <c r="G3" s="2" t="s">
        <v>951</v>
      </c>
      <c r="I3" s="847"/>
    </row>
    <row r="4">
      <c r="A4" s="265"/>
      <c r="B4" s="950">
        <f t="shared" si="1"/>
        <v>1382.82</v>
      </c>
      <c r="F4" s="161">
        <v>1382.82</v>
      </c>
      <c r="G4" s="2" t="s">
        <v>314</v>
      </c>
      <c r="I4" s="847"/>
    </row>
    <row r="5">
      <c r="A5" s="265"/>
      <c r="B5" s="950">
        <f t="shared" si="1"/>
        <v>2066.7</v>
      </c>
      <c r="F5" s="161">
        <v>2066.7</v>
      </c>
      <c r="G5" s="2" t="s">
        <v>4009</v>
      </c>
      <c r="I5" s="847"/>
    </row>
    <row r="6">
      <c r="A6" s="265"/>
      <c r="B6" s="950">
        <f t="shared" si="1"/>
        <v>3616</v>
      </c>
      <c r="F6" s="161">
        <v>3616.0</v>
      </c>
      <c r="G6" s="2" t="s">
        <v>4010</v>
      </c>
      <c r="I6" s="847"/>
    </row>
    <row r="7">
      <c r="A7" s="265"/>
      <c r="B7" s="950">
        <f t="shared" si="1"/>
        <v>500</v>
      </c>
      <c r="F7" s="161">
        <v>500.0</v>
      </c>
      <c r="G7" s="2" t="s">
        <v>4011</v>
      </c>
      <c r="H7" s="942"/>
      <c r="I7" s="847"/>
    </row>
    <row r="8">
      <c r="A8" s="265"/>
      <c r="B8" s="950">
        <f t="shared" si="1"/>
        <v>2900</v>
      </c>
      <c r="F8" s="161">
        <v>2900.0</v>
      </c>
      <c r="G8" s="2" t="s">
        <v>3222</v>
      </c>
      <c r="I8" s="847"/>
    </row>
    <row r="9">
      <c r="A9" s="265"/>
      <c r="B9" s="950">
        <f t="shared" si="1"/>
        <v>402</v>
      </c>
      <c r="F9" s="161">
        <v>402.0</v>
      </c>
      <c r="G9" s="2" t="s">
        <v>4012</v>
      </c>
      <c r="I9" s="847"/>
    </row>
    <row r="10">
      <c r="A10" s="265"/>
      <c r="B10" s="950" t="str">
        <f t="shared" si="1"/>
        <v/>
      </c>
      <c r="F10" s="161"/>
      <c r="I10" s="847"/>
    </row>
    <row r="11">
      <c r="A11" s="270"/>
      <c r="B11" s="194">
        <f>SUM(B2:B10)</f>
        <v>10867.52</v>
      </c>
      <c r="C11" s="18"/>
      <c r="D11" s="18"/>
      <c r="E11" s="18"/>
      <c r="F11" s="952"/>
      <c r="G11" s="18"/>
      <c r="H11" s="18"/>
      <c r="I11" s="663"/>
    </row>
    <row r="12">
      <c r="A12" s="973">
        <v>44014.0</v>
      </c>
      <c r="B12" s="948">
        <f t="shared" ref="B12:B20" si="2">F12</f>
        <v>1218</v>
      </c>
      <c r="C12" s="242"/>
      <c r="D12" s="242"/>
      <c r="E12" s="242"/>
      <c r="F12" s="949">
        <v>1218.0</v>
      </c>
      <c r="G12" s="244" t="s">
        <v>314</v>
      </c>
      <c r="H12" s="244"/>
      <c r="I12" s="662"/>
    </row>
    <row r="13">
      <c r="A13" s="265"/>
      <c r="B13" s="950">
        <f t="shared" si="2"/>
        <v>2000</v>
      </c>
      <c r="F13" s="161">
        <v>2000.0</v>
      </c>
      <c r="G13" s="2" t="s">
        <v>64</v>
      </c>
      <c r="I13" s="847"/>
    </row>
    <row r="14">
      <c r="A14" s="265"/>
      <c r="B14" s="950">
        <f t="shared" si="2"/>
        <v>1305</v>
      </c>
      <c r="F14" s="161">
        <v>1305.0</v>
      </c>
      <c r="G14" s="2" t="s">
        <v>4013</v>
      </c>
      <c r="I14" s="847"/>
    </row>
    <row r="15">
      <c r="A15" s="265"/>
      <c r="B15" s="950">
        <f t="shared" si="2"/>
        <v>2800</v>
      </c>
      <c r="F15" s="161">
        <v>2800.0</v>
      </c>
      <c r="G15" s="2" t="s">
        <v>4014</v>
      </c>
      <c r="I15" s="847"/>
    </row>
    <row r="16">
      <c r="A16" s="265"/>
      <c r="B16" s="950">
        <f t="shared" si="2"/>
        <v>80</v>
      </c>
      <c r="F16" s="161">
        <v>80.0</v>
      </c>
      <c r="G16" s="2" t="s">
        <v>4015</v>
      </c>
      <c r="I16" s="847"/>
    </row>
    <row r="17">
      <c r="A17" s="265"/>
      <c r="B17" s="950" t="str">
        <f t="shared" si="2"/>
        <v/>
      </c>
      <c r="F17" s="161"/>
      <c r="I17" s="847"/>
    </row>
    <row r="18">
      <c r="A18" s="265"/>
      <c r="B18" s="950" t="str">
        <f t="shared" si="2"/>
        <v/>
      </c>
      <c r="F18" s="161"/>
      <c r="I18" s="847"/>
    </row>
    <row r="19">
      <c r="A19" s="265"/>
      <c r="B19" s="950" t="str">
        <f t="shared" si="2"/>
        <v/>
      </c>
      <c r="F19" s="161"/>
      <c r="I19" s="847"/>
    </row>
    <row r="20">
      <c r="A20" s="265"/>
      <c r="B20" s="950" t="str">
        <f t="shared" si="2"/>
        <v/>
      </c>
      <c r="F20" s="161"/>
      <c r="I20" s="847"/>
    </row>
    <row r="21">
      <c r="A21" s="270"/>
      <c r="B21" s="194">
        <f>SUM(B12:B20)</f>
        <v>7403</v>
      </c>
      <c r="C21" s="18"/>
      <c r="D21" s="18"/>
      <c r="E21" s="18"/>
      <c r="F21" s="952"/>
      <c r="G21" s="18"/>
      <c r="H21" s="18"/>
      <c r="I21" s="663"/>
    </row>
    <row r="22">
      <c r="A22" s="973">
        <v>44015.0</v>
      </c>
      <c r="B22" s="948">
        <f t="shared" ref="B22:B30" si="3">F22</f>
        <v>603</v>
      </c>
      <c r="C22" s="242"/>
      <c r="D22" s="242"/>
      <c r="E22" s="242"/>
      <c r="F22" s="949">
        <v>603.0</v>
      </c>
      <c r="G22" s="244" t="s">
        <v>329</v>
      </c>
      <c r="H22" s="244"/>
      <c r="I22" s="662"/>
    </row>
    <row r="23">
      <c r="A23" s="265"/>
      <c r="B23" s="950">
        <f t="shared" si="3"/>
        <v>40</v>
      </c>
      <c r="F23" s="161">
        <v>40.0</v>
      </c>
      <c r="G23" s="2" t="s">
        <v>547</v>
      </c>
      <c r="I23" s="847"/>
    </row>
    <row r="24">
      <c r="A24" s="265"/>
      <c r="B24" s="950" t="str">
        <f t="shared" si="3"/>
        <v/>
      </c>
      <c r="D24" s="2">
        <v>9500.0</v>
      </c>
      <c r="F24" s="161"/>
      <c r="G24" s="2" t="s">
        <v>4016</v>
      </c>
      <c r="I24" s="847"/>
    </row>
    <row r="25">
      <c r="A25" s="265"/>
      <c r="B25" s="950">
        <f t="shared" si="3"/>
        <v>2660</v>
      </c>
      <c r="F25" s="161">
        <v>2660.0</v>
      </c>
      <c r="G25" s="2" t="s">
        <v>4017</v>
      </c>
      <c r="I25" s="847"/>
    </row>
    <row r="26">
      <c r="A26" s="265"/>
      <c r="B26" s="950">
        <f t="shared" si="3"/>
        <v>2500</v>
      </c>
      <c r="F26" s="161">
        <v>2500.0</v>
      </c>
      <c r="G26" s="2" t="s">
        <v>764</v>
      </c>
      <c r="H26" s="552"/>
      <c r="I26" s="847"/>
    </row>
    <row r="27">
      <c r="A27" s="265"/>
      <c r="B27" s="950" t="str">
        <f t="shared" si="3"/>
        <v/>
      </c>
      <c r="F27" s="161"/>
      <c r="I27" s="847"/>
    </row>
    <row r="28">
      <c r="A28" s="265"/>
      <c r="B28" s="950" t="str">
        <f t="shared" si="3"/>
        <v/>
      </c>
      <c r="F28" s="161"/>
      <c r="I28" s="847"/>
    </row>
    <row r="29">
      <c r="A29" s="265"/>
      <c r="B29" s="950" t="str">
        <f t="shared" si="3"/>
        <v/>
      </c>
      <c r="F29" s="161"/>
      <c r="I29" s="847"/>
    </row>
    <row r="30">
      <c r="A30" s="265"/>
      <c r="B30" s="950" t="str">
        <f t="shared" si="3"/>
        <v/>
      </c>
      <c r="F30" s="161"/>
      <c r="I30" s="847"/>
    </row>
    <row r="31">
      <c r="A31" s="270"/>
      <c r="B31" s="194">
        <f>SUM(B22:B30)</f>
        <v>5803</v>
      </c>
      <c r="C31" s="18"/>
      <c r="D31" s="18"/>
      <c r="E31" s="18"/>
      <c r="F31" s="952"/>
      <c r="G31" s="18"/>
      <c r="H31" s="18"/>
      <c r="I31" s="663"/>
    </row>
    <row r="32">
      <c r="A32" s="973">
        <v>44016.0</v>
      </c>
      <c r="B32" s="948">
        <f t="shared" ref="B32:B33" si="4">F32</f>
        <v>1208</v>
      </c>
      <c r="C32" s="242"/>
      <c r="D32" s="242"/>
      <c r="E32" s="242"/>
      <c r="F32" s="949">
        <v>1208.0</v>
      </c>
      <c r="G32" s="244" t="s">
        <v>314</v>
      </c>
      <c r="H32" s="244"/>
      <c r="I32" s="662"/>
    </row>
    <row r="33">
      <c r="A33" s="265"/>
      <c r="B33" s="950">
        <f t="shared" si="4"/>
        <v>380.73</v>
      </c>
      <c r="F33" s="161">
        <v>380.73</v>
      </c>
      <c r="G33" s="2" t="s">
        <v>4018</v>
      </c>
      <c r="I33" s="847"/>
    </row>
    <row r="34">
      <c r="A34" s="265"/>
      <c r="B34" s="950"/>
      <c r="F34" s="161">
        <v>603.0</v>
      </c>
      <c r="G34" s="2" t="s">
        <v>3911</v>
      </c>
      <c r="H34" s="942"/>
      <c r="I34" s="847"/>
    </row>
    <row r="35">
      <c r="A35" s="265"/>
      <c r="B35" s="950">
        <f t="shared" ref="B35:B41" si="5">F35</f>
        <v>8500</v>
      </c>
      <c r="F35" s="161">
        <v>8500.0</v>
      </c>
      <c r="G35" s="2" t="s">
        <v>2787</v>
      </c>
      <c r="H35" s="942"/>
      <c r="I35" s="847"/>
    </row>
    <row r="36">
      <c r="A36" s="265"/>
      <c r="B36" s="950">
        <f t="shared" si="5"/>
        <v>5250</v>
      </c>
      <c r="F36" s="161">
        <v>5250.0</v>
      </c>
      <c r="G36" s="2" t="s">
        <v>3812</v>
      </c>
      <c r="H36" s="942"/>
      <c r="I36" s="847"/>
    </row>
    <row r="37">
      <c r="A37" s="265"/>
      <c r="B37" s="950">
        <f t="shared" si="5"/>
        <v>5800</v>
      </c>
      <c r="F37" s="161">
        <v>5800.0</v>
      </c>
      <c r="G37" s="2" t="s">
        <v>3848</v>
      </c>
      <c r="H37" s="942"/>
      <c r="I37" s="847"/>
    </row>
    <row r="38">
      <c r="A38" s="265"/>
      <c r="B38" s="950">
        <f t="shared" si="5"/>
        <v>6050</v>
      </c>
      <c r="F38" s="161">
        <v>6050.0</v>
      </c>
      <c r="G38" s="2" t="s">
        <v>3811</v>
      </c>
      <c r="H38" s="942"/>
      <c r="I38" s="847"/>
    </row>
    <row r="39">
      <c r="A39" s="265"/>
      <c r="B39" s="950">
        <f t="shared" si="5"/>
        <v>7750</v>
      </c>
      <c r="F39" s="161">
        <v>7750.0</v>
      </c>
      <c r="G39" s="2" t="s">
        <v>3815</v>
      </c>
      <c r="H39" s="84">
        <v>750.0</v>
      </c>
      <c r="I39" s="963" t="s">
        <v>4019</v>
      </c>
    </row>
    <row r="40">
      <c r="A40" s="265"/>
      <c r="B40" s="950">
        <f t="shared" si="5"/>
        <v>7250</v>
      </c>
      <c r="F40" s="161">
        <v>7250.0</v>
      </c>
      <c r="G40" s="2" t="s">
        <v>3810</v>
      </c>
      <c r="H40" s="942"/>
      <c r="I40" s="847"/>
    </row>
    <row r="41">
      <c r="A41" s="265"/>
      <c r="B41" s="950">
        <f t="shared" si="5"/>
        <v>1050</v>
      </c>
      <c r="F41" s="161">
        <f>5800-H41</f>
        <v>1050</v>
      </c>
      <c r="G41" s="2" t="s">
        <v>3847</v>
      </c>
      <c r="H41" s="84">
        <v>4750.0</v>
      </c>
      <c r="I41" s="847"/>
    </row>
    <row r="42">
      <c r="A42" s="270"/>
      <c r="B42" s="194">
        <f>SUM(B32:B41)</f>
        <v>43238.73</v>
      </c>
      <c r="C42" s="18"/>
      <c r="D42" s="18"/>
      <c r="E42" s="18"/>
      <c r="F42" s="952"/>
      <c r="G42" s="18"/>
      <c r="H42" s="18"/>
      <c r="I42" s="663"/>
    </row>
    <row r="43">
      <c r="A43" s="973">
        <v>44017.0</v>
      </c>
      <c r="B43" s="948">
        <f t="shared" ref="B43:B51" si="6">F43</f>
        <v>577.99</v>
      </c>
      <c r="C43" s="242"/>
      <c r="D43" s="242"/>
      <c r="E43" s="242"/>
      <c r="F43" s="949">
        <v>577.99</v>
      </c>
      <c r="G43" s="244" t="s">
        <v>4020</v>
      </c>
      <c r="H43" s="244"/>
      <c r="I43" s="662"/>
    </row>
    <row r="44">
      <c r="A44" s="265"/>
      <c r="B44" s="950">
        <f t="shared" si="6"/>
        <v>2000</v>
      </c>
      <c r="F44" s="161">
        <v>2000.0</v>
      </c>
      <c r="G44" s="2" t="s">
        <v>3717</v>
      </c>
      <c r="I44" s="847"/>
    </row>
    <row r="45">
      <c r="A45" s="265"/>
      <c r="B45" s="950" t="str">
        <f t="shared" si="6"/>
        <v/>
      </c>
      <c r="F45" s="161"/>
      <c r="I45" s="847"/>
    </row>
    <row r="46">
      <c r="A46" s="265"/>
      <c r="B46" s="950" t="str">
        <f t="shared" si="6"/>
        <v/>
      </c>
      <c r="F46" s="161"/>
      <c r="I46" s="847"/>
    </row>
    <row r="47">
      <c r="A47" s="265"/>
      <c r="B47" s="950" t="str">
        <f t="shared" si="6"/>
        <v/>
      </c>
      <c r="F47" s="161"/>
      <c r="I47" s="847"/>
    </row>
    <row r="48">
      <c r="A48" s="265"/>
      <c r="B48" s="950" t="str">
        <f t="shared" si="6"/>
        <v/>
      </c>
      <c r="F48" s="161"/>
      <c r="I48" s="847"/>
    </row>
    <row r="49">
      <c r="A49" s="265"/>
      <c r="B49" s="950" t="str">
        <f t="shared" si="6"/>
        <v/>
      </c>
      <c r="F49" s="161"/>
      <c r="I49" s="847"/>
    </row>
    <row r="50">
      <c r="A50" s="265"/>
      <c r="B50" s="950" t="str">
        <f t="shared" si="6"/>
        <v/>
      </c>
      <c r="F50" s="161"/>
      <c r="I50" s="847"/>
    </row>
    <row r="51">
      <c r="A51" s="265"/>
      <c r="B51" s="950" t="str">
        <f t="shared" si="6"/>
        <v/>
      </c>
      <c r="F51" s="161"/>
      <c r="I51" s="847"/>
    </row>
    <row r="52">
      <c r="A52" s="270"/>
      <c r="B52" s="194">
        <f>SUM(B43:B51)</f>
        <v>2577.99</v>
      </c>
      <c r="C52" s="18"/>
      <c r="D52" s="18"/>
      <c r="E52" s="18"/>
      <c r="F52" s="952"/>
      <c r="G52" s="18"/>
      <c r="H52" s="18"/>
      <c r="I52" s="663"/>
    </row>
    <row r="53">
      <c r="A53" s="973">
        <v>44018.0</v>
      </c>
      <c r="B53" s="948">
        <f t="shared" ref="B53:B61" si="7">F53</f>
        <v>966</v>
      </c>
      <c r="C53" s="242"/>
      <c r="D53" s="242"/>
      <c r="E53" s="242"/>
      <c r="F53" s="949">
        <f>650+316</f>
        <v>966</v>
      </c>
      <c r="G53" s="244" t="s">
        <v>4021</v>
      </c>
      <c r="H53" s="244"/>
      <c r="I53" s="662"/>
    </row>
    <row r="54">
      <c r="A54" s="265"/>
      <c r="B54" s="950">
        <f t="shared" si="7"/>
        <v>200</v>
      </c>
      <c r="F54" s="161">
        <v>200.0</v>
      </c>
      <c r="G54" s="2" t="s">
        <v>4022</v>
      </c>
      <c r="I54" s="847"/>
    </row>
    <row r="55">
      <c r="A55" s="265"/>
      <c r="B55" s="950">
        <f t="shared" si="7"/>
        <v>402</v>
      </c>
      <c r="F55" s="161">
        <v>402.0</v>
      </c>
      <c r="G55" s="2" t="s">
        <v>3911</v>
      </c>
      <c r="I55" s="847"/>
    </row>
    <row r="56">
      <c r="A56" s="265"/>
      <c r="B56" s="950">
        <f t="shared" si="7"/>
        <v>2000</v>
      </c>
      <c r="F56" s="161">
        <v>2000.0</v>
      </c>
      <c r="G56" s="2" t="s">
        <v>3731</v>
      </c>
      <c r="I56" s="847"/>
    </row>
    <row r="57">
      <c r="A57" s="265"/>
      <c r="B57" s="950" t="str">
        <f t="shared" si="7"/>
        <v/>
      </c>
      <c r="F57" s="161"/>
      <c r="I57" s="847"/>
    </row>
    <row r="58">
      <c r="A58" s="265"/>
      <c r="B58" s="950" t="str">
        <f t="shared" si="7"/>
        <v/>
      </c>
      <c r="F58" s="161"/>
      <c r="I58" s="847"/>
    </row>
    <row r="59">
      <c r="A59" s="265"/>
      <c r="B59" s="950" t="str">
        <f t="shared" si="7"/>
        <v/>
      </c>
      <c r="F59" s="161"/>
      <c r="I59" s="847"/>
    </row>
    <row r="60">
      <c r="A60" s="265"/>
      <c r="B60" s="950" t="str">
        <f t="shared" si="7"/>
        <v/>
      </c>
      <c r="F60" s="161"/>
      <c r="I60" s="847"/>
    </row>
    <row r="61">
      <c r="A61" s="265"/>
      <c r="B61" s="950" t="str">
        <f t="shared" si="7"/>
        <v/>
      </c>
      <c r="F61" s="161"/>
      <c r="I61" s="847"/>
    </row>
    <row r="62">
      <c r="A62" s="270"/>
      <c r="B62" s="194">
        <f>SUM(B53:B61)</f>
        <v>3568</v>
      </c>
      <c r="C62" s="18"/>
      <c r="D62" s="18"/>
      <c r="E62" s="18"/>
      <c r="F62" s="952"/>
      <c r="G62" s="18"/>
      <c r="H62" s="18"/>
      <c r="I62" s="663"/>
    </row>
    <row r="63">
      <c r="A63" s="973">
        <v>44019.0</v>
      </c>
      <c r="B63" s="948">
        <f t="shared" ref="B63:B71" si="8">F63</f>
        <v>5130</v>
      </c>
      <c r="C63" s="242"/>
      <c r="D63" s="242"/>
      <c r="E63" s="242"/>
      <c r="F63" s="949">
        <v>5130.0</v>
      </c>
      <c r="G63" s="244" t="s">
        <v>3309</v>
      </c>
      <c r="H63" s="244"/>
      <c r="I63" s="662"/>
    </row>
    <row r="64">
      <c r="A64" s="265"/>
      <c r="B64" s="950">
        <f t="shared" si="8"/>
        <v>1721</v>
      </c>
      <c r="F64" s="161">
        <v>1721.0</v>
      </c>
      <c r="G64" s="2" t="s">
        <v>314</v>
      </c>
      <c r="I64" s="847"/>
    </row>
    <row r="65">
      <c r="A65" s="265"/>
      <c r="B65" s="950">
        <f t="shared" si="8"/>
        <v>430</v>
      </c>
      <c r="F65" s="161">
        <v>430.0</v>
      </c>
      <c r="G65" s="2" t="s">
        <v>3985</v>
      </c>
      <c r="I65" s="847"/>
    </row>
    <row r="66">
      <c r="A66" s="265"/>
      <c r="B66" s="950">
        <f t="shared" si="8"/>
        <v>1740</v>
      </c>
      <c r="F66" s="161">
        <v>1740.0</v>
      </c>
      <c r="G66" s="2" t="s">
        <v>4023</v>
      </c>
      <c r="I66" s="847"/>
    </row>
    <row r="67">
      <c r="A67" s="265"/>
      <c r="B67" s="950">
        <f t="shared" si="8"/>
        <v>1500</v>
      </c>
      <c r="F67" s="161">
        <v>1500.0</v>
      </c>
      <c r="G67" s="2" t="s">
        <v>4024</v>
      </c>
      <c r="I67" s="847"/>
    </row>
    <row r="68">
      <c r="A68" s="265"/>
      <c r="B68" s="950">
        <f t="shared" si="8"/>
        <v>611</v>
      </c>
      <c r="F68" s="161">
        <v>611.0</v>
      </c>
      <c r="G68" s="2" t="s">
        <v>4025</v>
      </c>
      <c r="I68" s="847"/>
    </row>
    <row r="69">
      <c r="A69" s="265"/>
      <c r="B69" s="950">
        <f t="shared" si="8"/>
        <v>3150</v>
      </c>
      <c r="F69" s="161">
        <v>3150.0</v>
      </c>
      <c r="G69" s="2" t="s">
        <v>3920</v>
      </c>
      <c r="H69" s="778"/>
      <c r="I69" s="847"/>
    </row>
    <row r="70">
      <c r="A70" s="265"/>
      <c r="B70" s="950" t="str">
        <f t="shared" si="8"/>
        <v/>
      </c>
      <c r="F70" s="161"/>
      <c r="I70" s="847"/>
    </row>
    <row r="71">
      <c r="A71" s="265"/>
      <c r="B71" s="950" t="str">
        <f t="shared" si="8"/>
        <v/>
      </c>
      <c r="F71" s="161"/>
      <c r="I71" s="847"/>
    </row>
    <row r="72">
      <c r="A72" s="270"/>
      <c r="B72" s="194">
        <f>SUM(B63:B71)</f>
        <v>14282</v>
      </c>
      <c r="C72" s="18"/>
      <c r="D72" s="18"/>
      <c r="E72" s="18"/>
      <c r="F72" s="952"/>
      <c r="G72" s="18"/>
      <c r="H72" s="18"/>
      <c r="I72" s="663"/>
    </row>
    <row r="73">
      <c r="A73" s="973">
        <v>44020.0</v>
      </c>
      <c r="B73" s="948">
        <f t="shared" ref="B73:B81" si="9">F73</f>
        <v>2260</v>
      </c>
      <c r="C73" s="242"/>
      <c r="D73" s="242"/>
      <c r="E73" s="242"/>
      <c r="F73" s="949">
        <v>2260.0</v>
      </c>
      <c r="G73" s="244" t="s">
        <v>4026</v>
      </c>
      <c r="H73" s="244"/>
      <c r="I73" s="662"/>
    </row>
    <row r="74">
      <c r="A74" s="265"/>
      <c r="B74" s="950">
        <f t="shared" si="9"/>
        <v>3120</v>
      </c>
      <c r="F74" s="161">
        <v>3120.0</v>
      </c>
      <c r="G74" s="2" t="s">
        <v>4027</v>
      </c>
      <c r="I74" s="847"/>
    </row>
    <row r="75">
      <c r="A75" s="265"/>
      <c r="B75" s="950">
        <f t="shared" si="9"/>
        <v>1820</v>
      </c>
      <c r="F75" s="161">
        <v>1820.0</v>
      </c>
      <c r="G75" s="2" t="s">
        <v>3130</v>
      </c>
      <c r="I75" s="847"/>
    </row>
    <row r="76">
      <c r="A76" s="265"/>
      <c r="B76" s="950">
        <f t="shared" si="9"/>
        <v>2464</v>
      </c>
      <c r="F76" s="161">
        <v>2464.0</v>
      </c>
      <c r="G76" s="2" t="s">
        <v>405</v>
      </c>
      <c r="I76" s="847"/>
    </row>
    <row r="77">
      <c r="A77" s="265"/>
      <c r="B77" s="950" t="str">
        <f t="shared" si="9"/>
        <v/>
      </c>
      <c r="F77" s="161"/>
      <c r="I77" s="847"/>
    </row>
    <row r="78">
      <c r="A78" s="265"/>
      <c r="B78" s="950" t="str">
        <f t="shared" si="9"/>
        <v/>
      </c>
      <c r="F78" s="161"/>
      <c r="I78" s="847"/>
    </row>
    <row r="79">
      <c r="A79" s="265"/>
      <c r="B79" s="950" t="str">
        <f t="shared" si="9"/>
        <v/>
      </c>
      <c r="F79" s="161"/>
      <c r="I79" s="847"/>
    </row>
    <row r="80">
      <c r="A80" s="265"/>
      <c r="B80" s="950" t="str">
        <f t="shared" si="9"/>
        <v/>
      </c>
      <c r="F80" s="161"/>
      <c r="I80" s="847"/>
    </row>
    <row r="81">
      <c r="A81" s="265"/>
      <c r="B81" s="950" t="str">
        <f t="shared" si="9"/>
        <v/>
      </c>
      <c r="F81" s="161"/>
      <c r="I81" s="847"/>
    </row>
    <row r="82">
      <c r="A82" s="270"/>
      <c r="B82" s="194">
        <f>SUM(B73:B81)</f>
        <v>9664</v>
      </c>
      <c r="C82" s="18"/>
      <c r="D82" s="18"/>
      <c r="E82" s="18"/>
      <c r="F82" s="952"/>
      <c r="G82" s="18"/>
      <c r="H82" s="18"/>
      <c r="I82" s="663"/>
    </row>
    <row r="83">
      <c r="A83" s="973">
        <v>44021.0</v>
      </c>
      <c r="B83" s="948">
        <f t="shared" ref="B83:B91" si="10">F83</f>
        <v>821.87</v>
      </c>
      <c r="C83" s="242"/>
      <c r="D83" s="242"/>
      <c r="E83" s="242"/>
      <c r="F83" s="949">
        <v>821.87</v>
      </c>
      <c r="G83" s="244" t="s">
        <v>314</v>
      </c>
      <c r="H83" s="244"/>
      <c r="I83" s="662"/>
    </row>
    <row r="84">
      <c r="A84" s="265"/>
      <c r="B84" s="950">
        <f t="shared" si="10"/>
        <v>7000</v>
      </c>
      <c r="F84" s="161">
        <v>7000.0</v>
      </c>
      <c r="G84" s="2" t="s">
        <v>4028</v>
      </c>
      <c r="I84" s="847"/>
    </row>
    <row r="85">
      <c r="A85" s="265"/>
      <c r="B85" s="950" t="str">
        <f t="shared" si="10"/>
        <v/>
      </c>
      <c r="F85" s="161"/>
      <c r="I85" s="847"/>
    </row>
    <row r="86">
      <c r="A86" s="265"/>
      <c r="B86" s="950" t="str">
        <f t="shared" si="10"/>
        <v/>
      </c>
      <c r="F86" s="161"/>
      <c r="I86" s="847"/>
    </row>
    <row r="87">
      <c r="A87" s="265"/>
      <c r="B87" s="950" t="str">
        <f t="shared" si="10"/>
        <v/>
      </c>
      <c r="F87" s="161"/>
      <c r="I87" s="847"/>
    </row>
    <row r="88">
      <c r="A88" s="265"/>
      <c r="B88" s="950" t="str">
        <f t="shared" si="10"/>
        <v/>
      </c>
      <c r="F88" s="161"/>
      <c r="I88" s="847"/>
    </row>
    <row r="89">
      <c r="A89" s="265"/>
      <c r="B89" s="950" t="str">
        <f t="shared" si="10"/>
        <v/>
      </c>
      <c r="F89" s="161"/>
      <c r="I89" s="847"/>
    </row>
    <row r="90">
      <c r="A90" s="265"/>
      <c r="B90" s="950" t="str">
        <f t="shared" si="10"/>
        <v/>
      </c>
      <c r="F90" s="161"/>
      <c r="I90" s="847"/>
    </row>
    <row r="91">
      <c r="A91" s="265"/>
      <c r="B91" s="950" t="str">
        <f t="shared" si="10"/>
        <v/>
      </c>
      <c r="F91" s="161"/>
      <c r="I91" s="847"/>
    </row>
    <row r="92">
      <c r="A92" s="270"/>
      <c r="B92" s="194">
        <f>SUM(B83:B91)</f>
        <v>7821.87</v>
      </c>
      <c r="C92" s="18"/>
      <c r="D92" s="18"/>
      <c r="E92" s="18"/>
      <c r="F92" s="952"/>
      <c r="G92" s="18"/>
      <c r="H92" s="18"/>
      <c r="I92" s="663"/>
    </row>
    <row r="93">
      <c r="A93" s="973">
        <v>44022.0</v>
      </c>
      <c r="B93" s="948">
        <f t="shared" ref="B93:B101" si="11">F93</f>
        <v>80</v>
      </c>
      <c r="C93" s="242"/>
      <c r="D93" s="242"/>
      <c r="E93" s="242"/>
      <c r="F93" s="949">
        <v>80.0</v>
      </c>
      <c r="G93" s="244" t="s">
        <v>1732</v>
      </c>
      <c r="H93" s="244"/>
      <c r="I93" s="662"/>
    </row>
    <row r="94">
      <c r="A94" s="265"/>
      <c r="B94" s="950">
        <f t="shared" si="11"/>
        <v>400</v>
      </c>
      <c r="F94" s="161">
        <v>400.0</v>
      </c>
      <c r="G94" s="2" t="s">
        <v>1732</v>
      </c>
      <c r="I94" s="847"/>
    </row>
    <row r="95">
      <c r="A95" s="265"/>
      <c r="B95" s="950">
        <f t="shared" si="11"/>
        <v>483</v>
      </c>
      <c r="F95" s="161">
        <v>483.0</v>
      </c>
      <c r="G95" s="2" t="s">
        <v>3911</v>
      </c>
      <c r="I95" s="847"/>
    </row>
    <row r="96">
      <c r="A96" s="265"/>
      <c r="B96" s="950">
        <f t="shared" si="11"/>
        <v>1180</v>
      </c>
      <c r="F96" s="161">
        <v>1180.0</v>
      </c>
      <c r="G96" s="2" t="s">
        <v>314</v>
      </c>
      <c r="I96" s="847"/>
    </row>
    <row r="97">
      <c r="A97" s="265"/>
      <c r="B97" s="950">
        <f t="shared" si="11"/>
        <v>2000</v>
      </c>
      <c r="F97" s="161">
        <v>2000.0</v>
      </c>
      <c r="G97" s="2" t="s">
        <v>3717</v>
      </c>
      <c r="I97" s="847"/>
    </row>
    <row r="98">
      <c r="A98" s="265"/>
      <c r="B98" s="950" t="str">
        <f t="shared" si="11"/>
        <v/>
      </c>
      <c r="F98" s="161"/>
      <c r="I98" s="847"/>
    </row>
    <row r="99">
      <c r="A99" s="265"/>
      <c r="B99" s="950" t="str">
        <f t="shared" si="11"/>
        <v/>
      </c>
      <c r="F99" s="161"/>
      <c r="I99" s="847"/>
    </row>
    <row r="100">
      <c r="A100" s="265"/>
      <c r="B100" s="950" t="str">
        <f t="shared" si="11"/>
        <v/>
      </c>
      <c r="F100" s="161"/>
      <c r="I100" s="847"/>
    </row>
    <row r="101">
      <c r="A101" s="265"/>
      <c r="B101" s="950" t="str">
        <f t="shared" si="11"/>
        <v/>
      </c>
      <c r="F101" s="161"/>
      <c r="I101" s="847"/>
    </row>
    <row r="102">
      <c r="A102" s="270"/>
      <c r="B102" s="194">
        <f>SUM(B93:B101)</f>
        <v>4143</v>
      </c>
      <c r="C102" s="18"/>
      <c r="D102" s="18"/>
      <c r="E102" s="18"/>
      <c r="F102" s="952"/>
      <c r="G102" s="18"/>
      <c r="H102" s="18"/>
      <c r="I102" s="663"/>
    </row>
    <row r="103">
      <c r="A103" s="973">
        <v>44023.0</v>
      </c>
      <c r="B103" s="948">
        <f t="shared" ref="B103:B111" si="12">F103</f>
        <v>351.58</v>
      </c>
      <c r="C103" s="242"/>
      <c r="D103" s="242"/>
      <c r="E103" s="242"/>
      <c r="F103" s="949">
        <v>351.58</v>
      </c>
      <c r="G103" s="244" t="s">
        <v>314</v>
      </c>
      <c r="H103" s="244"/>
      <c r="I103" s="662"/>
    </row>
    <row r="104">
      <c r="A104" s="265"/>
      <c r="B104" s="950">
        <f t="shared" si="12"/>
        <v>132</v>
      </c>
      <c r="F104" s="161">
        <v>132.0</v>
      </c>
      <c r="G104" s="2" t="s">
        <v>4029</v>
      </c>
      <c r="I104" s="847"/>
    </row>
    <row r="105">
      <c r="A105" s="265"/>
      <c r="B105" s="950">
        <f t="shared" si="12"/>
        <v>200</v>
      </c>
      <c r="F105" s="161">
        <v>200.0</v>
      </c>
      <c r="G105" s="2" t="s">
        <v>4030</v>
      </c>
      <c r="H105" s="942"/>
      <c r="I105" s="847"/>
    </row>
    <row r="106">
      <c r="A106" s="265"/>
      <c r="B106" s="950" t="str">
        <f t="shared" si="12"/>
        <v/>
      </c>
      <c r="F106" s="161"/>
      <c r="I106" s="847"/>
    </row>
    <row r="107">
      <c r="A107" s="265"/>
      <c r="B107" s="950" t="str">
        <f t="shared" si="12"/>
        <v/>
      </c>
      <c r="F107" s="161"/>
      <c r="I107" s="847"/>
    </row>
    <row r="108">
      <c r="A108" s="265"/>
      <c r="B108" s="950" t="str">
        <f t="shared" si="12"/>
        <v/>
      </c>
      <c r="F108" s="161"/>
      <c r="I108" s="847"/>
    </row>
    <row r="109">
      <c r="A109" s="265"/>
      <c r="B109" s="950" t="str">
        <f t="shared" si="12"/>
        <v/>
      </c>
      <c r="F109" s="161"/>
      <c r="I109" s="847"/>
    </row>
    <row r="110">
      <c r="A110" s="265"/>
      <c r="B110" s="950" t="str">
        <f t="shared" si="12"/>
        <v/>
      </c>
      <c r="F110" s="161"/>
      <c r="I110" s="847"/>
    </row>
    <row r="111">
      <c r="A111" s="265"/>
      <c r="B111" s="950" t="str">
        <f t="shared" si="12"/>
        <v/>
      </c>
      <c r="F111" s="161"/>
      <c r="I111" s="847"/>
    </row>
    <row r="112">
      <c r="A112" s="270"/>
      <c r="B112" s="194">
        <f>SUM(B103:B111)</f>
        <v>683.58</v>
      </c>
      <c r="C112" s="18"/>
      <c r="D112" s="18"/>
      <c r="E112" s="18"/>
      <c r="F112" s="952"/>
      <c r="G112" s="18"/>
      <c r="H112" s="18"/>
      <c r="I112" s="663"/>
    </row>
    <row r="113">
      <c r="A113" s="973">
        <v>44024.0</v>
      </c>
      <c r="B113" s="948">
        <f t="shared" ref="B113:B121" si="13">F113</f>
        <v>180</v>
      </c>
      <c r="C113" s="242"/>
      <c r="D113" s="242"/>
      <c r="E113" s="242"/>
      <c r="F113" s="949">
        <v>180.0</v>
      </c>
      <c r="G113" s="244" t="s">
        <v>228</v>
      </c>
      <c r="H113" s="244"/>
      <c r="I113" s="662"/>
    </row>
    <row r="114">
      <c r="A114" s="265"/>
      <c r="B114" s="950">
        <f t="shared" si="13"/>
        <v>614</v>
      </c>
      <c r="F114" s="161">
        <v>614.0</v>
      </c>
      <c r="G114" s="2" t="s">
        <v>708</v>
      </c>
      <c r="I114" s="847"/>
    </row>
    <row r="115">
      <c r="A115" s="265"/>
      <c r="B115" s="950">
        <f t="shared" si="13"/>
        <v>500</v>
      </c>
      <c r="F115" s="161">
        <v>500.0</v>
      </c>
      <c r="G115" s="2" t="s">
        <v>4031</v>
      </c>
      <c r="H115" s="942"/>
      <c r="I115" s="847"/>
    </row>
    <row r="116">
      <c r="A116" s="265"/>
      <c r="B116" s="950">
        <f t="shared" si="13"/>
        <v>500</v>
      </c>
      <c r="F116" s="161">
        <v>500.0</v>
      </c>
      <c r="G116" s="2" t="s">
        <v>3992</v>
      </c>
      <c r="H116" s="942"/>
      <c r="I116" s="847"/>
    </row>
    <row r="117">
      <c r="A117" s="265"/>
      <c r="B117" s="950">
        <f t="shared" si="13"/>
        <v>3000</v>
      </c>
      <c r="F117" s="161">
        <v>3000.0</v>
      </c>
      <c r="G117" s="2" t="s">
        <v>4032</v>
      </c>
      <c r="H117" s="942"/>
      <c r="I117" s="847"/>
    </row>
    <row r="118">
      <c r="A118" s="265"/>
      <c r="B118" s="950">
        <f t="shared" si="13"/>
        <v>10000</v>
      </c>
      <c r="F118" s="161">
        <v>10000.0</v>
      </c>
      <c r="G118" s="2" t="s">
        <v>4033</v>
      </c>
      <c r="I118" s="847"/>
    </row>
    <row r="119">
      <c r="A119" s="265"/>
      <c r="B119" s="950" t="str">
        <f t="shared" si="13"/>
        <v/>
      </c>
      <c r="F119" s="161"/>
      <c r="I119" s="847"/>
    </row>
    <row r="120">
      <c r="A120" s="265"/>
      <c r="B120" s="950" t="str">
        <f t="shared" si="13"/>
        <v/>
      </c>
      <c r="F120" s="161"/>
      <c r="I120" s="847"/>
    </row>
    <row r="121">
      <c r="A121" s="265"/>
      <c r="B121" s="950" t="str">
        <f t="shared" si="13"/>
        <v/>
      </c>
      <c r="F121" s="161"/>
      <c r="I121" s="847"/>
    </row>
    <row r="122">
      <c r="A122" s="270"/>
      <c r="B122" s="194">
        <f>SUM(B113:B121)</f>
        <v>14794</v>
      </c>
      <c r="C122" s="18"/>
      <c r="D122" s="18"/>
      <c r="E122" s="18"/>
      <c r="F122" s="952"/>
      <c r="G122" s="18"/>
      <c r="H122" s="18"/>
      <c r="I122" s="663"/>
    </row>
    <row r="123">
      <c r="A123" s="973">
        <v>44025.0</v>
      </c>
      <c r="B123" s="948">
        <f t="shared" ref="B123:B131" si="14">F123</f>
        <v>2039</v>
      </c>
      <c r="C123" s="242"/>
      <c r="D123" s="242"/>
      <c r="E123" s="242"/>
      <c r="F123" s="949">
        <v>2039.0</v>
      </c>
      <c r="G123" s="244" t="s">
        <v>314</v>
      </c>
      <c r="H123" s="244"/>
      <c r="I123" s="662"/>
    </row>
    <row r="124">
      <c r="A124" s="265"/>
      <c r="B124" s="950">
        <f t="shared" si="14"/>
        <v>87</v>
      </c>
      <c r="F124" s="161">
        <v>87.0</v>
      </c>
      <c r="G124" s="2" t="s">
        <v>4034</v>
      </c>
      <c r="I124" s="847"/>
    </row>
    <row r="125">
      <c r="A125" s="265"/>
      <c r="B125" s="950">
        <f t="shared" si="14"/>
        <v>60</v>
      </c>
      <c r="F125" s="161">
        <v>60.0</v>
      </c>
      <c r="G125" s="2" t="s">
        <v>4035</v>
      </c>
      <c r="I125" s="847"/>
    </row>
    <row r="126">
      <c r="A126" s="265"/>
      <c r="B126" s="950">
        <f t="shared" si="14"/>
        <v>839.85</v>
      </c>
      <c r="F126" s="161">
        <v>839.85</v>
      </c>
      <c r="G126" s="2" t="s">
        <v>4036</v>
      </c>
      <c r="I126" s="847"/>
    </row>
    <row r="127">
      <c r="A127" s="265"/>
      <c r="B127" s="950">
        <f t="shared" si="14"/>
        <v>3320</v>
      </c>
      <c r="F127" s="161">
        <v>3320.0</v>
      </c>
      <c r="G127" s="2" t="s">
        <v>4037</v>
      </c>
      <c r="H127" s="942"/>
      <c r="I127" s="847"/>
    </row>
    <row r="128">
      <c r="A128" s="265"/>
      <c r="B128" s="950">
        <f t="shared" si="14"/>
        <v>500</v>
      </c>
      <c r="D128" s="2">
        <v>500.0</v>
      </c>
      <c r="F128" s="161">
        <v>500.0</v>
      </c>
      <c r="G128" s="2" t="s">
        <v>4038</v>
      </c>
      <c r="H128" s="942"/>
      <c r="I128" s="847"/>
    </row>
    <row r="129">
      <c r="A129" s="265"/>
      <c r="B129" s="950" t="str">
        <f t="shared" si="14"/>
        <v/>
      </c>
      <c r="F129" s="161"/>
      <c r="I129" s="847"/>
    </row>
    <row r="130">
      <c r="A130" s="265"/>
      <c r="B130" s="950" t="str">
        <f t="shared" si="14"/>
        <v/>
      </c>
      <c r="F130" s="161"/>
      <c r="I130" s="847"/>
    </row>
    <row r="131">
      <c r="A131" s="265"/>
      <c r="B131" s="950" t="str">
        <f t="shared" si="14"/>
        <v/>
      </c>
      <c r="F131" s="161"/>
      <c r="I131" s="847"/>
    </row>
    <row r="132">
      <c r="A132" s="270"/>
      <c r="B132" s="194">
        <f>SUM(B123:B131)</f>
        <v>6845.85</v>
      </c>
      <c r="C132" s="18"/>
      <c r="D132" s="18"/>
      <c r="E132" s="18"/>
      <c r="F132" s="952"/>
      <c r="G132" s="18"/>
      <c r="H132" s="18"/>
      <c r="I132" s="663"/>
    </row>
    <row r="133">
      <c r="A133" s="973">
        <v>44026.0</v>
      </c>
      <c r="B133" s="948">
        <f t="shared" ref="B133:B140" si="15">F133</f>
        <v>1391</v>
      </c>
      <c r="C133" s="242"/>
      <c r="D133" s="242"/>
      <c r="E133" s="242"/>
      <c r="F133" s="949">
        <v>1391.0</v>
      </c>
      <c r="G133" s="244" t="s">
        <v>314</v>
      </c>
      <c r="H133" s="244"/>
      <c r="I133" s="662"/>
    </row>
    <row r="134">
      <c r="A134" s="265"/>
      <c r="B134" s="950">
        <f t="shared" si="15"/>
        <v>3922.425</v>
      </c>
      <c r="F134" s="161">
        <v>3922.425</v>
      </c>
      <c r="G134" s="2" t="s">
        <v>65</v>
      </c>
      <c r="I134" s="847"/>
    </row>
    <row r="135">
      <c r="A135" s="265"/>
      <c r="B135" s="950">
        <f t="shared" si="15"/>
        <v>3198</v>
      </c>
      <c r="F135" s="161">
        <v>3198.0</v>
      </c>
      <c r="G135" s="2" t="s">
        <v>4039</v>
      </c>
      <c r="I135" s="847"/>
    </row>
    <row r="136">
      <c r="A136" s="265"/>
      <c r="B136" s="950">
        <f t="shared" si="15"/>
        <v>1759</v>
      </c>
      <c r="F136" s="161">
        <v>1759.0</v>
      </c>
      <c r="G136" s="2" t="s">
        <v>3309</v>
      </c>
      <c r="I136" s="847"/>
    </row>
    <row r="137">
      <c r="A137" s="265"/>
      <c r="B137" s="950">
        <f t="shared" si="15"/>
        <v>1606.75</v>
      </c>
      <c r="F137" s="161">
        <v>1606.75</v>
      </c>
      <c r="G137" s="2" t="s">
        <v>3309</v>
      </c>
      <c r="I137" s="847"/>
    </row>
    <row r="138">
      <c r="A138" s="265"/>
      <c r="B138" s="950" t="str">
        <f t="shared" si="15"/>
        <v/>
      </c>
      <c r="C138" s="2">
        <v>18486.2</v>
      </c>
      <c r="F138" s="161"/>
      <c r="G138" s="2" t="s">
        <v>2637</v>
      </c>
      <c r="I138" s="847"/>
    </row>
    <row r="139">
      <c r="A139" s="265"/>
      <c r="B139" s="950">
        <f t="shared" si="15"/>
        <v>500</v>
      </c>
      <c r="F139" s="161">
        <v>500.0</v>
      </c>
      <c r="G139" s="2" t="s">
        <v>3887</v>
      </c>
      <c r="H139" s="942"/>
      <c r="I139" s="847"/>
    </row>
    <row r="140">
      <c r="A140" s="265"/>
      <c r="B140" s="950" t="str">
        <f t="shared" si="15"/>
        <v/>
      </c>
      <c r="D140" s="2">
        <v>2800.0</v>
      </c>
      <c r="F140" s="161"/>
      <c r="G140" s="2" t="s">
        <v>4040</v>
      </c>
      <c r="I140" s="847"/>
    </row>
    <row r="141">
      <c r="A141" s="265"/>
      <c r="B141" s="950"/>
      <c r="F141" s="161">
        <v>402.0</v>
      </c>
      <c r="G141" s="2" t="s">
        <v>3911</v>
      </c>
      <c r="I141" s="847"/>
    </row>
    <row r="142">
      <c r="A142" s="265"/>
      <c r="B142" s="950"/>
      <c r="F142" s="161">
        <v>215.64</v>
      </c>
      <c r="G142" s="2" t="s">
        <v>314</v>
      </c>
      <c r="I142" s="847"/>
    </row>
    <row r="143">
      <c r="A143" s="265"/>
      <c r="B143" s="950"/>
      <c r="F143" s="161"/>
      <c r="G143" s="2" t="s">
        <v>3920</v>
      </c>
      <c r="I143" s="847"/>
    </row>
    <row r="144">
      <c r="A144" s="265"/>
      <c r="B144" s="950" t="str">
        <f>F144</f>
        <v/>
      </c>
      <c r="F144" s="161"/>
      <c r="I144" s="847"/>
    </row>
    <row r="145">
      <c r="A145" s="270"/>
      <c r="B145" s="194">
        <f>SUM(B133:B144)</f>
        <v>12377.175</v>
      </c>
      <c r="C145" s="18"/>
      <c r="D145" s="18"/>
      <c r="E145" s="18"/>
      <c r="F145" s="952"/>
      <c r="G145" s="18"/>
      <c r="H145" s="18"/>
      <c r="I145" s="663"/>
    </row>
    <row r="146">
      <c r="A146" s="973">
        <v>44027.0</v>
      </c>
      <c r="B146" s="948">
        <f t="shared" ref="B146:B154" si="16">F146</f>
        <v>793</v>
      </c>
      <c r="C146" s="242"/>
      <c r="D146" s="242"/>
      <c r="E146" s="242"/>
      <c r="F146" s="949">
        <v>793.0</v>
      </c>
      <c r="G146" s="244" t="s">
        <v>314</v>
      </c>
      <c r="H146" s="244"/>
      <c r="I146" s="662"/>
    </row>
    <row r="147">
      <c r="A147" s="265"/>
      <c r="B147" s="950" t="str">
        <f t="shared" si="16"/>
        <v/>
      </c>
      <c r="F147" s="161"/>
      <c r="I147" s="847"/>
    </row>
    <row r="148">
      <c r="A148" s="265"/>
      <c r="B148" s="950" t="str">
        <f t="shared" si="16"/>
        <v/>
      </c>
      <c r="F148" s="161"/>
      <c r="I148" s="847"/>
    </row>
    <row r="149">
      <c r="A149" s="265"/>
      <c r="B149" s="950" t="str">
        <f t="shared" si="16"/>
        <v/>
      </c>
      <c r="F149" s="161"/>
      <c r="I149" s="847"/>
    </row>
    <row r="150">
      <c r="A150" s="265"/>
      <c r="B150" s="950" t="str">
        <f t="shared" si="16"/>
        <v/>
      </c>
      <c r="F150" s="161"/>
      <c r="I150" s="847"/>
    </row>
    <row r="151">
      <c r="A151" s="265"/>
      <c r="B151" s="950" t="str">
        <f t="shared" si="16"/>
        <v/>
      </c>
      <c r="F151" s="161"/>
      <c r="I151" s="847"/>
    </row>
    <row r="152">
      <c r="A152" s="265"/>
      <c r="B152" s="950" t="str">
        <f t="shared" si="16"/>
        <v/>
      </c>
      <c r="F152" s="161"/>
      <c r="I152" s="847"/>
    </row>
    <row r="153">
      <c r="A153" s="265"/>
      <c r="B153" s="950" t="str">
        <f t="shared" si="16"/>
        <v/>
      </c>
      <c r="F153" s="161"/>
      <c r="I153" s="847"/>
    </row>
    <row r="154">
      <c r="A154" s="265"/>
      <c r="B154" s="950" t="str">
        <f t="shared" si="16"/>
        <v/>
      </c>
      <c r="F154" s="161"/>
      <c r="I154" s="847"/>
    </row>
    <row r="155">
      <c r="A155" s="270"/>
      <c r="B155" s="194">
        <f>SUM(B146:B154)</f>
        <v>793</v>
      </c>
      <c r="C155" s="18"/>
      <c r="D155" s="18"/>
      <c r="E155" s="18"/>
      <c r="F155" s="952"/>
      <c r="G155" s="18"/>
      <c r="H155" s="18"/>
      <c r="I155" s="663"/>
    </row>
    <row r="156">
      <c r="A156" s="973">
        <v>44028.0</v>
      </c>
      <c r="B156" s="948">
        <f t="shared" ref="B156:B164" si="17">F156</f>
        <v>387</v>
      </c>
      <c r="C156" s="242"/>
      <c r="D156" s="242"/>
      <c r="E156" s="242"/>
      <c r="F156" s="949">
        <v>387.0</v>
      </c>
      <c r="G156" s="244" t="s">
        <v>227</v>
      </c>
      <c r="H156" s="244"/>
      <c r="I156" s="662"/>
    </row>
    <row r="157">
      <c r="A157" s="265"/>
      <c r="B157" s="950" t="str">
        <f t="shared" si="17"/>
        <v/>
      </c>
      <c r="C157" s="2">
        <v>11372.74</v>
      </c>
      <c r="F157" s="161"/>
      <c r="G157" s="2" t="s">
        <v>84</v>
      </c>
      <c r="I157" s="847"/>
    </row>
    <row r="158">
      <c r="A158" s="265"/>
      <c r="B158" s="950" t="str">
        <f t="shared" si="17"/>
        <v/>
      </c>
      <c r="D158" s="2">
        <v>1022.0</v>
      </c>
      <c r="F158" s="161"/>
      <c r="G158" s="2" t="s">
        <v>4041</v>
      </c>
      <c r="I158" s="847"/>
    </row>
    <row r="159">
      <c r="A159" s="265"/>
      <c r="B159" s="950">
        <f t="shared" si="17"/>
        <v>150</v>
      </c>
      <c r="F159" s="161">
        <v>150.0</v>
      </c>
      <c r="G159" s="2" t="s">
        <v>4042</v>
      </c>
      <c r="I159" s="847"/>
    </row>
    <row r="160">
      <c r="A160" s="265"/>
      <c r="B160" s="950" t="str">
        <f t="shared" si="17"/>
        <v/>
      </c>
      <c r="F160" s="161"/>
      <c r="I160" s="847"/>
    </row>
    <row r="161">
      <c r="A161" s="265"/>
      <c r="B161" s="950" t="str">
        <f t="shared" si="17"/>
        <v/>
      </c>
      <c r="F161" s="161"/>
      <c r="I161" s="847"/>
    </row>
    <row r="162">
      <c r="A162" s="265"/>
      <c r="B162" s="950" t="str">
        <f t="shared" si="17"/>
        <v/>
      </c>
      <c r="F162" s="161"/>
      <c r="I162" s="847"/>
    </row>
    <row r="163">
      <c r="A163" s="265"/>
      <c r="B163" s="950" t="str">
        <f t="shared" si="17"/>
        <v/>
      </c>
      <c r="F163" s="161"/>
      <c r="I163" s="847"/>
    </row>
    <row r="164">
      <c r="A164" s="265"/>
      <c r="B164" s="950" t="str">
        <f t="shared" si="17"/>
        <v/>
      </c>
      <c r="F164" s="161"/>
      <c r="I164" s="847"/>
    </row>
    <row r="165">
      <c r="A165" s="270"/>
      <c r="B165" s="194">
        <f>SUM(B156:B164)</f>
        <v>537</v>
      </c>
      <c r="C165" s="18"/>
      <c r="D165" s="18"/>
      <c r="E165" s="18"/>
      <c r="F165" s="952"/>
      <c r="G165" s="18"/>
      <c r="H165" s="18"/>
      <c r="I165" s="663"/>
    </row>
    <row r="166">
      <c r="A166" s="973">
        <v>44029.0</v>
      </c>
      <c r="B166" s="948">
        <f t="shared" ref="B166:B174" si="18">F166</f>
        <v>1630</v>
      </c>
      <c r="C166" s="242"/>
      <c r="D166" s="242"/>
      <c r="E166" s="242"/>
      <c r="F166" s="949">
        <v>1630.0</v>
      </c>
      <c r="G166" s="244" t="s">
        <v>314</v>
      </c>
      <c r="H166" s="244"/>
      <c r="I166" s="662"/>
    </row>
    <row r="167">
      <c r="A167" s="265"/>
      <c r="B167" s="950">
        <f t="shared" si="18"/>
        <v>6500</v>
      </c>
      <c r="F167" s="161">
        <v>6500.0</v>
      </c>
      <c r="G167" s="2" t="s">
        <v>4043</v>
      </c>
      <c r="I167" s="847"/>
    </row>
    <row r="168">
      <c r="A168" s="265"/>
      <c r="B168" s="950">
        <f t="shared" si="18"/>
        <v>2000</v>
      </c>
      <c r="F168" s="161">
        <v>2000.0</v>
      </c>
      <c r="G168" s="2" t="s">
        <v>3904</v>
      </c>
      <c r="I168" s="847"/>
    </row>
    <row r="169">
      <c r="A169" s="265"/>
      <c r="B169" s="950">
        <f t="shared" si="18"/>
        <v>200</v>
      </c>
      <c r="F169" s="161">
        <v>200.0</v>
      </c>
      <c r="G169" s="2" t="s">
        <v>3392</v>
      </c>
      <c r="I169" s="847"/>
    </row>
    <row r="170">
      <c r="A170" s="265"/>
      <c r="B170" s="950">
        <f t="shared" si="18"/>
        <v>2660</v>
      </c>
      <c r="F170" s="161">
        <v>2660.0</v>
      </c>
      <c r="G170" s="2" t="s">
        <v>4044</v>
      </c>
      <c r="I170" s="847"/>
    </row>
    <row r="171">
      <c r="A171" s="265"/>
      <c r="B171" s="950">
        <f t="shared" si="18"/>
        <v>2000</v>
      </c>
      <c r="F171" s="161">
        <v>2000.0</v>
      </c>
      <c r="G171" s="2" t="s">
        <v>4045</v>
      </c>
      <c r="I171" s="847"/>
    </row>
    <row r="172">
      <c r="A172" s="265"/>
      <c r="B172" s="950" t="str">
        <f t="shared" si="18"/>
        <v/>
      </c>
      <c r="D172" s="2">
        <v>22019.0</v>
      </c>
      <c r="F172" s="161"/>
      <c r="G172" s="2" t="s">
        <v>4046</v>
      </c>
      <c r="I172" s="847"/>
    </row>
    <row r="173">
      <c r="A173" s="265"/>
      <c r="B173" s="950" t="str">
        <f t="shared" si="18"/>
        <v/>
      </c>
      <c r="D173" s="2">
        <v>12348.0</v>
      </c>
      <c r="F173" s="161"/>
      <c r="G173" s="2" t="s">
        <v>4047</v>
      </c>
      <c r="I173" s="847"/>
    </row>
    <row r="174">
      <c r="A174" s="265"/>
      <c r="B174" s="950">
        <f t="shared" si="18"/>
        <v>138</v>
      </c>
      <c r="F174" s="161">
        <v>138.0</v>
      </c>
      <c r="G174" s="2" t="s">
        <v>2835</v>
      </c>
      <c r="I174" s="847"/>
    </row>
    <row r="175">
      <c r="A175" s="270"/>
      <c r="B175" s="194">
        <f>SUM(B166:B174)</f>
        <v>15128</v>
      </c>
      <c r="C175" s="18"/>
      <c r="D175" s="18"/>
      <c r="E175" s="18"/>
      <c r="F175" s="952"/>
      <c r="G175" s="18"/>
      <c r="H175" s="18"/>
      <c r="I175" s="663"/>
    </row>
    <row r="176">
      <c r="A176" s="973">
        <v>44030.0</v>
      </c>
      <c r="B176" s="948">
        <f t="shared" ref="B176:B185" si="19">F176</f>
        <v>1900</v>
      </c>
      <c r="C176" s="242"/>
      <c r="D176" s="242"/>
      <c r="E176" s="242"/>
      <c r="F176" s="949">
        <v>1900.0</v>
      </c>
      <c r="G176" s="244" t="s">
        <v>352</v>
      </c>
      <c r="H176" s="244"/>
      <c r="I176" s="662"/>
    </row>
    <row r="177">
      <c r="A177" s="265"/>
      <c r="B177" s="950">
        <f t="shared" si="19"/>
        <v>688</v>
      </c>
      <c r="F177" s="161">
        <v>688.0</v>
      </c>
      <c r="G177" s="2" t="s">
        <v>345</v>
      </c>
      <c r="I177" s="847"/>
    </row>
    <row r="178">
      <c r="A178" s="265"/>
      <c r="B178" s="950">
        <f t="shared" si="19"/>
        <v>803.75</v>
      </c>
      <c r="F178" s="161">
        <v>803.75</v>
      </c>
      <c r="G178" s="2" t="s">
        <v>314</v>
      </c>
      <c r="I178" s="847"/>
    </row>
    <row r="179">
      <c r="A179" s="265"/>
      <c r="B179" s="950">
        <f t="shared" si="19"/>
        <v>2800</v>
      </c>
      <c r="F179" s="161">
        <v>2800.0</v>
      </c>
      <c r="G179" s="2" t="s">
        <v>4014</v>
      </c>
      <c r="H179" s="942"/>
      <c r="I179" s="847"/>
    </row>
    <row r="180">
      <c r="A180" s="265"/>
      <c r="B180" s="950">
        <f t="shared" si="19"/>
        <v>3000</v>
      </c>
      <c r="F180" s="161">
        <v>3000.0</v>
      </c>
      <c r="G180" s="2" t="s">
        <v>4048</v>
      </c>
      <c r="H180" s="942"/>
      <c r="I180" s="847"/>
    </row>
    <row r="181">
      <c r="A181" s="265"/>
      <c r="B181" s="950">
        <f t="shared" si="19"/>
        <v>6530</v>
      </c>
      <c r="F181" s="161">
        <v>6530.0</v>
      </c>
      <c r="G181" s="2" t="s">
        <v>2787</v>
      </c>
      <c r="H181" s="84">
        <v>10474.76</v>
      </c>
      <c r="I181" s="963" t="s">
        <v>4049</v>
      </c>
    </row>
    <row r="182">
      <c r="A182" s="265"/>
      <c r="B182" s="950">
        <f t="shared" si="19"/>
        <v>2530</v>
      </c>
      <c r="F182" s="161">
        <v>2530.0</v>
      </c>
      <c r="G182" s="2" t="s">
        <v>3811</v>
      </c>
      <c r="H182" s="84">
        <v>9075.67</v>
      </c>
      <c r="I182" s="963" t="s">
        <v>4049</v>
      </c>
    </row>
    <row r="183">
      <c r="A183" s="265"/>
      <c r="B183" s="950">
        <f t="shared" si="19"/>
        <v>1200</v>
      </c>
      <c r="F183" s="161">
        <v>1200.0</v>
      </c>
      <c r="G183" s="2" t="s">
        <v>3848</v>
      </c>
      <c r="H183" s="84">
        <v>10410.0</v>
      </c>
      <c r="I183" s="963" t="s">
        <v>4049</v>
      </c>
    </row>
    <row r="184">
      <c r="A184" s="265"/>
      <c r="B184" s="950">
        <f t="shared" si="19"/>
        <v>1200</v>
      </c>
      <c r="E184" s="35"/>
      <c r="F184" s="161">
        <v>1200.0</v>
      </c>
      <c r="G184" s="2" t="s">
        <v>3847</v>
      </c>
      <c r="H184" s="84">
        <v>10410.0</v>
      </c>
      <c r="I184" s="963" t="s">
        <v>4049</v>
      </c>
    </row>
    <row r="185">
      <c r="A185" s="265"/>
      <c r="B185" s="950">
        <f t="shared" si="19"/>
        <v>1930</v>
      </c>
      <c r="E185" s="35"/>
      <c r="F185" s="161">
        <v>1930.0</v>
      </c>
      <c r="G185" s="2" t="s">
        <v>3897</v>
      </c>
      <c r="H185" s="84">
        <v>9075.67</v>
      </c>
      <c r="I185" s="963" t="s">
        <v>4049</v>
      </c>
    </row>
    <row r="186">
      <c r="A186" s="265"/>
      <c r="B186" s="967"/>
      <c r="F186" s="852"/>
      <c r="I186" s="847"/>
    </row>
    <row r="187">
      <c r="A187" s="270"/>
      <c r="B187" s="194">
        <f>SUM(B176:B185)</f>
        <v>22581.75</v>
      </c>
      <c r="C187" s="18"/>
      <c r="D187" s="18"/>
      <c r="E187" s="18"/>
      <c r="F187" s="952"/>
      <c r="G187" s="18"/>
      <c r="H187" s="18"/>
      <c r="I187" s="663"/>
    </row>
    <row r="188">
      <c r="A188" s="973">
        <v>44031.0</v>
      </c>
      <c r="B188" s="948" t="str">
        <f t="shared" ref="B188:B196" si="20">F188</f>
        <v/>
      </c>
      <c r="C188" s="242"/>
      <c r="D188" s="242"/>
      <c r="E188" s="242"/>
      <c r="F188" s="949"/>
      <c r="G188" s="244"/>
      <c r="H188" s="244"/>
      <c r="I188" s="662"/>
    </row>
    <row r="189">
      <c r="A189" s="265"/>
      <c r="B189" s="950">
        <f t="shared" si="20"/>
        <v>4540</v>
      </c>
      <c r="F189" s="161">
        <v>4540.0</v>
      </c>
      <c r="G189" s="2" t="s">
        <v>3845</v>
      </c>
      <c r="H189" s="192">
        <v>9462.74</v>
      </c>
      <c r="I189" s="847"/>
    </row>
    <row r="190">
      <c r="A190" s="265"/>
      <c r="B190" s="950">
        <f t="shared" si="20"/>
        <v>180</v>
      </c>
      <c r="E190" s="35"/>
      <c r="F190" s="161">
        <v>180.0</v>
      </c>
      <c r="G190" s="2" t="s">
        <v>4050</v>
      </c>
      <c r="H190" s="192"/>
      <c r="I190" s="847"/>
    </row>
    <row r="191">
      <c r="A191" s="265"/>
      <c r="B191" s="950" t="str">
        <f t="shared" si="20"/>
        <v/>
      </c>
      <c r="E191" s="35"/>
      <c r="F191" s="161"/>
      <c r="H191" s="192"/>
      <c r="I191" s="847"/>
    </row>
    <row r="192">
      <c r="A192" s="265"/>
      <c r="B192" s="950" t="str">
        <f t="shared" si="20"/>
        <v/>
      </c>
      <c r="E192" s="35"/>
      <c r="F192" s="161"/>
      <c r="H192" s="192"/>
      <c r="I192" s="847"/>
    </row>
    <row r="193">
      <c r="A193" s="265"/>
      <c r="B193" s="950" t="str">
        <f t="shared" si="20"/>
        <v/>
      </c>
      <c r="E193" s="35"/>
      <c r="F193" s="161"/>
      <c r="H193" s="192"/>
      <c r="I193" s="847"/>
    </row>
    <row r="194">
      <c r="A194" s="265"/>
      <c r="B194" s="950" t="str">
        <f t="shared" si="20"/>
        <v/>
      </c>
      <c r="E194" s="35"/>
      <c r="F194" s="161"/>
      <c r="H194" s="192"/>
      <c r="I194" s="847"/>
    </row>
    <row r="195">
      <c r="A195" s="265"/>
      <c r="B195" s="950" t="str">
        <f t="shared" si="20"/>
        <v/>
      </c>
      <c r="E195" s="35"/>
      <c r="F195" s="161"/>
      <c r="H195" s="192"/>
      <c r="I195" s="847"/>
    </row>
    <row r="196">
      <c r="A196" s="265"/>
      <c r="B196" s="950" t="str">
        <f t="shared" si="20"/>
        <v/>
      </c>
      <c r="E196" s="35">
        <f>15800-H196</f>
        <v>5390</v>
      </c>
      <c r="F196" s="161"/>
      <c r="G196" s="2" t="s">
        <v>3815</v>
      </c>
      <c r="H196" s="192">
        <v>10410.0</v>
      </c>
      <c r="I196" s="847"/>
    </row>
    <row r="197">
      <c r="A197" s="270"/>
      <c r="B197" s="194">
        <f>SUM(B188:B196)</f>
        <v>4720</v>
      </c>
      <c r="C197" s="18"/>
      <c r="D197" s="18"/>
      <c r="E197" s="18"/>
      <c r="F197" s="952"/>
      <c r="G197" s="18"/>
      <c r="H197" s="18"/>
      <c r="I197" s="663"/>
    </row>
    <row r="198">
      <c r="A198" s="973">
        <v>44032.0</v>
      </c>
      <c r="B198" s="948" t="str">
        <f t="shared" ref="B198:B206" si="21">F198</f>
        <v/>
      </c>
      <c r="C198" s="242"/>
      <c r="D198" s="244">
        <v>8500.0</v>
      </c>
      <c r="E198" s="242"/>
      <c r="F198" s="949"/>
      <c r="G198" s="244" t="s">
        <v>4051</v>
      </c>
      <c r="H198" s="244"/>
      <c r="I198" s="662"/>
    </row>
    <row r="199">
      <c r="A199" s="265"/>
      <c r="B199" s="950">
        <f t="shared" si="21"/>
        <v>80</v>
      </c>
      <c r="F199" s="161">
        <v>80.0</v>
      </c>
      <c r="G199" s="2" t="s">
        <v>4052</v>
      </c>
      <c r="I199" s="847"/>
    </row>
    <row r="200">
      <c r="A200" s="265"/>
      <c r="B200" s="950">
        <f t="shared" si="21"/>
        <v>170</v>
      </c>
      <c r="F200" s="161">
        <v>170.0</v>
      </c>
      <c r="G200" s="2" t="s">
        <v>4053</v>
      </c>
      <c r="I200" s="847"/>
    </row>
    <row r="201">
      <c r="A201" s="265"/>
      <c r="B201" s="950">
        <f t="shared" si="21"/>
        <v>938</v>
      </c>
      <c r="F201" s="161">
        <v>938.0</v>
      </c>
      <c r="G201" s="2" t="s">
        <v>329</v>
      </c>
      <c r="I201" s="847"/>
    </row>
    <row r="202">
      <c r="A202" s="265"/>
      <c r="B202" s="950">
        <f t="shared" si="21"/>
        <v>1023</v>
      </c>
      <c r="F202" s="161">
        <v>1023.0</v>
      </c>
      <c r="G202" s="2" t="s">
        <v>708</v>
      </c>
      <c r="I202" s="847"/>
    </row>
    <row r="203">
      <c r="A203" s="265"/>
      <c r="B203" s="950" t="str">
        <f t="shared" si="21"/>
        <v/>
      </c>
      <c r="F203" s="161"/>
      <c r="I203" s="847"/>
    </row>
    <row r="204">
      <c r="A204" s="265"/>
      <c r="B204" s="950" t="str">
        <f t="shared" si="21"/>
        <v/>
      </c>
      <c r="F204" s="161"/>
      <c r="I204" s="847"/>
    </row>
    <row r="205">
      <c r="A205" s="265"/>
      <c r="B205" s="950" t="str">
        <f t="shared" si="21"/>
        <v/>
      </c>
      <c r="F205" s="161"/>
      <c r="I205" s="847"/>
    </row>
    <row r="206">
      <c r="A206" s="265"/>
      <c r="B206" s="950" t="str">
        <f t="shared" si="21"/>
        <v/>
      </c>
      <c r="F206" s="161"/>
      <c r="I206" s="847"/>
    </row>
    <row r="207">
      <c r="A207" s="270"/>
      <c r="B207" s="194">
        <f>SUM(B198:B206)</f>
        <v>2211</v>
      </c>
      <c r="C207" s="18"/>
      <c r="D207" s="18"/>
      <c r="E207" s="18"/>
      <c r="F207" s="952"/>
      <c r="G207" s="18"/>
      <c r="H207" s="18"/>
      <c r="I207" s="663"/>
    </row>
    <row r="208">
      <c r="A208" s="973">
        <v>44033.0</v>
      </c>
      <c r="B208" s="948">
        <f t="shared" ref="B208:B217" si="22">F208</f>
        <v>2000</v>
      </c>
      <c r="C208" s="242"/>
      <c r="D208" s="242"/>
      <c r="E208" s="242"/>
      <c r="F208" s="949">
        <v>2000.0</v>
      </c>
      <c r="G208" s="244" t="s">
        <v>421</v>
      </c>
      <c r="H208" s="244"/>
      <c r="I208" s="662"/>
    </row>
    <row r="209">
      <c r="A209" s="265"/>
      <c r="B209" s="950">
        <f t="shared" si="22"/>
        <v>934</v>
      </c>
      <c r="F209" s="161">
        <v>934.0</v>
      </c>
      <c r="G209" s="2" t="s">
        <v>3120</v>
      </c>
      <c r="I209" s="847"/>
    </row>
    <row r="210">
      <c r="A210" s="265"/>
      <c r="B210" s="950">
        <f t="shared" si="22"/>
        <v>735</v>
      </c>
      <c r="F210" s="161">
        <v>735.0</v>
      </c>
      <c r="G210" s="2" t="s">
        <v>708</v>
      </c>
      <c r="I210" s="847"/>
    </row>
    <row r="211">
      <c r="A211" s="265"/>
      <c r="B211" s="950">
        <f t="shared" si="22"/>
        <v>66</v>
      </c>
      <c r="F211" s="161">
        <v>66.0</v>
      </c>
      <c r="G211" s="2" t="s">
        <v>4054</v>
      </c>
      <c r="I211" s="847"/>
    </row>
    <row r="212">
      <c r="A212" s="265"/>
      <c r="B212" s="950">
        <f t="shared" si="22"/>
        <v>470</v>
      </c>
      <c r="F212" s="161">
        <v>470.0</v>
      </c>
      <c r="G212" s="2" t="s">
        <v>3152</v>
      </c>
      <c r="I212" s="847"/>
    </row>
    <row r="213">
      <c r="A213" s="265"/>
      <c r="B213" s="950">
        <f t="shared" si="22"/>
        <v>2328</v>
      </c>
      <c r="F213" s="161">
        <v>2328.0</v>
      </c>
      <c r="G213" s="2" t="s">
        <v>4055</v>
      </c>
      <c r="I213" s="847"/>
    </row>
    <row r="214">
      <c r="A214" s="265"/>
      <c r="B214" s="950">
        <f t="shared" si="22"/>
        <v>88</v>
      </c>
      <c r="F214" s="161">
        <v>88.0</v>
      </c>
      <c r="G214" s="2" t="s">
        <v>708</v>
      </c>
      <c r="I214" s="847"/>
    </row>
    <row r="215">
      <c r="A215" s="265"/>
      <c r="B215" s="950">
        <f t="shared" si="22"/>
        <v>2450</v>
      </c>
      <c r="F215" s="161">
        <v>2450.0</v>
      </c>
      <c r="G215" s="2" t="s">
        <v>4056</v>
      </c>
      <c r="H215" s="942"/>
      <c r="I215" s="847"/>
    </row>
    <row r="216">
      <c r="A216" s="265"/>
      <c r="B216" s="950">
        <f t="shared" si="22"/>
        <v>5400</v>
      </c>
      <c r="F216" s="161">
        <v>5400.0</v>
      </c>
      <c r="G216" s="2" t="s">
        <v>4030</v>
      </c>
      <c r="H216" s="942"/>
      <c r="I216" s="847"/>
    </row>
    <row r="217">
      <c r="A217" s="265"/>
      <c r="B217" s="950">
        <f t="shared" si="22"/>
        <v>3912</v>
      </c>
      <c r="F217" s="161">
        <v>3912.0</v>
      </c>
      <c r="G217" s="2" t="s">
        <v>4057</v>
      </c>
      <c r="I217" s="847"/>
    </row>
    <row r="218">
      <c r="A218" s="265"/>
      <c r="B218" s="967"/>
      <c r="F218" s="852"/>
      <c r="I218" s="847"/>
    </row>
    <row r="219">
      <c r="A219" s="270"/>
      <c r="B219" s="194">
        <f>SUM(B208:B217)</f>
        <v>18383</v>
      </c>
      <c r="C219" s="18"/>
      <c r="D219" s="18"/>
      <c r="E219" s="18"/>
      <c r="F219" s="952"/>
      <c r="G219" s="18"/>
      <c r="H219" s="18"/>
      <c r="I219" s="663"/>
    </row>
    <row r="220">
      <c r="A220" s="973">
        <v>44034.0</v>
      </c>
      <c r="B220" s="948">
        <f t="shared" ref="B220:B228" si="23">F220</f>
        <v>645</v>
      </c>
      <c r="C220" s="242"/>
      <c r="D220" s="242"/>
      <c r="E220" s="242"/>
      <c r="F220" s="949">
        <v>645.0</v>
      </c>
      <c r="G220" s="244" t="s">
        <v>329</v>
      </c>
      <c r="H220" s="244"/>
      <c r="I220" s="662"/>
    </row>
    <row r="221">
      <c r="A221" s="265"/>
      <c r="B221" s="950">
        <f t="shared" si="23"/>
        <v>185</v>
      </c>
      <c r="F221" s="161">
        <v>185.0</v>
      </c>
      <c r="G221" s="2" t="s">
        <v>2517</v>
      </c>
      <c r="I221" s="847"/>
    </row>
    <row r="222">
      <c r="A222" s="265"/>
      <c r="B222" s="950">
        <f t="shared" si="23"/>
        <v>545</v>
      </c>
      <c r="F222" s="161">
        <v>545.0</v>
      </c>
      <c r="G222" s="2" t="s">
        <v>2517</v>
      </c>
      <c r="I222" s="847"/>
    </row>
    <row r="223">
      <c r="A223" s="265"/>
      <c r="B223" s="950">
        <f t="shared" si="23"/>
        <v>3276</v>
      </c>
      <c r="F223" s="161">
        <v>3276.0</v>
      </c>
      <c r="G223" s="2" t="s">
        <v>2703</v>
      </c>
      <c r="I223" s="847"/>
    </row>
    <row r="224">
      <c r="A224" s="265"/>
      <c r="B224" s="950" t="str">
        <f t="shared" si="23"/>
        <v/>
      </c>
      <c r="C224" s="2" t="s">
        <v>4058</v>
      </c>
      <c r="F224" s="161"/>
      <c r="I224" s="847"/>
    </row>
    <row r="225">
      <c r="A225" s="265"/>
      <c r="B225" s="950" t="str">
        <f t="shared" si="23"/>
        <v/>
      </c>
      <c r="F225" s="161"/>
      <c r="I225" s="847"/>
    </row>
    <row r="226">
      <c r="A226" s="265"/>
      <c r="B226" s="950" t="str">
        <f t="shared" si="23"/>
        <v/>
      </c>
      <c r="F226" s="161"/>
      <c r="I226" s="847"/>
    </row>
    <row r="227">
      <c r="A227" s="265"/>
      <c r="B227" s="950" t="str">
        <f t="shared" si="23"/>
        <v/>
      </c>
      <c r="F227" s="161"/>
      <c r="I227" s="847"/>
    </row>
    <row r="228">
      <c r="A228" s="265"/>
      <c r="B228" s="950" t="str">
        <f t="shared" si="23"/>
        <v/>
      </c>
      <c r="F228" s="161"/>
      <c r="I228" s="847"/>
    </row>
    <row r="229">
      <c r="A229" s="270"/>
      <c r="B229" s="194">
        <f>SUM(B220:B228)</f>
        <v>4651</v>
      </c>
      <c r="C229" s="18"/>
      <c r="D229" s="18"/>
      <c r="E229" s="18"/>
      <c r="F229" s="952"/>
      <c r="G229" s="18"/>
      <c r="H229" s="18"/>
      <c r="I229" s="663"/>
    </row>
    <row r="230">
      <c r="A230" s="973">
        <v>44035.0</v>
      </c>
      <c r="B230" s="948">
        <f t="shared" ref="B230:B238" si="24">F230</f>
        <v>650</v>
      </c>
      <c r="C230" s="242"/>
      <c r="D230" s="242"/>
      <c r="E230" s="242"/>
      <c r="F230" s="949">
        <v>650.0</v>
      </c>
      <c r="G230" s="244" t="s">
        <v>1553</v>
      </c>
      <c r="H230" s="244"/>
      <c r="I230" s="662"/>
    </row>
    <row r="231">
      <c r="A231" s="265"/>
      <c r="B231" s="950">
        <f t="shared" si="24"/>
        <v>1424</v>
      </c>
      <c r="F231" s="161">
        <v>1424.0</v>
      </c>
      <c r="G231" s="2" t="s">
        <v>2517</v>
      </c>
      <c r="I231" s="847"/>
    </row>
    <row r="232">
      <c r="A232" s="265"/>
      <c r="B232" s="950">
        <f t="shared" si="24"/>
        <v>6217</v>
      </c>
      <c r="F232" s="161">
        <v>6217.0</v>
      </c>
      <c r="G232" s="2" t="s">
        <v>91</v>
      </c>
      <c r="I232" s="847"/>
    </row>
    <row r="233">
      <c r="A233" s="265"/>
      <c r="B233" s="950" t="str">
        <f t="shared" si="24"/>
        <v/>
      </c>
      <c r="F233" s="161"/>
      <c r="I233" s="847"/>
    </row>
    <row r="234">
      <c r="A234" s="265"/>
      <c r="B234" s="950" t="str">
        <f t="shared" si="24"/>
        <v/>
      </c>
      <c r="F234" s="161"/>
      <c r="I234" s="847"/>
    </row>
    <row r="235">
      <c r="A235" s="265"/>
      <c r="B235" s="950" t="str">
        <f t="shared" si="24"/>
        <v/>
      </c>
      <c r="F235" s="161"/>
      <c r="I235" s="847"/>
    </row>
    <row r="236">
      <c r="A236" s="265"/>
      <c r="B236" s="950" t="str">
        <f t="shared" si="24"/>
        <v/>
      </c>
      <c r="F236" s="161"/>
      <c r="I236" s="847"/>
    </row>
    <row r="237">
      <c r="A237" s="265"/>
      <c r="B237" s="950" t="str">
        <f t="shared" si="24"/>
        <v/>
      </c>
      <c r="F237" s="161"/>
      <c r="I237" s="847"/>
    </row>
    <row r="238">
      <c r="A238" s="265"/>
      <c r="B238" s="950" t="str">
        <f t="shared" si="24"/>
        <v/>
      </c>
      <c r="F238" s="161"/>
      <c r="I238" s="847"/>
    </row>
    <row r="239">
      <c r="A239" s="270"/>
      <c r="B239" s="194">
        <f>SUM(B230:B238)</f>
        <v>8291</v>
      </c>
      <c r="C239" s="18"/>
      <c r="D239" s="18"/>
      <c r="E239" s="18"/>
      <c r="F239" s="952"/>
      <c r="G239" s="18"/>
      <c r="H239" s="18"/>
      <c r="I239" s="663"/>
    </row>
    <row r="240">
      <c r="A240" s="973">
        <v>44036.0</v>
      </c>
      <c r="B240" s="948">
        <f t="shared" ref="B240:B250" si="25">F240</f>
        <v>866</v>
      </c>
      <c r="C240" s="242"/>
      <c r="D240" s="242"/>
      <c r="E240" s="242"/>
      <c r="F240" s="949">
        <v>866.0</v>
      </c>
      <c r="G240" s="244" t="s">
        <v>314</v>
      </c>
      <c r="H240" s="244"/>
      <c r="I240" s="662"/>
    </row>
    <row r="241">
      <c r="A241" s="265"/>
      <c r="B241" s="950">
        <f t="shared" si="25"/>
        <v>736</v>
      </c>
      <c r="F241" s="161">
        <v>736.0</v>
      </c>
      <c r="G241" s="2" t="s">
        <v>3911</v>
      </c>
      <c r="I241" s="847"/>
    </row>
    <row r="242">
      <c r="A242" s="265"/>
      <c r="B242" s="950">
        <f t="shared" si="25"/>
        <v>2600</v>
      </c>
      <c r="F242" s="161">
        <v>2600.0</v>
      </c>
      <c r="G242" s="2" t="s">
        <v>3731</v>
      </c>
      <c r="I242" s="847"/>
    </row>
    <row r="243">
      <c r="A243" s="265"/>
      <c r="B243" s="950">
        <f t="shared" si="25"/>
        <v>1710</v>
      </c>
      <c r="F243" s="161">
        <v>1710.0</v>
      </c>
      <c r="G243" s="2" t="s">
        <v>4059</v>
      </c>
      <c r="I243" s="847"/>
    </row>
    <row r="244">
      <c r="A244" s="265"/>
      <c r="B244" s="950">
        <f t="shared" si="25"/>
        <v>2500</v>
      </c>
      <c r="F244" s="161">
        <v>2500.0</v>
      </c>
      <c r="G244" s="2" t="s">
        <v>4060</v>
      </c>
      <c r="I244" s="847"/>
    </row>
    <row r="245">
      <c r="A245" s="265"/>
      <c r="B245" s="950">
        <f t="shared" si="25"/>
        <v>5750</v>
      </c>
      <c r="F245" s="161">
        <v>5750.0</v>
      </c>
      <c r="G245" s="2" t="s">
        <v>4061</v>
      </c>
      <c r="H245" s="974"/>
      <c r="I245" s="847"/>
    </row>
    <row r="246">
      <c r="A246" s="265"/>
      <c r="B246" s="950">
        <f t="shared" si="25"/>
        <v>6050</v>
      </c>
      <c r="F246" s="161">
        <v>6050.0</v>
      </c>
      <c r="G246" s="2" t="s">
        <v>4062</v>
      </c>
      <c r="H246" s="974"/>
      <c r="I246" s="847"/>
    </row>
    <row r="247">
      <c r="A247" s="265"/>
      <c r="B247" s="950">
        <f t="shared" si="25"/>
        <v>5800</v>
      </c>
      <c r="F247" s="161">
        <v>5800.0</v>
      </c>
      <c r="G247" s="2" t="s">
        <v>4063</v>
      </c>
      <c r="H247" s="974"/>
      <c r="I247" s="847"/>
    </row>
    <row r="248">
      <c r="A248" s="265"/>
      <c r="B248" s="950">
        <f t="shared" si="25"/>
        <v>8500</v>
      </c>
      <c r="F248" s="161">
        <v>8500.0</v>
      </c>
      <c r="G248" s="2" t="s">
        <v>4064</v>
      </c>
      <c r="H248" s="974"/>
      <c r="I248" s="847"/>
    </row>
    <row r="249">
      <c r="A249" s="265"/>
      <c r="B249" s="950" t="str">
        <f t="shared" si="25"/>
        <v/>
      </c>
      <c r="D249" s="2">
        <v>7000.0</v>
      </c>
      <c r="F249" s="161"/>
      <c r="G249" s="2" t="s">
        <v>3942</v>
      </c>
      <c r="I249" s="847"/>
    </row>
    <row r="250">
      <c r="A250" s="265"/>
      <c r="B250" s="950" t="str">
        <f t="shared" si="25"/>
        <v/>
      </c>
      <c r="F250" s="161"/>
      <c r="I250" s="847"/>
    </row>
    <row r="251">
      <c r="A251" s="270"/>
      <c r="B251" s="194">
        <f>SUM(B240:B250)</f>
        <v>34512</v>
      </c>
      <c r="C251" s="18"/>
      <c r="D251" s="18"/>
      <c r="E251" s="18"/>
      <c r="F251" s="952"/>
      <c r="G251" s="18"/>
      <c r="H251" s="18"/>
      <c r="I251" s="663"/>
    </row>
    <row r="252">
      <c r="A252" s="973">
        <v>44037.0</v>
      </c>
      <c r="B252" s="948">
        <f t="shared" ref="B252:B261" si="26">F252</f>
        <v>272</v>
      </c>
      <c r="C252" s="242"/>
      <c r="D252" s="242"/>
      <c r="E252" s="242"/>
      <c r="F252" s="949">
        <v>272.0</v>
      </c>
      <c r="G252" s="244" t="s">
        <v>4065</v>
      </c>
      <c r="H252" s="244"/>
      <c r="I252" s="662"/>
    </row>
    <row r="253">
      <c r="A253" s="265"/>
      <c r="B253" s="950">
        <f t="shared" si="26"/>
        <v>253</v>
      </c>
      <c r="F253" s="161">
        <v>253.0</v>
      </c>
      <c r="G253" s="2" t="s">
        <v>314</v>
      </c>
      <c r="I253" s="847"/>
    </row>
    <row r="254">
      <c r="A254" s="265"/>
      <c r="B254" s="950">
        <f t="shared" si="26"/>
        <v>645</v>
      </c>
      <c r="E254" s="975"/>
      <c r="F254" s="976">
        <v>645.0</v>
      </c>
      <c r="G254" s="336" t="s">
        <v>4066</v>
      </c>
      <c r="I254" s="847"/>
    </row>
    <row r="255">
      <c r="A255" s="265"/>
      <c r="B255" s="950">
        <f t="shared" si="26"/>
        <v>7250</v>
      </c>
      <c r="E255" s="975"/>
      <c r="F255" s="976">
        <v>7250.0</v>
      </c>
      <c r="G255" s="290" t="s">
        <v>3810</v>
      </c>
      <c r="I255" s="847"/>
    </row>
    <row r="256">
      <c r="A256" s="265"/>
      <c r="B256" s="950">
        <f t="shared" si="26"/>
        <v>5800</v>
      </c>
      <c r="E256" s="975"/>
      <c r="F256" s="976">
        <v>5800.0</v>
      </c>
      <c r="G256" s="290" t="s">
        <v>3848</v>
      </c>
      <c r="I256" s="847"/>
    </row>
    <row r="257">
      <c r="A257" s="265"/>
      <c r="B257" s="950">
        <f t="shared" si="26"/>
        <v>203</v>
      </c>
      <c r="E257" s="975"/>
      <c r="F257" s="976">
        <v>203.0</v>
      </c>
      <c r="G257" s="336" t="s">
        <v>4067</v>
      </c>
      <c r="I257" s="847"/>
    </row>
    <row r="258">
      <c r="A258" s="265"/>
      <c r="B258" s="950" t="str">
        <f t="shared" si="26"/>
        <v/>
      </c>
      <c r="E258" s="975"/>
      <c r="F258" s="977"/>
      <c r="G258" s="290"/>
      <c r="I258" s="847"/>
    </row>
    <row r="259">
      <c r="A259" s="265"/>
      <c r="B259" s="950" t="str">
        <f t="shared" si="26"/>
        <v/>
      </c>
      <c r="F259" s="161"/>
      <c r="I259" s="847"/>
    </row>
    <row r="260">
      <c r="A260" s="265"/>
      <c r="B260" s="950" t="str">
        <f t="shared" si="26"/>
        <v/>
      </c>
      <c r="F260" s="161"/>
      <c r="I260" s="847"/>
    </row>
    <row r="261">
      <c r="A261" s="265"/>
      <c r="B261" s="950" t="str">
        <f t="shared" si="26"/>
        <v/>
      </c>
      <c r="F261" s="161"/>
      <c r="I261" s="847"/>
    </row>
    <row r="262">
      <c r="A262" s="270"/>
      <c r="B262" s="194">
        <f>SUM(B252:B261)</f>
        <v>14423</v>
      </c>
      <c r="C262" s="18"/>
      <c r="D262" s="18"/>
      <c r="E262" s="18"/>
      <c r="F262" s="952"/>
      <c r="G262" s="18"/>
      <c r="H262" s="18"/>
      <c r="I262" s="663"/>
    </row>
    <row r="263">
      <c r="A263" s="973">
        <v>44038.0</v>
      </c>
      <c r="B263" s="948" t="str">
        <f t="shared" ref="B263:B270" si="27">F263</f>
        <v/>
      </c>
      <c r="C263" s="242"/>
      <c r="D263" s="242"/>
      <c r="E263" s="242"/>
      <c r="F263" s="949"/>
      <c r="G263" s="244"/>
      <c r="H263" s="244"/>
      <c r="I263" s="662"/>
    </row>
    <row r="264">
      <c r="A264" s="265"/>
      <c r="B264" s="950">
        <f t="shared" si="27"/>
        <v>8500</v>
      </c>
      <c r="E264" s="975"/>
      <c r="F264" s="976">
        <v>8500.0</v>
      </c>
      <c r="G264" s="290" t="s">
        <v>2787</v>
      </c>
      <c r="H264" s="552"/>
      <c r="I264" s="847"/>
    </row>
    <row r="265">
      <c r="A265" s="265"/>
      <c r="B265" s="950" t="str">
        <f t="shared" si="27"/>
        <v/>
      </c>
      <c r="E265" s="975">
        <v>3000.0</v>
      </c>
      <c r="F265" s="977"/>
      <c r="G265" s="290" t="s">
        <v>764</v>
      </c>
      <c r="H265" s="552"/>
      <c r="I265" s="847"/>
    </row>
    <row r="266">
      <c r="A266" s="265"/>
      <c r="B266" s="950" t="str">
        <f t="shared" si="27"/>
        <v/>
      </c>
      <c r="E266" s="2">
        <v>141.0</v>
      </c>
      <c r="F266" s="161"/>
      <c r="G266" s="2" t="s">
        <v>590</v>
      </c>
      <c r="I266" s="847"/>
    </row>
    <row r="267">
      <c r="A267" s="265"/>
      <c r="B267" s="950" t="str">
        <f t="shared" si="27"/>
        <v/>
      </c>
      <c r="E267" s="2">
        <v>397.0</v>
      </c>
      <c r="F267" s="161"/>
      <c r="G267" s="2" t="s">
        <v>708</v>
      </c>
      <c r="I267" s="847"/>
    </row>
    <row r="268">
      <c r="A268" s="265"/>
      <c r="B268" s="950" t="str">
        <f t="shared" si="27"/>
        <v/>
      </c>
      <c r="F268" s="161"/>
      <c r="I268" s="847"/>
    </row>
    <row r="269">
      <c r="A269" s="265"/>
      <c r="B269" s="950" t="str">
        <f t="shared" si="27"/>
        <v/>
      </c>
      <c r="F269" s="161"/>
      <c r="I269" s="847"/>
    </row>
    <row r="270">
      <c r="A270" s="265"/>
      <c r="B270" s="950" t="str">
        <f t="shared" si="27"/>
        <v/>
      </c>
      <c r="F270" s="161"/>
      <c r="I270" s="847"/>
    </row>
    <row r="271">
      <c r="A271" s="265"/>
      <c r="B271" s="950"/>
      <c r="F271" s="161"/>
      <c r="I271" s="847"/>
    </row>
    <row r="272">
      <c r="A272" s="265"/>
      <c r="B272" s="950" t="str">
        <f>F272</f>
        <v/>
      </c>
      <c r="F272" s="161"/>
      <c r="I272" s="847"/>
    </row>
    <row r="273">
      <c r="A273" s="270"/>
      <c r="B273" s="194">
        <f>SUM(B263:B272)</f>
        <v>8500</v>
      </c>
      <c r="C273" s="18"/>
      <c r="D273" s="18"/>
      <c r="E273" s="18"/>
      <c r="F273" s="952"/>
      <c r="G273" s="18"/>
      <c r="H273" s="18"/>
      <c r="I273" s="663"/>
    </row>
    <row r="274">
      <c r="A274" s="973">
        <v>44039.0</v>
      </c>
      <c r="B274" s="948">
        <f t="shared" ref="B274:B282" si="28">F274</f>
        <v>856.23</v>
      </c>
      <c r="C274" s="242"/>
      <c r="D274" s="242"/>
      <c r="E274" s="242"/>
      <c r="F274" s="949">
        <v>856.23</v>
      </c>
      <c r="G274" s="244" t="s">
        <v>314</v>
      </c>
      <c r="H274" s="244"/>
      <c r="I274" s="662"/>
    </row>
    <row r="275">
      <c r="A275" s="265"/>
      <c r="B275" s="950">
        <f t="shared" si="28"/>
        <v>430</v>
      </c>
      <c r="F275" s="161">
        <v>430.0</v>
      </c>
      <c r="G275" s="2" t="s">
        <v>4068</v>
      </c>
      <c r="I275" s="847"/>
    </row>
    <row r="276">
      <c r="A276" s="265"/>
      <c r="B276" s="950">
        <f t="shared" si="28"/>
        <v>2670</v>
      </c>
      <c r="F276" s="161">
        <v>2670.0</v>
      </c>
      <c r="G276" s="2" t="s">
        <v>4069</v>
      </c>
      <c r="I276" s="847"/>
    </row>
    <row r="277">
      <c r="A277" s="265"/>
      <c r="B277" s="950">
        <f t="shared" si="28"/>
        <v>2800</v>
      </c>
      <c r="F277" s="161">
        <v>2800.0</v>
      </c>
      <c r="G277" s="2" t="s">
        <v>4070</v>
      </c>
      <c r="H277" s="778"/>
      <c r="I277" s="847"/>
    </row>
    <row r="278">
      <c r="A278" s="265"/>
      <c r="B278" s="950" t="str">
        <f t="shared" si="28"/>
        <v/>
      </c>
      <c r="F278" s="161"/>
      <c r="I278" s="847"/>
    </row>
    <row r="279">
      <c r="A279" s="265"/>
      <c r="B279" s="950" t="str">
        <f t="shared" si="28"/>
        <v/>
      </c>
      <c r="F279" s="161"/>
      <c r="I279" s="847"/>
    </row>
    <row r="280">
      <c r="A280" s="265"/>
      <c r="B280" s="950" t="str">
        <f t="shared" si="28"/>
        <v/>
      </c>
      <c r="F280" s="161"/>
      <c r="I280" s="847"/>
    </row>
    <row r="281">
      <c r="A281" s="265"/>
      <c r="B281" s="950" t="str">
        <f t="shared" si="28"/>
        <v/>
      </c>
      <c r="F281" s="161"/>
      <c r="I281" s="847"/>
    </row>
    <row r="282">
      <c r="A282" s="265"/>
      <c r="B282" s="950" t="str">
        <f t="shared" si="28"/>
        <v/>
      </c>
      <c r="F282" s="161"/>
      <c r="I282" s="847"/>
    </row>
    <row r="283">
      <c r="A283" s="270"/>
      <c r="B283" s="194">
        <f>SUM(B274:B282)</f>
        <v>6756.23</v>
      </c>
      <c r="C283" s="18"/>
      <c r="D283" s="18"/>
      <c r="E283" s="18"/>
      <c r="F283" s="952"/>
      <c r="G283" s="18"/>
      <c r="H283" s="18"/>
      <c r="I283" s="663"/>
    </row>
    <row r="284">
      <c r="A284" s="973">
        <v>44040.0</v>
      </c>
      <c r="B284" s="948">
        <f t="shared" ref="B284:B292" si="29">F284</f>
        <v>2592</v>
      </c>
      <c r="C284" s="242"/>
      <c r="D284" s="242"/>
      <c r="E284" s="242"/>
      <c r="F284" s="949">
        <v>2592.0</v>
      </c>
      <c r="G284" s="244" t="s">
        <v>4071</v>
      </c>
      <c r="H284" s="244"/>
      <c r="I284" s="662"/>
    </row>
    <row r="285">
      <c r="A285" s="265"/>
      <c r="B285" s="950">
        <f t="shared" si="29"/>
        <v>1786</v>
      </c>
      <c r="F285" s="161">
        <v>1786.0</v>
      </c>
      <c r="G285" s="2" t="s">
        <v>708</v>
      </c>
      <c r="I285" s="847"/>
    </row>
    <row r="286">
      <c r="A286" s="265"/>
      <c r="B286" s="950">
        <f t="shared" si="29"/>
        <v>695</v>
      </c>
      <c r="F286" s="161">
        <v>695.0</v>
      </c>
      <c r="G286" s="2" t="s">
        <v>708</v>
      </c>
      <c r="I286" s="847"/>
    </row>
    <row r="287">
      <c r="A287" s="265"/>
      <c r="B287" s="950">
        <f t="shared" si="29"/>
        <v>645</v>
      </c>
      <c r="F287" s="161">
        <v>645.0</v>
      </c>
      <c r="G287" s="2" t="s">
        <v>3911</v>
      </c>
      <c r="I287" s="847"/>
    </row>
    <row r="288">
      <c r="A288" s="265"/>
      <c r="B288" s="950">
        <f t="shared" si="29"/>
        <v>2610</v>
      </c>
      <c r="F288" s="161">
        <v>2610.0</v>
      </c>
      <c r="G288" s="2" t="s">
        <v>612</v>
      </c>
      <c r="I288" s="847"/>
    </row>
    <row r="289">
      <c r="A289" s="265"/>
      <c r="B289" s="950">
        <f t="shared" si="29"/>
        <v>2610</v>
      </c>
      <c r="F289" s="161">
        <v>2610.0</v>
      </c>
      <c r="G289" s="2" t="s">
        <v>4072</v>
      </c>
      <c r="I289" s="847"/>
    </row>
    <row r="290">
      <c r="A290" s="265"/>
      <c r="B290" s="950" t="str">
        <f t="shared" si="29"/>
        <v/>
      </c>
      <c r="F290" s="161"/>
      <c r="I290" s="847"/>
    </row>
    <row r="291">
      <c r="A291" s="265"/>
      <c r="B291" s="950" t="str">
        <f t="shared" si="29"/>
        <v/>
      </c>
      <c r="F291" s="161"/>
      <c r="I291" s="847"/>
    </row>
    <row r="292">
      <c r="A292" s="265"/>
      <c r="B292" s="950" t="str">
        <f t="shared" si="29"/>
        <v/>
      </c>
      <c r="F292" s="161"/>
      <c r="I292" s="847"/>
    </row>
    <row r="293">
      <c r="A293" s="270"/>
      <c r="B293" s="194">
        <f>SUM(B284:B292)</f>
        <v>10938</v>
      </c>
      <c r="C293" s="18"/>
      <c r="D293" s="18"/>
      <c r="E293" s="18"/>
      <c r="F293" s="952"/>
      <c r="G293" s="18"/>
      <c r="H293" s="18"/>
      <c r="I293" s="663"/>
    </row>
    <row r="294">
      <c r="A294" s="973">
        <v>44041.0</v>
      </c>
      <c r="B294" s="948">
        <f t="shared" ref="B294:B302" si="30">F294</f>
        <v>430</v>
      </c>
      <c r="C294" s="242"/>
      <c r="D294" s="242"/>
      <c r="E294" s="242"/>
      <c r="F294" s="949">
        <v>430.0</v>
      </c>
      <c r="G294" s="244" t="s">
        <v>3911</v>
      </c>
      <c r="H294" s="244"/>
      <c r="I294" s="662"/>
    </row>
    <row r="295">
      <c r="A295" s="265"/>
      <c r="B295" s="950">
        <f t="shared" si="30"/>
        <v>279</v>
      </c>
      <c r="F295" s="161">
        <v>279.0</v>
      </c>
      <c r="G295" s="2" t="s">
        <v>314</v>
      </c>
      <c r="I295" s="847"/>
    </row>
    <row r="296">
      <c r="A296" s="265"/>
      <c r="B296" s="950">
        <f t="shared" si="30"/>
        <v>2000</v>
      </c>
      <c r="F296" s="161">
        <v>2000.0</v>
      </c>
      <c r="G296" s="2" t="s">
        <v>3731</v>
      </c>
      <c r="I296" s="847"/>
    </row>
    <row r="297">
      <c r="A297" s="265"/>
      <c r="B297" s="950" t="str">
        <f t="shared" si="30"/>
        <v/>
      </c>
      <c r="C297" s="2">
        <v>6212.0</v>
      </c>
      <c r="F297" s="161"/>
      <c r="G297" s="2" t="s">
        <v>4073</v>
      </c>
      <c r="I297" s="847"/>
    </row>
    <row r="298">
      <c r="A298" s="265"/>
      <c r="B298" s="950">
        <f t="shared" si="30"/>
        <v>358.34</v>
      </c>
      <c r="F298" s="161">
        <v>358.34</v>
      </c>
      <c r="G298" s="2" t="s">
        <v>314</v>
      </c>
      <c r="I298" s="847"/>
    </row>
    <row r="299">
      <c r="A299" s="265"/>
      <c r="B299" s="950">
        <f t="shared" si="30"/>
        <v>400</v>
      </c>
      <c r="F299" s="161">
        <v>400.0</v>
      </c>
      <c r="G299" s="2" t="s">
        <v>3536</v>
      </c>
      <c r="I299" s="847"/>
    </row>
    <row r="300">
      <c r="A300" s="265"/>
      <c r="B300" s="950" t="str">
        <f t="shared" si="30"/>
        <v/>
      </c>
      <c r="F300" s="161"/>
      <c r="I300" s="847"/>
    </row>
    <row r="301">
      <c r="A301" s="265"/>
      <c r="B301" s="950" t="str">
        <f t="shared" si="30"/>
        <v/>
      </c>
      <c r="F301" s="161"/>
      <c r="I301" s="847"/>
    </row>
    <row r="302">
      <c r="A302" s="265"/>
      <c r="B302" s="950" t="str">
        <f t="shared" si="30"/>
        <v/>
      </c>
      <c r="F302" s="161"/>
      <c r="I302" s="847"/>
    </row>
    <row r="303">
      <c r="A303" s="270"/>
      <c r="B303" s="194">
        <f>SUM(B294:B302)</f>
        <v>3467.34</v>
      </c>
      <c r="C303" s="18"/>
      <c r="D303" s="18"/>
      <c r="E303" s="18"/>
      <c r="F303" s="952"/>
      <c r="G303" s="18"/>
      <c r="H303" s="18"/>
      <c r="I303" s="663"/>
    </row>
    <row r="304">
      <c r="A304" s="973">
        <v>44042.0</v>
      </c>
      <c r="B304" s="948" t="str">
        <f t="shared" ref="B304:B312" si="31">F304</f>
        <v/>
      </c>
      <c r="C304" s="244">
        <v>10718.98</v>
      </c>
      <c r="D304" s="242"/>
      <c r="E304" s="242"/>
      <c r="F304" s="949"/>
      <c r="G304" s="244" t="s">
        <v>951</v>
      </c>
      <c r="H304" s="244"/>
      <c r="I304" s="662"/>
    </row>
    <row r="305">
      <c r="A305" s="265"/>
      <c r="B305" s="950" t="str">
        <f t="shared" si="31"/>
        <v/>
      </c>
      <c r="D305" s="2">
        <v>3000.0</v>
      </c>
      <c r="F305" s="161"/>
      <c r="G305" s="2" t="s">
        <v>4074</v>
      </c>
      <c r="H305" s="2"/>
      <c r="I305" s="847"/>
    </row>
    <row r="306">
      <c r="A306" s="265"/>
      <c r="B306" s="950" t="str">
        <f t="shared" si="31"/>
        <v/>
      </c>
      <c r="D306" s="2">
        <v>18150.0</v>
      </c>
      <c r="F306" s="161"/>
      <c r="G306" s="2" t="s">
        <v>4075</v>
      </c>
      <c r="I306" s="847"/>
    </row>
    <row r="307">
      <c r="A307" s="265"/>
      <c r="B307" s="950" t="str">
        <f t="shared" si="31"/>
        <v/>
      </c>
      <c r="C307" s="2">
        <v>4912.6</v>
      </c>
      <c r="F307" s="161"/>
      <c r="G307" s="2" t="s">
        <v>2637</v>
      </c>
      <c r="I307" s="847"/>
    </row>
    <row r="308">
      <c r="A308" s="265"/>
      <c r="B308" s="950">
        <f t="shared" si="31"/>
        <v>2178</v>
      </c>
      <c r="F308" s="161">
        <v>2178.0</v>
      </c>
      <c r="G308" s="2" t="s">
        <v>4076</v>
      </c>
      <c r="I308" s="847"/>
    </row>
    <row r="309">
      <c r="A309" s="265"/>
      <c r="B309" s="950" t="str">
        <f t="shared" si="31"/>
        <v/>
      </c>
      <c r="F309" s="161"/>
      <c r="I309" s="847"/>
    </row>
    <row r="310">
      <c r="A310" s="265"/>
      <c r="B310" s="950" t="str">
        <f t="shared" si="31"/>
        <v/>
      </c>
      <c r="F310" s="161"/>
      <c r="I310" s="847"/>
    </row>
    <row r="311">
      <c r="A311" s="265"/>
      <c r="B311" s="950" t="str">
        <f t="shared" si="31"/>
        <v/>
      </c>
      <c r="F311" s="161"/>
      <c r="I311" s="847"/>
    </row>
    <row r="312">
      <c r="A312" s="265"/>
      <c r="B312" s="950" t="str">
        <f t="shared" si="31"/>
        <v/>
      </c>
      <c r="F312" s="161"/>
      <c r="I312" s="847"/>
    </row>
    <row r="313">
      <c r="A313" s="270"/>
      <c r="B313" s="194">
        <f>SUM(B304:B312)</f>
        <v>2178</v>
      </c>
      <c r="C313" s="18"/>
      <c r="D313" s="18"/>
      <c r="E313" s="18"/>
      <c r="F313" s="952"/>
      <c r="G313" s="18"/>
      <c r="H313" s="18"/>
      <c r="I313" s="663"/>
    </row>
    <row r="314">
      <c r="A314" s="973">
        <v>44043.0</v>
      </c>
      <c r="B314" s="948">
        <f t="shared" ref="B314:B322" si="32">F314</f>
        <v>4912.6</v>
      </c>
      <c r="C314" s="242"/>
      <c r="D314" s="244"/>
      <c r="E314" s="242"/>
      <c r="F314" s="949">
        <v>4912.6</v>
      </c>
      <c r="G314" s="244" t="s">
        <v>4077</v>
      </c>
      <c r="H314" s="244"/>
      <c r="I314" s="662"/>
    </row>
    <row r="315">
      <c r="A315" s="265"/>
      <c r="B315" s="950">
        <f t="shared" si="32"/>
        <v>430</v>
      </c>
      <c r="F315" s="161">
        <v>430.0</v>
      </c>
      <c r="G315" s="2" t="s">
        <v>4078</v>
      </c>
      <c r="I315" s="847"/>
    </row>
    <row r="316">
      <c r="A316" s="265"/>
      <c r="B316" s="950">
        <f t="shared" si="32"/>
        <v>1634.46</v>
      </c>
      <c r="F316" s="161">
        <f>110+1524.46</f>
        <v>1634.46</v>
      </c>
      <c r="G316" s="2" t="s">
        <v>708</v>
      </c>
      <c r="I316" s="847"/>
    </row>
    <row r="317">
      <c r="A317" s="265"/>
      <c r="B317" s="950">
        <f t="shared" si="32"/>
        <v>150</v>
      </c>
      <c r="F317" s="161">
        <v>150.0</v>
      </c>
      <c r="G317" s="2" t="s">
        <v>4079</v>
      </c>
      <c r="I317" s="847"/>
    </row>
    <row r="318">
      <c r="A318" s="265"/>
      <c r="B318" s="950">
        <f t="shared" si="32"/>
        <v>2500</v>
      </c>
      <c r="F318" s="161">
        <v>2500.0</v>
      </c>
      <c r="G318" s="2" t="s">
        <v>4080</v>
      </c>
      <c r="I318" s="847"/>
    </row>
    <row r="319">
      <c r="A319" s="265"/>
      <c r="B319" s="950">
        <f t="shared" si="32"/>
        <v>6050</v>
      </c>
      <c r="F319" s="161">
        <v>6050.0</v>
      </c>
      <c r="G319" s="2" t="s">
        <v>3811</v>
      </c>
      <c r="H319" s="942"/>
      <c r="I319" s="847"/>
    </row>
    <row r="320">
      <c r="A320" s="265"/>
      <c r="B320" s="950">
        <f t="shared" si="32"/>
        <v>5800</v>
      </c>
      <c r="F320" s="161">
        <v>5800.0</v>
      </c>
      <c r="G320" s="2" t="s">
        <v>3848</v>
      </c>
      <c r="H320" s="942"/>
      <c r="I320" s="847"/>
    </row>
    <row r="321">
      <c r="A321" s="265"/>
      <c r="B321" s="950">
        <f t="shared" si="32"/>
        <v>7750</v>
      </c>
      <c r="F321" s="161">
        <v>7750.0</v>
      </c>
      <c r="G321" s="2" t="s">
        <v>3815</v>
      </c>
      <c r="H321" s="942"/>
      <c r="I321" s="847"/>
    </row>
    <row r="322">
      <c r="A322" s="265"/>
      <c r="B322" s="950">
        <f t="shared" si="32"/>
        <v>2400</v>
      </c>
      <c r="F322" s="161">
        <v>2400.0</v>
      </c>
      <c r="G322" s="2" t="s">
        <v>4081</v>
      </c>
      <c r="I322" s="847"/>
    </row>
    <row r="323">
      <c r="A323" s="265"/>
      <c r="B323" s="967"/>
      <c r="F323" s="852"/>
      <c r="I323" s="847"/>
    </row>
    <row r="324">
      <c r="A324" s="270"/>
      <c r="B324" s="194">
        <f>SUM(B314:B323)</f>
        <v>31627.06</v>
      </c>
      <c r="C324" s="18"/>
      <c r="D324" s="18"/>
      <c r="E324" s="18"/>
      <c r="F324" s="952"/>
      <c r="G324" s="18"/>
      <c r="H324" s="18"/>
      <c r="I324" s="663"/>
    </row>
    <row r="325">
      <c r="A325" s="973">
        <v>44044.0</v>
      </c>
      <c r="B325" s="948" t="str">
        <f t="shared" ref="B325:B333" si="33">F325</f>
        <v/>
      </c>
      <c r="C325" s="242"/>
      <c r="D325" s="242"/>
      <c r="E325" s="242"/>
      <c r="F325" s="949"/>
      <c r="G325" s="244"/>
      <c r="H325" s="244"/>
      <c r="I325" s="662"/>
    </row>
    <row r="326">
      <c r="A326" s="265"/>
      <c r="B326" s="950">
        <f t="shared" si="33"/>
        <v>8500</v>
      </c>
      <c r="F326" s="161">
        <v>8500.0</v>
      </c>
      <c r="G326" s="2" t="s">
        <v>2787</v>
      </c>
      <c r="H326" s="84"/>
      <c r="I326" s="847"/>
    </row>
    <row r="327">
      <c r="A327" s="265"/>
      <c r="B327" s="950">
        <f t="shared" si="33"/>
        <v>7250</v>
      </c>
      <c r="F327" s="161">
        <v>7250.0</v>
      </c>
      <c r="G327" s="2" t="s">
        <v>3845</v>
      </c>
      <c r="H327" s="942"/>
      <c r="I327" s="847"/>
    </row>
    <row r="328">
      <c r="A328" s="265"/>
      <c r="B328" s="950">
        <f t="shared" si="33"/>
        <v>5750</v>
      </c>
      <c r="F328" s="161">
        <v>5750.0</v>
      </c>
      <c r="G328" s="2" t="s">
        <v>3846</v>
      </c>
      <c r="H328" s="942"/>
      <c r="I328" s="847"/>
    </row>
    <row r="329">
      <c r="A329" s="265"/>
      <c r="B329" s="950">
        <f t="shared" si="33"/>
        <v>3000</v>
      </c>
      <c r="F329" s="161">
        <v>3000.0</v>
      </c>
      <c r="G329" s="2" t="s">
        <v>764</v>
      </c>
      <c r="H329" s="942"/>
      <c r="I329" s="847"/>
    </row>
    <row r="330">
      <c r="A330" s="265"/>
      <c r="B330" s="950">
        <f t="shared" si="33"/>
        <v>5800</v>
      </c>
      <c r="F330" s="161">
        <v>5800.0</v>
      </c>
      <c r="G330" s="2" t="s">
        <v>3847</v>
      </c>
      <c r="H330" s="942"/>
      <c r="I330" s="847"/>
    </row>
    <row r="331">
      <c r="A331" s="265"/>
      <c r="B331" s="950">
        <f t="shared" si="33"/>
        <v>645</v>
      </c>
      <c r="F331" s="161">
        <v>645.0</v>
      </c>
      <c r="G331" s="2" t="s">
        <v>695</v>
      </c>
      <c r="I331" s="847"/>
    </row>
    <row r="332">
      <c r="A332" s="265"/>
      <c r="B332" s="950">
        <f t="shared" si="33"/>
        <v>1681</v>
      </c>
      <c r="F332" s="161">
        <v>1681.0</v>
      </c>
      <c r="G332" s="2" t="s">
        <v>708</v>
      </c>
      <c r="I332" s="847"/>
    </row>
    <row r="333">
      <c r="A333" s="265"/>
      <c r="B333" s="950" t="str">
        <f t="shared" si="33"/>
        <v/>
      </c>
      <c r="D333" s="2">
        <v>3000.0</v>
      </c>
      <c r="F333" s="161"/>
      <c r="G333" s="2" t="s">
        <v>3939</v>
      </c>
      <c r="I333" s="847"/>
    </row>
    <row r="334">
      <c r="A334" s="265"/>
      <c r="B334" s="967"/>
      <c r="F334" s="852"/>
      <c r="I334" s="847"/>
    </row>
    <row r="335">
      <c r="A335" s="270"/>
      <c r="B335" s="194">
        <f>SUM(B325:B333)</f>
        <v>32626</v>
      </c>
      <c r="C335" s="18"/>
      <c r="D335" s="18"/>
      <c r="E335" s="18"/>
      <c r="F335" s="952"/>
      <c r="G335" s="18"/>
      <c r="H335" s="18"/>
      <c r="I335" s="663"/>
    </row>
    <row r="336">
      <c r="A336" s="978"/>
    </row>
    <row r="337">
      <c r="A337" s="978"/>
    </row>
    <row r="338">
      <c r="A338" s="978"/>
    </row>
    <row r="339">
      <c r="A339" s="978"/>
    </row>
    <row r="340">
      <c r="A340" s="978"/>
    </row>
    <row r="341">
      <c r="A341" s="978"/>
    </row>
    <row r="342">
      <c r="A342" s="978"/>
    </row>
    <row r="343">
      <c r="A343" s="978"/>
    </row>
    <row r="344">
      <c r="A344" s="978"/>
    </row>
    <row r="345">
      <c r="A345" s="978"/>
    </row>
    <row r="346">
      <c r="A346" s="978"/>
    </row>
    <row r="347">
      <c r="A347" s="978"/>
    </row>
    <row r="348">
      <c r="A348" s="978"/>
    </row>
    <row r="349">
      <c r="A349" s="978"/>
    </row>
    <row r="350">
      <c r="A350" s="978"/>
    </row>
    <row r="351">
      <c r="A351" s="978"/>
    </row>
    <row r="352">
      <c r="A352" s="978"/>
    </row>
    <row r="353">
      <c r="A353" s="978"/>
    </row>
    <row r="354">
      <c r="A354" s="978"/>
    </row>
    <row r="355">
      <c r="A355" s="978"/>
    </row>
    <row r="356">
      <c r="A356" s="978"/>
    </row>
    <row r="357">
      <c r="A357" s="978"/>
    </row>
    <row r="358">
      <c r="A358" s="978"/>
    </row>
    <row r="359">
      <c r="A359" s="978"/>
    </row>
    <row r="360">
      <c r="A360" s="978"/>
    </row>
    <row r="361">
      <c r="A361" s="978"/>
    </row>
    <row r="362">
      <c r="A362" s="978"/>
    </row>
    <row r="363">
      <c r="A363" s="978"/>
    </row>
    <row r="364">
      <c r="A364" s="978"/>
    </row>
    <row r="365">
      <c r="A365" s="978"/>
    </row>
    <row r="366">
      <c r="A366" s="978"/>
    </row>
    <row r="367">
      <c r="A367" s="978"/>
    </row>
    <row r="368">
      <c r="A368" s="978"/>
    </row>
    <row r="369">
      <c r="A369" s="978"/>
    </row>
    <row r="370">
      <c r="A370" s="978"/>
    </row>
    <row r="371">
      <c r="A371" s="978"/>
    </row>
    <row r="372">
      <c r="A372" s="978"/>
    </row>
    <row r="373">
      <c r="A373" s="978"/>
    </row>
    <row r="374">
      <c r="A374" s="978"/>
    </row>
    <row r="375">
      <c r="A375" s="978"/>
    </row>
    <row r="376">
      <c r="A376" s="978"/>
    </row>
    <row r="377">
      <c r="A377" s="978"/>
    </row>
    <row r="378">
      <c r="A378" s="978"/>
    </row>
    <row r="379">
      <c r="A379" s="978"/>
    </row>
    <row r="380">
      <c r="A380" s="978"/>
    </row>
    <row r="381">
      <c r="A381" s="978"/>
    </row>
    <row r="382">
      <c r="A382" s="978"/>
    </row>
    <row r="383">
      <c r="A383" s="978"/>
    </row>
    <row r="384">
      <c r="A384" s="978"/>
    </row>
    <row r="385">
      <c r="A385" s="978"/>
    </row>
    <row r="386">
      <c r="A386" s="978"/>
    </row>
    <row r="387">
      <c r="A387" s="978"/>
    </row>
    <row r="388">
      <c r="A388" s="978"/>
    </row>
    <row r="389">
      <c r="A389" s="978"/>
    </row>
    <row r="390">
      <c r="A390" s="978"/>
    </row>
    <row r="391">
      <c r="A391" s="978"/>
    </row>
    <row r="392">
      <c r="A392" s="978"/>
    </row>
    <row r="393">
      <c r="A393" s="978"/>
    </row>
    <row r="394">
      <c r="A394" s="978"/>
    </row>
    <row r="395">
      <c r="A395" s="978"/>
    </row>
    <row r="396">
      <c r="A396" s="978"/>
    </row>
    <row r="397">
      <c r="A397" s="978"/>
    </row>
    <row r="398">
      <c r="A398" s="978"/>
    </row>
    <row r="399">
      <c r="A399" s="978"/>
    </row>
    <row r="400">
      <c r="A400" s="978"/>
    </row>
    <row r="401">
      <c r="A401" s="978"/>
    </row>
    <row r="402">
      <c r="A402" s="978"/>
    </row>
    <row r="403">
      <c r="A403" s="978"/>
    </row>
    <row r="404">
      <c r="A404" s="978"/>
    </row>
    <row r="405">
      <c r="A405" s="978"/>
    </row>
    <row r="406">
      <c r="A406" s="978"/>
    </row>
    <row r="407">
      <c r="A407" s="978"/>
    </row>
    <row r="408">
      <c r="A408" s="978"/>
    </row>
    <row r="409">
      <c r="A409" s="978"/>
    </row>
    <row r="410">
      <c r="A410" s="978"/>
    </row>
    <row r="411">
      <c r="A411" s="978"/>
    </row>
    <row r="412">
      <c r="A412" s="978"/>
    </row>
    <row r="413">
      <c r="A413" s="978"/>
    </row>
    <row r="414">
      <c r="A414" s="978"/>
    </row>
    <row r="415">
      <c r="A415" s="978"/>
    </row>
    <row r="416">
      <c r="A416" s="978"/>
    </row>
    <row r="417">
      <c r="A417" s="978"/>
    </row>
    <row r="418">
      <c r="A418" s="978"/>
    </row>
    <row r="419">
      <c r="A419" s="978"/>
    </row>
    <row r="420">
      <c r="A420" s="978"/>
    </row>
    <row r="421">
      <c r="A421" s="978"/>
    </row>
    <row r="422">
      <c r="A422" s="978"/>
    </row>
    <row r="423">
      <c r="A423" s="978"/>
    </row>
    <row r="424">
      <c r="A424" s="978"/>
    </row>
    <row r="425">
      <c r="A425" s="978"/>
    </row>
    <row r="426">
      <c r="A426" s="978"/>
    </row>
    <row r="427">
      <c r="A427" s="978"/>
    </row>
    <row r="428">
      <c r="A428" s="978"/>
    </row>
    <row r="429">
      <c r="A429" s="978"/>
    </row>
    <row r="430">
      <c r="A430" s="978"/>
    </row>
    <row r="431">
      <c r="A431" s="978"/>
    </row>
    <row r="432">
      <c r="A432" s="978"/>
    </row>
    <row r="433">
      <c r="A433" s="978"/>
    </row>
    <row r="434">
      <c r="A434" s="978"/>
    </row>
    <row r="435">
      <c r="A435" s="978"/>
    </row>
    <row r="436">
      <c r="A436" s="978"/>
    </row>
    <row r="437">
      <c r="A437" s="978"/>
    </row>
    <row r="438">
      <c r="A438" s="978"/>
    </row>
    <row r="439">
      <c r="A439" s="978"/>
    </row>
    <row r="440">
      <c r="A440" s="978"/>
    </row>
    <row r="441">
      <c r="A441" s="978"/>
    </row>
    <row r="442">
      <c r="A442" s="978"/>
    </row>
    <row r="443">
      <c r="A443" s="978"/>
    </row>
    <row r="444">
      <c r="A444" s="978"/>
    </row>
    <row r="445">
      <c r="A445" s="978"/>
    </row>
    <row r="446">
      <c r="A446" s="978"/>
    </row>
    <row r="447">
      <c r="A447" s="978"/>
    </row>
    <row r="448">
      <c r="A448" s="978"/>
    </row>
    <row r="449">
      <c r="A449" s="978"/>
    </row>
    <row r="450">
      <c r="A450" s="978"/>
    </row>
    <row r="451">
      <c r="A451" s="978"/>
    </row>
    <row r="452">
      <c r="A452" s="978"/>
    </row>
    <row r="453">
      <c r="A453" s="978"/>
    </row>
    <row r="454">
      <c r="A454" s="978"/>
    </row>
    <row r="455">
      <c r="A455" s="978"/>
    </row>
    <row r="456">
      <c r="A456" s="978"/>
    </row>
    <row r="457">
      <c r="A457" s="978"/>
    </row>
    <row r="458">
      <c r="A458" s="978"/>
    </row>
    <row r="459">
      <c r="A459" s="978"/>
    </row>
    <row r="460">
      <c r="A460" s="978"/>
    </row>
    <row r="461">
      <c r="A461" s="978"/>
    </row>
    <row r="462">
      <c r="A462" s="978"/>
    </row>
    <row r="463">
      <c r="A463" s="978"/>
    </row>
    <row r="464">
      <c r="A464" s="978"/>
    </row>
    <row r="465">
      <c r="A465" s="978"/>
    </row>
    <row r="466">
      <c r="A466" s="978"/>
    </row>
    <row r="467">
      <c r="A467" s="978"/>
    </row>
    <row r="468">
      <c r="A468" s="978"/>
    </row>
    <row r="469">
      <c r="A469" s="978"/>
    </row>
    <row r="470">
      <c r="A470" s="978"/>
    </row>
    <row r="471">
      <c r="A471" s="978"/>
    </row>
    <row r="472">
      <c r="A472" s="978"/>
    </row>
    <row r="473">
      <c r="A473" s="978"/>
    </row>
    <row r="474">
      <c r="A474" s="978"/>
    </row>
    <row r="475">
      <c r="A475" s="978"/>
    </row>
    <row r="476">
      <c r="A476" s="978"/>
    </row>
    <row r="477">
      <c r="A477" s="978"/>
    </row>
    <row r="478">
      <c r="A478" s="978"/>
    </row>
    <row r="479">
      <c r="A479" s="978"/>
    </row>
    <row r="480">
      <c r="A480" s="978"/>
    </row>
    <row r="481">
      <c r="A481" s="978"/>
    </row>
    <row r="482">
      <c r="A482" s="978"/>
    </row>
    <row r="483">
      <c r="A483" s="978"/>
    </row>
    <row r="484">
      <c r="A484" s="978"/>
    </row>
    <row r="485">
      <c r="A485" s="978"/>
    </row>
    <row r="486">
      <c r="A486" s="978"/>
    </row>
    <row r="487">
      <c r="A487" s="978"/>
    </row>
    <row r="488">
      <c r="A488" s="978"/>
    </row>
    <row r="489">
      <c r="A489" s="978"/>
    </row>
    <row r="490">
      <c r="A490" s="978"/>
    </row>
    <row r="491">
      <c r="A491" s="978"/>
    </row>
    <row r="492">
      <c r="A492" s="978"/>
    </row>
    <row r="493">
      <c r="A493" s="978"/>
    </row>
    <row r="494">
      <c r="A494" s="978"/>
    </row>
    <row r="495">
      <c r="A495" s="978"/>
    </row>
    <row r="496">
      <c r="A496" s="978"/>
    </row>
    <row r="497">
      <c r="A497" s="978"/>
    </row>
    <row r="498">
      <c r="A498" s="978"/>
    </row>
    <row r="499">
      <c r="A499" s="978"/>
    </row>
    <row r="500">
      <c r="A500" s="978"/>
    </row>
    <row r="501">
      <c r="A501" s="978"/>
    </row>
    <row r="502">
      <c r="A502" s="978"/>
    </row>
    <row r="503">
      <c r="A503" s="978"/>
    </row>
    <row r="504">
      <c r="A504" s="978"/>
    </row>
    <row r="505">
      <c r="A505" s="978"/>
    </row>
    <row r="506">
      <c r="A506" s="978"/>
    </row>
    <row r="507">
      <c r="A507" s="978"/>
    </row>
    <row r="508">
      <c r="A508" s="978"/>
    </row>
    <row r="509">
      <c r="A509" s="978"/>
    </row>
    <row r="510">
      <c r="A510" s="978"/>
    </row>
    <row r="511">
      <c r="A511" s="978"/>
    </row>
    <row r="512">
      <c r="A512" s="978"/>
    </row>
    <row r="513">
      <c r="A513" s="978"/>
    </row>
    <row r="514">
      <c r="A514" s="978"/>
    </row>
    <row r="515">
      <c r="A515" s="978"/>
    </row>
    <row r="516">
      <c r="A516" s="978"/>
    </row>
    <row r="517">
      <c r="A517" s="978"/>
    </row>
    <row r="518">
      <c r="A518" s="978"/>
    </row>
    <row r="519">
      <c r="A519" s="978"/>
    </row>
    <row r="520">
      <c r="A520" s="978"/>
    </row>
    <row r="521">
      <c r="A521" s="978"/>
    </row>
    <row r="522">
      <c r="A522" s="978"/>
    </row>
    <row r="523">
      <c r="A523" s="978"/>
    </row>
    <row r="524">
      <c r="A524" s="978"/>
    </row>
    <row r="525">
      <c r="A525" s="978"/>
    </row>
    <row r="526">
      <c r="A526" s="978"/>
    </row>
    <row r="527">
      <c r="A527" s="978"/>
    </row>
    <row r="528">
      <c r="A528" s="978"/>
    </row>
    <row r="529">
      <c r="A529" s="978"/>
    </row>
    <row r="530">
      <c r="A530" s="978"/>
    </row>
    <row r="531">
      <c r="A531" s="978"/>
    </row>
    <row r="532">
      <c r="A532" s="978"/>
    </row>
    <row r="533">
      <c r="A533" s="978"/>
    </row>
    <row r="534">
      <c r="A534" s="978"/>
    </row>
    <row r="535">
      <c r="A535" s="978"/>
    </row>
    <row r="536">
      <c r="A536" s="978"/>
    </row>
    <row r="537">
      <c r="A537" s="978"/>
    </row>
    <row r="538">
      <c r="A538" s="978"/>
    </row>
    <row r="539">
      <c r="A539" s="978"/>
    </row>
    <row r="540">
      <c r="A540" s="978"/>
    </row>
    <row r="541">
      <c r="A541" s="978"/>
    </row>
    <row r="542">
      <c r="A542" s="978"/>
    </row>
    <row r="543">
      <c r="A543" s="978"/>
    </row>
    <row r="544">
      <c r="A544" s="978"/>
    </row>
    <row r="545">
      <c r="A545" s="978"/>
    </row>
    <row r="546">
      <c r="A546" s="978"/>
    </row>
    <row r="547">
      <c r="A547" s="978"/>
    </row>
    <row r="548">
      <c r="A548" s="978"/>
    </row>
    <row r="549">
      <c r="A549" s="978"/>
    </row>
    <row r="550">
      <c r="A550" s="978"/>
    </row>
    <row r="551">
      <c r="A551" s="978"/>
    </row>
    <row r="552">
      <c r="A552" s="978"/>
    </row>
    <row r="553">
      <c r="A553" s="978"/>
    </row>
    <row r="554">
      <c r="A554" s="978"/>
    </row>
    <row r="555">
      <c r="A555" s="978"/>
    </row>
    <row r="556">
      <c r="A556" s="978"/>
    </row>
    <row r="557">
      <c r="A557" s="978"/>
    </row>
    <row r="558">
      <c r="A558" s="978"/>
    </row>
    <row r="559">
      <c r="A559" s="978"/>
    </row>
    <row r="560">
      <c r="A560" s="978"/>
    </row>
    <row r="561">
      <c r="A561" s="978"/>
    </row>
    <row r="562">
      <c r="A562" s="978"/>
    </row>
    <row r="563">
      <c r="A563" s="978"/>
    </row>
    <row r="564">
      <c r="A564" s="978"/>
    </row>
    <row r="565">
      <c r="A565" s="978"/>
    </row>
    <row r="566">
      <c r="A566" s="978"/>
    </row>
    <row r="567">
      <c r="A567" s="978"/>
    </row>
    <row r="568">
      <c r="A568" s="978"/>
    </row>
    <row r="569">
      <c r="A569" s="978"/>
    </row>
    <row r="570">
      <c r="A570" s="978"/>
    </row>
    <row r="571">
      <c r="A571" s="978"/>
    </row>
    <row r="572">
      <c r="A572" s="978"/>
    </row>
    <row r="573">
      <c r="A573" s="978"/>
    </row>
    <row r="574">
      <c r="A574" s="978"/>
    </row>
    <row r="575">
      <c r="A575" s="978"/>
    </row>
    <row r="576">
      <c r="A576" s="978"/>
    </row>
    <row r="577">
      <c r="A577" s="978"/>
    </row>
    <row r="578">
      <c r="A578" s="978"/>
    </row>
    <row r="579">
      <c r="A579" s="978"/>
    </row>
    <row r="580">
      <c r="A580" s="978"/>
    </row>
    <row r="581">
      <c r="A581" s="978"/>
    </row>
    <row r="582">
      <c r="A582" s="978"/>
    </row>
    <row r="583">
      <c r="A583" s="978"/>
    </row>
    <row r="584">
      <c r="A584" s="978"/>
    </row>
    <row r="585">
      <c r="A585" s="978"/>
    </row>
    <row r="586">
      <c r="A586" s="978"/>
    </row>
    <row r="587">
      <c r="A587" s="978"/>
    </row>
    <row r="588">
      <c r="A588" s="978"/>
    </row>
    <row r="589">
      <c r="A589" s="978"/>
    </row>
    <row r="590">
      <c r="A590" s="978"/>
    </row>
    <row r="591">
      <c r="A591" s="978"/>
    </row>
    <row r="592">
      <c r="A592" s="978"/>
    </row>
    <row r="593">
      <c r="A593" s="978"/>
    </row>
    <row r="594">
      <c r="A594" s="978"/>
    </row>
    <row r="595">
      <c r="A595" s="978"/>
    </row>
    <row r="596">
      <c r="A596" s="978"/>
    </row>
    <row r="597">
      <c r="A597" s="978"/>
    </row>
    <row r="598">
      <c r="A598" s="978"/>
    </row>
    <row r="599">
      <c r="A599" s="978"/>
    </row>
    <row r="600">
      <c r="A600" s="978"/>
    </row>
    <row r="601">
      <c r="A601" s="978"/>
    </row>
    <row r="602">
      <c r="A602" s="978"/>
    </row>
    <row r="603">
      <c r="A603" s="978"/>
    </row>
    <row r="604">
      <c r="A604" s="978"/>
    </row>
    <row r="605">
      <c r="A605" s="978"/>
    </row>
    <row r="606">
      <c r="A606" s="978"/>
    </row>
    <row r="607">
      <c r="A607" s="978"/>
    </row>
    <row r="608">
      <c r="A608" s="978"/>
    </row>
    <row r="609">
      <c r="A609" s="978"/>
    </row>
    <row r="610">
      <c r="A610" s="978"/>
    </row>
    <row r="611">
      <c r="A611" s="978"/>
    </row>
    <row r="612">
      <c r="A612" s="978"/>
    </row>
    <row r="613">
      <c r="A613" s="978"/>
    </row>
    <row r="614">
      <c r="A614" s="978"/>
    </row>
    <row r="615">
      <c r="A615" s="978"/>
    </row>
    <row r="616">
      <c r="A616" s="978"/>
    </row>
    <row r="617">
      <c r="A617" s="978"/>
    </row>
    <row r="618">
      <c r="A618" s="978"/>
    </row>
    <row r="619">
      <c r="A619" s="978"/>
    </row>
    <row r="620">
      <c r="A620" s="978"/>
    </row>
    <row r="621">
      <c r="A621" s="978"/>
    </row>
    <row r="622">
      <c r="A622" s="978"/>
    </row>
    <row r="623">
      <c r="A623" s="978"/>
    </row>
    <row r="624">
      <c r="A624" s="978"/>
    </row>
    <row r="625">
      <c r="A625" s="978"/>
    </row>
    <row r="626">
      <c r="A626" s="978"/>
    </row>
    <row r="627">
      <c r="A627" s="978"/>
    </row>
    <row r="628">
      <c r="A628" s="978"/>
    </row>
    <row r="629">
      <c r="A629" s="978"/>
    </row>
  </sheetData>
  <mergeCells count="33">
    <mergeCell ref="G1:H1"/>
    <mergeCell ref="A2:A11"/>
    <mergeCell ref="A12:A21"/>
    <mergeCell ref="A22:A31"/>
    <mergeCell ref="A32:A42"/>
    <mergeCell ref="A43:A52"/>
    <mergeCell ref="A53:A62"/>
    <mergeCell ref="A63:A72"/>
    <mergeCell ref="A73:A82"/>
    <mergeCell ref="A83:A92"/>
    <mergeCell ref="A93:A102"/>
    <mergeCell ref="A103:A112"/>
    <mergeCell ref="A113:A122"/>
    <mergeCell ref="A123:A132"/>
    <mergeCell ref="A133:A145"/>
    <mergeCell ref="A146:A155"/>
    <mergeCell ref="A156:A165"/>
    <mergeCell ref="A166:A175"/>
    <mergeCell ref="A176:A187"/>
    <mergeCell ref="A188:A197"/>
    <mergeCell ref="A198:A207"/>
    <mergeCell ref="A284:A293"/>
    <mergeCell ref="A294:A303"/>
    <mergeCell ref="A304:A313"/>
    <mergeCell ref="A314:A324"/>
    <mergeCell ref="A325:A335"/>
    <mergeCell ref="A208:A219"/>
    <mergeCell ref="A220:A229"/>
    <mergeCell ref="A230:A239"/>
    <mergeCell ref="A240:A251"/>
    <mergeCell ref="A252:A262"/>
    <mergeCell ref="A263:A273"/>
    <mergeCell ref="A274:A283"/>
  </mergeCells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</cols>
  <sheetData>
    <row r="1" ht="27.0" customHeight="1">
      <c r="A1" s="944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</row>
    <row r="2">
      <c r="A2" s="937">
        <v>43983.0</v>
      </c>
      <c r="B2" s="948">
        <f t="shared" ref="B2:B10" si="1">F2</f>
        <v>133</v>
      </c>
      <c r="C2" s="242"/>
      <c r="D2" s="242"/>
      <c r="E2" s="242"/>
      <c r="F2" s="949">
        <v>133.0</v>
      </c>
      <c r="G2" s="244" t="s">
        <v>3392</v>
      </c>
      <c r="H2" s="244"/>
      <c r="I2" s="662"/>
    </row>
    <row r="3">
      <c r="A3" s="265"/>
      <c r="B3" s="950">
        <f t="shared" si="1"/>
        <v>1192.68</v>
      </c>
      <c r="F3" s="161">
        <f>252.01+99.8+840.87</f>
        <v>1192.68</v>
      </c>
      <c r="G3" s="2" t="s">
        <v>314</v>
      </c>
      <c r="I3" s="847"/>
    </row>
    <row r="4">
      <c r="A4" s="265"/>
      <c r="B4" s="950" t="str">
        <f t="shared" si="1"/>
        <v/>
      </c>
      <c r="F4" s="161"/>
      <c r="I4" s="847"/>
    </row>
    <row r="5">
      <c r="A5" s="265"/>
      <c r="B5" s="950" t="str">
        <f t="shared" si="1"/>
        <v/>
      </c>
      <c r="F5" s="161"/>
      <c r="I5" s="847"/>
    </row>
    <row r="6">
      <c r="A6" s="265"/>
      <c r="B6" s="950" t="str">
        <f t="shared" si="1"/>
        <v/>
      </c>
      <c r="F6" s="161"/>
      <c r="I6" s="847"/>
    </row>
    <row r="7">
      <c r="A7" s="265"/>
      <c r="B7" s="950" t="str">
        <f t="shared" si="1"/>
        <v/>
      </c>
      <c r="F7" s="161"/>
      <c r="I7" s="847"/>
    </row>
    <row r="8">
      <c r="A8" s="265"/>
      <c r="B8" s="950" t="str">
        <f t="shared" si="1"/>
        <v/>
      </c>
      <c r="F8" s="161"/>
      <c r="I8" s="847"/>
    </row>
    <row r="9">
      <c r="A9" s="265"/>
      <c r="B9" s="950" t="str">
        <f t="shared" si="1"/>
        <v/>
      </c>
      <c r="F9" s="161"/>
      <c r="I9" s="847"/>
    </row>
    <row r="10">
      <c r="A10" s="265"/>
      <c r="B10" s="950" t="str">
        <f t="shared" si="1"/>
        <v/>
      </c>
      <c r="F10" s="161"/>
      <c r="I10" s="847"/>
    </row>
    <row r="11">
      <c r="A11" s="270"/>
      <c r="B11" s="194">
        <f>SUM(B2:B10)</f>
        <v>1325.68</v>
      </c>
      <c r="C11" s="18"/>
      <c r="D11" s="18"/>
      <c r="E11" s="18"/>
      <c r="F11" s="952"/>
      <c r="G11" s="18"/>
      <c r="H11" s="18"/>
      <c r="I11" s="663"/>
    </row>
    <row r="12">
      <c r="A12" s="937">
        <v>43984.0</v>
      </c>
      <c r="B12" s="948">
        <f t="shared" ref="B12:B20" si="2">F12</f>
        <v>2100</v>
      </c>
      <c r="C12" s="242"/>
      <c r="D12" s="242"/>
      <c r="E12" s="242"/>
      <c r="F12" s="949">
        <v>2100.0</v>
      </c>
      <c r="G12" s="244" t="s">
        <v>65</v>
      </c>
      <c r="H12" s="244"/>
      <c r="I12" s="662"/>
    </row>
    <row r="13">
      <c r="A13" s="265"/>
      <c r="B13" s="950">
        <f t="shared" si="2"/>
        <v>574.336</v>
      </c>
      <c r="F13" s="161">
        <v>574.336</v>
      </c>
      <c r="G13" s="2" t="s">
        <v>314</v>
      </c>
      <c r="I13" s="847"/>
    </row>
    <row r="14">
      <c r="A14" s="265"/>
      <c r="B14" s="950" t="str">
        <f t="shared" si="2"/>
        <v/>
      </c>
      <c r="C14" s="2">
        <v>12689.58</v>
      </c>
      <c r="F14" s="161"/>
      <c r="G14" s="2" t="s">
        <v>2637</v>
      </c>
      <c r="I14" s="847"/>
    </row>
    <row r="15">
      <c r="A15" s="265"/>
      <c r="B15" s="950">
        <f t="shared" si="2"/>
        <v>2760</v>
      </c>
      <c r="F15" s="161">
        <v>2760.0</v>
      </c>
      <c r="G15" s="2" t="s">
        <v>612</v>
      </c>
      <c r="I15" s="847"/>
    </row>
    <row r="16">
      <c r="A16" s="265"/>
      <c r="B16" s="950">
        <f t="shared" si="2"/>
        <v>2000</v>
      </c>
      <c r="F16" s="161">
        <v>2000.0</v>
      </c>
      <c r="G16" s="2" t="s">
        <v>3731</v>
      </c>
      <c r="I16" s="847"/>
    </row>
    <row r="17">
      <c r="A17" s="265"/>
      <c r="B17" s="950">
        <f t="shared" si="2"/>
        <v>483</v>
      </c>
      <c r="F17" s="161">
        <v>483.0</v>
      </c>
      <c r="G17" s="2" t="s">
        <v>3911</v>
      </c>
      <c r="I17" s="847"/>
    </row>
    <row r="18">
      <c r="A18" s="265"/>
      <c r="B18" s="950" t="str">
        <f t="shared" si="2"/>
        <v/>
      </c>
      <c r="D18" s="2">
        <v>1184.0</v>
      </c>
      <c r="F18" s="161"/>
      <c r="G18" s="2" t="s">
        <v>4082</v>
      </c>
      <c r="I18" s="847"/>
    </row>
    <row r="19">
      <c r="A19" s="265"/>
      <c r="B19" s="950">
        <f t="shared" si="2"/>
        <v>240</v>
      </c>
      <c r="F19" s="161">
        <v>240.0</v>
      </c>
      <c r="G19" s="2" t="s">
        <v>4083</v>
      </c>
      <c r="I19" s="847"/>
    </row>
    <row r="20">
      <c r="A20" s="265"/>
      <c r="B20" s="950" t="str">
        <f t="shared" si="2"/>
        <v/>
      </c>
      <c r="F20" s="161"/>
      <c r="I20" s="847"/>
    </row>
    <row r="21">
      <c r="A21" s="270"/>
      <c r="B21" s="194">
        <f>SUM(B12:B20)</f>
        <v>8157.336</v>
      </c>
      <c r="C21" s="18"/>
      <c r="D21" s="18"/>
      <c r="E21" s="18"/>
      <c r="F21" s="952"/>
      <c r="G21" s="18"/>
      <c r="H21" s="18"/>
      <c r="I21" s="663"/>
    </row>
    <row r="22">
      <c r="A22" s="937">
        <v>43985.0</v>
      </c>
      <c r="B22" s="948">
        <f t="shared" ref="B22:B30" si="3">F22</f>
        <v>541</v>
      </c>
      <c r="C22" s="242"/>
      <c r="D22" s="242"/>
      <c r="E22" s="242"/>
      <c r="F22" s="949">
        <v>541.0</v>
      </c>
      <c r="G22" s="244" t="s">
        <v>4084</v>
      </c>
      <c r="H22" s="244"/>
      <c r="I22" s="662"/>
    </row>
    <row r="23">
      <c r="A23" s="265"/>
      <c r="B23" s="950">
        <f t="shared" si="3"/>
        <v>179.8</v>
      </c>
      <c r="F23" s="161">
        <v>179.8</v>
      </c>
      <c r="G23" s="2" t="s">
        <v>314</v>
      </c>
      <c r="I23" s="847"/>
    </row>
    <row r="24">
      <c r="A24" s="265"/>
      <c r="B24" s="950" t="str">
        <f t="shared" si="3"/>
        <v/>
      </c>
      <c r="C24" s="2">
        <v>3555.59</v>
      </c>
      <c r="F24" s="161"/>
      <c r="G24" s="2" t="s">
        <v>3445</v>
      </c>
      <c r="I24" s="847"/>
    </row>
    <row r="25">
      <c r="A25" s="265"/>
      <c r="B25" s="950">
        <f t="shared" si="3"/>
        <v>460</v>
      </c>
      <c r="F25" s="161">
        <v>460.0</v>
      </c>
      <c r="G25" s="2" t="s">
        <v>4085</v>
      </c>
      <c r="I25" s="847"/>
    </row>
    <row r="26">
      <c r="A26" s="265"/>
      <c r="B26" s="950">
        <f t="shared" si="3"/>
        <v>800</v>
      </c>
      <c r="F26" s="161">
        <v>800.0</v>
      </c>
      <c r="G26" s="2" t="s">
        <v>3877</v>
      </c>
      <c r="I26" s="847"/>
    </row>
    <row r="27">
      <c r="A27" s="265"/>
      <c r="B27" s="950" t="str">
        <f t="shared" si="3"/>
        <v/>
      </c>
      <c r="F27" s="161"/>
      <c r="I27" s="847"/>
    </row>
    <row r="28">
      <c r="A28" s="265"/>
      <c r="B28" s="950" t="str">
        <f t="shared" si="3"/>
        <v/>
      </c>
      <c r="F28" s="161"/>
      <c r="I28" s="847"/>
    </row>
    <row r="29">
      <c r="A29" s="265"/>
      <c r="B29" s="950" t="str">
        <f t="shared" si="3"/>
        <v/>
      </c>
      <c r="F29" s="161"/>
      <c r="I29" s="847"/>
    </row>
    <row r="30">
      <c r="A30" s="265"/>
      <c r="B30" s="950" t="str">
        <f t="shared" si="3"/>
        <v/>
      </c>
      <c r="F30" s="161"/>
      <c r="I30" s="847"/>
    </row>
    <row r="31">
      <c r="A31" s="270"/>
      <c r="B31" s="194">
        <f>SUM(B22:B30)</f>
        <v>1980.8</v>
      </c>
      <c r="C31" s="18"/>
      <c r="D31" s="18"/>
      <c r="E31" s="18"/>
      <c r="F31" s="952"/>
      <c r="G31" s="18"/>
      <c r="H31" s="18"/>
      <c r="I31" s="663"/>
    </row>
    <row r="32">
      <c r="A32" s="937">
        <v>43986.0</v>
      </c>
      <c r="B32" s="948">
        <f t="shared" ref="B32:B40" si="4">F32</f>
        <v>1064.53</v>
      </c>
      <c r="C32" s="242"/>
      <c r="D32" s="242"/>
      <c r="E32" s="242"/>
      <c r="F32" s="949">
        <v>1064.53</v>
      </c>
      <c r="G32" s="244" t="s">
        <v>314</v>
      </c>
      <c r="H32" s="244"/>
      <c r="I32" s="662"/>
    </row>
    <row r="33">
      <c r="A33" s="265"/>
      <c r="B33" s="950">
        <f t="shared" si="4"/>
        <v>170</v>
      </c>
      <c r="F33" s="161">
        <v>170.0</v>
      </c>
      <c r="G33" s="2" t="s">
        <v>1732</v>
      </c>
      <c r="I33" s="847"/>
    </row>
    <row r="34">
      <c r="A34" s="265"/>
      <c r="B34" s="950">
        <f t="shared" si="4"/>
        <v>2522</v>
      </c>
      <c r="F34" s="161">
        <v>2522.0</v>
      </c>
      <c r="G34" s="2" t="s">
        <v>4086</v>
      </c>
      <c r="I34" s="847"/>
    </row>
    <row r="35">
      <c r="A35" s="265"/>
      <c r="B35" s="950" t="str">
        <f t="shared" si="4"/>
        <v/>
      </c>
      <c r="F35" s="161"/>
      <c r="I35" s="847"/>
    </row>
    <row r="36">
      <c r="A36" s="265"/>
      <c r="B36" s="950" t="str">
        <f t="shared" si="4"/>
        <v/>
      </c>
      <c r="F36" s="161"/>
      <c r="I36" s="847"/>
    </row>
    <row r="37">
      <c r="A37" s="265"/>
      <c r="B37" s="950" t="str">
        <f t="shared" si="4"/>
        <v/>
      </c>
      <c r="F37" s="161"/>
      <c r="I37" s="847"/>
    </row>
    <row r="38">
      <c r="A38" s="265"/>
      <c r="B38" s="950" t="str">
        <f t="shared" si="4"/>
        <v/>
      </c>
      <c r="F38" s="161"/>
      <c r="I38" s="847"/>
    </row>
    <row r="39">
      <c r="A39" s="265"/>
      <c r="B39" s="950" t="str">
        <f t="shared" si="4"/>
        <v/>
      </c>
      <c r="F39" s="161"/>
      <c r="I39" s="847"/>
    </row>
    <row r="40">
      <c r="A40" s="265"/>
      <c r="B40" s="950" t="str">
        <f t="shared" si="4"/>
        <v/>
      </c>
      <c r="F40" s="161"/>
      <c r="I40" s="847"/>
    </row>
    <row r="41">
      <c r="A41" s="270"/>
      <c r="B41" s="194">
        <f>SUM(B32:B40)</f>
        <v>3756.53</v>
      </c>
      <c r="C41" s="18"/>
      <c r="D41" s="18"/>
      <c r="E41" s="18"/>
      <c r="F41" s="952"/>
      <c r="G41" s="18"/>
      <c r="H41" s="18"/>
      <c r="I41" s="663"/>
    </row>
    <row r="42">
      <c r="A42" s="937">
        <v>43987.0</v>
      </c>
      <c r="B42" s="948">
        <f t="shared" ref="B42:B50" si="5">F42</f>
        <v>402</v>
      </c>
      <c r="C42" s="242"/>
      <c r="D42" s="242"/>
      <c r="E42" s="242"/>
      <c r="F42" s="949">
        <v>402.0</v>
      </c>
      <c r="G42" s="244" t="s">
        <v>4012</v>
      </c>
      <c r="H42" s="244"/>
      <c r="I42" s="662"/>
    </row>
    <row r="43">
      <c r="A43" s="265"/>
      <c r="B43" s="950">
        <f t="shared" si="5"/>
        <v>146.38</v>
      </c>
      <c r="F43" s="161">
        <v>146.38</v>
      </c>
      <c r="G43" s="2" t="s">
        <v>4087</v>
      </c>
      <c r="I43" s="847"/>
    </row>
    <row r="44">
      <c r="A44" s="265"/>
      <c r="B44" s="950">
        <f t="shared" si="5"/>
        <v>2000</v>
      </c>
      <c r="F44" s="161">
        <v>2000.0</v>
      </c>
      <c r="G44" s="2" t="s">
        <v>4088</v>
      </c>
      <c r="H44" s="942"/>
      <c r="I44" s="847"/>
    </row>
    <row r="45">
      <c r="A45" s="265"/>
      <c r="B45" s="950">
        <f t="shared" si="5"/>
        <v>98</v>
      </c>
      <c r="F45" s="161">
        <v>98.0</v>
      </c>
      <c r="G45" s="2" t="s">
        <v>4089</v>
      </c>
      <c r="I45" s="847"/>
    </row>
    <row r="46">
      <c r="A46" s="265"/>
      <c r="B46" s="950">
        <f t="shared" si="5"/>
        <v>1204</v>
      </c>
      <c r="F46" s="161">
        <v>1204.0</v>
      </c>
      <c r="G46" s="2" t="s">
        <v>3985</v>
      </c>
      <c r="I46" s="847"/>
    </row>
    <row r="47">
      <c r="A47" s="265"/>
      <c r="B47" s="950" t="str">
        <f t="shared" si="5"/>
        <v/>
      </c>
      <c r="F47" s="161"/>
      <c r="I47" s="847"/>
    </row>
    <row r="48">
      <c r="A48" s="265"/>
      <c r="B48" s="950" t="str">
        <f t="shared" si="5"/>
        <v/>
      </c>
      <c r="F48" s="161"/>
      <c r="I48" s="847"/>
    </row>
    <row r="49">
      <c r="A49" s="265"/>
      <c r="B49" s="950" t="str">
        <f t="shared" si="5"/>
        <v/>
      </c>
      <c r="F49" s="161"/>
      <c r="I49" s="847"/>
    </row>
    <row r="50">
      <c r="A50" s="265"/>
      <c r="B50" s="950" t="str">
        <f t="shared" si="5"/>
        <v/>
      </c>
      <c r="F50" s="161"/>
      <c r="I50" s="847"/>
    </row>
    <row r="51">
      <c r="A51" s="270"/>
      <c r="B51" s="194">
        <f>SUM(B42:B50)</f>
        <v>3850.38</v>
      </c>
      <c r="C51" s="18"/>
      <c r="D51" s="18"/>
      <c r="E51" s="18"/>
      <c r="F51" s="952"/>
      <c r="G51" s="18"/>
      <c r="H51" s="18"/>
      <c r="I51" s="663"/>
    </row>
    <row r="52">
      <c r="A52" s="937">
        <v>43988.0</v>
      </c>
      <c r="B52" s="948">
        <f t="shared" ref="B52:B60" si="6">F52</f>
        <v>167</v>
      </c>
      <c r="C52" s="242"/>
      <c r="D52" s="242"/>
      <c r="E52" s="242"/>
      <c r="F52" s="949">
        <v>167.0</v>
      </c>
      <c r="G52" s="244" t="s">
        <v>4090</v>
      </c>
      <c r="H52" s="244"/>
      <c r="I52" s="662"/>
    </row>
    <row r="53">
      <c r="A53" s="265"/>
      <c r="B53" s="950">
        <f t="shared" si="6"/>
        <v>2000</v>
      </c>
      <c r="F53" s="161">
        <v>2000.0</v>
      </c>
      <c r="G53" s="2" t="s">
        <v>3904</v>
      </c>
      <c r="I53" s="847"/>
    </row>
    <row r="54">
      <c r="A54" s="265"/>
      <c r="B54" s="950">
        <f t="shared" si="6"/>
        <v>4860</v>
      </c>
      <c r="F54" s="161">
        <v>4860.0</v>
      </c>
      <c r="G54" s="2" t="s">
        <v>4043</v>
      </c>
      <c r="I54" s="847"/>
    </row>
    <row r="55">
      <c r="A55" s="265"/>
      <c r="B55" s="950">
        <f t="shared" si="6"/>
        <v>603</v>
      </c>
      <c r="F55" s="161">
        <v>603.0</v>
      </c>
      <c r="G55" s="2" t="s">
        <v>3911</v>
      </c>
      <c r="I55" s="847"/>
    </row>
    <row r="56">
      <c r="A56" s="265"/>
      <c r="B56" s="950">
        <f t="shared" si="6"/>
        <v>836.5</v>
      </c>
      <c r="F56" s="161">
        <v>836.5</v>
      </c>
      <c r="G56" s="2" t="s">
        <v>314</v>
      </c>
      <c r="I56" s="847"/>
    </row>
    <row r="57">
      <c r="A57" s="265"/>
      <c r="B57" s="950">
        <f t="shared" si="6"/>
        <v>2400</v>
      </c>
      <c r="F57" s="161">
        <v>2400.0</v>
      </c>
      <c r="G57" s="2" t="s">
        <v>4014</v>
      </c>
      <c r="H57" s="942"/>
      <c r="I57" s="847"/>
    </row>
    <row r="58">
      <c r="A58" s="265"/>
      <c r="B58" s="950">
        <f t="shared" si="6"/>
        <v>1000</v>
      </c>
      <c r="F58" s="161">
        <v>1000.0</v>
      </c>
      <c r="G58" s="2" t="s">
        <v>4091</v>
      </c>
      <c r="H58" s="942"/>
      <c r="I58" s="847"/>
    </row>
    <row r="59">
      <c r="A59" s="265"/>
      <c r="B59" s="950" t="str">
        <f t="shared" si="6"/>
        <v/>
      </c>
      <c r="F59" s="161"/>
      <c r="I59" s="847"/>
    </row>
    <row r="60">
      <c r="A60" s="265"/>
      <c r="B60" s="950" t="str">
        <f t="shared" si="6"/>
        <v/>
      </c>
      <c r="F60" s="161"/>
      <c r="I60" s="847"/>
    </row>
    <row r="61">
      <c r="A61" s="270"/>
      <c r="B61" s="194">
        <f>SUM(B52:B60)</f>
        <v>11866.5</v>
      </c>
      <c r="C61" s="18"/>
      <c r="D61" s="18"/>
      <c r="E61" s="18"/>
      <c r="F61" s="952"/>
      <c r="G61" s="18"/>
      <c r="H61" s="18"/>
      <c r="I61" s="663"/>
    </row>
    <row r="62">
      <c r="A62" s="937">
        <v>43989.0</v>
      </c>
      <c r="B62" s="948">
        <f t="shared" ref="B62:B70" si="7">F62</f>
        <v>115</v>
      </c>
      <c r="C62" s="242"/>
      <c r="D62" s="242"/>
      <c r="E62" s="242"/>
      <c r="F62" s="949">
        <v>115.0</v>
      </c>
      <c r="G62" s="244" t="s">
        <v>708</v>
      </c>
      <c r="H62" s="244"/>
      <c r="I62" s="662"/>
    </row>
    <row r="63">
      <c r="A63" s="265"/>
      <c r="B63" s="950">
        <f t="shared" si="7"/>
        <v>29500</v>
      </c>
      <c r="F63" s="161">
        <v>29500.0</v>
      </c>
      <c r="G63" s="2" t="s">
        <v>4092</v>
      </c>
      <c r="I63" s="847"/>
    </row>
    <row r="64">
      <c r="A64" s="265"/>
      <c r="B64" s="950" t="str">
        <f t="shared" si="7"/>
        <v/>
      </c>
      <c r="F64" s="161"/>
      <c r="I64" s="847"/>
    </row>
    <row r="65">
      <c r="A65" s="265"/>
      <c r="B65" s="950" t="str">
        <f t="shared" si="7"/>
        <v/>
      </c>
      <c r="F65" s="161"/>
      <c r="I65" s="847"/>
    </row>
    <row r="66">
      <c r="A66" s="265"/>
      <c r="B66" s="950" t="str">
        <f t="shared" si="7"/>
        <v/>
      </c>
      <c r="F66" s="161"/>
      <c r="I66" s="847"/>
    </row>
    <row r="67">
      <c r="A67" s="265"/>
      <c r="B67" s="950" t="str">
        <f t="shared" si="7"/>
        <v/>
      </c>
      <c r="F67" s="161"/>
      <c r="I67" s="847"/>
    </row>
    <row r="68">
      <c r="A68" s="265"/>
      <c r="B68" s="950" t="str">
        <f t="shared" si="7"/>
        <v/>
      </c>
      <c r="F68" s="161"/>
      <c r="I68" s="847"/>
    </row>
    <row r="69">
      <c r="A69" s="265"/>
      <c r="B69" s="950" t="str">
        <f t="shared" si="7"/>
        <v/>
      </c>
      <c r="F69" s="161"/>
      <c r="I69" s="847"/>
    </row>
    <row r="70">
      <c r="A70" s="265"/>
      <c r="B70" s="950" t="str">
        <f t="shared" si="7"/>
        <v/>
      </c>
      <c r="F70" s="161"/>
      <c r="I70" s="847"/>
    </row>
    <row r="71">
      <c r="A71" s="270"/>
      <c r="B71" s="194">
        <f>SUM(B62:B70)</f>
        <v>29615</v>
      </c>
      <c r="C71" s="18"/>
      <c r="D71" s="18"/>
      <c r="E71" s="18"/>
      <c r="F71" s="952"/>
      <c r="G71" s="18"/>
      <c r="H71" s="18"/>
      <c r="I71" s="663"/>
    </row>
    <row r="72">
      <c r="A72" s="937">
        <v>43990.0</v>
      </c>
      <c r="B72" s="948">
        <f t="shared" ref="B72:B80" si="8">F72</f>
        <v>454.51</v>
      </c>
      <c r="C72" s="242"/>
      <c r="D72" s="242"/>
      <c r="E72" s="242"/>
      <c r="F72" s="949">
        <v>454.51</v>
      </c>
      <c r="G72" s="244" t="s">
        <v>314</v>
      </c>
      <c r="H72" s="244"/>
      <c r="I72" s="662"/>
    </row>
    <row r="73">
      <c r="A73" s="265"/>
      <c r="B73" s="950">
        <f t="shared" si="8"/>
        <v>767.08</v>
      </c>
      <c r="F73" s="161">
        <v>767.08</v>
      </c>
      <c r="G73" s="2" t="s">
        <v>314</v>
      </c>
      <c r="I73" s="847"/>
    </row>
    <row r="74">
      <c r="A74" s="265"/>
      <c r="B74" s="950">
        <f t="shared" si="8"/>
        <v>641</v>
      </c>
      <c r="F74" s="161">
        <v>641.0</v>
      </c>
      <c r="G74" s="2" t="s">
        <v>3911</v>
      </c>
      <c r="I74" s="847"/>
    </row>
    <row r="75">
      <c r="A75" s="265"/>
      <c r="B75" s="950">
        <f t="shared" si="8"/>
        <v>234</v>
      </c>
      <c r="F75" s="161">
        <v>234.0</v>
      </c>
      <c r="G75" s="2" t="s">
        <v>4093</v>
      </c>
      <c r="I75" s="847"/>
    </row>
    <row r="76">
      <c r="A76" s="265"/>
      <c r="B76" s="950">
        <f t="shared" si="8"/>
        <v>680</v>
      </c>
      <c r="F76" s="161">
        <v>680.0</v>
      </c>
      <c r="G76" s="2" t="s">
        <v>4094</v>
      </c>
      <c r="I76" s="847"/>
    </row>
    <row r="77">
      <c r="A77" s="265"/>
      <c r="B77" s="950">
        <f t="shared" si="8"/>
        <v>134</v>
      </c>
      <c r="F77" s="161">
        <v>134.0</v>
      </c>
      <c r="G77" s="2" t="s">
        <v>4095</v>
      </c>
      <c r="I77" s="847"/>
    </row>
    <row r="78">
      <c r="A78" s="265"/>
      <c r="B78" s="950" t="str">
        <f t="shared" si="8"/>
        <v/>
      </c>
      <c r="D78" s="2">
        <v>6370.0</v>
      </c>
      <c r="F78" s="161"/>
      <c r="G78" s="2" t="s">
        <v>4096</v>
      </c>
      <c r="I78" s="847"/>
    </row>
    <row r="79">
      <c r="A79" s="265"/>
      <c r="B79" s="950">
        <f t="shared" si="8"/>
        <v>1000</v>
      </c>
      <c r="F79" s="161">
        <v>1000.0</v>
      </c>
      <c r="G79" s="84" t="s">
        <v>3811</v>
      </c>
      <c r="I79" s="847"/>
    </row>
    <row r="80">
      <c r="A80" s="265"/>
      <c r="B80" s="950">
        <f t="shared" si="8"/>
        <v>2450</v>
      </c>
      <c r="F80" s="161">
        <v>2450.0</v>
      </c>
      <c r="G80" s="84" t="s">
        <v>4014</v>
      </c>
      <c r="I80" s="847"/>
    </row>
    <row r="81">
      <c r="A81" s="270"/>
      <c r="B81" s="194">
        <f>SUM(B72:B80)</f>
        <v>6360.59</v>
      </c>
      <c r="C81" s="18"/>
      <c r="D81" s="18"/>
      <c r="E81" s="18"/>
      <c r="F81" s="952"/>
      <c r="G81" s="18"/>
      <c r="H81" s="18"/>
      <c r="I81" s="663"/>
    </row>
    <row r="82">
      <c r="A82" s="937">
        <v>43991.0</v>
      </c>
      <c r="B82" s="948" t="str">
        <f t="shared" ref="B82:B90" si="9">F82</f>
        <v/>
      </c>
      <c r="C82" s="244">
        <v>12083.29</v>
      </c>
      <c r="D82" s="242"/>
      <c r="E82" s="242"/>
      <c r="F82" s="949"/>
      <c r="G82" s="244" t="s">
        <v>2637</v>
      </c>
      <c r="H82" s="244"/>
      <c r="I82" s="662"/>
    </row>
    <row r="83">
      <c r="A83" s="265"/>
      <c r="B83" s="950">
        <f t="shared" si="9"/>
        <v>750</v>
      </c>
      <c r="F83" s="161">
        <v>750.0</v>
      </c>
      <c r="G83" s="2" t="s">
        <v>314</v>
      </c>
      <c r="I83" s="847"/>
    </row>
    <row r="84">
      <c r="A84" s="265"/>
      <c r="B84" s="950">
        <f t="shared" si="9"/>
        <v>2460</v>
      </c>
      <c r="F84" s="161">
        <v>2460.0</v>
      </c>
      <c r="G84" s="2" t="s">
        <v>612</v>
      </c>
      <c r="I84" s="847"/>
    </row>
    <row r="85">
      <c r="A85" s="265"/>
      <c r="B85" s="950">
        <f t="shared" si="9"/>
        <v>540</v>
      </c>
      <c r="F85" s="161">
        <v>540.0</v>
      </c>
      <c r="G85" s="2" t="s">
        <v>314</v>
      </c>
      <c r="I85" s="847"/>
    </row>
    <row r="86">
      <c r="A86" s="265"/>
      <c r="B86" s="950">
        <f t="shared" si="9"/>
        <v>150</v>
      </c>
      <c r="F86" s="161">
        <v>150.0</v>
      </c>
      <c r="G86" s="2" t="s">
        <v>4097</v>
      </c>
      <c r="I86" s="847"/>
    </row>
    <row r="87">
      <c r="A87" s="265"/>
      <c r="B87" s="950" t="str">
        <f t="shared" si="9"/>
        <v/>
      </c>
      <c r="F87" s="161"/>
      <c r="I87" s="847"/>
    </row>
    <row r="88">
      <c r="A88" s="265"/>
      <c r="B88" s="950" t="str">
        <f t="shared" si="9"/>
        <v/>
      </c>
      <c r="F88" s="161"/>
      <c r="I88" s="847"/>
    </row>
    <row r="89">
      <c r="A89" s="265"/>
      <c r="B89" s="950" t="str">
        <f t="shared" si="9"/>
        <v/>
      </c>
      <c r="F89" s="161"/>
      <c r="I89" s="847"/>
    </row>
    <row r="90">
      <c r="A90" s="265"/>
      <c r="B90" s="950" t="str">
        <f t="shared" si="9"/>
        <v/>
      </c>
      <c r="F90" s="161"/>
      <c r="I90" s="847"/>
    </row>
    <row r="91">
      <c r="A91" s="270"/>
      <c r="B91" s="194">
        <f>SUM(B82:B90)</f>
        <v>3900</v>
      </c>
      <c r="C91" s="18"/>
      <c r="D91" s="18"/>
      <c r="E91" s="18"/>
      <c r="F91" s="952"/>
      <c r="G91" s="18"/>
      <c r="H91" s="18"/>
      <c r="I91" s="663"/>
    </row>
    <row r="92">
      <c r="A92" s="937">
        <v>43992.0</v>
      </c>
      <c r="B92" s="948">
        <f t="shared" ref="B92:B100" si="10">F92</f>
        <v>826</v>
      </c>
      <c r="C92" s="242"/>
      <c r="D92" s="242"/>
      <c r="E92" s="242"/>
      <c r="F92" s="949">
        <v>826.0</v>
      </c>
      <c r="G92" s="244" t="s">
        <v>4098</v>
      </c>
      <c r="H92" s="244"/>
      <c r="I92" s="662"/>
    </row>
    <row r="93">
      <c r="A93" s="265"/>
      <c r="B93" s="950">
        <f t="shared" si="10"/>
        <v>833.43</v>
      </c>
      <c r="F93" s="161">
        <v>833.43</v>
      </c>
      <c r="G93" s="2" t="s">
        <v>314</v>
      </c>
      <c r="I93" s="847"/>
    </row>
    <row r="94">
      <c r="A94" s="265"/>
      <c r="B94" s="950">
        <f t="shared" si="10"/>
        <v>2291</v>
      </c>
      <c r="F94" s="161">
        <v>2291.0</v>
      </c>
      <c r="G94" s="2" t="s">
        <v>4099</v>
      </c>
      <c r="I94" s="847"/>
    </row>
    <row r="95">
      <c r="A95" s="265"/>
      <c r="B95" s="950" t="str">
        <f t="shared" si="10"/>
        <v/>
      </c>
      <c r="D95" s="2">
        <v>4350.0</v>
      </c>
      <c r="F95" s="161"/>
      <c r="G95" s="2" t="s">
        <v>4100</v>
      </c>
      <c r="I95" s="847"/>
    </row>
    <row r="96">
      <c r="A96" s="265"/>
      <c r="B96" s="950">
        <f t="shared" si="10"/>
        <v>563.34</v>
      </c>
      <c r="F96" s="161">
        <v>563.34</v>
      </c>
      <c r="G96" s="2" t="s">
        <v>4101</v>
      </c>
      <c r="I96" s="847"/>
    </row>
    <row r="97">
      <c r="A97" s="265"/>
      <c r="B97" s="950">
        <f t="shared" si="10"/>
        <v>1260</v>
      </c>
      <c r="F97" s="161">
        <v>1260.0</v>
      </c>
      <c r="G97" s="2" t="s">
        <v>4102</v>
      </c>
      <c r="I97" s="847"/>
    </row>
    <row r="98">
      <c r="A98" s="265"/>
      <c r="B98" s="950" t="str">
        <f t="shared" si="10"/>
        <v/>
      </c>
      <c r="F98" s="161"/>
      <c r="I98" s="847"/>
    </row>
    <row r="99">
      <c r="A99" s="265"/>
      <c r="B99" s="950" t="str">
        <f t="shared" si="10"/>
        <v/>
      </c>
      <c r="F99" s="161"/>
      <c r="I99" s="847"/>
    </row>
    <row r="100">
      <c r="A100" s="265"/>
      <c r="B100" s="950" t="str">
        <f t="shared" si="10"/>
        <v/>
      </c>
      <c r="F100" s="161"/>
      <c r="I100" s="847"/>
    </row>
    <row r="101">
      <c r="A101" s="270"/>
      <c r="B101" s="194">
        <f>SUM(B92:B100)</f>
        <v>5773.77</v>
      </c>
      <c r="C101" s="18"/>
      <c r="D101" s="18"/>
      <c r="E101" s="18"/>
      <c r="F101" s="952"/>
      <c r="G101" s="18"/>
      <c r="H101" s="18"/>
      <c r="I101" s="663"/>
    </row>
    <row r="102">
      <c r="A102" s="937">
        <v>43993.0</v>
      </c>
      <c r="B102" s="948">
        <f t="shared" ref="B102:B110" si="11">F102</f>
        <v>2000</v>
      </c>
      <c r="C102" s="242"/>
      <c r="D102" s="242"/>
      <c r="E102" s="242"/>
      <c r="F102" s="949">
        <v>2000.0</v>
      </c>
      <c r="G102" s="244" t="s">
        <v>3731</v>
      </c>
      <c r="H102" s="244"/>
      <c r="I102" s="662"/>
    </row>
    <row r="103">
      <c r="A103" s="265"/>
      <c r="B103" s="950">
        <f t="shared" si="11"/>
        <v>433</v>
      </c>
      <c r="F103" s="161">
        <v>433.0</v>
      </c>
      <c r="G103" s="2" t="s">
        <v>314</v>
      </c>
      <c r="I103" s="847"/>
    </row>
    <row r="104">
      <c r="A104" s="265"/>
      <c r="B104" s="950">
        <f t="shared" si="11"/>
        <v>7500</v>
      </c>
      <c r="F104" s="161">
        <v>7500.0</v>
      </c>
      <c r="G104" s="2" t="s">
        <v>3309</v>
      </c>
      <c r="I104" s="847"/>
    </row>
    <row r="105">
      <c r="A105" s="265"/>
      <c r="B105" s="950" t="str">
        <f t="shared" si="11"/>
        <v/>
      </c>
      <c r="C105" s="2">
        <v>10802.65</v>
      </c>
      <c r="F105" s="161"/>
      <c r="G105" s="2" t="s">
        <v>951</v>
      </c>
      <c r="I105" s="847"/>
    </row>
    <row r="106">
      <c r="A106" s="265"/>
      <c r="B106" s="950" t="str">
        <f t="shared" si="11"/>
        <v/>
      </c>
      <c r="D106" s="2">
        <v>18150.0</v>
      </c>
      <c r="F106" s="161"/>
      <c r="G106" s="2" t="s">
        <v>4103</v>
      </c>
      <c r="I106" s="847"/>
    </row>
    <row r="107">
      <c r="A107" s="265"/>
      <c r="B107" s="950">
        <f t="shared" si="11"/>
        <v>400</v>
      </c>
      <c r="F107" s="161">
        <v>400.0</v>
      </c>
      <c r="G107" s="2" t="s">
        <v>3911</v>
      </c>
      <c r="I107" s="847"/>
    </row>
    <row r="108">
      <c r="A108" s="265"/>
      <c r="B108" s="950">
        <f t="shared" si="11"/>
        <v>2800</v>
      </c>
      <c r="F108" s="161">
        <v>2800.0</v>
      </c>
      <c r="G108" s="2" t="s">
        <v>3493</v>
      </c>
      <c r="H108" s="552"/>
      <c r="I108" s="847"/>
    </row>
    <row r="109">
      <c r="A109" s="265"/>
      <c r="B109" s="950" t="str">
        <f t="shared" si="11"/>
        <v/>
      </c>
      <c r="F109" s="161"/>
      <c r="I109" s="847"/>
    </row>
    <row r="110">
      <c r="A110" s="265"/>
      <c r="B110" s="950" t="str">
        <f t="shared" si="11"/>
        <v/>
      </c>
      <c r="F110" s="161"/>
      <c r="I110" s="847"/>
    </row>
    <row r="111">
      <c r="A111" s="270"/>
      <c r="B111" s="194">
        <f>SUM(B102:B110)</f>
        <v>13133</v>
      </c>
      <c r="C111" s="18"/>
      <c r="D111" s="18"/>
      <c r="E111" s="18"/>
      <c r="F111" s="952"/>
      <c r="G111" s="18"/>
      <c r="H111" s="18"/>
      <c r="I111" s="663"/>
    </row>
    <row r="112">
      <c r="A112" s="937">
        <v>43994.0</v>
      </c>
      <c r="B112" s="948">
        <f t="shared" ref="B112:B120" si="12">F112</f>
        <v>143</v>
      </c>
      <c r="C112" s="242"/>
      <c r="D112" s="242"/>
      <c r="E112" s="242"/>
      <c r="F112" s="949">
        <v>143.0</v>
      </c>
      <c r="G112" s="244" t="s">
        <v>4104</v>
      </c>
      <c r="H112" s="244"/>
      <c r="I112" s="662"/>
    </row>
    <row r="113">
      <c r="A113" s="265"/>
      <c r="B113" s="950">
        <f t="shared" si="12"/>
        <v>50</v>
      </c>
      <c r="F113" s="161">
        <v>50.0</v>
      </c>
      <c r="G113" s="2" t="s">
        <v>3510</v>
      </c>
      <c r="I113" s="847"/>
    </row>
    <row r="114">
      <c r="A114" s="265"/>
      <c r="B114" s="950">
        <f t="shared" si="12"/>
        <v>110</v>
      </c>
      <c r="F114" s="161">
        <v>110.0</v>
      </c>
      <c r="G114" s="2" t="s">
        <v>4105</v>
      </c>
      <c r="I114" s="847"/>
    </row>
    <row r="115">
      <c r="A115" s="265"/>
      <c r="B115" s="950" t="str">
        <f t="shared" si="12"/>
        <v/>
      </c>
      <c r="D115" s="2">
        <v>1200.0</v>
      </c>
      <c r="F115" s="161"/>
      <c r="G115" s="2" t="s">
        <v>4106</v>
      </c>
      <c r="I115" s="847"/>
    </row>
    <row r="116">
      <c r="A116" s="265"/>
      <c r="B116" s="950">
        <f t="shared" si="12"/>
        <v>2066.7</v>
      </c>
      <c r="F116" s="161">
        <v>2066.7</v>
      </c>
      <c r="G116" s="2" t="s">
        <v>4107</v>
      </c>
      <c r="I116" s="847"/>
    </row>
    <row r="117">
      <c r="A117" s="265"/>
      <c r="B117" s="950" t="str">
        <f t="shared" si="12"/>
        <v/>
      </c>
      <c r="F117" s="161"/>
      <c r="I117" s="847"/>
    </row>
    <row r="118">
      <c r="A118" s="265"/>
      <c r="B118" s="950" t="str">
        <f t="shared" si="12"/>
        <v/>
      </c>
      <c r="F118" s="161"/>
      <c r="I118" s="847"/>
    </row>
    <row r="119">
      <c r="A119" s="265"/>
      <c r="B119" s="950" t="str">
        <f t="shared" si="12"/>
        <v/>
      </c>
      <c r="F119" s="161"/>
      <c r="I119" s="847"/>
    </row>
    <row r="120">
      <c r="A120" s="265"/>
      <c r="B120" s="950" t="str">
        <f t="shared" si="12"/>
        <v/>
      </c>
      <c r="F120" s="161"/>
      <c r="I120" s="847"/>
    </row>
    <row r="121">
      <c r="A121" s="270"/>
      <c r="B121" s="194">
        <f>SUM(B112:B120)</f>
        <v>2369.7</v>
      </c>
      <c r="C121" s="18"/>
      <c r="D121" s="18"/>
      <c r="E121" s="18"/>
      <c r="F121" s="952"/>
      <c r="G121" s="18"/>
      <c r="H121" s="18"/>
      <c r="I121" s="663"/>
    </row>
    <row r="122">
      <c r="A122" s="937">
        <v>43995.0</v>
      </c>
      <c r="B122" s="948">
        <f t="shared" ref="B122:B130" si="13">F122</f>
        <v>2200</v>
      </c>
      <c r="C122" s="242"/>
      <c r="D122" s="242"/>
      <c r="E122" s="242"/>
      <c r="F122" s="949">
        <v>2200.0</v>
      </c>
      <c r="G122" s="244" t="s">
        <v>65</v>
      </c>
      <c r="H122" s="244"/>
      <c r="I122" s="662"/>
    </row>
    <row r="123">
      <c r="A123" s="265"/>
      <c r="B123" s="950">
        <f t="shared" si="13"/>
        <v>483</v>
      </c>
      <c r="F123" s="161">
        <v>483.0</v>
      </c>
      <c r="G123" s="2" t="s">
        <v>3911</v>
      </c>
      <c r="I123" s="847"/>
    </row>
    <row r="124">
      <c r="A124" s="265"/>
      <c r="B124" s="950">
        <f t="shared" si="13"/>
        <v>562</v>
      </c>
      <c r="F124" s="161">
        <v>562.0</v>
      </c>
      <c r="G124" s="2" t="s">
        <v>3433</v>
      </c>
      <c r="I124" s="847"/>
    </row>
    <row r="125">
      <c r="A125" s="265"/>
      <c r="B125" s="950" t="str">
        <f t="shared" si="13"/>
        <v/>
      </c>
      <c r="F125" s="161"/>
      <c r="I125" s="847"/>
    </row>
    <row r="126">
      <c r="A126" s="265"/>
      <c r="B126" s="950" t="str">
        <f t="shared" si="13"/>
        <v/>
      </c>
      <c r="F126" s="161"/>
      <c r="I126" s="847"/>
    </row>
    <row r="127">
      <c r="A127" s="265"/>
      <c r="B127" s="950" t="str">
        <f t="shared" si="13"/>
        <v/>
      </c>
      <c r="F127" s="161"/>
      <c r="I127" s="847"/>
    </row>
    <row r="128">
      <c r="A128" s="265"/>
      <c r="B128" s="950" t="str">
        <f t="shared" si="13"/>
        <v/>
      </c>
      <c r="F128" s="161"/>
      <c r="I128" s="847"/>
    </row>
    <row r="129">
      <c r="A129" s="265"/>
      <c r="B129" s="950" t="str">
        <f t="shared" si="13"/>
        <v/>
      </c>
      <c r="F129" s="161"/>
      <c r="I129" s="847"/>
    </row>
    <row r="130">
      <c r="A130" s="265"/>
      <c r="B130" s="950" t="str">
        <f t="shared" si="13"/>
        <v/>
      </c>
      <c r="F130" s="161"/>
      <c r="I130" s="847"/>
    </row>
    <row r="131">
      <c r="A131" s="270"/>
      <c r="B131" s="194">
        <f>SUM(B122:B130)</f>
        <v>3245</v>
      </c>
      <c r="C131" s="18"/>
      <c r="D131" s="18"/>
      <c r="E131" s="18"/>
      <c r="F131" s="952"/>
      <c r="G131" s="18"/>
      <c r="H131" s="18"/>
      <c r="I131" s="663"/>
    </row>
    <row r="132">
      <c r="A132" s="937">
        <v>43996.0</v>
      </c>
      <c r="B132" s="948">
        <f t="shared" ref="B132:B133" si="14">F132</f>
        <v>529</v>
      </c>
      <c r="C132" s="242"/>
      <c r="D132" s="242"/>
      <c r="E132" s="242"/>
      <c r="F132" s="949">
        <v>529.0</v>
      </c>
      <c r="G132" s="244" t="s">
        <v>3911</v>
      </c>
      <c r="H132" s="244"/>
      <c r="I132" s="662"/>
    </row>
    <row r="133">
      <c r="A133" s="265"/>
      <c r="B133" s="950">
        <f t="shared" si="14"/>
        <v>375</v>
      </c>
      <c r="F133" s="161">
        <v>375.0</v>
      </c>
      <c r="G133" s="2" t="s">
        <v>459</v>
      </c>
      <c r="I133" s="847"/>
    </row>
    <row r="134">
      <c r="A134" s="265"/>
      <c r="B134" s="950"/>
      <c r="F134" s="161">
        <v>20000.0</v>
      </c>
      <c r="G134" s="2" t="s">
        <v>4033</v>
      </c>
      <c r="H134" s="2"/>
      <c r="I134" s="847"/>
    </row>
    <row r="135">
      <c r="A135" s="265"/>
      <c r="B135" s="950" t="str">
        <f t="shared" ref="B135:B141" si="15">F135</f>
        <v/>
      </c>
      <c r="F135" s="161"/>
      <c r="G135" s="2" t="s">
        <v>2787</v>
      </c>
      <c r="H135" s="979">
        <v>16875.0</v>
      </c>
      <c r="I135" s="847">
        <f>H135-17000</f>
        <v>-125</v>
      </c>
    </row>
    <row r="136">
      <c r="A136" s="265"/>
      <c r="B136" s="950" t="str">
        <f t="shared" si="15"/>
        <v/>
      </c>
      <c r="F136" s="161"/>
      <c r="G136" s="2" t="s">
        <v>3810</v>
      </c>
      <c r="H136" s="979">
        <v>16875.0</v>
      </c>
      <c r="I136" s="847">
        <f>H136-14500</f>
        <v>2375</v>
      </c>
    </row>
    <row r="137">
      <c r="A137" s="265"/>
      <c r="B137" s="950" t="str">
        <f t="shared" si="15"/>
        <v/>
      </c>
      <c r="F137" s="161"/>
      <c r="G137" s="2" t="s">
        <v>3896</v>
      </c>
      <c r="H137" s="979">
        <f>16875+1000</f>
        <v>17875</v>
      </c>
      <c r="I137" s="847">
        <f>H137-12100</f>
        <v>5775</v>
      </c>
    </row>
    <row r="138">
      <c r="A138" s="265"/>
      <c r="B138" s="950" t="str">
        <f t="shared" si="15"/>
        <v/>
      </c>
      <c r="F138" s="161"/>
      <c r="G138" s="2" t="s">
        <v>3812</v>
      </c>
      <c r="H138" s="979">
        <f>16875+2000</f>
        <v>18875</v>
      </c>
      <c r="I138" s="847">
        <f>H138-11500</f>
        <v>7375</v>
      </c>
    </row>
    <row r="139">
      <c r="A139" s="265"/>
      <c r="B139" s="950" t="str">
        <f t="shared" si="15"/>
        <v/>
      </c>
      <c r="F139" s="161"/>
      <c r="G139" s="2" t="s">
        <v>3815</v>
      </c>
      <c r="H139" s="979">
        <v>16875.0</v>
      </c>
      <c r="I139" s="847">
        <f>H139-17000</f>
        <v>-125</v>
      </c>
    </row>
    <row r="140">
      <c r="A140" s="265"/>
      <c r="B140" s="950" t="str">
        <f t="shared" si="15"/>
        <v/>
      </c>
      <c r="F140" s="161"/>
      <c r="G140" s="2" t="s">
        <v>3847</v>
      </c>
      <c r="H140" s="979">
        <f>16875+11075</f>
        <v>27950</v>
      </c>
      <c r="I140" s="847">
        <f t="shared" ref="I140:I141" si="16">H140-11600</f>
        <v>16350</v>
      </c>
    </row>
    <row r="141">
      <c r="A141" s="265"/>
      <c r="B141" s="950" t="str">
        <f t="shared" si="15"/>
        <v/>
      </c>
      <c r="F141" s="161"/>
      <c r="G141" s="2" t="s">
        <v>3848</v>
      </c>
      <c r="H141" s="979">
        <v>16875.0</v>
      </c>
      <c r="I141" s="847">
        <f t="shared" si="16"/>
        <v>5275</v>
      </c>
    </row>
    <row r="142">
      <c r="A142" s="270"/>
      <c r="B142" s="194">
        <f>SUM(B132:B141)</f>
        <v>904</v>
      </c>
      <c r="C142" s="18"/>
      <c r="D142" s="18"/>
      <c r="E142" s="18"/>
      <c r="F142" s="952"/>
      <c r="G142" s="18"/>
      <c r="H142" s="18"/>
      <c r="I142" s="663"/>
    </row>
    <row r="143">
      <c r="A143" s="937">
        <v>43997.0</v>
      </c>
      <c r="B143" s="948">
        <f t="shared" ref="B143:B151" si="17">F143</f>
        <v>535</v>
      </c>
      <c r="C143" s="242"/>
      <c r="D143" s="242"/>
      <c r="E143" s="242"/>
      <c r="F143" s="949">
        <v>535.0</v>
      </c>
      <c r="G143" s="244" t="s">
        <v>314</v>
      </c>
      <c r="H143" s="244"/>
      <c r="I143" s="662"/>
    </row>
    <row r="144">
      <c r="A144" s="265"/>
      <c r="B144" s="950">
        <f t="shared" si="17"/>
        <v>402</v>
      </c>
      <c r="F144" s="161">
        <v>402.0</v>
      </c>
      <c r="G144" s="2" t="s">
        <v>3911</v>
      </c>
      <c r="I144" s="847"/>
    </row>
    <row r="145">
      <c r="A145" s="265"/>
      <c r="B145" s="950">
        <f t="shared" si="17"/>
        <v>2100</v>
      </c>
      <c r="F145" s="161">
        <v>2100.0</v>
      </c>
      <c r="G145" s="2" t="s">
        <v>4108</v>
      </c>
      <c r="I145" s="847"/>
    </row>
    <row r="146">
      <c r="A146" s="265"/>
      <c r="B146" s="950" t="str">
        <f t="shared" si="17"/>
        <v/>
      </c>
      <c r="D146" s="2">
        <v>2400.0</v>
      </c>
      <c r="F146" s="161"/>
      <c r="G146" s="2" t="s">
        <v>4109</v>
      </c>
      <c r="I146" s="847"/>
    </row>
    <row r="147">
      <c r="A147" s="265"/>
      <c r="B147" s="950" t="str">
        <f t="shared" si="17"/>
        <v/>
      </c>
      <c r="F147" s="161"/>
      <c r="I147" s="847"/>
    </row>
    <row r="148">
      <c r="A148" s="265"/>
      <c r="B148" s="950" t="str">
        <f t="shared" si="17"/>
        <v/>
      </c>
      <c r="F148" s="161"/>
      <c r="I148" s="847"/>
    </row>
    <row r="149">
      <c r="A149" s="265"/>
      <c r="B149" s="950" t="str">
        <f t="shared" si="17"/>
        <v/>
      </c>
      <c r="F149" s="161"/>
      <c r="I149" s="847"/>
    </row>
    <row r="150">
      <c r="A150" s="265"/>
      <c r="B150" s="950" t="str">
        <f t="shared" si="17"/>
        <v/>
      </c>
      <c r="F150" s="161"/>
      <c r="I150" s="847"/>
    </row>
    <row r="151">
      <c r="A151" s="265"/>
      <c r="B151" s="950" t="str">
        <f t="shared" si="17"/>
        <v/>
      </c>
      <c r="F151" s="161"/>
      <c r="I151" s="847"/>
    </row>
    <row r="152">
      <c r="A152" s="270"/>
      <c r="B152" s="194">
        <f>SUM(B143:B151)</f>
        <v>3037</v>
      </c>
      <c r="C152" s="18"/>
      <c r="D152" s="18"/>
      <c r="E152" s="18"/>
      <c r="F152" s="952"/>
      <c r="G152" s="18"/>
      <c r="H152" s="18"/>
      <c r="I152" s="663"/>
    </row>
    <row r="153">
      <c r="A153" s="937">
        <v>43998.0</v>
      </c>
      <c r="B153" s="948">
        <f t="shared" ref="B153:B161" si="18">F153</f>
        <v>3540</v>
      </c>
      <c r="C153" s="242"/>
      <c r="D153" s="242"/>
      <c r="E153" s="242"/>
      <c r="F153" s="949">
        <v>3540.0</v>
      </c>
      <c r="G153" s="244" t="s">
        <v>114</v>
      </c>
      <c r="H153" s="244"/>
      <c r="I153" s="662"/>
    </row>
    <row r="154">
      <c r="A154" s="265"/>
      <c r="B154" s="950">
        <f t="shared" si="18"/>
        <v>1405.4</v>
      </c>
      <c r="F154" s="161">
        <f>1309+96.4</f>
        <v>1405.4</v>
      </c>
      <c r="G154" s="2" t="s">
        <v>708</v>
      </c>
      <c r="I154" s="847"/>
    </row>
    <row r="155">
      <c r="A155" s="265"/>
      <c r="B155" s="950">
        <f t="shared" si="18"/>
        <v>640</v>
      </c>
      <c r="F155" s="161">
        <v>640.0</v>
      </c>
      <c r="G155" s="2" t="s">
        <v>4110</v>
      </c>
      <c r="I155" s="847"/>
    </row>
    <row r="156">
      <c r="A156" s="265"/>
      <c r="B156" s="950">
        <f t="shared" si="18"/>
        <v>220</v>
      </c>
      <c r="F156" s="161">
        <v>220.0</v>
      </c>
      <c r="G156" s="2" t="s">
        <v>4111</v>
      </c>
      <c r="I156" s="847"/>
    </row>
    <row r="157">
      <c r="A157" s="265"/>
      <c r="B157" s="950">
        <f t="shared" si="18"/>
        <v>60</v>
      </c>
      <c r="F157" s="161">
        <v>60.0</v>
      </c>
      <c r="G157" s="2" t="s">
        <v>4112</v>
      </c>
      <c r="I157" s="847"/>
    </row>
    <row r="158">
      <c r="A158" s="265"/>
      <c r="B158" s="950" t="str">
        <f t="shared" si="18"/>
        <v/>
      </c>
      <c r="D158" s="2">
        <v>870.0</v>
      </c>
      <c r="F158" s="161"/>
      <c r="G158" s="2" t="s">
        <v>2646</v>
      </c>
      <c r="I158" s="847"/>
    </row>
    <row r="159">
      <c r="A159" s="265"/>
      <c r="B159" s="950" t="str">
        <f t="shared" si="18"/>
        <v/>
      </c>
      <c r="F159" s="161"/>
      <c r="I159" s="847"/>
    </row>
    <row r="160">
      <c r="A160" s="265"/>
      <c r="B160" s="950" t="str">
        <f t="shared" si="18"/>
        <v/>
      </c>
      <c r="F160" s="161"/>
      <c r="I160" s="847"/>
    </row>
    <row r="161">
      <c r="A161" s="265"/>
      <c r="B161" s="950" t="str">
        <f t="shared" si="18"/>
        <v/>
      </c>
      <c r="F161" s="161"/>
      <c r="I161" s="847"/>
    </row>
    <row r="162">
      <c r="A162" s="270"/>
      <c r="B162" s="194">
        <f>SUM(B153:B161)</f>
        <v>5865.4</v>
      </c>
      <c r="C162" s="18"/>
      <c r="D162" s="18"/>
      <c r="E162" s="18"/>
      <c r="F162" s="952"/>
      <c r="G162" s="18"/>
      <c r="H162" s="18"/>
      <c r="I162" s="663"/>
    </row>
    <row r="163">
      <c r="A163" s="937">
        <v>43999.0</v>
      </c>
      <c r="B163" s="948">
        <f t="shared" ref="B163:B171" si="19">F163</f>
        <v>1319</v>
      </c>
      <c r="C163" s="242"/>
      <c r="D163" s="242"/>
      <c r="E163" s="242"/>
      <c r="F163" s="949">
        <v>1319.0</v>
      </c>
      <c r="G163" s="244" t="s">
        <v>314</v>
      </c>
      <c r="H163" s="244"/>
      <c r="I163" s="662"/>
    </row>
    <row r="164">
      <c r="A164" s="265"/>
      <c r="B164" s="950" t="str">
        <f t="shared" si="19"/>
        <v/>
      </c>
      <c r="C164" s="2">
        <v>7184.68</v>
      </c>
      <c r="F164" s="161"/>
      <c r="G164" s="2" t="s">
        <v>2637</v>
      </c>
      <c r="I164" s="847"/>
    </row>
    <row r="165">
      <c r="A165" s="265"/>
      <c r="B165" s="950">
        <f t="shared" si="19"/>
        <v>180</v>
      </c>
      <c r="F165" s="161">
        <v>180.0</v>
      </c>
      <c r="G165" s="2" t="s">
        <v>4113</v>
      </c>
      <c r="I165" s="847"/>
    </row>
    <row r="166">
      <c r="A166" s="265"/>
      <c r="B166" s="950" t="str">
        <f t="shared" si="19"/>
        <v/>
      </c>
      <c r="C166" s="2">
        <v>7742.0</v>
      </c>
      <c r="F166" s="161"/>
      <c r="G166" s="2" t="s">
        <v>2654</v>
      </c>
      <c r="I166" s="847"/>
    </row>
    <row r="167">
      <c r="A167" s="265"/>
      <c r="B167" s="950" t="str">
        <f t="shared" si="19"/>
        <v/>
      </c>
      <c r="D167" s="2">
        <v>280.0</v>
      </c>
      <c r="F167" s="161"/>
      <c r="G167" s="2" t="s">
        <v>4114</v>
      </c>
      <c r="I167" s="847"/>
    </row>
    <row r="168">
      <c r="A168" s="265"/>
      <c r="B168" s="950">
        <f t="shared" si="19"/>
        <v>1578</v>
      </c>
      <c r="F168" s="161">
        <v>1578.0</v>
      </c>
      <c r="G168" s="2" t="s">
        <v>4115</v>
      </c>
      <c r="I168" s="847"/>
    </row>
    <row r="169">
      <c r="A169" s="265"/>
      <c r="B169" s="950">
        <f t="shared" si="19"/>
        <v>780</v>
      </c>
      <c r="F169" s="161">
        <v>780.0</v>
      </c>
      <c r="G169" s="2" t="s">
        <v>4116</v>
      </c>
      <c r="I169" s="847"/>
    </row>
    <row r="170">
      <c r="A170" s="265"/>
      <c r="B170" s="950">
        <f t="shared" si="19"/>
        <v>3330</v>
      </c>
      <c r="F170" s="161">
        <v>3330.0</v>
      </c>
      <c r="G170" s="2" t="s">
        <v>4117</v>
      </c>
      <c r="H170" s="778"/>
      <c r="I170" s="847"/>
    </row>
    <row r="171">
      <c r="A171" s="265"/>
      <c r="B171" s="950" t="str">
        <f t="shared" si="19"/>
        <v/>
      </c>
      <c r="F171" s="161"/>
      <c r="I171" s="847"/>
    </row>
    <row r="172">
      <c r="A172" s="270"/>
      <c r="B172" s="194">
        <f>SUM(B163:B171)</f>
        <v>7187</v>
      </c>
      <c r="C172" s="18"/>
      <c r="D172" s="18"/>
      <c r="E172" s="18"/>
      <c r="F172" s="952"/>
      <c r="G172" s="18"/>
      <c r="H172" s="18"/>
      <c r="I172" s="663"/>
    </row>
    <row r="173">
      <c r="A173" s="937">
        <v>44000.0</v>
      </c>
      <c r="B173" s="948">
        <f t="shared" ref="B173:B184" si="20">F173</f>
        <v>4400</v>
      </c>
      <c r="C173" s="242"/>
      <c r="D173" s="242"/>
      <c r="E173" s="242"/>
      <c r="F173" s="949">
        <v>4400.0</v>
      </c>
      <c r="G173" s="244" t="s">
        <v>615</v>
      </c>
      <c r="H173" s="244"/>
      <c r="I173" s="662"/>
    </row>
    <row r="174">
      <c r="A174" s="265"/>
      <c r="B174" s="950">
        <f t="shared" si="20"/>
        <v>2190</v>
      </c>
      <c r="F174" s="161">
        <v>2190.0</v>
      </c>
      <c r="G174" s="2" t="s">
        <v>4023</v>
      </c>
      <c r="I174" s="847"/>
    </row>
    <row r="175">
      <c r="A175" s="265"/>
      <c r="B175" s="950" t="str">
        <f t="shared" si="20"/>
        <v/>
      </c>
      <c r="C175" s="2">
        <v>4639.0</v>
      </c>
      <c r="F175" s="161"/>
      <c r="G175" s="2" t="s">
        <v>951</v>
      </c>
      <c r="I175" s="847"/>
    </row>
    <row r="176">
      <c r="A176" s="265"/>
      <c r="B176" s="950">
        <f t="shared" si="20"/>
        <v>515</v>
      </c>
      <c r="F176" s="161">
        <v>515.0</v>
      </c>
      <c r="G176" s="2" t="s">
        <v>4118</v>
      </c>
      <c r="I176" s="847"/>
    </row>
    <row r="177">
      <c r="A177" s="265"/>
      <c r="B177" s="950">
        <f t="shared" si="20"/>
        <v>705</v>
      </c>
      <c r="F177" s="161">
        <v>705.0</v>
      </c>
      <c r="G177" s="2" t="s">
        <v>4119</v>
      </c>
      <c r="I177" s="847"/>
    </row>
    <row r="178">
      <c r="A178" s="265"/>
      <c r="B178" s="950">
        <f t="shared" si="20"/>
        <v>603</v>
      </c>
      <c r="F178" s="161">
        <v>603.0</v>
      </c>
      <c r="G178" s="2" t="s">
        <v>3911</v>
      </c>
      <c r="I178" s="847"/>
    </row>
    <row r="179">
      <c r="A179" s="265"/>
      <c r="B179" s="950">
        <f t="shared" si="20"/>
        <v>949.56</v>
      </c>
      <c r="F179" s="161">
        <f>289+660.56</f>
        <v>949.56</v>
      </c>
      <c r="G179" s="2" t="s">
        <v>314</v>
      </c>
      <c r="I179" s="847"/>
    </row>
    <row r="180">
      <c r="A180" s="265"/>
      <c r="B180" s="950">
        <f t="shared" si="20"/>
        <v>2000</v>
      </c>
      <c r="F180" s="161">
        <v>2000.0</v>
      </c>
      <c r="G180" s="2" t="s">
        <v>3904</v>
      </c>
      <c r="I180" s="847"/>
    </row>
    <row r="181">
      <c r="A181" s="265"/>
      <c r="B181" s="950">
        <f t="shared" si="20"/>
        <v>1815</v>
      </c>
      <c r="F181" s="161">
        <v>1815.0</v>
      </c>
      <c r="G181" s="2" t="s">
        <v>4120</v>
      </c>
      <c r="I181" s="847"/>
    </row>
    <row r="182">
      <c r="A182" s="265"/>
      <c r="B182" s="950">
        <f t="shared" si="20"/>
        <v>140</v>
      </c>
      <c r="F182" s="161">
        <v>140.0</v>
      </c>
      <c r="G182" s="2" t="s">
        <v>4121</v>
      </c>
      <c r="I182" s="847"/>
    </row>
    <row r="183">
      <c r="A183" s="265"/>
      <c r="B183" s="950">
        <f t="shared" si="20"/>
        <v>751.37</v>
      </c>
      <c r="F183" s="161">
        <v>751.37</v>
      </c>
      <c r="G183" s="2" t="s">
        <v>314</v>
      </c>
      <c r="I183" s="847"/>
    </row>
    <row r="184">
      <c r="A184" s="265"/>
      <c r="B184" s="950" t="str">
        <f t="shared" si="20"/>
        <v/>
      </c>
      <c r="F184" s="161"/>
      <c r="G184" s="2"/>
      <c r="I184" s="847"/>
    </row>
    <row r="185">
      <c r="A185" s="270"/>
      <c r="B185" s="194">
        <f>SUM(B173:B184)</f>
        <v>14068.93</v>
      </c>
      <c r="C185" s="18"/>
      <c r="D185" s="18"/>
      <c r="E185" s="18"/>
      <c r="F185" s="952"/>
      <c r="G185" s="18"/>
      <c r="H185" s="18"/>
      <c r="I185" s="663"/>
    </row>
    <row r="186">
      <c r="A186" s="937">
        <v>44001.0</v>
      </c>
      <c r="B186" s="948">
        <f t="shared" ref="B186:B194" si="21">F186</f>
        <v>2960</v>
      </c>
      <c r="C186" s="242"/>
      <c r="D186" s="242"/>
      <c r="E186" s="242"/>
      <c r="F186" s="949">
        <v>2960.0</v>
      </c>
      <c r="G186" s="244" t="s">
        <v>4122</v>
      </c>
      <c r="H186" s="244"/>
      <c r="I186" s="662"/>
    </row>
    <row r="187">
      <c r="A187" s="265"/>
      <c r="B187" s="950">
        <f t="shared" si="21"/>
        <v>146.28</v>
      </c>
      <c r="F187" s="161">
        <v>146.28</v>
      </c>
      <c r="G187" s="2" t="s">
        <v>314</v>
      </c>
      <c r="I187" s="847"/>
    </row>
    <row r="188">
      <c r="A188" s="265"/>
      <c r="B188" s="950">
        <f t="shared" si="21"/>
        <v>1080</v>
      </c>
      <c r="F188" s="161">
        <v>1080.0</v>
      </c>
      <c r="G188" s="2" t="s">
        <v>3828</v>
      </c>
      <c r="I188" s="847"/>
    </row>
    <row r="189">
      <c r="A189" s="265"/>
      <c r="B189" s="950" t="str">
        <f t="shared" si="21"/>
        <v/>
      </c>
      <c r="D189" s="2">
        <v>10000.0</v>
      </c>
      <c r="F189" s="161"/>
      <c r="G189" s="2" t="s">
        <v>4123</v>
      </c>
      <c r="I189" s="847"/>
    </row>
    <row r="190">
      <c r="A190" s="265"/>
      <c r="B190" s="950">
        <f t="shared" si="21"/>
        <v>10000</v>
      </c>
      <c r="F190" s="161">
        <v>10000.0</v>
      </c>
      <c r="G190" s="2" t="s">
        <v>4124</v>
      </c>
      <c r="I190" s="847"/>
    </row>
    <row r="191">
      <c r="A191" s="265"/>
      <c r="B191" s="950">
        <f t="shared" si="21"/>
        <v>220</v>
      </c>
      <c r="F191" s="161">
        <v>220.0</v>
      </c>
      <c r="G191" s="2" t="s">
        <v>1762</v>
      </c>
      <c r="I191" s="847"/>
    </row>
    <row r="192">
      <c r="A192" s="265"/>
      <c r="B192" s="950" t="str">
        <f t="shared" si="21"/>
        <v/>
      </c>
      <c r="F192" s="161"/>
      <c r="I192" s="847"/>
    </row>
    <row r="193">
      <c r="A193" s="265"/>
      <c r="B193" s="950" t="str">
        <f t="shared" si="21"/>
        <v/>
      </c>
      <c r="F193" s="161"/>
      <c r="I193" s="847"/>
    </row>
    <row r="194">
      <c r="A194" s="265"/>
      <c r="B194" s="950" t="str">
        <f t="shared" si="21"/>
        <v/>
      </c>
      <c r="F194" s="161"/>
      <c r="I194" s="847"/>
    </row>
    <row r="195">
      <c r="A195" s="270"/>
      <c r="B195" s="194">
        <f>SUM(B186:B194)</f>
        <v>14406.28</v>
      </c>
      <c r="C195" s="18"/>
      <c r="D195" s="18"/>
      <c r="E195" s="18"/>
      <c r="F195" s="952"/>
      <c r="G195" s="18"/>
      <c r="H195" s="18"/>
      <c r="I195" s="663"/>
    </row>
    <row r="196">
      <c r="A196" s="937">
        <v>44002.0</v>
      </c>
      <c r="B196" s="948">
        <f t="shared" ref="B196:B204" si="22">F196</f>
        <v>1500</v>
      </c>
      <c r="C196" s="242"/>
      <c r="D196" s="242"/>
      <c r="E196" s="242"/>
      <c r="F196" s="949">
        <v>1500.0</v>
      </c>
      <c r="G196" s="244" t="s">
        <v>4125</v>
      </c>
      <c r="H196" s="244"/>
      <c r="I196" s="662"/>
    </row>
    <row r="197">
      <c r="A197" s="265"/>
      <c r="B197" s="950">
        <f t="shared" si="22"/>
        <v>8625</v>
      </c>
      <c r="F197" s="161">
        <v>8625.0</v>
      </c>
      <c r="G197" s="2" t="s">
        <v>2787</v>
      </c>
      <c r="H197" s="942">
        <f t="shared" ref="H197:H203" si="23">I135</f>
        <v>-125</v>
      </c>
      <c r="I197" s="847"/>
    </row>
    <row r="198">
      <c r="A198" s="265"/>
      <c r="B198" s="950">
        <f t="shared" si="22"/>
        <v>4875</v>
      </c>
      <c r="F198" s="161">
        <f>7250-H198</f>
        <v>4875</v>
      </c>
      <c r="G198" s="2" t="s">
        <v>3810</v>
      </c>
      <c r="H198" s="942">
        <f t="shared" si="23"/>
        <v>2375</v>
      </c>
      <c r="I198" s="847"/>
    </row>
    <row r="199">
      <c r="A199" s="265"/>
      <c r="B199" s="950" t="str">
        <f t="shared" si="22"/>
        <v/>
      </c>
      <c r="F199" s="161"/>
      <c r="G199" s="2" t="s">
        <v>3896</v>
      </c>
      <c r="H199" s="942">
        <f t="shared" si="23"/>
        <v>5775</v>
      </c>
      <c r="I199" s="963">
        <v>275.0</v>
      </c>
    </row>
    <row r="200">
      <c r="A200" s="265"/>
      <c r="B200" s="950" t="str">
        <f t="shared" si="22"/>
        <v/>
      </c>
      <c r="F200" s="161"/>
      <c r="G200" s="2" t="s">
        <v>3812</v>
      </c>
      <c r="H200" s="942">
        <f t="shared" si="23"/>
        <v>7375</v>
      </c>
      <c r="I200" s="847">
        <f>H200-5750</f>
        <v>1625</v>
      </c>
    </row>
    <row r="201">
      <c r="A201" s="265"/>
      <c r="B201" s="950">
        <f t="shared" si="22"/>
        <v>8625</v>
      </c>
      <c r="F201" s="161">
        <v>8625.0</v>
      </c>
      <c r="G201" s="2" t="s">
        <v>3815</v>
      </c>
      <c r="H201" s="942">
        <f t="shared" si="23"/>
        <v>-125</v>
      </c>
      <c r="I201" s="847"/>
    </row>
    <row r="202">
      <c r="A202" s="265"/>
      <c r="B202" s="950" t="str">
        <f t="shared" si="22"/>
        <v/>
      </c>
      <c r="F202" s="161"/>
      <c r="G202" s="2" t="s">
        <v>3847</v>
      </c>
      <c r="H202" s="942">
        <f t="shared" si="23"/>
        <v>16350</v>
      </c>
      <c r="I202" s="847">
        <f>H202-5800</f>
        <v>10550</v>
      </c>
    </row>
    <row r="203">
      <c r="A203" s="265"/>
      <c r="B203" s="950">
        <f t="shared" si="22"/>
        <v>525</v>
      </c>
      <c r="F203" s="161">
        <f>5800-H203</f>
        <v>525</v>
      </c>
      <c r="G203" s="2" t="s">
        <v>3848</v>
      </c>
      <c r="H203" s="942">
        <f t="shared" si="23"/>
        <v>5275</v>
      </c>
      <c r="I203" s="847"/>
    </row>
    <row r="204">
      <c r="A204" s="265"/>
      <c r="B204" s="950" t="str">
        <f t="shared" si="22"/>
        <v/>
      </c>
      <c r="F204" s="161"/>
      <c r="I204" s="847"/>
    </row>
    <row r="205">
      <c r="A205" s="270"/>
      <c r="B205" s="194">
        <f>SUM(B196:B204)</f>
        <v>24150</v>
      </c>
      <c r="C205" s="18"/>
      <c r="D205" s="18"/>
      <c r="E205" s="18"/>
      <c r="F205" s="952"/>
      <c r="G205" s="18"/>
      <c r="H205" s="18"/>
      <c r="I205" s="663"/>
    </row>
    <row r="206">
      <c r="A206" s="937">
        <v>44003.0</v>
      </c>
      <c r="B206" s="948">
        <f t="shared" ref="B206:B214" si="24">F206</f>
        <v>1375</v>
      </c>
      <c r="C206" s="242"/>
      <c r="D206" s="242"/>
      <c r="E206" s="242"/>
      <c r="F206" s="949">
        <v>1375.0</v>
      </c>
      <c r="G206" s="244" t="s">
        <v>314</v>
      </c>
      <c r="H206" s="244"/>
      <c r="I206" s="662"/>
    </row>
    <row r="207">
      <c r="A207" s="265"/>
      <c r="B207" s="950">
        <f t="shared" si="24"/>
        <v>780</v>
      </c>
      <c r="F207" s="161">
        <v>780.0</v>
      </c>
      <c r="G207" s="2" t="s">
        <v>3911</v>
      </c>
      <c r="I207" s="847"/>
    </row>
    <row r="208">
      <c r="A208" s="265"/>
      <c r="B208" s="950">
        <f t="shared" si="24"/>
        <v>600</v>
      </c>
      <c r="F208" s="161">
        <v>600.0</v>
      </c>
      <c r="G208" s="2" t="s">
        <v>4126</v>
      </c>
      <c r="I208" s="847"/>
    </row>
    <row r="209">
      <c r="A209" s="265"/>
      <c r="B209" s="950" t="str">
        <f t="shared" si="24"/>
        <v/>
      </c>
      <c r="F209" s="161"/>
      <c r="I209" s="847"/>
    </row>
    <row r="210">
      <c r="A210" s="265"/>
      <c r="B210" s="950" t="str">
        <f t="shared" si="24"/>
        <v/>
      </c>
      <c r="F210" s="161"/>
      <c r="I210" s="847"/>
    </row>
    <row r="211">
      <c r="A211" s="265"/>
      <c r="B211" s="950" t="str">
        <f t="shared" si="24"/>
        <v/>
      </c>
      <c r="F211" s="161"/>
      <c r="I211" s="847"/>
    </row>
    <row r="212">
      <c r="A212" s="265"/>
      <c r="B212" s="950" t="str">
        <f t="shared" si="24"/>
        <v/>
      </c>
      <c r="F212" s="161"/>
      <c r="I212" s="847"/>
    </row>
    <row r="213">
      <c r="A213" s="265"/>
      <c r="B213" s="950" t="str">
        <f t="shared" si="24"/>
        <v/>
      </c>
      <c r="F213" s="161"/>
      <c r="I213" s="847"/>
    </row>
    <row r="214">
      <c r="A214" s="265"/>
      <c r="B214" s="950" t="str">
        <f t="shared" si="24"/>
        <v/>
      </c>
      <c r="F214" s="161"/>
      <c r="I214" s="847"/>
    </row>
    <row r="215">
      <c r="A215" s="270"/>
      <c r="B215" s="194">
        <f>SUM(B206:B214)</f>
        <v>2755</v>
      </c>
      <c r="C215" s="18"/>
      <c r="D215" s="18"/>
      <c r="E215" s="18"/>
      <c r="F215" s="952"/>
      <c r="G215" s="18"/>
      <c r="H215" s="18"/>
      <c r="I215" s="663"/>
    </row>
    <row r="216">
      <c r="A216" s="937">
        <v>44004.0</v>
      </c>
      <c r="B216" s="948">
        <f t="shared" ref="B216:B224" si="25">F216</f>
        <v>575.72</v>
      </c>
      <c r="C216" s="242"/>
      <c r="D216" s="242"/>
      <c r="E216" s="242"/>
      <c r="F216" s="949">
        <v>575.72</v>
      </c>
      <c r="G216" s="244" t="s">
        <v>708</v>
      </c>
      <c r="H216" s="244"/>
      <c r="I216" s="662"/>
    </row>
    <row r="217">
      <c r="A217" s="265"/>
      <c r="B217" s="950">
        <f t="shared" si="25"/>
        <v>580</v>
      </c>
      <c r="F217" s="161">
        <v>580.0</v>
      </c>
      <c r="G217" s="2" t="s">
        <v>4127</v>
      </c>
      <c r="I217" s="847"/>
    </row>
    <row r="218">
      <c r="A218" s="265"/>
      <c r="B218" s="950">
        <f t="shared" si="25"/>
        <v>130</v>
      </c>
      <c r="F218" s="161">
        <v>130.0</v>
      </c>
      <c r="G218" s="2" t="s">
        <v>4128</v>
      </c>
      <c r="I218" s="847"/>
    </row>
    <row r="219">
      <c r="A219" s="265"/>
      <c r="B219" s="950" t="str">
        <f t="shared" si="25"/>
        <v/>
      </c>
      <c r="D219" s="2">
        <v>3900.0</v>
      </c>
      <c r="F219" s="161"/>
      <c r="G219" s="2" t="s">
        <v>2292</v>
      </c>
      <c r="I219" s="847"/>
    </row>
    <row r="220">
      <c r="A220" s="265"/>
      <c r="B220" s="950" t="str">
        <f t="shared" si="25"/>
        <v/>
      </c>
      <c r="F220" s="161"/>
      <c r="I220" s="847"/>
    </row>
    <row r="221">
      <c r="A221" s="265"/>
      <c r="B221" s="950" t="str">
        <f t="shared" si="25"/>
        <v/>
      </c>
      <c r="F221" s="161"/>
      <c r="I221" s="847"/>
    </row>
    <row r="222">
      <c r="A222" s="265"/>
      <c r="B222" s="950" t="str">
        <f t="shared" si="25"/>
        <v/>
      </c>
      <c r="F222" s="161"/>
      <c r="I222" s="847"/>
    </row>
    <row r="223">
      <c r="A223" s="265"/>
      <c r="B223" s="950" t="str">
        <f t="shared" si="25"/>
        <v/>
      </c>
      <c r="F223" s="161"/>
      <c r="I223" s="847"/>
    </row>
    <row r="224">
      <c r="A224" s="265"/>
      <c r="B224" s="950" t="str">
        <f t="shared" si="25"/>
        <v/>
      </c>
      <c r="F224" s="161"/>
      <c r="I224" s="847"/>
    </row>
    <row r="225">
      <c r="A225" s="270"/>
      <c r="B225" s="194">
        <f>SUM(B216:B224)</f>
        <v>1285.72</v>
      </c>
      <c r="C225" s="18"/>
      <c r="D225" s="18"/>
      <c r="E225" s="18"/>
      <c r="F225" s="952"/>
      <c r="G225" s="18"/>
      <c r="H225" s="18"/>
      <c r="I225" s="663"/>
    </row>
    <row r="226">
      <c r="A226" s="937">
        <v>44005.0</v>
      </c>
      <c r="B226" s="948">
        <f t="shared" ref="B226:B234" si="26">F226</f>
        <v>2000</v>
      </c>
      <c r="C226" s="242"/>
      <c r="D226" s="242"/>
      <c r="E226" s="242"/>
      <c r="F226" s="949">
        <v>2000.0</v>
      </c>
      <c r="G226" s="244" t="s">
        <v>4129</v>
      </c>
      <c r="H226" s="244"/>
      <c r="I226" s="662"/>
    </row>
    <row r="227">
      <c r="A227" s="265"/>
      <c r="B227" s="950">
        <f t="shared" si="26"/>
        <v>4090</v>
      </c>
      <c r="F227" s="161">
        <v>4090.0</v>
      </c>
      <c r="G227" s="2" t="s">
        <v>4130</v>
      </c>
      <c r="I227" s="847"/>
    </row>
    <row r="228">
      <c r="A228" s="265"/>
      <c r="B228" s="950">
        <f t="shared" si="26"/>
        <v>966.52</v>
      </c>
      <c r="F228" s="161">
        <v>966.52</v>
      </c>
      <c r="G228" s="2" t="s">
        <v>3031</v>
      </c>
      <c r="I228" s="847"/>
    </row>
    <row r="229">
      <c r="A229" s="265"/>
      <c r="B229" s="950" t="str">
        <f t="shared" si="26"/>
        <v/>
      </c>
      <c r="D229" s="2">
        <v>2500.0</v>
      </c>
      <c r="F229" s="161"/>
      <c r="G229" s="2" t="s">
        <v>4131</v>
      </c>
      <c r="I229" s="847"/>
    </row>
    <row r="230">
      <c r="A230" s="265"/>
      <c r="B230" s="950">
        <f t="shared" si="26"/>
        <v>500</v>
      </c>
      <c r="F230" s="161">
        <v>500.0</v>
      </c>
      <c r="G230" s="2" t="s">
        <v>4132</v>
      </c>
      <c r="H230" s="942"/>
      <c r="I230" s="847"/>
    </row>
    <row r="231">
      <c r="A231" s="265"/>
      <c r="B231" s="950" t="str">
        <f t="shared" si="26"/>
        <v/>
      </c>
      <c r="F231" s="161"/>
      <c r="I231" s="847"/>
    </row>
    <row r="232">
      <c r="A232" s="265"/>
      <c r="B232" s="950" t="str">
        <f t="shared" si="26"/>
        <v/>
      </c>
      <c r="F232" s="161"/>
      <c r="I232" s="847"/>
    </row>
    <row r="233">
      <c r="A233" s="265"/>
      <c r="B233" s="950" t="str">
        <f t="shared" si="26"/>
        <v/>
      </c>
      <c r="F233" s="161"/>
      <c r="I233" s="847"/>
    </row>
    <row r="234">
      <c r="A234" s="265"/>
      <c r="B234" s="950" t="str">
        <f t="shared" si="26"/>
        <v/>
      </c>
      <c r="F234" s="161"/>
      <c r="I234" s="847"/>
    </row>
    <row r="235">
      <c r="A235" s="270"/>
      <c r="B235" s="194">
        <f>SUM(B226:B234)</f>
        <v>7556.52</v>
      </c>
      <c r="C235" s="18"/>
      <c r="D235" s="18"/>
      <c r="E235" s="18"/>
      <c r="F235" s="952"/>
      <c r="G235" s="18"/>
      <c r="H235" s="18"/>
      <c r="I235" s="663"/>
    </row>
    <row r="236">
      <c r="A236" s="937">
        <v>44006.0</v>
      </c>
      <c r="B236" s="948" t="str">
        <f t="shared" ref="B236:B243" si="27">F236</f>
        <v/>
      </c>
      <c r="C236" s="242"/>
      <c r="D236" s="244">
        <v>18150.0</v>
      </c>
      <c r="E236" s="242"/>
      <c r="F236" s="949"/>
      <c r="G236" s="244" t="s">
        <v>4133</v>
      </c>
      <c r="H236" s="244"/>
      <c r="I236" s="662"/>
    </row>
    <row r="237">
      <c r="A237" s="265"/>
      <c r="B237" s="950">
        <f t="shared" si="27"/>
        <v>626</v>
      </c>
      <c r="F237" s="161">
        <v>626.0</v>
      </c>
      <c r="G237" s="2" t="s">
        <v>4134</v>
      </c>
      <c r="I237" s="847"/>
    </row>
    <row r="238">
      <c r="A238" s="265"/>
      <c r="B238" s="950">
        <f t="shared" si="27"/>
        <v>651</v>
      </c>
      <c r="F238" s="161">
        <v>651.0</v>
      </c>
      <c r="G238" s="2" t="s">
        <v>4135</v>
      </c>
      <c r="I238" s="847"/>
    </row>
    <row r="239">
      <c r="A239" s="265"/>
      <c r="B239" s="950">
        <f t="shared" si="27"/>
        <v>5686</v>
      </c>
      <c r="F239" s="161">
        <v>5686.0</v>
      </c>
      <c r="G239" s="2" t="s">
        <v>3309</v>
      </c>
      <c r="I239" s="847"/>
    </row>
    <row r="240">
      <c r="A240" s="265"/>
      <c r="B240" s="950" t="str">
        <f t="shared" si="27"/>
        <v/>
      </c>
      <c r="C240" s="2">
        <v>7230.0</v>
      </c>
      <c r="F240" s="161"/>
      <c r="G240" s="2" t="s">
        <v>4136</v>
      </c>
      <c r="I240" s="847"/>
    </row>
    <row r="241">
      <c r="A241" s="265"/>
      <c r="B241" s="950" t="str">
        <f t="shared" si="27"/>
        <v/>
      </c>
      <c r="C241" s="2">
        <v>9493.66</v>
      </c>
      <c r="F241" s="161"/>
      <c r="G241" s="2" t="s">
        <v>4137</v>
      </c>
      <c r="I241" s="847"/>
    </row>
    <row r="242">
      <c r="A242" s="265"/>
      <c r="B242" s="950">
        <f t="shared" si="27"/>
        <v>2066.7</v>
      </c>
      <c r="F242" s="161">
        <v>2066.7</v>
      </c>
      <c r="G242" s="2" t="s">
        <v>4138</v>
      </c>
      <c r="I242" s="847"/>
    </row>
    <row r="243">
      <c r="A243" s="265"/>
      <c r="B243" s="950">
        <f t="shared" si="27"/>
        <v>2610</v>
      </c>
      <c r="F243" s="161">
        <v>2610.0</v>
      </c>
      <c r="G243" s="2" t="s">
        <v>612</v>
      </c>
      <c r="I243" s="847"/>
    </row>
    <row r="244">
      <c r="A244" s="265"/>
      <c r="B244" s="950"/>
      <c r="F244" s="161"/>
      <c r="I244" s="847"/>
    </row>
    <row r="245">
      <c r="A245" s="265"/>
      <c r="B245" s="950" t="str">
        <f t="shared" ref="B245:B246" si="28">F245</f>
        <v/>
      </c>
      <c r="F245" s="161"/>
      <c r="I245" s="847"/>
    </row>
    <row r="246">
      <c r="A246" s="265"/>
      <c r="B246" s="950" t="str">
        <f t="shared" si="28"/>
        <v/>
      </c>
      <c r="F246" s="161"/>
      <c r="I246" s="847"/>
    </row>
    <row r="247">
      <c r="A247" s="270"/>
      <c r="B247" s="194">
        <f>SUM(B236:B246)</f>
        <v>11639.7</v>
      </c>
      <c r="C247" s="18"/>
      <c r="D247" s="18"/>
      <c r="E247" s="18"/>
      <c r="F247" s="952"/>
      <c r="G247" s="18"/>
      <c r="H247" s="18"/>
      <c r="I247" s="663"/>
    </row>
    <row r="248">
      <c r="A248" s="937">
        <v>44007.0</v>
      </c>
      <c r="B248" s="948" t="str">
        <f t="shared" ref="B248:B256" si="29">F248</f>
        <v/>
      </c>
      <c r="C248" s="242"/>
      <c r="D248" s="244">
        <v>4512.0</v>
      </c>
      <c r="E248" s="242"/>
      <c r="F248" s="949"/>
      <c r="G248" s="244" t="s">
        <v>951</v>
      </c>
      <c r="H248" s="244"/>
      <c r="I248" s="662"/>
    </row>
    <row r="249">
      <c r="A249" s="265"/>
      <c r="B249" s="950">
        <f t="shared" si="29"/>
        <v>919.23</v>
      </c>
      <c r="F249" s="161">
        <v>919.23</v>
      </c>
      <c r="G249" s="2" t="s">
        <v>314</v>
      </c>
      <c r="I249" s="847"/>
    </row>
    <row r="250">
      <c r="A250" s="265"/>
      <c r="B250" s="950">
        <f t="shared" si="29"/>
        <v>4000</v>
      </c>
      <c r="F250" s="161">
        <v>4000.0</v>
      </c>
      <c r="G250" s="2" t="s">
        <v>4139</v>
      </c>
      <c r="H250" s="942"/>
      <c r="I250" s="847"/>
    </row>
    <row r="251">
      <c r="A251" s="265"/>
      <c r="B251" s="950">
        <f t="shared" si="29"/>
        <v>1000</v>
      </c>
      <c r="F251" s="161">
        <v>1000.0</v>
      </c>
      <c r="G251" s="2" t="s">
        <v>3818</v>
      </c>
      <c r="H251" s="942"/>
      <c r="I251" s="847"/>
    </row>
    <row r="252">
      <c r="A252" s="265"/>
      <c r="B252" s="950">
        <f t="shared" si="29"/>
        <v>200</v>
      </c>
      <c r="F252" s="161">
        <v>200.0</v>
      </c>
      <c r="G252" s="2" t="s">
        <v>4140</v>
      </c>
      <c r="I252" s="847"/>
    </row>
    <row r="253">
      <c r="A253" s="265"/>
      <c r="B253" s="950" t="str">
        <f t="shared" si="29"/>
        <v/>
      </c>
      <c r="F253" s="161"/>
      <c r="I253" s="847"/>
    </row>
    <row r="254">
      <c r="A254" s="265"/>
      <c r="B254" s="950" t="str">
        <f t="shared" si="29"/>
        <v/>
      </c>
      <c r="F254" s="161"/>
      <c r="I254" s="847"/>
    </row>
    <row r="255">
      <c r="A255" s="265"/>
      <c r="B255" s="950" t="str">
        <f t="shared" si="29"/>
        <v/>
      </c>
      <c r="F255" s="161"/>
      <c r="I255" s="847"/>
    </row>
    <row r="256">
      <c r="A256" s="265"/>
      <c r="B256" s="950" t="str">
        <f t="shared" si="29"/>
        <v/>
      </c>
      <c r="F256" s="161"/>
      <c r="I256" s="847"/>
    </row>
    <row r="257">
      <c r="A257" s="270"/>
      <c r="B257" s="194">
        <f>SUM(B248:B256)</f>
        <v>6119.23</v>
      </c>
      <c r="C257" s="18"/>
      <c r="D257" s="18"/>
      <c r="E257" s="18"/>
      <c r="F257" s="952"/>
      <c r="G257" s="18"/>
      <c r="H257" s="18"/>
      <c r="I257" s="663"/>
    </row>
    <row r="258">
      <c r="A258" s="937">
        <v>44008.0</v>
      </c>
      <c r="B258" s="948">
        <f t="shared" ref="B258:B266" si="30">F258</f>
        <v>2128</v>
      </c>
      <c r="C258" s="242"/>
      <c r="D258" s="242"/>
      <c r="E258" s="242"/>
      <c r="F258" s="949">
        <v>2128.0</v>
      </c>
      <c r="G258" s="244" t="s">
        <v>4080</v>
      </c>
      <c r="H258" s="244"/>
      <c r="I258" s="662"/>
    </row>
    <row r="259">
      <c r="A259" s="265"/>
      <c r="B259" s="950">
        <f t="shared" si="30"/>
        <v>2500</v>
      </c>
      <c r="F259" s="161">
        <v>2500.0</v>
      </c>
      <c r="G259" s="2" t="s">
        <v>3955</v>
      </c>
      <c r="H259" s="942"/>
      <c r="I259" s="847"/>
    </row>
    <row r="260">
      <c r="A260" s="265"/>
      <c r="B260" s="950">
        <f t="shared" si="30"/>
        <v>379</v>
      </c>
      <c r="F260" s="161">
        <v>379.0</v>
      </c>
      <c r="G260" s="2" t="s">
        <v>4141</v>
      </c>
      <c r="I260" s="847"/>
    </row>
    <row r="261">
      <c r="A261" s="265"/>
      <c r="B261" s="950">
        <f t="shared" si="30"/>
        <v>175</v>
      </c>
      <c r="F261" s="161">
        <v>175.0</v>
      </c>
      <c r="G261" s="2" t="s">
        <v>1762</v>
      </c>
      <c r="I261" s="847"/>
    </row>
    <row r="262">
      <c r="A262" s="265"/>
      <c r="B262" s="950">
        <f t="shared" si="30"/>
        <v>680</v>
      </c>
      <c r="F262" s="161">
        <v>680.0</v>
      </c>
      <c r="G262" s="2" t="s">
        <v>3911</v>
      </c>
      <c r="I262" s="847"/>
    </row>
    <row r="263">
      <c r="A263" s="265"/>
      <c r="B263" s="950">
        <f t="shared" si="30"/>
        <v>1230.68</v>
      </c>
      <c r="F263" s="161">
        <f>577.99+652.69</f>
        <v>1230.68</v>
      </c>
      <c r="G263" s="2" t="s">
        <v>314</v>
      </c>
      <c r="I263" s="847"/>
    </row>
    <row r="264">
      <c r="A264" s="265"/>
      <c r="B264" s="950">
        <f t="shared" si="30"/>
        <v>2784</v>
      </c>
      <c r="F264" s="161">
        <v>2784.0</v>
      </c>
      <c r="G264" s="2" t="s">
        <v>4142</v>
      </c>
      <c r="I264" s="847"/>
    </row>
    <row r="265">
      <c r="A265" s="265"/>
      <c r="B265" s="950" t="str">
        <f t="shared" si="30"/>
        <v/>
      </c>
      <c r="F265" s="161"/>
      <c r="I265" s="847"/>
    </row>
    <row r="266">
      <c r="A266" s="265"/>
      <c r="B266" s="950" t="str">
        <f t="shared" si="30"/>
        <v/>
      </c>
      <c r="F266" s="161"/>
      <c r="I266" s="847"/>
    </row>
    <row r="267">
      <c r="A267" s="270"/>
      <c r="B267" s="194">
        <f>SUM(B258:B266)</f>
        <v>9876.68</v>
      </c>
      <c r="C267" s="18"/>
      <c r="D267" s="18"/>
      <c r="E267" s="18"/>
      <c r="F267" s="952"/>
      <c r="G267" s="18"/>
      <c r="H267" s="18"/>
      <c r="I267" s="663"/>
    </row>
    <row r="268">
      <c r="A268" s="937">
        <v>44009.0</v>
      </c>
      <c r="B268" s="948">
        <f t="shared" ref="B268:B279" si="31">F268</f>
        <v>2000</v>
      </c>
      <c r="C268" s="242"/>
      <c r="D268" s="242"/>
      <c r="E268" s="242"/>
      <c r="F268" s="949">
        <v>2000.0</v>
      </c>
      <c r="G268" s="244" t="s">
        <v>4143</v>
      </c>
      <c r="H268" s="244"/>
      <c r="I268" s="662"/>
    </row>
    <row r="269">
      <c r="A269" s="265"/>
      <c r="B269" s="950" t="str">
        <f t="shared" si="31"/>
        <v/>
      </c>
      <c r="D269" s="2">
        <v>7800.0</v>
      </c>
      <c r="F269" s="161"/>
      <c r="G269" s="2" t="s">
        <v>3942</v>
      </c>
      <c r="I269" s="847"/>
    </row>
    <row r="270">
      <c r="A270" s="265"/>
      <c r="B270" s="950">
        <f t="shared" si="31"/>
        <v>2520</v>
      </c>
      <c r="E270" s="2"/>
      <c r="F270" s="161">
        <v>2520.0</v>
      </c>
      <c r="G270" s="2" t="s">
        <v>4144</v>
      </c>
      <c r="I270" s="847"/>
    </row>
    <row r="271">
      <c r="A271" s="265"/>
      <c r="B271" s="950">
        <f t="shared" si="31"/>
        <v>402</v>
      </c>
      <c r="E271" s="2"/>
      <c r="F271" s="161">
        <v>402.0</v>
      </c>
      <c r="G271" s="2" t="s">
        <v>3911</v>
      </c>
      <c r="I271" s="847"/>
    </row>
    <row r="272">
      <c r="A272" s="265"/>
      <c r="B272" s="950">
        <f t="shared" si="31"/>
        <v>907</v>
      </c>
      <c r="E272" s="2"/>
      <c r="F272" s="161">
        <f>737+170</f>
        <v>907</v>
      </c>
      <c r="G272" s="2" t="s">
        <v>314</v>
      </c>
      <c r="I272" s="847"/>
    </row>
    <row r="273">
      <c r="A273" s="265"/>
      <c r="B273" s="950">
        <f t="shared" si="31"/>
        <v>1800</v>
      </c>
      <c r="E273" s="2"/>
      <c r="F273" s="161">
        <v>1800.0</v>
      </c>
      <c r="G273" s="2" t="s">
        <v>4145</v>
      </c>
      <c r="H273" s="942" t="str">
        <f>I197</f>
        <v/>
      </c>
      <c r="I273" s="847"/>
    </row>
    <row r="274">
      <c r="A274" s="265"/>
      <c r="B274" s="950">
        <f t="shared" si="31"/>
        <v>4150</v>
      </c>
      <c r="F274" s="161">
        <v>4150.0</v>
      </c>
      <c r="G274" s="2" t="s">
        <v>3897</v>
      </c>
      <c r="H274" s="84">
        <v>1625.0</v>
      </c>
      <c r="I274" s="847"/>
    </row>
    <row r="275">
      <c r="A275" s="265"/>
      <c r="B275" s="950">
        <f t="shared" si="31"/>
        <v>7250</v>
      </c>
      <c r="F275" s="161">
        <v>7250.0</v>
      </c>
      <c r="G275" s="2" t="s">
        <v>3810</v>
      </c>
      <c r="H275" s="942"/>
      <c r="I275" s="847"/>
    </row>
    <row r="276">
      <c r="A276" s="265"/>
      <c r="B276" s="950">
        <f t="shared" si="31"/>
        <v>6330</v>
      </c>
      <c r="F276" s="161">
        <f>6050+280</f>
        <v>6330</v>
      </c>
      <c r="G276" s="2" t="s">
        <v>3896</v>
      </c>
      <c r="H276" s="942"/>
      <c r="I276" s="847"/>
    </row>
    <row r="277">
      <c r="A277" s="265"/>
      <c r="B277" s="950">
        <f t="shared" si="31"/>
        <v>8500</v>
      </c>
      <c r="F277" s="161">
        <v>8500.0</v>
      </c>
      <c r="G277" s="2" t="s">
        <v>2787</v>
      </c>
      <c r="H277" s="942" t="str">
        <f>I201</f>
        <v/>
      </c>
      <c r="I277" s="847"/>
    </row>
    <row r="278">
      <c r="A278" s="265"/>
      <c r="B278" s="950">
        <f t="shared" si="31"/>
        <v>6000</v>
      </c>
      <c r="F278" s="161">
        <v>6000.0</v>
      </c>
      <c r="G278" s="2" t="s">
        <v>4146</v>
      </c>
      <c r="H278" s="942"/>
      <c r="I278" s="963"/>
    </row>
    <row r="279">
      <c r="A279" s="265"/>
      <c r="B279" s="950" t="str">
        <f t="shared" si="31"/>
        <v/>
      </c>
      <c r="F279" s="161"/>
      <c r="G279" s="2" t="s">
        <v>3847</v>
      </c>
      <c r="H279" s="84">
        <v>10550.0</v>
      </c>
      <c r="I279" s="963">
        <v>4750.0</v>
      </c>
    </row>
    <row r="280">
      <c r="A280" s="265"/>
      <c r="B280" s="950"/>
      <c r="F280" s="161"/>
      <c r="G280" s="2"/>
      <c r="H280" s="84"/>
      <c r="I280" s="963"/>
    </row>
    <row r="281">
      <c r="A281" s="270"/>
      <c r="B281" s="194">
        <f>SUM(B268:B279)</f>
        <v>39859</v>
      </c>
      <c r="C281" s="18"/>
      <c r="D281" s="18"/>
      <c r="E281" s="18"/>
      <c r="F281" s="952"/>
      <c r="G281" s="18"/>
      <c r="H281" s="18"/>
      <c r="I281" s="663"/>
    </row>
    <row r="282">
      <c r="A282" s="937">
        <v>44010.0</v>
      </c>
      <c r="B282" s="948">
        <f t="shared" ref="B282:B290" si="32">F282</f>
        <v>415.36</v>
      </c>
      <c r="C282" s="242"/>
      <c r="D282" s="242"/>
      <c r="E282" s="242"/>
      <c r="F282" s="949">
        <v>415.36</v>
      </c>
      <c r="G282" s="244" t="s">
        <v>314</v>
      </c>
      <c r="H282" s="244"/>
      <c r="I282" s="662"/>
    </row>
    <row r="283">
      <c r="A283" s="265"/>
      <c r="B283" s="950">
        <f t="shared" si="32"/>
        <v>780.54</v>
      </c>
      <c r="F283" s="161">
        <v>780.54</v>
      </c>
      <c r="G283" s="2" t="s">
        <v>314</v>
      </c>
      <c r="I283" s="847"/>
    </row>
    <row r="284">
      <c r="A284" s="265"/>
      <c r="B284" s="950" t="str">
        <f t="shared" si="32"/>
        <v/>
      </c>
      <c r="F284" s="161"/>
      <c r="I284" s="847"/>
    </row>
    <row r="285">
      <c r="A285" s="265"/>
      <c r="B285" s="950" t="str">
        <f t="shared" si="32"/>
        <v/>
      </c>
      <c r="F285" s="161"/>
      <c r="I285" s="847"/>
    </row>
    <row r="286">
      <c r="A286" s="265"/>
      <c r="B286" s="950" t="str">
        <f t="shared" si="32"/>
        <v/>
      </c>
      <c r="F286" s="161"/>
      <c r="I286" s="847"/>
    </row>
    <row r="287">
      <c r="A287" s="265"/>
      <c r="B287" s="950" t="str">
        <f t="shared" si="32"/>
        <v/>
      </c>
      <c r="F287" s="161"/>
      <c r="I287" s="847"/>
    </row>
    <row r="288">
      <c r="A288" s="265"/>
      <c r="B288" s="950" t="str">
        <f t="shared" si="32"/>
        <v/>
      </c>
      <c r="F288" s="161"/>
      <c r="I288" s="847"/>
    </row>
    <row r="289">
      <c r="A289" s="265"/>
      <c r="B289" s="950" t="str">
        <f t="shared" si="32"/>
        <v/>
      </c>
      <c r="F289" s="161"/>
      <c r="I289" s="847"/>
    </row>
    <row r="290">
      <c r="A290" s="265"/>
      <c r="B290" s="950" t="str">
        <f t="shared" si="32"/>
        <v/>
      </c>
      <c r="F290" s="161"/>
      <c r="I290" s="847"/>
    </row>
    <row r="291">
      <c r="A291" s="270"/>
      <c r="B291" s="194">
        <f>SUM(B282:B290)</f>
        <v>1195.9</v>
      </c>
      <c r="C291" s="18"/>
      <c r="D291" s="18"/>
      <c r="E291" s="18"/>
      <c r="F291" s="952"/>
      <c r="G291" s="18"/>
      <c r="H291" s="18"/>
      <c r="I291" s="663"/>
    </row>
    <row r="292">
      <c r="A292" s="937">
        <v>44011.0</v>
      </c>
      <c r="B292" s="948">
        <f t="shared" ref="B292:B300" si="33">F292</f>
        <v>402</v>
      </c>
      <c r="C292" s="242"/>
      <c r="D292" s="242"/>
      <c r="E292" s="242"/>
      <c r="F292" s="949">
        <v>402.0</v>
      </c>
      <c r="G292" s="244" t="s">
        <v>329</v>
      </c>
      <c r="H292" s="244"/>
      <c r="I292" s="662"/>
    </row>
    <row r="293">
      <c r="A293" s="265"/>
      <c r="B293" s="950">
        <f t="shared" si="33"/>
        <v>4130</v>
      </c>
      <c r="F293" s="161">
        <v>4130.0</v>
      </c>
      <c r="G293" s="2" t="s">
        <v>150</v>
      </c>
      <c r="I293" s="847"/>
    </row>
    <row r="294">
      <c r="A294" s="265"/>
      <c r="B294" s="950">
        <f t="shared" si="33"/>
        <v>2514</v>
      </c>
      <c r="F294" s="161">
        <v>2514.0</v>
      </c>
      <c r="G294" s="2" t="s">
        <v>114</v>
      </c>
      <c r="I294" s="847"/>
    </row>
    <row r="295">
      <c r="A295" s="265"/>
      <c r="B295" s="950">
        <f t="shared" si="33"/>
        <v>265</v>
      </c>
      <c r="F295" s="161">
        <v>265.0</v>
      </c>
      <c r="G295" s="2" t="s">
        <v>288</v>
      </c>
      <c r="I295" s="847"/>
    </row>
    <row r="296">
      <c r="A296" s="265"/>
      <c r="B296" s="950" t="str">
        <f t="shared" si="33"/>
        <v/>
      </c>
      <c r="D296" s="2">
        <v>1560.5</v>
      </c>
      <c r="F296" s="161"/>
      <c r="G296" s="2" t="s">
        <v>2284</v>
      </c>
      <c r="I296" s="847"/>
    </row>
    <row r="297">
      <c r="A297" s="265"/>
      <c r="B297" s="950" t="str">
        <f t="shared" si="33"/>
        <v/>
      </c>
      <c r="D297" s="2">
        <v>9945.41</v>
      </c>
      <c r="F297" s="161"/>
      <c r="G297" s="2" t="s">
        <v>2819</v>
      </c>
      <c r="I297" s="847"/>
    </row>
    <row r="298">
      <c r="A298" s="265"/>
      <c r="B298" s="950" t="str">
        <f t="shared" si="33"/>
        <v/>
      </c>
      <c r="F298" s="161"/>
      <c r="I298" s="847"/>
    </row>
    <row r="299">
      <c r="A299" s="265"/>
      <c r="B299" s="950" t="str">
        <f t="shared" si="33"/>
        <v/>
      </c>
      <c r="F299" s="161"/>
      <c r="I299" s="847"/>
    </row>
    <row r="300">
      <c r="A300" s="265"/>
      <c r="B300" s="950" t="str">
        <f t="shared" si="33"/>
        <v/>
      </c>
      <c r="F300" s="161"/>
      <c r="I300" s="847"/>
    </row>
    <row r="301">
      <c r="A301" s="270"/>
      <c r="B301" s="194">
        <f>SUM(B292:B300)</f>
        <v>7311</v>
      </c>
      <c r="C301" s="18"/>
      <c r="D301" s="18"/>
      <c r="E301" s="18"/>
      <c r="F301" s="952"/>
      <c r="G301" s="18"/>
      <c r="H301" s="18"/>
      <c r="I301" s="663"/>
    </row>
    <row r="302">
      <c r="A302" s="937">
        <v>44012.0</v>
      </c>
      <c r="B302" s="948">
        <f t="shared" ref="B302:B310" si="34">F302</f>
        <v>603</v>
      </c>
      <c r="C302" s="242"/>
      <c r="D302" s="242"/>
      <c r="E302" s="242"/>
      <c r="F302" s="949">
        <v>603.0</v>
      </c>
      <c r="G302" s="244" t="s">
        <v>3911</v>
      </c>
      <c r="H302" s="244"/>
      <c r="I302" s="662"/>
    </row>
    <row r="303">
      <c r="A303" s="265"/>
      <c r="B303" s="950">
        <f t="shared" si="34"/>
        <v>900.67</v>
      </c>
      <c r="F303" s="161">
        <v>900.67</v>
      </c>
      <c r="G303" s="2" t="s">
        <v>314</v>
      </c>
      <c r="I303" s="847"/>
    </row>
    <row r="304">
      <c r="A304" s="265"/>
      <c r="B304" s="950">
        <f t="shared" si="34"/>
        <v>133</v>
      </c>
      <c r="F304" s="161">
        <v>133.0</v>
      </c>
      <c r="G304" s="2" t="s">
        <v>3392</v>
      </c>
      <c r="I304" s="847"/>
    </row>
    <row r="305">
      <c r="A305" s="265"/>
      <c r="B305" s="950">
        <f t="shared" si="34"/>
        <v>1433</v>
      </c>
      <c r="F305" s="161">
        <v>1433.0</v>
      </c>
      <c r="G305" s="2" t="s">
        <v>314</v>
      </c>
      <c r="I305" s="847"/>
    </row>
    <row r="306">
      <c r="A306" s="265"/>
      <c r="B306" s="950">
        <f t="shared" si="34"/>
        <v>570</v>
      </c>
      <c r="F306" s="161">
        <v>570.0</v>
      </c>
      <c r="G306" s="2" t="s">
        <v>4147</v>
      </c>
      <c r="I306" s="847"/>
    </row>
    <row r="307">
      <c r="A307" s="265"/>
      <c r="B307" s="950">
        <f t="shared" si="34"/>
        <v>147</v>
      </c>
      <c r="F307" s="161">
        <v>147.0</v>
      </c>
      <c r="G307" s="2" t="s">
        <v>3341</v>
      </c>
      <c r="I307" s="847"/>
    </row>
    <row r="308">
      <c r="A308" s="265"/>
      <c r="B308" s="950">
        <f t="shared" si="34"/>
        <v>289</v>
      </c>
      <c r="F308" s="161">
        <v>289.0</v>
      </c>
      <c r="G308" s="2" t="s">
        <v>2887</v>
      </c>
      <c r="I308" s="847"/>
    </row>
    <row r="309">
      <c r="A309" s="265"/>
      <c r="B309" s="950">
        <f t="shared" si="34"/>
        <v>2450</v>
      </c>
      <c r="F309" s="161">
        <v>2450.0</v>
      </c>
      <c r="G309" s="2" t="s">
        <v>4148</v>
      </c>
      <c r="H309" s="942"/>
      <c r="I309" s="847"/>
    </row>
    <row r="310">
      <c r="A310" s="265"/>
      <c r="B310" s="950">
        <f t="shared" si="34"/>
        <v>2900</v>
      </c>
      <c r="F310" s="161">
        <v>2900.0</v>
      </c>
      <c r="G310" s="2" t="s">
        <v>3920</v>
      </c>
      <c r="H310" s="942"/>
      <c r="I310" s="847"/>
    </row>
    <row r="311">
      <c r="A311" s="265"/>
      <c r="B311" s="950"/>
      <c r="F311" s="161">
        <v>800.0</v>
      </c>
      <c r="G311" s="2" t="s">
        <v>4149</v>
      </c>
      <c r="I311" s="847"/>
    </row>
    <row r="312">
      <c r="A312" s="265"/>
      <c r="B312" s="950"/>
      <c r="F312" s="161"/>
      <c r="G312" s="2"/>
      <c r="I312" s="847"/>
    </row>
    <row r="313">
      <c r="A313" s="270"/>
      <c r="B313" s="194">
        <f>SUM(B302:B312)</f>
        <v>9425.67</v>
      </c>
      <c r="C313" s="18"/>
      <c r="D313" s="18"/>
      <c r="E313" s="18"/>
      <c r="F313" s="952"/>
      <c r="G313" s="18"/>
      <c r="H313" s="18"/>
      <c r="I313" s="663"/>
    </row>
    <row r="314">
      <c r="A314" s="966"/>
    </row>
    <row r="315">
      <c r="A315" s="966"/>
    </row>
    <row r="316">
      <c r="A316" s="966"/>
    </row>
    <row r="317">
      <c r="A317" s="966"/>
    </row>
    <row r="318">
      <c r="A318" s="966"/>
    </row>
    <row r="319">
      <c r="A319" s="966"/>
    </row>
    <row r="320">
      <c r="A320" s="966"/>
    </row>
    <row r="321">
      <c r="A321" s="966"/>
    </row>
    <row r="322">
      <c r="A322" s="966"/>
    </row>
    <row r="323">
      <c r="A323" s="966"/>
    </row>
    <row r="324">
      <c r="A324" s="966"/>
    </row>
    <row r="325">
      <c r="A325" s="966"/>
    </row>
    <row r="326">
      <c r="A326" s="966"/>
    </row>
    <row r="327">
      <c r="A327" s="966"/>
    </row>
    <row r="328">
      <c r="A328" s="966"/>
    </row>
    <row r="329">
      <c r="A329" s="966"/>
    </row>
    <row r="330">
      <c r="A330" s="966"/>
    </row>
    <row r="331">
      <c r="A331" s="966"/>
    </row>
    <row r="332">
      <c r="A332" s="966"/>
    </row>
    <row r="333">
      <c r="A333" s="966"/>
    </row>
    <row r="334">
      <c r="A334" s="966"/>
    </row>
    <row r="335">
      <c r="A335" s="966"/>
    </row>
    <row r="336">
      <c r="A336" s="966"/>
    </row>
    <row r="337">
      <c r="A337" s="966"/>
    </row>
    <row r="338">
      <c r="A338" s="966"/>
    </row>
    <row r="339">
      <c r="A339" s="966"/>
    </row>
    <row r="340">
      <c r="A340" s="966"/>
    </row>
    <row r="341">
      <c r="A341" s="966"/>
    </row>
    <row r="342">
      <c r="A342" s="966"/>
    </row>
    <row r="343">
      <c r="A343" s="966"/>
    </row>
    <row r="344">
      <c r="A344" s="966"/>
    </row>
    <row r="345">
      <c r="A345" s="966"/>
    </row>
    <row r="346">
      <c r="A346" s="966"/>
    </row>
    <row r="347">
      <c r="A347" s="966"/>
    </row>
    <row r="348">
      <c r="A348" s="966"/>
    </row>
    <row r="349">
      <c r="A349" s="966"/>
    </row>
    <row r="350">
      <c r="A350" s="966"/>
    </row>
    <row r="351">
      <c r="A351" s="966"/>
    </row>
    <row r="352">
      <c r="A352" s="966"/>
    </row>
    <row r="353">
      <c r="A353" s="966"/>
    </row>
    <row r="354">
      <c r="A354" s="966"/>
    </row>
    <row r="355">
      <c r="A355" s="966"/>
    </row>
    <row r="356">
      <c r="A356" s="966"/>
    </row>
    <row r="357">
      <c r="A357" s="966"/>
    </row>
    <row r="358">
      <c r="A358" s="966"/>
    </row>
    <row r="359">
      <c r="A359" s="966"/>
    </row>
    <row r="360">
      <c r="A360" s="966"/>
    </row>
    <row r="361">
      <c r="A361" s="966"/>
    </row>
    <row r="362">
      <c r="A362" s="966"/>
    </row>
    <row r="363">
      <c r="A363" s="966"/>
    </row>
    <row r="364">
      <c r="A364" s="966"/>
    </row>
    <row r="365">
      <c r="A365" s="966"/>
    </row>
    <row r="366">
      <c r="A366" s="966"/>
    </row>
    <row r="367">
      <c r="A367" s="966"/>
    </row>
    <row r="368">
      <c r="A368" s="966"/>
    </row>
    <row r="369">
      <c r="A369" s="966"/>
    </row>
    <row r="370">
      <c r="A370" s="966"/>
    </row>
    <row r="371">
      <c r="A371" s="966"/>
    </row>
    <row r="372">
      <c r="A372" s="966"/>
    </row>
    <row r="373">
      <c r="A373" s="966"/>
    </row>
    <row r="374">
      <c r="A374" s="966"/>
    </row>
    <row r="375">
      <c r="A375" s="966"/>
    </row>
    <row r="376">
      <c r="A376" s="966"/>
    </row>
    <row r="377">
      <c r="A377" s="966"/>
    </row>
    <row r="378">
      <c r="A378" s="966"/>
    </row>
    <row r="379">
      <c r="A379" s="966"/>
    </row>
    <row r="380">
      <c r="A380" s="966"/>
    </row>
    <row r="381">
      <c r="A381" s="966"/>
    </row>
    <row r="382">
      <c r="A382" s="966"/>
    </row>
    <row r="383">
      <c r="A383" s="966"/>
    </row>
    <row r="384">
      <c r="A384" s="966"/>
    </row>
    <row r="385">
      <c r="A385" s="966"/>
    </row>
    <row r="386">
      <c r="A386" s="966"/>
    </row>
    <row r="387">
      <c r="A387" s="966"/>
    </row>
    <row r="388">
      <c r="A388" s="966"/>
    </row>
    <row r="389">
      <c r="A389" s="966"/>
    </row>
    <row r="390">
      <c r="A390" s="966"/>
    </row>
    <row r="391">
      <c r="A391" s="966"/>
    </row>
    <row r="392">
      <c r="A392" s="966"/>
    </row>
    <row r="393">
      <c r="A393" s="966"/>
    </row>
    <row r="394">
      <c r="A394" s="966"/>
    </row>
    <row r="395">
      <c r="A395" s="966"/>
    </row>
    <row r="396">
      <c r="A396" s="966"/>
    </row>
    <row r="397">
      <c r="A397" s="966"/>
    </row>
    <row r="398">
      <c r="A398" s="966"/>
    </row>
    <row r="399">
      <c r="A399" s="966"/>
    </row>
    <row r="400">
      <c r="A400" s="966"/>
    </row>
    <row r="401">
      <c r="A401" s="966"/>
    </row>
    <row r="402">
      <c r="A402" s="966"/>
    </row>
    <row r="403">
      <c r="A403" s="966"/>
    </row>
    <row r="404">
      <c r="A404" s="966"/>
    </row>
    <row r="405">
      <c r="A405" s="966"/>
    </row>
    <row r="406">
      <c r="A406" s="966"/>
    </row>
    <row r="407">
      <c r="A407" s="966"/>
    </row>
    <row r="408">
      <c r="A408" s="966"/>
    </row>
    <row r="409">
      <c r="A409" s="966"/>
    </row>
    <row r="410">
      <c r="A410" s="966"/>
    </row>
    <row r="411">
      <c r="A411" s="966"/>
    </row>
    <row r="412">
      <c r="A412" s="966"/>
    </row>
    <row r="413">
      <c r="A413" s="966"/>
    </row>
    <row r="414">
      <c r="A414" s="966"/>
    </row>
    <row r="415">
      <c r="A415" s="966"/>
    </row>
    <row r="416">
      <c r="A416" s="966"/>
    </row>
    <row r="417">
      <c r="A417" s="966"/>
    </row>
    <row r="418">
      <c r="A418" s="966"/>
    </row>
    <row r="419">
      <c r="A419" s="966"/>
    </row>
    <row r="420">
      <c r="A420" s="966"/>
    </row>
    <row r="421">
      <c r="A421" s="966"/>
    </row>
    <row r="422">
      <c r="A422" s="966"/>
    </row>
    <row r="423">
      <c r="A423" s="966"/>
    </row>
    <row r="424">
      <c r="A424" s="966"/>
    </row>
    <row r="425">
      <c r="A425" s="966"/>
    </row>
    <row r="426">
      <c r="A426" s="966"/>
    </row>
    <row r="427">
      <c r="A427" s="966"/>
    </row>
    <row r="428">
      <c r="A428" s="966"/>
    </row>
    <row r="429">
      <c r="A429" s="966"/>
    </row>
    <row r="430">
      <c r="A430" s="966"/>
    </row>
    <row r="431">
      <c r="A431" s="966"/>
    </row>
    <row r="432">
      <c r="A432" s="966"/>
    </row>
    <row r="433">
      <c r="A433" s="966"/>
    </row>
    <row r="434">
      <c r="A434" s="966"/>
    </row>
    <row r="435">
      <c r="A435" s="966"/>
    </row>
    <row r="436">
      <c r="A436" s="966"/>
    </row>
    <row r="437">
      <c r="A437" s="966"/>
    </row>
    <row r="438">
      <c r="A438" s="966"/>
    </row>
    <row r="439">
      <c r="A439" s="966"/>
    </row>
    <row r="440">
      <c r="A440" s="966"/>
    </row>
    <row r="441">
      <c r="A441" s="966"/>
    </row>
    <row r="442">
      <c r="A442" s="966"/>
    </row>
    <row r="443">
      <c r="A443" s="966"/>
    </row>
    <row r="444">
      <c r="A444" s="966"/>
    </row>
    <row r="445">
      <c r="A445" s="966"/>
    </row>
    <row r="446">
      <c r="A446" s="966"/>
    </row>
    <row r="447">
      <c r="A447" s="966"/>
    </row>
    <row r="448">
      <c r="A448" s="966"/>
    </row>
    <row r="449">
      <c r="A449" s="966"/>
    </row>
    <row r="450">
      <c r="A450" s="966"/>
    </row>
    <row r="451">
      <c r="A451" s="966"/>
    </row>
    <row r="452">
      <c r="A452" s="966"/>
    </row>
    <row r="453">
      <c r="A453" s="966"/>
    </row>
    <row r="454">
      <c r="A454" s="966"/>
    </row>
    <row r="455">
      <c r="A455" s="966"/>
    </row>
    <row r="456">
      <c r="A456" s="966"/>
    </row>
    <row r="457">
      <c r="A457" s="966"/>
    </row>
    <row r="458">
      <c r="A458" s="966"/>
    </row>
    <row r="459">
      <c r="A459" s="966"/>
    </row>
    <row r="460">
      <c r="A460" s="966"/>
    </row>
    <row r="461">
      <c r="A461" s="966"/>
    </row>
    <row r="462">
      <c r="A462" s="966"/>
    </row>
    <row r="463">
      <c r="A463" s="966"/>
    </row>
    <row r="464">
      <c r="A464" s="966"/>
    </row>
    <row r="465">
      <c r="A465" s="966"/>
    </row>
    <row r="466">
      <c r="A466" s="966"/>
    </row>
    <row r="467">
      <c r="A467" s="966"/>
    </row>
    <row r="468">
      <c r="A468" s="966"/>
    </row>
    <row r="469">
      <c r="A469" s="966"/>
    </row>
    <row r="470">
      <c r="A470" s="966"/>
    </row>
    <row r="471">
      <c r="A471" s="966"/>
    </row>
    <row r="472">
      <c r="A472" s="966"/>
    </row>
    <row r="473">
      <c r="A473" s="966"/>
    </row>
    <row r="474">
      <c r="A474" s="966"/>
    </row>
    <row r="475">
      <c r="A475" s="966"/>
    </row>
    <row r="476">
      <c r="A476" s="966"/>
    </row>
    <row r="477">
      <c r="A477" s="966"/>
    </row>
    <row r="478">
      <c r="A478" s="966"/>
    </row>
    <row r="479">
      <c r="A479" s="966"/>
    </row>
    <row r="480">
      <c r="A480" s="966"/>
    </row>
    <row r="481">
      <c r="A481" s="966"/>
    </row>
    <row r="482">
      <c r="A482" s="966"/>
    </row>
    <row r="483">
      <c r="A483" s="966"/>
    </row>
    <row r="484">
      <c r="A484" s="966"/>
    </row>
    <row r="485">
      <c r="A485" s="966"/>
    </row>
    <row r="486">
      <c r="A486" s="966"/>
    </row>
    <row r="487">
      <c r="A487" s="966"/>
    </row>
    <row r="488">
      <c r="A488" s="966"/>
    </row>
    <row r="489">
      <c r="A489" s="966"/>
    </row>
    <row r="490">
      <c r="A490" s="966"/>
    </row>
    <row r="491">
      <c r="A491" s="966"/>
    </row>
    <row r="492">
      <c r="A492" s="966"/>
    </row>
    <row r="493">
      <c r="A493" s="966"/>
    </row>
    <row r="494">
      <c r="A494" s="966"/>
    </row>
    <row r="495">
      <c r="A495" s="966"/>
    </row>
    <row r="496">
      <c r="A496" s="966"/>
    </row>
    <row r="497">
      <c r="A497" s="966"/>
    </row>
    <row r="498">
      <c r="A498" s="966"/>
    </row>
    <row r="499">
      <c r="A499" s="966"/>
    </row>
    <row r="500">
      <c r="A500" s="966"/>
    </row>
    <row r="501">
      <c r="A501" s="966"/>
    </row>
    <row r="502">
      <c r="A502" s="966"/>
    </row>
    <row r="503">
      <c r="A503" s="966"/>
    </row>
    <row r="504">
      <c r="A504" s="966"/>
    </row>
    <row r="505">
      <c r="A505" s="966"/>
    </row>
    <row r="506">
      <c r="A506" s="966"/>
    </row>
    <row r="507">
      <c r="A507" s="966"/>
    </row>
    <row r="508">
      <c r="A508" s="966"/>
    </row>
    <row r="509">
      <c r="A509" s="966"/>
    </row>
    <row r="510">
      <c r="A510" s="966"/>
    </row>
    <row r="511">
      <c r="A511" s="966"/>
    </row>
    <row r="512">
      <c r="A512" s="966"/>
    </row>
    <row r="513">
      <c r="A513" s="966"/>
    </row>
    <row r="514">
      <c r="A514" s="966"/>
    </row>
    <row r="515">
      <c r="A515" s="966"/>
    </row>
    <row r="516">
      <c r="A516" s="966"/>
    </row>
    <row r="517">
      <c r="A517" s="966"/>
    </row>
    <row r="518">
      <c r="A518" s="966"/>
    </row>
    <row r="519">
      <c r="A519" s="966"/>
    </row>
    <row r="520">
      <c r="A520" s="966"/>
    </row>
    <row r="521">
      <c r="A521" s="966"/>
    </row>
    <row r="522">
      <c r="A522" s="966"/>
    </row>
    <row r="523">
      <c r="A523" s="966"/>
    </row>
    <row r="524">
      <c r="A524" s="966"/>
    </row>
    <row r="525">
      <c r="A525" s="966"/>
    </row>
    <row r="526">
      <c r="A526" s="966"/>
    </row>
    <row r="527">
      <c r="A527" s="966"/>
    </row>
    <row r="528">
      <c r="A528" s="966"/>
    </row>
    <row r="529">
      <c r="A529" s="966"/>
    </row>
    <row r="530">
      <c r="A530" s="966"/>
    </row>
    <row r="531">
      <c r="A531" s="966"/>
    </row>
    <row r="532">
      <c r="A532" s="966"/>
    </row>
    <row r="533">
      <c r="A533" s="966"/>
    </row>
    <row r="534">
      <c r="A534" s="966"/>
    </row>
    <row r="535">
      <c r="A535" s="966"/>
    </row>
    <row r="536">
      <c r="A536" s="966"/>
    </row>
    <row r="537">
      <c r="A537" s="966"/>
    </row>
    <row r="538">
      <c r="A538" s="966"/>
    </row>
    <row r="539">
      <c r="A539" s="966"/>
    </row>
    <row r="540">
      <c r="A540" s="966"/>
    </row>
    <row r="541">
      <c r="A541" s="966"/>
    </row>
    <row r="542">
      <c r="A542" s="966"/>
    </row>
    <row r="543">
      <c r="A543" s="966"/>
    </row>
    <row r="544">
      <c r="A544" s="966"/>
    </row>
    <row r="545">
      <c r="A545" s="966"/>
    </row>
    <row r="546">
      <c r="A546" s="966"/>
    </row>
    <row r="547">
      <c r="A547" s="966"/>
    </row>
    <row r="548">
      <c r="A548" s="966"/>
    </row>
    <row r="549">
      <c r="A549" s="966"/>
    </row>
    <row r="550">
      <c r="A550" s="966"/>
    </row>
    <row r="551">
      <c r="A551" s="966"/>
    </row>
    <row r="552">
      <c r="A552" s="966"/>
    </row>
    <row r="553">
      <c r="A553" s="966"/>
    </row>
    <row r="554">
      <c r="A554" s="966"/>
    </row>
    <row r="555">
      <c r="A555" s="966"/>
    </row>
    <row r="556">
      <c r="A556" s="966"/>
    </row>
    <row r="557">
      <c r="A557" s="966"/>
    </row>
    <row r="558">
      <c r="A558" s="966"/>
    </row>
    <row r="559">
      <c r="A559" s="966"/>
    </row>
    <row r="560">
      <c r="A560" s="966"/>
    </row>
    <row r="561">
      <c r="A561" s="966"/>
    </row>
    <row r="562">
      <c r="A562" s="966"/>
    </row>
    <row r="563">
      <c r="A563" s="966"/>
    </row>
    <row r="564">
      <c r="A564" s="966"/>
    </row>
    <row r="565">
      <c r="A565" s="966"/>
    </row>
    <row r="566">
      <c r="A566" s="966"/>
    </row>
    <row r="567">
      <c r="A567" s="966"/>
    </row>
    <row r="568">
      <c r="A568" s="966"/>
    </row>
    <row r="569">
      <c r="A569" s="966"/>
    </row>
    <row r="570">
      <c r="A570" s="966"/>
    </row>
    <row r="571">
      <c r="A571" s="966"/>
    </row>
    <row r="572">
      <c r="A572" s="966"/>
    </row>
    <row r="573">
      <c r="A573" s="966"/>
    </row>
    <row r="574">
      <c r="A574" s="966"/>
    </row>
    <row r="575">
      <c r="A575" s="966"/>
    </row>
    <row r="576">
      <c r="A576" s="966"/>
    </row>
    <row r="577">
      <c r="A577" s="966"/>
    </row>
    <row r="578">
      <c r="A578" s="966"/>
    </row>
    <row r="579">
      <c r="A579" s="966"/>
    </row>
    <row r="580">
      <c r="A580" s="966"/>
    </row>
    <row r="581">
      <c r="A581" s="966"/>
    </row>
    <row r="582">
      <c r="A582" s="966"/>
    </row>
    <row r="583">
      <c r="A583" s="966"/>
    </row>
    <row r="584">
      <c r="A584" s="966"/>
    </row>
    <row r="585">
      <c r="A585" s="966"/>
    </row>
    <row r="586">
      <c r="A586" s="966"/>
    </row>
    <row r="587">
      <c r="A587" s="966"/>
    </row>
    <row r="588">
      <c r="A588" s="966"/>
    </row>
    <row r="589">
      <c r="A589" s="966"/>
    </row>
    <row r="590">
      <c r="A590" s="966"/>
    </row>
    <row r="591">
      <c r="A591" s="966"/>
    </row>
    <row r="592">
      <c r="A592" s="966"/>
    </row>
    <row r="593">
      <c r="A593" s="966"/>
    </row>
    <row r="594">
      <c r="A594" s="966"/>
    </row>
    <row r="595">
      <c r="A595" s="966"/>
    </row>
    <row r="596">
      <c r="A596" s="966"/>
    </row>
    <row r="597">
      <c r="A597" s="966"/>
    </row>
    <row r="598">
      <c r="A598" s="966"/>
    </row>
    <row r="599">
      <c r="A599" s="966"/>
    </row>
    <row r="600">
      <c r="A600" s="966"/>
    </row>
    <row r="601">
      <c r="A601" s="966"/>
    </row>
    <row r="602">
      <c r="A602" s="966"/>
    </row>
    <row r="603">
      <c r="A603" s="966"/>
    </row>
    <row r="604">
      <c r="A604" s="966"/>
    </row>
    <row r="605">
      <c r="A605" s="966"/>
    </row>
    <row r="606">
      <c r="A606" s="966"/>
    </row>
    <row r="607">
      <c r="A607" s="966"/>
    </row>
    <row r="608">
      <c r="A608" s="966"/>
    </row>
    <row r="609">
      <c r="A609" s="966"/>
    </row>
    <row r="610">
      <c r="A610" s="966"/>
    </row>
    <row r="611">
      <c r="A611" s="966"/>
    </row>
    <row r="612">
      <c r="A612" s="966"/>
    </row>
    <row r="613">
      <c r="A613" s="966"/>
    </row>
    <row r="614">
      <c r="A614" s="966"/>
    </row>
    <row r="615">
      <c r="A615" s="966"/>
    </row>
    <row r="616">
      <c r="A616" s="966"/>
    </row>
    <row r="617">
      <c r="A617" s="966"/>
    </row>
    <row r="618">
      <c r="A618" s="966"/>
    </row>
    <row r="619">
      <c r="A619" s="966"/>
    </row>
    <row r="620">
      <c r="A620" s="966"/>
    </row>
    <row r="621">
      <c r="A621" s="966"/>
    </row>
    <row r="622">
      <c r="A622" s="966"/>
    </row>
    <row r="623">
      <c r="A623" s="966"/>
    </row>
    <row r="624">
      <c r="A624" s="966"/>
    </row>
    <row r="625">
      <c r="A625" s="966"/>
    </row>
    <row r="626">
      <c r="A626" s="966"/>
    </row>
    <row r="627">
      <c r="A627" s="966"/>
    </row>
    <row r="628">
      <c r="A628" s="966"/>
    </row>
    <row r="629">
      <c r="A629" s="966"/>
    </row>
    <row r="630">
      <c r="A630" s="966"/>
    </row>
    <row r="631">
      <c r="A631" s="966"/>
    </row>
    <row r="632">
      <c r="A632" s="966"/>
    </row>
    <row r="633">
      <c r="A633" s="966"/>
    </row>
    <row r="634">
      <c r="A634" s="966"/>
    </row>
    <row r="635">
      <c r="A635" s="966"/>
    </row>
    <row r="636">
      <c r="A636" s="966"/>
    </row>
    <row r="637">
      <c r="A637" s="966"/>
    </row>
    <row r="638">
      <c r="A638" s="966"/>
    </row>
    <row r="639">
      <c r="A639" s="966"/>
    </row>
    <row r="640">
      <c r="A640" s="966"/>
    </row>
    <row r="641">
      <c r="A641" s="966"/>
    </row>
    <row r="642">
      <c r="A642" s="966"/>
    </row>
  </sheetData>
  <mergeCells count="31">
    <mergeCell ref="G1:H1"/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2"/>
    <mergeCell ref="A143:A152"/>
    <mergeCell ref="A153:A162"/>
    <mergeCell ref="A163:A172"/>
    <mergeCell ref="A173:A185"/>
    <mergeCell ref="A186:A195"/>
    <mergeCell ref="A196:A205"/>
    <mergeCell ref="A282:A291"/>
    <mergeCell ref="A292:A301"/>
    <mergeCell ref="A302:A313"/>
    <mergeCell ref="A206:A215"/>
    <mergeCell ref="A216:A225"/>
    <mergeCell ref="A226:A235"/>
    <mergeCell ref="A236:A247"/>
    <mergeCell ref="A248:A257"/>
    <mergeCell ref="A258:A267"/>
    <mergeCell ref="A268:A281"/>
  </mergeCells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</row>
    <row r="2">
      <c r="A2" s="305">
        <v>43952.0</v>
      </c>
      <c r="B2" s="948">
        <f t="shared" ref="B2:B10" si="1">F2</f>
        <v>599</v>
      </c>
      <c r="C2" s="242"/>
      <c r="D2" s="242"/>
      <c r="E2" s="242"/>
      <c r="F2" s="949">
        <v>599.0</v>
      </c>
      <c r="G2" s="244" t="s">
        <v>4150</v>
      </c>
      <c r="H2" s="244"/>
      <c r="I2" s="662"/>
    </row>
    <row r="3">
      <c r="A3" s="265"/>
      <c r="B3" s="950" t="str">
        <f t="shared" si="1"/>
        <v/>
      </c>
      <c r="F3" s="161"/>
      <c r="I3" s="847"/>
    </row>
    <row r="4">
      <c r="A4" s="265"/>
      <c r="B4" s="950" t="str">
        <f t="shared" si="1"/>
        <v/>
      </c>
      <c r="F4" s="161"/>
      <c r="I4" s="847"/>
    </row>
    <row r="5">
      <c r="A5" s="265"/>
      <c r="B5" s="950" t="str">
        <f t="shared" si="1"/>
        <v/>
      </c>
      <c r="F5" s="161"/>
      <c r="I5" s="847"/>
    </row>
    <row r="6">
      <c r="A6" s="265"/>
      <c r="B6" s="950" t="str">
        <f t="shared" si="1"/>
        <v/>
      </c>
      <c r="F6" s="161"/>
      <c r="I6" s="847"/>
    </row>
    <row r="7">
      <c r="A7" s="265"/>
      <c r="B7" s="950" t="str">
        <f t="shared" si="1"/>
        <v/>
      </c>
      <c r="F7" s="161"/>
      <c r="I7" s="847"/>
    </row>
    <row r="8">
      <c r="A8" s="265"/>
      <c r="B8" s="950" t="str">
        <f t="shared" si="1"/>
        <v/>
      </c>
      <c r="F8" s="161"/>
      <c r="I8" s="847"/>
    </row>
    <row r="9">
      <c r="A9" s="265"/>
      <c r="B9" s="950" t="str">
        <f t="shared" si="1"/>
        <v/>
      </c>
      <c r="F9" s="161"/>
      <c r="I9" s="847"/>
    </row>
    <row r="10">
      <c r="A10" s="265"/>
      <c r="B10" s="950" t="str">
        <f t="shared" si="1"/>
        <v/>
      </c>
      <c r="F10" s="161"/>
      <c r="I10" s="847"/>
    </row>
    <row r="11">
      <c r="A11" s="270"/>
      <c r="B11" s="194">
        <f>SUM(B2:B10)</f>
        <v>599</v>
      </c>
      <c r="C11" s="18"/>
      <c r="D11" s="18"/>
      <c r="E11" s="18"/>
      <c r="F11" s="952"/>
      <c r="G11" s="18"/>
      <c r="H11" s="18"/>
      <c r="I11" s="663"/>
    </row>
    <row r="12">
      <c r="A12" s="305">
        <v>43953.0</v>
      </c>
      <c r="B12" s="948">
        <f t="shared" ref="B12:B20" si="2">F12</f>
        <v>600</v>
      </c>
      <c r="C12" s="242"/>
      <c r="D12" s="242"/>
      <c r="E12" s="242"/>
      <c r="F12" s="949">
        <v>600.0</v>
      </c>
      <c r="G12" s="244" t="s">
        <v>4151</v>
      </c>
      <c r="H12" s="244"/>
      <c r="I12" s="662"/>
    </row>
    <row r="13">
      <c r="A13" s="265"/>
      <c r="B13" s="950">
        <f t="shared" si="2"/>
        <v>5800</v>
      </c>
      <c r="F13" s="161">
        <v>5800.0</v>
      </c>
      <c r="G13" s="2" t="s">
        <v>4063</v>
      </c>
      <c r="H13" s="942"/>
      <c r="I13" s="847"/>
    </row>
    <row r="14">
      <c r="A14" s="265"/>
      <c r="B14" s="950">
        <f t="shared" si="2"/>
        <v>7250</v>
      </c>
      <c r="F14" s="161">
        <v>7250.0</v>
      </c>
      <c r="G14" s="2" t="s">
        <v>4152</v>
      </c>
      <c r="H14" s="942"/>
      <c r="I14" s="847"/>
    </row>
    <row r="15">
      <c r="A15" s="265"/>
      <c r="B15" s="950">
        <f t="shared" si="2"/>
        <v>8500</v>
      </c>
      <c r="F15" s="161">
        <v>8500.0</v>
      </c>
      <c r="G15" s="2" t="s">
        <v>4064</v>
      </c>
      <c r="H15" s="942"/>
      <c r="I15" s="847"/>
    </row>
    <row r="16">
      <c r="A16" s="265"/>
      <c r="B16" s="950" t="str">
        <f t="shared" si="2"/>
        <v/>
      </c>
      <c r="F16" s="161"/>
      <c r="I16" s="847"/>
    </row>
    <row r="17">
      <c r="A17" s="265"/>
      <c r="B17" s="950" t="str">
        <f t="shared" si="2"/>
        <v/>
      </c>
      <c r="F17" s="161"/>
      <c r="I17" s="847"/>
    </row>
    <row r="18">
      <c r="A18" s="265"/>
      <c r="B18" s="950" t="str">
        <f t="shared" si="2"/>
        <v/>
      </c>
      <c r="F18" s="161"/>
      <c r="I18" s="847"/>
    </row>
    <row r="19">
      <c r="A19" s="265"/>
      <c r="B19" s="950" t="str">
        <f t="shared" si="2"/>
        <v/>
      </c>
      <c r="F19" s="161"/>
      <c r="I19" s="847"/>
    </row>
    <row r="20">
      <c r="A20" s="265"/>
      <c r="B20" s="950" t="str">
        <f t="shared" si="2"/>
        <v/>
      </c>
      <c r="F20" s="161"/>
      <c r="I20" s="847"/>
    </row>
    <row r="21">
      <c r="A21" s="270"/>
      <c r="B21" s="194">
        <f>SUM(B12:B20)</f>
        <v>22150</v>
      </c>
      <c r="C21" s="18"/>
      <c r="D21" s="18"/>
      <c r="E21" s="18"/>
      <c r="F21" s="952"/>
      <c r="G21" s="18"/>
      <c r="H21" s="18"/>
      <c r="I21" s="663"/>
    </row>
    <row r="22">
      <c r="A22" s="305">
        <v>43954.0</v>
      </c>
      <c r="B22" s="948" t="str">
        <f t="shared" ref="B22:B30" si="3">F22</f>
        <v/>
      </c>
      <c r="C22" s="242"/>
      <c r="D22" s="242"/>
      <c r="E22" s="242"/>
      <c r="F22" s="949"/>
      <c r="G22" s="244"/>
      <c r="H22" s="244"/>
      <c r="I22" s="662"/>
    </row>
    <row r="23">
      <c r="A23" s="265"/>
      <c r="B23" s="950">
        <f t="shared" si="3"/>
        <v>5800</v>
      </c>
      <c r="F23" s="161">
        <v>5800.0</v>
      </c>
      <c r="G23" s="2" t="s">
        <v>4153</v>
      </c>
      <c r="H23" s="942"/>
      <c r="I23" s="847"/>
    </row>
    <row r="24">
      <c r="A24" s="265"/>
      <c r="B24" s="950">
        <f t="shared" si="3"/>
        <v>6050</v>
      </c>
      <c r="F24" s="161">
        <v>6050.0</v>
      </c>
      <c r="G24" s="2" t="s">
        <v>4062</v>
      </c>
      <c r="H24" s="84"/>
      <c r="I24" s="847"/>
    </row>
    <row r="25">
      <c r="A25" s="265"/>
      <c r="B25" s="950">
        <f t="shared" si="3"/>
        <v>5450</v>
      </c>
      <c r="F25" s="161">
        <v>5450.0</v>
      </c>
      <c r="G25" s="2" t="s">
        <v>4061</v>
      </c>
      <c r="H25" s="84"/>
      <c r="I25" s="847"/>
    </row>
    <row r="26">
      <c r="A26" s="265"/>
      <c r="B26" s="950">
        <f t="shared" si="3"/>
        <v>8500</v>
      </c>
      <c r="F26" s="161">
        <v>8500.0</v>
      </c>
      <c r="G26" s="2" t="s">
        <v>4154</v>
      </c>
      <c r="H26" s="84"/>
      <c r="I26" s="847"/>
    </row>
    <row r="27">
      <c r="A27" s="265"/>
      <c r="B27" s="950">
        <f t="shared" si="3"/>
        <v>258</v>
      </c>
      <c r="F27" s="161">
        <v>258.0</v>
      </c>
      <c r="G27" s="2" t="s">
        <v>314</v>
      </c>
      <c r="I27" s="847"/>
    </row>
    <row r="28">
      <c r="A28" s="265"/>
      <c r="B28" s="950">
        <f t="shared" si="3"/>
        <v>2000</v>
      </c>
      <c r="F28" s="161">
        <v>2000.0</v>
      </c>
      <c r="G28" s="2" t="s">
        <v>4155</v>
      </c>
      <c r="H28" s="942"/>
      <c r="I28" s="847"/>
    </row>
    <row r="29">
      <c r="A29" s="265"/>
      <c r="B29" s="950" t="str">
        <f t="shared" si="3"/>
        <v/>
      </c>
      <c r="F29" s="161"/>
      <c r="I29" s="847"/>
    </row>
    <row r="30">
      <c r="A30" s="265"/>
      <c r="B30" s="950" t="str">
        <f t="shared" si="3"/>
        <v/>
      </c>
      <c r="F30" s="161"/>
      <c r="I30" s="847"/>
    </row>
    <row r="31">
      <c r="A31" s="270"/>
      <c r="B31" s="194">
        <f>SUM(B22:B30)</f>
        <v>28058</v>
      </c>
      <c r="C31" s="18"/>
      <c r="D31" s="18"/>
      <c r="E31" s="18"/>
      <c r="F31" s="952"/>
      <c r="G31" s="18"/>
      <c r="H31" s="18"/>
      <c r="I31" s="663"/>
    </row>
    <row r="32">
      <c r="A32" s="305">
        <v>43955.0</v>
      </c>
      <c r="B32" s="948">
        <f t="shared" ref="B32:B40" si="4">F32</f>
        <v>402</v>
      </c>
      <c r="C32" s="242"/>
      <c r="D32" s="242"/>
      <c r="E32" s="242"/>
      <c r="F32" s="949">
        <v>402.0</v>
      </c>
      <c r="G32" s="244" t="s">
        <v>4156</v>
      </c>
      <c r="H32" s="244"/>
      <c r="I32" s="662"/>
    </row>
    <row r="33">
      <c r="A33" s="265"/>
      <c r="B33" s="950">
        <f t="shared" si="4"/>
        <v>218</v>
      </c>
      <c r="F33" s="161">
        <v>218.0</v>
      </c>
      <c r="G33" s="2" t="s">
        <v>4090</v>
      </c>
      <c r="I33" s="847"/>
    </row>
    <row r="34">
      <c r="A34" s="265"/>
      <c r="B34" s="950">
        <f t="shared" si="4"/>
        <v>132</v>
      </c>
      <c r="F34" s="161">
        <v>132.0</v>
      </c>
      <c r="G34" s="2" t="s">
        <v>4157</v>
      </c>
      <c r="I34" s="847"/>
    </row>
    <row r="35">
      <c r="A35" s="265"/>
      <c r="B35" s="950" t="str">
        <f t="shared" si="4"/>
        <v/>
      </c>
      <c r="C35" s="2">
        <v>8591.24</v>
      </c>
      <c r="F35" s="161"/>
      <c r="G35" s="2" t="s">
        <v>2637</v>
      </c>
      <c r="I35" s="847"/>
    </row>
    <row r="36">
      <c r="A36" s="265"/>
      <c r="B36" s="950">
        <f t="shared" si="4"/>
        <v>1740</v>
      </c>
      <c r="F36" s="161">
        <v>1740.0</v>
      </c>
      <c r="G36" s="2" t="s">
        <v>612</v>
      </c>
      <c r="I36" s="847"/>
    </row>
    <row r="37">
      <c r="A37" s="265"/>
      <c r="B37" s="950">
        <f t="shared" si="4"/>
        <v>252</v>
      </c>
      <c r="F37" s="161">
        <v>252.0</v>
      </c>
      <c r="G37" s="2" t="s">
        <v>4158</v>
      </c>
      <c r="I37" s="847"/>
    </row>
    <row r="38">
      <c r="A38" s="265"/>
      <c r="B38" s="950" t="str">
        <f t="shared" si="4"/>
        <v/>
      </c>
      <c r="F38" s="161"/>
      <c r="I38" s="847"/>
    </row>
    <row r="39">
      <c r="A39" s="265"/>
      <c r="B39" s="950" t="str">
        <f t="shared" si="4"/>
        <v/>
      </c>
      <c r="F39" s="161"/>
      <c r="I39" s="847"/>
    </row>
    <row r="40">
      <c r="A40" s="265"/>
      <c r="B40" s="950" t="str">
        <f t="shared" si="4"/>
        <v/>
      </c>
      <c r="F40" s="161"/>
      <c r="I40" s="847"/>
    </row>
    <row r="41">
      <c r="A41" s="270"/>
      <c r="B41" s="194">
        <f>SUM(B32:B40)</f>
        <v>2744</v>
      </c>
      <c r="C41" s="18"/>
      <c r="D41" s="18"/>
      <c r="E41" s="18"/>
      <c r="F41" s="952"/>
      <c r="G41" s="18"/>
      <c r="H41" s="18"/>
      <c r="I41" s="663"/>
    </row>
    <row r="42">
      <c r="A42" s="305">
        <v>43956.0</v>
      </c>
      <c r="B42" s="948">
        <f t="shared" ref="B42:B50" si="5">F42</f>
        <v>1114.28</v>
      </c>
      <c r="C42" s="242"/>
      <c r="D42" s="242"/>
      <c r="E42" s="242"/>
      <c r="F42" s="949">
        <v>1114.28</v>
      </c>
      <c r="G42" s="244" t="s">
        <v>314</v>
      </c>
      <c r="H42" s="244"/>
      <c r="I42" s="662"/>
    </row>
    <row r="43">
      <c r="A43" s="265"/>
      <c r="B43" s="950">
        <f t="shared" si="5"/>
        <v>6790.5</v>
      </c>
      <c r="F43" s="248">
        <v>6790.5</v>
      </c>
      <c r="G43" s="2" t="s">
        <v>615</v>
      </c>
      <c r="I43" s="847"/>
    </row>
    <row r="44">
      <c r="A44" s="265"/>
      <c r="B44" s="950">
        <f t="shared" si="5"/>
        <v>750</v>
      </c>
      <c r="F44" s="161">
        <v>750.0</v>
      </c>
      <c r="G44" s="2" t="s">
        <v>3985</v>
      </c>
      <c r="I44" s="847"/>
    </row>
    <row r="45">
      <c r="A45" s="265"/>
      <c r="B45" s="950">
        <f t="shared" si="5"/>
        <v>503</v>
      </c>
      <c r="F45" s="161">
        <v>503.0</v>
      </c>
      <c r="G45" s="2" t="s">
        <v>2708</v>
      </c>
      <c r="I45" s="847"/>
    </row>
    <row r="46">
      <c r="A46" s="265"/>
      <c r="B46" s="950">
        <f t="shared" si="5"/>
        <v>2100</v>
      </c>
      <c r="F46" s="161">
        <v>2100.0</v>
      </c>
      <c r="G46" s="2" t="s">
        <v>3939</v>
      </c>
      <c r="H46" s="942"/>
      <c r="I46" s="847"/>
    </row>
    <row r="47">
      <c r="A47" s="265"/>
      <c r="B47" s="950" t="str">
        <f t="shared" si="5"/>
        <v/>
      </c>
      <c r="F47" s="161"/>
      <c r="I47" s="847"/>
    </row>
    <row r="48">
      <c r="A48" s="265"/>
      <c r="B48" s="950" t="str">
        <f t="shared" si="5"/>
        <v/>
      </c>
      <c r="F48" s="161"/>
      <c r="I48" s="847"/>
    </row>
    <row r="49">
      <c r="A49" s="265"/>
      <c r="B49" s="950" t="str">
        <f t="shared" si="5"/>
        <v/>
      </c>
      <c r="F49" s="161"/>
      <c r="I49" s="847"/>
    </row>
    <row r="50">
      <c r="A50" s="265"/>
      <c r="B50" s="950" t="str">
        <f t="shared" si="5"/>
        <v/>
      </c>
      <c r="F50" s="161"/>
      <c r="I50" s="847"/>
    </row>
    <row r="51">
      <c r="A51" s="270"/>
      <c r="B51" s="194">
        <f>SUM(B42:B50)</f>
        <v>11257.78</v>
      </c>
      <c r="C51" s="18"/>
      <c r="D51" s="18"/>
      <c r="E51" s="18"/>
      <c r="F51" s="952"/>
      <c r="G51" s="18"/>
      <c r="H51" s="18"/>
      <c r="I51" s="663"/>
    </row>
    <row r="52">
      <c r="A52" s="305">
        <v>43957.0</v>
      </c>
      <c r="B52" s="948">
        <f t="shared" ref="B52:B60" si="6">F52</f>
        <v>402</v>
      </c>
      <c r="C52" s="242"/>
      <c r="D52" s="242"/>
      <c r="E52" s="242"/>
      <c r="F52" s="949">
        <v>402.0</v>
      </c>
      <c r="G52" s="244" t="s">
        <v>3911</v>
      </c>
      <c r="H52" s="244"/>
      <c r="I52" s="662"/>
    </row>
    <row r="53">
      <c r="A53" s="265"/>
      <c r="B53" s="950" t="str">
        <f t="shared" si="6"/>
        <v/>
      </c>
      <c r="F53" s="161"/>
      <c r="I53" s="847"/>
    </row>
    <row r="54">
      <c r="A54" s="265"/>
      <c r="B54" s="950" t="str">
        <f t="shared" si="6"/>
        <v/>
      </c>
      <c r="F54" s="161"/>
      <c r="I54" s="847"/>
    </row>
    <row r="55">
      <c r="A55" s="265"/>
      <c r="B55" s="950" t="str">
        <f t="shared" si="6"/>
        <v/>
      </c>
      <c r="F55" s="161"/>
      <c r="I55" s="847"/>
    </row>
    <row r="56">
      <c r="A56" s="265"/>
      <c r="B56" s="950" t="str">
        <f t="shared" si="6"/>
        <v/>
      </c>
      <c r="F56" s="161"/>
      <c r="I56" s="847"/>
    </row>
    <row r="57">
      <c r="A57" s="265"/>
      <c r="B57" s="950" t="str">
        <f t="shared" si="6"/>
        <v/>
      </c>
      <c r="F57" s="161"/>
      <c r="I57" s="847"/>
    </row>
    <row r="58">
      <c r="A58" s="265"/>
      <c r="B58" s="950" t="str">
        <f t="shared" si="6"/>
        <v/>
      </c>
      <c r="F58" s="161"/>
      <c r="I58" s="847"/>
    </row>
    <row r="59">
      <c r="A59" s="265"/>
      <c r="B59" s="950" t="str">
        <f t="shared" si="6"/>
        <v/>
      </c>
      <c r="F59" s="161"/>
      <c r="I59" s="847"/>
    </row>
    <row r="60">
      <c r="A60" s="265"/>
      <c r="B60" s="950" t="str">
        <f t="shared" si="6"/>
        <v/>
      </c>
      <c r="F60" s="161"/>
      <c r="I60" s="847"/>
    </row>
    <row r="61">
      <c r="A61" s="270"/>
      <c r="B61" s="194">
        <f>SUM(B52:B60)</f>
        <v>402</v>
      </c>
      <c r="C61" s="18"/>
      <c r="D61" s="18"/>
      <c r="E61" s="18"/>
      <c r="F61" s="952"/>
      <c r="G61" s="18"/>
      <c r="H61" s="18"/>
      <c r="I61" s="663"/>
    </row>
    <row r="62">
      <c r="A62" s="305">
        <v>43958.0</v>
      </c>
      <c r="B62" s="948">
        <f t="shared" ref="B62:B70" si="7">F62</f>
        <v>402</v>
      </c>
      <c r="C62" s="242"/>
      <c r="D62" s="242"/>
      <c r="E62" s="242"/>
      <c r="F62" s="949">
        <v>402.0</v>
      </c>
      <c r="G62" s="244" t="s">
        <v>329</v>
      </c>
      <c r="H62" s="244"/>
      <c r="I62" s="662"/>
    </row>
    <row r="63">
      <c r="A63" s="265"/>
      <c r="B63" s="950">
        <f t="shared" si="7"/>
        <v>894</v>
      </c>
      <c r="F63" s="161">
        <v>894.0</v>
      </c>
      <c r="G63" s="2" t="s">
        <v>708</v>
      </c>
      <c r="I63" s="847"/>
    </row>
    <row r="64">
      <c r="A64" s="265"/>
      <c r="B64" s="950">
        <f t="shared" si="7"/>
        <v>200</v>
      </c>
      <c r="F64" s="161">
        <v>200.0</v>
      </c>
      <c r="G64" s="2" t="s">
        <v>4085</v>
      </c>
      <c r="I64" s="847"/>
    </row>
    <row r="65">
      <c r="A65" s="265"/>
      <c r="B65" s="950" t="str">
        <f t="shared" si="7"/>
        <v/>
      </c>
      <c r="F65" s="161"/>
      <c r="I65" s="847"/>
    </row>
    <row r="66">
      <c r="A66" s="265"/>
      <c r="B66" s="950" t="str">
        <f t="shared" si="7"/>
        <v/>
      </c>
      <c r="F66" s="161"/>
      <c r="I66" s="847"/>
    </row>
    <row r="67">
      <c r="A67" s="265"/>
      <c r="B67" s="950" t="str">
        <f t="shared" si="7"/>
        <v/>
      </c>
      <c r="F67" s="161"/>
      <c r="I67" s="847"/>
    </row>
    <row r="68">
      <c r="A68" s="265"/>
      <c r="B68" s="950" t="str">
        <f t="shared" si="7"/>
        <v/>
      </c>
      <c r="F68" s="161"/>
      <c r="I68" s="847"/>
    </row>
    <row r="69">
      <c r="A69" s="265"/>
      <c r="B69" s="950" t="str">
        <f t="shared" si="7"/>
        <v/>
      </c>
      <c r="F69" s="161"/>
      <c r="I69" s="847"/>
    </row>
    <row r="70">
      <c r="A70" s="265"/>
      <c r="B70" s="950" t="str">
        <f t="shared" si="7"/>
        <v/>
      </c>
      <c r="F70" s="161"/>
      <c r="I70" s="847"/>
    </row>
    <row r="71">
      <c r="A71" s="270"/>
      <c r="B71" s="194">
        <f>SUM(B62:B70)</f>
        <v>1496</v>
      </c>
      <c r="C71" s="18"/>
      <c r="D71" s="18"/>
      <c r="E71" s="18"/>
      <c r="F71" s="952"/>
      <c r="G71" s="18"/>
      <c r="H71" s="18"/>
      <c r="I71" s="663"/>
    </row>
    <row r="72">
      <c r="A72" s="305">
        <v>43959.0</v>
      </c>
      <c r="B72" s="948">
        <f t="shared" ref="B72:B80" si="8">F72</f>
        <v>2000</v>
      </c>
      <c r="C72" s="242"/>
      <c r="D72" s="242"/>
      <c r="E72" s="242"/>
      <c r="F72" s="949">
        <v>2000.0</v>
      </c>
      <c r="G72" s="244" t="s">
        <v>4159</v>
      </c>
      <c r="H72" s="244"/>
      <c r="I72" s="662"/>
    </row>
    <row r="73">
      <c r="A73" s="265"/>
      <c r="B73" s="950">
        <f t="shared" si="8"/>
        <v>150</v>
      </c>
      <c r="F73" s="161">
        <v>150.0</v>
      </c>
      <c r="G73" s="2" t="s">
        <v>4160</v>
      </c>
      <c r="I73" s="847"/>
    </row>
    <row r="74">
      <c r="A74" s="265"/>
      <c r="B74" s="950">
        <f t="shared" si="8"/>
        <v>2110</v>
      </c>
      <c r="F74" s="161">
        <v>2110.0</v>
      </c>
      <c r="G74" s="2" t="s">
        <v>4161</v>
      </c>
      <c r="I74" s="847"/>
    </row>
    <row r="75">
      <c r="A75" s="265"/>
      <c r="B75" s="950">
        <f t="shared" si="8"/>
        <v>197.36</v>
      </c>
      <c r="F75" s="161">
        <v>197.36</v>
      </c>
      <c r="G75" s="2" t="s">
        <v>4162</v>
      </c>
      <c r="I75" s="847"/>
    </row>
    <row r="76">
      <c r="A76" s="265"/>
      <c r="B76" s="950">
        <f t="shared" si="8"/>
        <v>402</v>
      </c>
      <c r="F76" s="161">
        <v>402.0</v>
      </c>
      <c r="G76" s="2" t="s">
        <v>3911</v>
      </c>
      <c r="I76" s="847"/>
    </row>
    <row r="77">
      <c r="A77" s="265"/>
      <c r="B77" s="950">
        <f t="shared" si="8"/>
        <v>1000</v>
      </c>
      <c r="F77" s="161">
        <v>1000.0</v>
      </c>
      <c r="G77" s="2" t="s">
        <v>4163</v>
      </c>
      <c r="I77" s="847"/>
    </row>
    <row r="78">
      <c r="A78" s="265"/>
      <c r="B78" s="950" t="str">
        <f t="shared" si="8"/>
        <v/>
      </c>
      <c r="F78" s="161"/>
      <c r="I78" s="847"/>
    </row>
    <row r="79">
      <c r="A79" s="265"/>
      <c r="B79" s="950" t="str">
        <f t="shared" si="8"/>
        <v/>
      </c>
      <c r="F79" s="161"/>
      <c r="I79" s="847"/>
    </row>
    <row r="80">
      <c r="A80" s="265"/>
      <c r="B80" s="950" t="str">
        <f t="shared" si="8"/>
        <v/>
      </c>
      <c r="F80" s="161"/>
      <c r="I80" s="847"/>
    </row>
    <row r="81">
      <c r="A81" s="270"/>
      <c r="B81" s="194">
        <f>SUM(B72:B80)</f>
        <v>5859.36</v>
      </c>
      <c r="C81" s="18"/>
      <c r="D81" s="18"/>
      <c r="E81" s="18"/>
      <c r="F81" s="952"/>
      <c r="G81" s="18"/>
      <c r="H81" s="18"/>
      <c r="I81" s="663"/>
    </row>
    <row r="82">
      <c r="A82" s="305">
        <v>43960.0</v>
      </c>
      <c r="B82" s="948">
        <f t="shared" ref="B82:B89" si="9">F82</f>
        <v>2066</v>
      </c>
      <c r="C82" s="242"/>
      <c r="D82" s="242"/>
      <c r="E82" s="242"/>
      <c r="F82" s="949">
        <v>2066.0</v>
      </c>
      <c r="G82" s="244" t="s">
        <v>3850</v>
      </c>
      <c r="H82" s="244"/>
      <c r="I82" s="662"/>
    </row>
    <row r="83">
      <c r="A83" s="265"/>
      <c r="B83" s="950">
        <f t="shared" si="9"/>
        <v>100</v>
      </c>
      <c r="F83" s="161">
        <v>100.0</v>
      </c>
      <c r="G83" s="2" t="s">
        <v>4164</v>
      </c>
      <c r="I83" s="847"/>
    </row>
    <row r="84">
      <c r="A84" s="265"/>
      <c r="B84" s="950">
        <f t="shared" si="9"/>
        <v>100</v>
      </c>
      <c r="F84" s="161">
        <v>100.0</v>
      </c>
      <c r="G84" s="2" t="s">
        <v>255</v>
      </c>
      <c r="I84" s="847"/>
    </row>
    <row r="85">
      <c r="A85" s="265"/>
      <c r="B85" s="950">
        <f t="shared" si="9"/>
        <v>5800</v>
      </c>
      <c r="F85" s="161">
        <v>5800.0</v>
      </c>
      <c r="G85" s="2" t="s">
        <v>3847</v>
      </c>
      <c r="H85" s="942"/>
      <c r="I85" s="847"/>
    </row>
    <row r="86">
      <c r="A86" s="265"/>
      <c r="B86" s="950" t="str">
        <f t="shared" si="9"/>
        <v/>
      </c>
      <c r="F86" s="161"/>
      <c r="G86" s="2" t="s">
        <v>4165</v>
      </c>
      <c r="H86" s="84">
        <v>16875.0</v>
      </c>
      <c r="I86" s="980">
        <f>H86-8500</f>
        <v>8375</v>
      </c>
    </row>
    <row r="87">
      <c r="A87" s="265"/>
      <c r="B87" s="950" t="str">
        <f t="shared" si="9"/>
        <v/>
      </c>
      <c r="F87" s="161"/>
      <c r="G87" s="2" t="s">
        <v>3810</v>
      </c>
      <c r="H87" s="84">
        <v>16875.0</v>
      </c>
      <c r="I87" s="980">
        <f>H87-7250</f>
        <v>9625</v>
      </c>
    </row>
    <row r="88">
      <c r="A88" s="265"/>
      <c r="B88" s="950" t="str">
        <f t="shared" si="9"/>
        <v/>
      </c>
      <c r="F88" s="161"/>
      <c r="G88" s="2" t="s">
        <v>3811</v>
      </c>
      <c r="H88" s="84">
        <v>16875.0</v>
      </c>
      <c r="I88" s="980">
        <f>H88-6050</f>
        <v>10825</v>
      </c>
    </row>
    <row r="89">
      <c r="A89" s="265"/>
      <c r="B89" s="950" t="str">
        <f t="shared" si="9"/>
        <v/>
      </c>
      <c r="F89" s="161"/>
      <c r="G89" s="2" t="s">
        <v>4166</v>
      </c>
      <c r="H89" s="84">
        <v>16875.0</v>
      </c>
      <c r="I89" s="980">
        <f>H89-5750</f>
        <v>11125</v>
      </c>
    </row>
    <row r="90">
      <c r="A90" s="265"/>
      <c r="B90" s="950"/>
      <c r="F90" s="161"/>
      <c r="G90" s="2" t="s">
        <v>3848</v>
      </c>
      <c r="H90" s="84">
        <v>16875.0</v>
      </c>
      <c r="I90" s="980">
        <f>H90-5800</f>
        <v>11075</v>
      </c>
    </row>
    <row r="91">
      <c r="A91" s="265"/>
      <c r="B91" s="950" t="str">
        <f>F91</f>
        <v/>
      </c>
      <c r="F91" s="161"/>
      <c r="G91" s="2" t="s">
        <v>3815</v>
      </c>
      <c r="H91" s="84">
        <v>16875.0</v>
      </c>
      <c r="I91" s="980">
        <f>H91-8500</f>
        <v>8375</v>
      </c>
    </row>
    <row r="92">
      <c r="A92" s="270"/>
      <c r="B92" s="194">
        <f>SUM(B82:B91)</f>
        <v>8066</v>
      </c>
      <c r="C92" s="18"/>
      <c r="D92" s="18"/>
      <c r="E92" s="18"/>
      <c r="F92" s="952"/>
      <c r="G92" s="18"/>
      <c r="H92" s="18"/>
      <c r="I92" s="663"/>
    </row>
    <row r="93">
      <c r="A93" s="305">
        <v>43961.0</v>
      </c>
      <c r="B93" s="948">
        <f t="shared" ref="B93:B101" si="10">F93</f>
        <v>1092</v>
      </c>
      <c r="C93" s="242"/>
      <c r="D93" s="242"/>
      <c r="E93" s="242"/>
      <c r="F93" s="949">
        <v>1092.0</v>
      </c>
      <c r="G93" s="244" t="s">
        <v>314</v>
      </c>
      <c r="H93" s="244"/>
      <c r="I93" s="662"/>
    </row>
    <row r="94">
      <c r="A94" s="265"/>
      <c r="B94" s="950">
        <f t="shared" si="10"/>
        <v>402</v>
      </c>
      <c r="F94" s="161">
        <v>402.0</v>
      </c>
      <c r="G94" s="2" t="s">
        <v>3911</v>
      </c>
      <c r="I94" s="847"/>
    </row>
    <row r="95">
      <c r="A95" s="265"/>
      <c r="B95" s="950">
        <f t="shared" si="10"/>
        <v>86</v>
      </c>
      <c r="F95" s="161">
        <v>86.0</v>
      </c>
      <c r="G95" s="2" t="s">
        <v>3985</v>
      </c>
      <c r="I95" s="847"/>
    </row>
    <row r="96">
      <c r="A96" s="265"/>
      <c r="B96" s="950">
        <f t="shared" si="10"/>
        <v>136</v>
      </c>
      <c r="F96" s="161">
        <v>136.0</v>
      </c>
      <c r="G96" s="2" t="s">
        <v>4167</v>
      </c>
      <c r="I96" s="847"/>
    </row>
    <row r="97">
      <c r="A97" s="265"/>
      <c r="B97" s="950" t="str">
        <f t="shared" si="10"/>
        <v/>
      </c>
      <c r="F97" s="161"/>
      <c r="I97" s="847"/>
    </row>
    <row r="98">
      <c r="A98" s="265"/>
      <c r="B98" s="950" t="str">
        <f t="shared" si="10"/>
        <v/>
      </c>
      <c r="F98" s="161"/>
      <c r="I98" s="847"/>
    </row>
    <row r="99">
      <c r="A99" s="265"/>
      <c r="B99" s="950" t="str">
        <f t="shared" si="10"/>
        <v/>
      </c>
      <c r="F99" s="161"/>
      <c r="I99" s="847"/>
    </row>
    <row r="100">
      <c r="A100" s="265"/>
      <c r="B100" s="950" t="str">
        <f t="shared" si="10"/>
        <v/>
      </c>
      <c r="F100" s="161"/>
      <c r="I100" s="847"/>
    </row>
    <row r="101">
      <c r="A101" s="265"/>
      <c r="B101" s="950" t="str">
        <f t="shared" si="10"/>
        <v/>
      </c>
      <c r="F101" s="161"/>
      <c r="I101" s="847"/>
    </row>
    <row r="102">
      <c r="A102" s="270"/>
      <c r="B102" s="194">
        <f>SUM(B93:B101)</f>
        <v>1716</v>
      </c>
      <c r="C102" s="18"/>
      <c r="D102" s="18"/>
      <c r="E102" s="18"/>
      <c r="F102" s="952"/>
      <c r="G102" s="18"/>
      <c r="H102" s="18"/>
      <c r="I102" s="663"/>
    </row>
    <row r="103">
      <c r="A103" s="305">
        <v>43962.0</v>
      </c>
      <c r="B103" s="948" t="str">
        <f t="shared" ref="B103:B111" si="11">F103</f>
        <v/>
      </c>
      <c r="C103" s="244">
        <v>3168.75</v>
      </c>
      <c r="D103" s="242"/>
      <c r="E103" s="242"/>
      <c r="F103" s="949"/>
      <c r="G103" s="244" t="s">
        <v>2637</v>
      </c>
      <c r="H103" s="244"/>
      <c r="I103" s="662"/>
    </row>
    <row r="104">
      <c r="A104" s="265"/>
      <c r="B104" s="950">
        <f t="shared" si="11"/>
        <v>270</v>
      </c>
      <c r="F104" s="161">
        <v>270.0</v>
      </c>
      <c r="G104" s="2" t="s">
        <v>314</v>
      </c>
      <c r="I104" s="847"/>
    </row>
    <row r="105">
      <c r="A105" s="265"/>
      <c r="B105" s="950">
        <f t="shared" si="11"/>
        <v>133</v>
      </c>
      <c r="F105" s="161">
        <v>133.0</v>
      </c>
      <c r="G105" s="2" t="s">
        <v>345</v>
      </c>
      <c r="I105" s="847"/>
    </row>
    <row r="106">
      <c r="A106" s="265"/>
      <c r="B106" s="950" t="str">
        <f t="shared" si="11"/>
        <v/>
      </c>
      <c r="D106" s="2">
        <v>2064.0</v>
      </c>
      <c r="F106" s="161"/>
      <c r="G106" s="2" t="s">
        <v>4168</v>
      </c>
      <c r="I106" s="847"/>
    </row>
    <row r="107">
      <c r="A107" s="265"/>
      <c r="B107" s="950" t="str">
        <f t="shared" si="11"/>
        <v/>
      </c>
      <c r="D107" s="2">
        <v>1558.0</v>
      </c>
      <c r="F107" s="161"/>
      <c r="G107" s="2" t="s">
        <v>4169</v>
      </c>
      <c r="I107" s="847"/>
    </row>
    <row r="108">
      <c r="A108" s="265"/>
      <c r="B108" s="950" t="str">
        <f t="shared" si="11"/>
        <v/>
      </c>
      <c r="F108" s="161"/>
      <c r="I108" s="847"/>
    </row>
    <row r="109">
      <c r="A109" s="265"/>
      <c r="B109" s="950" t="str">
        <f t="shared" si="11"/>
        <v/>
      </c>
      <c r="F109" s="161"/>
      <c r="I109" s="847"/>
    </row>
    <row r="110">
      <c r="A110" s="265"/>
      <c r="B110" s="950" t="str">
        <f t="shared" si="11"/>
        <v/>
      </c>
      <c r="F110" s="161"/>
      <c r="I110" s="847"/>
    </row>
    <row r="111">
      <c r="A111" s="265"/>
      <c r="B111" s="950" t="str">
        <f t="shared" si="11"/>
        <v/>
      </c>
      <c r="F111" s="161"/>
      <c r="I111" s="847"/>
    </row>
    <row r="112">
      <c r="A112" s="270"/>
      <c r="B112" s="194">
        <f>SUM(B103:B111)</f>
        <v>403</v>
      </c>
      <c r="C112" s="18"/>
      <c r="D112" s="18"/>
      <c r="E112" s="18"/>
      <c r="F112" s="952"/>
      <c r="G112" s="18"/>
      <c r="H112" s="18"/>
      <c r="I112" s="663"/>
    </row>
    <row r="113">
      <c r="A113" s="305">
        <v>43963.0</v>
      </c>
      <c r="B113" s="948">
        <f t="shared" ref="B113:B121" si="12">F113</f>
        <v>180.62</v>
      </c>
      <c r="C113" s="242"/>
      <c r="D113" s="242"/>
      <c r="E113" s="242"/>
      <c r="F113" s="949">
        <v>180.62</v>
      </c>
      <c r="G113" s="244" t="s">
        <v>4170</v>
      </c>
      <c r="H113" s="244"/>
      <c r="I113" s="662"/>
    </row>
    <row r="114">
      <c r="A114" s="265"/>
      <c r="B114" s="950">
        <f t="shared" si="12"/>
        <v>163</v>
      </c>
      <c r="F114" s="161">
        <v>163.0</v>
      </c>
      <c r="G114" s="2" t="s">
        <v>625</v>
      </c>
      <c r="I114" s="847"/>
    </row>
    <row r="115">
      <c r="A115" s="265"/>
      <c r="B115" s="950">
        <f t="shared" si="12"/>
        <v>402</v>
      </c>
      <c r="F115" s="161">
        <v>402.0</v>
      </c>
      <c r="G115" s="2" t="s">
        <v>4171</v>
      </c>
      <c r="I115" s="847"/>
    </row>
    <row r="116">
      <c r="A116" s="265"/>
      <c r="B116" s="950">
        <f t="shared" si="12"/>
        <v>3561.76</v>
      </c>
      <c r="F116" s="161">
        <v>3561.76</v>
      </c>
      <c r="G116" s="2" t="s">
        <v>91</v>
      </c>
      <c r="I116" s="847"/>
    </row>
    <row r="117">
      <c r="A117" s="265"/>
      <c r="B117" s="950">
        <f t="shared" si="12"/>
        <v>4210</v>
      </c>
      <c r="F117" s="161">
        <v>4210.0</v>
      </c>
      <c r="G117" s="2" t="s">
        <v>4172</v>
      </c>
      <c r="I117" s="847"/>
    </row>
    <row r="118">
      <c r="A118" s="265"/>
      <c r="B118" s="950" t="str">
        <f t="shared" si="12"/>
        <v/>
      </c>
      <c r="C118" s="2">
        <v>7538.18</v>
      </c>
      <c r="F118" s="161"/>
      <c r="G118" s="2" t="s">
        <v>84</v>
      </c>
      <c r="I118" s="847"/>
    </row>
    <row r="119">
      <c r="A119" s="265"/>
      <c r="B119" s="950" t="str">
        <f t="shared" si="12"/>
        <v/>
      </c>
      <c r="F119" s="161"/>
      <c r="I119" s="847"/>
    </row>
    <row r="120">
      <c r="A120" s="265"/>
      <c r="B120" s="950" t="str">
        <f t="shared" si="12"/>
        <v/>
      </c>
      <c r="F120" s="161"/>
      <c r="I120" s="847"/>
    </row>
    <row r="121">
      <c r="A121" s="265"/>
      <c r="B121" s="950" t="str">
        <f t="shared" si="12"/>
        <v/>
      </c>
      <c r="F121" s="161"/>
      <c r="I121" s="847"/>
    </row>
    <row r="122">
      <c r="A122" s="270"/>
      <c r="B122" s="194">
        <f>SUM(B113:B121)</f>
        <v>8517.38</v>
      </c>
      <c r="C122" s="18"/>
      <c r="D122" s="18"/>
      <c r="E122" s="18"/>
      <c r="F122" s="952"/>
      <c r="G122" s="18"/>
      <c r="H122" s="18"/>
      <c r="I122" s="663"/>
    </row>
    <row r="123">
      <c r="A123" s="305">
        <v>43964.0</v>
      </c>
      <c r="B123" s="948">
        <f t="shared" ref="B123:B131" si="13">F123</f>
        <v>1091</v>
      </c>
      <c r="C123" s="242"/>
      <c r="D123" s="242"/>
      <c r="E123" s="242"/>
      <c r="F123" s="949">
        <v>1091.0</v>
      </c>
      <c r="G123" s="244" t="s">
        <v>708</v>
      </c>
      <c r="H123" s="244"/>
      <c r="I123" s="662"/>
    </row>
    <row r="124">
      <c r="A124" s="265"/>
      <c r="B124" s="950">
        <f t="shared" si="13"/>
        <v>22400</v>
      </c>
      <c r="F124" s="161">
        <v>22400.0</v>
      </c>
      <c r="G124" s="2" t="s">
        <v>4173</v>
      </c>
      <c r="I124" s="847"/>
    </row>
    <row r="125">
      <c r="A125" s="265"/>
      <c r="B125" s="950" t="str">
        <f t="shared" si="13"/>
        <v/>
      </c>
      <c r="F125" s="161"/>
      <c r="I125" s="847"/>
    </row>
    <row r="126">
      <c r="A126" s="265"/>
      <c r="B126" s="950" t="str">
        <f t="shared" si="13"/>
        <v/>
      </c>
      <c r="F126" s="161"/>
      <c r="I126" s="847"/>
    </row>
    <row r="127">
      <c r="A127" s="265"/>
      <c r="B127" s="950" t="str">
        <f t="shared" si="13"/>
        <v/>
      </c>
      <c r="F127" s="161"/>
      <c r="I127" s="847"/>
    </row>
    <row r="128">
      <c r="A128" s="265"/>
      <c r="B128" s="950" t="str">
        <f t="shared" si="13"/>
        <v/>
      </c>
      <c r="F128" s="161"/>
      <c r="I128" s="847"/>
    </row>
    <row r="129">
      <c r="A129" s="265"/>
      <c r="B129" s="950" t="str">
        <f t="shared" si="13"/>
        <v/>
      </c>
      <c r="F129" s="161"/>
      <c r="I129" s="847"/>
    </row>
    <row r="130">
      <c r="A130" s="265"/>
      <c r="B130" s="950" t="str">
        <f t="shared" si="13"/>
        <v/>
      </c>
      <c r="F130" s="161"/>
      <c r="I130" s="847"/>
    </row>
    <row r="131">
      <c r="A131" s="265"/>
      <c r="B131" s="950" t="str">
        <f t="shared" si="13"/>
        <v/>
      </c>
      <c r="F131" s="161"/>
      <c r="I131" s="847"/>
    </row>
    <row r="132">
      <c r="A132" s="270"/>
      <c r="B132" s="194">
        <f>SUM(B123:B131)</f>
        <v>23491</v>
      </c>
      <c r="C132" s="18"/>
      <c r="D132" s="18"/>
      <c r="E132" s="18"/>
      <c r="F132" s="952"/>
      <c r="G132" s="18"/>
      <c r="H132" s="18"/>
      <c r="I132" s="663"/>
    </row>
    <row r="133">
      <c r="A133" s="305">
        <v>43965.0</v>
      </c>
      <c r="B133" s="948">
        <f t="shared" ref="B133:B141" si="14">F133</f>
        <v>2000</v>
      </c>
      <c r="C133" s="242"/>
      <c r="D133" s="242"/>
      <c r="E133" s="242"/>
      <c r="F133" s="949">
        <v>2000.0</v>
      </c>
      <c r="G133" s="244" t="s">
        <v>3731</v>
      </c>
      <c r="H133" s="244"/>
      <c r="I133" s="662"/>
    </row>
    <row r="134">
      <c r="A134" s="265"/>
      <c r="B134" s="950">
        <f t="shared" si="14"/>
        <v>345</v>
      </c>
      <c r="F134" s="161">
        <v>345.0</v>
      </c>
      <c r="G134" s="2" t="s">
        <v>4085</v>
      </c>
      <c r="I134" s="847"/>
    </row>
    <row r="135">
      <c r="A135" s="265"/>
      <c r="B135" s="950">
        <f t="shared" si="14"/>
        <v>550</v>
      </c>
      <c r="F135" s="161">
        <v>550.0</v>
      </c>
      <c r="G135" s="2" t="s">
        <v>4174</v>
      </c>
      <c r="I135" s="847"/>
    </row>
    <row r="136">
      <c r="A136" s="265"/>
      <c r="B136" s="950">
        <f t="shared" si="14"/>
        <v>1122.9</v>
      </c>
      <c r="F136" s="161">
        <v>1122.9</v>
      </c>
      <c r="G136" s="2" t="s">
        <v>314</v>
      </c>
      <c r="I136" s="847"/>
    </row>
    <row r="137">
      <c r="A137" s="265"/>
      <c r="B137" s="950">
        <f t="shared" si="14"/>
        <v>1740</v>
      </c>
      <c r="F137" s="161">
        <v>1740.0</v>
      </c>
      <c r="G137" s="2" t="s">
        <v>4175</v>
      </c>
      <c r="I137" s="847"/>
    </row>
    <row r="138">
      <c r="A138" s="265"/>
      <c r="B138" s="950">
        <f t="shared" si="14"/>
        <v>2450</v>
      </c>
      <c r="F138" s="161">
        <v>2450.0</v>
      </c>
      <c r="G138" s="2" t="s">
        <v>3986</v>
      </c>
      <c r="I138" s="847"/>
    </row>
    <row r="139">
      <c r="A139" s="265"/>
      <c r="B139" s="950" t="str">
        <f t="shared" si="14"/>
        <v/>
      </c>
      <c r="F139" s="161"/>
      <c r="I139" s="847"/>
    </row>
    <row r="140">
      <c r="A140" s="265"/>
      <c r="B140" s="950" t="str">
        <f t="shared" si="14"/>
        <v/>
      </c>
      <c r="F140" s="161"/>
      <c r="I140" s="847"/>
    </row>
    <row r="141">
      <c r="A141" s="265"/>
      <c r="B141" s="950" t="str">
        <f t="shared" si="14"/>
        <v/>
      </c>
      <c r="F141" s="161"/>
      <c r="I141" s="847"/>
    </row>
    <row r="142">
      <c r="A142" s="270"/>
      <c r="B142" s="194">
        <f>SUM(B133:B141)</f>
        <v>8207.9</v>
      </c>
      <c r="C142" s="18"/>
      <c r="D142" s="18"/>
      <c r="E142" s="18"/>
      <c r="F142" s="952"/>
      <c r="G142" s="18"/>
      <c r="H142" s="18"/>
      <c r="I142" s="663"/>
    </row>
    <row r="143">
      <c r="A143" s="305">
        <v>43966.0</v>
      </c>
      <c r="B143" s="948">
        <f t="shared" ref="B143:B151" si="15">F143</f>
        <v>483</v>
      </c>
      <c r="C143" s="242"/>
      <c r="D143" s="242"/>
      <c r="E143" s="242"/>
      <c r="F143" s="949">
        <v>483.0</v>
      </c>
      <c r="G143" s="244" t="s">
        <v>3911</v>
      </c>
      <c r="H143" s="244"/>
      <c r="I143" s="662"/>
    </row>
    <row r="144">
      <c r="A144" s="265"/>
      <c r="B144" s="950" t="str">
        <f t="shared" si="15"/>
        <v/>
      </c>
      <c r="D144" s="2">
        <v>1000.0</v>
      </c>
      <c r="F144" s="161"/>
      <c r="G144" s="2" t="s">
        <v>4176</v>
      </c>
      <c r="I144" s="847"/>
    </row>
    <row r="145">
      <c r="A145" s="265"/>
      <c r="B145" s="950" t="str">
        <f t="shared" si="15"/>
        <v/>
      </c>
      <c r="D145" s="2">
        <v>3672.97</v>
      </c>
      <c r="F145" s="161"/>
      <c r="G145" s="2" t="s">
        <v>3448</v>
      </c>
      <c r="I145" s="847"/>
    </row>
    <row r="146">
      <c r="A146" s="265"/>
      <c r="B146" s="950" t="str">
        <f t="shared" si="15"/>
        <v/>
      </c>
      <c r="F146" s="161"/>
      <c r="I146" s="847"/>
    </row>
    <row r="147">
      <c r="A147" s="265"/>
      <c r="B147" s="950" t="str">
        <f t="shared" si="15"/>
        <v/>
      </c>
      <c r="F147" s="161"/>
      <c r="I147" s="847"/>
    </row>
    <row r="148">
      <c r="A148" s="265"/>
      <c r="B148" s="950" t="str">
        <f t="shared" si="15"/>
        <v/>
      </c>
      <c r="F148" s="161"/>
      <c r="I148" s="847"/>
    </row>
    <row r="149">
      <c r="A149" s="265"/>
      <c r="B149" s="950" t="str">
        <f t="shared" si="15"/>
        <v/>
      </c>
      <c r="F149" s="161"/>
      <c r="I149" s="847"/>
    </row>
    <row r="150">
      <c r="A150" s="265"/>
      <c r="B150" s="950" t="str">
        <f t="shared" si="15"/>
        <v/>
      </c>
      <c r="F150" s="161"/>
      <c r="I150" s="847"/>
    </row>
    <row r="151">
      <c r="A151" s="265"/>
      <c r="B151" s="950" t="str">
        <f t="shared" si="15"/>
        <v/>
      </c>
      <c r="F151" s="161"/>
      <c r="I151" s="847"/>
    </row>
    <row r="152">
      <c r="A152" s="270"/>
      <c r="B152" s="194">
        <f>SUM(B143:B151)</f>
        <v>483</v>
      </c>
      <c r="C152" s="18"/>
      <c r="D152" s="18"/>
      <c r="E152" s="18"/>
      <c r="F152" s="952"/>
      <c r="G152" s="18"/>
      <c r="H152" s="18"/>
      <c r="I152" s="663"/>
    </row>
    <row r="153">
      <c r="A153" s="305">
        <v>43967.0</v>
      </c>
      <c r="B153" s="948">
        <f t="shared" ref="B153:B161" si="16">F153</f>
        <v>6200</v>
      </c>
      <c r="C153" s="242"/>
      <c r="D153" s="242"/>
      <c r="E153" s="242"/>
      <c r="F153" s="949">
        <v>6200.0</v>
      </c>
      <c r="G153" s="244" t="s">
        <v>4177</v>
      </c>
      <c r="H153" s="244"/>
      <c r="I153" s="662"/>
    </row>
    <row r="154">
      <c r="A154" s="265"/>
      <c r="B154" s="950">
        <f t="shared" si="16"/>
        <v>1034</v>
      </c>
      <c r="F154" s="161">
        <v>1034.0</v>
      </c>
      <c r="G154" s="2" t="s">
        <v>708</v>
      </c>
      <c r="I154" s="847"/>
    </row>
    <row r="155">
      <c r="A155" s="265"/>
      <c r="B155" s="950" t="str">
        <f t="shared" si="16"/>
        <v/>
      </c>
      <c r="C155" s="2">
        <v>7932.39</v>
      </c>
      <c r="F155" s="161"/>
      <c r="G155" s="2" t="s">
        <v>2603</v>
      </c>
      <c r="I155" s="847"/>
    </row>
    <row r="156">
      <c r="A156" s="265"/>
      <c r="B156" s="950">
        <f t="shared" si="16"/>
        <v>876</v>
      </c>
      <c r="F156" s="161">
        <v>876.0</v>
      </c>
      <c r="G156" s="2" t="s">
        <v>708</v>
      </c>
      <c r="I156" s="847"/>
    </row>
    <row r="157">
      <c r="A157" s="265"/>
      <c r="B157" s="950">
        <f t="shared" si="16"/>
        <v>710</v>
      </c>
      <c r="F157" s="161">
        <v>710.0</v>
      </c>
      <c r="G157" s="2" t="s">
        <v>4178</v>
      </c>
      <c r="I157" s="847"/>
    </row>
    <row r="158">
      <c r="A158" s="265"/>
      <c r="B158" s="950">
        <f t="shared" si="16"/>
        <v>800</v>
      </c>
      <c r="F158" s="161">
        <v>800.0</v>
      </c>
      <c r="G158" s="2" t="s">
        <v>4179</v>
      </c>
      <c r="I158" s="847"/>
    </row>
    <row r="159">
      <c r="A159" s="265"/>
      <c r="B159" s="950" t="str">
        <f t="shared" si="16"/>
        <v/>
      </c>
      <c r="F159" s="161"/>
      <c r="I159" s="847"/>
    </row>
    <row r="160">
      <c r="A160" s="265"/>
      <c r="B160" s="950" t="str">
        <f t="shared" si="16"/>
        <v/>
      </c>
      <c r="F160" s="161"/>
      <c r="I160" s="847"/>
    </row>
    <row r="161">
      <c r="A161" s="265"/>
      <c r="B161" s="950" t="str">
        <f t="shared" si="16"/>
        <v/>
      </c>
      <c r="F161" s="161"/>
      <c r="I161" s="847"/>
    </row>
    <row r="162">
      <c r="A162" s="270"/>
      <c r="B162" s="194">
        <f>SUM(B153:B161)</f>
        <v>9620</v>
      </c>
      <c r="C162" s="18"/>
      <c r="D162" s="18"/>
      <c r="E162" s="18"/>
      <c r="F162" s="952"/>
      <c r="G162" s="18"/>
      <c r="H162" s="18"/>
      <c r="I162" s="663"/>
    </row>
    <row r="163">
      <c r="A163" s="305">
        <v>43968.0</v>
      </c>
      <c r="B163" s="948">
        <f t="shared" ref="B163:B173" si="17">F163</f>
        <v>5800</v>
      </c>
      <c r="C163" s="242"/>
      <c r="D163" s="242"/>
      <c r="E163" s="242"/>
      <c r="F163" s="949">
        <v>5800.0</v>
      </c>
      <c r="G163" s="2" t="s">
        <v>3847</v>
      </c>
      <c r="H163" s="244"/>
      <c r="I163" s="981"/>
    </row>
    <row r="164">
      <c r="A164" s="265"/>
      <c r="B164" s="950" t="str">
        <f t="shared" si="17"/>
        <v/>
      </c>
      <c r="F164" s="161"/>
      <c r="G164" s="2" t="s">
        <v>4165</v>
      </c>
      <c r="H164" s="942">
        <f t="shared" ref="H164:H169" si="18">I86</f>
        <v>8375</v>
      </c>
      <c r="I164" s="980">
        <f>H164-8500</f>
        <v>-125</v>
      </c>
    </row>
    <row r="165">
      <c r="A165" s="265"/>
      <c r="B165" s="950" t="str">
        <f t="shared" si="17"/>
        <v/>
      </c>
      <c r="F165" s="161"/>
      <c r="G165" s="2" t="s">
        <v>3810</v>
      </c>
      <c r="H165" s="942">
        <f t="shared" si="18"/>
        <v>9625</v>
      </c>
      <c r="I165" s="980">
        <f>H165-7250</f>
        <v>2375</v>
      </c>
    </row>
    <row r="166">
      <c r="A166" s="265"/>
      <c r="B166" s="950" t="str">
        <f t="shared" si="17"/>
        <v/>
      </c>
      <c r="F166" s="161"/>
      <c r="G166" s="2" t="s">
        <v>3811</v>
      </c>
      <c r="H166" s="942">
        <f t="shared" si="18"/>
        <v>10825</v>
      </c>
      <c r="I166" s="980">
        <f>H166-6050</f>
        <v>4775</v>
      </c>
    </row>
    <row r="167">
      <c r="A167" s="265"/>
      <c r="B167" s="950" t="str">
        <f t="shared" si="17"/>
        <v/>
      </c>
      <c r="F167" s="161"/>
      <c r="G167" s="2" t="s">
        <v>4166</v>
      </c>
      <c r="H167" s="942">
        <f t="shared" si="18"/>
        <v>11125</v>
      </c>
      <c r="I167" s="980">
        <f>H167-5750</f>
        <v>5375</v>
      </c>
    </row>
    <row r="168">
      <c r="A168" s="265"/>
      <c r="B168" s="950" t="str">
        <f t="shared" si="17"/>
        <v/>
      </c>
      <c r="F168" s="161"/>
      <c r="G168" s="2" t="s">
        <v>3848</v>
      </c>
      <c r="H168" s="942">
        <f t="shared" si="18"/>
        <v>11075</v>
      </c>
      <c r="I168" s="980">
        <f>H168-5800</f>
        <v>5275</v>
      </c>
    </row>
    <row r="169">
      <c r="A169" s="265"/>
      <c r="B169" s="950" t="str">
        <f t="shared" si="17"/>
        <v/>
      </c>
      <c r="F169" s="161"/>
      <c r="G169" s="2" t="s">
        <v>3815</v>
      </c>
      <c r="H169" s="942">
        <f t="shared" si="18"/>
        <v>8375</v>
      </c>
      <c r="I169" s="980">
        <f>H169-8500</f>
        <v>-125</v>
      </c>
    </row>
    <row r="170">
      <c r="A170" s="265"/>
      <c r="B170" s="950">
        <f t="shared" si="17"/>
        <v>737</v>
      </c>
      <c r="F170" s="161">
        <v>737.0</v>
      </c>
      <c r="G170" s="2" t="s">
        <v>708</v>
      </c>
      <c r="I170" s="847"/>
    </row>
    <row r="171">
      <c r="A171" s="265"/>
      <c r="B171" s="950">
        <f t="shared" si="17"/>
        <v>880</v>
      </c>
      <c r="F171" s="161">
        <v>880.0</v>
      </c>
      <c r="G171" s="2" t="s">
        <v>3985</v>
      </c>
      <c r="I171" s="847"/>
    </row>
    <row r="172">
      <c r="A172" s="265"/>
      <c r="B172" s="950">
        <f t="shared" si="17"/>
        <v>2100</v>
      </c>
      <c r="F172" s="161">
        <v>2100.0</v>
      </c>
      <c r="G172" s="2" t="s">
        <v>3920</v>
      </c>
      <c r="H172" s="942"/>
      <c r="I172" s="847"/>
    </row>
    <row r="173">
      <c r="A173" s="265"/>
      <c r="B173" s="950">
        <f t="shared" si="17"/>
        <v>483</v>
      </c>
      <c r="F173" s="161">
        <v>483.0</v>
      </c>
      <c r="G173" s="2" t="s">
        <v>3911</v>
      </c>
      <c r="I173" s="847"/>
    </row>
    <row r="174">
      <c r="A174" s="270"/>
      <c r="B174" s="194">
        <f>SUM(B163:B173)</f>
        <v>10000</v>
      </c>
      <c r="C174" s="18"/>
      <c r="D174" s="18"/>
      <c r="E174" s="18"/>
      <c r="F174" s="952"/>
      <c r="G174" s="18"/>
      <c r="H174" s="18"/>
      <c r="I174" s="663"/>
    </row>
    <row r="175">
      <c r="A175" s="305">
        <v>43969.0</v>
      </c>
      <c r="B175" s="948">
        <f t="shared" ref="B175:B183" si="19">F175</f>
        <v>2450</v>
      </c>
      <c r="C175" s="242"/>
      <c r="D175" s="242"/>
      <c r="E175" s="242"/>
      <c r="F175" s="949">
        <v>2450.0</v>
      </c>
      <c r="G175" s="2" t="s">
        <v>3920</v>
      </c>
      <c r="H175" s="942"/>
      <c r="I175" s="662"/>
    </row>
    <row r="176">
      <c r="A176" s="265"/>
      <c r="B176" s="950">
        <f t="shared" si="19"/>
        <v>2000</v>
      </c>
      <c r="F176" s="161">
        <v>2000.0</v>
      </c>
      <c r="G176" s="2" t="s">
        <v>4159</v>
      </c>
      <c r="I176" s="847"/>
    </row>
    <row r="177">
      <c r="A177" s="265"/>
      <c r="B177" s="950">
        <f t="shared" si="19"/>
        <v>681</v>
      </c>
      <c r="F177" s="161">
        <v>681.0</v>
      </c>
      <c r="G177" s="2" t="s">
        <v>708</v>
      </c>
      <c r="I177" s="847"/>
    </row>
    <row r="178">
      <c r="A178" s="265"/>
      <c r="B178" s="950">
        <f t="shared" si="19"/>
        <v>100</v>
      </c>
      <c r="F178" s="161">
        <v>100.0</v>
      </c>
      <c r="G178" s="2" t="s">
        <v>4180</v>
      </c>
      <c r="I178" s="847"/>
    </row>
    <row r="179">
      <c r="A179" s="265"/>
      <c r="B179" s="950">
        <f t="shared" si="19"/>
        <v>99.8</v>
      </c>
      <c r="F179" s="161">
        <v>99.8</v>
      </c>
      <c r="G179" s="2" t="s">
        <v>4181</v>
      </c>
      <c r="I179" s="847"/>
    </row>
    <row r="180">
      <c r="A180" s="265"/>
      <c r="B180" s="950" t="str">
        <f t="shared" si="19"/>
        <v/>
      </c>
      <c r="D180" s="2">
        <v>700.0</v>
      </c>
      <c r="F180" s="161"/>
      <c r="G180" s="2" t="s">
        <v>4182</v>
      </c>
      <c r="I180" s="847"/>
    </row>
    <row r="181">
      <c r="A181" s="265"/>
      <c r="B181" s="950" t="str">
        <f t="shared" si="19"/>
        <v/>
      </c>
      <c r="D181" s="2">
        <v>830.0</v>
      </c>
      <c r="F181" s="161"/>
      <c r="G181" s="2" t="s">
        <v>4183</v>
      </c>
      <c r="I181" s="847"/>
    </row>
    <row r="182">
      <c r="A182" s="265"/>
      <c r="B182" s="950" t="str">
        <f t="shared" si="19"/>
        <v/>
      </c>
      <c r="D182" s="2">
        <v>387.0</v>
      </c>
      <c r="F182" s="161"/>
      <c r="G182" s="2" t="s">
        <v>4184</v>
      </c>
      <c r="I182" s="847"/>
    </row>
    <row r="183">
      <c r="A183" s="265"/>
      <c r="B183" s="950" t="str">
        <f t="shared" si="19"/>
        <v/>
      </c>
      <c r="F183" s="161"/>
      <c r="I183" s="847"/>
    </row>
    <row r="184">
      <c r="A184" s="270"/>
      <c r="B184" s="194">
        <f>SUM(B175:B183)</f>
        <v>5330.8</v>
      </c>
      <c r="C184" s="18"/>
      <c r="D184" s="18"/>
      <c r="E184" s="18"/>
      <c r="F184" s="952"/>
      <c r="G184" s="18"/>
      <c r="H184" s="18"/>
      <c r="I184" s="663"/>
    </row>
    <row r="185">
      <c r="A185" s="305">
        <v>43970.0</v>
      </c>
      <c r="B185" s="948">
        <f t="shared" ref="B185:B193" si="20">F185</f>
        <v>1840</v>
      </c>
      <c r="C185" s="242"/>
      <c r="D185" s="242"/>
      <c r="E185" s="242"/>
      <c r="F185" s="949">
        <v>1840.0</v>
      </c>
      <c r="G185" s="244" t="s">
        <v>114</v>
      </c>
      <c r="H185" s="244"/>
      <c r="I185" s="662"/>
    </row>
    <row r="186">
      <c r="A186" s="265"/>
      <c r="B186" s="950">
        <f t="shared" si="20"/>
        <v>528</v>
      </c>
      <c r="F186" s="161">
        <v>528.0</v>
      </c>
      <c r="G186" s="2" t="s">
        <v>708</v>
      </c>
      <c r="I186" s="847"/>
    </row>
    <row r="187">
      <c r="A187" s="265"/>
      <c r="B187" s="950">
        <f t="shared" si="20"/>
        <v>402</v>
      </c>
      <c r="F187" s="161">
        <v>402.0</v>
      </c>
      <c r="G187" s="2" t="s">
        <v>4185</v>
      </c>
      <c r="I187" s="847"/>
    </row>
    <row r="188">
      <c r="A188" s="265"/>
      <c r="B188" s="950">
        <f t="shared" si="20"/>
        <v>130</v>
      </c>
      <c r="F188" s="161">
        <v>130.0</v>
      </c>
      <c r="G188" s="2" t="s">
        <v>1448</v>
      </c>
      <c r="I188" s="847"/>
    </row>
    <row r="189">
      <c r="A189" s="265"/>
      <c r="B189" s="950" t="str">
        <f t="shared" si="20"/>
        <v/>
      </c>
      <c r="D189" s="2">
        <v>6250.0</v>
      </c>
      <c r="F189" s="161"/>
      <c r="G189" s="2" t="s">
        <v>582</v>
      </c>
      <c r="I189" s="847"/>
    </row>
    <row r="190">
      <c r="A190" s="265"/>
      <c r="B190" s="950" t="str">
        <f t="shared" si="20"/>
        <v/>
      </c>
      <c r="F190" s="161"/>
      <c r="I190" s="847"/>
    </row>
    <row r="191">
      <c r="A191" s="265"/>
      <c r="B191" s="950" t="str">
        <f t="shared" si="20"/>
        <v/>
      </c>
      <c r="F191" s="161"/>
      <c r="I191" s="847"/>
    </row>
    <row r="192">
      <c r="A192" s="265"/>
      <c r="B192" s="950" t="str">
        <f t="shared" si="20"/>
        <v/>
      </c>
      <c r="F192" s="161"/>
      <c r="I192" s="847"/>
    </row>
    <row r="193">
      <c r="A193" s="265"/>
      <c r="B193" s="950" t="str">
        <f t="shared" si="20"/>
        <v/>
      </c>
      <c r="F193" s="161"/>
      <c r="I193" s="847"/>
    </row>
    <row r="194">
      <c r="A194" s="270"/>
      <c r="B194" s="194">
        <f>SUM(B185:B193)</f>
        <v>2900</v>
      </c>
      <c r="C194" s="18"/>
      <c r="D194" s="18"/>
      <c r="E194" s="18"/>
      <c r="F194" s="952"/>
      <c r="G194" s="18"/>
      <c r="H194" s="18"/>
      <c r="I194" s="663"/>
    </row>
    <row r="195">
      <c r="A195" s="305">
        <v>43971.0</v>
      </c>
      <c r="B195" s="948">
        <f t="shared" ref="B195:B203" si="21">F195</f>
        <v>769.37</v>
      </c>
      <c r="C195" s="242"/>
      <c r="D195" s="242"/>
      <c r="E195" s="242"/>
      <c r="F195" s="949">
        <v>769.37</v>
      </c>
      <c r="G195" s="244" t="s">
        <v>708</v>
      </c>
      <c r="H195" s="244"/>
      <c r="I195" s="662"/>
    </row>
    <row r="196">
      <c r="A196" s="265"/>
      <c r="B196" s="950">
        <f t="shared" si="21"/>
        <v>248</v>
      </c>
      <c r="F196" s="161">
        <v>248.0</v>
      </c>
      <c r="G196" s="2" t="s">
        <v>227</v>
      </c>
      <c r="I196" s="847"/>
    </row>
    <row r="197">
      <c r="A197" s="265"/>
      <c r="B197" s="950">
        <f t="shared" si="21"/>
        <v>200</v>
      </c>
      <c r="F197" s="161">
        <v>200.0</v>
      </c>
      <c r="G197" s="2" t="s">
        <v>4186</v>
      </c>
      <c r="I197" s="847"/>
    </row>
    <row r="198">
      <c r="A198" s="265"/>
      <c r="B198" s="950" t="str">
        <f t="shared" si="21"/>
        <v/>
      </c>
      <c r="F198" s="161"/>
      <c r="I198" s="847"/>
    </row>
    <row r="199">
      <c r="A199" s="265"/>
      <c r="B199" s="950" t="str">
        <f t="shared" si="21"/>
        <v/>
      </c>
      <c r="F199" s="161"/>
      <c r="I199" s="847"/>
    </row>
    <row r="200">
      <c r="A200" s="265"/>
      <c r="B200" s="950" t="str">
        <f t="shared" si="21"/>
        <v/>
      </c>
      <c r="F200" s="161"/>
      <c r="I200" s="847"/>
    </row>
    <row r="201">
      <c r="A201" s="265"/>
      <c r="B201" s="950" t="str">
        <f t="shared" si="21"/>
        <v/>
      </c>
      <c r="F201" s="161"/>
      <c r="I201" s="847"/>
    </row>
    <row r="202">
      <c r="A202" s="265"/>
      <c r="B202" s="950" t="str">
        <f t="shared" si="21"/>
        <v/>
      </c>
      <c r="F202" s="161"/>
      <c r="I202" s="847"/>
    </row>
    <row r="203">
      <c r="A203" s="265"/>
      <c r="B203" s="950" t="str">
        <f t="shared" si="21"/>
        <v/>
      </c>
      <c r="F203" s="161"/>
      <c r="I203" s="847"/>
    </row>
    <row r="204">
      <c r="A204" s="270"/>
      <c r="B204" s="194">
        <f>SUM(B195:B203)</f>
        <v>1217.37</v>
      </c>
      <c r="C204" s="18"/>
      <c r="D204" s="18"/>
      <c r="E204" s="18"/>
      <c r="F204" s="952"/>
      <c r="G204" s="18"/>
      <c r="H204" s="18"/>
      <c r="I204" s="663"/>
    </row>
    <row r="205">
      <c r="A205" s="305">
        <v>43972.0</v>
      </c>
      <c r="B205" s="948">
        <f t="shared" ref="B205:B213" si="22">F205</f>
        <v>402</v>
      </c>
      <c r="C205" s="242"/>
      <c r="D205" s="242"/>
      <c r="E205" s="242"/>
      <c r="F205" s="949">
        <v>402.0</v>
      </c>
      <c r="G205" s="244" t="s">
        <v>329</v>
      </c>
      <c r="H205" s="244"/>
      <c r="I205" s="662"/>
    </row>
    <row r="206">
      <c r="A206" s="265"/>
      <c r="B206" s="950" t="str">
        <f t="shared" si="22"/>
        <v/>
      </c>
      <c r="C206" s="2">
        <v>7726.52</v>
      </c>
      <c r="F206" s="161"/>
      <c r="G206" s="2" t="s">
        <v>71</v>
      </c>
      <c r="I206" s="847"/>
    </row>
    <row r="207">
      <c r="A207" s="265"/>
      <c r="B207" s="950">
        <f t="shared" si="22"/>
        <v>360</v>
      </c>
      <c r="F207" s="161">
        <v>360.0</v>
      </c>
      <c r="G207" s="2" t="s">
        <v>4113</v>
      </c>
      <c r="I207" s="847"/>
    </row>
    <row r="208">
      <c r="A208" s="265"/>
      <c r="B208" s="950">
        <f t="shared" si="22"/>
        <v>1750</v>
      </c>
      <c r="F208" s="161">
        <v>1750.0</v>
      </c>
      <c r="G208" s="2" t="s">
        <v>3939</v>
      </c>
      <c r="I208" s="847"/>
    </row>
    <row r="209">
      <c r="A209" s="265"/>
      <c r="B209" s="950" t="str">
        <f t="shared" si="22"/>
        <v/>
      </c>
      <c r="F209" s="161"/>
      <c r="I209" s="847"/>
    </row>
    <row r="210">
      <c r="A210" s="265"/>
      <c r="B210" s="950" t="str">
        <f t="shared" si="22"/>
        <v/>
      </c>
      <c r="F210" s="161"/>
      <c r="I210" s="847"/>
    </row>
    <row r="211">
      <c r="A211" s="265"/>
      <c r="B211" s="950" t="str">
        <f t="shared" si="22"/>
        <v/>
      </c>
      <c r="F211" s="161"/>
      <c r="I211" s="847"/>
    </row>
    <row r="212">
      <c r="A212" s="265"/>
      <c r="B212" s="950" t="str">
        <f t="shared" si="22"/>
        <v/>
      </c>
      <c r="F212" s="161"/>
      <c r="I212" s="847"/>
    </row>
    <row r="213">
      <c r="A213" s="265"/>
      <c r="B213" s="950" t="str">
        <f t="shared" si="22"/>
        <v/>
      </c>
      <c r="F213" s="161"/>
      <c r="I213" s="847"/>
    </row>
    <row r="214">
      <c r="A214" s="270"/>
      <c r="B214" s="194">
        <f>SUM(B205:B213)</f>
        <v>2512</v>
      </c>
      <c r="C214" s="18"/>
      <c r="D214" s="18"/>
      <c r="E214" s="18"/>
      <c r="F214" s="952"/>
      <c r="G214" s="18"/>
      <c r="H214" s="18"/>
      <c r="I214" s="663"/>
    </row>
    <row r="215">
      <c r="A215" s="305">
        <v>43973.0</v>
      </c>
      <c r="B215" s="948">
        <f t="shared" ref="B215:B223" si="23">F215</f>
        <v>402</v>
      </c>
      <c r="C215" s="242"/>
      <c r="D215" s="242"/>
      <c r="E215" s="244"/>
      <c r="F215" s="949">
        <v>402.0</v>
      </c>
      <c r="G215" s="2" t="s">
        <v>329</v>
      </c>
      <c r="H215" s="244"/>
      <c r="I215" s="662"/>
    </row>
    <row r="216">
      <c r="A216" s="265"/>
      <c r="B216" s="950">
        <f t="shared" si="23"/>
        <v>601.34</v>
      </c>
      <c r="F216" s="161">
        <v>601.34</v>
      </c>
      <c r="G216" s="2" t="s">
        <v>708</v>
      </c>
      <c r="I216" s="847"/>
    </row>
    <row r="217">
      <c r="A217" s="265"/>
      <c r="B217" s="950">
        <f t="shared" si="23"/>
        <v>7264</v>
      </c>
      <c r="F217" s="161">
        <v>7264.0</v>
      </c>
      <c r="G217" s="2" t="s">
        <v>91</v>
      </c>
      <c r="I217" s="847"/>
    </row>
    <row r="218">
      <c r="A218" s="265"/>
      <c r="B218" s="950">
        <f t="shared" si="23"/>
        <v>2400</v>
      </c>
      <c r="F218" s="161">
        <v>2400.0</v>
      </c>
      <c r="G218" s="2" t="s">
        <v>275</v>
      </c>
      <c r="I218" s="847"/>
    </row>
    <row r="219">
      <c r="A219" s="265"/>
      <c r="B219" s="950">
        <f t="shared" si="23"/>
        <v>1740</v>
      </c>
      <c r="F219" s="161">
        <v>1740.0</v>
      </c>
      <c r="G219" s="2" t="s">
        <v>76</v>
      </c>
      <c r="I219" s="847"/>
    </row>
    <row r="220">
      <c r="A220" s="265"/>
      <c r="B220" s="950">
        <f t="shared" si="23"/>
        <v>448.85</v>
      </c>
      <c r="F220" s="161">
        <v>448.85</v>
      </c>
      <c r="G220" s="2" t="s">
        <v>4187</v>
      </c>
      <c r="I220" s="847"/>
    </row>
    <row r="221">
      <c r="A221" s="265"/>
      <c r="B221" s="950">
        <f t="shared" si="23"/>
        <v>7625</v>
      </c>
      <c r="F221" s="161">
        <v>7625.0</v>
      </c>
      <c r="G221" s="2" t="s">
        <v>4007</v>
      </c>
      <c r="I221" s="847"/>
    </row>
    <row r="222">
      <c r="A222" s="265"/>
      <c r="B222" s="950" t="str">
        <f t="shared" si="23"/>
        <v/>
      </c>
      <c r="D222" s="2">
        <v>18150.0</v>
      </c>
      <c r="F222" s="161"/>
      <c r="G222" s="2" t="s">
        <v>4188</v>
      </c>
      <c r="I222" s="847"/>
    </row>
    <row r="223">
      <c r="A223" s="265"/>
      <c r="B223" s="950" t="str">
        <f t="shared" si="23"/>
        <v/>
      </c>
      <c r="F223" s="161"/>
      <c r="I223" s="847"/>
    </row>
    <row r="224">
      <c r="A224" s="270"/>
      <c r="B224" s="194">
        <f>SUM(B215:B223)</f>
        <v>20481.19</v>
      </c>
      <c r="C224" s="18"/>
      <c r="D224" s="18"/>
      <c r="E224" s="18"/>
      <c r="F224" s="952"/>
      <c r="G224" s="18"/>
      <c r="H224" s="18"/>
      <c r="I224" s="663"/>
    </row>
    <row r="225">
      <c r="A225" s="305">
        <v>43974.0</v>
      </c>
      <c r="B225" s="948">
        <f t="shared" ref="B225:B238" si="24">F225</f>
        <v>5800</v>
      </c>
      <c r="C225" s="242"/>
      <c r="D225" s="242"/>
      <c r="E225" s="244"/>
      <c r="F225" s="949">
        <v>5800.0</v>
      </c>
      <c r="G225" s="2" t="s">
        <v>3847</v>
      </c>
      <c r="H225" s="244"/>
      <c r="I225" s="662"/>
    </row>
    <row r="226">
      <c r="A226" s="265"/>
      <c r="B226" s="950">
        <f t="shared" si="24"/>
        <v>8625</v>
      </c>
      <c r="F226" s="161">
        <v>8625.0</v>
      </c>
      <c r="G226" s="2" t="s">
        <v>4165</v>
      </c>
      <c r="H226" s="942">
        <f t="shared" ref="H226:H231" si="25">I164</f>
        <v>-125</v>
      </c>
      <c r="I226" s="847"/>
    </row>
    <row r="227">
      <c r="A227" s="265"/>
      <c r="B227" s="950">
        <f t="shared" si="24"/>
        <v>4900</v>
      </c>
      <c r="F227" s="161">
        <v>4900.0</v>
      </c>
      <c r="G227" s="2" t="s">
        <v>3810</v>
      </c>
      <c r="H227" s="942">
        <f t="shared" si="25"/>
        <v>2375</v>
      </c>
      <c r="I227" s="847"/>
    </row>
    <row r="228">
      <c r="A228" s="265"/>
      <c r="B228" s="950">
        <f t="shared" si="24"/>
        <v>1300</v>
      </c>
      <c r="F228" s="161">
        <v>1300.0</v>
      </c>
      <c r="G228" s="2" t="s">
        <v>3811</v>
      </c>
      <c r="H228" s="942">
        <f t="shared" si="25"/>
        <v>4775</v>
      </c>
      <c r="I228" s="847"/>
    </row>
    <row r="229">
      <c r="A229" s="265"/>
      <c r="B229" s="950">
        <f t="shared" si="24"/>
        <v>400</v>
      </c>
      <c r="F229" s="161">
        <v>400.0</v>
      </c>
      <c r="G229" s="2" t="s">
        <v>4166</v>
      </c>
      <c r="H229" s="942">
        <f t="shared" si="25"/>
        <v>5375</v>
      </c>
      <c r="I229" s="847"/>
    </row>
    <row r="230">
      <c r="A230" s="265"/>
      <c r="B230" s="950">
        <f t="shared" si="24"/>
        <v>530</v>
      </c>
      <c r="F230" s="161">
        <v>530.0</v>
      </c>
      <c r="G230" s="2" t="s">
        <v>3848</v>
      </c>
      <c r="H230" s="942">
        <f t="shared" si="25"/>
        <v>5275</v>
      </c>
      <c r="I230" s="847"/>
    </row>
    <row r="231">
      <c r="A231" s="265"/>
      <c r="B231" s="950" t="str">
        <f t="shared" si="24"/>
        <v/>
      </c>
      <c r="F231" s="161"/>
      <c r="G231" s="2" t="s">
        <v>3815</v>
      </c>
      <c r="H231" s="942">
        <f t="shared" si="25"/>
        <v>-125</v>
      </c>
      <c r="I231" s="847"/>
    </row>
    <row r="232">
      <c r="A232" s="265"/>
      <c r="B232" s="950">
        <f t="shared" si="24"/>
        <v>1750</v>
      </c>
      <c r="F232" s="161">
        <v>1750.0</v>
      </c>
      <c r="G232" s="2" t="s">
        <v>4014</v>
      </c>
      <c r="H232" s="942"/>
      <c r="I232" s="847"/>
    </row>
    <row r="233">
      <c r="A233" s="265"/>
      <c r="B233" s="950">
        <f t="shared" si="24"/>
        <v>921.58</v>
      </c>
      <c r="F233" s="161">
        <v>921.58</v>
      </c>
      <c r="G233" s="2" t="s">
        <v>314</v>
      </c>
      <c r="I233" s="847"/>
    </row>
    <row r="234">
      <c r="A234" s="265"/>
      <c r="B234" s="950">
        <f t="shared" si="24"/>
        <v>5630</v>
      </c>
      <c r="F234" s="161">
        <v>5630.0</v>
      </c>
      <c r="G234" s="2" t="s">
        <v>65</v>
      </c>
      <c r="I234" s="847"/>
    </row>
    <row r="235">
      <c r="A235" s="265"/>
      <c r="B235" s="950">
        <f t="shared" si="24"/>
        <v>170</v>
      </c>
      <c r="F235" s="161">
        <v>170.0</v>
      </c>
      <c r="G235" s="2" t="s">
        <v>4189</v>
      </c>
      <c r="I235" s="847"/>
    </row>
    <row r="236">
      <c r="A236" s="265"/>
      <c r="B236" s="950">
        <f t="shared" si="24"/>
        <v>150</v>
      </c>
      <c r="F236" s="161">
        <v>150.0</v>
      </c>
      <c r="G236" s="2" t="s">
        <v>4190</v>
      </c>
      <c r="I236" s="847"/>
    </row>
    <row r="237">
      <c r="A237" s="265"/>
      <c r="B237" s="950">
        <f t="shared" si="24"/>
        <v>189</v>
      </c>
      <c r="F237" s="161">
        <v>189.0</v>
      </c>
      <c r="G237" s="2" t="s">
        <v>4090</v>
      </c>
      <c r="I237" s="847"/>
    </row>
    <row r="238">
      <c r="A238" s="265"/>
      <c r="B238" s="950">
        <f t="shared" si="24"/>
        <v>402</v>
      </c>
      <c r="F238" s="161">
        <v>402.0</v>
      </c>
      <c r="G238" s="2" t="s">
        <v>3911</v>
      </c>
      <c r="I238" s="847"/>
    </row>
    <row r="239">
      <c r="A239" s="270"/>
      <c r="B239" s="194">
        <f>SUM(B225:B238)</f>
        <v>30767.58</v>
      </c>
      <c r="C239" s="18"/>
      <c r="D239" s="18"/>
      <c r="E239" s="18"/>
      <c r="F239" s="952"/>
      <c r="G239" s="18"/>
      <c r="H239" s="18"/>
      <c r="I239" s="663"/>
    </row>
    <row r="240">
      <c r="A240" s="305">
        <v>43975.0</v>
      </c>
      <c r="B240" s="948" t="str">
        <f t="shared" ref="B240:B248" si="26">F240</f>
        <v/>
      </c>
      <c r="C240" s="242"/>
      <c r="D240" s="242"/>
      <c r="E240" s="242"/>
      <c r="F240" s="949"/>
      <c r="G240" s="244"/>
      <c r="H240" s="244"/>
      <c r="I240" s="662"/>
    </row>
    <row r="241">
      <c r="A241" s="265"/>
      <c r="B241" s="950" t="str">
        <f t="shared" si="26"/>
        <v/>
      </c>
      <c r="F241" s="161"/>
      <c r="I241" s="847"/>
    </row>
    <row r="242">
      <c r="A242" s="265"/>
      <c r="B242" s="950" t="str">
        <f t="shared" si="26"/>
        <v/>
      </c>
      <c r="F242" s="161"/>
      <c r="I242" s="847"/>
    </row>
    <row r="243">
      <c r="A243" s="265"/>
      <c r="B243" s="950" t="str">
        <f t="shared" si="26"/>
        <v/>
      </c>
      <c r="F243" s="161"/>
      <c r="I243" s="847"/>
    </row>
    <row r="244">
      <c r="A244" s="265"/>
      <c r="B244" s="950" t="str">
        <f t="shared" si="26"/>
        <v/>
      </c>
      <c r="F244" s="161"/>
      <c r="I244" s="847"/>
    </row>
    <row r="245">
      <c r="A245" s="265"/>
      <c r="B245" s="950" t="str">
        <f t="shared" si="26"/>
        <v/>
      </c>
      <c r="F245" s="161"/>
      <c r="I245" s="847"/>
    </row>
    <row r="246">
      <c r="A246" s="265"/>
      <c r="B246" s="950" t="str">
        <f t="shared" si="26"/>
        <v/>
      </c>
      <c r="F246" s="161"/>
      <c r="I246" s="847"/>
    </row>
    <row r="247">
      <c r="A247" s="265"/>
      <c r="B247" s="950" t="str">
        <f t="shared" si="26"/>
        <v/>
      </c>
      <c r="F247" s="161"/>
      <c r="I247" s="847"/>
    </row>
    <row r="248">
      <c r="A248" s="265"/>
      <c r="B248" s="950" t="str">
        <f t="shared" si="26"/>
        <v/>
      </c>
      <c r="F248" s="161"/>
      <c r="I248" s="847"/>
    </row>
    <row r="249">
      <c r="A249" s="270"/>
      <c r="B249" s="194">
        <f>SUM(B240:B248)</f>
        <v>0</v>
      </c>
      <c r="C249" s="18"/>
      <c r="D249" s="18"/>
      <c r="E249" s="18"/>
      <c r="F249" s="952"/>
      <c r="G249" s="18"/>
      <c r="H249" s="18"/>
      <c r="I249" s="663"/>
    </row>
    <row r="250">
      <c r="A250" s="305">
        <v>43976.0</v>
      </c>
      <c r="B250" s="948">
        <f t="shared" ref="B250:B258" si="27">F250</f>
        <v>290</v>
      </c>
      <c r="C250" s="242"/>
      <c r="D250" s="242"/>
      <c r="E250" s="242"/>
      <c r="F250" s="949">
        <v>290.0</v>
      </c>
      <c r="G250" s="244" t="s">
        <v>1732</v>
      </c>
      <c r="H250" s="244"/>
      <c r="I250" s="662"/>
    </row>
    <row r="251">
      <c r="A251" s="265"/>
      <c r="B251" s="950">
        <f t="shared" si="27"/>
        <v>325</v>
      </c>
      <c r="F251" s="161">
        <v>325.0</v>
      </c>
      <c r="G251" s="2" t="s">
        <v>3433</v>
      </c>
      <c r="I251" s="847"/>
    </row>
    <row r="252">
      <c r="A252" s="265"/>
      <c r="B252" s="950">
        <f t="shared" si="27"/>
        <v>380</v>
      </c>
      <c r="F252" s="161">
        <v>380.0</v>
      </c>
      <c r="G252" s="2" t="s">
        <v>345</v>
      </c>
      <c r="I252" s="847"/>
    </row>
    <row r="253">
      <c r="A253" s="265"/>
      <c r="B253" s="950">
        <f t="shared" si="27"/>
        <v>150</v>
      </c>
      <c r="F253" s="161">
        <v>150.0</v>
      </c>
      <c r="G253" s="2" t="s">
        <v>228</v>
      </c>
      <c r="I253" s="847"/>
    </row>
    <row r="254">
      <c r="A254" s="265"/>
      <c r="B254" s="950">
        <f t="shared" si="27"/>
        <v>900</v>
      </c>
      <c r="F254" s="161">
        <v>900.0</v>
      </c>
      <c r="G254" s="2" t="s">
        <v>130</v>
      </c>
      <c r="I254" s="847"/>
    </row>
    <row r="255">
      <c r="A255" s="265"/>
      <c r="B255" s="950" t="str">
        <f t="shared" si="27"/>
        <v/>
      </c>
      <c r="F255" s="161"/>
      <c r="I255" s="847"/>
    </row>
    <row r="256">
      <c r="A256" s="265"/>
      <c r="B256" s="950" t="str">
        <f t="shared" si="27"/>
        <v/>
      </c>
      <c r="F256" s="161"/>
      <c r="I256" s="847"/>
    </row>
    <row r="257">
      <c r="A257" s="265"/>
      <c r="B257" s="950" t="str">
        <f t="shared" si="27"/>
        <v/>
      </c>
      <c r="F257" s="161"/>
      <c r="I257" s="847"/>
    </row>
    <row r="258">
      <c r="A258" s="265"/>
      <c r="B258" s="950" t="str">
        <f t="shared" si="27"/>
        <v/>
      </c>
      <c r="F258" s="161"/>
      <c r="I258" s="847"/>
    </row>
    <row r="259">
      <c r="A259" s="270"/>
      <c r="B259" s="194">
        <f>SUM(B250:B258)</f>
        <v>2045</v>
      </c>
      <c r="C259" s="18"/>
      <c r="D259" s="18"/>
      <c r="E259" s="18"/>
      <c r="F259" s="952"/>
      <c r="G259" s="18"/>
      <c r="H259" s="18"/>
      <c r="I259" s="663"/>
    </row>
    <row r="260">
      <c r="A260" s="305">
        <v>43977.0</v>
      </c>
      <c r="B260" s="948">
        <f t="shared" ref="B260:B268" si="28">F260</f>
        <v>510.53</v>
      </c>
      <c r="C260" s="242"/>
      <c r="D260" s="242"/>
      <c r="E260" s="242"/>
      <c r="F260" s="949">
        <v>510.53</v>
      </c>
      <c r="G260" s="244" t="s">
        <v>314</v>
      </c>
      <c r="H260" s="244"/>
      <c r="I260" s="662"/>
    </row>
    <row r="261">
      <c r="A261" s="265"/>
      <c r="B261" s="950">
        <f t="shared" si="28"/>
        <v>402</v>
      </c>
      <c r="F261" s="161">
        <v>402.0</v>
      </c>
      <c r="G261" s="2" t="s">
        <v>3911</v>
      </c>
      <c r="I261" s="847"/>
    </row>
    <row r="262">
      <c r="A262" s="265"/>
      <c r="B262" s="950">
        <f t="shared" si="28"/>
        <v>2000</v>
      </c>
      <c r="F262" s="161">
        <v>2000.0</v>
      </c>
      <c r="G262" s="2" t="s">
        <v>3904</v>
      </c>
      <c r="I262" s="847"/>
    </row>
    <row r="263">
      <c r="A263" s="265"/>
      <c r="B263" s="950">
        <f t="shared" si="28"/>
        <v>130</v>
      </c>
      <c r="F263" s="161">
        <v>130.0</v>
      </c>
      <c r="G263" s="2" t="s">
        <v>4191</v>
      </c>
      <c r="I263" s="847"/>
    </row>
    <row r="264">
      <c r="A264" s="265"/>
      <c r="B264" s="950">
        <f t="shared" si="28"/>
        <v>230</v>
      </c>
      <c r="F264" s="161">
        <v>230.0</v>
      </c>
      <c r="G264" s="2" t="s">
        <v>4192</v>
      </c>
      <c r="I264" s="847"/>
    </row>
    <row r="265">
      <c r="A265" s="265"/>
      <c r="B265" s="950" t="str">
        <f t="shared" si="28"/>
        <v/>
      </c>
      <c r="D265" s="2">
        <v>2178.0</v>
      </c>
      <c r="F265" s="161"/>
      <c r="G265" s="2" t="s">
        <v>4193</v>
      </c>
      <c r="I265" s="847"/>
    </row>
    <row r="266">
      <c r="A266" s="265"/>
      <c r="B266" s="950" t="str">
        <f t="shared" si="28"/>
        <v/>
      </c>
      <c r="D266" s="2">
        <v>6370.0</v>
      </c>
      <c r="F266" s="161"/>
      <c r="G266" s="2" t="s">
        <v>4194</v>
      </c>
      <c r="I266" s="847"/>
    </row>
    <row r="267">
      <c r="A267" s="265"/>
      <c r="B267" s="950" t="str">
        <f t="shared" si="28"/>
        <v/>
      </c>
      <c r="F267" s="161"/>
      <c r="I267" s="847"/>
    </row>
    <row r="268">
      <c r="A268" s="265"/>
      <c r="B268" s="950" t="str">
        <f t="shared" si="28"/>
        <v/>
      </c>
      <c r="F268" s="161"/>
      <c r="I268" s="847"/>
    </row>
    <row r="269">
      <c r="A269" s="270"/>
      <c r="B269" s="194">
        <f>SUM(B260:B268)</f>
        <v>3272.53</v>
      </c>
      <c r="C269" s="18"/>
      <c r="D269" s="18"/>
      <c r="E269" s="18"/>
      <c r="F269" s="952"/>
      <c r="G269" s="18"/>
      <c r="H269" s="18"/>
      <c r="I269" s="663"/>
    </row>
    <row r="270">
      <c r="A270" s="305">
        <v>43978.0</v>
      </c>
      <c r="B270" s="948">
        <f t="shared" ref="B270:B278" si="29">F270</f>
        <v>162</v>
      </c>
      <c r="C270" s="242"/>
      <c r="D270" s="242"/>
      <c r="E270" s="242"/>
      <c r="F270" s="949">
        <v>162.0</v>
      </c>
      <c r="G270" s="244" t="s">
        <v>314</v>
      </c>
      <c r="H270" s="244"/>
      <c r="I270" s="662"/>
    </row>
    <row r="271">
      <c r="A271" s="265"/>
      <c r="B271" s="950" t="str">
        <f t="shared" si="29"/>
        <v/>
      </c>
      <c r="C271" s="2">
        <v>7224.9</v>
      </c>
      <c r="F271" s="161"/>
      <c r="I271" s="847"/>
    </row>
    <row r="272">
      <c r="A272" s="265"/>
      <c r="B272" s="950" t="str">
        <f t="shared" si="29"/>
        <v/>
      </c>
      <c r="D272" s="2">
        <v>9500.0</v>
      </c>
      <c r="F272" s="161"/>
      <c r="G272" s="2" t="s">
        <v>3889</v>
      </c>
      <c r="I272" s="847"/>
    </row>
    <row r="273">
      <c r="A273" s="265"/>
      <c r="B273" s="950">
        <f t="shared" si="29"/>
        <v>391</v>
      </c>
      <c r="F273" s="161">
        <v>391.0</v>
      </c>
      <c r="G273" s="2" t="s">
        <v>3911</v>
      </c>
      <c r="I273" s="847"/>
    </row>
    <row r="274">
      <c r="A274" s="265"/>
      <c r="B274" s="950">
        <f t="shared" si="29"/>
        <v>2300</v>
      </c>
      <c r="F274" s="161">
        <v>2300.0</v>
      </c>
      <c r="G274" s="2" t="s">
        <v>4155</v>
      </c>
      <c r="I274" s="847"/>
    </row>
    <row r="275">
      <c r="A275" s="265"/>
      <c r="B275" s="950">
        <f t="shared" si="29"/>
        <v>5000</v>
      </c>
      <c r="F275" s="161">
        <v>5000.0</v>
      </c>
      <c r="G275" s="2" t="s">
        <v>3717</v>
      </c>
      <c r="I275" s="847"/>
    </row>
    <row r="276">
      <c r="A276" s="265"/>
      <c r="B276" s="950" t="str">
        <f t="shared" si="29"/>
        <v/>
      </c>
      <c r="F276" s="161"/>
      <c r="I276" s="847"/>
    </row>
    <row r="277">
      <c r="A277" s="265"/>
      <c r="B277" s="950" t="str">
        <f t="shared" si="29"/>
        <v/>
      </c>
      <c r="F277" s="161"/>
      <c r="I277" s="847"/>
    </row>
    <row r="278">
      <c r="A278" s="265"/>
      <c r="B278" s="950" t="str">
        <f t="shared" si="29"/>
        <v/>
      </c>
      <c r="F278" s="161"/>
      <c r="I278" s="847"/>
    </row>
    <row r="279">
      <c r="A279" s="270"/>
      <c r="B279" s="194">
        <f>SUM(B270:B278)</f>
        <v>7853</v>
      </c>
      <c r="C279" s="18"/>
      <c r="D279" s="18"/>
      <c r="E279" s="18"/>
      <c r="F279" s="952"/>
      <c r="G279" s="18"/>
      <c r="H279" s="18"/>
      <c r="I279" s="663"/>
    </row>
    <row r="280">
      <c r="A280" s="305">
        <v>43979.0</v>
      </c>
      <c r="B280" s="948" t="str">
        <f t="shared" ref="B280:B288" si="30">F280</f>
        <v/>
      </c>
      <c r="C280" s="244">
        <v>7916.56</v>
      </c>
      <c r="D280" s="242"/>
      <c r="E280" s="242"/>
      <c r="F280" s="949"/>
      <c r="G280" s="244" t="s">
        <v>951</v>
      </c>
      <c r="H280" s="244"/>
      <c r="I280" s="662"/>
    </row>
    <row r="281">
      <c r="A281" s="265"/>
      <c r="B281" s="950">
        <f t="shared" si="30"/>
        <v>280</v>
      </c>
      <c r="F281" s="161">
        <v>280.0</v>
      </c>
      <c r="G281" s="2" t="s">
        <v>4118</v>
      </c>
      <c r="I281" s="847"/>
    </row>
    <row r="282">
      <c r="A282" s="265"/>
      <c r="B282" s="950">
        <f t="shared" si="30"/>
        <v>460</v>
      </c>
      <c r="F282" s="161">
        <v>460.0</v>
      </c>
      <c r="G282" s="2" t="s">
        <v>4085</v>
      </c>
      <c r="I282" s="847"/>
    </row>
    <row r="283">
      <c r="A283" s="265"/>
      <c r="B283" s="950">
        <f t="shared" si="30"/>
        <v>900</v>
      </c>
      <c r="F283" s="161">
        <v>900.0</v>
      </c>
      <c r="G283" s="2" t="s">
        <v>4195</v>
      </c>
      <c r="I283" s="847"/>
    </row>
    <row r="284">
      <c r="A284" s="265"/>
      <c r="B284" s="950">
        <f t="shared" si="30"/>
        <v>1815</v>
      </c>
      <c r="F284" s="161">
        <v>1815.0</v>
      </c>
      <c r="G284" s="2" t="s">
        <v>4196</v>
      </c>
      <c r="I284" s="847"/>
    </row>
    <row r="285">
      <c r="A285" s="265"/>
      <c r="B285" s="950">
        <f t="shared" si="30"/>
        <v>660</v>
      </c>
      <c r="F285" s="161">
        <v>660.0</v>
      </c>
      <c r="G285" s="2" t="s">
        <v>3899</v>
      </c>
      <c r="I285" s="847"/>
    </row>
    <row r="286">
      <c r="A286" s="265"/>
      <c r="B286" s="950">
        <f t="shared" si="30"/>
        <v>581.89</v>
      </c>
      <c r="F286" s="161">
        <v>581.89</v>
      </c>
      <c r="G286" s="2" t="s">
        <v>314</v>
      </c>
      <c r="I286" s="847"/>
    </row>
    <row r="287">
      <c r="A287" s="265"/>
      <c r="B287" s="950">
        <f t="shared" si="30"/>
        <v>150</v>
      </c>
      <c r="F287" s="161">
        <v>150.0</v>
      </c>
      <c r="G287" s="2" t="s">
        <v>4197</v>
      </c>
      <c r="I287" s="847"/>
    </row>
    <row r="288">
      <c r="A288" s="265"/>
      <c r="B288" s="950" t="str">
        <f t="shared" si="30"/>
        <v/>
      </c>
      <c r="F288" s="161"/>
      <c r="I288" s="847"/>
    </row>
    <row r="289">
      <c r="A289" s="270"/>
      <c r="B289" s="194">
        <f>SUM(B280:B288)</f>
        <v>4846.89</v>
      </c>
      <c r="C289" s="18"/>
      <c r="D289" s="18"/>
      <c r="E289" s="18"/>
      <c r="F289" s="952"/>
      <c r="G289" s="18"/>
      <c r="H289" s="18"/>
      <c r="I289" s="663"/>
    </row>
    <row r="290">
      <c r="A290" s="305">
        <v>43980.0</v>
      </c>
      <c r="B290" s="948">
        <f t="shared" ref="B290:B298" si="31">F290</f>
        <v>700</v>
      </c>
      <c r="C290" s="242"/>
      <c r="D290" s="242"/>
      <c r="E290" s="242"/>
      <c r="F290" s="949">
        <v>700.0</v>
      </c>
      <c r="G290" s="244" t="s">
        <v>170</v>
      </c>
      <c r="H290" s="244"/>
      <c r="I290" s="662"/>
    </row>
    <row r="291">
      <c r="A291" s="265"/>
      <c r="B291" s="950" t="str">
        <f t="shared" si="31"/>
        <v/>
      </c>
      <c r="D291" s="2">
        <v>1200.0</v>
      </c>
      <c r="F291" s="161"/>
      <c r="G291" s="2" t="s">
        <v>4198</v>
      </c>
      <c r="I291" s="847"/>
    </row>
    <row r="292">
      <c r="A292" s="265"/>
      <c r="B292" s="950">
        <f t="shared" si="31"/>
        <v>603</v>
      </c>
      <c r="F292" s="161">
        <v>603.0</v>
      </c>
      <c r="G292" s="2" t="s">
        <v>329</v>
      </c>
      <c r="I292" s="847"/>
    </row>
    <row r="293">
      <c r="A293" s="265"/>
      <c r="B293" s="950">
        <f t="shared" si="31"/>
        <v>4580</v>
      </c>
      <c r="F293" s="161">
        <v>4580.0</v>
      </c>
      <c r="G293" s="2" t="s">
        <v>114</v>
      </c>
      <c r="I293" s="847"/>
    </row>
    <row r="294">
      <c r="A294" s="265"/>
      <c r="B294" s="950">
        <f t="shared" si="31"/>
        <v>1580.5</v>
      </c>
      <c r="F294" s="161">
        <v>1580.5</v>
      </c>
      <c r="G294" s="2" t="s">
        <v>708</v>
      </c>
      <c r="I294" s="847"/>
    </row>
    <row r="295">
      <c r="A295" s="265"/>
      <c r="B295" s="950">
        <f t="shared" si="31"/>
        <v>197</v>
      </c>
      <c r="F295" s="161">
        <v>197.0</v>
      </c>
      <c r="G295" s="2" t="s">
        <v>708</v>
      </c>
      <c r="I295" s="847"/>
    </row>
    <row r="296">
      <c r="A296" s="265"/>
      <c r="B296" s="950">
        <f t="shared" si="31"/>
        <v>2066</v>
      </c>
      <c r="F296" s="161">
        <v>2066.0</v>
      </c>
      <c r="G296" s="2" t="s">
        <v>4199</v>
      </c>
      <c r="I296" s="847"/>
    </row>
    <row r="297">
      <c r="A297" s="265"/>
      <c r="B297" s="950">
        <f t="shared" si="31"/>
        <v>574</v>
      </c>
      <c r="F297" s="161">
        <v>574.0</v>
      </c>
      <c r="G297" s="2" t="s">
        <v>345</v>
      </c>
      <c r="I297" s="847"/>
    </row>
    <row r="298">
      <c r="A298" s="265"/>
      <c r="B298" s="950">
        <f t="shared" si="31"/>
        <v>500</v>
      </c>
      <c r="F298" s="161">
        <v>500.0</v>
      </c>
      <c r="G298" s="2" t="s">
        <v>346</v>
      </c>
      <c r="I298" s="847"/>
    </row>
    <row r="299">
      <c r="A299" s="265"/>
      <c r="B299" s="950"/>
      <c r="D299" s="2">
        <v>3683.12</v>
      </c>
      <c r="F299" s="161"/>
      <c r="G299" s="2" t="s">
        <v>2819</v>
      </c>
      <c r="I299" s="847"/>
    </row>
    <row r="300">
      <c r="A300" s="265"/>
      <c r="B300" s="950"/>
      <c r="D300" s="2">
        <v>1578.84</v>
      </c>
      <c r="F300" s="161"/>
      <c r="G300" s="2" t="s">
        <v>2284</v>
      </c>
      <c r="I300" s="847"/>
    </row>
    <row r="301">
      <c r="A301" s="265"/>
      <c r="B301" s="950"/>
      <c r="D301" s="2">
        <v>1870.22</v>
      </c>
      <c r="F301" s="161"/>
      <c r="G301" s="2" t="s">
        <v>2284</v>
      </c>
      <c r="I301" s="847"/>
    </row>
    <row r="302">
      <c r="A302" s="265"/>
      <c r="B302" s="950">
        <f>F302</f>
        <v>4000</v>
      </c>
      <c r="F302" s="161">
        <v>4000.0</v>
      </c>
      <c r="G302" s="2" t="s">
        <v>4152</v>
      </c>
      <c r="H302" s="942"/>
      <c r="I302" s="847"/>
    </row>
    <row r="303">
      <c r="A303" s="270"/>
      <c r="B303" s="194">
        <f>SUM(B290:B298)</f>
        <v>10800.5</v>
      </c>
      <c r="C303" s="18"/>
      <c r="D303" s="18"/>
      <c r="E303" s="18"/>
      <c r="F303" s="952"/>
      <c r="G303" s="18"/>
      <c r="H303" s="18"/>
      <c r="I303" s="663"/>
    </row>
    <row r="304">
      <c r="A304" s="305">
        <v>43981.0</v>
      </c>
      <c r="B304" s="948" t="str">
        <f t="shared" ref="B304:B312" si="32">F304</f>
        <v/>
      </c>
      <c r="C304" s="242"/>
      <c r="D304" s="244">
        <v>2639.16</v>
      </c>
      <c r="E304" s="242"/>
      <c r="F304" s="949"/>
      <c r="G304" s="244" t="s">
        <v>4200</v>
      </c>
      <c r="H304" s="244"/>
      <c r="I304" s="662"/>
    </row>
    <row r="305">
      <c r="A305" s="265"/>
      <c r="B305" s="950" t="str">
        <f t="shared" si="32"/>
        <v/>
      </c>
      <c r="E305" s="2">
        <v>5800.0</v>
      </c>
      <c r="F305" s="161"/>
      <c r="G305" s="2" t="s">
        <v>3847</v>
      </c>
      <c r="H305" s="84">
        <v>16875.0</v>
      </c>
      <c r="I305" s="847"/>
    </row>
    <row r="306">
      <c r="A306" s="265"/>
      <c r="B306" s="950">
        <f t="shared" si="32"/>
        <v>8500</v>
      </c>
      <c r="E306" s="975"/>
      <c r="F306" s="976">
        <v>8500.0</v>
      </c>
      <c r="G306" s="290" t="s">
        <v>3815</v>
      </c>
      <c r="H306" s="942"/>
      <c r="I306" s="847"/>
    </row>
    <row r="307">
      <c r="A307" s="265"/>
      <c r="B307" s="950">
        <f t="shared" si="32"/>
        <v>5750</v>
      </c>
      <c r="F307" s="161">
        <v>5750.0</v>
      </c>
      <c r="G307" s="2" t="s">
        <v>4166</v>
      </c>
      <c r="H307" s="942"/>
      <c r="I307" s="847"/>
    </row>
    <row r="308">
      <c r="A308" s="265"/>
      <c r="B308" s="950">
        <f t="shared" si="32"/>
        <v>95</v>
      </c>
      <c r="F308" s="161">
        <v>95.0</v>
      </c>
      <c r="G308" s="2" t="s">
        <v>4201</v>
      </c>
      <c r="I308" s="847"/>
    </row>
    <row r="309">
      <c r="A309" s="265"/>
      <c r="B309" s="950" t="str">
        <f t="shared" si="32"/>
        <v/>
      </c>
      <c r="F309" s="161"/>
      <c r="I309" s="847"/>
    </row>
    <row r="310">
      <c r="A310" s="265"/>
      <c r="B310" s="950" t="str">
        <f t="shared" si="32"/>
        <v/>
      </c>
      <c r="F310" s="161"/>
      <c r="I310" s="847"/>
    </row>
    <row r="311">
      <c r="A311" s="265"/>
      <c r="B311" s="950" t="str">
        <f t="shared" si="32"/>
        <v/>
      </c>
      <c r="F311" s="161"/>
      <c r="I311" s="847"/>
    </row>
    <row r="312">
      <c r="A312" s="265"/>
      <c r="B312" s="950" t="str">
        <f t="shared" si="32"/>
        <v/>
      </c>
      <c r="F312" s="161"/>
      <c r="I312" s="847"/>
    </row>
    <row r="313">
      <c r="A313" s="270"/>
      <c r="B313" s="194">
        <f>SUM(B304:B312)</f>
        <v>14345</v>
      </c>
      <c r="C313" s="18"/>
      <c r="D313" s="18"/>
      <c r="E313" s="18"/>
      <c r="F313" s="952"/>
      <c r="G313" s="18"/>
      <c r="H313" s="18"/>
      <c r="I313" s="663"/>
    </row>
    <row r="314">
      <c r="A314" s="305">
        <v>43982.0</v>
      </c>
      <c r="B314" s="948" t="str">
        <f t="shared" ref="B314:B322" si="33">F314</f>
        <v/>
      </c>
      <c r="C314" s="242"/>
      <c r="D314" s="242"/>
      <c r="E314" s="244"/>
      <c r="F314" s="949"/>
      <c r="H314" s="244"/>
      <c r="I314" s="662"/>
    </row>
    <row r="315">
      <c r="A315" s="265"/>
      <c r="B315" s="950">
        <f t="shared" si="33"/>
        <v>8500</v>
      </c>
      <c r="F315" s="161">
        <v>8500.0</v>
      </c>
      <c r="G315" s="2" t="s">
        <v>4165</v>
      </c>
      <c r="H315" s="942"/>
      <c r="I315" s="847"/>
    </row>
    <row r="316">
      <c r="A316" s="265"/>
      <c r="B316" s="950">
        <f t="shared" si="33"/>
        <v>3250</v>
      </c>
      <c r="F316" s="161">
        <v>3250.0</v>
      </c>
      <c r="G316" s="2" t="s">
        <v>3810</v>
      </c>
      <c r="H316" s="942"/>
      <c r="I316" s="847"/>
    </row>
    <row r="317">
      <c r="A317" s="265"/>
      <c r="B317" s="950">
        <f t="shared" si="33"/>
        <v>6050</v>
      </c>
      <c r="F317" s="161">
        <v>6050.0</v>
      </c>
      <c r="G317" s="2" t="s">
        <v>3811</v>
      </c>
      <c r="H317" s="942"/>
      <c r="I317" s="847"/>
    </row>
    <row r="318">
      <c r="A318" s="265"/>
      <c r="B318" s="950">
        <f t="shared" si="33"/>
        <v>5800</v>
      </c>
      <c r="F318" s="161">
        <v>5800.0</v>
      </c>
      <c r="G318" s="2" t="s">
        <v>3848</v>
      </c>
      <c r="H318" s="942"/>
      <c r="I318" s="847"/>
    </row>
    <row r="319">
      <c r="A319" s="265"/>
      <c r="B319" s="950">
        <f t="shared" si="33"/>
        <v>480</v>
      </c>
      <c r="F319" s="161">
        <v>480.0</v>
      </c>
      <c r="G319" s="2" t="s">
        <v>329</v>
      </c>
      <c r="I319" s="847"/>
    </row>
    <row r="320">
      <c r="A320" s="265"/>
      <c r="B320" s="950">
        <f t="shared" si="33"/>
        <v>868</v>
      </c>
      <c r="F320" s="161">
        <v>868.0</v>
      </c>
      <c r="G320" s="2" t="s">
        <v>314</v>
      </c>
      <c r="I320" s="847"/>
    </row>
    <row r="321">
      <c r="A321" s="265"/>
      <c r="B321" s="950">
        <f t="shared" si="33"/>
        <v>4000</v>
      </c>
      <c r="F321" s="161">
        <v>4000.0</v>
      </c>
      <c r="G321" s="2" t="s">
        <v>3851</v>
      </c>
      <c r="I321" s="847"/>
    </row>
    <row r="322">
      <c r="A322" s="265"/>
      <c r="B322" s="950" t="str">
        <f t="shared" si="33"/>
        <v/>
      </c>
      <c r="F322" s="161"/>
      <c r="I322" s="847"/>
    </row>
    <row r="323">
      <c r="A323" s="270"/>
      <c r="B323" s="194">
        <f>SUM(B314:B322)</f>
        <v>28948</v>
      </c>
      <c r="C323" s="18"/>
      <c r="D323" s="18"/>
      <c r="E323" s="18"/>
      <c r="F323" s="952"/>
      <c r="G323" s="18"/>
      <c r="H323" s="18"/>
      <c r="I323" s="663"/>
    </row>
  </sheetData>
  <mergeCells count="32">
    <mergeCell ref="G1:H1"/>
    <mergeCell ref="A2:A11"/>
    <mergeCell ref="A12:A21"/>
    <mergeCell ref="A22:A31"/>
    <mergeCell ref="A32:A41"/>
    <mergeCell ref="A42:A51"/>
    <mergeCell ref="A52:A61"/>
    <mergeCell ref="A62:A71"/>
    <mergeCell ref="A72:A81"/>
    <mergeCell ref="A82:A92"/>
    <mergeCell ref="A93:A102"/>
    <mergeCell ref="A103:A112"/>
    <mergeCell ref="A113:A122"/>
    <mergeCell ref="A123:A132"/>
    <mergeCell ref="A133:A142"/>
    <mergeCell ref="A143:A152"/>
    <mergeCell ref="A153:A162"/>
    <mergeCell ref="A163:A174"/>
    <mergeCell ref="A175:A184"/>
    <mergeCell ref="A185:A194"/>
    <mergeCell ref="A195:A204"/>
    <mergeCell ref="A280:A289"/>
    <mergeCell ref="A290:A303"/>
    <mergeCell ref="A304:A313"/>
    <mergeCell ref="A314:A323"/>
    <mergeCell ref="A205:A214"/>
    <mergeCell ref="A215:A224"/>
    <mergeCell ref="A225:A239"/>
    <mergeCell ref="A240:A249"/>
    <mergeCell ref="A250:A259"/>
    <mergeCell ref="A260:A269"/>
    <mergeCell ref="A270:A279"/>
  </mergeCells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</cols>
  <sheetData>
    <row r="1" ht="28.5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305">
        <v>43922.0</v>
      </c>
      <c r="B2" s="948">
        <f t="shared" ref="B2:B10" si="1">F2</f>
        <v>700</v>
      </c>
      <c r="C2" s="242"/>
      <c r="D2" s="242"/>
      <c r="E2" s="242"/>
      <c r="F2" s="949">
        <v>700.0</v>
      </c>
      <c r="G2" s="244" t="s">
        <v>4202</v>
      </c>
      <c r="H2" s="244"/>
      <c r="I2" s="662"/>
    </row>
    <row r="3">
      <c r="A3" s="265"/>
      <c r="B3" s="950" t="str">
        <f t="shared" si="1"/>
        <v/>
      </c>
      <c r="F3" s="161"/>
      <c r="I3" s="847"/>
    </row>
    <row r="4">
      <c r="A4" s="265"/>
      <c r="B4" s="950" t="str">
        <f t="shared" si="1"/>
        <v/>
      </c>
      <c r="F4" s="161"/>
      <c r="I4" s="847"/>
    </row>
    <row r="5">
      <c r="A5" s="265"/>
      <c r="B5" s="950" t="str">
        <f t="shared" si="1"/>
        <v/>
      </c>
      <c r="F5" s="161"/>
      <c r="I5" s="847"/>
    </row>
    <row r="6">
      <c r="A6" s="265"/>
      <c r="B6" s="950" t="str">
        <f t="shared" si="1"/>
        <v/>
      </c>
      <c r="F6" s="161"/>
      <c r="I6" s="847"/>
    </row>
    <row r="7">
      <c r="A7" s="265"/>
      <c r="B7" s="950" t="str">
        <f t="shared" si="1"/>
        <v/>
      </c>
      <c r="F7" s="161"/>
      <c r="I7" s="847"/>
    </row>
    <row r="8">
      <c r="A8" s="265"/>
      <c r="B8" s="950" t="str">
        <f t="shared" si="1"/>
        <v/>
      </c>
      <c r="F8" s="161"/>
      <c r="I8" s="847"/>
    </row>
    <row r="9">
      <c r="A9" s="265"/>
      <c r="B9" s="950" t="str">
        <f t="shared" si="1"/>
        <v/>
      </c>
      <c r="F9" s="161"/>
      <c r="I9" s="847"/>
    </row>
    <row r="10">
      <c r="A10" s="265"/>
      <c r="B10" s="950" t="str">
        <f t="shared" si="1"/>
        <v/>
      </c>
      <c r="F10" s="161"/>
      <c r="I10" s="847"/>
    </row>
    <row r="11">
      <c r="A11" s="270"/>
      <c r="B11" s="194">
        <f>SUM(B2:B10)</f>
        <v>700</v>
      </c>
      <c r="C11" s="18"/>
      <c r="D11" s="18"/>
      <c r="E11" s="18"/>
      <c r="F11" s="952"/>
      <c r="G11" s="18"/>
      <c r="H11" s="18"/>
      <c r="I11" s="663"/>
    </row>
    <row r="12">
      <c r="A12" s="305">
        <v>43923.0</v>
      </c>
      <c r="B12" s="948">
        <f t="shared" ref="B12:B20" si="2">F12</f>
        <v>1058</v>
      </c>
      <c r="C12" s="242"/>
      <c r="D12" s="242"/>
      <c r="E12" s="242"/>
      <c r="F12" s="949">
        <v>1058.0</v>
      </c>
      <c r="G12" s="244" t="s">
        <v>314</v>
      </c>
      <c r="H12" s="244"/>
      <c r="I12" s="662"/>
    </row>
    <row r="13">
      <c r="A13" s="265"/>
      <c r="B13" s="950">
        <f t="shared" si="2"/>
        <v>315</v>
      </c>
      <c r="F13" s="161">
        <v>315.0</v>
      </c>
      <c r="G13" s="2" t="s">
        <v>3433</v>
      </c>
      <c r="I13" s="847"/>
    </row>
    <row r="14">
      <c r="A14" s="265"/>
      <c r="B14" s="950">
        <f t="shared" si="2"/>
        <v>3337</v>
      </c>
      <c r="F14" s="161">
        <v>3337.0</v>
      </c>
      <c r="G14" s="2" t="s">
        <v>65</v>
      </c>
      <c r="I14" s="847"/>
    </row>
    <row r="15">
      <c r="A15" s="265"/>
      <c r="B15" s="950">
        <f t="shared" si="2"/>
        <v>2200</v>
      </c>
      <c r="F15" s="161">
        <v>2200.0</v>
      </c>
      <c r="G15" s="2" t="s">
        <v>64</v>
      </c>
      <c r="I15" s="847"/>
    </row>
    <row r="16">
      <c r="A16" s="265"/>
      <c r="B16" s="950" t="str">
        <f t="shared" si="2"/>
        <v/>
      </c>
      <c r="F16" s="161"/>
      <c r="I16" s="847"/>
    </row>
    <row r="17">
      <c r="A17" s="265"/>
      <c r="B17" s="950" t="str">
        <f t="shared" si="2"/>
        <v/>
      </c>
      <c r="F17" s="161"/>
      <c r="I17" s="847"/>
    </row>
    <row r="18">
      <c r="A18" s="265"/>
      <c r="B18" s="950" t="str">
        <f t="shared" si="2"/>
        <v/>
      </c>
      <c r="F18" s="161"/>
      <c r="I18" s="847"/>
    </row>
    <row r="19">
      <c r="A19" s="265"/>
      <c r="B19" s="950" t="str">
        <f t="shared" si="2"/>
        <v/>
      </c>
      <c r="F19" s="161"/>
      <c r="I19" s="847"/>
    </row>
    <row r="20">
      <c r="A20" s="265"/>
      <c r="B20" s="950" t="str">
        <f t="shared" si="2"/>
        <v/>
      </c>
      <c r="F20" s="161"/>
      <c r="I20" s="847"/>
    </row>
    <row r="21">
      <c r="A21" s="270"/>
      <c r="B21" s="194">
        <f>SUM(B12:B20)</f>
        <v>6910</v>
      </c>
      <c r="C21" s="18"/>
      <c r="D21" s="18"/>
      <c r="E21" s="18"/>
      <c r="F21" s="952"/>
      <c r="G21" s="18"/>
      <c r="H21" s="18"/>
      <c r="I21" s="663"/>
    </row>
    <row r="22">
      <c r="A22" s="305">
        <v>43924.0</v>
      </c>
      <c r="B22" s="948">
        <f t="shared" ref="B22:B30" si="3">F22</f>
        <v>390</v>
      </c>
      <c r="C22" s="242"/>
      <c r="D22" s="242"/>
      <c r="E22" s="242"/>
      <c r="F22" s="949">
        <v>390.0</v>
      </c>
      <c r="G22" s="244" t="s">
        <v>4203</v>
      </c>
      <c r="H22" s="244"/>
      <c r="I22" s="662"/>
    </row>
    <row r="23">
      <c r="A23" s="265"/>
      <c r="B23" s="950">
        <f t="shared" si="3"/>
        <v>7250</v>
      </c>
      <c r="F23" s="161">
        <v>7250.0</v>
      </c>
      <c r="G23" s="2" t="s">
        <v>4152</v>
      </c>
      <c r="H23" s="942"/>
      <c r="I23" s="847"/>
    </row>
    <row r="24">
      <c r="A24" s="265"/>
      <c r="B24" s="950">
        <f t="shared" si="3"/>
        <v>5800</v>
      </c>
      <c r="F24" s="161">
        <v>5800.0</v>
      </c>
      <c r="G24" s="2" t="s">
        <v>4063</v>
      </c>
      <c r="H24" s="942"/>
      <c r="I24" s="847"/>
    </row>
    <row r="25">
      <c r="A25" s="265"/>
      <c r="B25" s="950">
        <f t="shared" si="3"/>
        <v>8500</v>
      </c>
      <c r="F25" s="161">
        <v>8500.0</v>
      </c>
      <c r="G25" s="2" t="s">
        <v>4064</v>
      </c>
      <c r="H25" s="942"/>
      <c r="I25" s="847"/>
    </row>
    <row r="26">
      <c r="A26" s="265"/>
      <c r="B26" s="950" t="str">
        <f t="shared" si="3"/>
        <v/>
      </c>
      <c r="F26" s="161"/>
      <c r="I26" s="847"/>
    </row>
    <row r="27">
      <c r="A27" s="265"/>
      <c r="B27" s="950" t="str">
        <f t="shared" si="3"/>
        <v/>
      </c>
      <c r="F27" s="161"/>
      <c r="I27" s="847"/>
    </row>
    <row r="28">
      <c r="A28" s="265"/>
      <c r="B28" s="950" t="str">
        <f t="shared" si="3"/>
        <v/>
      </c>
      <c r="F28" s="161"/>
      <c r="I28" s="847"/>
    </row>
    <row r="29">
      <c r="A29" s="265"/>
      <c r="B29" s="950" t="str">
        <f t="shared" si="3"/>
        <v/>
      </c>
      <c r="F29" s="161"/>
      <c r="I29" s="847"/>
    </row>
    <row r="30">
      <c r="A30" s="265"/>
      <c r="B30" s="950" t="str">
        <f t="shared" si="3"/>
        <v/>
      </c>
      <c r="F30" s="161"/>
      <c r="I30" s="847"/>
    </row>
    <row r="31">
      <c r="A31" s="270"/>
      <c r="B31" s="194">
        <f>SUM(B22:B30)</f>
        <v>21940</v>
      </c>
      <c r="C31" s="18"/>
      <c r="D31" s="18"/>
      <c r="E31" s="18"/>
      <c r="F31" s="952"/>
      <c r="G31" s="18"/>
      <c r="H31" s="18"/>
      <c r="I31" s="663"/>
    </row>
    <row r="32">
      <c r="A32" s="305">
        <v>43925.0</v>
      </c>
      <c r="B32" s="948">
        <f t="shared" ref="B32:B40" si="4">F32</f>
        <v>331</v>
      </c>
      <c r="C32" s="242"/>
      <c r="D32" s="242"/>
      <c r="E32" s="242"/>
      <c r="F32" s="949">
        <v>331.0</v>
      </c>
      <c r="G32" s="244" t="s">
        <v>3212</v>
      </c>
      <c r="H32" s="244"/>
      <c r="I32" s="662"/>
    </row>
    <row r="33">
      <c r="A33" s="265"/>
      <c r="B33" s="950">
        <f t="shared" si="4"/>
        <v>6050</v>
      </c>
      <c r="F33" s="161">
        <v>6050.0</v>
      </c>
      <c r="G33" s="2" t="s">
        <v>4062</v>
      </c>
      <c r="H33" s="942"/>
      <c r="I33" s="847"/>
    </row>
    <row r="34">
      <c r="A34" s="265"/>
      <c r="B34" s="950">
        <f t="shared" si="4"/>
        <v>5750</v>
      </c>
      <c r="F34" s="161">
        <v>5750.0</v>
      </c>
      <c r="G34" s="2" t="s">
        <v>4061</v>
      </c>
      <c r="H34" s="942"/>
      <c r="I34" s="847"/>
    </row>
    <row r="35">
      <c r="A35" s="265"/>
      <c r="B35" s="950">
        <f t="shared" si="4"/>
        <v>8500</v>
      </c>
      <c r="F35" s="161">
        <v>8500.0</v>
      </c>
      <c r="G35" s="2" t="s">
        <v>4154</v>
      </c>
      <c r="H35" s="942"/>
      <c r="I35" s="847"/>
    </row>
    <row r="36">
      <c r="A36" s="265"/>
      <c r="B36" s="950" t="str">
        <f t="shared" si="4"/>
        <v/>
      </c>
      <c r="D36" s="2">
        <v>5800.0</v>
      </c>
      <c r="F36" s="161"/>
      <c r="G36" s="2" t="s">
        <v>4153</v>
      </c>
      <c r="H36" s="942"/>
      <c r="I36" s="847"/>
    </row>
    <row r="37">
      <c r="A37" s="265"/>
      <c r="B37" s="950" t="str">
        <f t="shared" si="4"/>
        <v/>
      </c>
      <c r="F37" s="161"/>
      <c r="I37" s="847"/>
    </row>
    <row r="38">
      <c r="A38" s="265"/>
      <c r="B38" s="950" t="str">
        <f t="shared" si="4"/>
        <v/>
      </c>
      <c r="F38" s="161"/>
      <c r="I38" s="847"/>
    </row>
    <row r="39">
      <c r="A39" s="265"/>
      <c r="B39" s="950" t="str">
        <f t="shared" si="4"/>
        <v/>
      </c>
      <c r="F39" s="161"/>
      <c r="I39" s="847"/>
    </row>
    <row r="40">
      <c r="A40" s="265"/>
      <c r="B40" s="950" t="str">
        <f t="shared" si="4"/>
        <v/>
      </c>
      <c r="F40" s="161"/>
      <c r="I40" s="847"/>
    </row>
    <row r="41">
      <c r="A41" s="270"/>
      <c r="B41" s="194">
        <f>SUM(B32:B40)</f>
        <v>20631</v>
      </c>
      <c r="C41" s="18"/>
      <c r="D41" s="18"/>
      <c r="E41" s="18"/>
      <c r="F41" s="952"/>
      <c r="G41" s="18"/>
      <c r="H41" s="18"/>
      <c r="I41" s="663"/>
    </row>
    <row r="42">
      <c r="A42" s="305">
        <v>43926.0</v>
      </c>
      <c r="B42" s="948" t="str">
        <f t="shared" ref="B42:B50" si="5">F42</f>
        <v/>
      </c>
      <c r="C42" s="242"/>
      <c r="D42" s="242"/>
      <c r="E42" s="242"/>
      <c r="F42" s="949"/>
      <c r="G42" s="242"/>
      <c r="H42" s="244"/>
      <c r="I42" s="662"/>
    </row>
    <row r="43">
      <c r="A43" s="265"/>
      <c r="B43" s="950" t="str">
        <f t="shared" si="5"/>
        <v/>
      </c>
      <c r="F43" s="161"/>
      <c r="I43" s="847"/>
    </row>
    <row r="44">
      <c r="A44" s="265"/>
      <c r="B44" s="950" t="str">
        <f t="shared" si="5"/>
        <v/>
      </c>
      <c r="F44" s="161"/>
      <c r="I44" s="847"/>
    </row>
    <row r="45">
      <c r="A45" s="265"/>
      <c r="B45" s="950" t="str">
        <f t="shared" si="5"/>
        <v/>
      </c>
      <c r="F45" s="161"/>
      <c r="I45" s="847"/>
    </row>
    <row r="46">
      <c r="A46" s="265"/>
      <c r="B46" s="950" t="str">
        <f t="shared" si="5"/>
        <v/>
      </c>
      <c r="F46" s="161"/>
      <c r="I46" s="847"/>
    </row>
    <row r="47">
      <c r="A47" s="265"/>
      <c r="B47" s="950" t="str">
        <f t="shared" si="5"/>
        <v/>
      </c>
      <c r="F47" s="161"/>
      <c r="I47" s="847"/>
    </row>
    <row r="48">
      <c r="A48" s="265"/>
      <c r="B48" s="950" t="str">
        <f t="shared" si="5"/>
        <v/>
      </c>
      <c r="F48" s="161"/>
      <c r="I48" s="847"/>
    </row>
    <row r="49">
      <c r="A49" s="265"/>
      <c r="B49" s="950" t="str">
        <f t="shared" si="5"/>
        <v/>
      </c>
      <c r="F49" s="161"/>
      <c r="I49" s="847"/>
    </row>
    <row r="50">
      <c r="A50" s="265"/>
      <c r="B50" s="950" t="str">
        <f t="shared" si="5"/>
        <v/>
      </c>
      <c r="F50" s="161"/>
      <c r="I50" s="847"/>
    </row>
    <row r="51">
      <c r="A51" s="270"/>
      <c r="B51" s="194">
        <f>SUM(B42:B50)</f>
        <v>0</v>
      </c>
      <c r="C51" s="18"/>
      <c r="D51" s="18"/>
      <c r="E51" s="18"/>
      <c r="F51" s="952"/>
      <c r="G51" s="18"/>
      <c r="H51" s="18"/>
      <c r="I51" s="663"/>
    </row>
    <row r="52">
      <c r="A52" s="305">
        <v>43927.0</v>
      </c>
      <c r="B52" s="948" t="str">
        <f t="shared" ref="B52:B60" si="6">F52</f>
        <v/>
      </c>
      <c r="C52" s="242"/>
      <c r="D52" s="242"/>
      <c r="E52" s="242"/>
      <c r="F52" s="949"/>
      <c r="G52" s="244"/>
      <c r="H52" s="244"/>
      <c r="I52" s="662"/>
    </row>
    <row r="53">
      <c r="A53" s="265"/>
      <c r="B53" s="950" t="str">
        <f t="shared" si="6"/>
        <v/>
      </c>
      <c r="F53" s="161"/>
      <c r="I53" s="847"/>
    </row>
    <row r="54">
      <c r="A54" s="265"/>
      <c r="B54" s="950" t="str">
        <f t="shared" si="6"/>
        <v/>
      </c>
      <c r="F54" s="161"/>
      <c r="I54" s="847"/>
    </row>
    <row r="55">
      <c r="A55" s="265"/>
      <c r="B55" s="950" t="str">
        <f t="shared" si="6"/>
        <v/>
      </c>
      <c r="F55" s="161"/>
      <c r="I55" s="847"/>
    </row>
    <row r="56">
      <c r="A56" s="265"/>
      <c r="B56" s="950" t="str">
        <f t="shared" si="6"/>
        <v/>
      </c>
      <c r="F56" s="161"/>
      <c r="I56" s="847"/>
    </row>
    <row r="57">
      <c r="A57" s="265"/>
      <c r="B57" s="950" t="str">
        <f t="shared" si="6"/>
        <v/>
      </c>
      <c r="F57" s="161"/>
      <c r="I57" s="847"/>
    </row>
    <row r="58">
      <c r="A58" s="265"/>
      <c r="B58" s="950" t="str">
        <f t="shared" si="6"/>
        <v/>
      </c>
      <c r="F58" s="161"/>
      <c r="I58" s="847"/>
    </row>
    <row r="59">
      <c r="A59" s="265"/>
      <c r="B59" s="950" t="str">
        <f t="shared" si="6"/>
        <v/>
      </c>
      <c r="F59" s="161"/>
      <c r="I59" s="847"/>
    </row>
    <row r="60">
      <c r="A60" s="265"/>
      <c r="B60" s="950" t="str">
        <f t="shared" si="6"/>
        <v/>
      </c>
      <c r="F60" s="161"/>
      <c r="I60" s="847"/>
    </row>
    <row r="61">
      <c r="A61" s="270"/>
      <c r="B61" s="194">
        <f>SUM(B52:B60)</f>
        <v>0</v>
      </c>
      <c r="C61" s="18"/>
      <c r="D61" s="18"/>
      <c r="E61" s="18"/>
      <c r="F61" s="952"/>
      <c r="G61" s="18"/>
      <c r="H61" s="18"/>
      <c r="I61" s="663"/>
    </row>
    <row r="62">
      <c r="A62" s="305">
        <v>43928.0</v>
      </c>
      <c r="B62" s="948">
        <f t="shared" ref="B62:B70" si="7">F62</f>
        <v>161</v>
      </c>
      <c r="C62" s="242"/>
      <c r="D62" s="242"/>
      <c r="E62" s="242"/>
      <c r="F62" s="949">
        <v>161.0</v>
      </c>
      <c r="G62" s="244" t="s">
        <v>345</v>
      </c>
      <c r="H62" s="244"/>
      <c r="I62" s="662"/>
    </row>
    <row r="63">
      <c r="A63" s="265"/>
      <c r="B63" s="950">
        <f t="shared" si="7"/>
        <v>725</v>
      </c>
      <c r="F63" s="161">
        <v>725.0</v>
      </c>
      <c r="G63" s="2" t="s">
        <v>314</v>
      </c>
      <c r="I63" s="847"/>
    </row>
    <row r="64">
      <c r="A64" s="265"/>
      <c r="B64" s="950">
        <f t="shared" si="7"/>
        <v>1543</v>
      </c>
      <c r="F64" s="161">
        <v>1543.0</v>
      </c>
      <c r="G64" s="2" t="s">
        <v>2993</v>
      </c>
      <c r="I64" s="847"/>
    </row>
    <row r="65">
      <c r="A65" s="265"/>
      <c r="B65" s="950" t="str">
        <f t="shared" si="7"/>
        <v/>
      </c>
      <c r="F65" s="161"/>
      <c r="I65" s="847"/>
    </row>
    <row r="66">
      <c r="A66" s="265"/>
      <c r="B66" s="950" t="str">
        <f t="shared" si="7"/>
        <v/>
      </c>
      <c r="F66" s="161"/>
      <c r="I66" s="847"/>
    </row>
    <row r="67">
      <c r="A67" s="265"/>
      <c r="B67" s="950" t="str">
        <f t="shared" si="7"/>
        <v/>
      </c>
      <c r="F67" s="161"/>
      <c r="I67" s="847"/>
    </row>
    <row r="68">
      <c r="A68" s="265"/>
      <c r="B68" s="950" t="str">
        <f t="shared" si="7"/>
        <v/>
      </c>
      <c r="F68" s="161"/>
      <c r="I68" s="847"/>
    </row>
    <row r="69">
      <c r="A69" s="265"/>
      <c r="B69" s="950" t="str">
        <f t="shared" si="7"/>
        <v/>
      </c>
      <c r="F69" s="161"/>
      <c r="I69" s="847"/>
    </row>
    <row r="70">
      <c r="A70" s="265"/>
      <c r="B70" s="950" t="str">
        <f t="shared" si="7"/>
        <v/>
      </c>
      <c r="F70" s="161"/>
      <c r="I70" s="847"/>
    </row>
    <row r="71">
      <c r="A71" s="270"/>
      <c r="B71" s="194">
        <f>SUM(B62:B70)</f>
        <v>2429</v>
      </c>
      <c r="C71" s="18"/>
      <c r="D71" s="18"/>
      <c r="E71" s="18"/>
      <c r="F71" s="952"/>
      <c r="G71" s="18"/>
      <c r="H71" s="18"/>
      <c r="I71" s="663"/>
    </row>
    <row r="72">
      <c r="A72" s="305">
        <v>43929.0</v>
      </c>
      <c r="B72" s="948">
        <f t="shared" ref="B72:B80" si="8">F72</f>
        <v>776</v>
      </c>
      <c r="C72" s="242"/>
      <c r="D72" s="242"/>
      <c r="E72" s="242"/>
      <c r="F72" s="949">
        <v>776.0</v>
      </c>
      <c r="G72" s="244" t="s">
        <v>4157</v>
      </c>
      <c r="H72" s="244"/>
      <c r="I72" s="662"/>
    </row>
    <row r="73">
      <c r="A73" s="265"/>
      <c r="B73" s="950">
        <f t="shared" si="8"/>
        <v>456</v>
      </c>
      <c r="F73" s="161">
        <v>456.0</v>
      </c>
      <c r="G73" s="2" t="s">
        <v>4204</v>
      </c>
      <c r="I73" s="847"/>
    </row>
    <row r="74">
      <c r="A74" s="265"/>
      <c r="B74" s="950">
        <f t="shared" si="8"/>
        <v>802</v>
      </c>
      <c r="F74" s="161">
        <v>802.0</v>
      </c>
      <c r="G74" s="2" t="s">
        <v>4205</v>
      </c>
      <c r="I74" s="847"/>
    </row>
    <row r="75">
      <c r="A75" s="265"/>
      <c r="B75" s="950">
        <f t="shared" si="8"/>
        <v>2100</v>
      </c>
      <c r="F75" s="161">
        <v>2100.0</v>
      </c>
      <c r="G75" s="2" t="s">
        <v>4206</v>
      </c>
      <c r="I75" s="847"/>
    </row>
    <row r="76">
      <c r="A76" s="265"/>
      <c r="B76" s="950" t="str">
        <f t="shared" si="8"/>
        <v/>
      </c>
      <c r="F76" s="161"/>
      <c r="I76" s="847"/>
    </row>
    <row r="77">
      <c r="A77" s="265"/>
      <c r="B77" s="950" t="str">
        <f t="shared" si="8"/>
        <v/>
      </c>
      <c r="F77" s="161"/>
      <c r="I77" s="847"/>
    </row>
    <row r="78">
      <c r="A78" s="265"/>
      <c r="B78" s="950" t="str">
        <f t="shared" si="8"/>
        <v/>
      </c>
      <c r="F78" s="161"/>
      <c r="I78" s="847"/>
    </row>
    <row r="79">
      <c r="A79" s="265"/>
      <c r="B79" s="950" t="str">
        <f t="shared" si="8"/>
        <v/>
      </c>
      <c r="F79" s="161"/>
      <c r="I79" s="847"/>
    </row>
    <row r="80">
      <c r="A80" s="265"/>
      <c r="B80" s="950" t="str">
        <f t="shared" si="8"/>
        <v/>
      </c>
      <c r="F80" s="161"/>
      <c r="I80" s="847"/>
    </row>
    <row r="81">
      <c r="A81" s="270"/>
      <c r="B81" s="194">
        <f>SUM(B72:B80)</f>
        <v>4134</v>
      </c>
      <c r="C81" s="18"/>
      <c r="D81" s="18"/>
      <c r="E81" s="18"/>
      <c r="F81" s="952"/>
      <c r="G81" s="18"/>
      <c r="H81" s="18"/>
      <c r="I81" s="663"/>
    </row>
    <row r="82">
      <c r="A82" s="305">
        <v>43930.0</v>
      </c>
      <c r="B82" s="948">
        <f t="shared" ref="B82:B90" si="9">F82</f>
        <v>428</v>
      </c>
      <c r="C82" s="242"/>
      <c r="D82" s="242"/>
      <c r="E82" s="242"/>
      <c r="F82" s="949">
        <v>428.0</v>
      </c>
      <c r="G82" s="244" t="s">
        <v>2898</v>
      </c>
      <c r="H82" s="244"/>
      <c r="I82" s="662"/>
    </row>
    <row r="83">
      <c r="A83" s="265"/>
      <c r="B83" s="950">
        <f t="shared" si="9"/>
        <v>2100</v>
      </c>
      <c r="F83" s="161">
        <v>2100.0</v>
      </c>
      <c r="G83" s="2" t="s">
        <v>4155</v>
      </c>
      <c r="I83" s="847"/>
    </row>
    <row r="84">
      <c r="A84" s="265"/>
      <c r="B84" s="950">
        <f t="shared" si="9"/>
        <v>300</v>
      </c>
      <c r="F84" s="161">
        <v>300.0</v>
      </c>
      <c r="G84" s="2" t="s">
        <v>3992</v>
      </c>
      <c r="H84" s="974"/>
      <c r="I84" s="847"/>
    </row>
    <row r="85">
      <c r="A85" s="265"/>
      <c r="B85" s="950" t="str">
        <f t="shared" si="9"/>
        <v/>
      </c>
      <c r="F85" s="161"/>
      <c r="I85" s="847"/>
    </row>
    <row r="86">
      <c r="A86" s="265"/>
      <c r="B86" s="950" t="str">
        <f t="shared" si="9"/>
        <v/>
      </c>
      <c r="F86" s="161"/>
      <c r="I86" s="847"/>
    </row>
    <row r="87">
      <c r="A87" s="265"/>
      <c r="B87" s="950" t="str">
        <f t="shared" si="9"/>
        <v/>
      </c>
      <c r="F87" s="161"/>
      <c r="I87" s="847"/>
    </row>
    <row r="88">
      <c r="A88" s="265"/>
      <c r="B88" s="950" t="str">
        <f t="shared" si="9"/>
        <v/>
      </c>
      <c r="F88" s="161"/>
      <c r="I88" s="847"/>
    </row>
    <row r="89">
      <c r="A89" s="265"/>
      <c r="B89" s="950" t="str">
        <f t="shared" si="9"/>
        <v/>
      </c>
      <c r="F89" s="161"/>
      <c r="I89" s="847"/>
    </row>
    <row r="90">
      <c r="A90" s="265"/>
      <c r="B90" s="950" t="str">
        <f t="shared" si="9"/>
        <v/>
      </c>
      <c r="F90" s="161"/>
      <c r="I90" s="847"/>
    </row>
    <row r="91">
      <c r="A91" s="270"/>
      <c r="B91" s="194">
        <f>SUM(B82:B90)</f>
        <v>2828</v>
      </c>
      <c r="C91" s="18"/>
      <c r="D91" s="18"/>
      <c r="E91" s="18"/>
      <c r="F91" s="952"/>
      <c r="G91" s="18"/>
      <c r="H91" s="18"/>
      <c r="I91" s="663"/>
    </row>
    <row r="92">
      <c r="A92" s="305">
        <v>43931.0</v>
      </c>
      <c r="B92" s="948">
        <f t="shared" ref="B92:B100" si="10">F92</f>
        <v>250</v>
      </c>
      <c r="C92" s="242"/>
      <c r="D92" s="242"/>
      <c r="E92" s="242"/>
      <c r="F92" s="949">
        <v>250.0</v>
      </c>
      <c r="G92" s="244" t="s">
        <v>314</v>
      </c>
      <c r="H92" s="244"/>
      <c r="I92" s="662"/>
    </row>
    <row r="93">
      <c r="A93" s="265"/>
      <c r="B93" s="950">
        <f t="shared" si="10"/>
        <v>270</v>
      </c>
      <c r="F93" s="161">
        <v>270.0</v>
      </c>
      <c r="G93" s="2" t="s">
        <v>2824</v>
      </c>
      <c r="I93" s="847"/>
    </row>
    <row r="94">
      <c r="A94" s="265"/>
      <c r="B94" s="950">
        <f t="shared" si="10"/>
        <v>5800</v>
      </c>
      <c r="F94" s="161">
        <v>5800.0</v>
      </c>
      <c r="G94" s="2" t="s">
        <v>4063</v>
      </c>
      <c r="H94" s="974"/>
      <c r="I94" s="847"/>
    </row>
    <row r="95">
      <c r="A95" s="265"/>
      <c r="B95" s="950">
        <f t="shared" si="10"/>
        <v>6050</v>
      </c>
      <c r="F95" s="161">
        <v>6050.0</v>
      </c>
      <c r="G95" s="2" t="s">
        <v>4062</v>
      </c>
      <c r="H95" s="974"/>
      <c r="I95" s="847"/>
    </row>
    <row r="96">
      <c r="A96" s="265"/>
      <c r="B96" s="950">
        <f t="shared" si="10"/>
        <v>8000</v>
      </c>
      <c r="D96" s="2">
        <v>500.0</v>
      </c>
      <c r="F96" s="161">
        <v>8000.0</v>
      </c>
      <c r="G96" s="2" t="s">
        <v>4064</v>
      </c>
      <c r="H96" s="974"/>
      <c r="I96" s="847"/>
    </row>
    <row r="97">
      <c r="A97" s="265"/>
      <c r="B97" s="950" t="str">
        <f t="shared" si="10"/>
        <v/>
      </c>
      <c r="F97" s="161"/>
      <c r="I97" s="847"/>
    </row>
    <row r="98">
      <c r="A98" s="265"/>
      <c r="B98" s="950" t="str">
        <f t="shared" si="10"/>
        <v/>
      </c>
      <c r="F98" s="161"/>
      <c r="I98" s="847"/>
    </row>
    <row r="99">
      <c r="A99" s="265"/>
      <c r="B99" s="950" t="str">
        <f t="shared" si="10"/>
        <v/>
      </c>
      <c r="F99" s="161"/>
      <c r="I99" s="847"/>
    </row>
    <row r="100">
      <c r="A100" s="265"/>
      <c r="B100" s="950" t="str">
        <f t="shared" si="10"/>
        <v/>
      </c>
      <c r="F100" s="161"/>
      <c r="I100" s="847"/>
    </row>
    <row r="101">
      <c r="A101" s="270"/>
      <c r="B101" s="194">
        <f>SUM(B92:B100)</f>
        <v>20370</v>
      </c>
      <c r="C101" s="18"/>
      <c r="D101" s="18"/>
      <c r="E101" s="18"/>
      <c r="F101" s="952"/>
      <c r="G101" s="18"/>
      <c r="H101" s="18"/>
      <c r="I101" s="663"/>
    </row>
    <row r="102">
      <c r="A102" s="305">
        <v>43932.0</v>
      </c>
      <c r="B102" s="948">
        <f t="shared" ref="B102:B110" si="11">F102</f>
        <v>2200</v>
      </c>
      <c r="C102" s="242"/>
      <c r="D102" s="242"/>
      <c r="E102" s="242"/>
      <c r="F102" s="949">
        <v>2200.0</v>
      </c>
      <c r="G102" s="244" t="s">
        <v>64</v>
      </c>
      <c r="H102" s="244"/>
      <c r="I102" s="662"/>
    </row>
    <row r="103">
      <c r="A103" s="265"/>
      <c r="B103" s="950">
        <f t="shared" si="11"/>
        <v>7250</v>
      </c>
      <c r="F103" s="161">
        <v>7250.0</v>
      </c>
      <c r="G103" s="2" t="s">
        <v>4152</v>
      </c>
      <c r="H103" s="974"/>
      <c r="I103" s="847"/>
    </row>
    <row r="104">
      <c r="A104" s="265"/>
      <c r="B104" s="950">
        <f t="shared" si="11"/>
        <v>5450</v>
      </c>
      <c r="F104" s="161">
        <v>5450.0</v>
      </c>
      <c r="G104" s="2" t="s">
        <v>4061</v>
      </c>
      <c r="H104" s="974"/>
      <c r="I104" s="847"/>
    </row>
    <row r="105">
      <c r="A105" s="265"/>
      <c r="B105" s="950" t="str">
        <f t="shared" si="11"/>
        <v/>
      </c>
      <c r="D105" s="2">
        <v>8500.0</v>
      </c>
      <c r="F105" s="161"/>
      <c r="G105" s="2" t="s">
        <v>4154</v>
      </c>
      <c r="H105" s="974"/>
      <c r="I105" s="847"/>
    </row>
    <row r="106">
      <c r="A106" s="265"/>
      <c r="B106" s="950">
        <f t="shared" si="11"/>
        <v>2000</v>
      </c>
      <c r="D106" s="2">
        <v>3800.0</v>
      </c>
      <c r="F106" s="161">
        <v>2000.0</v>
      </c>
      <c r="G106" s="2" t="s">
        <v>4153</v>
      </c>
      <c r="H106" s="974"/>
      <c r="I106" s="847"/>
    </row>
    <row r="107">
      <c r="A107" s="265"/>
      <c r="B107" s="950">
        <f t="shared" si="11"/>
        <v>133</v>
      </c>
      <c r="F107" s="161">
        <v>133.0</v>
      </c>
      <c r="G107" s="2" t="s">
        <v>1132</v>
      </c>
      <c r="I107" s="847"/>
    </row>
    <row r="108">
      <c r="A108" s="265"/>
      <c r="B108" s="950">
        <f t="shared" si="11"/>
        <v>8000</v>
      </c>
      <c r="F108" s="161">
        <v>8000.0</v>
      </c>
      <c r="G108" s="2" t="s">
        <v>4207</v>
      </c>
      <c r="I108" s="847"/>
    </row>
    <row r="109">
      <c r="A109" s="265"/>
      <c r="B109" s="950" t="str">
        <f t="shared" si="11"/>
        <v/>
      </c>
      <c r="F109" s="161"/>
      <c r="I109" s="847"/>
    </row>
    <row r="110">
      <c r="A110" s="265"/>
      <c r="B110" s="950" t="str">
        <f t="shared" si="11"/>
        <v/>
      </c>
      <c r="F110" s="161"/>
      <c r="I110" s="847"/>
    </row>
    <row r="111">
      <c r="A111" s="270"/>
      <c r="B111" s="194">
        <f>SUM(B102:B110)</f>
        <v>25033</v>
      </c>
      <c r="C111" s="18"/>
      <c r="D111" s="18"/>
      <c r="E111" s="18"/>
      <c r="F111" s="952"/>
      <c r="G111" s="18"/>
      <c r="H111" s="18"/>
      <c r="I111" s="663"/>
    </row>
    <row r="112">
      <c r="A112" s="305">
        <v>43933.0</v>
      </c>
      <c r="B112" s="948" t="str">
        <f t="shared" ref="B112:B120" si="12">F112</f>
        <v/>
      </c>
      <c r="C112" s="242"/>
      <c r="D112" s="242"/>
      <c r="E112" s="242"/>
      <c r="F112" s="949"/>
      <c r="G112" s="242"/>
      <c r="H112" s="244"/>
      <c r="I112" s="662"/>
    </row>
    <row r="113">
      <c r="A113" s="265"/>
      <c r="B113" s="950" t="str">
        <f t="shared" si="12"/>
        <v/>
      </c>
      <c r="F113" s="161"/>
      <c r="I113" s="847"/>
    </row>
    <row r="114">
      <c r="A114" s="265"/>
      <c r="B114" s="950" t="str">
        <f t="shared" si="12"/>
        <v/>
      </c>
      <c r="F114" s="161"/>
      <c r="I114" s="847"/>
    </row>
    <row r="115">
      <c r="A115" s="265"/>
      <c r="B115" s="950" t="str">
        <f t="shared" si="12"/>
        <v/>
      </c>
      <c r="F115" s="161"/>
      <c r="I115" s="847"/>
    </row>
    <row r="116">
      <c r="A116" s="265"/>
      <c r="B116" s="950" t="str">
        <f t="shared" si="12"/>
        <v/>
      </c>
      <c r="F116" s="161"/>
      <c r="I116" s="847"/>
    </row>
    <row r="117">
      <c r="A117" s="265"/>
      <c r="B117" s="950" t="str">
        <f t="shared" si="12"/>
        <v/>
      </c>
      <c r="F117" s="161"/>
      <c r="I117" s="847"/>
    </row>
    <row r="118">
      <c r="A118" s="265"/>
      <c r="B118" s="950" t="str">
        <f t="shared" si="12"/>
        <v/>
      </c>
      <c r="F118" s="161"/>
      <c r="I118" s="847"/>
    </row>
    <row r="119">
      <c r="A119" s="265"/>
      <c r="B119" s="950" t="str">
        <f t="shared" si="12"/>
        <v/>
      </c>
      <c r="F119" s="161"/>
      <c r="I119" s="847"/>
    </row>
    <row r="120">
      <c r="A120" s="265"/>
      <c r="B120" s="950" t="str">
        <f t="shared" si="12"/>
        <v/>
      </c>
      <c r="F120" s="161"/>
      <c r="I120" s="847"/>
    </row>
    <row r="121">
      <c r="A121" s="270"/>
      <c r="B121" s="194">
        <f>SUM(B112:B120)</f>
        <v>0</v>
      </c>
      <c r="C121" s="18"/>
      <c r="D121" s="18"/>
      <c r="E121" s="18"/>
      <c r="F121" s="952"/>
      <c r="G121" s="18"/>
      <c r="H121" s="18"/>
      <c r="I121" s="663"/>
    </row>
    <row r="122">
      <c r="A122" s="305">
        <v>43934.0</v>
      </c>
      <c r="B122" s="948">
        <f t="shared" ref="B122:B130" si="13">F122</f>
        <v>321.59</v>
      </c>
      <c r="C122" s="242"/>
      <c r="D122" s="242"/>
      <c r="E122" s="242"/>
      <c r="F122" s="949">
        <v>321.59</v>
      </c>
      <c r="G122" s="244" t="s">
        <v>708</v>
      </c>
      <c r="H122" s="244"/>
      <c r="I122" s="662"/>
    </row>
    <row r="123">
      <c r="A123" s="265"/>
      <c r="B123" s="950">
        <f t="shared" si="13"/>
        <v>250</v>
      </c>
      <c r="F123" s="161">
        <v>250.0</v>
      </c>
      <c r="G123" s="2" t="s">
        <v>4203</v>
      </c>
      <c r="I123" s="847"/>
    </row>
    <row r="124">
      <c r="A124" s="265"/>
      <c r="B124" s="950">
        <f t="shared" si="13"/>
        <v>341.7</v>
      </c>
      <c r="F124" s="161">
        <v>341.7</v>
      </c>
      <c r="G124" s="2" t="s">
        <v>3423</v>
      </c>
      <c r="I124" s="847"/>
    </row>
    <row r="125">
      <c r="A125" s="265"/>
      <c r="B125" s="950">
        <f t="shared" si="13"/>
        <v>750</v>
      </c>
      <c r="F125" s="161">
        <v>750.0</v>
      </c>
      <c r="G125" s="2" t="s">
        <v>4208</v>
      </c>
      <c r="I125" s="847"/>
    </row>
    <row r="126">
      <c r="A126" s="265"/>
      <c r="B126" s="950">
        <f t="shared" si="13"/>
        <v>115</v>
      </c>
      <c r="F126" s="161">
        <v>115.0</v>
      </c>
      <c r="G126" s="2" t="s">
        <v>2674</v>
      </c>
      <c r="I126" s="847"/>
    </row>
    <row r="127">
      <c r="A127" s="265"/>
      <c r="B127" s="950" t="str">
        <f t="shared" si="13"/>
        <v/>
      </c>
      <c r="F127" s="161"/>
      <c r="I127" s="847"/>
    </row>
    <row r="128">
      <c r="A128" s="265"/>
      <c r="B128" s="950" t="str">
        <f t="shared" si="13"/>
        <v/>
      </c>
      <c r="F128" s="161"/>
      <c r="I128" s="847"/>
    </row>
    <row r="129">
      <c r="A129" s="265"/>
      <c r="B129" s="950" t="str">
        <f t="shared" si="13"/>
        <v/>
      </c>
      <c r="F129" s="161"/>
      <c r="I129" s="847"/>
    </row>
    <row r="130">
      <c r="A130" s="265"/>
      <c r="B130" s="950" t="str">
        <f t="shared" si="13"/>
        <v/>
      </c>
      <c r="F130" s="161"/>
      <c r="I130" s="847"/>
    </row>
    <row r="131">
      <c r="A131" s="270"/>
      <c r="B131" s="194">
        <f>SUM(B122:B130)</f>
        <v>1778.29</v>
      </c>
      <c r="C131" s="18"/>
      <c r="D131" s="18"/>
      <c r="E131" s="18"/>
      <c r="F131" s="952"/>
      <c r="G131" s="18"/>
      <c r="H131" s="18"/>
      <c r="I131" s="663"/>
    </row>
    <row r="132">
      <c r="A132" s="305">
        <v>43935.0</v>
      </c>
      <c r="B132" s="948" t="str">
        <f t="shared" ref="B132:B140" si="14">F132</f>
        <v/>
      </c>
      <c r="C132" s="244">
        <v>11344.0</v>
      </c>
      <c r="D132" s="242"/>
      <c r="E132" s="242"/>
      <c r="F132" s="949"/>
      <c r="G132" s="244" t="s">
        <v>2637</v>
      </c>
      <c r="H132" s="244"/>
      <c r="I132" s="662"/>
    </row>
    <row r="133">
      <c r="A133" s="265"/>
      <c r="B133" s="950">
        <f t="shared" si="14"/>
        <v>480</v>
      </c>
      <c r="F133" s="161">
        <v>480.0</v>
      </c>
      <c r="G133" s="2" t="s">
        <v>4209</v>
      </c>
      <c r="I133" s="847"/>
    </row>
    <row r="134">
      <c r="A134" s="265"/>
      <c r="B134" s="950" t="str">
        <f t="shared" si="14"/>
        <v/>
      </c>
      <c r="D134" s="2">
        <v>2000.0</v>
      </c>
      <c r="F134" s="161"/>
      <c r="G134" s="2" t="s">
        <v>2919</v>
      </c>
      <c r="I134" s="847"/>
    </row>
    <row r="135">
      <c r="A135" s="265"/>
      <c r="B135" s="950" t="str">
        <f t="shared" si="14"/>
        <v/>
      </c>
      <c r="F135" s="161"/>
      <c r="I135" s="847"/>
    </row>
    <row r="136">
      <c r="A136" s="265"/>
      <c r="B136" s="950" t="str">
        <f t="shared" si="14"/>
        <v/>
      </c>
      <c r="F136" s="161"/>
      <c r="I136" s="847"/>
    </row>
    <row r="137">
      <c r="A137" s="265"/>
      <c r="B137" s="950" t="str">
        <f t="shared" si="14"/>
        <v/>
      </c>
      <c r="F137" s="161"/>
      <c r="I137" s="847"/>
    </row>
    <row r="138">
      <c r="A138" s="265"/>
      <c r="B138" s="950" t="str">
        <f t="shared" si="14"/>
        <v/>
      </c>
      <c r="F138" s="161"/>
      <c r="I138" s="847"/>
    </row>
    <row r="139">
      <c r="A139" s="265"/>
      <c r="B139" s="950" t="str">
        <f t="shared" si="14"/>
        <v/>
      </c>
      <c r="F139" s="161"/>
      <c r="I139" s="847"/>
    </row>
    <row r="140">
      <c r="A140" s="265"/>
      <c r="B140" s="950" t="str">
        <f t="shared" si="14"/>
        <v/>
      </c>
      <c r="F140" s="161"/>
      <c r="I140" s="847"/>
    </row>
    <row r="141">
      <c r="A141" s="270"/>
      <c r="B141" s="194">
        <f>SUM(B132:B140)</f>
        <v>480</v>
      </c>
      <c r="C141" s="18"/>
      <c r="D141" s="18"/>
      <c r="E141" s="18"/>
      <c r="F141" s="952"/>
      <c r="G141" s="18"/>
      <c r="H141" s="18"/>
      <c r="I141" s="663"/>
    </row>
    <row r="142">
      <c r="A142" s="305">
        <v>43936.0</v>
      </c>
      <c r="B142" s="948">
        <f t="shared" ref="B142:B150" si="15">F142</f>
        <v>1400</v>
      </c>
      <c r="C142" s="242"/>
      <c r="D142" s="242"/>
      <c r="E142" s="242"/>
      <c r="F142" s="949">
        <v>1400.0</v>
      </c>
      <c r="G142" s="244" t="s">
        <v>4210</v>
      </c>
      <c r="H142" s="244"/>
      <c r="I142" s="662"/>
    </row>
    <row r="143">
      <c r="A143" s="265"/>
      <c r="B143" s="950" t="str">
        <f t="shared" si="15"/>
        <v/>
      </c>
      <c r="F143" s="161"/>
      <c r="I143" s="847"/>
    </row>
    <row r="144">
      <c r="A144" s="265"/>
      <c r="B144" s="950" t="str">
        <f t="shared" si="15"/>
        <v/>
      </c>
      <c r="F144" s="161"/>
      <c r="I144" s="847"/>
    </row>
    <row r="145">
      <c r="A145" s="265"/>
      <c r="B145" s="950" t="str">
        <f t="shared" si="15"/>
        <v/>
      </c>
      <c r="F145" s="161"/>
      <c r="I145" s="847"/>
    </row>
    <row r="146">
      <c r="A146" s="265"/>
      <c r="B146" s="950" t="str">
        <f t="shared" si="15"/>
        <v/>
      </c>
      <c r="F146" s="161"/>
      <c r="I146" s="847"/>
    </row>
    <row r="147">
      <c r="A147" s="265"/>
      <c r="B147" s="950" t="str">
        <f t="shared" si="15"/>
        <v/>
      </c>
      <c r="F147" s="161"/>
      <c r="I147" s="847"/>
    </row>
    <row r="148">
      <c r="A148" s="265"/>
      <c r="B148" s="950" t="str">
        <f t="shared" si="15"/>
        <v/>
      </c>
      <c r="F148" s="161"/>
      <c r="I148" s="847"/>
    </row>
    <row r="149">
      <c r="A149" s="265"/>
      <c r="B149" s="950" t="str">
        <f t="shared" si="15"/>
        <v/>
      </c>
      <c r="F149" s="161"/>
      <c r="I149" s="847"/>
    </row>
    <row r="150">
      <c r="A150" s="265"/>
      <c r="B150" s="950" t="str">
        <f t="shared" si="15"/>
        <v/>
      </c>
      <c r="F150" s="161"/>
      <c r="I150" s="847"/>
    </row>
    <row r="151">
      <c r="A151" s="270"/>
      <c r="B151" s="194">
        <f>SUM(B142:B150)</f>
        <v>1400</v>
      </c>
      <c r="C151" s="18"/>
      <c r="D151" s="18"/>
      <c r="E151" s="18"/>
      <c r="F151" s="952"/>
      <c r="G151" s="18"/>
      <c r="H151" s="18"/>
      <c r="I151" s="663"/>
    </row>
    <row r="152">
      <c r="A152" s="305">
        <v>43937.0</v>
      </c>
      <c r="B152" s="948">
        <f t="shared" ref="B152:B160" si="16">F152</f>
        <v>113</v>
      </c>
      <c r="C152" s="242"/>
      <c r="D152" s="242"/>
      <c r="E152" s="242"/>
      <c r="F152" s="949">
        <v>113.0</v>
      </c>
      <c r="G152" s="244" t="s">
        <v>4042</v>
      </c>
      <c r="H152" s="244"/>
      <c r="I152" s="662"/>
    </row>
    <row r="153">
      <c r="A153" s="265"/>
      <c r="B153" s="950">
        <f t="shared" si="16"/>
        <v>938</v>
      </c>
      <c r="F153" s="161">
        <v>938.0</v>
      </c>
      <c r="G153" s="2" t="s">
        <v>708</v>
      </c>
      <c r="I153" s="847"/>
    </row>
    <row r="154">
      <c r="A154" s="265"/>
      <c r="B154" s="950" t="str">
        <f t="shared" si="16"/>
        <v/>
      </c>
      <c r="D154" s="2">
        <v>8328.17</v>
      </c>
      <c r="F154" s="161"/>
      <c r="G154" s="2" t="s">
        <v>4211</v>
      </c>
      <c r="I154" s="847"/>
    </row>
    <row r="155">
      <c r="A155" s="265"/>
      <c r="B155" s="950">
        <f t="shared" si="16"/>
        <v>120</v>
      </c>
      <c r="F155" s="161">
        <v>120.0</v>
      </c>
      <c r="G155" s="2" t="s">
        <v>625</v>
      </c>
      <c r="I155" s="847"/>
    </row>
    <row r="156">
      <c r="A156" s="265"/>
      <c r="B156" s="950">
        <f t="shared" si="16"/>
        <v>380</v>
      </c>
      <c r="F156" s="161">
        <v>380.0</v>
      </c>
      <c r="G156" s="2" t="s">
        <v>3212</v>
      </c>
      <c r="I156" s="847"/>
    </row>
    <row r="157">
      <c r="A157" s="265"/>
      <c r="B157" s="950">
        <f t="shared" si="16"/>
        <v>400</v>
      </c>
      <c r="F157" s="161">
        <v>400.0</v>
      </c>
      <c r="G157" s="2" t="s">
        <v>4212</v>
      </c>
      <c r="I157" s="847"/>
    </row>
    <row r="158">
      <c r="A158" s="265"/>
      <c r="B158" s="950" t="str">
        <f t="shared" si="16"/>
        <v/>
      </c>
      <c r="D158" s="2">
        <v>3679.56</v>
      </c>
      <c r="F158" s="161"/>
      <c r="G158" s="2" t="s">
        <v>3448</v>
      </c>
      <c r="I158" s="847"/>
    </row>
    <row r="159">
      <c r="A159" s="265"/>
      <c r="B159" s="950" t="str">
        <f t="shared" si="16"/>
        <v/>
      </c>
      <c r="D159" s="2">
        <v>5000.0</v>
      </c>
      <c r="F159" s="161"/>
      <c r="G159" s="2" t="s">
        <v>4213</v>
      </c>
      <c r="I159" s="847"/>
    </row>
    <row r="160">
      <c r="A160" s="265"/>
      <c r="B160" s="950" t="str">
        <f t="shared" si="16"/>
        <v/>
      </c>
      <c r="F160" s="161"/>
      <c r="I160" s="847"/>
    </row>
    <row r="161">
      <c r="A161" s="270"/>
      <c r="B161" s="194">
        <f>SUM(B152:B160)</f>
        <v>1951</v>
      </c>
      <c r="C161" s="18"/>
      <c r="D161" s="18"/>
      <c r="E161" s="18"/>
      <c r="F161" s="952"/>
      <c r="G161" s="18"/>
      <c r="H161" s="18"/>
      <c r="I161" s="663"/>
    </row>
    <row r="162">
      <c r="A162" s="305">
        <v>43938.0</v>
      </c>
      <c r="B162" s="948">
        <f t="shared" ref="B162:B170" si="17">F162</f>
        <v>2200</v>
      </c>
      <c r="C162" s="242"/>
      <c r="D162" s="242"/>
      <c r="E162" s="242"/>
      <c r="F162" s="949">
        <v>2200.0</v>
      </c>
      <c r="G162" s="244" t="s">
        <v>421</v>
      </c>
      <c r="H162" s="244"/>
      <c r="I162" s="662"/>
    </row>
    <row r="163">
      <c r="A163" s="265"/>
      <c r="B163" s="950">
        <f t="shared" si="17"/>
        <v>7250</v>
      </c>
      <c r="F163" s="161">
        <v>7250.0</v>
      </c>
      <c r="G163" s="2" t="s">
        <v>4152</v>
      </c>
      <c r="H163" s="942"/>
      <c r="I163" s="847"/>
    </row>
    <row r="164">
      <c r="A164" s="265"/>
      <c r="B164" s="950">
        <f t="shared" si="17"/>
        <v>5800</v>
      </c>
      <c r="F164" s="161">
        <v>5800.0</v>
      </c>
      <c r="G164" s="2" t="s">
        <v>4153</v>
      </c>
      <c r="H164" s="942"/>
      <c r="I164" s="847"/>
    </row>
    <row r="165">
      <c r="A165" s="265"/>
      <c r="B165" s="950">
        <f t="shared" si="17"/>
        <v>8500</v>
      </c>
      <c r="F165" s="161">
        <v>8500.0</v>
      </c>
      <c r="G165" s="2" t="s">
        <v>4064</v>
      </c>
      <c r="H165" s="942"/>
      <c r="I165" s="847"/>
    </row>
    <row r="166">
      <c r="A166" s="265"/>
      <c r="B166" s="950">
        <f t="shared" si="17"/>
        <v>88</v>
      </c>
      <c r="F166" s="161">
        <v>88.0</v>
      </c>
      <c r="G166" s="2" t="s">
        <v>3850</v>
      </c>
      <c r="I166" s="847"/>
    </row>
    <row r="167">
      <c r="A167" s="265"/>
      <c r="B167" s="950" t="str">
        <f t="shared" si="17"/>
        <v/>
      </c>
      <c r="F167" s="161"/>
      <c r="I167" s="847"/>
    </row>
    <row r="168">
      <c r="A168" s="265"/>
      <c r="B168" s="950" t="str">
        <f t="shared" si="17"/>
        <v/>
      </c>
      <c r="F168" s="161"/>
      <c r="I168" s="847"/>
    </row>
    <row r="169">
      <c r="A169" s="265"/>
      <c r="B169" s="950" t="str">
        <f t="shared" si="17"/>
        <v/>
      </c>
      <c r="F169" s="161"/>
      <c r="I169" s="847"/>
    </row>
    <row r="170">
      <c r="A170" s="265"/>
      <c r="B170" s="950" t="str">
        <f t="shared" si="17"/>
        <v/>
      </c>
      <c r="F170" s="161"/>
      <c r="I170" s="847"/>
    </row>
    <row r="171">
      <c r="A171" s="270"/>
      <c r="B171" s="194">
        <f>SUM(B162:B170)</f>
        <v>23838</v>
      </c>
      <c r="C171" s="18"/>
      <c r="D171" s="18"/>
      <c r="E171" s="18"/>
      <c r="F171" s="952"/>
      <c r="G171" s="18"/>
      <c r="H171" s="18"/>
      <c r="I171" s="663"/>
    </row>
    <row r="172">
      <c r="A172" s="305">
        <v>43939.0</v>
      </c>
      <c r="B172" s="948" t="str">
        <f t="shared" ref="B172:B182" si="18">F172</f>
        <v/>
      </c>
      <c r="C172" s="244"/>
      <c r="D172" s="242"/>
      <c r="E172" s="242"/>
      <c r="F172" s="949"/>
      <c r="G172" s="244"/>
      <c r="H172" s="244"/>
      <c r="I172" s="662"/>
    </row>
    <row r="173">
      <c r="A173" s="265"/>
      <c r="B173" s="950">
        <f t="shared" si="18"/>
        <v>2066</v>
      </c>
      <c r="F173" s="248">
        <v>2066.0</v>
      </c>
      <c r="G173" s="2" t="s">
        <v>4199</v>
      </c>
      <c r="I173" s="847"/>
    </row>
    <row r="174">
      <c r="A174" s="265"/>
      <c r="B174" s="950" t="str">
        <f t="shared" si="18"/>
        <v/>
      </c>
      <c r="C174" s="2">
        <v>11199.0</v>
      </c>
      <c r="F174" s="161"/>
      <c r="G174" s="2" t="s">
        <v>2654</v>
      </c>
      <c r="I174" s="847"/>
    </row>
    <row r="175">
      <c r="A175" s="265"/>
      <c r="B175" s="950" t="str">
        <f t="shared" si="18"/>
        <v/>
      </c>
      <c r="C175" s="2">
        <v>6353.0</v>
      </c>
      <c r="F175" s="161"/>
      <c r="G175" s="2" t="s">
        <v>2654</v>
      </c>
      <c r="I175" s="847"/>
    </row>
    <row r="176">
      <c r="A176" s="265"/>
      <c r="B176" s="950">
        <f t="shared" si="18"/>
        <v>600</v>
      </c>
      <c r="F176" s="161">
        <v>600.0</v>
      </c>
      <c r="G176" s="2" t="s">
        <v>3433</v>
      </c>
      <c r="I176" s="847"/>
    </row>
    <row r="177">
      <c r="A177" s="265"/>
      <c r="B177" s="950">
        <f t="shared" si="18"/>
        <v>5800</v>
      </c>
      <c r="F177" s="161">
        <v>5800.0</v>
      </c>
      <c r="G177" s="2" t="s">
        <v>4063</v>
      </c>
      <c r="H177" s="942"/>
      <c r="I177" s="847"/>
    </row>
    <row r="178">
      <c r="A178" s="265"/>
      <c r="B178" s="950">
        <f t="shared" si="18"/>
        <v>5750</v>
      </c>
      <c r="F178" s="161">
        <v>5750.0</v>
      </c>
      <c r="G178" s="2" t="s">
        <v>4061</v>
      </c>
      <c r="H178" s="942"/>
      <c r="I178" s="847"/>
    </row>
    <row r="179">
      <c r="A179" s="265"/>
      <c r="B179" s="950">
        <f t="shared" si="18"/>
        <v>6050</v>
      </c>
      <c r="F179" s="161">
        <v>6050.0</v>
      </c>
      <c r="G179" s="2" t="s">
        <v>4062</v>
      </c>
      <c r="H179" s="942"/>
      <c r="I179" s="847"/>
    </row>
    <row r="180">
      <c r="A180" s="265"/>
      <c r="B180" s="950">
        <f t="shared" si="18"/>
        <v>8500</v>
      </c>
      <c r="F180" s="161">
        <v>8500.0</v>
      </c>
      <c r="G180" s="2" t="s">
        <v>4154</v>
      </c>
      <c r="H180" s="942"/>
      <c r="I180" s="847"/>
    </row>
    <row r="181">
      <c r="A181" s="265"/>
      <c r="B181" s="950">
        <f t="shared" si="18"/>
        <v>2100</v>
      </c>
      <c r="F181" s="161">
        <v>2100.0</v>
      </c>
      <c r="G181" s="2" t="s">
        <v>4155</v>
      </c>
      <c r="H181" s="942"/>
      <c r="I181" s="847"/>
    </row>
    <row r="182">
      <c r="A182" s="265"/>
      <c r="B182" s="950">
        <f t="shared" si="18"/>
        <v>2000</v>
      </c>
      <c r="F182" s="161">
        <v>2000.0</v>
      </c>
      <c r="G182" s="2" t="s">
        <v>3851</v>
      </c>
      <c r="I182" s="847"/>
    </row>
    <row r="183">
      <c r="A183" s="270"/>
      <c r="B183" s="194">
        <f>SUM(B172:B182)</f>
        <v>32866</v>
      </c>
      <c r="C183" s="18"/>
      <c r="D183" s="18"/>
      <c r="E183" s="18"/>
      <c r="F183" s="952"/>
      <c r="G183" s="18"/>
      <c r="H183" s="18"/>
      <c r="I183" s="663"/>
    </row>
    <row r="184">
      <c r="A184" s="305">
        <v>43940.0</v>
      </c>
      <c r="B184" s="948" t="str">
        <f t="shared" ref="B184:B192" si="19">F184</f>
        <v/>
      </c>
      <c r="C184" s="242"/>
      <c r="D184" s="242"/>
      <c r="E184" s="242"/>
      <c r="F184" s="949"/>
      <c r="G184" s="242"/>
      <c r="H184" s="244"/>
      <c r="I184" s="662"/>
    </row>
    <row r="185">
      <c r="A185" s="265"/>
      <c r="B185" s="950" t="str">
        <f t="shared" si="19"/>
        <v/>
      </c>
      <c r="F185" s="161"/>
      <c r="I185" s="847"/>
    </row>
    <row r="186">
      <c r="A186" s="265"/>
      <c r="B186" s="950" t="str">
        <f t="shared" si="19"/>
        <v/>
      </c>
      <c r="F186" s="161"/>
      <c r="I186" s="847"/>
    </row>
    <row r="187">
      <c r="A187" s="265"/>
      <c r="B187" s="950" t="str">
        <f t="shared" si="19"/>
        <v/>
      </c>
      <c r="F187" s="161"/>
      <c r="I187" s="847"/>
    </row>
    <row r="188">
      <c r="A188" s="265"/>
      <c r="B188" s="950" t="str">
        <f t="shared" si="19"/>
        <v/>
      </c>
      <c r="F188" s="161"/>
      <c r="I188" s="847"/>
    </row>
    <row r="189">
      <c r="A189" s="265"/>
      <c r="B189" s="950" t="str">
        <f t="shared" si="19"/>
        <v/>
      </c>
      <c r="F189" s="161"/>
      <c r="I189" s="847"/>
    </row>
    <row r="190">
      <c r="A190" s="265"/>
      <c r="B190" s="950" t="str">
        <f t="shared" si="19"/>
        <v/>
      </c>
      <c r="F190" s="161"/>
      <c r="I190" s="847"/>
    </row>
    <row r="191">
      <c r="A191" s="265"/>
      <c r="B191" s="950" t="str">
        <f t="shared" si="19"/>
        <v/>
      </c>
      <c r="F191" s="161"/>
      <c r="I191" s="847"/>
    </row>
    <row r="192">
      <c r="A192" s="265"/>
      <c r="B192" s="950" t="str">
        <f t="shared" si="19"/>
        <v/>
      </c>
      <c r="F192" s="161"/>
      <c r="I192" s="847"/>
    </row>
    <row r="193">
      <c r="A193" s="270"/>
      <c r="B193" s="194">
        <f>SUM(B184:B192)</f>
        <v>0</v>
      </c>
      <c r="C193" s="18"/>
      <c r="D193" s="18"/>
      <c r="E193" s="18"/>
      <c r="F193" s="952"/>
      <c r="G193" s="18"/>
      <c r="H193" s="18"/>
      <c r="I193" s="663"/>
    </row>
    <row r="194">
      <c r="A194" s="305">
        <v>43941.0</v>
      </c>
      <c r="B194" s="948">
        <f t="shared" ref="B194:B202" si="20">F194</f>
        <v>1544</v>
      </c>
      <c r="C194" s="242"/>
      <c r="D194" s="242"/>
      <c r="E194" s="242"/>
      <c r="F194" s="949">
        <v>1544.0</v>
      </c>
      <c r="G194" s="244" t="s">
        <v>3821</v>
      </c>
      <c r="H194" s="244"/>
      <c r="I194" s="662"/>
    </row>
    <row r="195">
      <c r="A195" s="265"/>
      <c r="B195" s="950">
        <f t="shared" si="20"/>
        <v>718.02</v>
      </c>
      <c r="F195" s="161">
        <v>718.02</v>
      </c>
      <c r="G195" s="2" t="s">
        <v>314</v>
      </c>
      <c r="I195" s="847"/>
    </row>
    <row r="196">
      <c r="A196" s="265"/>
      <c r="B196" s="950" t="str">
        <f t="shared" si="20"/>
        <v/>
      </c>
      <c r="C196" s="2">
        <v>3079.45</v>
      </c>
      <c r="F196" s="161"/>
      <c r="G196" s="2" t="s">
        <v>2637</v>
      </c>
      <c r="I196" s="847"/>
    </row>
    <row r="197">
      <c r="A197" s="265"/>
      <c r="B197" s="950" t="str">
        <f t="shared" si="20"/>
        <v/>
      </c>
      <c r="D197" s="2">
        <v>2500.0</v>
      </c>
      <c r="F197" s="161"/>
      <c r="G197" s="2" t="s">
        <v>4214</v>
      </c>
      <c r="I197" s="847"/>
    </row>
    <row r="198">
      <c r="A198" s="265"/>
      <c r="B198" s="950" t="str">
        <f t="shared" si="20"/>
        <v/>
      </c>
      <c r="F198" s="161"/>
      <c r="I198" s="847"/>
    </row>
    <row r="199">
      <c r="A199" s="265"/>
      <c r="B199" s="950" t="str">
        <f t="shared" si="20"/>
        <v/>
      </c>
      <c r="F199" s="161"/>
      <c r="I199" s="847"/>
    </row>
    <row r="200">
      <c r="A200" s="265"/>
      <c r="B200" s="950" t="str">
        <f t="shared" si="20"/>
        <v/>
      </c>
      <c r="F200" s="161"/>
      <c r="I200" s="847"/>
    </row>
    <row r="201">
      <c r="A201" s="265"/>
      <c r="B201" s="950" t="str">
        <f t="shared" si="20"/>
        <v/>
      </c>
      <c r="F201" s="161"/>
      <c r="I201" s="847"/>
    </row>
    <row r="202">
      <c r="A202" s="265"/>
      <c r="B202" s="950" t="str">
        <f t="shared" si="20"/>
        <v/>
      </c>
      <c r="F202" s="161"/>
      <c r="I202" s="847"/>
    </row>
    <row r="203">
      <c r="A203" s="270"/>
      <c r="B203" s="194">
        <f>SUM(B194:B202)</f>
        <v>2262.02</v>
      </c>
      <c r="C203" s="18"/>
      <c r="D203" s="18"/>
      <c r="E203" s="18"/>
      <c r="F203" s="952"/>
      <c r="G203" s="18"/>
      <c r="H203" s="18"/>
      <c r="I203" s="663"/>
    </row>
    <row r="204">
      <c r="A204" s="305">
        <v>43942.0</v>
      </c>
      <c r="B204" s="948">
        <f t="shared" ref="B204:B212" si="21">F204</f>
        <v>304</v>
      </c>
      <c r="C204" s="242"/>
      <c r="D204" s="242"/>
      <c r="E204" s="242"/>
      <c r="F204" s="949">
        <v>304.0</v>
      </c>
      <c r="G204" s="244" t="s">
        <v>227</v>
      </c>
      <c r="H204" s="244"/>
      <c r="I204" s="662"/>
    </row>
    <row r="205">
      <c r="A205" s="265"/>
      <c r="B205" s="950">
        <f t="shared" si="21"/>
        <v>200</v>
      </c>
      <c r="F205" s="161">
        <v>200.0</v>
      </c>
      <c r="G205" s="2" t="s">
        <v>4215</v>
      </c>
      <c r="H205" s="942"/>
      <c r="I205" s="847"/>
    </row>
    <row r="206">
      <c r="A206" s="265"/>
      <c r="B206" s="950">
        <f t="shared" si="21"/>
        <v>1000</v>
      </c>
      <c r="F206" s="161">
        <v>1000.0</v>
      </c>
      <c r="G206" s="2" t="s">
        <v>3237</v>
      </c>
      <c r="I206" s="847"/>
    </row>
    <row r="207">
      <c r="A207" s="265"/>
      <c r="B207" s="950" t="str">
        <f t="shared" si="21"/>
        <v/>
      </c>
      <c r="F207" s="161"/>
      <c r="I207" s="847"/>
    </row>
    <row r="208">
      <c r="A208" s="265"/>
      <c r="B208" s="950" t="str">
        <f t="shared" si="21"/>
        <v/>
      </c>
      <c r="F208" s="161"/>
      <c r="I208" s="847"/>
    </row>
    <row r="209">
      <c r="A209" s="265"/>
      <c r="B209" s="950" t="str">
        <f t="shared" si="21"/>
        <v/>
      </c>
      <c r="F209" s="161"/>
      <c r="I209" s="847"/>
    </row>
    <row r="210">
      <c r="A210" s="265"/>
      <c r="B210" s="950" t="str">
        <f t="shared" si="21"/>
        <v/>
      </c>
      <c r="F210" s="161"/>
      <c r="I210" s="847"/>
    </row>
    <row r="211">
      <c r="A211" s="265"/>
      <c r="B211" s="950" t="str">
        <f t="shared" si="21"/>
        <v/>
      </c>
      <c r="F211" s="161"/>
      <c r="I211" s="847"/>
    </row>
    <row r="212">
      <c r="A212" s="265"/>
      <c r="B212" s="950" t="str">
        <f t="shared" si="21"/>
        <v/>
      </c>
      <c r="F212" s="161"/>
      <c r="I212" s="847"/>
    </row>
    <row r="213">
      <c r="A213" s="270"/>
      <c r="B213" s="194">
        <f>SUM(B204:B212)</f>
        <v>1504</v>
      </c>
      <c r="C213" s="18"/>
      <c r="D213" s="18"/>
      <c r="E213" s="18"/>
      <c r="F213" s="952"/>
      <c r="G213" s="18"/>
      <c r="H213" s="18"/>
      <c r="I213" s="663"/>
    </row>
    <row r="214">
      <c r="A214" s="305">
        <v>43943.0</v>
      </c>
      <c r="B214" s="948">
        <f t="shared" ref="B214:B222" si="22">F214</f>
        <v>250</v>
      </c>
      <c r="C214" s="242"/>
      <c r="D214" s="242"/>
      <c r="E214" s="242"/>
      <c r="F214" s="949">
        <v>250.0</v>
      </c>
      <c r="G214" s="244" t="s">
        <v>4216</v>
      </c>
      <c r="H214" s="244"/>
      <c r="I214" s="662"/>
    </row>
    <row r="215">
      <c r="A215" s="265"/>
      <c r="B215" s="950">
        <f t="shared" si="22"/>
        <v>534.6</v>
      </c>
      <c r="F215" s="161">
        <v>534.6</v>
      </c>
      <c r="G215" s="2" t="s">
        <v>708</v>
      </c>
      <c r="I215" s="847"/>
    </row>
    <row r="216">
      <c r="A216" s="265"/>
      <c r="B216" s="950">
        <f t="shared" si="22"/>
        <v>600</v>
      </c>
      <c r="F216" s="161">
        <v>600.0</v>
      </c>
      <c r="G216" s="2" t="s">
        <v>4217</v>
      </c>
      <c r="I216" s="847"/>
    </row>
    <row r="217">
      <c r="A217" s="265"/>
      <c r="B217" s="950" t="str">
        <f t="shared" si="22"/>
        <v/>
      </c>
      <c r="F217" s="161"/>
      <c r="I217" s="847"/>
    </row>
    <row r="218">
      <c r="A218" s="265"/>
      <c r="B218" s="950" t="str">
        <f t="shared" si="22"/>
        <v/>
      </c>
      <c r="F218" s="161"/>
      <c r="I218" s="847"/>
    </row>
    <row r="219">
      <c r="A219" s="265"/>
      <c r="B219" s="950" t="str">
        <f t="shared" si="22"/>
        <v/>
      </c>
      <c r="F219" s="161"/>
      <c r="I219" s="847"/>
    </row>
    <row r="220">
      <c r="A220" s="265"/>
      <c r="B220" s="950" t="str">
        <f t="shared" si="22"/>
        <v/>
      </c>
      <c r="F220" s="161"/>
      <c r="I220" s="847"/>
    </row>
    <row r="221">
      <c r="A221" s="265"/>
      <c r="B221" s="950" t="str">
        <f t="shared" si="22"/>
        <v/>
      </c>
      <c r="F221" s="161"/>
      <c r="I221" s="847"/>
    </row>
    <row r="222">
      <c r="A222" s="265"/>
      <c r="B222" s="950" t="str">
        <f t="shared" si="22"/>
        <v/>
      </c>
      <c r="F222" s="161"/>
      <c r="I222" s="847"/>
    </row>
    <row r="223">
      <c r="A223" s="270"/>
      <c r="B223" s="194">
        <f>SUM(B214:B222)</f>
        <v>1384.6</v>
      </c>
      <c r="C223" s="18"/>
      <c r="D223" s="18"/>
      <c r="E223" s="18"/>
      <c r="F223" s="952"/>
      <c r="G223" s="18"/>
      <c r="H223" s="18"/>
      <c r="I223" s="663"/>
    </row>
    <row r="224">
      <c r="A224" s="305">
        <v>43944.0</v>
      </c>
      <c r="B224" s="948" t="str">
        <f t="shared" ref="B224:B232" si="23">F224</f>
        <v/>
      </c>
      <c r="C224" s="242"/>
      <c r="D224" s="244">
        <v>1585.71</v>
      </c>
      <c r="E224" s="242"/>
      <c r="F224" s="949"/>
      <c r="G224" s="244" t="s">
        <v>2284</v>
      </c>
      <c r="H224" s="244"/>
      <c r="I224" s="662"/>
    </row>
    <row r="225">
      <c r="A225" s="265"/>
      <c r="B225" s="950" t="str">
        <f t="shared" si="23"/>
        <v/>
      </c>
      <c r="D225" s="2">
        <v>3987.5</v>
      </c>
      <c r="F225" s="161"/>
      <c r="G225" s="2" t="s">
        <v>2819</v>
      </c>
      <c r="I225" s="847"/>
    </row>
    <row r="226">
      <c r="A226" s="265"/>
      <c r="B226" s="950">
        <f t="shared" si="23"/>
        <v>620</v>
      </c>
      <c r="F226" s="161">
        <v>620.0</v>
      </c>
      <c r="G226" s="2" t="s">
        <v>1732</v>
      </c>
      <c r="I226" s="847"/>
    </row>
    <row r="227">
      <c r="A227" s="265"/>
      <c r="B227" s="950">
        <f t="shared" si="23"/>
        <v>204</v>
      </c>
      <c r="F227" s="161">
        <v>204.0</v>
      </c>
      <c r="G227" s="2" t="s">
        <v>4090</v>
      </c>
      <c r="I227" s="847"/>
    </row>
    <row r="228">
      <c r="A228" s="265"/>
      <c r="B228" s="950" t="str">
        <f t="shared" si="23"/>
        <v/>
      </c>
      <c r="F228" s="161"/>
      <c r="I228" s="847"/>
    </row>
    <row r="229">
      <c r="A229" s="265"/>
      <c r="B229" s="950" t="str">
        <f t="shared" si="23"/>
        <v/>
      </c>
      <c r="F229" s="161"/>
      <c r="I229" s="847"/>
    </row>
    <row r="230">
      <c r="A230" s="265"/>
      <c r="B230" s="950" t="str">
        <f t="shared" si="23"/>
        <v/>
      </c>
      <c r="F230" s="161"/>
      <c r="I230" s="847"/>
    </row>
    <row r="231">
      <c r="A231" s="265"/>
      <c r="B231" s="950" t="str">
        <f t="shared" si="23"/>
        <v/>
      </c>
      <c r="F231" s="161"/>
      <c r="I231" s="847"/>
    </row>
    <row r="232">
      <c r="A232" s="265"/>
      <c r="B232" s="950" t="str">
        <f t="shared" si="23"/>
        <v/>
      </c>
      <c r="F232" s="161"/>
      <c r="I232" s="847"/>
    </row>
    <row r="233">
      <c r="A233" s="270"/>
      <c r="B233" s="194">
        <f>SUM(B224:B232)</f>
        <v>824</v>
      </c>
      <c r="C233" s="18"/>
      <c r="D233" s="18"/>
      <c r="E233" s="18"/>
      <c r="F233" s="952"/>
      <c r="G233" s="18"/>
      <c r="H233" s="18"/>
      <c r="I233" s="663"/>
    </row>
    <row r="234">
      <c r="A234" s="305">
        <v>43945.0</v>
      </c>
      <c r="B234" s="948">
        <f t="shared" ref="B234:B242" si="24">F234</f>
        <v>1740</v>
      </c>
      <c r="C234" s="242"/>
      <c r="D234" s="242"/>
      <c r="E234" s="242"/>
      <c r="F234" s="949">
        <v>1740.0</v>
      </c>
      <c r="G234" s="244" t="s">
        <v>76</v>
      </c>
      <c r="H234" s="244"/>
      <c r="I234" s="662"/>
    </row>
    <row r="235">
      <c r="A235" s="265"/>
      <c r="B235" s="950">
        <f t="shared" si="24"/>
        <v>1100</v>
      </c>
      <c r="F235" s="161">
        <v>1100.0</v>
      </c>
      <c r="G235" s="2" t="s">
        <v>421</v>
      </c>
      <c r="I235" s="847"/>
    </row>
    <row r="236">
      <c r="A236" s="265"/>
      <c r="B236" s="950">
        <f t="shared" si="24"/>
        <v>5750</v>
      </c>
      <c r="F236" s="161">
        <v>5750.0</v>
      </c>
      <c r="G236" s="2" t="s">
        <v>4218</v>
      </c>
      <c r="H236" s="942"/>
      <c r="I236" s="847"/>
    </row>
    <row r="237">
      <c r="A237" s="265"/>
      <c r="B237" s="950">
        <f t="shared" si="24"/>
        <v>80</v>
      </c>
      <c r="F237" s="161">
        <v>80.0</v>
      </c>
      <c r="G237" s="2" t="s">
        <v>4219</v>
      </c>
      <c r="I237" s="847"/>
    </row>
    <row r="238">
      <c r="A238" s="265"/>
      <c r="B238" s="950" t="str">
        <f t="shared" si="24"/>
        <v/>
      </c>
      <c r="F238" s="161"/>
      <c r="I238" s="847"/>
    </row>
    <row r="239">
      <c r="A239" s="265"/>
      <c r="B239" s="950" t="str">
        <f t="shared" si="24"/>
        <v/>
      </c>
      <c r="F239" s="161"/>
      <c r="I239" s="847"/>
    </row>
    <row r="240">
      <c r="A240" s="265"/>
      <c r="B240" s="950" t="str">
        <f t="shared" si="24"/>
        <v/>
      </c>
      <c r="F240" s="161"/>
      <c r="I240" s="847"/>
    </row>
    <row r="241">
      <c r="A241" s="265"/>
      <c r="B241" s="950" t="str">
        <f t="shared" si="24"/>
        <v/>
      </c>
      <c r="F241" s="161"/>
      <c r="I241" s="847"/>
    </row>
    <row r="242">
      <c r="A242" s="265"/>
      <c r="B242" s="950" t="str">
        <f t="shared" si="24"/>
        <v/>
      </c>
      <c r="F242" s="161"/>
      <c r="I242" s="847"/>
    </row>
    <row r="243">
      <c r="A243" s="270"/>
      <c r="B243" s="194">
        <f>SUM(B234:B242)</f>
        <v>8670</v>
      </c>
      <c r="C243" s="18"/>
      <c r="D243" s="18"/>
      <c r="E243" s="18"/>
      <c r="F243" s="952"/>
      <c r="G243" s="18"/>
      <c r="H243" s="18"/>
      <c r="I243" s="663"/>
    </row>
    <row r="244">
      <c r="A244" s="305">
        <v>43946.0</v>
      </c>
      <c r="B244" s="948">
        <f t="shared" ref="B244:B252" si="25">F244</f>
        <v>8500</v>
      </c>
      <c r="C244" s="242"/>
      <c r="D244" s="242"/>
      <c r="E244" s="242"/>
      <c r="F244" s="949">
        <v>8500.0</v>
      </c>
      <c r="G244" s="244" t="s">
        <v>3760</v>
      </c>
      <c r="H244" s="962"/>
      <c r="I244" s="662"/>
    </row>
    <row r="245">
      <c r="A245" s="265"/>
      <c r="B245" s="950">
        <f t="shared" si="25"/>
        <v>6050</v>
      </c>
      <c r="F245" s="161">
        <v>6050.0</v>
      </c>
      <c r="G245" s="2" t="s">
        <v>3761</v>
      </c>
      <c r="H245" s="552"/>
      <c r="I245" s="847"/>
    </row>
    <row r="246">
      <c r="A246" s="265"/>
      <c r="B246" s="950">
        <f t="shared" si="25"/>
        <v>5800</v>
      </c>
      <c r="F246" s="161">
        <v>5800.0</v>
      </c>
      <c r="G246" s="2" t="s">
        <v>4220</v>
      </c>
      <c r="H246" s="552"/>
      <c r="I246" s="847"/>
    </row>
    <row r="247">
      <c r="A247" s="265"/>
      <c r="B247" s="950">
        <f t="shared" si="25"/>
        <v>613</v>
      </c>
      <c r="F247" s="161">
        <v>613.0</v>
      </c>
      <c r="G247" s="2" t="s">
        <v>708</v>
      </c>
      <c r="I247" s="847"/>
    </row>
    <row r="248">
      <c r="A248" s="265"/>
      <c r="B248" s="950" t="str">
        <f t="shared" si="25"/>
        <v/>
      </c>
      <c r="F248" s="161"/>
      <c r="I248" s="847"/>
    </row>
    <row r="249">
      <c r="A249" s="265"/>
      <c r="B249" s="950" t="str">
        <f t="shared" si="25"/>
        <v/>
      </c>
      <c r="F249" s="161"/>
      <c r="I249" s="847"/>
    </row>
    <row r="250">
      <c r="A250" s="265"/>
      <c r="B250" s="950" t="str">
        <f t="shared" si="25"/>
        <v/>
      </c>
      <c r="F250" s="161"/>
      <c r="I250" s="847"/>
    </row>
    <row r="251">
      <c r="A251" s="265"/>
      <c r="B251" s="950" t="str">
        <f t="shared" si="25"/>
        <v/>
      </c>
      <c r="F251" s="161"/>
      <c r="I251" s="847"/>
    </row>
    <row r="252">
      <c r="A252" s="265"/>
      <c r="B252" s="950" t="str">
        <f t="shared" si="25"/>
        <v/>
      </c>
      <c r="F252" s="161"/>
      <c r="I252" s="847"/>
    </row>
    <row r="253">
      <c r="A253" s="270"/>
      <c r="B253" s="194">
        <f>SUM(B244:B252)</f>
        <v>20963</v>
      </c>
      <c r="C253" s="18"/>
      <c r="D253" s="18"/>
      <c r="E253" s="18"/>
      <c r="F253" s="952"/>
      <c r="G253" s="18"/>
      <c r="H253" s="18"/>
      <c r="I253" s="663"/>
    </row>
    <row r="254">
      <c r="A254" s="305">
        <v>43947.0</v>
      </c>
      <c r="B254" s="948">
        <f t="shared" ref="B254:B262" si="26">F254</f>
        <v>7250</v>
      </c>
      <c r="C254" s="242"/>
      <c r="D254" s="242"/>
      <c r="E254" s="242"/>
      <c r="F254" s="949">
        <v>7250.0</v>
      </c>
      <c r="G254" s="244" t="s">
        <v>4221</v>
      </c>
      <c r="H254" s="962"/>
      <c r="I254" s="662"/>
    </row>
    <row r="255">
      <c r="A255" s="265"/>
      <c r="B255" s="950">
        <f t="shared" si="26"/>
        <v>5800</v>
      </c>
      <c r="F255" s="161">
        <v>5800.0</v>
      </c>
      <c r="G255" s="2" t="s">
        <v>4222</v>
      </c>
      <c r="H255" s="552"/>
      <c r="I255" s="847"/>
    </row>
    <row r="256">
      <c r="A256" s="265"/>
      <c r="B256" s="950">
        <f t="shared" si="26"/>
        <v>8000</v>
      </c>
      <c r="D256" s="2">
        <v>500.0</v>
      </c>
      <c r="F256" s="161">
        <v>8000.0</v>
      </c>
      <c r="G256" s="2" t="s">
        <v>4223</v>
      </c>
      <c r="H256" s="552"/>
      <c r="I256" s="847"/>
    </row>
    <row r="257">
      <c r="A257" s="265"/>
      <c r="B257" s="950" t="str">
        <f t="shared" si="26"/>
        <v/>
      </c>
      <c r="F257" s="161"/>
      <c r="I257" s="847"/>
    </row>
    <row r="258">
      <c r="A258" s="265"/>
      <c r="B258" s="950" t="str">
        <f t="shared" si="26"/>
        <v/>
      </c>
      <c r="F258" s="161"/>
      <c r="I258" s="847"/>
    </row>
    <row r="259">
      <c r="A259" s="265"/>
      <c r="B259" s="950" t="str">
        <f t="shared" si="26"/>
        <v/>
      </c>
      <c r="F259" s="161"/>
      <c r="I259" s="847"/>
    </row>
    <row r="260">
      <c r="A260" s="265"/>
      <c r="B260" s="950" t="str">
        <f t="shared" si="26"/>
        <v/>
      </c>
      <c r="F260" s="161"/>
      <c r="I260" s="847"/>
    </row>
    <row r="261">
      <c r="A261" s="265"/>
      <c r="B261" s="950" t="str">
        <f t="shared" si="26"/>
        <v/>
      </c>
      <c r="F261" s="161"/>
      <c r="I261" s="847"/>
    </row>
    <row r="262">
      <c r="A262" s="265"/>
      <c r="B262" s="950" t="str">
        <f t="shared" si="26"/>
        <v/>
      </c>
      <c r="F262" s="161"/>
      <c r="I262" s="847"/>
    </row>
    <row r="263">
      <c r="A263" s="270"/>
      <c r="B263" s="194">
        <f>SUM(B254:B262)</f>
        <v>21050</v>
      </c>
      <c r="C263" s="18"/>
      <c r="D263" s="18"/>
      <c r="E263" s="18"/>
      <c r="F263" s="952"/>
      <c r="G263" s="18"/>
      <c r="H263" s="18"/>
      <c r="I263" s="663"/>
    </row>
    <row r="264">
      <c r="A264" s="305">
        <v>43948.0</v>
      </c>
      <c r="B264" s="948">
        <f t="shared" ref="B264:B272" si="27">F264</f>
        <v>127</v>
      </c>
      <c r="C264" s="242"/>
      <c r="D264" s="242"/>
      <c r="E264" s="242"/>
      <c r="F264" s="949">
        <v>127.0</v>
      </c>
      <c r="G264" s="244" t="s">
        <v>4224</v>
      </c>
      <c r="H264" s="244"/>
      <c r="I264" s="662"/>
    </row>
    <row r="265">
      <c r="A265" s="265"/>
      <c r="B265" s="950">
        <f t="shared" si="27"/>
        <v>354</v>
      </c>
      <c r="F265" s="161">
        <v>354.0</v>
      </c>
      <c r="G265" s="2" t="s">
        <v>345</v>
      </c>
      <c r="I265" s="847"/>
    </row>
    <row r="266">
      <c r="A266" s="265"/>
      <c r="B266" s="950">
        <f t="shared" si="27"/>
        <v>1377.71</v>
      </c>
      <c r="F266" s="161">
        <v>1377.71</v>
      </c>
      <c r="G266" s="2" t="s">
        <v>58</v>
      </c>
      <c r="I266" s="847"/>
    </row>
    <row r="267">
      <c r="A267" s="265"/>
      <c r="B267" s="950">
        <f t="shared" si="27"/>
        <v>270</v>
      </c>
      <c r="F267" s="161">
        <v>270.0</v>
      </c>
      <c r="G267" s="2" t="s">
        <v>139</v>
      </c>
      <c r="I267" s="847"/>
    </row>
    <row r="268">
      <c r="A268" s="265"/>
      <c r="B268" s="950" t="str">
        <f t="shared" si="27"/>
        <v/>
      </c>
      <c r="F268" s="161"/>
      <c r="I268" s="847"/>
    </row>
    <row r="269">
      <c r="A269" s="265"/>
      <c r="B269" s="950" t="str">
        <f t="shared" si="27"/>
        <v/>
      </c>
      <c r="F269" s="161"/>
      <c r="I269" s="847"/>
    </row>
    <row r="270">
      <c r="A270" s="265"/>
      <c r="B270" s="950" t="str">
        <f t="shared" si="27"/>
        <v/>
      </c>
      <c r="F270" s="161"/>
      <c r="I270" s="847"/>
    </row>
    <row r="271">
      <c r="A271" s="265"/>
      <c r="B271" s="950" t="str">
        <f t="shared" si="27"/>
        <v/>
      </c>
      <c r="F271" s="161"/>
      <c r="I271" s="847"/>
    </row>
    <row r="272">
      <c r="A272" s="265"/>
      <c r="B272" s="950" t="str">
        <f t="shared" si="27"/>
        <v/>
      </c>
      <c r="F272" s="161"/>
      <c r="I272" s="847"/>
    </row>
    <row r="273">
      <c r="A273" s="270"/>
      <c r="B273" s="194">
        <f>SUM(B264:B272)</f>
        <v>2128.71</v>
      </c>
      <c r="C273" s="18"/>
      <c r="D273" s="18"/>
      <c r="E273" s="18"/>
      <c r="F273" s="952"/>
      <c r="G273" s="18"/>
      <c r="H273" s="18"/>
      <c r="I273" s="663"/>
    </row>
    <row r="274">
      <c r="A274" s="305">
        <v>43949.0</v>
      </c>
      <c r="B274" s="948">
        <f t="shared" ref="B274:B282" si="28">F274</f>
        <v>852.43</v>
      </c>
      <c r="C274" s="242"/>
      <c r="D274" s="242"/>
      <c r="E274" s="242"/>
      <c r="F274" s="949">
        <v>852.43</v>
      </c>
      <c r="G274" s="244" t="s">
        <v>314</v>
      </c>
      <c r="H274" s="244"/>
      <c r="I274" s="662"/>
    </row>
    <row r="275">
      <c r="A275" s="265"/>
      <c r="B275" s="950">
        <f t="shared" si="28"/>
        <v>4000</v>
      </c>
      <c r="F275" s="161">
        <v>4000.0</v>
      </c>
      <c r="G275" s="2" t="s">
        <v>4043</v>
      </c>
      <c r="I275" s="847"/>
    </row>
    <row r="276">
      <c r="A276" s="265"/>
      <c r="B276" s="950">
        <f t="shared" si="28"/>
        <v>140</v>
      </c>
      <c r="F276" s="161">
        <f>45+95</f>
        <v>140</v>
      </c>
      <c r="G276" s="2" t="s">
        <v>4225</v>
      </c>
      <c r="I276" s="847"/>
    </row>
    <row r="277">
      <c r="A277" s="265"/>
      <c r="B277" s="950">
        <f t="shared" si="28"/>
        <v>66</v>
      </c>
      <c r="F277" s="161">
        <v>66.0</v>
      </c>
      <c r="G277" s="2" t="s">
        <v>4226</v>
      </c>
      <c r="I277" s="847"/>
    </row>
    <row r="278">
      <c r="A278" s="265"/>
      <c r="B278" s="950" t="str">
        <f t="shared" si="28"/>
        <v/>
      </c>
      <c r="F278" s="161"/>
      <c r="I278" s="847"/>
    </row>
    <row r="279">
      <c r="A279" s="265"/>
      <c r="B279" s="950" t="str">
        <f t="shared" si="28"/>
        <v/>
      </c>
      <c r="F279" s="161"/>
      <c r="I279" s="847"/>
    </row>
    <row r="280">
      <c r="A280" s="265"/>
      <c r="B280" s="950" t="str">
        <f t="shared" si="28"/>
        <v/>
      </c>
      <c r="F280" s="161"/>
      <c r="I280" s="847"/>
    </row>
    <row r="281">
      <c r="A281" s="265"/>
      <c r="B281" s="950" t="str">
        <f t="shared" si="28"/>
        <v/>
      </c>
      <c r="F281" s="161"/>
      <c r="I281" s="847"/>
    </row>
    <row r="282">
      <c r="A282" s="265"/>
      <c r="B282" s="950" t="str">
        <f t="shared" si="28"/>
        <v/>
      </c>
      <c r="F282" s="161"/>
      <c r="I282" s="847"/>
    </row>
    <row r="283">
      <c r="A283" s="270"/>
      <c r="B283" s="194">
        <f>SUM(B274:B282)</f>
        <v>5058.43</v>
      </c>
      <c r="C283" s="18"/>
      <c r="D283" s="18"/>
      <c r="E283" s="18"/>
      <c r="F283" s="952"/>
      <c r="G283" s="18"/>
      <c r="H283" s="18"/>
      <c r="I283" s="663"/>
    </row>
    <row r="284">
      <c r="A284" s="305">
        <v>43950.0</v>
      </c>
      <c r="B284" s="948">
        <f t="shared" ref="B284:B292" si="29">F284</f>
        <v>1235</v>
      </c>
      <c r="C284" s="242"/>
      <c r="D284" s="242"/>
      <c r="E284" s="242"/>
      <c r="F284" s="949">
        <v>1235.0</v>
      </c>
      <c r="G284" s="244" t="s">
        <v>4227</v>
      </c>
      <c r="H284" s="244"/>
      <c r="I284" s="662"/>
    </row>
    <row r="285">
      <c r="A285" s="265"/>
      <c r="B285" s="950">
        <f t="shared" si="29"/>
        <v>85</v>
      </c>
      <c r="F285" s="161">
        <v>85.0</v>
      </c>
      <c r="G285" s="2" t="s">
        <v>345</v>
      </c>
      <c r="I285" s="847"/>
    </row>
    <row r="286">
      <c r="A286" s="265"/>
      <c r="B286" s="950">
        <f t="shared" si="29"/>
        <v>857.77</v>
      </c>
      <c r="F286" s="161">
        <v>857.77</v>
      </c>
      <c r="G286" s="2" t="s">
        <v>4228</v>
      </c>
      <c r="I286" s="847"/>
    </row>
    <row r="287">
      <c r="A287" s="265"/>
      <c r="B287" s="950" t="str">
        <f t="shared" si="29"/>
        <v/>
      </c>
      <c r="F287" s="161"/>
      <c r="I287" s="847"/>
    </row>
    <row r="288">
      <c r="A288" s="265"/>
      <c r="B288" s="950" t="str">
        <f t="shared" si="29"/>
        <v/>
      </c>
      <c r="F288" s="161"/>
      <c r="I288" s="847"/>
    </row>
    <row r="289">
      <c r="A289" s="265"/>
      <c r="B289" s="950" t="str">
        <f t="shared" si="29"/>
        <v/>
      </c>
      <c r="F289" s="161"/>
      <c r="I289" s="847"/>
    </row>
    <row r="290">
      <c r="A290" s="265"/>
      <c r="B290" s="950" t="str">
        <f t="shared" si="29"/>
        <v/>
      </c>
      <c r="F290" s="161"/>
      <c r="I290" s="847"/>
    </row>
    <row r="291">
      <c r="A291" s="265"/>
      <c r="B291" s="950" t="str">
        <f t="shared" si="29"/>
        <v/>
      </c>
      <c r="F291" s="161"/>
      <c r="I291" s="847"/>
    </row>
    <row r="292">
      <c r="A292" s="265"/>
      <c r="B292" s="950" t="str">
        <f t="shared" si="29"/>
        <v/>
      </c>
      <c r="F292" s="161"/>
      <c r="I292" s="847"/>
    </row>
    <row r="293">
      <c r="A293" s="270"/>
      <c r="B293" s="194">
        <f>SUM(B284:B292)</f>
        <v>2177.77</v>
      </c>
      <c r="C293" s="18"/>
      <c r="D293" s="18"/>
      <c r="E293" s="18"/>
      <c r="F293" s="952"/>
      <c r="G293" s="18"/>
      <c r="H293" s="18"/>
      <c r="I293" s="663"/>
    </row>
    <row r="294">
      <c r="A294" s="305">
        <v>43951.0</v>
      </c>
      <c r="B294" s="948">
        <f t="shared" ref="B294:B302" si="30">F294</f>
        <v>300</v>
      </c>
      <c r="C294" s="242"/>
      <c r="D294" s="242"/>
      <c r="E294" s="242"/>
      <c r="F294" s="949">
        <v>300.0</v>
      </c>
      <c r="G294" s="244" t="s">
        <v>3752</v>
      </c>
      <c r="H294" s="244"/>
      <c r="I294" s="662"/>
    </row>
    <row r="295">
      <c r="A295" s="265"/>
      <c r="B295" s="950" t="str">
        <f t="shared" si="30"/>
        <v/>
      </c>
      <c r="F295" s="161"/>
      <c r="I295" s="847"/>
    </row>
    <row r="296">
      <c r="A296" s="265"/>
      <c r="B296" s="950" t="str">
        <f t="shared" si="30"/>
        <v/>
      </c>
      <c r="F296" s="161"/>
      <c r="I296" s="847"/>
    </row>
    <row r="297">
      <c r="A297" s="265"/>
      <c r="B297" s="950" t="str">
        <f t="shared" si="30"/>
        <v/>
      </c>
      <c r="F297" s="161"/>
      <c r="I297" s="847"/>
    </row>
    <row r="298">
      <c r="A298" s="265"/>
      <c r="B298" s="950" t="str">
        <f t="shared" si="30"/>
        <v/>
      </c>
      <c r="F298" s="161"/>
      <c r="I298" s="847"/>
    </row>
    <row r="299">
      <c r="A299" s="265"/>
      <c r="B299" s="950" t="str">
        <f t="shared" si="30"/>
        <v/>
      </c>
      <c r="F299" s="161"/>
      <c r="I299" s="847"/>
    </row>
    <row r="300">
      <c r="A300" s="265"/>
      <c r="B300" s="950" t="str">
        <f t="shared" si="30"/>
        <v/>
      </c>
      <c r="F300" s="161"/>
      <c r="I300" s="847"/>
    </row>
    <row r="301">
      <c r="A301" s="265"/>
      <c r="B301" s="950" t="str">
        <f t="shared" si="30"/>
        <v/>
      </c>
      <c r="F301" s="161"/>
      <c r="I301" s="847"/>
    </row>
    <row r="302">
      <c r="A302" s="265"/>
      <c r="B302" s="950" t="str">
        <f t="shared" si="30"/>
        <v/>
      </c>
      <c r="F302" s="161"/>
      <c r="I302" s="847"/>
    </row>
    <row r="303">
      <c r="A303" s="270"/>
      <c r="B303" s="194">
        <f>SUM(B294:B302)</f>
        <v>300</v>
      </c>
      <c r="C303" s="18"/>
      <c r="D303" s="18"/>
      <c r="E303" s="18"/>
      <c r="F303" s="952"/>
      <c r="G303" s="18"/>
      <c r="H303" s="18"/>
      <c r="I303" s="663"/>
    </row>
  </sheetData>
  <mergeCells count="31">
    <mergeCell ref="G1:H1"/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3"/>
    <mergeCell ref="A184:A193"/>
    <mergeCell ref="A194:A203"/>
    <mergeCell ref="A274:A283"/>
    <mergeCell ref="A284:A293"/>
    <mergeCell ref="A294:A303"/>
    <mergeCell ref="A204:A213"/>
    <mergeCell ref="A214:A223"/>
    <mergeCell ref="A224:A233"/>
    <mergeCell ref="A234:A243"/>
    <mergeCell ref="A244:A253"/>
    <mergeCell ref="A254:A263"/>
    <mergeCell ref="A264:A27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0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</row>
    <row r="2">
      <c r="A2" s="305">
        <v>43983.0</v>
      </c>
      <c r="B2" s="948" t="str">
        <f t="shared" ref="B2:B10" si="1">F2</f>
        <v/>
      </c>
      <c r="C2" s="242"/>
      <c r="D2" s="242"/>
      <c r="E2" s="242"/>
      <c r="F2" s="949"/>
      <c r="G2" s="244"/>
      <c r="H2" s="244"/>
      <c r="I2" s="662"/>
    </row>
    <row r="3">
      <c r="A3" s="265"/>
      <c r="B3" s="950" t="str">
        <f t="shared" si="1"/>
        <v/>
      </c>
      <c r="F3" s="161"/>
      <c r="I3" s="847"/>
    </row>
    <row r="4">
      <c r="A4" s="265"/>
      <c r="B4" s="950" t="str">
        <f t="shared" si="1"/>
        <v/>
      </c>
      <c r="F4" s="161"/>
      <c r="I4" s="847"/>
    </row>
    <row r="5">
      <c r="A5" s="265"/>
      <c r="B5" s="950" t="str">
        <f t="shared" si="1"/>
        <v/>
      </c>
      <c r="F5" s="161"/>
      <c r="I5" s="847"/>
    </row>
    <row r="6">
      <c r="A6" s="265"/>
      <c r="B6" s="950" t="str">
        <f t="shared" si="1"/>
        <v/>
      </c>
      <c r="F6" s="161"/>
      <c r="I6" s="847"/>
    </row>
    <row r="7">
      <c r="A7" s="265"/>
      <c r="B7" s="950" t="str">
        <f t="shared" si="1"/>
        <v/>
      </c>
      <c r="F7" s="161"/>
      <c r="I7" s="847"/>
    </row>
    <row r="8">
      <c r="A8" s="265"/>
      <c r="B8" s="950" t="str">
        <f t="shared" si="1"/>
        <v/>
      </c>
      <c r="F8" s="161"/>
      <c r="I8" s="847"/>
    </row>
    <row r="9">
      <c r="A9" s="265"/>
      <c r="B9" s="950" t="str">
        <f t="shared" si="1"/>
        <v/>
      </c>
      <c r="F9" s="161"/>
      <c r="I9" s="847"/>
    </row>
    <row r="10">
      <c r="A10" s="265"/>
      <c r="B10" s="950" t="str">
        <f t="shared" si="1"/>
        <v/>
      </c>
      <c r="F10" s="161"/>
      <c r="I10" s="847"/>
    </row>
    <row r="11">
      <c r="A11" s="270"/>
      <c r="B11" s="194">
        <f>SUM(B2:B10)</f>
        <v>0</v>
      </c>
      <c r="C11" s="18"/>
      <c r="D11" s="18"/>
      <c r="E11" s="18"/>
      <c r="F11" s="952"/>
      <c r="G11" s="18"/>
      <c r="H11" s="18"/>
      <c r="I11" s="663"/>
    </row>
    <row r="12">
      <c r="A12" s="305">
        <v>43984.0</v>
      </c>
      <c r="B12" s="948" t="str">
        <f t="shared" ref="B12:B20" si="2">F12</f>
        <v/>
      </c>
      <c r="C12" s="242"/>
      <c r="D12" s="242"/>
      <c r="E12" s="242"/>
      <c r="F12" s="949"/>
      <c r="G12" s="244"/>
      <c r="H12" s="244"/>
      <c r="I12" s="662"/>
    </row>
    <row r="13">
      <c r="A13" s="265"/>
      <c r="B13" s="950" t="str">
        <f t="shared" si="2"/>
        <v/>
      </c>
      <c r="F13" s="161"/>
      <c r="I13" s="847"/>
    </row>
    <row r="14">
      <c r="A14" s="265"/>
      <c r="B14" s="950" t="str">
        <f t="shared" si="2"/>
        <v/>
      </c>
      <c r="F14" s="161"/>
      <c r="I14" s="847"/>
    </row>
    <row r="15">
      <c r="A15" s="265"/>
      <c r="B15" s="950" t="str">
        <f t="shared" si="2"/>
        <v/>
      </c>
      <c r="F15" s="161"/>
      <c r="I15" s="847"/>
    </row>
    <row r="16">
      <c r="A16" s="265"/>
      <c r="B16" s="950" t="str">
        <f t="shared" si="2"/>
        <v/>
      </c>
      <c r="F16" s="161"/>
      <c r="I16" s="847"/>
    </row>
    <row r="17">
      <c r="A17" s="265"/>
      <c r="B17" s="950" t="str">
        <f t="shared" si="2"/>
        <v/>
      </c>
      <c r="F17" s="161"/>
      <c r="I17" s="847"/>
    </row>
    <row r="18">
      <c r="A18" s="265"/>
      <c r="B18" s="950" t="str">
        <f t="shared" si="2"/>
        <v/>
      </c>
      <c r="F18" s="161"/>
      <c r="I18" s="847"/>
    </row>
    <row r="19">
      <c r="A19" s="265"/>
      <c r="B19" s="950" t="str">
        <f t="shared" si="2"/>
        <v/>
      </c>
      <c r="F19" s="161"/>
      <c r="I19" s="847"/>
    </row>
    <row r="20">
      <c r="A20" s="265"/>
      <c r="B20" s="950" t="str">
        <f t="shared" si="2"/>
        <v/>
      </c>
      <c r="F20" s="161"/>
      <c r="I20" s="847"/>
    </row>
    <row r="21">
      <c r="A21" s="270"/>
      <c r="B21" s="194">
        <f>SUM(B12:B20)</f>
        <v>0</v>
      </c>
      <c r="C21" s="18"/>
      <c r="D21" s="18"/>
      <c r="E21" s="18"/>
      <c r="F21" s="952"/>
      <c r="G21" s="18"/>
      <c r="H21" s="18"/>
      <c r="I21" s="663"/>
    </row>
    <row r="22">
      <c r="A22" s="305">
        <v>43985.0</v>
      </c>
      <c r="B22" s="948" t="str">
        <f t="shared" ref="B22:B30" si="3">F22</f>
        <v/>
      </c>
      <c r="C22" s="242"/>
      <c r="D22" s="242"/>
      <c r="E22" s="242"/>
      <c r="F22" s="949"/>
      <c r="G22" s="244"/>
      <c r="H22" s="244"/>
      <c r="I22" s="662"/>
    </row>
    <row r="23">
      <c r="A23" s="265"/>
      <c r="B23" s="950" t="str">
        <f t="shared" si="3"/>
        <v/>
      </c>
      <c r="F23" s="161"/>
      <c r="I23" s="847"/>
    </row>
    <row r="24">
      <c r="A24" s="265"/>
      <c r="B24" s="950" t="str">
        <f t="shared" si="3"/>
        <v/>
      </c>
      <c r="F24" s="161"/>
      <c r="I24" s="847"/>
    </row>
    <row r="25">
      <c r="A25" s="265"/>
      <c r="B25" s="950" t="str">
        <f t="shared" si="3"/>
        <v/>
      </c>
      <c r="F25" s="161"/>
      <c r="I25" s="847"/>
    </row>
    <row r="26">
      <c r="A26" s="265"/>
      <c r="B26" s="950" t="str">
        <f t="shared" si="3"/>
        <v/>
      </c>
      <c r="F26" s="161"/>
      <c r="I26" s="847"/>
    </row>
    <row r="27">
      <c r="A27" s="265"/>
      <c r="B27" s="950" t="str">
        <f t="shared" si="3"/>
        <v/>
      </c>
      <c r="F27" s="161"/>
      <c r="I27" s="847"/>
    </row>
    <row r="28">
      <c r="A28" s="265"/>
      <c r="B28" s="950" t="str">
        <f t="shared" si="3"/>
        <v/>
      </c>
      <c r="F28" s="161"/>
      <c r="I28" s="847"/>
    </row>
    <row r="29">
      <c r="A29" s="265"/>
      <c r="B29" s="950" t="str">
        <f t="shared" si="3"/>
        <v/>
      </c>
      <c r="F29" s="161"/>
      <c r="I29" s="847"/>
    </row>
    <row r="30">
      <c r="A30" s="265"/>
      <c r="B30" s="950" t="str">
        <f t="shared" si="3"/>
        <v/>
      </c>
      <c r="F30" s="161"/>
      <c r="I30" s="847"/>
    </row>
    <row r="31">
      <c r="A31" s="270"/>
      <c r="B31" s="194">
        <f>SUM(B22:B30)</f>
        <v>0</v>
      </c>
      <c r="C31" s="18"/>
      <c r="D31" s="18"/>
      <c r="E31" s="18"/>
      <c r="F31" s="952"/>
      <c r="G31" s="18"/>
      <c r="H31" s="18"/>
      <c r="I31" s="663"/>
    </row>
    <row r="32">
      <c r="A32" s="305">
        <v>43986.0</v>
      </c>
      <c r="B32" s="948" t="str">
        <f t="shared" ref="B32:B40" si="4">F32</f>
        <v/>
      </c>
      <c r="C32" s="242"/>
      <c r="D32" s="242"/>
      <c r="E32" s="242"/>
      <c r="F32" s="949"/>
      <c r="G32" s="244"/>
      <c r="H32" s="244"/>
      <c r="I32" s="662"/>
    </row>
    <row r="33">
      <c r="A33" s="265"/>
      <c r="B33" s="950" t="str">
        <f t="shared" si="4"/>
        <v/>
      </c>
      <c r="F33" s="161"/>
      <c r="I33" s="847"/>
    </row>
    <row r="34">
      <c r="A34" s="265"/>
      <c r="B34" s="950" t="str">
        <f t="shared" si="4"/>
        <v/>
      </c>
      <c r="F34" s="161"/>
      <c r="I34" s="847"/>
    </row>
    <row r="35">
      <c r="A35" s="265"/>
      <c r="B35" s="950" t="str">
        <f t="shared" si="4"/>
        <v/>
      </c>
      <c r="F35" s="161"/>
      <c r="I35" s="847"/>
    </row>
    <row r="36">
      <c r="A36" s="265"/>
      <c r="B36" s="950" t="str">
        <f t="shared" si="4"/>
        <v/>
      </c>
      <c r="F36" s="161"/>
      <c r="I36" s="847"/>
    </row>
    <row r="37">
      <c r="A37" s="265"/>
      <c r="B37" s="950" t="str">
        <f t="shared" si="4"/>
        <v/>
      </c>
      <c r="F37" s="161"/>
      <c r="I37" s="847"/>
    </row>
    <row r="38">
      <c r="A38" s="265"/>
      <c r="B38" s="950" t="str">
        <f t="shared" si="4"/>
        <v/>
      </c>
      <c r="F38" s="161"/>
      <c r="I38" s="847"/>
    </row>
    <row r="39">
      <c r="A39" s="265"/>
      <c r="B39" s="950" t="str">
        <f t="shared" si="4"/>
        <v/>
      </c>
      <c r="F39" s="161"/>
      <c r="I39" s="847"/>
    </row>
    <row r="40">
      <c r="A40" s="265"/>
      <c r="B40" s="950" t="str">
        <f t="shared" si="4"/>
        <v/>
      </c>
      <c r="F40" s="161"/>
      <c r="I40" s="847"/>
    </row>
    <row r="41">
      <c r="A41" s="270"/>
      <c r="B41" s="194">
        <f>SUM(B32:B40)</f>
        <v>0</v>
      </c>
      <c r="C41" s="18"/>
      <c r="D41" s="18"/>
      <c r="E41" s="18"/>
      <c r="F41" s="952"/>
      <c r="G41" s="18"/>
      <c r="H41" s="18"/>
      <c r="I41" s="663"/>
    </row>
    <row r="42">
      <c r="A42" s="305">
        <v>43987.0</v>
      </c>
      <c r="B42" s="948" t="str">
        <f t="shared" ref="B42:B50" si="5">F42</f>
        <v/>
      </c>
      <c r="C42" s="242"/>
      <c r="D42" s="242"/>
      <c r="E42" s="242"/>
      <c r="F42" s="949"/>
      <c r="G42" s="244"/>
      <c r="H42" s="244"/>
      <c r="I42" s="662"/>
    </row>
    <row r="43">
      <c r="A43" s="265"/>
      <c r="B43" s="950" t="str">
        <f t="shared" si="5"/>
        <v/>
      </c>
      <c r="F43" s="161"/>
      <c r="I43" s="847"/>
    </row>
    <row r="44">
      <c r="A44" s="265"/>
      <c r="B44" s="950" t="str">
        <f t="shared" si="5"/>
        <v/>
      </c>
      <c r="F44" s="161"/>
      <c r="I44" s="847"/>
    </row>
    <row r="45">
      <c r="A45" s="265"/>
      <c r="B45" s="950" t="str">
        <f t="shared" si="5"/>
        <v/>
      </c>
      <c r="F45" s="161"/>
      <c r="I45" s="847"/>
    </row>
    <row r="46">
      <c r="A46" s="265"/>
      <c r="B46" s="950" t="str">
        <f t="shared" si="5"/>
        <v/>
      </c>
      <c r="F46" s="161"/>
      <c r="I46" s="847"/>
    </row>
    <row r="47">
      <c r="A47" s="265"/>
      <c r="B47" s="950" t="str">
        <f t="shared" si="5"/>
        <v/>
      </c>
      <c r="F47" s="161"/>
      <c r="I47" s="847"/>
    </row>
    <row r="48">
      <c r="A48" s="265"/>
      <c r="B48" s="950" t="str">
        <f t="shared" si="5"/>
        <v/>
      </c>
      <c r="F48" s="161"/>
      <c r="I48" s="847"/>
    </row>
    <row r="49">
      <c r="A49" s="265"/>
      <c r="B49" s="950" t="str">
        <f t="shared" si="5"/>
        <v/>
      </c>
      <c r="F49" s="161"/>
      <c r="I49" s="847"/>
    </row>
    <row r="50">
      <c r="A50" s="265"/>
      <c r="B50" s="950" t="str">
        <f t="shared" si="5"/>
        <v/>
      </c>
      <c r="F50" s="161"/>
      <c r="I50" s="847"/>
    </row>
    <row r="51">
      <c r="A51" s="270"/>
      <c r="B51" s="194">
        <f>SUM(B42:B50)</f>
        <v>0</v>
      </c>
      <c r="C51" s="18"/>
      <c r="D51" s="18"/>
      <c r="E51" s="18"/>
      <c r="F51" s="952"/>
      <c r="G51" s="18"/>
      <c r="H51" s="18"/>
      <c r="I51" s="663"/>
    </row>
    <row r="52">
      <c r="A52" s="305">
        <v>43988.0</v>
      </c>
      <c r="B52" s="948" t="str">
        <f t="shared" ref="B52:B60" si="6">F52</f>
        <v/>
      </c>
      <c r="C52" s="242"/>
      <c r="D52" s="242"/>
      <c r="E52" s="242"/>
      <c r="F52" s="949"/>
      <c r="G52" s="244"/>
      <c r="H52" s="244"/>
      <c r="I52" s="662"/>
    </row>
    <row r="53">
      <c r="A53" s="265"/>
      <c r="B53" s="950" t="str">
        <f t="shared" si="6"/>
        <v/>
      </c>
      <c r="F53" s="161"/>
      <c r="I53" s="847"/>
    </row>
    <row r="54">
      <c r="A54" s="265"/>
      <c r="B54" s="950" t="str">
        <f t="shared" si="6"/>
        <v/>
      </c>
      <c r="F54" s="161"/>
      <c r="I54" s="847"/>
    </row>
    <row r="55">
      <c r="A55" s="265"/>
      <c r="B55" s="950" t="str">
        <f t="shared" si="6"/>
        <v/>
      </c>
      <c r="F55" s="161"/>
      <c r="I55" s="847"/>
    </row>
    <row r="56">
      <c r="A56" s="265"/>
      <c r="B56" s="950" t="str">
        <f t="shared" si="6"/>
        <v/>
      </c>
      <c r="F56" s="161"/>
      <c r="I56" s="847"/>
    </row>
    <row r="57">
      <c r="A57" s="265"/>
      <c r="B57" s="950" t="str">
        <f t="shared" si="6"/>
        <v/>
      </c>
      <c r="F57" s="161"/>
      <c r="I57" s="847"/>
    </row>
    <row r="58">
      <c r="A58" s="265"/>
      <c r="B58" s="950" t="str">
        <f t="shared" si="6"/>
        <v/>
      </c>
      <c r="F58" s="161"/>
      <c r="I58" s="847"/>
    </row>
    <row r="59">
      <c r="A59" s="265"/>
      <c r="B59" s="950" t="str">
        <f t="shared" si="6"/>
        <v/>
      </c>
      <c r="F59" s="161"/>
      <c r="I59" s="847"/>
    </row>
    <row r="60">
      <c r="A60" s="265"/>
      <c r="B60" s="950" t="str">
        <f t="shared" si="6"/>
        <v/>
      </c>
      <c r="F60" s="161"/>
      <c r="I60" s="847"/>
    </row>
    <row r="61">
      <c r="A61" s="270"/>
      <c r="B61" s="194">
        <f>SUM(B52:B60)</f>
        <v>0</v>
      </c>
      <c r="C61" s="18"/>
      <c r="D61" s="18"/>
      <c r="E61" s="18"/>
      <c r="F61" s="952"/>
      <c r="G61" s="18"/>
      <c r="H61" s="18"/>
      <c r="I61" s="663"/>
    </row>
    <row r="62">
      <c r="A62" s="305">
        <v>43989.0</v>
      </c>
      <c r="B62" s="948" t="str">
        <f t="shared" ref="B62:B70" si="7">F62</f>
        <v/>
      </c>
      <c r="C62" s="242"/>
      <c r="D62" s="242"/>
      <c r="E62" s="242"/>
      <c r="F62" s="949"/>
      <c r="G62" s="244"/>
      <c r="H62" s="244"/>
      <c r="I62" s="662"/>
    </row>
    <row r="63">
      <c r="A63" s="265"/>
      <c r="B63" s="950" t="str">
        <f t="shared" si="7"/>
        <v/>
      </c>
      <c r="F63" s="161"/>
      <c r="I63" s="847"/>
    </row>
    <row r="64">
      <c r="A64" s="265"/>
      <c r="B64" s="950" t="str">
        <f t="shared" si="7"/>
        <v/>
      </c>
      <c r="F64" s="161"/>
      <c r="I64" s="847"/>
    </row>
    <row r="65">
      <c r="A65" s="265"/>
      <c r="B65" s="950" t="str">
        <f t="shared" si="7"/>
        <v/>
      </c>
      <c r="F65" s="161"/>
      <c r="I65" s="847"/>
    </row>
    <row r="66">
      <c r="A66" s="265"/>
      <c r="B66" s="950" t="str">
        <f t="shared" si="7"/>
        <v/>
      </c>
      <c r="F66" s="161"/>
      <c r="I66" s="847"/>
    </row>
    <row r="67">
      <c r="A67" s="265"/>
      <c r="B67" s="950" t="str">
        <f t="shared" si="7"/>
        <v/>
      </c>
      <c r="F67" s="161"/>
      <c r="I67" s="847"/>
    </row>
    <row r="68">
      <c r="A68" s="265"/>
      <c r="B68" s="950" t="str">
        <f t="shared" si="7"/>
        <v/>
      </c>
      <c r="F68" s="161"/>
      <c r="I68" s="847"/>
    </row>
    <row r="69">
      <c r="A69" s="265"/>
      <c r="B69" s="950" t="str">
        <f t="shared" si="7"/>
        <v/>
      </c>
      <c r="F69" s="161"/>
      <c r="I69" s="847"/>
    </row>
    <row r="70">
      <c r="A70" s="265"/>
      <c r="B70" s="950" t="str">
        <f t="shared" si="7"/>
        <v/>
      </c>
      <c r="F70" s="161"/>
      <c r="I70" s="847"/>
    </row>
    <row r="71">
      <c r="A71" s="270"/>
      <c r="B71" s="194">
        <f>SUM(B62:B70)</f>
        <v>0</v>
      </c>
      <c r="C71" s="18"/>
      <c r="D71" s="18"/>
      <c r="E71" s="18"/>
      <c r="F71" s="952"/>
      <c r="G71" s="18"/>
      <c r="H71" s="18"/>
      <c r="I71" s="663"/>
    </row>
    <row r="72">
      <c r="A72" s="305">
        <v>43990.0</v>
      </c>
      <c r="B72" s="948" t="str">
        <f t="shared" ref="B72:B80" si="8">F72</f>
        <v/>
      </c>
      <c r="C72" s="242"/>
      <c r="D72" s="242"/>
      <c r="E72" s="242"/>
      <c r="F72" s="949"/>
      <c r="G72" s="244"/>
      <c r="H72" s="244"/>
      <c r="I72" s="662"/>
    </row>
    <row r="73">
      <c r="A73" s="265"/>
      <c r="B73" s="950" t="str">
        <f t="shared" si="8"/>
        <v/>
      </c>
      <c r="F73" s="161"/>
      <c r="I73" s="847"/>
    </row>
    <row r="74">
      <c r="A74" s="265"/>
      <c r="B74" s="950" t="str">
        <f t="shared" si="8"/>
        <v/>
      </c>
      <c r="F74" s="161"/>
      <c r="I74" s="847"/>
    </row>
    <row r="75">
      <c r="A75" s="265"/>
      <c r="B75" s="950" t="str">
        <f t="shared" si="8"/>
        <v/>
      </c>
      <c r="F75" s="161"/>
      <c r="I75" s="847"/>
    </row>
    <row r="76">
      <c r="A76" s="265"/>
      <c r="B76" s="950" t="str">
        <f t="shared" si="8"/>
        <v/>
      </c>
      <c r="F76" s="161"/>
      <c r="I76" s="847"/>
    </row>
    <row r="77">
      <c r="A77" s="265"/>
      <c r="B77" s="950" t="str">
        <f t="shared" si="8"/>
        <v/>
      </c>
      <c r="F77" s="161"/>
      <c r="I77" s="847"/>
    </row>
    <row r="78">
      <c r="A78" s="265"/>
      <c r="B78" s="950" t="str">
        <f t="shared" si="8"/>
        <v/>
      </c>
      <c r="F78" s="161"/>
      <c r="I78" s="847"/>
    </row>
    <row r="79">
      <c r="A79" s="265"/>
      <c r="B79" s="950" t="str">
        <f t="shared" si="8"/>
        <v/>
      </c>
      <c r="F79" s="161"/>
      <c r="I79" s="847"/>
    </row>
    <row r="80">
      <c r="A80" s="265"/>
      <c r="B80" s="950" t="str">
        <f t="shared" si="8"/>
        <v/>
      </c>
      <c r="F80" s="161"/>
      <c r="I80" s="847"/>
    </row>
    <row r="81">
      <c r="A81" s="270"/>
      <c r="B81" s="194">
        <f>SUM(B72:B80)</f>
        <v>0</v>
      </c>
      <c r="C81" s="18"/>
      <c r="D81" s="18"/>
      <c r="E81" s="18"/>
      <c r="F81" s="952"/>
      <c r="G81" s="18"/>
      <c r="H81" s="18"/>
      <c r="I81" s="663"/>
    </row>
    <row r="82">
      <c r="A82" s="305">
        <v>43991.0</v>
      </c>
      <c r="B82" s="948" t="str">
        <f t="shared" ref="B82:B90" si="9">F82</f>
        <v/>
      </c>
      <c r="C82" s="242"/>
      <c r="D82" s="242"/>
      <c r="E82" s="242"/>
      <c r="F82" s="949"/>
      <c r="G82" s="244"/>
      <c r="H82" s="244"/>
      <c r="I82" s="662"/>
    </row>
    <row r="83">
      <c r="A83" s="265"/>
      <c r="B83" s="950" t="str">
        <f t="shared" si="9"/>
        <v/>
      </c>
      <c r="F83" s="161"/>
      <c r="I83" s="847"/>
    </row>
    <row r="84">
      <c r="A84" s="265"/>
      <c r="B84" s="950" t="str">
        <f t="shared" si="9"/>
        <v/>
      </c>
      <c r="F84" s="161"/>
      <c r="I84" s="847"/>
    </row>
    <row r="85">
      <c r="A85" s="265"/>
      <c r="B85" s="950" t="str">
        <f t="shared" si="9"/>
        <v/>
      </c>
      <c r="F85" s="161"/>
      <c r="I85" s="847"/>
    </row>
    <row r="86">
      <c r="A86" s="265"/>
      <c r="B86" s="950" t="str">
        <f t="shared" si="9"/>
        <v/>
      </c>
      <c r="F86" s="161"/>
      <c r="I86" s="847"/>
    </row>
    <row r="87">
      <c r="A87" s="265"/>
      <c r="B87" s="950" t="str">
        <f t="shared" si="9"/>
        <v/>
      </c>
      <c r="F87" s="161"/>
      <c r="I87" s="847"/>
    </row>
    <row r="88">
      <c r="A88" s="265"/>
      <c r="B88" s="950" t="str">
        <f t="shared" si="9"/>
        <v/>
      </c>
      <c r="F88" s="161"/>
      <c r="I88" s="847"/>
    </row>
    <row r="89">
      <c r="A89" s="265"/>
      <c r="B89" s="950" t="str">
        <f t="shared" si="9"/>
        <v/>
      </c>
      <c r="F89" s="161"/>
      <c r="I89" s="847"/>
    </row>
    <row r="90">
      <c r="A90" s="265"/>
      <c r="B90" s="950" t="str">
        <f t="shared" si="9"/>
        <v/>
      </c>
      <c r="F90" s="161"/>
      <c r="I90" s="847"/>
    </row>
    <row r="91">
      <c r="A91" s="270"/>
      <c r="B91" s="194">
        <f>SUM(B82:B90)</f>
        <v>0</v>
      </c>
      <c r="C91" s="18"/>
      <c r="D91" s="18"/>
      <c r="E91" s="18"/>
      <c r="F91" s="952"/>
      <c r="G91" s="18"/>
      <c r="H91" s="18"/>
      <c r="I91" s="663"/>
    </row>
    <row r="92">
      <c r="A92" s="305">
        <v>43992.0</v>
      </c>
      <c r="B92" s="948" t="str">
        <f t="shared" ref="B92:B100" si="10">F92</f>
        <v/>
      </c>
      <c r="C92" s="242"/>
      <c r="D92" s="242"/>
      <c r="E92" s="242"/>
      <c r="F92" s="949"/>
      <c r="G92" s="244"/>
      <c r="H92" s="244"/>
      <c r="I92" s="662"/>
    </row>
    <row r="93">
      <c r="A93" s="265"/>
      <c r="B93" s="950" t="str">
        <f t="shared" si="10"/>
        <v/>
      </c>
      <c r="F93" s="161"/>
      <c r="I93" s="847"/>
    </row>
    <row r="94">
      <c r="A94" s="265"/>
      <c r="B94" s="950" t="str">
        <f t="shared" si="10"/>
        <v/>
      </c>
      <c r="F94" s="161"/>
      <c r="I94" s="847"/>
    </row>
    <row r="95">
      <c r="A95" s="265"/>
      <c r="B95" s="950" t="str">
        <f t="shared" si="10"/>
        <v/>
      </c>
      <c r="F95" s="161"/>
      <c r="I95" s="847"/>
    </row>
    <row r="96">
      <c r="A96" s="265"/>
      <c r="B96" s="950" t="str">
        <f t="shared" si="10"/>
        <v/>
      </c>
      <c r="F96" s="161"/>
      <c r="I96" s="847"/>
    </row>
    <row r="97">
      <c r="A97" s="265"/>
      <c r="B97" s="950" t="str">
        <f t="shared" si="10"/>
        <v/>
      </c>
      <c r="F97" s="161"/>
      <c r="I97" s="847"/>
    </row>
    <row r="98">
      <c r="A98" s="265"/>
      <c r="B98" s="950" t="str">
        <f t="shared" si="10"/>
        <v/>
      </c>
      <c r="F98" s="161"/>
      <c r="I98" s="847"/>
    </row>
    <row r="99">
      <c r="A99" s="265"/>
      <c r="B99" s="950" t="str">
        <f t="shared" si="10"/>
        <v/>
      </c>
      <c r="F99" s="161"/>
      <c r="I99" s="847"/>
    </row>
    <row r="100">
      <c r="A100" s="265"/>
      <c r="B100" s="950" t="str">
        <f t="shared" si="10"/>
        <v/>
      </c>
      <c r="F100" s="161"/>
      <c r="I100" s="847"/>
    </row>
    <row r="101">
      <c r="A101" s="270"/>
      <c r="B101" s="194">
        <f>SUM(B92:B100)</f>
        <v>0</v>
      </c>
      <c r="C101" s="18"/>
      <c r="D101" s="18"/>
      <c r="E101" s="18"/>
      <c r="F101" s="952"/>
      <c r="G101" s="18"/>
      <c r="H101" s="18"/>
      <c r="I101" s="663"/>
    </row>
    <row r="102">
      <c r="A102" s="305">
        <v>43993.0</v>
      </c>
      <c r="B102" s="948" t="str">
        <f t="shared" ref="B102:B110" si="11">F102</f>
        <v/>
      </c>
      <c r="C102" s="242"/>
      <c r="D102" s="242"/>
      <c r="E102" s="242"/>
      <c r="F102" s="949"/>
      <c r="G102" s="244"/>
      <c r="H102" s="244"/>
      <c r="I102" s="662"/>
    </row>
    <row r="103">
      <c r="A103" s="265"/>
      <c r="B103" s="950" t="str">
        <f t="shared" si="11"/>
        <v/>
      </c>
      <c r="F103" s="161"/>
      <c r="I103" s="847"/>
    </row>
    <row r="104">
      <c r="A104" s="265"/>
      <c r="B104" s="950" t="str">
        <f t="shared" si="11"/>
        <v/>
      </c>
      <c r="F104" s="161"/>
      <c r="I104" s="847"/>
    </row>
    <row r="105">
      <c r="A105" s="265"/>
      <c r="B105" s="950" t="str">
        <f t="shared" si="11"/>
        <v/>
      </c>
      <c r="F105" s="161"/>
      <c r="I105" s="847"/>
    </row>
    <row r="106">
      <c r="A106" s="265"/>
      <c r="B106" s="950" t="str">
        <f t="shared" si="11"/>
        <v/>
      </c>
      <c r="F106" s="161"/>
      <c r="I106" s="847"/>
    </row>
    <row r="107">
      <c r="A107" s="265"/>
      <c r="B107" s="950" t="str">
        <f t="shared" si="11"/>
        <v/>
      </c>
      <c r="F107" s="161"/>
      <c r="I107" s="847"/>
    </row>
    <row r="108">
      <c r="A108" s="265"/>
      <c r="B108" s="950" t="str">
        <f t="shared" si="11"/>
        <v/>
      </c>
      <c r="F108" s="161"/>
      <c r="I108" s="847"/>
    </row>
    <row r="109">
      <c r="A109" s="265"/>
      <c r="B109" s="950" t="str">
        <f t="shared" si="11"/>
        <v/>
      </c>
      <c r="F109" s="161"/>
      <c r="I109" s="847"/>
    </row>
    <row r="110">
      <c r="A110" s="265"/>
      <c r="B110" s="950" t="str">
        <f t="shared" si="11"/>
        <v/>
      </c>
      <c r="F110" s="161"/>
      <c r="I110" s="847"/>
    </row>
    <row r="111">
      <c r="A111" s="270"/>
      <c r="B111" s="194">
        <f>SUM(B102:B110)</f>
        <v>0</v>
      </c>
      <c r="C111" s="18"/>
      <c r="D111" s="18"/>
      <c r="E111" s="18"/>
      <c r="F111" s="952"/>
      <c r="G111" s="18"/>
      <c r="H111" s="18"/>
      <c r="I111" s="663"/>
    </row>
    <row r="112">
      <c r="A112" s="305">
        <v>43994.0</v>
      </c>
      <c r="B112" s="948" t="str">
        <f t="shared" ref="B112:B120" si="12">F112</f>
        <v/>
      </c>
      <c r="C112" s="242"/>
      <c r="D112" s="242"/>
      <c r="E112" s="242"/>
      <c r="F112" s="949"/>
      <c r="G112" s="244"/>
      <c r="H112" s="244"/>
      <c r="I112" s="662"/>
    </row>
    <row r="113">
      <c r="A113" s="265"/>
      <c r="B113" s="950" t="str">
        <f t="shared" si="12"/>
        <v/>
      </c>
      <c r="F113" s="161"/>
      <c r="I113" s="847"/>
    </row>
    <row r="114">
      <c r="A114" s="265"/>
      <c r="B114" s="950" t="str">
        <f t="shared" si="12"/>
        <v/>
      </c>
      <c r="F114" s="161"/>
      <c r="I114" s="847"/>
    </row>
    <row r="115">
      <c r="A115" s="265"/>
      <c r="B115" s="950" t="str">
        <f t="shared" si="12"/>
        <v/>
      </c>
      <c r="F115" s="161"/>
      <c r="I115" s="847"/>
    </row>
    <row r="116">
      <c r="A116" s="265"/>
      <c r="B116" s="950" t="str">
        <f t="shared" si="12"/>
        <v/>
      </c>
      <c r="F116" s="161"/>
      <c r="I116" s="847"/>
    </row>
    <row r="117">
      <c r="A117" s="265"/>
      <c r="B117" s="950" t="str">
        <f t="shared" si="12"/>
        <v/>
      </c>
      <c r="F117" s="161"/>
      <c r="I117" s="847"/>
    </row>
    <row r="118">
      <c r="A118" s="265"/>
      <c r="B118" s="950" t="str">
        <f t="shared" si="12"/>
        <v/>
      </c>
      <c r="F118" s="161"/>
      <c r="I118" s="847"/>
    </row>
    <row r="119">
      <c r="A119" s="265"/>
      <c r="B119" s="950" t="str">
        <f t="shared" si="12"/>
        <v/>
      </c>
      <c r="F119" s="161"/>
      <c r="I119" s="847"/>
    </row>
    <row r="120">
      <c r="A120" s="265"/>
      <c r="B120" s="950" t="str">
        <f t="shared" si="12"/>
        <v/>
      </c>
      <c r="F120" s="161"/>
      <c r="I120" s="847"/>
    </row>
    <row r="121">
      <c r="A121" s="270"/>
      <c r="B121" s="194">
        <f>SUM(B112:B120)</f>
        <v>0</v>
      </c>
      <c r="C121" s="18"/>
      <c r="D121" s="18"/>
      <c r="E121" s="18"/>
      <c r="F121" s="952"/>
      <c r="G121" s="18"/>
      <c r="H121" s="18"/>
      <c r="I121" s="663"/>
    </row>
    <row r="122">
      <c r="A122" s="305">
        <v>43995.0</v>
      </c>
      <c r="B122" s="948" t="str">
        <f t="shared" ref="B122:B130" si="13">F122</f>
        <v/>
      </c>
      <c r="C122" s="242"/>
      <c r="D122" s="242"/>
      <c r="E122" s="242"/>
      <c r="F122" s="949"/>
      <c r="G122" s="244"/>
      <c r="H122" s="244"/>
      <c r="I122" s="662"/>
    </row>
    <row r="123">
      <c r="A123" s="265"/>
      <c r="B123" s="950" t="str">
        <f t="shared" si="13"/>
        <v/>
      </c>
      <c r="F123" s="161"/>
      <c r="I123" s="847"/>
    </row>
    <row r="124">
      <c r="A124" s="265"/>
      <c r="B124" s="950" t="str">
        <f t="shared" si="13"/>
        <v/>
      </c>
      <c r="F124" s="161"/>
      <c r="I124" s="847"/>
    </row>
    <row r="125">
      <c r="A125" s="265"/>
      <c r="B125" s="950" t="str">
        <f t="shared" si="13"/>
        <v/>
      </c>
      <c r="F125" s="161"/>
      <c r="I125" s="847"/>
    </row>
    <row r="126">
      <c r="A126" s="265"/>
      <c r="B126" s="950" t="str">
        <f t="shared" si="13"/>
        <v/>
      </c>
      <c r="F126" s="161"/>
      <c r="I126" s="847"/>
    </row>
    <row r="127">
      <c r="A127" s="265"/>
      <c r="B127" s="950" t="str">
        <f t="shared" si="13"/>
        <v/>
      </c>
      <c r="F127" s="161"/>
      <c r="I127" s="847"/>
    </row>
    <row r="128">
      <c r="A128" s="265"/>
      <c r="B128" s="950" t="str">
        <f t="shared" si="13"/>
        <v/>
      </c>
      <c r="F128" s="161"/>
      <c r="I128" s="847"/>
    </row>
    <row r="129">
      <c r="A129" s="265"/>
      <c r="B129" s="950" t="str">
        <f t="shared" si="13"/>
        <v/>
      </c>
      <c r="F129" s="161"/>
      <c r="I129" s="847"/>
    </row>
    <row r="130">
      <c r="A130" s="265"/>
      <c r="B130" s="950" t="str">
        <f t="shared" si="13"/>
        <v/>
      </c>
      <c r="F130" s="161"/>
      <c r="I130" s="847"/>
    </row>
    <row r="131">
      <c r="A131" s="270"/>
      <c r="B131" s="194">
        <f>SUM(B122:B130)</f>
        <v>0</v>
      </c>
      <c r="C131" s="18"/>
      <c r="D131" s="18"/>
      <c r="E131" s="18"/>
      <c r="F131" s="952"/>
      <c r="G131" s="18"/>
      <c r="H131" s="18"/>
      <c r="I131" s="663"/>
    </row>
    <row r="132">
      <c r="A132" s="305">
        <v>43996.0</v>
      </c>
      <c r="B132" s="948" t="str">
        <f t="shared" ref="B132:B140" si="14">F132</f>
        <v/>
      </c>
      <c r="C132" s="242"/>
      <c r="D132" s="242"/>
      <c r="E132" s="242"/>
      <c r="F132" s="949"/>
      <c r="G132" s="244"/>
      <c r="H132" s="244"/>
      <c r="I132" s="662"/>
    </row>
    <row r="133">
      <c r="A133" s="265"/>
      <c r="B133" s="950" t="str">
        <f t="shared" si="14"/>
        <v/>
      </c>
      <c r="F133" s="161"/>
      <c r="I133" s="847"/>
    </row>
    <row r="134">
      <c r="A134" s="265"/>
      <c r="B134" s="950" t="str">
        <f t="shared" si="14"/>
        <v/>
      </c>
      <c r="F134" s="161"/>
      <c r="I134" s="847"/>
    </row>
    <row r="135">
      <c r="A135" s="265"/>
      <c r="B135" s="950" t="str">
        <f t="shared" si="14"/>
        <v/>
      </c>
      <c r="F135" s="161"/>
      <c r="I135" s="847"/>
    </row>
    <row r="136">
      <c r="A136" s="265"/>
      <c r="B136" s="950" t="str">
        <f t="shared" si="14"/>
        <v/>
      </c>
      <c r="F136" s="161"/>
      <c r="I136" s="847"/>
    </row>
    <row r="137">
      <c r="A137" s="265"/>
      <c r="B137" s="950" t="str">
        <f t="shared" si="14"/>
        <v/>
      </c>
      <c r="F137" s="161"/>
      <c r="I137" s="847"/>
    </row>
    <row r="138">
      <c r="A138" s="265"/>
      <c r="B138" s="950" t="str">
        <f t="shared" si="14"/>
        <v/>
      </c>
      <c r="F138" s="161"/>
      <c r="I138" s="847"/>
    </row>
    <row r="139">
      <c r="A139" s="265"/>
      <c r="B139" s="950" t="str">
        <f t="shared" si="14"/>
        <v/>
      </c>
      <c r="F139" s="161"/>
      <c r="I139" s="847"/>
    </row>
    <row r="140">
      <c r="A140" s="265"/>
      <c r="B140" s="950" t="str">
        <f t="shared" si="14"/>
        <v/>
      </c>
      <c r="F140" s="161"/>
      <c r="I140" s="847"/>
    </row>
    <row r="141">
      <c r="A141" s="270"/>
      <c r="B141" s="194">
        <f>SUM(B132:B140)</f>
        <v>0</v>
      </c>
      <c r="C141" s="18"/>
      <c r="D141" s="18"/>
      <c r="E141" s="18"/>
      <c r="F141" s="952"/>
      <c r="G141" s="18"/>
      <c r="H141" s="18"/>
      <c r="I141" s="663"/>
    </row>
    <row r="142">
      <c r="A142" s="305">
        <v>43997.0</v>
      </c>
      <c r="B142" s="948" t="str">
        <f t="shared" ref="B142:B150" si="15">F142</f>
        <v/>
      </c>
      <c r="C142" s="242"/>
      <c r="D142" s="242"/>
      <c r="E142" s="242"/>
      <c r="F142" s="949"/>
      <c r="G142" s="244"/>
      <c r="H142" s="244"/>
      <c r="I142" s="662"/>
    </row>
    <row r="143">
      <c r="A143" s="265"/>
      <c r="B143" s="950" t="str">
        <f t="shared" si="15"/>
        <v/>
      </c>
      <c r="F143" s="161"/>
      <c r="I143" s="847"/>
    </row>
    <row r="144">
      <c r="A144" s="265"/>
      <c r="B144" s="950" t="str">
        <f t="shared" si="15"/>
        <v/>
      </c>
      <c r="F144" s="161"/>
      <c r="I144" s="847"/>
    </row>
    <row r="145">
      <c r="A145" s="265"/>
      <c r="B145" s="950" t="str">
        <f t="shared" si="15"/>
        <v/>
      </c>
      <c r="F145" s="161"/>
      <c r="I145" s="847"/>
    </row>
    <row r="146">
      <c r="A146" s="265"/>
      <c r="B146" s="950" t="str">
        <f t="shared" si="15"/>
        <v/>
      </c>
      <c r="F146" s="161"/>
      <c r="I146" s="847"/>
    </row>
    <row r="147">
      <c r="A147" s="265"/>
      <c r="B147" s="950" t="str">
        <f t="shared" si="15"/>
        <v/>
      </c>
      <c r="F147" s="161"/>
      <c r="I147" s="847"/>
    </row>
    <row r="148">
      <c r="A148" s="265"/>
      <c r="B148" s="950" t="str">
        <f t="shared" si="15"/>
        <v/>
      </c>
      <c r="F148" s="161"/>
      <c r="I148" s="847"/>
    </row>
    <row r="149">
      <c r="A149" s="265"/>
      <c r="B149" s="950" t="str">
        <f t="shared" si="15"/>
        <v/>
      </c>
      <c r="F149" s="161"/>
      <c r="I149" s="847"/>
    </row>
    <row r="150">
      <c r="A150" s="265"/>
      <c r="B150" s="950" t="str">
        <f t="shared" si="15"/>
        <v/>
      </c>
      <c r="F150" s="161"/>
      <c r="I150" s="847"/>
    </row>
    <row r="151">
      <c r="A151" s="270"/>
      <c r="B151" s="194">
        <f>SUM(B142:B150)</f>
        <v>0</v>
      </c>
      <c r="C151" s="18"/>
      <c r="D151" s="18"/>
      <c r="E151" s="18"/>
      <c r="F151" s="952"/>
      <c r="G151" s="18"/>
      <c r="H151" s="18"/>
      <c r="I151" s="663"/>
    </row>
    <row r="152">
      <c r="A152" s="305">
        <v>43998.0</v>
      </c>
      <c r="B152" s="948" t="str">
        <f t="shared" ref="B152:B160" si="16">F152</f>
        <v/>
      </c>
      <c r="C152" s="242"/>
      <c r="D152" s="242"/>
      <c r="E152" s="242"/>
      <c r="F152" s="949"/>
      <c r="G152" s="244"/>
      <c r="H152" s="244"/>
      <c r="I152" s="662"/>
    </row>
    <row r="153">
      <c r="A153" s="265"/>
      <c r="B153" s="950" t="str">
        <f t="shared" si="16"/>
        <v/>
      </c>
      <c r="F153" s="161"/>
      <c r="I153" s="847"/>
    </row>
    <row r="154">
      <c r="A154" s="265"/>
      <c r="B154" s="950" t="str">
        <f t="shared" si="16"/>
        <v/>
      </c>
      <c r="F154" s="161"/>
      <c r="I154" s="847"/>
    </row>
    <row r="155">
      <c r="A155" s="265"/>
      <c r="B155" s="950" t="str">
        <f t="shared" si="16"/>
        <v/>
      </c>
      <c r="F155" s="161"/>
      <c r="I155" s="847"/>
    </row>
    <row r="156">
      <c r="A156" s="265"/>
      <c r="B156" s="950" t="str">
        <f t="shared" si="16"/>
        <v/>
      </c>
      <c r="F156" s="161"/>
      <c r="I156" s="847"/>
    </row>
    <row r="157">
      <c r="A157" s="265"/>
      <c r="B157" s="950" t="str">
        <f t="shared" si="16"/>
        <v/>
      </c>
      <c r="F157" s="161"/>
      <c r="I157" s="847"/>
    </row>
    <row r="158">
      <c r="A158" s="265"/>
      <c r="B158" s="950" t="str">
        <f t="shared" si="16"/>
        <v/>
      </c>
      <c r="F158" s="161"/>
      <c r="I158" s="847"/>
    </row>
    <row r="159">
      <c r="A159" s="265"/>
      <c r="B159" s="950" t="str">
        <f t="shared" si="16"/>
        <v/>
      </c>
      <c r="F159" s="161"/>
      <c r="I159" s="847"/>
    </row>
    <row r="160">
      <c r="A160" s="265"/>
      <c r="B160" s="950" t="str">
        <f t="shared" si="16"/>
        <v/>
      </c>
      <c r="F160" s="161"/>
      <c r="I160" s="847"/>
    </row>
    <row r="161">
      <c r="A161" s="270"/>
      <c r="B161" s="194">
        <f>SUM(B152:B160)</f>
        <v>0</v>
      </c>
      <c r="C161" s="18"/>
      <c r="D161" s="18"/>
      <c r="E161" s="18"/>
      <c r="F161" s="952"/>
      <c r="G161" s="18"/>
      <c r="H161" s="18"/>
      <c r="I161" s="663"/>
    </row>
    <row r="162">
      <c r="A162" s="305">
        <v>43999.0</v>
      </c>
      <c r="B162" s="948" t="str">
        <f t="shared" ref="B162:B170" si="17">F162</f>
        <v/>
      </c>
      <c r="C162" s="242"/>
      <c r="D162" s="242"/>
      <c r="E162" s="242"/>
      <c r="F162" s="949"/>
      <c r="G162" s="244"/>
      <c r="H162" s="244"/>
      <c r="I162" s="662"/>
    </row>
    <row r="163">
      <c r="A163" s="265"/>
      <c r="B163" s="950" t="str">
        <f t="shared" si="17"/>
        <v/>
      </c>
      <c r="F163" s="161"/>
      <c r="I163" s="847"/>
    </row>
    <row r="164">
      <c r="A164" s="265"/>
      <c r="B164" s="950" t="str">
        <f t="shared" si="17"/>
        <v/>
      </c>
      <c r="F164" s="161"/>
      <c r="I164" s="847"/>
    </row>
    <row r="165">
      <c r="A165" s="265"/>
      <c r="B165" s="950" t="str">
        <f t="shared" si="17"/>
        <v/>
      </c>
      <c r="F165" s="161"/>
      <c r="I165" s="847"/>
    </row>
    <row r="166">
      <c r="A166" s="265"/>
      <c r="B166" s="950" t="str">
        <f t="shared" si="17"/>
        <v/>
      </c>
      <c r="F166" s="161"/>
      <c r="I166" s="847"/>
    </row>
    <row r="167">
      <c r="A167" s="265"/>
      <c r="B167" s="950" t="str">
        <f t="shared" si="17"/>
        <v/>
      </c>
      <c r="F167" s="161"/>
      <c r="I167" s="847"/>
    </row>
    <row r="168">
      <c r="A168" s="265"/>
      <c r="B168" s="950" t="str">
        <f t="shared" si="17"/>
        <v/>
      </c>
      <c r="F168" s="161"/>
      <c r="I168" s="847"/>
    </row>
    <row r="169">
      <c r="A169" s="265"/>
      <c r="B169" s="950" t="str">
        <f t="shared" si="17"/>
        <v/>
      </c>
      <c r="F169" s="161"/>
      <c r="I169" s="847"/>
    </row>
    <row r="170">
      <c r="A170" s="265"/>
      <c r="B170" s="950" t="str">
        <f t="shared" si="17"/>
        <v/>
      </c>
      <c r="F170" s="161"/>
      <c r="I170" s="847"/>
    </row>
    <row r="171">
      <c r="A171" s="270"/>
      <c r="B171" s="194">
        <f>SUM(B162:B170)</f>
        <v>0</v>
      </c>
      <c r="C171" s="18"/>
      <c r="D171" s="18"/>
      <c r="E171" s="18"/>
      <c r="F171" s="952"/>
      <c r="G171" s="18"/>
      <c r="H171" s="18"/>
      <c r="I171" s="663"/>
    </row>
    <row r="172">
      <c r="A172" s="305">
        <v>44000.0</v>
      </c>
      <c r="B172" s="948" t="str">
        <f t="shared" ref="B172:B180" si="18">F172</f>
        <v/>
      </c>
      <c r="C172" s="242"/>
      <c r="D172" s="242"/>
      <c r="E172" s="242"/>
      <c r="F172" s="949"/>
      <c r="G172" s="244"/>
      <c r="H172" s="244"/>
      <c r="I172" s="662"/>
    </row>
    <row r="173">
      <c r="A173" s="265"/>
      <c r="B173" s="950" t="str">
        <f t="shared" si="18"/>
        <v/>
      </c>
      <c r="F173" s="161"/>
      <c r="I173" s="847"/>
    </row>
    <row r="174">
      <c r="A174" s="265"/>
      <c r="B174" s="950" t="str">
        <f t="shared" si="18"/>
        <v/>
      </c>
      <c r="F174" s="161"/>
      <c r="I174" s="847"/>
    </row>
    <row r="175">
      <c r="A175" s="265"/>
      <c r="B175" s="950" t="str">
        <f t="shared" si="18"/>
        <v/>
      </c>
      <c r="F175" s="161"/>
      <c r="I175" s="847"/>
    </row>
    <row r="176">
      <c r="A176" s="265"/>
      <c r="B176" s="950" t="str">
        <f t="shared" si="18"/>
        <v/>
      </c>
      <c r="F176" s="161"/>
      <c r="I176" s="847"/>
    </row>
    <row r="177">
      <c r="A177" s="265"/>
      <c r="B177" s="950" t="str">
        <f t="shared" si="18"/>
        <v/>
      </c>
      <c r="F177" s="161"/>
      <c r="I177" s="847"/>
    </row>
    <row r="178">
      <c r="A178" s="265"/>
      <c r="B178" s="950" t="str">
        <f t="shared" si="18"/>
        <v/>
      </c>
      <c r="F178" s="161"/>
      <c r="I178" s="847"/>
    </row>
    <row r="179">
      <c r="A179" s="265"/>
      <c r="B179" s="950" t="str">
        <f t="shared" si="18"/>
        <v/>
      </c>
      <c r="F179" s="161"/>
      <c r="I179" s="847"/>
    </row>
    <row r="180">
      <c r="A180" s="265"/>
      <c r="B180" s="950" t="str">
        <f t="shared" si="18"/>
        <v/>
      </c>
      <c r="F180" s="161"/>
      <c r="I180" s="847"/>
    </row>
    <row r="181">
      <c r="A181" s="270"/>
      <c r="B181" s="194">
        <f>SUM(B172:B180)</f>
        <v>0</v>
      </c>
      <c r="C181" s="18"/>
      <c r="D181" s="18"/>
      <c r="E181" s="18"/>
      <c r="F181" s="952"/>
      <c r="G181" s="18"/>
      <c r="H181" s="18"/>
      <c r="I181" s="663"/>
    </row>
    <row r="182">
      <c r="A182" s="305">
        <v>44001.0</v>
      </c>
      <c r="B182" s="948" t="str">
        <f t="shared" ref="B182:B190" si="19">F182</f>
        <v/>
      </c>
      <c r="C182" s="242"/>
      <c r="D182" s="242"/>
      <c r="E182" s="242"/>
      <c r="F182" s="949"/>
      <c r="G182" s="244"/>
      <c r="H182" s="244"/>
      <c r="I182" s="662"/>
    </row>
    <row r="183">
      <c r="A183" s="265"/>
      <c r="B183" s="950" t="str">
        <f t="shared" si="19"/>
        <v/>
      </c>
      <c r="F183" s="161"/>
      <c r="I183" s="847"/>
    </row>
    <row r="184">
      <c r="A184" s="265"/>
      <c r="B184" s="950" t="str">
        <f t="shared" si="19"/>
        <v/>
      </c>
      <c r="F184" s="161"/>
      <c r="I184" s="847"/>
    </row>
    <row r="185">
      <c r="A185" s="265"/>
      <c r="B185" s="950" t="str">
        <f t="shared" si="19"/>
        <v/>
      </c>
      <c r="F185" s="161"/>
      <c r="I185" s="847"/>
    </row>
    <row r="186">
      <c r="A186" s="265"/>
      <c r="B186" s="950" t="str">
        <f t="shared" si="19"/>
        <v/>
      </c>
      <c r="F186" s="161"/>
      <c r="I186" s="847"/>
    </row>
    <row r="187">
      <c r="A187" s="265"/>
      <c r="B187" s="950" t="str">
        <f t="shared" si="19"/>
        <v/>
      </c>
      <c r="F187" s="161"/>
      <c r="I187" s="847"/>
    </row>
    <row r="188">
      <c r="A188" s="265"/>
      <c r="B188" s="950" t="str">
        <f t="shared" si="19"/>
        <v/>
      </c>
      <c r="F188" s="161"/>
      <c r="I188" s="847"/>
    </row>
    <row r="189">
      <c r="A189" s="265"/>
      <c r="B189" s="950" t="str">
        <f t="shared" si="19"/>
        <v/>
      </c>
      <c r="F189" s="161"/>
      <c r="I189" s="847"/>
    </row>
    <row r="190">
      <c r="A190" s="265"/>
      <c r="B190" s="950" t="str">
        <f t="shared" si="19"/>
        <v/>
      </c>
      <c r="F190" s="161"/>
      <c r="I190" s="847"/>
    </row>
    <row r="191">
      <c r="A191" s="270"/>
      <c r="B191" s="194">
        <f>SUM(B182:B190)</f>
        <v>0</v>
      </c>
      <c r="C191" s="18"/>
      <c r="D191" s="18"/>
      <c r="E191" s="18"/>
      <c r="F191" s="952"/>
      <c r="G191" s="18"/>
      <c r="H191" s="18"/>
      <c r="I191" s="663"/>
    </row>
    <row r="192">
      <c r="A192" s="305">
        <v>44002.0</v>
      </c>
      <c r="B192" s="948" t="str">
        <f t="shared" ref="B192:B200" si="20">F192</f>
        <v/>
      </c>
      <c r="C192" s="242"/>
      <c r="D192" s="242"/>
      <c r="E192" s="242"/>
      <c r="F192" s="949"/>
      <c r="G192" s="244"/>
      <c r="H192" s="244"/>
      <c r="I192" s="662"/>
    </row>
    <row r="193">
      <c r="A193" s="265"/>
      <c r="B193" s="950" t="str">
        <f t="shared" si="20"/>
        <v/>
      </c>
      <c r="F193" s="161"/>
      <c r="I193" s="847"/>
    </row>
    <row r="194">
      <c r="A194" s="265"/>
      <c r="B194" s="950" t="str">
        <f t="shared" si="20"/>
        <v/>
      </c>
      <c r="F194" s="161"/>
      <c r="I194" s="847"/>
    </row>
    <row r="195">
      <c r="A195" s="265"/>
      <c r="B195" s="950" t="str">
        <f t="shared" si="20"/>
        <v/>
      </c>
      <c r="F195" s="161"/>
      <c r="I195" s="847"/>
    </row>
    <row r="196">
      <c r="A196" s="265"/>
      <c r="B196" s="950" t="str">
        <f t="shared" si="20"/>
        <v/>
      </c>
      <c r="F196" s="161"/>
      <c r="I196" s="847"/>
    </row>
    <row r="197">
      <c r="A197" s="265"/>
      <c r="B197" s="950" t="str">
        <f t="shared" si="20"/>
        <v/>
      </c>
      <c r="F197" s="161"/>
      <c r="I197" s="847"/>
    </row>
    <row r="198">
      <c r="A198" s="265"/>
      <c r="B198" s="950" t="str">
        <f t="shared" si="20"/>
        <v/>
      </c>
      <c r="F198" s="161"/>
      <c r="I198" s="847"/>
    </row>
    <row r="199">
      <c r="A199" s="265"/>
      <c r="B199" s="950" t="str">
        <f t="shared" si="20"/>
        <v/>
      </c>
      <c r="F199" s="161"/>
      <c r="I199" s="847"/>
    </row>
    <row r="200">
      <c r="A200" s="265"/>
      <c r="B200" s="950" t="str">
        <f t="shared" si="20"/>
        <v/>
      </c>
      <c r="F200" s="161"/>
      <c r="I200" s="847"/>
    </row>
    <row r="201">
      <c r="A201" s="270"/>
      <c r="B201" s="194">
        <f>SUM(B192:B200)</f>
        <v>0</v>
      </c>
      <c r="C201" s="18"/>
      <c r="D201" s="18"/>
      <c r="E201" s="18"/>
      <c r="F201" s="952"/>
      <c r="G201" s="18"/>
      <c r="H201" s="18"/>
      <c r="I201" s="663"/>
    </row>
    <row r="202">
      <c r="A202" s="305">
        <v>44003.0</v>
      </c>
      <c r="B202" s="948" t="str">
        <f t="shared" ref="B202:B210" si="21">F202</f>
        <v/>
      </c>
      <c r="C202" s="242"/>
      <c r="D202" s="242"/>
      <c r="E202" s="242"/>
      <c r="F202" s="949"/>
      <c r="G202" s="244"/>
      <c r="H202" s="244"/>
      <c r="I202" s="662"/>
    </row>
    <row r="203">
      <c r="A203" s="265"/>
      <c r="B203" s="950" t="str">
        <f t="shared" si="21"/>
        <v/>
      </c>
      <c r="F203" s="161"/>
      <c r="I203" s="847"/>
    </row>
    <row r="204">
      <c r="A204" s="265"/>
      <c r="B204" s="950" t="str">
        <f t="shared" si="21"/>
        <v/>
      </c>
      <c r="F204" s="161"/>
      <c r="I204" s="847"/>
    </row>
    <row r="205">
      <c r="A205" s="265"/>
      <c r="B205" s="950" t="str">
        <f t="shared" si="21"/>
        <v/>
      </c>
      <c r="F205" s="161"/>
      <c r="I205" s="847"/>
    </row>
    <row r="206">
      <c r="A206" s="265"/>
      <c r="B206" s="950" t="str">
        <f t="shared" si="21"/>
        <v/>
      </c>
      <c r="F206" s="161"/>
      <c r="I206" s="847"/>
    </row>
    <row r="207">
      <c r="A207" s="265"/>
      <c r="B207" s="950" t="str">
        <f t="shared" si="21"/>
        <v/>
      </c>
      <c r="F207" s="161"/>
      <c r="I207" s="847"/>
    </row>
    <row r="208">
      <c r="A208" s="265"/>
      <c r="B208" s="950" t="str">
        <f t="shared" si="21"/>
        <v/>
      </c>
      <c r="F208" s="161"/>
      <c r="I208" s="847"/>
    </row>
    <row r="209">
      <c r="A209" s="265"/>
      <c r="B209" s="950" t="str">
        <f t="shared" si="21"/>
        <v/>
      </c>
      <c r="F209" s="161"/>
      <c r="I209" s="847"/>
    </row>
    <row r="210">
      <c r="A210" s="265"/>
      <c r="B210" s="950" t="str">
        <f t="shared" si="21"/>
        <v/>
      </c>
      <c r="F210" s="161"/>
      <c r="I210" s="847"/>
    </row>
    <row r="211">
      <c r="A211" s="270"/>
      <c r="B211" s="194">
        <f>SUM(B202:B210)</f>
        <v>0</v>
      </c>
      <c r="C211" s="18"/>
      <c r="D211" s="18"/>
      <c r="E211" s="18"/>
      <c r="F211" s="952"/>
      <c r="G211" s="18"/>
      <c r="H211" s="18"/>
      <c r="I211" s="663"/>
    </row>
    <row r="212">
      <c r="A212" s="305">
        <v>44004.0</v>
      </c>
      <c r="B212" s="948" t="str">
        <f t="shared" ref="B212:B220" si="22">F212</f>
        <v/>
      </c>
      <c r="C212" s="242"/>
      <c r="D212" s="242"/>
      <c r="E212" s="242"/>
      <c r="F212" s="949"/>
      <c r="G212" s="244"/>
      <c r="H212" s="244"/>
      <c r="I212" s="662"/>
    </row>
    <row r="213">
      <c r="A213" s="265"/>
      <c r="B213" s="950" t="str">
        <f t="shared" si="22"/>
        <v/>
      </c>
      <c r="F213" s="161"/>
      <c r="I213" s="847"/>
    </row>
    <row r="214">
      <c r="A214" s="265"/>
      <c r="B214" s="950" t="str">
        <f t="shared" si="22"/>
        <v/>
      </c>
      <c r="F214" s="161"/>
      <c r="I214" s="847"/>
    </row>
    <row r="215">
      <c r="A215" s="265"/>
      <c r="B215" s="950" t="str">
        <f t="shared" si="22"/>
        <v/>
      </c>
      <c r="F215" s="161"/>
      <c r="I215" s="847"/>
    </row>
    <row r="216">
      <c r="A216" s="265"/>
      <c r="B216" s="950" t="str">
        <f t="shared" si="22"/>
        <v/>
      </c>
      <c r="F216" s="161"/>
      <c r="I216" s="847"/>
    </row>
    <row r="217">
      <c r="A217" s="265"/>
      <c r="B217" s="950" t="str">
        <f t="shared" si="22"/>
        <v/>
      </c>
      <c r="F217" s="161"/>
      <c r="I217" s="847"/>
    </row>
    <row r="218">
      <c r="A218" s="265"/>
      <c r="B218" s="950" t="str">
        <f t="shared" si="22"/>
        <v/>
      </c>
      <c r="F218" s="161"/>
      <c r="I218" s="847"/>
    </row>
    <row r="219">
      <c r="A219" s="265"/>
      <c r="B219" s="950" t="str">
        <f t="shared" si="22"/>
        <v/>
      </c>
      <c r="F219" s="161"/>
      <c r="I219" s="847"/>
    </row>
    <row r="220">
      <c r="A220" s="265"/>
      <c r="B220" s="950" t="str">
        <f t="shared" si="22"/>
        <v/>
      </c>
      <c r="F220" s="161"/>
      <c r="I220" s="847"/>
    </row>
    <row r="221">
      <c r="A221" s="270"/>
      <c r="B221" s="194">
        <f>SUM(B212:B220)</f>
        <v>0</v>
      </c>
      <c r="C221" s="18"/>
      <c r="D221" s="18"/>
      <c r="E221" s="18"/>
      <c r="F221" s="952"/>
      <c r="G221" s="18"/>
      <c r="H221" s="18"/>
      <c r="I221" s="663"/>
    </row>
    <row r="222">
      <c r="A222" s="305">
        <v>44005.0</v>
      </c>
      <c r="B222" s="948" t="str">
        <f t="shared" ref="B222:B230" si="23">F222</f>
        <v/>
      </c>
      <c r="C222" s="242"/>
      <c r="D222" s="242"/>
      <c r="E222" s="242"/>
      <c r="F222" s="949"/>
      <c r="G222" s="244"/>
      <c r="H222" s="244"/>
      <c r="I222" s="662"/>
    </row>
    <row r="223">
      <c r="A223" s="265"/>
      <c r="B223" s="950" t="str">
        <f t="shared" si="23"/>
        <v/>
      </c>
      <c r="F223" s="161"/>
      <c r="I223" s="847"/>
    </row>
    <row r="224">
      <c r="A224" s="265"/>
      <c r="B224" s="950" t="str">
        <f t="shared" si="23"/>
        <v/>
      </c>
      <c r="F224" s="161"/>
      <c r="I224" s="847"/>
    </row>
    <row r="225">
      <c r="A225" s="265"/>
      <c r="B225" s="950" t="str">
        <f t="shared" si="23"/>
        <v/>
      </c>
      <c r="F225" s="161"/>
      <c r="I225" s="847"/>
    </row>
    <row r="226">
      <c r="A226" s="265"/>
      <c r="B226" s="950" t="str">
        <f t="shared" si="23"/>
        <v/>
      </c>
      <c r="F226" s="161"/>
      <c r="I226" s="847"/>
    </row>
    <row r="227">
      <c r="A227" s="265"/>
      <c r="B227" s="950" t="str">
        <f t="shared" si="23"/>
        <v/>
      </c>
      <c r="F227" s="161"/>
      <c r="I227" s="847"/>
    </row>
    <row r="228">
      <c r="A228" s="265"/>
      <c r="B228" s="950" t="str">
        <f t="shared" si="23"/>
        <v/>
      </c>
      <c r="F228" s="161"/>
      <c r="I228" s="847"/>
    </row>
    <row r="229">
      <c r="A229" s="265"/>
      <c r="B229" s="950" t="str">
        <f t="shared" si="23"/>
        <v/>
      </c>
      <c r="F229" s="161"/>
      <c r="I229" s="847"/>
    </row>
    <row r="230">
      <c r="A230" s="265"/>
      <c r="B230" s="950" t="str">
        <f t="shared" si="23"/>
        <v/>
      </c>
      <c r="F230" s="161"/>
      <c r="I230" s="847"/>
    </row>
    <row r="231">
      <c r="A231" s="270"/>
      <c r="B231" s="194">
        <f>SUM(B222:B230)</f>
        <v>0</v>
      </c>
      <c r="C231" s="18"/>
      <c r="D231" s="18"/>
      <c r="E231" s="18"/>
      <c r="F231" s="952"/>
      <c r="G231" s="18"/>
      <c r="H231" s="18"/>
      <c r="I231" s="663"/>
    </row>
    <row r="232">
      <c r="A232" s="305">
        <v>44006.0</v>
      </c>
      <c r="B232" s="948" t="str">
        <f t="shared" ref="B232:B240" si="24">F232</f>
        <v/>
      </c>
      <c r="C232" s="242"/>
      <c r="D232" s="242"/>
      <c r="E232" s="242"/>
      <c r="F232" s="949"/>
      <c r="G232" s="244"/>
      <c r="H232" s="244"/>
      <c r="I232" s="662"/>
    </row>
    <row r="233">
      <c r="A233" s="265"/>
      <c r="B233" s="950" t="str">
        <f t="shared" si="24"/>
        <v/>
      </c>
      <c r="F233" s="161"/>
      <c r="I233" s="847"/>
    </row>
    <row r="234">
      <c r="A234" s="265"/>
      <c r="B234" s="950" t="str">
        <f t="shared" si="24"/>
        <v/>
      </c>
      <c r="F234" s="161"/>
      <c r="I234" s="847"/>
    </row>
    <row r="235">
      <c r="A235" s="265"/>
      <c r="B235" s="950" t="str">
        <f t="shared" si="24"/>
        <v/>
      </c>
      <c r="F235" s="161"/>
      <c r="I235" s="847"/>
    </row>
    <row r="236">
      <c r="A236" s="265"/>
      <c r="B236" s="950" t="str">
        <f t="shared" si="24"/>
        <v/>
      </c>
      <c r="F236" s="161"/>
      <c r="I236" s="847"/>
    </row>
    <row r="237">
      <c r="A237" s="265"/>
      <c r="B237" s="950" t="str">
        <f t="shared" si="24"/>
        <v/>
      </c>
      <c r="F237" s="161"/>
      <c r="I237" s="847"/>
    </row>
    <row r="238">
      <c r="A238" s="265"/>
      <c r="B238" s="950" t="str">
        <f t="shared" si="24"/>
        <v/>
      </c>
      <c r="F238" s="161"/>
      <c r="I238" s="847"/>
    </row>
    <row r="239">
      <c r="A239" s="265"/>
      <c r="B239" s="950" t="str">
        <f t="shared" si="24"/>
        <v/>
      </c>
      <c r="F239" s="161"/>
      <c r="I239" s="847"/>
    </row>
    <row r="240">
      <c r="A240" s="265"/>
      <c r="B240" s="950" t="str">
        <f t="shared" si="24"/>
        <v/>
      </c>
      <c r="F240" s="161"/>
      <c r="I240" s="847"/>
    </row>
    <row r="241">
      <c r="A241" s="270"/>
      <c r="B241" s="194">
        <f>SUM(B232:B240)</f>
        <v>0</v>
      </c>
      <c r="C241" s="18"/>
      <c r="D241" s="18"/>
      <c r="E241" s="18"/>
      <c r="F241" s="952"/>
      <c r="G241" s="18"/>
      <c r="H241" s="18"/>
      <c r="I241" s="663"/>
    </row>
    <row r="242">
      <c r="A242" s="305">
        <v>44007.0</v>
      </c>
      <c r="B242" s="948" t="str">
        <f t="shared" ref="B242:B250" si="25">F242</f>
        <v/>
      </c>
      <c r="C242" s="242"/>
      <c r="D242" s="242"/>
      <c r="E242" s="242"/>
      <c r="F242" s="949"/>
      <c r="G242" s="244"/>
      <c r="H242" s="244"/>
      <c r="I242" s="662"/>
    </row>
    <row r="243">
      <c r="A243" s="265"/>
      <c r="B243" s="950" t="str">
        <f t="shared" si="25"/>
        <v/>
      </c>
      <c r="F243" s="161"/>
      <c r="I243" s="847"/>
    </row>
    <row r="244">
      <c r="A244" s="265"/>
      <c r="B244" s="950" t="str">
        <f t="shared" si="25"/>
        <v/>
      </c>
      <c r="F244" s="161"/>
      <c r="I244" s="847"/>
    </row>
    <row r="245">
      <c r="A245" s="265"/>
      <c r="B245" s="950" t="str">
        <f t="shared" si="25"/>
        <v/>
      </c>
      <c r="F245" s="161"/>
      <c r="I245" s="847"/>
    </row>
    <row r="246">
      <c r="A246" s="265"/>
      <c r="B246" s="950" t="str">
        <f t="shared" si="25"/>
        <v/>
      </c>
      <c r="F246" s="161"/>
      <c r="I246" s="847"/>
    </row>
    <row r="247">
      <c r="A247" s="265"/>
      <c r="B247" s="950" t="str">
        <f t="shared" si="25"/>
        <v/>
      </c>
      <c r="F247" s="161"/>
      <c r="I247" s="847"/>
    </row>
    <row r="248">
      <c r="A248" s="265"/>
      <c r="B248" s="950" t="str">
        <f t="shared" si="25"/>
        <v/>
      </c>
      <c r="F248" s="161"/>
      <c r="I248" s="847"/>
    </row>
    <row r="249">
      <c r="A249" s="265"/>
      <c r="B249" s="950" t="str">
        <f t="shared" si="25"/>
        <v/>
      </c>
      <c r="F249" s="161"/>
      <c r="I249" s="847"/>
    </row>
    <row r="250">
      <c r="A250" s="265"/>
      <c r="B250" s="950" t="str">
        <f t="shared" si="25"/>
        <v/>
      </c>
      <c r="F250" s="161"/>
      <c r="I250" s="847"/>
    </row>
    <row r="251">
      <c r="A251" s="270"/>
      <c r="B251" s="194">
        <f>SUM(B242:B250)</f>
        <v>0</v>
      </c>
      <c r="C251" s="18"/>
      <c r="D251" s="18"/>
      <c r="E251" s="18"/>
      <c r="F251" s="952"/>
      <c r="G251" s="18"/>
      <c r="H251" s="18"/>
      <c r="I251" s="663"/>
    </row>
    <row r="252">
      <c r="A252" s="305">
        <v>44008.0</v>
      </c>
      <c r="B252" s="948" t="str">
        <f t="shared" ref="B252:B260" si="26">F252</f>
        <v/>
      </c>
      <c r="C252" s="242"/>
      <c r="D252" s="242"/>
      <c r="E252" s="242"/>
      <c r="F252" s="949"/>
      <c r="G252" s="244"/>
      <c r="H252" s="244"/>
      <c r="I252" s="662"/>
    </row>
    <row r="253">
      <c r="A253" s="265"/>
      <c r="B253" s="950" t="str">
        <f t="shared" si="26"/>
        <v/>
      </c>
      <c r="F253" s="161"/>
      <c r="I253" s="847"/>
    </row>
    <row r="254">
      <c r="A254" s="265"/>
      <c r="B254" s="950" t="str">
        <f t="shared" si="26"/>
        <v/>
      </c>
      <c r="F254" s="161"/>
      <c r="I254" s="847"/>
    </row>
    <row r="255">
      <c r="A255" s="265"/>
      <c r="B255" s="950" t="str">
        <f t="shared" si="26"/>
        <v/>
      </c>
      <c r="F255" s="161"/>
      <c r="I255" s="847"/>
    </row>
    <row r="256">
      <c r="A256" s="265"/>
      <c r="B256" s="950" t="str">
        <f t="shared" si="26"/>
        <v/>
      </c>
      <c r="F256" s="161"/>
      <c r="I256" s="847"/>
    </row>
    <row r="257">
      <c r="A257" s="265"/>
      <c r="B257" s="950" t="str">
        <f t="shared" si="26"/>
        <v/>
      </c>
      <c r="F257" s="161"/>
      <c r="I257" s="847"/>
    </row>
    <row r="258">
      <c r="A258" s="265"/>
      <c r="B258" s="950" t="str">
        <f t="shared" si="26"/>
        <v/>
      </c>
      <c r="F258" s="161"/>
      <c r="I258" s="847"/>
    </row>
    <row r="259">
      <c r="A259" s="265"/>
      <c r="B259" s="950" t="str">
        <f t="shared" si="26"/>
        <v/>
      </c>
      <c r="F259" s="161"/>
      <c r="I259" s="847"/>
    </row>
    <row r="260">
      <c r="A260" s="265"/>
      <c r="B260" s="950" t="str">
        <f t="shared" si="26"/>
        <v/>
      </c>
      <c r="F260" s="161"/>
      <c r="I260" s="847"/>
    </row>
    <row r="261">
      <c r="A261" s="270"/>
      <c r="B261" s="194">
        <f>SUM(B252:B260)</f>
        <v>0</v>
      </c>
      <c r="C261" s="18"/>
      <c r="D261" s="18"/>
      <c r="E261" s="18"/>
      <c r="F261" s="952"/>
      <c r="G261" s="18"/>
      <c r="H261" s="18"/>
      <c r="I261" s="663"/>
    </row>
    <row r="262">
      <c r="A262" s="305">
        <v>44009.0</v>
      </c>
      <c r="B262" s="948" t="str">
        <f t="shared" ref="B262:B270" si="27">F262</f>
        <v/>
      </c>
      <c r="C262" s="242"/>
      <c r="D262" s="242"/>
      <c r="E262" s="242"/>
      <c r="F262" s="949"/>
      <c r="G262" s="244"/>
      <c r="H262" s="244"/>
      <c r="I262" s="662"/>
    </row>
    <row r="263">
      <c r="A263" s="265"/>
      <c r="B263" s="950" t="str">
        <f t="shared" si="27"/>
        <v/>
      </c>
      <c r="F263" s="161"/>
      <c r="I263" s="847"/>
    </row>
    <row r="264">
      <c r="A264" s="265"/>
      <c r="B264" s="950" t="str">
        <f t="shared" si="27"/>
        <v/>
      </c>
      <c r="F264" s="161"/>
      <c r="I264" s="847"/>
    </row>
    <row r="265">
      <c r="A265" s="265"/>
      <c r="B265" s="950" t="str">
        <f t="shared" si="27"/>
        <v/>
      </c>
      <c r="F265" s="161"/>
      <c r="I265" s="847"/>
    </row>
    <row r="266">
      <c r="A266" s="265"/>
      <c r="B266" s="950" t="str">
        <f t="shared" si="27"/>
        <v/>
      </c>
      <c r="F266" s="161"/>
      <c r="I266" s="847"/>
    </row>
    <row r="267">
      <c r="A267" s="265"/>
      <c r="B267" s="950" t="str">
        <f t="shared" si="27"/>
        <v/>
      </c>
      <c r="F267" s="161"/>
      <c r="I267" s="847"/>
    </row>
    <row r="268">
      <c r="A268" s="265"/>
      <c r="B268" s="950" t="str">
        <f t="shared" si="27"/>
        <v/>
      </c>
      <c r="F268" s="161"/>
      <c r="I268" s="847"/>
    </row>
    <row r="269">
      <c r="A269" s="265"/>
      <c r="B269" s="950" t="str">
        <f t="shared" si="27"/>
        <v/>
      </c>
      <c r="F269" s="161"/>
      <c r="I269" s="847"/>
    </row>
    <row r="270">
      <c r="A270" s="265"/>
      <c r="B270" s="950" t="str">
        <f t="shared" si="27"/>
        <v/>
      </c>
      <c r="F270" s="161"/>
      <c r="I270" s="847"/>
    </row>
    <row r="271">
      <c r="A271" s="270"/>
      <c r="B271" s="194">
        <f>SUM(B262:B270)</f>
        <v>0</v>
      </c>
      <c r="C271" s="18"/>
      <c r="D271" s="18"/>
      <c r="E271" s="18"/>
      <c r="F271" s="952"/>
      <c r="G271" s="18"/>
      <c r="H271" s="18"/>
      <c r="I271" s="663"/>
    </row>
    <row r="272">
      <c r="A272" s="305">
        <v>44010.0</v>
      </c>
      <c r="B272" s="948" t="str">
        <f t="shared" ref="B272:B280" si="28">F272</f>
        <v/>
      </c>
      <c r="C272" s="242"/>
      <c r="D272" s="242"/>
      <c r="E272" s="242"/>
      <c r="F272" s="949"/>
      <c r="G272" s="244"/>
      <c r="H272" s="244"/>
      <c r="I272" s="662"/>
    </row>
    <row r="273">
      <c r="A273" s="265"/>
      <c r="B273" s="950" t="str">
        <f t="shared" si="28"/>
        <v/>
      </c>
      <c r="F273" s="161"/>
      <c r="I273" s="847"/>
    </row>
    <row r="274">
      <c r="A274" s="265"/>
      <c r="B274" s="950" t="str">
        <f t="shared" si="28"/>
        <v/>
      </c>
      <c r="F274" s="161"/>
      <c r="I274" s="847"/>
    </row>
    <row r="275">
      <c r="A275" s="265"/>
      <c r="B275" s="950" t="str">
        <f t="shared" si="28"/>
        <v/>
      </c>
      <c r="F275" s="161"/>
      <c r="I275" s="847"/>
    </row>
    <row r="276">
      <c r="A276" s="265"/>
      <c r="B276" s="950" t="str">
        <f t="shared" si="28"/>
        <v/>
      </c>
      <c r="F276" s="161"/>
      <c r="I276" s="847"/>
    </row>
    <row r="277">
      <c r="A277" s="265"/>
      <c r="B277" s="950" t="str">
        <f t="shared" si="28"/>
        <v/>
      </c>
      <c r="F277" s="161"/>
      <c r="I277" s="847"/>
    </row>
    <row r="278">
      <c r="A278" s="265"/>
      <c r="B278" s="950" t="str">
        <f t="shared" si="28"/>
        <v/>
      </c>
      <c r="F278" s="161"/>
      <c r="I278" s="847"/>
    </row>
    <row r="279">
      <c r="A279" s="265"/>
      <c r="B279" s="950" t="str">
        <f t="shared" si="28"/>
        <v/>
      </c>
      <c r="F279" s="161"/>
      <c r="I279" s="847"/>
    </row>
    <row r="280">
      <c r="A280" s="265"/>
      <c r="B280" s="950" t="str">
        <f t="shared" si="28"/>
        <v/>
      </c>
      <c r="F280" s="161"/>
      <c r="I280" s="847"/>
    </row>
    <row r="281">
      <c r="A281" s="270"/>
      <c r="B281" s="194">
        <f>SUM(B272:B280)</f>
        <v>0</v>
      </c>
      <c r="C281" s="18"/>
      <c r="D281" s="18"/>
      <c r="E281" s="18"/>
      <c r="F281" s="952"/>
      <c r="G281" s="18"/>
      <c r="H281" s="18"/>
      <c r="I281" s="663"/>
    </row>
    <row r="282">
      <c r="A282" s="305">
        <v>44011.0</v>
      </c>
      <c r="B282" s="948" t="str">
        <f t="shared" ref="B282:B290" si="29">F282</f>
        <v/>
      </c>
      <c r="C282" s="242"/>
      <c r="D282" s="242"/>
      <c r="E282" s="242"/>
      <c r="F282" s="949"/>
      <c r="G282" s="244"/>
      <c r="H282" s="244"/>
      <c r="I282" s="662"/>
    </row>
    <row r="283">
      <c r="A283" s="265"/>
      <c r="B283" s="950" t="str">
        <f t="shared" si="29"/>
        <v/>
      </c>
      <c r="F283" s="161"/>
      <c r="I283" s="847"/>
    </row>
    <row r="284">
      <c r="A284" s="265"/>
      <c r="B284" s="950" t="str">
        <f t="shared" si="29"/>
        <v/>
      </c>
      <c r="F284" s="161"/>
      <c r="I284" s="847"/>
    </row>
    <row r="285">
      <c r="A285" s="265"/>
      <c r="B285" s="950" t="str">
        <f t="shared" si="29"/>
        <v/>
      </c>
      <c r="F285" s="161"/>
      <c r="I285" s="847"/>
    </row>
    <row r="286">
      <c r="A286" s="265"/>
      <c r="B286" s="950" t="str">
        <f t="shared" si="29"/>
        <v/>
      </c>
      <c r="F286" s="161"/>
      <c r="I286" s="847"/>
    </row>
    <row r="287">
      <c r="A287" s="265"/>
      <c r="B287" s="950" t="str">
        <f t="shared" si="29"/>
        <v/>
      </c>
      <c r="F287" s="161"/>
      <c r="I287" s="847"/>
    </row>
    <row r="288">
      <c r="A288" s="265"/>
      <c r="B288" s="950" t="str">
        <f t="shared" si="29"/>
        <v/>
      </c>
      <c r="F288" s="161"/>
      <c r="I288" s="847"/>
    </row>
    <row r="289">
      <c r="A289" s="265"/>
      <c r="B289" s="950" t="str">
        <f t="shared" si="29"/>
        <v/>
      </c>
      <c r="F289" s="161"/>
      <c r="I289" s="847"/>
    </row>
    <row r="290">
      <c r="A290" s="265"/>
      <c r="B290" s="950" t="str">
        <f t="shared" si="29"/>
        <v/>
      </c>
      <c r="F290" s="161"/>
      <c r="I290" s="847"/>
    </row>
    <row r="291">
      <c r="A291" s="270"/>
      <c r="B291" s="194">
        <f>SUM(B282:B290)</f>
        <v>0</v>
      </c>
      <c r="C291" s="18"/>
      <c r="D291" s="18"/>
      <c r="E291" s="18"/>
      <c r="F291" s="952"/>
      <c r="G291" s="18"/>
      <c r="H291" s="18"/>
      <c r="I291" s="663"/>
    </row>
    <row r="292">
      <c r="A292" s="305">
        <v>44012.0</v>
      </c>
      <c r="B292" s="948" t="str">
        <f t="shared" ref="B292:B300" si="30">F292</f>
        <v/>
      </c>
      <c r="C292" s="242"/>
      <c r="D292" s="242"/>
      <c r="E292" s="242"/>
      <c r="F292" s="949"/>
      <c r="G292" s="244"/>
      <c r="H292" s="244"/>
      <c r="I292" s="662"/>
    </row>
    <row r="293">
      <c r="A293" s="265"/>
      <c r="B293" s="950" t="str">
        <f t="shared" si="30"/>
        <v/>
      </c>
      <c r="F293" s="161"/>
      <c r="I293" s="847"/>
    </row>
    <row r="294">
      <c r="A294" s="265"/>
      <c r="B294" s="950" t="str">
        <f t="shared" si="30"/>
        <v/>
      </c>
      <c r="F294" s="161"/>
      <c r="I294" s="847"/>
    </row>
    <row r="295">
      <c r="A295" s="265"/>
      <c r="B295" s="950" t="str">
        <f t="shared" si="30"/>
        <v/>
      </c>
      <c r="F295" s="161"/>
      <c r="I295" s="847"/>
    </row>
    <row r="296">
      <c r="A296" s="265"/>
      <c r="B296" s="950" t="str">
        <f t="shared" si="30"/>
        <v/>
      </c>
      <c r="F296" s="161"/>
      <c r="I296" s="847"/>
    </row>
    <row r="297">
      <c r="A297" s="265"/>
      <c r="B297" s="950" t="str">
        <f t="shared" si="30"/>
        <v/>
      </c>
      <c r="F297" s="161"/>
      <c r="I297" s="847"/>
    </row>
    <row r="298">
      <c r="A298" s="265"/>
      <c r="B298" s="950" t="str">
        <f t="shared" si="30"/>
        <v/>
      </c>
      <c r="F298" s="161"/>
      <c r="I298" s="847"/>
    </row>
    <row r="299">
      <c r="A299" s="265"/>
      <c r="B299" s="950" t="str">
        <f t="shared" si="30"/>
        <v/>
      </c>
      <c r="F299" s="161"/>
      <c r="I299" s="847"/>
    </row>
    <row r="300">
      <c r="A300" s="265"/>
      <c r="B300" s="950" t="str">
        <f t="shared" si="30"/>
        <v/>
      </c>
      <c r="F300" s="161"/>
      <c r="I300" s="847"/>
    </row>
    <row r="301">
      <c r="A301" s="270"/>
      <c r="B301" s="194">
        <f>SUM(B292:B300)</f>
        <v>0</v>
      </c>
      <c r="C301" s="18"/>
      <c r="D301" s="18"/>
      <c r="E301" s="18"/>
      <c r="F301" s="952"/>
      <c r="G301" s="18"/>
      <c r="H301" s="18"/>
      <c r="I301" s="663"/>
    </row>
  </sheetData>
  <mergeCells count="31">
    <mergeCell ref="G1:H1"/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72:A281"/>
    <mergeCell ref="A282:A291"/>
    <mergeCell ref="A292:A301"/>
    <mergeCell ref="A202:A211"/>
    <mergeCell ref="A212:A221"/>
    <mergeCell ref="A222:A231"/>
    <mergeCell ref="A232:A241"/>
    <mergeCell ref="A242:A251"/>
    <mergeCell ref="A252:A261"/>
    <mergeCell ref="A262:A271"/>
  </mergeCells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</cols>
  <sheetData>
    <row r="1" ht="28.5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305">
        <v>43891.0</v>
      </c>
      <c r="B2" s="948"/>
      <c r="C2" s="242"/>
      <c r="D2" s="242"/>
      <c r="E2" s="242"/>
      <c r="F2" s="949"/>
      <c r="G2" s="244"/>
      <c r="H2" s="244"/>
      <c r="I2" s="662"/>
    </row>
    <row r="3">
      <c r="A3" s="270"/>
      <c r="B3" s="194">
        <f>SUM(B2)</f>
        <v>0</v>
      </c>
      <c r="C3" s="18"/>
      <c r="D3" s="18"/>
      <c r="E3" s="18"/>
      <c r="F3" s="952"/>
      <c r="G3" s="18"/>
      <c r="H3" s="18"/>
      <c r="I3" s="663"/>
    </row>
    <row r="4">
      <c r="A4" s="305">
        <v>43892.0</v>
      </c>
      <c r="B4" s="948" t="str">
        <f t="shared" ref="B4:B17" si="1">F4</f>
        <v/>
      </c>
      <c r="C4" s="244">
        <v>14036.0</v>
      </c>
      <c r="D4" s="242"/>
      <c r="E4" s="242"/>
      <c r="F4" s="949"/>
      <c r="G4" s="244" t="s">
        <v>4229</v>
      </c>
      <c r="H4" s="244"/>
      <c r="I4" s="662"/>
    </row>
    <row r="5">
      <c r="A5" s="265"/>
      <c r="B5" s="950">
        <f t="shared" si="1"/>
        <v>1264.35</v>
      </c>
      <c r="F5" s="161">
        <v>1264.35</v>
      </c>
      <c r="G5" s="2" t="s">
        <v>58</v>
      </c>
      <c r="I5" s="847"/>
    </row>
    <row r="6">
      <c r="A6" s="265"/>
      <c r="B6" s="950">
        <f t="shared" si="1"/>
        <v>3150</v>
      </c>
      <c r="F6" s="161">
        <v>3150.0</v>
      </c>
      <c r="G6" s="2" t="s">
        <v>3731</v>
      </c>
      <c r="I6" s="847"/>
    </row>
    <row r="7">
      <c r="A7" s="265"/>
      <c r="B7" s="950">
        <f t="shared" si="1"/>
        <v>300</v>
      </c>
      <c r="F7" s="161">
        <v>300.0</v>
      </c>
      <c r="G7" s="2" t="s">
        <v>314</v>
      </c>
      <c r="I7" s="847"/>
    </row>
    <row r="8">
      <c r="A8" s="265"/>
      <c r="B8" s="950">
        <f t="shared" si="1"/>
        <v>882</v>
      </c>
      <c r="F8" s="161">
        <v>882.0</v>
      </c>
      <c r="G8" s="2" t="s">
        <v>4230</v>
      </c>
      <c r="I8" s="847"/>
    </row>
    <row r="9">
      <c r="A9" s="265"/>
      <c r="B9" s="950">
        <f t="shared" si="1"/>
        <v>270</v>
      </c>
      <c r="F9" s="161">
        <v>270.0</v>
      </c>
      <c r="G9" s="2" t="s">
        <v>4231</v>
      </c>
      <c r="I9" s="847"/>
    </row>
    <row r="10">
      <c r="A10" s="265"/>
      <c r="B10" s="950">
        <f t="shared" si="1"/>
        <v>690</v>
      </c>
      <c r="F10" s="161">
        <v>690.0</v>
      </c>
      <c r="G10" s="2" t="s">
        <v>4232</v>
      </c>
      <c r="H10" s="942"/>
      <c r="I10" s="847"/>
    </row>
    <row r="11">
      <c r="A11" s="265"/>
      <c r="B11" s="950">
        <f t="shared" si="1"/>
        <v>700</v>
      </c>
      <c r="F11" s="161">
        <v>700.0</v>
      </c>
      <c r="G11" s="2" t="s">
        <v>3437</v>
      </c>
      <c r="I11" s="847"/>
    </row>
    <row r="12">
      <c r="A12" s="265"/>
      <c r="B12" s="950">
        <f t="shared" si="1"/>
        <v>299.5</v>
      </c>
      <c r="F12" s="161">
        <v>299.5</v>
      </c>
      <c r="G12" s="2" t="s">
        <v>314</v>
      </c>
      <c r="I12" s="847"/>
    </row>
    <row r="13">
      <c r="A13" s="265"/>
      <c r="B13" s="950">
        <f t="shared" si="1"/>
        <v>3000</v>
      </c>
      <c r="F13" s="161">
        <v>3000.0</v>
      </c>
      <c r="G13" s="2" t="s">
        <v>4233</v>
      </c>
      <c r="I13" s="847"/>
    </row>
    <row r="14">
      <c r="A14" s="265"/>
      <c r="B14" s="950" t="str">
        <f t="shared" si="1"/>
        <v/>
      </c>
      <c r="F14" s="161"/>
      <c r="I14" s="847"/>
    </row>
    <row r="15">
      <c r="A15" s="265"/>
      <c r="B15" s="950" t="str">
        <f t="shared" si="1"/>
        <v/>
      </c>
      <c r="F15" s="161"/>
      <c r="I15" s="847"/>
    </row>
    <row r="16">
      <c r="A16" s="265"/>
      <c r="B16" s="950" t="str">
        <f t="shared" si="1"/>
        <v/>
      </c>
      <c r="F16" s="161"/>
      <c r="I16" s="847"/>
    </row>
    <row r="17">
      <c r="A17" s="265"/>
      <c r="B17" s="950" t="str">
        <f t="shared" si="1"/>
        <v/>
      </c>
      <c r="F17" s="161"/>
      <c r="I17" s="847"/>
    </row>
    <row r="18">
      <c r="A18" s="270"/>
      <c r="B18" s="194">
        <f>SUM(B4:B17)</f>
        <v>10555.85</v>
      </c>
      <c r="C18" s="18"/>
      <c r="D18" s="18"/>
      <c r="E18" s="18"/>
      <c r="F18" s="952"/>
      <c r="G18" s="18"/>
      <c r="H18" s="18"/>
      <c r="I18" s="663"/>
    </row>
    <row r="19">
      <c r="A19" s="305">
        <v>43893.0</v>
      </c>
      <c r="B19" s="948" t="str">
        <f t="shared" ref="B19:B32" si="2">F19</f>
        <v/>
      </c>
      <c r="C19" s="244">
        <v>10164.0</v>
      </c>
      <c r="D19" s="242"/>
      <c r="E19" s="242"/>
      <c r="F19" s="949"/>
      <c r="G19" s="244" t="s">
        <v>2637</v>
      </c>
      <c r="H19" s="244"/>
      <c r="I19" s="662"/>
    </row>
    <row r="20">
      <c r="A20" s="265"/>
      <c r="B20" s="950">
        <f t="shared" si="2"/>
        <v>215</v>
      </c>
      <c r="F20" s="161">
        <v>215.0</v>
      </c>
      <c r="G20" s="2" t="s">
        <v>1732</v>
      </c>
      <c r="I20" s="847"/>
    </row>
    <row r="21">
      <c r="A21" s="265"/>
      <c r="B21" s="950">
        <f t="shared" si="2"/>
        <v>3150</v>
      </c>
      <c r="F21" s="161">
        <v>3150.0</v>
      </c>
      <c r="G21" s="2" t="s">
        <v>3731</v>
      </c>
      <c r="I21" s="847"/>
    </row>
    <row r="22">
      <c r="A22" s="265"/>
      <c r="B22" s="950">
        <f t="shared" si="2"/>
        <v>4208</v>
      </c>
      <c r="F22" s="161">
        <v>4208.0</v>
      </c>
      <c r="G22" s="2" t="s">
        <v>4234</v>
      </c>
      <c r="I22" s="847"/>
    </row>
    <row r="23">
      <c r="A23" s="265"/>
      <c r="B23" s="950">
        <f t="shared" si="2"/>
        <v>4930</v>
      </c>
      <c r="F23" s="161">
        <v>4930.0</v>
      </c>
      <c r="G23" s="2" t="s">
        <v>4230</v>
      </c>
      <c r="I23" s="847"/>
    </row>
    <row r="24">
      <c r="A24" s="265"/>
      <c r="B24" s="950">
        <f t="shared" si="2"/>
        <v>970</v>
      </c>
      <c r="F24" s="161">
        <v>970.0</v>
      </c>
      <c r="G24" s="2" t="s">
        <v>4235</v>
      </c>
      <c r="I24" s="847"/>
    </row>
    <row r="25">
      <c r="A25" s="265"/>
      <c r="B25" s="950">
        <f t="shared" si="2"/>
        <v>200</v>
      </c>
      <c r="F25" s="161">
        <v>200.0</v>
      </c>
      <c r="G25" s="2" t="s">
        <v>4236</v>
      </c>
      <c r="H25" s="942"/>
      <c r="I25" s="847"/>
    </row>
    <row r="26">
      <c r="A26" s="265"/>
      <c r="B26" s="950">
        <f t="shared" si="2"/>
        <v>219.78</v>
      </c>
      <c r="F26" s="161">
        <f>123.73+96.05</f>
        <v>219.78</v>
      </c>
      <c r="G26" s="2" t="s">
        <v>4237</v>
      </c>
      <c r="I26" s="847"/>
    </row>
    <row r="27">
      <c r="A27" s="265"/>
      <c r="B27" s="950" t="str">
        <f t="shared" si="2"/>
        <v/>
      </c>
      <c r="F27" s="161"/>
      <c r="I27" s="847"/>
    </row>
    <row r="28">
      <c r="A28" s="265"/>
      <c r="B28" s="950" t="str">
        <f t="shared" si="2"/>
        <v/>
      </c>
      <c r="F28" s="852"/>
      <c r="I28" s="847"/>
    </row>
    <row r="29">
      <c r="A29" s="265"/>
      <c r="B29" s="950" t="str">
        <f t="shared" si="2"/>
        <v/>
      </c>
      <c r="F29" s="161"/>
      <c r="I29" s="847"/>
    </row>
    <row r="30">
      <c r="A30" s="265"/>
      <c r="B30" s="950" t="str">
        <f t="shared" si="2"/>
        <v/>
      </c>
      <c r="F30" s="161"/>
      <c r="I30" s="847"/>
    </row>
    <row r="31">
      <c r="A31" s="265"/>
      <c r="B31" s="950" t="str">
        <f t="shared" si="2"/>
        <v/>
      </c>
      <c r="F31" s="161"/>
      <c r="I31" s="847"/>
    </row>
    <row r="32">
      <c r="A32" s="265"/>
      <c r="B32" s="950" t="str">
        <f t="shared" si="2"/>
        <v/>
      </c>
      <c r="F32" s="161"/>
      <c r="I32" s="847"/>
    </row>
    <row r="33">
      <c r="A33" s="270"/>
      <c r="B33" s="194">
        <f>SUM(B19:B32)</f>
        <v>13892.78</v>
      </c>
      <c r="C33" s="18"/>
      <c r="D33" s="18"/>
      <c r="E33" s="18"/>
      <c r="F33" s="952"/>
      <c r="G33" s="18"/>
      <c r="H33" s="18"/>
      <c r="I33" s="663"/>
    </row>
    <row r="34">
      <c r="A34" s="305">
        <v>43894.0</v>
      </c>
      <c r="B34" s="948">
        <f t="shared" ref="B34:B47" si="3">F34</f>
        <v>2004.44</v>
      </c>
      <c r="C34" s="242"/>
      <c r="D34" s="242"/>
      <c r="E34" s="242"/>
      <c r="F34" s="949">
        <v>2004.44</v>
      </c>
      <c r="G34" s="244" t="s">
        <v>58</v>
      </c>
      <c r="H34" s="244"/>
      <c r="I34" s="662"/>
    </row>
    <row r="35">
      <c r="A35" s="265"/>
      <c r="B35" s="950">
        <f t="shared" si="3"/>
        <v>2960</v>
      </c>
      <c r="F35" s="161">
        <v>2960.0</v>
      </c>
      <c r="G35" s="2" t="s">
        <v>4230</v>
      </c>
      <c r="I35" s="847"/>
    </row>
    <row r="36">
      <c r="A36" s="265"/>
      <c r="B36" s="950" t="str">
        <f t="shared" si="3"/>
        <v/>
      </c>
      <c r="C36" s="2">
        <v>14036.0</v>
      </c>
      <c r="F36" s="161"/>
      <c r="G36" s="2" t="s">
        <v>4229</v>
      </c>
      <c r="I36" s="847"/>
    </row>
    <row r="37">
      <c r="A37" s="265"/>
      <c r="B37" s="950" t="str">
        <f t="shared" si="3"/>
        <v/>
      </c>
      <c r="C37" s="2">
        <v>21401.71</v>
      </c>
      <c r="F37" s="161"/>
      <c r="G37" s="2" t="s">
        <v>951</v>
      </c>
      <c r="I37" s="847"/>
    </row>
    <row r="38">
      <c r="A38" s="265"/>
      <c r="B38" s="950">
        <f t="shared" si="3"/>
        <v>895</v>
      </c>
      <c r="F38" s="161">
        <v>895.0</v>
      </c>
      <c r="G38" s="2" t="s">
        <v>2708</v>
      </c>
      <c r="I38" s="847"/>
    </row>
    <row r="39">
      <c r="A39" s="265"/>
      <c r="B39" s="950">
        <f t="shared" si="3"/>
        <v>3100</v>
      </c>
      <c r="F39" s="161">
        <v>3100.0</v>
      </c>
      <c r="G39" s="2" t="s">
        <v>3731</v>
      </c>
      <c r="I39" s="847"/>
    </row>
    <row r="40">
      <c r="A40" s="265"/>
      <c r="B40" s="950">
        <f t="shared" si="3"/>
        <v>340</v>
      </c>
      <c r="F40" s="161">
        <v>340.0</v>
      </c>
      <c r="G40" s="2" t="s">
        <v>4238</v>
      </c>
      <c r="I40" s="847"/>
    </row>
    <row r="41">
      <c r="A41" s="265"/>
      <c r="B41" s="950" t="str">
        <f t="shared" si="3"/>
        <v/>
      </c>
      <c r="D41" s="2">
        <v>7668.0</v>
      </c>
      <c r="F41" s="161"/>
      <c r="G41" s="2" t="s">
        <v>4239</v>
      </c>
      <c r="I41" s="847"/>
    </row>
    <row r="42">
      <c r="A42" s="265"/>
      <c r="B42" s="950" t="str">
        <f t="shared" si="3"/>
        <v/>
      </c>
      <c r="D42" s="2">
        <v>8750.0</v>
      </c>
      <c r="F42" s="161"/>
      <c r="G42" s="2" t="s">
        <v>4096</v>
      </c>
      <c r="I42" s="847"/>
    </row>
    <row r="43">
      <c r="A43" s="265"/>
      <c r="B43" s="950">
        <f t="shared" si="3"/>
        <v>700</v>
      </c>
      <c r="F43" s="161">
        <v>700.0</v>
      </c>
      <c r="G43" s="2" t="s">
        <v>1732</v>
      </c>
      <c r="I43" s="847"/>
    </row>
    <row r="44">
      <c r="A44" s="265"/>
      <c r="B44" s="950">
        <f t="shared" si="3"/>
        <v>1000</v>
      </c>
      <c r="F44" s="161">
        <v>1000.0</v>
      </c>
      <c r="G44" s="2" t="s">
        <v>4240</v>
      </c>
      <c r="H44" s="942"/>
      <c r="I44" s="847"/>
    </row>
    <row r="45">
      <c r="A45" s="265"/>
      <c r="B45" s="950" t="str">
        <f t="shared" si="3"/>
        <v/>
      </c>
      <c r="F45" s="161"/>
      <c r="I45" s="847"/>
    </row>
    <row r="46">
      <c r="A46" s="265"/>
      <c r="B46" s="950" t="str">
        <f t="shared" si="3"/>
        <v/>
      </c>
      <c r="F46" s="161"/>
      <c r="I46" s="847"/>
    </row>
    <row r="47">
      <c r="A47" s="265"/>
      <c r="B47" s="950" t="str">
        <f t="shared" si="3"/>
        <v/>
      </c>
      <c r="F47" s="161"/>
      <c r="I47" s="847"/>
    </row>
    <row r="48">
      <c r="A48" s="270"/>
      <c r="B48" s="194">
        <f>SUM(B34:B47)</f>
        <v>10999.44</v>
      </c>
      <c r="C48" s="18"/>
      <c r="D48" s="18"/>
      <c r="E48" s="18"/>
      <c r="F48" s="952"/>
      <c r="G48" s="18"/>
      <c r="H48" s="18"/>
      <c r="I48" s="663"/>
    </row>
    <row r="49">
      <c r="A49" s="305">
        <v>43895.0</v>
      </c>
      <c r="B49" s="948">
        <f t="shared" ref="B49:B62" si="4">F49</f>
        <v>4200</v>
      </c>
      <c r="C49" s="242"/>
      <c r="D49" s="242"/>
      <c r="E49" s="242"/>
      <c r="F49" s="949">
        <v>4200.0</v>
      </c>
      <c r="G49" s="244" t="s">
        <v>3904</v>
      </c>
      <c r="H49" s="244"/>
      <c r="I49" s="662"/>
    </row>
    <row r="50">
      <c r="A50" s="265"/>
      <c r="B50" s="950">
        <f t="shared" si="4"/>
        <v>1569</v>
      </c>
      <c r="F50" s="161">
        <v>1569.0</v>
      </c>
      <c r="G50" s="2" t="s">
        <v>4234</v>
      </c>
      <c r="I50" s="847"/>
    </row>
    <row r="51">
      <c r="A51" s="265"/>
      <c r="B51" s="950">
        <f t="shared" si="4"/>
        <v>4220</v>
      </c>
      <c r="F51" s="161">
        <v>4220.0</v>
      </c>
      <c r="G51" s="2" t="s">
        <v>4230</v>
      </c>
      <c r="I51" s="847"/>
    </row>
    <row r="52">
      <c r="A52" s="265"/>
      <c r="B52" s="950">
        <f t="shared" si="4"/>
        <v>4967</v>
      </c>
      <c r="F52" s="161">
        <v>4967.0</v>
      </c>
      <c r="G52" s="2" t="s">
        <v>615</v>
      </c>
      <c r="I52" s="847"/>
    </row>
    <row r="53">
      <c r="A53" s="265"/>
      <c r="B53" s="950">
        <f t="shared" si="4"/>
        <v>5165.96</v>
      </c>
      <c r="F53" s="161">
        <v>5165.96</v>
      </c>
      <c r="G53" s="2" t="s">
        <v>3899</v>
      </c>
      <c r="I53" s="847"/>
    </row>
    <row r="54">
      <c r="A54" s="265"/>
      <c r="B54" s="950">
        <f t="shared" si="4"/>
        <v>1936</v>
      </c>
      <c r="F54" s="161">
        <v>1936.0</v>
      </c>
      <c r="G54" s="2" t="s">
        <v>615</v>
      </c>
      <c r="I54" s="847"/>
    </row>
    <row r="55">
      <c r="A55" s="265"/>
      <c r="B55" s="950">
        <f t="shared" si="4"/>
        <v>402.5</v>
      </c>
      <c r="F55" s="161">
        <v>402.5</v>
      </c>
      <c r="G55" s="2" t="s">
        <v>4241</v>
      </c>
      <c r="I55" s="847"/>
    </row>
    <row r="56">
      <c r="A56" s="265"/>
      <c r="B56" s="950">
        <f t="shared" si="4"/>
        <v>2800</v>
      </c>
      <c r="F56" s="161">
        <v>2800.0</v>
      </c>
      <c r="G56" s="2" t="s">
        <v>4242</v>
      </c>
      <c r="H56" s="942"/>
      <c r="I56" s="847"/>
    </row>
    <row r="57">
      <c r="A57" s="265"/>
      <c r="B57" s="950">
        <f t="shared" si="4"/>
        <v>1200</v>
      </c>
      <c r="F57" s="161">
        <v>1200.0</v>
      </c>
      <c r="G57" s="2" t="s">
        <v>3955</v>
      </c>
      <c r="H57" s="942"/>
      <c r="I57" s="847"/>
    </row>
    <row r="58">
      <c r="A58" s="265"/>
      <c r="B58" s="950" t="str">
        <f t="shared" si="4"/>
        <v/>
      </c>
      <c r="F58" s="852"/>
      <c r="I58" s="847"/>
    </row>
    <row r="59">
      <c r="A59" s="265"/>
      <c r="B59" s="950" t="str">
        <f t="shared" si="4"/>
        <v/>
      </c>
      <c r="F59" s="161"/>
      <c r="I59" s="847"/>
    </row>
    <row r="60">
      <c r="A60" s="265"/>
      <c r="B60" s="950" t="str">
        <f t="shared" si="4"/>
        <v/>
      </c>
      <c r="F60" s="161"/>
      <c r="I60" s="847"/>
    </row>
    <row r="61">
      <c r="A61" s="265"/>
      <c r="B61" s="950" t="str">
        <f t="shared" si="4"/>
        <v/>
      </c>
      <c r="F61" s="161"/>
      <c r="I61" s="847"/>
    </row>
    <row r="62">
      <c r="A62" s="265"/>
      <c r="B62" s="950" t="str">
        <f t="shared" si="4"/>
        <v/>
      </c>
      <c r="F62" s="161"/>
      <c r="I62" s="847"/>
    </row>
    <row r="63">
      <c r="A63" s="270"/>
      <c r="B63" s="194">
        <f>SUM(B49:B62)</f>
        <v>26460.46</v>
      </c>
      <c r="C63" s="18"/>
      <c r="D63" s="18"/>
      <c r="E63" s="18"/>
      <c r="F63" s="952"/>
      <c r="G63" s="18"/>
      <c r="H63" s="18"/>
      <c r="I63" s="663"/>
    </row>
    <row r="64">
      <c r="A64" s="305">
        <v>43896.0</v>
      </c>
      <c r="B64" s="948">
        <f t="shared" ref="B64:B79" si="5">F64</f>
        <v>3150</v>
      </c>
      <c r="C64" s="242"/>
      <c r="D64" s="242"/>
      <c r="E64" s="242"/>
      <c r="F64" s="949">
        <v>3150.0</v>
      </c>
      <c r="G64" s="244" t="s">
        <v>3904</v>
      </c>
      <c r="H64" s="244"/>
      <c r="I64" s="662"/>
    </row>
    <row r="65">
      <c r="A65" s="265"/>
      <c r="B65" s="950">
        <f t="shared" si="5"/>
        <v>805.5</v>
      </c>
      <c r="F65" s="161">
        <f>403+402.5</f>
        <v>805.5</v>
      </c>
      <c r="G65" s="2" t="s">
        <v>4243</v>
      </c>
      <c r="I65" s="847"/>
    </row>
    <row r="66">
      <c r="A66" s="265"/>
      <c r="B66" s="950">
        <f t="shared" si="5"/>
        <v>1543</v>
      </c>
      <c r="F66" s="161">
        <v>1543.0</v>
      </c>
      <c r="G66" s="2" t="s">
        <v>4230</v>
      </c>
      <c r="I66" s="847"/>
    </row>
    <row r="67">
      <c r="A67" s="265"/>
      <c r="B67" s="950">
        <f t="shared" si="5"/>
        <v>207.97</v>
      </c>
      <c r="F67" s="161">
        <v>207.97</v>
      </c>
      <c r="G67" s="2" t="s">
        <v>3821</v>
      </c>
      <c r="I67" s="847"/>
    </row>
    <row r="68">
      <c r="A68" s="265"/>
      <c r="B68" s="950">
        <f t="shared" si="5"/>
        <v>36000</v>
      </c>
      <c r="F68" s="161">
        <v>36000.0</v>
      </c>
      <c r="G68" s="2" t="s">
        <v>4244</v>
      </c>
      <c r="I68" s="847"/>
    </row>
    <row r="69">
      <c r="A69" s="265"/>
      <c r="B69" s="950" t="str">
        <f t="shared" si="5"/>
        <v/>
      </c>
      <c r="D69" s="2">
        <v>8811.87</v>
      </c>
      <c r="F69" s="161"/>
      <c r="G69" s="2" t="s">
        <v>188</v>
      </c>
      <c r="I69" s="847"/>
    </row>
    <row r="70">
      <c r="A70" s="265"/>
      <c r="B70" s="950">
        <f t="shared" si="5"/>
        <v>4600</v>
      </c>
      <c r="F70" s="161">
        <v>4600.0</v>
      </c>
      <c r="G70" s="2" t="s">
        <v>4032</v>
      </c>
      <c r="H70" s="942"/>
      <c r="I70" s="847"/>
    </row>
    <row r="71">
      <c r="A71" s="265"/>
      <c r="B71" s="950">
        <f t="shared" si="5"/>
        <v>8500</v>
      </c>
      <c r="F71" s="161">
        <v>8500.0</v>
      </c>
      <c r="G71" s="2" t="s">
        <v>4154</v>
      </c>
      <c r="H71" s="942"/>
      <c r="I71" s="847"/>
    </row>
    <row r="72">
      <c r="A72" s="265"/>
      <c r="B72" s="950">
        <f t="shared" si="5"/>
        <v>5600</v>
      </c>
      <c r="F72" s="161">
        <v>5600.0</v>
      </c>
      <c r="G72" s="2" t="s">
        <v>4153</v>
      </c>
      <c r="H72" s="942"/>
      <c r="I72" s="847"/>
    </row>
    <row r="73">
      <c r="A73" s="265"/>
      <c r="B73" s="950">
        <f t="shared" si="5"/>
        <v>5800</v>
      </c>
      <c r="F73" s="161">
        <v>5800.0</v>
      </c>
      <c r="G73" s="2" t="s">
        <v>4063</v>
      </c>
      <c r="H73" s="942"/>
      <c r="I73" s="847"/>
    </row>
    <row r="74">
      <c r="A74" s="265"/>
      <c r="B74" s="950">
        <f t="shared" si="5"/>
        <v>7250</v>
      </c>
      <c r="F74" s="161">
        <v>7250.0</v>
      </c>
      <c r="G74" s="2" t="s">
        <v>4152</v>
      </c>
      <c r="H74" s="942"/>
      <c r="I74" s="847"/>
    </row>
    <row r="75">
      <c r="A75" s="265"/>
      <c r="B75" s="950">
        <f t="shared" si="5"/>
        <v>6050</v>
      </c>
      <c r="F75" s="161">
        <v>6050.0</v>
      </c>
      <c r="G75" s="2" t="s">
        <v>4245</v>
      </c>
      <c r="H75" s="942"/>
      <c r="I75" s="847"/>
    </row>
    <row r="76">
      <c r="A76" s="265"/>
      <c r="B76" s="950">
        <f t="shared" si="5"/>
        <v>4750</v>
      </c>
      <c r="F76" s="161">
        <v>4750.0</v>
      </c>
      <c r="G76" s="2" t="s">
        <v>4246</v>
      </c>
      <c r="H76" s="942"/>
      <c r="I76" s="847"/>
    </row>
    <row r="77">
      <c r="A77" s="265"/>
      <c r="B77" s="950">
        <f t="shared" si="5"/>
        <v>8500</v>
      </c>
      <c r="F77" s="161">
        <v>8500.0</v>
      </c>
      <c r="G77" s="2" t="s">
        <v>4247</v>
      </c>
      <c r="H77" s="942"/>
      <c r="I77" s="847"/>
    </row>
    <row r="78">
      <c r="A78" s="265"/>
      <c r="B78" s="950" t="str">
        <f t="shared" si="5"/>
        <v/>
      </c>
      <c r="D78" s="2">
        <v>9500.0</v>
      </c>
      <c r="F78" s="161"/>
      <c r="G78" s="2" t="s">
        <v>196</v>
      </c>
      <c r="I78" s="847"/>
    </row>
    <row r="79">
      <c r="A79" s="265"/>
      <c r="B79" s="950">
        <f t="shared" si="5"/>
        <v>5342</v>
      </c>
      <c r="F79" s="161">
        <v>5342.0</v>
      </c>
      <c r="G79" s="2" t="s">
        <v>4120</v>
      </c>
      <c r="I79" s="847"/>
    </row>
    <row r="80">
      <c r="A80" s="265"/>
      <c r="B80" s="950"/>
      <c r="C80" s="2">
        <v>9702.0</v>
      </c>
      <c r="F80" s="161"/>
      <c r="G80" s="2" t="s">
        <v>4248</v>
      </c>
      <c r="I80" s="847"/>
    </row>
    <row r="81">
      <c r="A81" s="265"/>
      <c r="B81" s="950">
        <f t="shared" ref="B81:B83" si="6">F81</f>
        <v>145.21</v>
      </c>
      <c r="F81" s="161">
        <v>145.21</v>
      </c>
      <c r="G81" s="2" t="s">
        <v>4249</v>
      </c>
      <c r="I81" s="847"/>
    </row>
    <row r="82">
      <c r="A82" s="265"/>
      <c r="B82" s="950">
        <f t="shared" si="6"/>
        <v>140</v>
      </c>
      <c r="F82" s="161">
        <v>140.0</v>
      </c>
      <c r="G82" s="2" t="s">
        <v>4250</v>
      </c>
      <c r="I82" s="847"/>
    </row>
    <row r="83">
      <c r="A83" s="265"/>
      <c r="B83" s="950" t="str">
        <f t="shared" si="6"/>
        <v/>
      </c>
      <c r="F83" s="161"/>
      <c r="I83" s="847"/>
    </row>
    <row r="84">
      <c r="A84" s="270"/>
      <c r="B84" s="194">
        <f>SUM(B64:B83)</f>
        <v>98383.68</v>
      </c>
      <c r="C84" s="18"/>
      <c r="D84" s="18"/>
      <c r="E84" s="18"/>
      <c r="F84" s="952"/>
      <c r="G84" s="18"/>
      <c r="H84" s="18"/>
      <c r="I84" s="663"/>
    </row>
    <row r="85">
      <c r="A85" s="305">
        <v>43897.0</v>
      </c>
      <c r="B85" s="948">
        <f t="shared" ref="B85:B98" si="7">F85</f>
        <v>47.7</v>
      </c>
      <c r="C85" s="242"/>
      <c r="D85" s="242"/>
      <c r="E85" s="242"/>
      <c r="F85" s="949">
        <v>47.7</v>
      </c>
      <c r="G85" s="244" t="s">
        <v>4251</v>
      </c>
      <c r="H85" s="244"/>
      <c r="I85" s="662"/>
    </row>
    <row r="86">
      <c r="A86" s="265"/>
      <c r="B86" s="950">
        <f t="shared" si="7"/>
        <v>2315.98</v>
      </c>
      <c r="F86" s="161">
        <v>2315.98</v>
      </c>
      <c r="G86" s="2" t="s">
        <v>3821</v>
      </c>
      <c r="I86" s="847"/>
    </row>
    <row r="87">
      <c r="A87" s="265"/>
      <c r="B87" s="950">
        <f t="shared" si="7"/>
        <v>500</v>
      </c>
      <c r="F87" s="161">
        <v>500.0</v>
      </c>
      <c r="G87" s="2" t="s">
        <v>4252</v>
      </c>
      <c r="I87" s="847"/>
    </row>
    <row r="88">
      <c r="A88" s="265"/>
      <c r="B88" s="950" t="str">
        <f t="shared" si="7"/>
        <v/>
      </c>
      <c r="F88" s="161"/>
      <c r="I88" s="847"/>
    </row>
    <row r="89">
      <c r="A89" s="265"/>
      <c r="B89" s="950" t="str">
        <f t="shared" si="7"/>
        <v/>
      </c>
      <c r="F89" s="161"/>
      <c r="I89" s="847"/>
    </row>
    <row r="90">
      <c r="A90" s="265"/>
      <c r="B90" s="950" t="str">
        <f t="shared" si="7"/>
        <v/>
      </c>
      <c r="F90" s="161"/>
      <c r="I90" s="847"/>
    </row>
    <row r="91">
      <c r="A91" s="265"/>
      <c r="B91" s="950" t="str">
        <f t="shared" si="7"/>
        <v/>
      </c>
      <c r="F91" s="852"/>
      <c r="I91" s="847"/>
    </row>
    <row r="92">
      <c r="A92" s="265"/>
      <c r="B92" s="950" t="str">
        <f t="shared" si="7"/>
        <v/>
      </c>
      <c r="F92" s="161"/>
      <c r="I92" s="847"/>
    </row>
    <row r="93">
      <c r="A93" s="265"/>
      <c r="B93" s="950" t="str">
        <f t="shared" si="7"/>
        <v/>
      </c>
      <c r="F93" s="161"/>
      <c r="I93" s="847"/>
    </row>
    <row r="94">
      <c r="A94" s="265"/>
      <c r="B94" s="950" t="str">
        <f t="shared" si="7"/>
        <v/>
      </c>
      <c r="F94" s="852"/>
      <c r="I94" s="847"/>
    </row>
    <row r="95">
      <c r="A95" s="265"/>
      <c r="B95" s="950" t="str">
        <f t="shared" si="7"/>
        <v/>
      </c>
      <c r="F95" s="161"/>
      <c r="I95" s="847"/>
    </row>
    <row r="96">
      <c r="A96" s="265"/>
      <c r="B96" s="950" t="str">
        <f t="shared" si="7"/>
        <v/>
      </c>
      <c r="F96" s="161"/>
      <c r="I96" s="847"/>
    </row>
    <row r="97">
      <c r="A97" s="265"/>
      <c r="B97" s="950" t="str">
        <f t="shared" si="7"/>
        <v/>
      </c>
      <c r="F97" s="161"/>
      <c r="I97" s="847"/>
    </row>
    <row r="98">
      <c r="A98" s="265"/>
      <c r="B98" s="950" t="str">
        <f t="shared" si="7"/>
        <v/>
      </c>
      <c r="F98" s="161"/>
      <c r="I98" s="847"/>
    </row>
    <row r="99">
      <c r="A99" s="270"/>
      <c r="B99" s="194">
        <f>SUM(B85:B98)</f>
        <v>2863.68</v>
      </c>
      <c r="C99" s="18"/>
      <c r="D99" s="18"/>
      <c r="E99" s="18"/>
      <c r="F99" s="952"/>
      <c r="G99" s="18"/>
      <c r="H99" s="18"/>
      <c r="I99" s="663"/>
    </row>
    <row r="100">
      <c r="A100" s="305">
        <v>43898.0</v>
      </c>
      <c r="B100" s="948" t="str">
        <f>F100</f>
        <v/>
      </c>
      <c r="C100" s="242"/>
      <c r="D100" s="242"/>
      <c r="E100" s="242"/>
      <c r="F100" s="949"/>
      <c r="G100" s="242"/>
      <c r="H100" s="244"/>
      <c r="I100" s="662"/>
    </row>
    <row r="101">
      <c r="A101" s="270"/>
      <c r="B101" s="194">
        <f>SUM(B100)</f>
        <v>0</v>
      </c>
      <c r="C101" s="18"/>
      <c r="D101" s="18"/>
      <c r="E101" s="18"/>
      <c r="F101" s="952"/>
      <c r="G101" s="18"/>
      <c r="H101" s="18"/>
      <c r="I101" s="663"/>
    </row>
    <row r="102">
      <c r="A102" s="305">
        <v>43899.0</v>
      </c>
      <c r="B102" s="948">
        <f t="shared" ref="B102:B115" si="8">F102</f>
        <v>390</v>
      </c>
      <c r="C102" s="242"/>
      <c r="D102" s="242"/>
      <c r="E102" s="242"/>
      <c r="F102" s="949">
        <v>390.0</v>
      </c>
      <c r="G102" s="244" t="s">
        <v>4253</v>
      </c>
      <c r="H102" s="244"/>
      <c r="I102" s="662"/>
    </row>
    <row r="103">
      <c r="A103" s="265"/>
      <c r="B103" s="950">
        <f t="shared" si="8"/>
        <v>3150</v>
      </c>
      <c r="F103" s="161">
        <v>3150.0</v>
      </c>
      <c r="G103" s="2" t="s">
        <v>421</v>
      </c>
      <c r="I103" s="847"/>
    </row>
    <row r="104">
      <c r="A104" s="265"/>
      <c r="B104" s="950">
        <f t="shared" si="8"/>
        <v>2805</v>
      </c>
      <c r="F104" s="161">
        <v>2805.0</v>
      </c>
      <c r="G104" s="2" t="s">
        <v>4254</v>
      </c>
      <c r="I104" s="847"/>
    </row>
    <row r="105">
      <c r="A105" s="265"/>
      <c r="B105" s="950">
        <f t="shared" si="8"/>
        <v>90</v>
      </c>
      <c r="F105" s="161">
        <v>90.0</v>
      </c>
      <c r="G105" s="2" t="s">
        <v>708</v>
      </c>
      <c r="I105" s="847"/>
    </row>
    <row r="106">
      <c r="A106" s="265"/>
      <c r="B106" s="950">
        <f t="shared" si="8"/>
        <v>2360</v>
      </c>
      <c r="F106" s="161">
        <v>2360.0</v>
      </c>
      <c r="G106" s="2" t="s">
        <v>4255</v>
      </c>
      <c r="I106" s="847"/>
    </row>
    <row r="107">
      <c r="A107" s="265"/>
      <c r="B107" s="950">
        <f t="shared" si="8"/>
        <v>3480</v>
      </c>
      <c r="F107" s="161">
        <v>3480.0</v>
      </c>
      <c r="G107" s="2" t="s">
        <v>76</v>
      </c>
      <c r="I107" s="847"/>
    </row>
    <row r="108">
      <c r="A108" s="265"/>
      <c r="B108" s="950">
        <f t="shared" si="8"/>
        <v>210</v>
      </c>
      <c r="F108" s="161">
        <v>210.0</v>
      </c>
      <c r="G108" s="2" t="s">
        <v>459</v>
      </c>
      <c r="I108" s="847"/>
    </row>
    <row r="109">
      <c r="A109" s="265"/>
      <c r="B109" s="950">
        <f t="shared" si="8"/>
        <v>1000</v>
      </c>
      <c r="F109" s="161">
        <v>1000.0</v>
      </c>
      <c r="G109" s="2" t="s">
        <v>4240</v>
      </c>
      <c r="H109" s="942"/>
      <c r="I109" s="847"/>
    </row>
    <row r="110">
      <c r="A110" s="265"/>
      <c r="B110" s="950" t="str">
        <f t="shared" si="8"/>
        <v/>
      </c>
      <c r="F110" s="161"/>
      <c r="I110" s="847"/>
    </row>
    <row r="111">
      <c r="A111" s="265"/>
      <c r="B111" s="950" t="str">
        <f t="shared" si="8"/>
        <v/>
      </c>
      <c r="F111" s="852"/>
      <c r="I111" s="847"/>
    </row>
    <row r="112">
      <c r="A112" s="265"/>
      <c r="B112" s="950" t="str">
        <f t="shared" si="8"/>
        <v/>
      </c>
      <c r="F112" s="161"/>
      <c r="I112" s="847"/>
    </row>
    <row r="113">
      <c r="A113" s="265"/>
      <c r="B113" s="950" t="str">
        <f t="shared" si="8"/>
        <v/>
      </c>
      <c r="F113" s="161"/>
      <c r="I113" s="847"/>
    </row>
    <row r="114">
      <c r="A114" s="265"/>
      <c r="B114" s="950" t="str">
        <f t="shared" si="8"/>
        <v/>
      </c>
      <c r="F114" s="161"/>
      <c r="I114" s="847"/>
    </row>
    <row r="115">
      <c r="A115" s="265"/>
      <c r="B115" s="950" t="str">
        <f t="shared" si="8"/>
        <v/>
      </c>
      <c r="F115" s="161"/>
      <c r="I115" s="847"/>
    </row>
    <row r="116">
      <c r="A116" s="270"/>
      <c r="B116" s="194">
        <f>SUM(B102:B115)</f>
        <v>13485</v>
      </c>
      <c r="C116" s="18"/>
      <c r="D116" s="18"/>
      <c r="E116" s="18"/>
      <c r="F116" s="952"/>
      <c r="G116" s="18"/>
      <c r="H116" s="18"/>
      <c r="I116" s="663"/>
    </row>
    <row r="117">
      <c r="A117" s="305">
        <v>43900.0</v>
      </c>
      <c r="B117" s="948">
        <f t="shared" ref="B117:B130" si="9">F117</f>
        <v>3150</v>
      </c>
      <c r="C117" s="242"/>
      <c r="D117" s="242"/>
      <c r="E117" s="242"/>
      <c r="F117" s="949">
        <v>3150.0</v>
      </c>
      <c r="G117" s="244" t="s">
        <v>3731</v>
      </c>
      <c r="H117" s="244"/>
      <c r="I117" s="662"/>
    </row>
    <row r="118">
      <c r="A118" s="265"/>
      <c r="B118" s="950">
        <f t="shared" si="9"/>
        <v>700</v>
      </c>
      <c r="F118" s="161">
        <v>700.0</v>
      </c>
      <c r="G118" s="2" t="s">
        <v>345</v>
      </c>
      <c r="I118" s="847"/>
    </row>
    <row r="119">
      <c r="A119" s="265"/>
      <c r="B119" s="950" t="str">
        <f t="shared" si="9"/>
        <v/>
      </c>
      <c r="C119" s="2">
        <v>12341.92</v>
      </c>
      <c r="F119" s="161"/>
      <c r="G119" s="2" t="s">
        <v>2637</v>
      </c>
      <c r="I119" s="847"/>
    </row>
    <row r="120">
      <c r="A120" s="265"/>
      <c r="B120" s="950">
        <f t="shared" si="9"/>
        <v>500</v>
      </c>
      <c r="F120" s="161">
        <v>500.0</v>
      </c>
      <c r="G120" s="2" t="s">
        <v>4256</v>
      </c>
      <c r="I120" s="847"/>
    </row>
    <row r="121">
      <c r="A121" s="265"/>
      <c r="B121" s="950">
        <f t="shared" si="9"/>
        <v>280</v>
      </c>
      <c r="F121" s="161">
        <v>280.0</v>
      </c>
      <c r="G121" s="2" t="s">
        <v>3536</v>
      </c>
      <c r="I121" s="847"/>
    </row>
    <row r="122">
      <c r="A122" s="265"/>
      <c r="B122" s="950">
        <f t="shared" si="9"/>
        <v>2415</v>
      </c>
      <c r="F122" s="161">
        <v>2415.0</v>
      </c>
      <c r="G122" s="2" t="s">
        <v>4257</v>
      </c>
      <c r="I122" s="847"/>
    </row>
    <row r="123">
      <c r="A123" s="265"/>
      <c r="B123" s="950">
        <f t="shared" si="9"/>
        <v>350</v>
      </c>
      <c r="F123" s="161">
        <v>350.0</v>
      </c>
      <c r="G123" s="2" t="s">
        <v>3421</v>
      </c>
      <c r="H123" s="552"/>
      <c r="I123" s="847"/>
    </row>
    <row r="124">
      <c r="A124" s="265"/>
      <c r="B124" s="950" t="str">
        <f t="shared" si="9"/>
        <v/>
      </c>
      <c r="F124" s="161"/>
      <c r="I124" s="847"/>
    </row>
    <row r="125">
      <c r="A125" s="265"/>
      <c r="B125" s="950" t="str">
        <f t="shared" si="9"/>
        <v/>
      </c>
      <c r="F125" s="161"/>
      <c r="I125" s="847"/>
    </row>
    <row r="126">
      <c r="A126" s="265"/>
      <c r="B126" s="950" t="str">
        <f t="shared" si="9"/>
        <v/>
      </c>
      <c r="F126" s="852"/>
      <c r="I126" s="847"/>
    </row>
    <row r="127">
      <c r="A127" s="265"/>
      <c r="B127" s="950" t="str">
        <f t="shared" si="9"/>
        <v/>
      </c>
      <c r="F127" s="161"/>
      <c r="I127" s="847"/>
    </row>
    <row r="128">
      <c r="A128" s="265"/>
      <c r="B128" s="950" t="str">
        <f t="shared" si="9"/>
        <v/>
      </c>
      <c r="F128" s="161"/>
      <c r="I128" s="847"/>
    </row>
    <row r="129">
      <c r="A129" s="265"/>
      <c r="B129" s="950" t="str">
        <f t="shared" si="9"/>
        <v/>
      </c>
      <c r="F129" s="161"/>
      <c r="I129" s="847"/>
    </row>
    <row r="130">
      <c r="A130" s="265"/>
      <c r="B130" s="950" t="str">
        <f t="shared" si="9"/>
        <v/>
      </c>
      <c r="F130" s="161"/>
      <c r="I130" s="847"/>
    </row>
    <row r="131">
      <c r="A131" s="270"/>
      <c r="B131" s="194">
        <f>SUM(B117:B130)</f>
        <v>7395</v>
      </c>
      <c r="C131" s="18"/>
      <c r="D131" s="18"/>
      <c r="E131" s="18"/>
      <c r="F131" s="952"/>
      <c r="G131" s="18"/>
      <c r="H131" s="18"/>
      <c r="I131" s="663"/>
    </row>
    <row r="132">
      <c r="A132" s="305">
        <v>43901.0</v>
      </c>
      <c r="B132" s="948">
        <f t="shared" ref="B132:B145" si="10">F132</f>
        <v>90</v>
      </c>
      <c r="C132" s="242"/>
      <c r="D132" s="242"/>
      <c r="E132" s="242"/>
      <c r="F132" s="949">
        <v>90.0</v>
      </c>
      <c r="G132" s="244" t="s">
        <v>4258</v>
      </c>
      <c r="H132" s="244"/>
      <c r="I132" s="662"/>
    </row>
    <row r="133">
      <c r="A133" s="265"/>
      <c r="B133" s="950">
        <f t="shared" si="10"/>
        <v>191</v>
      </c>
      <c r="F133" s="161">
        <v>191.0</v>
      </c>
      <c r="G133" s="2" t="s">
        <v>314</v>
      </c>
      <c r="I133" s="847"/>
    </row>
    <row r="134">
      <c r="A134" s="265"/>
      <c r="B134" s="950">
        <f t="shared" si="10"/>
        <v>2550</v>
      </c>
      <c r="F134" s="161">
        <v>2550.0</v>
      </c>
      <c r="G134" s="2" t="s">
        <v>4234</v>
      </c>
      <c r="I134" s="847"/>
    </row>
    <row r="135">
      <c r="A135" s="265"/>
      <c r="B135" s="950">
        <f t="shared" si="10"/>
        <v>1354.7</v>
      </c>
      <c r="F135" s="161">
        <v>1354.7</v>
      </c>
      <c r="G135" s="2" t="s">
        <v>58</v>
      </c>
      <c r="I135" s="847"/>
    </row>
    <row r="136">
      <c r="A136" s="265"/>
      <c r="B136" s="950">
        <f t="shared" si="10"/>
        <v>6440</v>
      </c>
      <c r="F136" s="161">
        <v>6440.0</v>
      </c>
      <c r="G136" s="2" t="s">
        <v>4230</v>
      </c>
      <c r="I136" s="847"/>
    </row>
    <row r="137">
      <c r="A137" s="265"/>
      <c r="B137" s="950" t="str">
        <f t="shared" si="10"/>
        <v/>
      </c>
      <c r="D137" s="2">
        <v>11498.37</v>
      </c>
      <c r="F137" s="161"/>
      <c r="G137" s="2" t="s">
        <v>4239</v>
      </c>
      <c r="I137" s="847"/>
    </row>
    <row r="138">
      <c r="A138" s="265"/>
      <c r="B138" s="950" t="str">
        <f t="shared" si="10"/>
        <v/>
      </c>
      <c r="C138" s="2">
        <v>10693.3</v>
      </c>
      <c r="F138" s="852"/>
      <c r="G138" s="2" t="s">
        <v>3326</v>
      </c>
      <c r="I138" s="847"/>
    </row>
    <row r="139">
      <c r="A139" s="265"/>
      <c r="B139" s="950" t="str">
        <f t="shared" si="10"/>
        <v/>
      </c>
      <c r="D139" s="2">
        <v>3450.0</v>
      </c>
      <c r="F139" s="161"/>
      <c r="G139" s="2" t="s">
        <v>3901</v>
      </c>
      <c r="I139" s="847"/>
    </row>
    <row r="140">
      <c r="A140" s="265"/>
      <c r="B140" s="950" t="str">
        <f t="shared" si="10"/>
        <v/>
      </c>
      <c r="D140" s="2">
        <v>30000.0</v>
      </c>
      <c r="F140" s="161"/>
      <c r="G140" s="2" t="s">
        <v>664</v>
      </c>
      <c r="I140" s="847"/>
    </row>
    <row r="141">
      <c r="A141" s="265"/>
      <c r="B141" s="950">
        <f t="shared" si="10"/>
        <v>3580</v>
      </c>
      <c r="F141" s="161">
        <v>3580.0</v>
      </c>
      <c r="G141" s="2" t="s">
        <v>2755</v>
      </c>
      <c r="I141" s="847"/>
    </row>
    <row r="142">
      <c r="A142" s="265"/>
      <c r="B142" s="950">
        <f t="shared" si="10"/>
        <v>3150</v>
      </c>
      <c r="F142" s="161">
        <v>3150.0</v>
      </c>
      <c r="G142" s="2" t="s">
        <v>3731</v>
      </c>
      <c r="I142" s="847"/>
    </row>
    <row r="143">
      <c r="A143" s="265"/>
      <c r="B143" s="950" t="str">
        <f t="shared" si="10"/>
        <v/>
      </c>
      <c r="F143" s="161"/>
      <c r="I143" s="847"/>
    </row>
    <row r="144">
      <c r="A144" s="265"/>
      <c r="B144" s="950" t="str">
        <f t="shared" si="10"/>
        <v/>
      </c>
      <c r="F144" s="161"/>
      <c r="I144" s="847"/>
    </row>
    <row r="145">
      <c r="A145" s="265"/>
      <c r="B145" s="950" t="str">
        <f t="shared" si="10"/>
        <v/>
      </c>
      <c r="F145" s="161"/>
      <c r="I145" s="847"/>
    </row>
    <row r="146">
      <c r="A146" s="270"/>
      <c r="B146" s="194">
        <f>SUM(B132:B145)</f>
        <v>17355.7</v>
      </c>
      <c r="C146" s="18"/>
      <c r="D146" s="18"/>
      <c r="E146" s="18"/>
      <c r="F146" s="952"/>
      <c r="G146" s="18"/>
      <c r="H146" s="18"/>
      <c r="I146" s="663"/>
    </row>
    <row r="147">
      <c r="A147" s="305">
        <v>43902.0</v>
      </c>
      <c r="B147" s="948" t="str">
        <f t="shared" ref="B147:B159" si="11">F147</f>
        <v/>
      </c>
      <c r="C147" s="242"/>
      <c r="D147" s="244" t="s">
        <v>4259</v>
      </c>
      <c r="E147" s="242"/>
      <c r="F147" s="949"/>
      <c r="G147" s="244" t="s">
        <v>951</v>
      </c>
      <c r="H147" s="244"/>
      <c r="I147" s="662"/>
    </row>
    <row r="148">
      <c r="A148" s="265"/>
      <c r="B148" s="950">
        <f t="shared" si="11"/>
        <v>2440</v>
      </c>
      <c r="F148" s="161">
        <v>2440.0</v>
      </c>
      <c r="G148" s="2" t="s">
        <v>4260</v>
      </c>
      <c r="I148" s="847"/>
    </row>
    <row r="149">
      <c r="A149" s="265"/>
      <c r="B149" s="950">
        <f t="shared" si="11"/>
        <v>1339</v>
      </c>
      <c r="F149" s="161">
        <v>1339.0</v>
      </c>
      <c r="G149" s="2" t="s">
        <v>4234</v>
      </c>
      <c r="I149" s="847"/>
    </row>
    <row r="150">
      <c r="A150" s="265"/>
      <c r="B150" s="950">
        <f t="shared" si="11"/>
        <v>3150</v>
      </c>
      <c r="F150" s="161">
        <v>3150.0</v>
      </c>
      <c r="G150" s="2" t="s">
        <v>3731</v>
      </c>
      <c r="I150" s="847"/>
    </row>
    <row r="151">
      <c r="A151" s="265"/>
      <c r="B151" s="950">
        <f t="shared" si="11"/>
        <v>603</v>
      </c>
      <c r="F151" s="161">
        <v>603.0</v>
      </c>
      <c r="G151" s="2" t="s">
        <v>345</v>
      </c>
      <c r="I151" s="847"/>
    </row>
    <row r="152">
      <c r="A152" s="265"/>
      <c r="B152" s="950">
        <f t="shared" si="11"/>
        <v>1730</v>
      </c>
      <c r="F152" s="161">
        <v>1730.0</v>
      </c>
      <c r="G152" s="2" t="s">
        <v>2730</v>
      </c>
      <c r="I152" s="847"/>
    </row>
    <row r="153">
      <c r="A153" s="265"/>
      <c r="B153" s="950">
        <f t="shared" si="11"/>
        <v>4270</v>
      </c>
      <c r="F153" s="161">
        <v>4270.0</v>
      </c>
      <c r="G153" s="2" t="s">
        <v>4230</v>
      </c>
      <c r="I153" s="847"/>
    </row>
    <row r="154">
      <c r="A154" s="265"/>
      <c r="B154" s="950">
        <f t="shared" si="11"/>
        <v>6587</v>
      </c>
      <c r="F154" s="161">
        <v>6587.0</v>
      </c>
      <c r="G154" s="2" t="s">
        <v>3391</v>
      </c>
      <c r="I154" s="847"/>
    </row>
    <row r="155">
      <c r="A155" s="265"/>
      <c r="B155" s="950">
        <f t="shared" si="11"/>
        <v>3759</v>
      </c>
      <c r="F155" s="161">
        <v>3759.0</v>
      </c>
      <c r="G155" s="2" t="s">
        <v>4009</v>
      </c>
      <c r="I155" s="847"/>
    </row>
    <row r="156">
      <c r="A156" s="265"/>
      <c r="B156" s="950">
        <f t="shared" si="11"/>
        <v>395</v>
      </c>
      <c r="F156" s="161">
        <v>395.0</v>
      </c>
      <c r="G156" s="2" t="s">
        <v>260</v>
      </c>
      <c r="I156" s="847"/>
    </row>
    <row r="157">
      <c r="A157" s="265"/>
      <c r="B157" s="950">
        <f t="shared" si="11"/>
        <v>1000</v>
      </c>
      <c r="F157" s="161">
        <v>1000.0</v>
      </c>
      <c r="G157" s="2" t="s">
        <v>3421</v>
      </c>
      <c r="H157" s="942"/>
      <c r="I157" s="847"/>
    </row>
    <row r="158">
      <c r="A158" s="265"/>
      <c r="B158" s="950">
        <f t="shared" si="11"/>
        <v>218</v>
      </c>
      <c r="F158" s="161">
        <v>218.0</v>
      </c>
      <c r="G158" s="2" t="s">
        <v>314</v>
      </c>
      <c r="I158" s="847"/>
    </row>
    <row r="159">
      <c r="A159" s="265"/>
      <c r="B159" s="950" t="str">
        <f t="shared" si="11"/>
        <v/>
      </c>
      <c r="C159" s="2">
        <v>2639.16</v>
      </c>
      <c r="F159" s="161"/>
      <c r="G159" s="2" t="s">
        <v>4200</v>
      </c>
      <c r="I159" s="847"/>
    </row>
    <row r="160">
      <c r="A160" s="265"/>
      <c r="B160" s="950"/>
      <c r="F160" s="161">
        <v>1000.0</v>
      </c>
      <c r="G160" s="2" t="s">
        <v>3992</v>
      </c>
      <c r="H160" s="942"/>
      <c r="I160" s="847"/>
    </row>
    <row r="161">
      <c r="A161" s="265"/>
      <c r="B161" s="950"/>
      <c r="F161" s="161">
        <v>500.0</v>
      </c>
      <c r="G161" s="2" t="s">
        <v>4031</v>
      </c>
      <c r="H161" s="942"/>
      <c r="I161" s="847"/>
    </row>
    <row r="162">
      <c r="A162" s="265"/>
      <c r="B162" s="950">
        <f>F162</f>
        <v>130</v>
      </c>
      <c r="F162" s="161">
        <v>130.0</v>
      </c>
      <c r="G162" s="2" t="s">
        <v>1732</v>
      </c>
      <c r="I162" s="847"/>
    </row>
    <row r="163">
      <c r="A163" s="270"/>
      <c r="B163" s="194">
        <f>SUM(B147:B162)</f>
        <v>25621</v>
      </c>
      <c r="C163" s="18"/>
      <c r="D163" s="18"/>
      <c r="E163" s="18"/>
      <c r="F163" s="952"/>
      <c r="G163" s="18"/>
      <c r="H163" s="18"/>
      <c r="I163" s="663"/>
    </row>
    <row r="164">
      <c r="A164" s="305">
        <v>43903.0</v>
      </c>
      <c r="B164" s="948">
        <f t="shared" ref="B164:B177" si="12">F164</f>
        <v>1990</v>
      </c>
      <c r="C164" s="242"/>
      <c r="D164" s="242"/>
      <c r="E164" s="242"/>
      <c r="F164" s="949">
        <v>1990.0</v>
      </c>
      <c r="G164" s="244" t="s">
        <v>4230</v>
      </c>
      <c r="H164" s="244"/>
      <c r="I164" s="662"/>
    </row>
    <row r="165">
      <c r="A165" s="265"/>
      <c r="B165" s="950">
        <f t="shared" si="12"/>
        <v>1667</v>
      </c>
      <c r="F165" s="161">
        <v>1667.0</v>
      </c>
      <c r="G165" s="2" t="s">
        <v>3821</v>
      </c>
      <c r="I165" s="847"/>
    </row>
    <row r="166">
      <c r="A166" s="265"/>
      <c r="B166" s="950">
        <f t="shared" si="12"/>
        <v>1800</v>
      </c>
      <c r="F166" s="161">
        <v>1800.0</v>
      </c>
      <c r="G166" s="2" t="s">
        <v>4261</v>
      </c>
      <c r="I166" s="847"/>
    </row>
    <row r="167">
      <c r="A167" s="265"/>
      <c r="B167" s="950">
        <f t="shared" si="12"/>
        <v>4450</v>
      </c>
      <c r="F167" s="161">
        <v>4450.0</v>
      </c>
      <c r="G167" s="2" t="s">
        <v>4032</v>
      </c>
      <c r="H167" s="942"/>
      <c r="I167" s="847"/>
    </row>
    <row r="168">
      <c r="A168" s="265"/>
      <c r="B168" s="950">
        <f t="shared" si="12"/>
        <v>5800</v>
      </c>
      <c r="F168" s="161">
        <v>5800.0</v>
      </c>
      <c r="G168" s="2" t="s">
        <v>4153</v>
      </c>
      <c r="H168" s="942"/>
      <c r="I168" s="847"/>
    </row>
    <row r="169">
      <c r="A169" s="265"/>
      <c r="B169" s="950">
        <f t="shared" si="12"/>
        <v>5800</v>
      </c>
      <c r="F169" s="161">
        <v>5800.0</v>
      </c>
      <c r="G169" s="2" t="s">
        <v>4063</v>
      </c>
      <c r="H169" s="942"/>
      <c r="I169" s="847"/>
    </row>
    <row r="170">
      <c r="A170" s="265"/>
      <c r="B170" s="950">
        <f t="shared" si="12"/>
        <v>8500</v>
      </c>
      <c r="F170" s="161">
        <v>8500.0</v>
      </c>
      <c r="G170" s="2" t="s">
        <v>4064</v>
      </c>
      <c r="H170" s="942"/>
      <c r="I170" s="847"/>
    </row>
    <row r="171">
      <c r="A171" s="265"/>
      <c r="B171" s="950">
        <f t="shared" si="12"/>
        <v>8500</v>
      </c>
      <c r="F171" s="161">
        <v>8500.0</v>
      </c>
      <c r="G171" s="2" t="s">
        <v>4154</v>
      </c>
      <c r="H171" s="942"/>
      <c r="I171" s="847"/>
    </row>
    <row r="172">
      <c r="A172" s="265"/>
      <c r="B172" s="950">
        <f t="shared" si="12"/>
        <v>7250</v>
      </c>
      <c r="F172" s="161">
        <v>7250.0</v>
      </c>
      <c r="G172" s="2" t="s">
        <v>4152</v>
      </c>
      <c r="H172" s="942"/>
      <c r="I172" s="847"/>
    </row>
    <row r="173">
      <c r="A173" s="265"/>
      <c r="B173" s="950">
        <f t="shared" si="12"/>
        <v>3750</v>
      </c>
      <c r="F173" s="161">
        <v>3750.0</v>
      </c>
      <c r="G173" s="2" t="s">
        <v>4262</v>
      </c>
      <c r="H173" s="942"/>
      <c r="I173" s="847"/>
    </row>
    <row r="174">
      <c r="A174" s="265"/>
      <c r="B174" s="950">
        <f t="shared" si="12"/>
        <v>5550</v>
      </c>
      <c r="F174" s="161">
        <v>5550.0</v>
      </c>
      <c r="G174" s="2" t="s">
        <v>4062</v>
      </c>
      <c r="H174" s="942"/>
      <c r="I174" s="847"/>
    </row>
    <row r="175">
      <c r="A175" s="265"/>
      <c r="B175" s="950">
        <f t="shared" si="12"/>
        <v>300</v>
      </c>
      <c r="F175" s="161">
        <v>300.0</v>
      </c>
      <c r="G175" s="2" t="s">
        <v>512</v>
      </c>
      <c r="I175" s="847"/>
    </row>
    <row r="176">
      <c r="A176" s="265"/>
      <c r="B176" s="950">
        <f t="shared" si="12"/>
        <v>6230.18</v>
      </c>
      <c r="F176" s="161">
        <f>3115.09*2</f>
        <v>6230.18</v>
      </c>
      <c r="G176" s="2" t="s">
        <v>4263</v>
      </c>
      <c r="I176" s="847"/>
    </row>
    <row r="177">
      <c r="A177" s="265"/>
      <c r="B177" s="950">
        <f t="shared" si="12"/>
        <v>3528</v>
      </c>
      <c r="F177" s="161">
        <v>3528.0</v>
      </c>
      <c r="G177" s="2" t="s">
        <v>79</v>
      </c>
      <c r="I177" s="847"/>
    </row>
    <row r="178">
      <c r="A178" s="265"/>
      <c r="B178" s="950"/>
      <c r="F178" s="161">
        <v>70.0</v>
      </c>
      <c r="G178" s="2" t="s">
        <v>2899</v>
      </c>
      <c r="I178" s="847"/>
    </row>
    <row r="179">
      <c r="A179" s="265"/>
      <c r="B179" s="950"/>
      <c r="F179" s="161">
        <v>1420.0</v>
      </c>
      <c r="G179" s="2" t="s">
        <v>2923</v>
      </c>
      <c r="I179" s="847"/>
    </row>
    <row r="180">
      <c r="A180" s="265"/>
      <c r="B180" s="950"/>
      <c r="F180" s="161"/>
      <c r="G180" s="2"/>
      <c r="I180" s="847"/>
    </row>
    <row r="181">
      <c r="A181" s="270"/>
      <c r="B181" s="194">
        <f>SUM(B164:B177)</f>
        <v>65115.18</v>
      </c>
      <c r="C181" s="18"/>
      <c r="D181" s="18"/>
      <c r="E181" s="18"/>
      <c r="F181" s="952"/>
      <c r="G181" s="18"/>
      <c r="H181" s="18"/>
      <c r="I181" s="663"/>
    </row>
    <row r="182">
      <c r="A182" s="305">
        <v>43904.0</v>
      </c>
      <c r="B182" s="948">
        <f t="shared" ref="B182:B195" si="13">F182</f>
        <v>89.33</v>
      </c>
      <c r="C182" s="242"/>
      <c r="D182" s="242"/>
      <c r="E182" s="242"/>
      <c r="F182" s="949">
        <v>89.33</v>
      </c>
      <c r="G182" s="244" t="s">
        <v>314</v>
      </c>
      <c r="H182" s="244"/>
      <c r="I182" s="662"/>
    </row>
    <row r="183">
      <c r="A183" s="265"/>
      <c r="B183" s="950">
        <f t="shared" si="13"/>
        <v>89.85</v>
      </c>
      <c r="F183" s="161">
        <v>89.85</v>
      </c>
      <c r="G183" s="2" t="s">
        <v>4264</v>
      </c>
      <c r="I183" s="847"/>
    </row>
    <row r="184">
      <c r="A184" s="265"/>
      <c r="B184" s="950">
        <f t="shared" si="13"/>
        <v>480</v>
      </c>
      <c r="F184" s="161">
        <v>480.0</v>
      </c>
      <c r="G184" s="2" t="s">
        <v>314</v>
      </c>
      <c r="I184" s="847"/>
    </row>
    <row r="185">
      <c r="A185" s="265"/>
      <c r="B185" s="950">
        <f t="shared" si="13"/>
        <v>72</v>
      </c>
      <c r="F185" s="161">
        <v>72.0</v>
      </c>
      <c r="G185" s="2" t="s">
        <v>4265</v>
      </c>
      <c r="I185" s="847"/>
    </row>
    <row r="186">
      <c r="A186" s="265"/>
      <c r="B186" s="950">
        <f t="shared" si="13"/>
        <v>700</v>
      </c>
      <c r="F186" s="161">
        <v>700.0</v>
      </c>
      <c r="G186" s="2" t="s">
        <v>3437</v>
      </c>
      <c r="H186" s="942"/>
      <c r="I186" s="847"/>
    </row>
    <row r="187">
      <c r="A187" s="265"/>
      <c r="B187" s="950">
        <f t="shared" si="13"/>
        <v>2100</v>
      </c>
      <c r="F187" s="161">
        <v>2100.0</v>
      </c>
      <c r="G187" s="2" t="s">
        <v>4266</v>
      </c>
      <c r="H187" s="942"/>
      <c r="I187" s="847"/>
    </row>
    <row r="188">
      <c r="A188" s="265"/>
      <c r="B188" s="950">
        <f t="shared" si="13"/>
        <v>1000</v>
      </c>
      <c r="F188" s="161">
        <v>1000.0</v>
      </c>
      <c r="G188" s="2" t="s">
        <v>3818</v>
      </c>
      <c r="H188" s="942"/>
      <c r="I188" s="847"/>
    </row>
    <row r="189">
      <c r="A189" s="265"/>
      <c r="B189" s="950" t="str">
        <f t="shared" si="13"/>
        <v/>
      </c>
      <c r="F189" s="161"/>
      <c r="I189" s="847"/>
    </row>
    <row r="190">
      <c r="A190" s="265"/>
      <c r="B190" s="950" t="str">
        <f t="shared" si="13"/>
        <v/>
      </c>
      <c r="F190" s="161"/>
      <c r="I190" s="847"/>
    </row>
    <row r="191">
      <c r="A191" s="265"/>
      <c r="B191" s="950" t="str">
        <f t="shared" si="13"/>
        <v/>
      </c>
      <c r="F191" s="852"/>
      <c r="I191" s="847"/>
    </row>
    <row r="192">
      <c r="A192" s="265"/>
      <c r="B192" s="950" t="str">
        <f t="shared" si="13"/>
        <v/>
      </c>
      <c r="F192" s="161"/>
      <c r="I192" s="847"/>
    </row>
    <row r="193">
      <c r="A193" s="265"/>
      <c r="B193" s="950" t="str">
        <f t="shared" si="13"/>
        <v/>
      </c>
      <c r="F193" s="161"/>
      <c r="I193" s="847"/>
    </row>
    <row r="194">
      <c r="A194" s="265"/>
      <c r="B194" s="950" t="str">
        <f t="shared" si="13"/>
        <v/>
      </c>
      <c r="F194" s="161"/>
      <c r="I194" s="847"/>
    </row>
    <row r="195">
      <c r="A195" s="265"/>
      <c r="B195" s="950" t="str">
        <f t="shared" si="13"/>
        <v/>
      </c>
      <c r="F195" s="161"/>
      <c r="I195" s="847"/>
    </row>
    <row r="196">
      <c r="A196" s="270"/>
      <c r="B196" s="194">
        <f>SUM(B182:B195)</f>
        <v>4531.18</v>
      </c>
      <c r="C196" s="18"/>
      <c r="D196" s="18"/>
      <c r="E196" s="18"/>
      <c r="F196" s="952"/>
      <c r="G196" s="18"/>
      <c r="H196" s="18"/>
      <c r="I196" s="663"/>
    </row>
    <row r="197">
      <c r="A197" s="305">
        <v>43905.0</v>
      </c>
      <c r="B197" s="948" t="str">
        <f>F197</f>
        <v/>
      </c>
      <c r="C197" s="242"/>
      <c r="D197" s="242"/>
      <c r="E197" s="242"/>
      <c r="F197" s="949"/>
      <c r="G197" s="242"/>
      <c r="H197" s="244"/>
      <c r="I197" s="662"/>
    </row>
    <row r="198">
      <c r="A198" s="270"/>
      <c r="B198" s="194">
        <f>SUM(B197)</f>
        <v>0</v>
      </c>
      <c r="C198" s="18"/>
      <c r="D198" s="18"/>
      <c r="E198" s="18"/>
      <c r="F198" s="952"/>
      <c r="G198" s="18"/>
      <c r="H198" s="18"/>
      <c r="I198" s="663"/>
    </row>
    <row r="199">
      <c r="A199" s="305">
        <v>43906.0</v>
      </c>
      <c r="B199" s="948">
        <f t="shared" ref="B199:B212" si="14">F199</f>
        <v>1354.7</v>
      </c>
      <c r="C199" s="242"/>
      <c r="D199" s="242"/>
      <c r="E199" s="242"/>
      <c r="F199" s="949">
        <v>1354.7</v>
      </c>
      <c r="G199" s="244" t="s">
        <v>3821</v>
      </c>
      <c r="H199" s="244"/>
      <c r="I199" s="662"/>
    </row>
    <row r="200">
      <c r="A200" s="265"/>
      <c r="B200" s="950">
        <f t="shared" si="14"/>
        <v>1337</v>
      </c>
      <c r="F200" s="161">
        <v>1337.0</v>
      </c>
      <c r="G200" s="2" t="s">
        <v>4230</v>
      </c>
      <c r="I200" s="847"/>
    </row>
    <row r="201">
      <c r="A201" s="265"/>
      <c r="B201" s="950">
        <f t="shared" si="14"/>
        <v>105</v>
      </c>
      <c r="F201" s="161">
        <v>105.0</v>
      </c>
      <c r="G201" s="2" t="s">
        <v>314</v>
      </c>
      <c r="I201" s="847"/>
    </row>
    <row r="202">
      <c r="A202" s="265"/>
      <c r="B202" s="950">
        <f t="shared" si="14"/>
        <v>390</v>
      </c>
      <c r="F202" s="161">
        <v>390.0</v>
      </c>
      <c r="G202" s="2" t="s">
        <v>4267</v>
      </c>
      <c r="I202" s="847"/>
    </row>
    <row r="203">
      <c r="A203" s="265"/>
      <c r="B203" s="950">
        <f t="shared" si="14"/>
        <v>2678</v>
      </c>
      <c r="F203" s="161">
        <v>2678.0</v>
      </c>
      <c r="G203" s="2" t="s">
        <v>4234</v>
      </c>
      <c r="I203" s="847"/>
    </row>
    <row r="204">
      <c r="A204" s="265"/>
      <c r="B204" s="950">
        <f t="shared" si="14"/>
        <v>2100</v>
      </c>
      <c r="F204" s="161">
        <v>2100.0</v>
      </c>
      <c r="G204" s="2" t="s">
        <v>3731</v>
      </c>
      <c r="I204" s="847"/>
    </row>
    <row r="205">
      <c r="A205" s="265"/>
      <c r="B205" s="950">
        <f t="shared" si="14"/>
        <v>3000</v>
      </c>
      <c r="F205" s="161">
        <v>3000.0</v>
      </c>
      <c r="G205" s="2" t="s">
        <v>3237</v>
      </c>
      <c r="I205" s="847"/>
    </row>
    <row r="206">
      <c r="A206" s="265"/>
      <c r="B206" s="950">
        <f t="shared" si="14"/>
        <v>1460</v>
      </c>
      <c r="F206" s="161">
        <v>1460.0</v>
      </c>
      <c r="G206" s="2" t="s">
        <v>693</v>
      </c>
      <c r="I206" s="847"/>
    </row>
    <row r="207">
      <c r="A207" s="265"/>
      <c r="B207" s="950">
        <f t="shared" si="14"/>
        <v>500</v>
      </c>
      <c r="F207" s="161">
        <v>500.0</v>
      </c>
      <c r="G207" s="2" t="s">
        <v>3818</v>
      </c>
      <c r="H207" s="942"/>
      <c r="I207" s="847"/>
    </row>
    <row r="208">
      <c r="A208" s="265"/>
      <c r="B208" s="950" t="str">
        <f t="shared" si="14"/>
        <v/>
      </c>
      <c r="F208" s="852"/>
      <c r="I208" s="847"/>
    </row>
    <row r="209">
      <c r="A209" s="265"/>
      <c r="B209" s="950" t="str">
        <f t="shared" si="14"/>
        <v/>
      </c>
      <c r="F209" s="161"/>
      <c r="I209" s="847"/>
    </row>
    <row r="210">
      <c r="A210" s="265"/>
      <c r="B210" s="950" t="str">
        <f t="shared" si="14"/>
        <v/>
      </c>
      <c r="F210" s="161"/>
      <c r="I210" s="847"/>
    </row>
    <row r="211">
      <c r="A211" s="265"/>
      <c r="B211" s="950" t="str">
        <f t="shared" si="14"/>
        <v/>
      </c>
      <c r="F211" s="161"/>
      <c r="I211" s="847"/>
    </row>
    <row r="212">
      <c r="A212" s="265"/>
      <c r="B212" s="950" t="str">
        <f t="shared" si="14"/>
        <v/>
      </c>
      <c r="F212" s="161"/>
      <c r="I212" s="847"/>
    </row>
    <row r="213">
      <c r="A213" s="270"/>
      <c r="B213" s="194">
        <f>SUM(B199:B212)</f>
        <v>12924.7</v>
      </c>
      <c r="C213" s="18"/>
      <c r="D213" s="18"/>
      <c r="E213" s="18"/>
      <c r="F213" s="952"/>
      <c r="G213" s="18"/>
      <c r="H213" s="18"/>
      <c r="I213" s="663"/>
    </row>
    <row r="214">
      <c r="A214" s="305">
        <v>43907.0</v>
      </c>
      <c r="B214" s="948">
        <f t="shared" ref="B214:B227" si="15">F214</f>
        <v>2919.21</v>
      </c>
      <c r="C214" s="242"/>
      <c r="D214" s="242"/>
      <c r="E214" s="242"/>
      <c r="F214" s="949">
        <v>2919.21</v>
      </c>
      <c r="G214" s="244" t="s">
        <v>3899</v>
      </c>
      <c r="H214" s="244"/>
      <c r="I214" s="662"/>
    </row>
    <row r="215">
      <c r="A215" s="265"/>
      <c r="B215" s="950">
        <f t="shared" si="15"/>
        <v>5086</v>
      </c>
      <c r="F215" s="161">
        <v>5086.0</v>
      </c>
      <c r="G215" s="2" t="s">
        <v>4268</v>
      </c>
      <c r="I215" s="847"/>
    </row>
    <row r="216">
      <c r="A216" s="265"/>
      <c r="B216" s="950">
        <f t="shared" si="15"/>
        <v>4600</v>
      </c>
      <c r="F216" s="161">
        <v>4600.0</v>
      </c>
      <c r="G216" s="2" t="s">
        <v>4269</v>
      </c>
      <c r="I216" s="847"/>
    </row>
    <row r="217">
      <c r="A217" s="265"/>
      <c r="B217" s="950" t="str">
        <f t="shared" si="15"/>
        <v/>
      </c>
      <c r="F217" s="161"/>
      <c r="I217" s="847"/>
    </row>
    <row r="218">
      <c r="A218" s="265"/>
      <c r="B218" s="950" t="str">
        <f t="shared" si="15"/>
        <v/>
      </c>
      <c r="F218" s="161"/>
      <c r="I218" s="847"/>
    </row>
    <row r="219">
      <c r="A219" s="265"/>
      <c r="B219" s="950" t="str">
        <f t="shared" si="15"/>
        <v/>
      </c>
      <c r="F219" s="161"/>
      <c r="I219" s="847"/>
    </row>
    <row r="220">
      <c r="A220" s="265"/>
      <c r="B220" s="950" t="str">
        <f t="shared" si="15"/>
        <v/>
      </c>
      <c r="F220" s="852"/>
      <c r="I220" s="847"/>
    </row>
    <row r="221">
      <c r="A221" s="265"/>
      <c r="B221" s="950" t="str">
        <f t="shared" si="15"/>
        <v/>
      </c>
      <c r="F221" s="161"/>
      <c r="I221" s="847"/>
    </row>
    <row r="222">
      <c r="A222" s="265"/>
      <c r="B222" s="950" t="str">
        <f t="shared" si="15"/>
        <v/>
      </c>
      <c r="F222" s="161"/>
      <c r="I222" s="847"/>
    </row>
    <row r="223">
      <c r="A223" s="265"/>
      <c r="B223" s="950" t="str">
        <f t="shared" si="15"/>
        <v/>
      </c>
      <c r="F223" s="852"/>
      <c r="I223" s="847"/>
    </row>
    <row r="224">
      <c r="A224" s="265"/>
      <c r="B224" s="950" t="str">
        <f t="shared" si="15"/>
        <v/>
      </c>
      <c r="F224" s="161"/>
      <c r="I224" s="847"/>
    </row>
    <row r="225">
      <c r="A225" s="265"/>
      <c r="B225" s="950" t="str">
        <f t="shared" si="15"/>
        <v/>
      </c>
      <c r="F225" s="161"/>
      <c r="I225" s="847"/>
    </row>
    <row r="226">
      <c r="A226" s="265"/>
      <c r="B226" s="950" t="str">
        <f t="shared" si="15"/>
        <v/>
      </c>
      <c r="F226" s="161"/>
      <c r="I226" s="847"/>
    </row>
    <row r="227">
      <c r="A227" s="265"/>
      <c r="B227" s="950" t="str">
        <f t="shared" si="15"/>
        <v/>
      </c>
      <c r="F227" s="161"/>
      <c r="I227" s="847"/>
    </row>
    <row r="228">
      <c r="A228" s="270"/>
      <c r="B228" s="194">
        <f>SUM(B214:B227)</f>
        <v>12605.21</v>
      </c>
      <c r="C228" s="18"/>
      <c r="D228" s="18"/>
      <c r="E228" s="18"/>
      <c r="F228" s="952"/>
      <c r="G228" s="18"/>
      <c r="H228" s="18"/>
      <c r="I228" s="663"/>
    </row>
    <row r="229">
      <c r="A229" s="305">
        <v>43908.0</v>
      </c>
      <c r="B229" s="948" t="str">
        <f>F229</f>
        <v/>
      </c>
      <c r="C229" s="242"/>
      <c r="D229" s="242"/>
      <c r="E229" s="242"/>
      <c r="F229" s="949"/>
      <c r="G229" s="242"/>
      <c r="H229" s="244"/>
      <c r="I229" s="662"/>
    </row>
    <row r="230">
      <c r="A230" s="270"/>
      <c r="B230" s="194">
        <f>SUM(B229)</f>
        <v>0</v>
      </c>
      <c r="C230" s="18"/>
      <c r="D230" s="18"/>
      <c r="E230" s="18"/>
      <c r="F230" s="952"/>
      <c r="G230" s="18"/>
      <c r="H230" s="18"/>
      <c r="I230" s="663"/>
    </row>
    <row r="231">
      <c r="A231" s="305">
        <v>43909.0</v>
      </c>
      <c r="B231" s="948">
        <f t="shared" ref="B231:B244" si="16">F231</f>
        <v>1354.7</v>
      </c>
      <c r="C231" s="242"/>
      <c r="D231" s="242"/>
      <c r="E231" s="242"/>
      <c r="F231" s="949">
        <v>1354.7</v>
      </c>
      <c r="G231" s="244" t="s">
        <v>3821</v>
      </c>
      <c r="H231" s="244"/>
      <c r="I231" s="662"/>
    </row>
    <row r="232">
      <c r="A232" s="265"/>
      <c r="B232" s="950">
        <f t="shared" si="16"/>
        <v>8500</v>
      </c>
      <c r="F232" s="161">
        <v>8500.0</v>
      </c>
      <c r="G232" s="2" t="s">
        <v>4154</v>
      </c>
      <c r="H232" s="942"/>
      <c r="I232" s="847"/>
    </row>
    <row r="233">
      <c r="A233" s="265"/>
      <c r="B233" s="950">
        <f t="shared" si="16"/>
        <v>7250</v>
      </c>
      <c r="F233" s="161">
        <v>7250.0</v>
      </c>
      <c r="G233" s="2" t="s">
        <v>4152</v>
      </c>
      <c r="H233" s="942"/>
      <c r="I233" s="847"/>
    </row>
    <row r="234">
      <c r="A234" s="265"/>
      <c r="B234" s="950">
        <f t="shared" si="16"/>
        <v>6050</v>
      </c>
      <c r="F234" s="161">
        <v>6050.0</v>
      </c>
      <c r="G234" s="2" t="s">
        <v>4062</v>
      </c>
      <c r="H234" s="942"/>
      <c r="I234" s="847"/>
    </row>
    <row r="235">
      <c r="A235" s="265"/>
      <c r="B235" s="950">
        <f t="shared" si="16"/>
        <v>5750</v>
      </c>
      <c r="F235" s="161">
        <v>5750.0</v>
      </c>
      <c r="G235" s="2" t="s">
        <v>4061</v>
      </c>
      <c r="H235" s="942"/>
      <c r="I235" s="847"/>
    </row>
    <row r="236">
      <c r="A236" s="265"/>
      <c r="B236" s="950">
        <f t="shared" si="16"/>
        <v>5800</v>
      </c>
      <c r="F236" s="161">
        <v>5800.0</v>
      </c>
      <c r="G236" s="2" t="s">
        <v>4032</v>
      </c>
      <c r="H236" s="942"/>
      <c r="I236" s="847"/>
    </row>
    <row r="237">
      <c r="A237" s="265"/>
      <c r="B237" s="950">
        <f t="shared" si="16"/>
        <v>5800</v>
      </c>
      <c r="F237" s="161">
        <v>5800.0</v>
      </c>
      <c r="G237" s="2" t="s">
        <v>4153</v>
      </c>
      <c r="H237" s="942"/>
      <c r="I237" s="847"/>
    </row>
    <row r="238">
      <c r="A238" s="265"/>
      <c r="B238" s="950">
        <f t="shared" si="16"/>
        <v>5800</v>
      </c>
      <c r="F238" s="161">
        <v>5800.0</v>
      </c>
      <c r="G238" s="2" t="s">
        <v>4063</v>
      </c>
      <c r="H238" s="942"/>
      <c r="I238" s="847"/>
    </row>
    <row r="239">
      <c r="A239" s="265"/>
      <c r="B239" s="950">
        <f t="shared" si="16"/>
        <v>7000</v>
      </c>
      <c r="F239" s="161">
        <v>7000.0</v>
      </c>
      <c r="G239" s="2" t="s">
        <v>4064</v>
      </c>
      <c r="H239" s="942"/>
      <c r="I239" s="847"/>
    </row>
    <row r="240">
      <c r="A240" s="265"/>
      <c r="B240" s="950" t="str">
        <f t="shared" si="16"/>
        <v/>
      </c>
      <c r="C240" s="2" t="s">
        <v>4270</v>
      </c>
      <c r="F240" s="852"/>
      <c r="G240" s="2" t="s">
        <v>2637</v>
      </c>
      <c r="I240" s="847"/>
    </row>
    <row r="241">
      <c r="A241" s="265"/>
      <c r="B241" s="950" t="str">
        <f t="shared" si="16"/>
        <v/>
      </c>
      <c r="F241" s="161"/>
      <c r="I241" s="847"/>
    </row>
    <row r="242">
      <c r="A242" s="265"/>
      <c r="B242" s="950" t="str">
        <f t="shared" si="16"/>
        <v/>
      </c>
      <c r="F242" s="161"/>
      <c r="I242" s="847"/>
    </row>
    <row r="243">
      <c r="A243" s="265"/>
      <c r="B243" s="950" t="str">
        <f t="shared" si="16"/>
        <v/>
      </c>
      <c r="F243" s="161"/>
      <c r="I243" s="847"/>
    </row>
    <row r="244">
      <c r="A244" s="265"/>
      <c r="B244" s="950" t="str">
        <f t="shared" si="16"/>
        <v/>
      </c>
      <c r="F244" s="161"/>
      <c r="I244" s="847"/>
    </row>
    <row r="245">
      <c r="A245" s="270"/>
      <c r="B245" s="194">
        <f>SUM(B231:B244)</f>
        <v>53304.7</v>
      </c>
      <c r="C245" s="18"/>
      <c r="D245" s="18"/>
      <c r="E245" s="18"/>
      <c r="F245" s="952"/>
      <c r="G245" s="18"/>
      <c r="H245" s="18"/>
      <c r="I245" s="663"/>
    </row>
    <row r="246">
      <c r="A246" s="305">
        <v>43910.0</v>
      </c>
      <c r="B246" s="948" t="str">
        <f>F246</f>
        <v/>
      </c>
      <c r="C246" s="242"/>
      <c r="D246" s="242"/>
      <c r="E246" s="242"/>
      <c r="F246" s="949"/>
      <c r="G246" s="242"/>
      <c r="H246" s="244"/>
      <c r="I246" s="662"/>
    </row>
    <row r="247">
      <c r="A247" s="270"/>
      <c r="B247" s="194">
        <f>SUM(B246)</f>
        <v>0</v>
      </c>
      <c r="C247" s="18"/>
      <c r="D247" s="18"/>
      <c r="E247" s="18"/>
      <c r="F247" s="952"/>
      <c r="G247" s="18"/>
      <c r="H247" s="18"/>
      <c r="I247" s="663"/>
    </row>
    <row r="248">
      <c r="A248" s="305">
        <v>43911.0</v>
      </c>
      <c r="B248" s="948" t="str">
        <f>F248</f>
        <v/>
      </c>
      <c r="C248" s="242"/>
      <c r="D248" s="242"/>
      <c r="E248" s="242"/>
      <c r="F248" s="949"/>
      <c r="G248" s="242"/>
      <c r="H248" s="244"/>
      <c r="I248" s="662"/>
    </row>
    <row r="249">
      <c r="A249" s="270"/>
      <c r="B249" s="194">
        <f>SUM(B248)</f>
        <v>0</v>
      </c>
      <c r="C249" s="18"/>
      <c r="D249" s="18"/>
      <c r="E249" s="18"/>
      <c r="F249" s="952"/>
      <c r="G249" s="18"/>
      <c r="H249" s="18"/>
      <c r="I249" s="663"/>
    </row>
    <row r="250">
      <c r="A250" s="305">
        <v>43912.0</v>
      </c>
      <c r="B250" s="948" t="str">
        <f>F250</f>
        <v/>
      </c>
      <c r="C250" s="242"/>
      <c r="D250" s="242"/>
      <c r="E250" s="242"/>
      <c r="F250" s="949"/>
      <c r="G250" s="242"/>
      <c r="H250" s="244"/>
      <c r="I250" s="662"/>
    </row>
    <row r="251">
      <c r="A251" s="270"/>
      <c r="B251" s="194">
        <f>SUM(B250)</f>
        <v>0</v>
      </c>
      <c r="C251" s="18"/>
      <c r="D251" s="18"/>
      <c r="E251" s="18"/>
      <c r="F251" s="952"/>
      <c r="G251" s="18"/>
      <c r="H251" s="18"/>
      <c r="I251" s="663"/>
    </row>
    <row r="252">
      <c r="A252" s="305">
        <v>43913.0</v>
      </c>
      <c r="B252" s="948" t="str">
        <f>F252</f>
        <v/>
      </c>
      <c r="C252" s="242"/>
      <c r="D252" s="242"/>
      <c r="E252" s="242"/>
      <c r="F252" s="949"/>
      <c r="G252" s="242"/>
      <c r="H252" s="244"/>
      <c r="I252" s="662"/>
    </row>
    <row r="253">
      <c r="A253" s="270"/>
      <c r="B253" s="194">
        <f>SUM(B252)</f>
        <v>0</v>
      </c>
      <c r="C253" s="18"/>
      <c r="D253" s="18"/>
      <c r="E253" s="18"/>
      <c r="F253" s="952"/>
      <c r="G253" s="18"/>
      <c r="H253" s="18"/>
      <c r="I253" s="663"/>
    </row>
    <row r="254">
      <c r="A254" s="305">
        <v>43914.0</v>
      </c>
      <c r="B254" s="948" t="str">
        <f>F254</f>
        <v/>
      </c>
      <c r="C254" s="242"/>
      <c r="D254" s="242"/>
      <c r="E254" s="242"/>
      <c r="F254" s="949"/>
      <c r="G254" s="242"/>
      <c r="H254" s="244"/>
      <c r="I254" s="662"/>
    </row>
    <row r="255">
      <c r="A255" s="270"/>
      <c r="B255" s="194">
        <f>SUM(B254)</f>
        <v>0</v>
      </c>
      <c r="C255" s="18"/>
      <c r="D255" s="18"/>
      <c r="E255" s="18"/>
      <c r="F255" s="952"/>
      <c r="G255" s="18"/>
      <c r="H255" s="18"/>
      <c r="I255" s="663"/>
    </row>
    <row r="256">
      <c r="A256" s="305">
        <v>43915.0</v>
      </c>
      <c r="B256" s="948">
        <f t="shared" ref="B256:B269" si="17">F256</f>
        <v>770</v>
      </c>
      <c r="C256" s="242"/>
      <c r="D256" s="242"/>
      <c r="E256" s="242"/>
      <c r="F256" s="949">
        <v>770.0</v>
      </c>
      <c r="G256" s="244" t="s">
        <v>4271</v>
      </c>
      <c r="H256" s="244"/>
      <c r="I256" s="662"/>
    </row>
    <row r="257">
      <c r="A257" s="265"/>
      <c r="B257" s="950">
        <f t="shared" si="17"/>
        <v>1774.64</v>
      </c>
      <c r="F257" s="161">
        <v>1774.64</v>
      </c>
      <c r="G257" s="2" t="s">
        <v>314</v>
      </c>
      <c r="I257" s="847"/>
    </row>
    <row r="258">
      <c r="A258" s="265"/>
      <c r="B258" s="950">
        <f t="shared" si="17"/>
        <v>166.02</v>
      </c>
      <c r="F258" s="161">
        <v>166.02</v>
      </c>
      <c r="G258" s="2" t="s">
        <v>4272</v>
      </c>
      <c r="I258" s="847"/>
    </row>
    <row r="259">
      <c r="A259" s="265"/>
      <c r="B259" s="950">
        <f t="shared" si="17"/>
        <v>140</v>
      </c>
      <c r="F259" s="161">
        <v>140.0</v>
      </c>
      <c r="G259" s="2" t="s">
        <v>4273</v>
      </c>
      <c r="I259" s="847"/>
    </row>
    <row r="260">
      <c r="A260" s="265"/>
      <c r="B260" s="950" t="str">
        <f t="shared" si="17"/>
        <v/>
      </c>
      <c r="F260" s="161"/>
      <c r="I260" s="847"/>
    </row>
    <row r="261">
      <c r="A261" s="265"/>
      <c r="B261" s="950" t="str">
        <f t="shared" si="17"/>
        <v/>
      </c>
      <c r="F261" s="161"/>
      <c r="I261" s="847"/>
    </row>
    <row r="262">
      <c r="A262" s="265"/>
      <c r="B262" s="950" t="str">
        <f t="shared" si="17"/>
        <v/>
      </c>
      <c r="F262" s="852"/>
      <c r="I262" s="847"/>
    </row>
    <row r="263">
      <c r="A263" s="265"/>
      <c r="B263" s="950" t="str">
        <f t="shared" si="17"/>
        <v/>
      </c>
      <c r="F263" s="161"/>
      <c r="I263" s="847"/>
    </row>
    <row r="264">
      <c r="A264" s="265"/>
      <c r="B264" s="950" t="str">
        <f t="shared" si="17"/>
        <v/>
      </c>
      <c r="F264" s="161"/>
      <c r="I264" s="847"/>
    </row>
    <row r="265">
      <c r="A265" s="265"/>
      <c r="B265" s="950" t="str">
        <f t="shared" si="17"/>
        <v/>
      </c>
      <c r="F265" s="852"/>
      <c r="I265" s="847"/>
    </row>
    <row r="266">
      <c r="A266" s="265"/>
      <c r="B266" s="950" t="str">
        <f t="shared" si="17"/>
        <v/>
      </c>
      <c r="F266" s="161"/>
      <c r="I266" s="847"/>
    </row>
    <row r="267">
      <c r="A267" s="265"/>
      <c r="B267" s="950" t="str">
        <f t="shared" si="17"/>
        <v/>
      </c>
      <c r="F267" s="161"/>
      <c r="I267" s="847"/>
    </row>
    <row r="268">
      <c r="A268" s="265"/>
      <c r="B268" s="950" t="str">
        <f t="shared" si="17"/>
        <v/>
      </c>
      <c r="F268" s="161"/>
      <c r="I268" s="847"/>
    </row>
    <row r="269">
      <c r="A269" s="265"/>
      <c r="B269" s="950" t="str">
        <f t="shared" si="17"/>
        <v/>
      </c>
      <c r="F269" s="161"/>
      <c r="I269" s="847"/>
    </row>
    <row r="270">
      <c r="A270" s="270"/>
      <c r="B270" s="194">
        <f>SUM(B256:B269)</f>
        <v>2850.66</v>
      </c>
      <c r="C270" s="18"/>
      <c r="D270" s="18"/>
      <c r="E270" s="18"/>
      <c r="F270" s="952"/>
      <c r="G270" s="18"/>
      <c r="H270" s="18"/>
      <c r="I270" s="663"/>
    </row>
    <row r="271">
      <c r="A271" s="305">
        <v>43916.0</v>
      </c>
      <c r="B271" s="948" t="str">
        <f t="shared" ref="B271:B284" si="18">F271</f>
        <v/>
      </c>
      <c r="C271" s="242"/>
      <c r="D271" s="244">
        <v>3747.0</v>
      </c>
      <c r="E271" s="242"/>
      <c r="F271" s="949"/>
      <c r="G271" s="244" t="s">
        <v>4274</v>
      </c>
      <c r="H271" s="943"/>
      <c r="I271" s="662"/>
    </row>
    <row r="272">
      <c r="A272" s="265"/>
      <c r="B272" s="950" t="str">
        <f t="shared" si="18"/>
        <v/>
      </c>
      <c r="D272" s="2">
        <v>13968.56</v>
      </c>
      <c r="F272" s="161"/>
      <c r="G272" s="2" t="s">
        <v>4275</v>
      </c>
      <c r="I272" s="847"/>
    </row>
    <row r="273">
      <c r="A273" s="265"/>
      <c r="B273" s="950" t="str">
        <f t="shared" si="18"/>
        <v/>
      </c>
      <c r="D273" s="2">
        <v>1000.0</v>
      </c>
      <c r="F273" s="161"/>
      <c r="G273" s="2" t="s">
        <v>4276</v>
      </c>
      <c r="H273" s="942"/>
      <c r="I273" s="847"/>
    </row>
    <row r="274">
      <c r="A274" s="265"/>
      <c r="B274" s="950">
        <f t="shared" si="18"/>
        <v>50</v>
      </c>
      <c r="F274" s="161">
        <v>50.0</v>
      </c>
      <c r="G274" s="2" t="s">
        <v>4083</v>
      </c>
      <c r="I274" s="847"/>
    </row>
    <row r="275">
      <c r="A275" s="265"/>
      <c r="B275" s="950" t="str">
        <f t="shared" si="18"/>
        <v/>
      </c>
      <c r="F275" s="161"/>
      <c r="I275" s="847"/>
    </row>
    <row r="276">
      <c r="A276" s="265"/>
      <c r="B276" s="950" t="str">
        <f t="shared" si="18"/>
        <v/>
      </c>
      <c r="F276" s="161"/>
      <c r="I276" s="847"/>
    </row>
    <row r="277">
      <c r="A277" s="265"/>
      <c r="B277" s="950" t="str">
        <f t="shared" si="18"/>
        <v/>
      </c>
      <c r="F277" s="852"/>
      <c r="I277" s="847"/>
    </row>
    <row r="278">
      <c r="A278" s="265"/>
      <c r="B278" s="950" t="str">
        <f t="shared" si="18"/>
        <v/>
      </c>
      <c r="F278" s="161"/>
      <c r="I278" s="847"/>
    </row>
    <row r="279">
      <c r="A279" s="265"/>
      <c r="B279" s="950" t="str">
        <f t="shared" si="18"/>
        <v/>
      </c>
      <c r="F279" s="161"/>
      <c r="I279" s="847"/>
    </row>
    <row r="280">
      <c r="A280" s="265"/>
      <c r="B280" s="950" t="str">
        <f t="shared" si="18"/>
        <v/>
      </c>
      <c r="F280" s="852"/>
      <c r="I280" s="847"/>
    </row>
    <row r="281">
      <c r="A281" s="265"/>
      <c r="B281" s="950" t="str">
        <f t="shared" si="18"/>
        <v/>
      </c>
      <c r="F281" s="161"/>
      <c r="I281" s="847"/>
    </row>
    <row r="282">
      <c r="A282" s="265"/>
      <c r="B282" s="950" t="str">
        <f t="shared" si="18"/>
        <v/>
      </c>
      <c r="F282" s="161"/>
      <c r="I282" s="847"/>
    </row>
    <row r="283">
      <c r="A283" s="265"/>
      <c r="B283" s="950" t="str">
        <f t="shared" si="18"/>
        <v/>
      </c>
      <c r="F283" s="161"/>
      <c r="I283" s="847"/>
    </row>
    <row r="284">
      <c r="A284" s="265"/>
      <c r="B284" s="950" t="str">
        <f t="shared" si="18"/>
        <v/>
      </c>
      <c r="F284" s="161"/>
      <c r="I284" s="847"/>
    </row>
    <row r="285">
      <c r="A285" s="270"/>
      <c r="B285" s="194">
        <f>SUM(B271:B284)</f>
        <v>50</v>
      </c>
      <c r="C285" s="18"/>
      <c r="D285" s="18"/>
      <c r="E285" s="18"/>
      <c r="F285" s="952"/>
      <c r="G285" s="18"/>
      <c r="H285" s="18"/>
      <c r="I285" s="663"/>
    </row>
    <row r="286">
      <c r="A286" s="305">
        <v>43917.0</v>
      </c>
      <c r="B286" s="948">
        <f t="shared" ref="B286:B299" si="19">F286</f>
        <v>7250</v>
      </c>
      <c r="C286" s="242"/>
      <c r="D286" s="242"/>
      <c r="E286" s="242"/>
      <c r="F286" s="949">
        <v>7250.0</v>
      </c>
      <c r="G286" s="244" t="s">
        <v>4152</v>
      </c>
      <c r="H286" s="943"/>
      <c r="I286" s="662"/>
    </row>
    <row r="287">
      <c r="A287" s="265"/>
      <c r="B287" s="950">
        <f t="shared" si="19"/>
        <v>5800</v>
      </c>
      <c r="F287" s="161">
        <v>5800.0</v>
      </c>
      <c r="G287" s="2" t="s">
        <v>4277</v>
      </c>
      <c r="H287" s="942"/>
      <c r="I287" s="847"/>
    </row>
    <row r="288">
      <c r="A288" s="265"/>
      <c r="B288" s="950">
        <f t="shared" si="19"/>
        <v>2250</v>
      </c>
      <c r="D288" s="2">
        <v>2500.0</v>
      </c>
      <c r="E288" s="2">
        <v>0.0</v>
      </c>
      <c r="F288" s="161">
        <v>2250.0</v>
      </c>
      <c r="G288" s="2" t="s">
        <v>4247</v>
      </c>
      <c r="H288" s="942"/>
      <c r="I288" s="847"/>
    </row>
    <row r="289">
      <c r="A289" s="265"/>
      <c r="B289" s="950">
        <f t="shared" si="19"/>
        <v>6050</v>
      </c>
      <c r="F289" s="161">
        <v>6050.0</v>
      </c>
      <c r="G289" s="2" t="s">
        <v>4062</v>
      </c>
      <c r="H289" s="942"/>
      <c r="I289" s="847"/>
    </row>
    <row r="290">
      <c r="A290" s="265"/>
      <c r="B290" s="950" t="str">
        <f t="shared" si="19"/>
        <v/>
      </c>
      <c r="F290" s="161"/>
      <c r="I290" s="847"/>
    </row>
    <row r="291">
      <c r="A291" s="265"/>
      <c r="B291" s="950" t="str">
        <f t="shared" si="19"/>
        <v/>
      </c>
      <c r="F291" s="161"/>
      <c r="I291" s="847"/>
    </row>
    <row r="292">
      <c r="A292" s="265"/>
      <c r="B292" s="950" t="str">
        <f t="shared" si="19"/>
        <v/>
      </c>
      <c r="F292" s="852"/>
      <c r="I292" s="847"/>
    </row>
    <row r="293">
      <c r="A293" s="265"/>
      <c r="B293" s="950" t="str">
        <f t="shared" si="19"/>
        <v/>
      </c>
      <c r="F293" s="161"/>
      <c r="I293" s="847"/>
    </row>
    <row r="294">
      <c r="A294" s="265"/>
      <c r="B294" s="950" t="str">
        <f t="shared" si="19"/>
        <v/>
      </c>
      <c r="F294" s="161"/>
      <c r="I294" s="847"/>
    </row>
    <row r="295">
      <c r="A295" s="265"/>
      <c r="B295" s="950" t="str">
        <f t="shared" si="19"/>
        <v/>
      </c>
      <c r="F295" s="852"/>
      <c r="I295" s="847"/>
    </row>
    <row r="296">
      <c r="A296" s="265"/>
      <c r="B296" s="950" t="str">
        <f t="shared" si="19"/>
        <v/>
      </c>
      <c r="F296" s="161"/>
      <c r="I296" s="847"/>
    </row>
    <row r="297">
      <c r="A297" s="265"/>
      <c r="B297" s="950" t="str">
        <f t="shared" si="19"/>
        <v/>
      </c>
      <c r="F297" s="161"/>
      <c r="I297" s="847"/>
    </row>
    <row r="298">
      <c r="A298" s="265"/>
      <c r="B298" s="950" t="str">
        <f t="shared" si="19"/>
        <v/>
      </c>
      <c r="F298" s="161"/>
      <c r="I298" s="847"/>
    </row>
    <row r="299">
      <c r="A299" s="265"/>
      <c r="B299" s="950" t="str">
        <f t="shared" si="19"/>
        <v/>
      </c>
      <c r="F299" s="161"/>
      <c r="I299" s="847"/>
    </row>
    <row r="300">
      <c r="A300" s="270"/>
      <c r="B300" s="194">
        <f>SUM(B286:B299)</f>
        <v>21350</v>
      </c>
      <c r="C300" s="18"/>
      <c r="D300" s="18"/>
      <c r="E300" s="18"/>
      <c r="F300" s="952"/>
      <c r="G300" s="18"/>
      <c r="H300" s="18"/>
      <c r="I300" s="663"/>
    </row>
    <row r="301">
      <c r="A301" s="305">
        <v>43918.0</v>
      </c>
      <c r="B301" s="948">
        <f t="shared" ref="B301:B314" si="20">F301</f>
        <v>8500</v>
      </c>
      <c r="C301" s="242"/>
      <c r="D301" s="242"/>
      <c r="E301" s="242"/>
      <c r="F301" s="949">
        <v>8500.0</v>
      </c>
      <c r="G301" s="244" t="s">
        <v>4154</v>
      </c>
      <c r="H301" s="943"/>
      <c r="I301" s="662"/>
    </row>
    <row r="302">
      <c r="A302" s="265"/>
      <c r="B302" s="950">
        <f t="shared" si="20"/>
        <v>5800</v>
      </c>
      <c r="F302" s="161">
        <v>5800.0</v>
      </c>
      <c r="G302" s="2" t="s">
        <v>4061</v>
      </c>
      <c r="H302" s="942"/>
      <c r="I302" s="847"/>
    </row>
    <row r="303">
      <c r="A303" s="265"/>
      <c r="B303" s="950" t="str">
        <f t="shared" si="20"/>
        <v/>
      </c>
      <c r="D303" s="2">
        <v>4800.0</v>
      </c>
      <c r="F303" s="161"/>
      <c r="G303" s="2" t="s">
        <v>4063</v>
      </c>
      <c r="H303" s="942"/>
      <c r="I303" s="847"/>
    </row>
    <row r="304">
      <c r="A304" s="265"/>
      <c r="B304" s="950">
        <f t="shared" si="20"/>
        <v>5000</v>
      </c>
      <c r="F304" s="161">
        <v>5000.0</v>
      </c>
      <c r="G304" s="2" t="s">
        <v>4278</v>
      </c>
      <c r="I304" s="847"/>
    </row>
    <row r="305">
      <c r="A305" s="265"/>
      <c r="B305" s="950" t="str">
        <f t="shared" si="20"/>
        <v/>
      </c>
      <c r="F305" s="161"/>
      <c r="I305" s="847"/>
    </row>
    <row r="306">
      <c r="A306" s="265"/>
      <c r="B306" s="950" t="str">
        <f t="shared" si="20"/>
        <v/>
      </c>
      <c r="F306" s="161"/>
      <c r="I306" s="847"/>
    </row>
    <row r="307">
      <c r="A307" s="265"/>
      <c r="B307" s="950" t="str">
        <f t="shared" si="20"/>
        <v/>
      </c>
      <c r="F307" s="852"/>
      <c r="I307" s="847"/>
    </row>
    <row r="308">
      <c r="A308" s="265"/>
      <c r="B308" s="950" t="str">
        <f t="shared" si="20"/>
        <v/>
      </c>
      <c r="F308" s="161"/>
      <c r="I308" s="847"/>
    </row>
    <row r="309">
      <c r="A309" s="265"/>
      <c r="B309" s="950" t="str">
        <f t="shared" si="20"/>
        <v/>
      </c>
      <c r="F309" s="161"/>
      <c r="I309" s="847"/>
    </row>
    <row r="310">
      <c r="A310" s="265"/>
      <c r="B310" s="950" t="str">
        <f t="shared" si="20"/>
        <v/>
      </c>
      <c r="F310" s="852"/>
      <c r="I310" s="847"/>
    </row>
    <row r="311">
      <c r="A311" s="265"/>
      <c r="B311" s="950" t="str">
        <f t="shared" si="20"/>
        <v/>
      </c>
      <c r="F311" s="161"/>
      <c r="I311" s="847"/>
    </row>
    <row r="312">
      <c r="A312" s="265"/>
      <c r="B312" s="950" t="str">
        <f t="shared" si="20"/>
        <v/>
      </c>
      <c r="F312" s="161"/>
      <c r="I312" s="847"/>
    </row>
    <row r="313">
      <c r="A313" s="265"/>
      <c r="B313" s="950" t="str">
        <f t="shared" si="20"/>
        <v/>
      </c>
      <c r="F313" s="161"/>
      <c r="I313" s="847"/>
    </row>
    <row r="314">
      <c r="A314" s="265"/>
      <c r="B314" s="950" t="str">
        <f t="shared" si="20"/>
        <v/>
      </c>
      <c r="F314" s="161"/>
      <c r="I314" s="847"/>
    </row>
    <row r="315">
      <c r="A315" s="270"/>
      <c r="B315" s="194">
        <f>SUM(B301:B314)</f>
        <v>19300</v>
      </c>
      <c r="C315" s="18"/>
      <c r="D315" s="18"/>
      <c r="E315" s="18"/>
      <c r="F315" s="952"/>
      <c r="G315" s="18"/>
      <c r="H315" s="18"/>
      <c r="I315" s="663"/>
    </row>
    <row r="316">
      <c r="A316" s="305">
        <v>43919.0</v>
      </c>
      <c r="B316" s="948" t="str">
        <f>F316</f>
        <v/>
      </c>
      <c r="C316" s="242"/>
      <c r="D316" s="242"/>
      <c r="E316" s="242"/>
      <c r="F316" s="949"/>
      <c r="G316" s="242"/>
      <c r="H316" s="244"/>
      <c r="I316" s="662"/>
    </row>
    <row r="317">
      <c r="A317" s="270"/>
      <c r="B317" s="194">
        <f>SUM(B316)</f>
        <v>0</v>
      </c>
      <c r="C317" s="18"/>
      <c r="D317" s="18"/>
      <c r="E317" s="18"/>
      <c r="F317" s="952"/>
      <c r="G317" s="18"/>
      <c r="H317" s="18"/>
      <c r="I317" s="663"/>
    </row>
    <row r="318">
      <c r="A318" s="305">
        <v>43920.0</v>
      </c>
      <c r="B318" s="948">
        <f t="shared" ref="B318:B331" si="21">F318</f>
        <v>270</v>
      </c>
      <c r="C318" s="242"/>
      <c r="D318" s="242"/>
      <c r="E318" s="242"/>
      <c r="F318" s="949">
        <v>270.0</v>
      </c>
      <c r="G318" s="244" t="s">
        <v>314</v>
      </c>
      <c r="H318" s="244"/>
      <c r="I318" s="662"/>
    </row>
    <row r="319">
      <c r="A319" s="265"/>
      <c r="B319" s="950" t="str">
        <f t="shared" si="21"/>
        <v/>
      </c>
      <c r="F319" s="161"/>
      <c r="I319" s="847"/>
    </row>
    <row r="320">
      <c r="A320" s="265"/>
      <c r="B320" s="950" t="str">
        <f t="shared" si="21"/>
        <v/>
      </c>
      <c r="F320" s="161"/>
      <c r="I320" s="847"/>
    </row>
    <row r="321">
      <c r="A321" s="265"/>
      <c r="B321" s="950" t="str">
        <f t="shared" si="21"/>
        <v/>
      </c>
      <c r="F321" s="161"/>
      <c r="I321" s="847"/>
    </row>
    <row r="322">
      <c r="A322" s="265"/>
      <c r="B322" s="950" t="str">
        <f t="shared" si="21"/>
        <v/>
      </c>
      <c r="F322" s="161"/>
      <c r="I322" s="847"/>
    </row>
    <row r="323">
      <c r="A323" s="265"/>
      <c r="B323" s="950" t="str">
        <f t="shared" si="21"/>
        <v/>
      </c>
      <c r="F323" s="161"/>
      <c r="I323" s="847"/>
    </row>
    <row r="324">
      <c r="A324" s="265"/>
      <c r="B324" s="950" t="str">
        <f t="shared" si="21"/>
        <v/>
      </c>
      <c r="F324" s="852"/>
      <c r="I324" s="847"/>
    </row>
    <row r="325">
      <c r="A325" s="265"/>
      <c r="B325" s="950" t="str">
        <f t="shared" si="21"/>
        <v/>
      </c>
      <c r="F325" s="161"/>
      <c r="I325" s="847"/>
    </row>
    <row r="326">
      <c r="A326" s="265"/>
      <c r="B326" s="950" t="str">
        <f t="shared" si="21"/>
        <v/>
      </c>
      <c r="F326" s="161"/>
      <c r="I326" s="847"/>
    </row>
    <row r="327">
      <c r="A327" s="265"/>
      <c r="B327" s="950" t="str">
        <f t="shared" si="21"/>
        <v/>
      </c>
      <c r="F327" s="852"/>
      <c r="I327" s="847"/>
    </row>
    <row r="328">
      <c r="A328" s="265"/>
      <c r="B328" s="950" t="str">
        <f t="shared" si="21"/>
        <v/>
      </c>
      <c r="F328" s="161"/>
      <c r="I328" s="847"/>
    </row>
    <row r="329">
      <c r="A329" s="265"/>
      <c r="B329" s="950" t="str">
        <f t="shared" si="21"/>
        <v/>
      </c>
      <c r="F329" s="161"/>
      <c r="I329" s="847"/>
    </row>
    <row r="330">
      <c r="A330" s="265"/>
      <c r="B330" s="950" t="str">
        <f t="shared" si="21"/>
        <v/>
      </c>
      <c r="F330" s="161"/>
      <c r="I330" s="847"/>
    </row>
    <row r="331">
      <c r="A331" s="265"/>
      <c r="B331" s="950" t="str">
        <f t="shared" si="21"/>
        <v/>
      </c>
      <c r="F331" s="161"/>
      <c r="I331" s="847"/>
    </row>
    <row r="332">
      <c r="A332" s="270"/>
      <c r="B332" s="194">
        <f>SUM(B318:B331)</f>
        <v>270</v>
      </c>
      <c r="C332" s="18"/>
      <c r="D332" s="18"/>
      <c r="E332" s="18"/>
      <c r="F332" s="952"/>
      <c r="G332" s="18"/>
      <c r="H332" s="18"/>
      <c r="I332" s="663"/>
    </row>
    <row r="333">
      <c r="A333" s="305">
        <v>43921.0</v>
      </c>
      <c r="B333" s="948" t="str">
        <f t="shared" ref="B333:B346" si="22">F333</f>
        <v/>
      </c>
      <c r="C333" s="242"/>
      <c r="D333" s="242"/>
      <c r="E333" s="242"/>
      <c r="F333" s="949"/>
      <c r="G333" s="242"/>
      <c r="H333" s="244"/>
      <c r="I333" s="662"/>
    </row>
    <row r="334">
      <c r="A334" s="265"/>
      <c r="B334" s="950" t="str">
        <f t="shared" si="22"/>
        <v/>
      </c>
      <c r="F334" s="161"/>
      <c r="I334" s="847"/>
    </row>
    <row r="335">
      <c r="A335" s="265"/>
      <c r="B335" s="950" t="str">
        <f t="shared" si="22"/>
        <v/>
      </c>
      <c r="F335" s="161"/>
      <c r="I335" s="847"/>
    </row>
    <row r="336">
      <c r="A336" s="265"/>
      <c r="B336" s="950" t="str">
        <f t="shared" si="22"/>
        <v/>
      </c>
      <c r="F336" s="161"/>
      <c r="I336" s="847"/>
    </row>
    <row r="337">
      <c r="A337" s="265"/>
      <c r="B337" s="950" t="str">
        <f t="shared" si="22"/>
        <v/>
      </c>
      <c r="F337" s="161"/>
      <c r="I337" s="847"/>
    </row>
    <row r="338">
      <c r="A338" s="265"/>
      <c r="B338" s="950" t="str">
        <f t="shared" si="22"/>
        <v/>
      </c>
      <c r="F338" s="161"/>
      <c r="I338" s="847"/>
    </row>
    <row r="339">
      <c r="A339" s="265"/>
      <c r="B339" s="950" t="str">
        <f t="shared" si="22"/>
        <v/>
      </c>
      <c r="F339" s="852"/>
      <c r="I339" s="847"/>
    </row>
    <row r="340">
      <c r="A340" s="265"/>
      <c r="B340" s="950" t="str">
        <f t="shared" si="22"/>
        <v/>
      </c>
      <c r="F340" s="161"/>
      <c r="I340" s="847"/>
    </row>
    <row r="341">
      <c r="A341" s="265"/>
      <c r="B341" s="950" t="str">
        <f t="shared" si="22"/>
        <v/>
      </c>
      <c r="F341" s="161"/>
      <c r="I341" s="847"/>
    </row>
    <row r="342">
      <c r="A342" s="265"/>
      <c r="B342" s="950" t="str">
        <f t="shared" si="22"/>
        <v/>
      </c>
      <c r="F342" s="852"/>
      <c r="I342" s="847"/>
    </row>
    <row r="343">
      <c r="A343" s="265"/>
      <c r="B343" s="950" t="str">
        <f t="shared" si="22"/>
        <v/>
      </c>
      <c r="F343" s="161"/>
      <c r="I343" s="847"/>
    </row>
    <row r="344">
      <c r="A344" s="265"/>
      <c r="B344" s="950" t="str">
        <f t="shared" si="22"/>
        <v/>
      </c>
      <c r="F344" s="161"/>
      <c r="I344" s="847"/>
    </row>
    <row r="345">
      <c r="A345" s="265"/>
      <c r="B345" s="950" t="str">
        <f t="shared" si="22"/>
        <v/>
      </c>
      <c r="F345" s="161"/>
      <c r="I345" s="847"/>
    </row>
    <row r="346">
      <c r="A346" s="265"/>
      <c r="B346" s="950" t="str">
        <f t="shared" si="22"/>
        <v/>
      </c>
      <c r="F346" s="161"/>
      <c r="I346" s="847"/>
    </row>
    <row r="347">
      <c r="A347" s="270"/>
      <c r="B347" s="194">
        <f>SUM(B333:B346)</f>
        <v>0</v>
      </c>
      <c r="C347" s="18"/>
      <c r="D347" s="18"/>
      <c r="E347" s="18"/>
      <c r="F347" s="952"/>
      <c r="G347" s="18"/>
      <c r="H347" s="18"/>
      <c r="I347" s="663"/>
    </row>
    <row r="348">
      <c r="A348" s="305">
        <v>43922.0</v>
      </c>
      <c r="B348" s="948" t="str">
        <f>F348</f>
        <v/>
      </c>
      <c r="C348" s="242"/>
      <c r="D348" s="242"/>
      <c r="E348" s="242"/>
      <c r="F348" s="949"/>
      <c r="G348" s="242"/>
      <c r="H348" s="244"/>
      <c r="I348" s="662"/>
    </row>
    <row r="349">
      <c r="A349" s="270"/>
      <c r="B349" s="194">
        <f>SUM(B348)</f>
        <v>0</v>
      </c>
      <c r="C349" s="18"/>
      <c r="D349" s="18"/>
      <c r="E349" s="18"/>
      <c r="F349" s="952"/>
      <c r="G349" s="18"/>
      <c r="H349" s="18"/>
      <c r="I349" s="663"/>
    </row>
  </sheetData>
  <mergeCells count="33">
    <mergeCell ref="G1:H1"/>
    <mergeCell ref="A2:A3"/>
    <mergeCell ref="A4:A18"/>
    <mergeCell ref="A19:A33"/>
    <mergeCell ref="A34:A48"/>
    <mergeCell ref="A49:A63"/>
    <mergeCell ref="A64:A84"/>
    <mergeCell ref="A85:A99"/>
    <mergeCell ref="A100:A101"/>
    <mergeCell ref="A102:A116"/>
    <mergeCell ref="A117:A131"/>
    <mergeCell ref="A132:A146"/>
    <mergeCell ref="A147:A163"/>
    <mergeCell ref="A164:A181"/>
    <mergeCell ref="A182:A196"/>
    <mergeCell ref="A197:A198"/>
    <mergeCell ref="A199:A213"/>
    <mergeCell ref="A214:A228"/>
    <mergeCell ref="A229:A230"/>
    <mergeCell ref="A231:A245"/>
    <mergeCell ref="A246:A247"/>
    <mergeCell ref="A301:A315"/>
    <mergeCell ref="A316:A317"/>
    <mergeCell ref="A318:A332"/>
    <mergeCell ref="A333:A347"/>
    <mergeCell ref="A348:A349"/>
    <mergeCell ref="A248:A249"/>
    <mergeCell ref="A250:A251"/>
    <mergeCell ref="A252:A253"/>
    <mergeCell ref="A254:A255"/>
    <mergeCell ref="A256:A270"/>
    <mergeCell ref="A271:A285"/>
    <mergeCell ref="A286:A30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</cols>
  <sheetData>
    <row r="1" ht="28.5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305">
        <v>43862.0</v>
      </c>
      <c r="B2" s="948">
        <f t="shared" ref="B2:B7" si="1">F2</f>
        <v>3417.53</v>
      </c>
      <c r="C2" s="242"/>
      <c r="D2" s="242"/>
      <c r="E2" s="242"/>
      <c r="F2" s="949">
        <v>3417.53</v>
      </c>
      <c r="G2" s="244" t="s">
        <v>4138</v>
      </c>
      <c r="H2" s="244"/>
      <c r="I2" s="662"/>
    </row>
    <row r="3">
      <c r="A3" s="265"/>
      <c r="B3" s="950">
        <f t="shared" si="1"/>
        <v>168</v>
      </c>
      <c r="F3" s="161">
        <v>168.0</v>
      </c>
      <c r="G3" s="2" t="s">
        <v>4279</v>
      </c>
      <c r="I3" s="847"/>
    </row>
    <row r="4">
      <c r="A4" s="265"/>
      <c r="B4" s="950">
        <f t="shared" si="1"/>
        <v>2000</v>
      </c>
      <c r="F4" s="161">
        <v>2000.0</v>
      </c>
      <c r="G4" s="2" t="s">
        <v>3904</v>
      </c>
      <c r="I4" s="847"/>
    </row>
    <row r="5">
      <c r="A5" s="265"/>
      <c r="B5" s="950">
        <f t="shared" si="1"/>
        <v>700</v>
      </c>
      <c r="F5" s="161">
        <v>700.0</v>
      </c>
      <c r="G5" s="2" t="s">
        <v>3437</v>
      </c>
      <c r="H5" s="942"/>
      <c r="I5" s="847"/>
    </row>
    <row r="6">
      <c r="A6" s="265"/>
      <c r="B6" s="950" t="str">
        <f t="shared" si="1"/>
        <v/>
      </c>
      <c r="F6" s="161"/>
      <c r="I6" s="847"/>
    </row>
    <row r="7">
      <c r="A7" s="265"/>
      <c r="B7" s="950" t="str">
        <f t="shared" si="1"/>
        <v/>
      </c>
      <c r="F7" s="161"/>
      <c r="I7" s="847"/>
    </row>
    <row r="8">
      <c r="A8" s="270"/>
      <c r="B8" s="194">
        <f>SUM(B2:B7)</f>
        <v>6285.53</v>
      </c>
      <c r="C8" s="18"/>
      <c r="D8" s="18"/>
      <c r="E8" s="18"/>
      <c r="F8" s="952"/>
      <c r="G8" s="18"/>
      <c r="H8" s="18"/>
      <c r="I8" s="663"/>
    </row>
    <row r="9">
      <c r="A9" s="305">
        <v>43863.0</v>
      </c>
      <c r="B9" s="948" t="str">
        <f>F9</f>
        <v/>
      </c>
      <c r="C9" s="242"/>
      <c r="D9" s="242"/>
      <c r="E9" s="242"/>
      <c r="F9" s="949"/>
      <c r="G9" s="242"/>
      <c r="H9" s="244"/>
      <c r="I9" s="662"/>
    </row>
    <row r="10">
      <c r="A10" s="270"/>
      <c r="B10" s="194">
        <f>SUM(B9)</f>
        <v>0</v>
      </c>
      <c r="C10" s="18"/>
      <c r="D10" s="18"/>
      <c r="E10" s="18"/>
      <c r="F10" s="968"/>
      <c r="G10" s="293"/>
      <c r="H10" s="18"/>
      <c r="I10" s="663"/>
    </row>
    <row r="11">
      <c r="A11" s="305">
        <v>43864.0</v>
      </c>
      <c r="B11" s="948" t="str">
        <f t="shared" ref="B11:B24" si="2">F11</f>
        <v/>
      </c>
      <c r="C11" s="244">
        <v>9630.7</v>
      </c>
      <c r="D11" s="242"/>
      <c r="E11" s="242"/>
      <c r="F11" s="949"/>
      <c r="G11" s="244" t="s">
        <v>4280</v>
      </c>
      <c r="H11" s="244"/>
      <c r="I11" s="662"/>
    </row>
    <row r="12">
      <c r="A12" s="265"/>
      <c r="B12" s="950" t="str">
        <f t="shared" si="2"/>
        <v/>
      </c>
      <c r="C12" s="2">
        <v>9397.0</v>
      </c>
      <c r="F12" s="161"/>
      <c r="G12" s="2" t="s">
        <v>4280</v>
      </c>
      <c r="I12" s="847"/>
    </row>
    <row r="13">
      <c r="A13" s="265"/>
      <c r="B13" s="950" t="str">
        <f t="shared" si="2"/>
        <v/>
      </c>
      <c r="C13" s="2">
        <v>6161.28</v>
      </c>
      <c r="F13" s="161"/>
      <c r="G13" s="2" t="s">
        <v>2637</v>
      </c>
      <c r="I13" s="847"/>
    </row>
    <row r="14">
      <c r="A14" s="265"/>
      <c r="B14" s="950">
        <f t="shared" si="2"/>
        <v>390</v>
      </c>
      <c r="F14" s="161">
        <v>390.0</v>
      </c>
      <c r="G14" s="2" t="s">
        <v>4231</v>
      </c>
      <c r="I14" s="847"/>
    </row>
    <row r="15">
      <c r="A15" s="265"/>
      <c r="B15" s="950">
        <f t="shared" si="2"/>
        <v>1264.35</v>
      </c>
      <c r="F15" s="161">
        <v>1264.35</v>
      </c>
      <c r="G15" s="2" t="s">
        <v>3821</v>
      </c>
      <c r="I15" s="847"/>
    </row>
    <row r="16">
      <c r="A16" s="265"/>
      <c r="B16" s="950">
        <f t="shared" si="2"/>
        <v>6848.74</v>
      </c>
      <c r="F16" s="161">
        <v>6848.74</v>
      </c>
      <c r="G16" s="2" t="s">
        <v>2755</v>
      </c>
      <c r="I16" s="847"/>
    </row>
    <row r="17">
      <c r="A17" s="265"/>
      <c r="B17" s="950">
        <f t="shared" si="2"/>
        <v>1377</v>
      </c>
      <c r="F17" s="161">
        <v>1377.0</v>
      </c>
      <c r="G17" s="2" t="s">
        <v>4234</v>
      </c>
      <c r="I17" s="847"/>
    </row>
    <row r="18">
      <c r="A18" s="265"/>
      <c r="B18" s="950" t="str">
        <f t="shared" si="2"/>
        <v/>
      </c>
      <c r="D18" s="2">
        <v>8966.74</v>
      </c>
      <c r="F18" s="161"/>
      <c r="G18" s="2" t="s">
        <v>2819</v>
      </c>
      <c r="I18" s="847"/>
    </row>
    <row r="19">
      <c r="A19" s="265"/>
      <c r="B19" s="950">
        <f t="shared" si="2"/>
        <v>220</v>
      </c>
      <c r="F19" s="161">
        <v>220.0</v>
      </c>
      <c r="G19" s="2" t="s">
        <v>4281</v>
      </c>
      <c r="I19" s="847"/>
    </row>
    <row r="20">
      <c r="A20" s="265"/>
      <c r="B20" s="950">
        <f t="shared" si="2"/>
        <v>200</v>
      </c>
      <c r="F20" s="161">
        <v>200.0</v>
      </c>
      <c r="G20" s="2" t="s">
        <v>4282</v>
      </c>
      <c r="I20" s="847"/>
    </row>
    <row r="21">
      <c r="A21" s="265"/>
      <c r="B21" s="950">
        <f t="shared" si="2"/>
        <v>200</v>
      </c>
      <c r="F21" s="161">
        <v>200.0</v>
      </c>
      <c r="G21" s="2" t="s">
        <v>4283</v>
      </c>
      <c r="H21" s="942"/>
      <c r="I21" s="847"/>
    </row>
    <row r="22">
      <c r="A22" s="265"/>
      <c r="B22" s="950" t="str">
        <f t="shared" si="2"/>
        <v/>
      </c>
      <c r="F22" s="161"/>
      <c r="I22" s="847"/>
    </row>
    <row r="23">
      <c r="A23" s="265"/>
      <c r="B23" s="950" t="str">
        <f t="shared" si="2"/>
        <v/>
      </c>
      <c r="F23" s="161"/>
      <c r="I23" s="847"/>
    </row>
    <row r="24">
      <c r="A24" s="265"/>
      <c r="B24" s="950" t="str">
        <f t="shared" si="2"/>
        <v/>
      </c>
      <c r="F24" s="161"/>
      <c r="I24" s="847"/>
    </row>
    <row r="25">
      <c r="A25" s="270"/>
      <c r="B25" s="194">
        <f>SUM(B11:B24)</f>
        <v>10500.09</v>
      </c>
      <c r="C25" s="18"/>
      <c r="D25" s="18"/>
      <c r="E25" s="18"/>
      <c r="F25" s="952"/>
      <c r="G25" s="18"/>
      <c r="H25" s="18"/>
      <c r="I25" s="663"/>
    </row>
    <row r="26">
      <c r="A26" s="305">
        <v>43865.0</v>
      </c>
      <c r="B26" s="948">
        <f t="shared" ref="B26:B39" si="3">F26</f>
        <v>4000</v>
      </c>
      <c r="C26" s="242"/>
      <c r="D26" s="242"/>
      <c r="E26" s="242"/>
      <c r="F26" s="949">
        <v>4000.0</v>
      </c>
      <c r="G26" s="244" t="s">
        <v>3904</v>
      </c>
      <c r="H26" s="244"/>
      <c r="I26" s="662"/>
    </row>
    <row r="27">
      <c r="A27" s="265"/>
      <c r="B27" s="950">
        <f t="shared" si="3"/>
        <v>3032</v>
      </c>
      <c r="F27" s="161">
        <v>3032.0</v>
      </c>
      <c r="G27" s="2" t="s">
        <v>4284</v>
      </c>
      <c r="I27" s="847"/>
    </row>
    <row r="28">
      <c r="A28" s="265"/>
      <c r="B28" s="950">
        <f t="shared" si="3"/>
        <v>632.18</v>
      </c>
      <c r="F28" s="161">
        <v>632.18</v>
      </c>
      <c r="G28" s="2" t="s">
        <v>3821</v>
      </c>
      <c r="I28" s="847"/>
    </row>
    <row r="29">
      <c r="A29" s="265"/>
      <c r="B29" s="950">
        <f t="shared" si="3"/>
        <v>7035</v>
      </c>
      <c r="F29" s="161">
        <v>7035.0</v>
      </c>
      <c r="G29" s="2" t="s">
        <v>615</v>
      </c>
      <c r="I29" s="847"/>
    </row>
    <row r="30">
      <c r="A30" s="265"/>
      <c r="B30" s="950">
        <f t="shared" si="3"/>
        <v>66.95</v>
      </c>
      <c r="F30" s="161">
        <v>66.95</v>
      </c>
      <c r="G30" s="2" t="s">
        <v>3489</v>
      </c>
      <c r="I30" s="847"/>
    </row>
    <row r="31">
      <c r="A31" s="265"/>
      <c r="B31" s="950">
        <f t="shared" si="3"/>
        <v>180</v>
      </c>
      <c r="F31" s="161">
        <v>180.0</v>
      </c>
      <c r="G31" s="2" t="s">
        <v>4285</v>
      </c>
      <c r="I31" s="847"/>
    </row>
    <row r="32">
      <c r="A32" s="265"/>
      <c r="B32" s="950">
        <f t="shared" si="3"/>
        <v>1000</v>
      </c>
      <c r="F32" s="161">
        <v>1000.0</v>
      </c>
      <c r="G32" s="2" t="s">
        <v>3818</v>
      </c>
      <c r="H32" s="942"/>
      <c r="I32" s="847"/>
    </row>
    <row r="33">
      <c r="A33" s="265"/>
      <c r="B33" s="950" t="str">
        <f t="shared" si="3"/>
        <v/>
      </c>
      <c r="C33" s="2">
        <v>6161.28</v>
      </c>
      <c r="F33" s="161"/>
      <c r="G33" s="2" t="s">
        <v>2637</v>
      </c>
      <c r="I33" s="847"/>
    </row>
    <row r="34">
      <c r="A34" s="265"/>
      <c r="B34" s="950" t="str">
        <f t="shared" si="3"/>
        <v/>
      </c>
      <c r="F34" s="161"/>
      <c r="I34" s="847"/>
    </row>
    <row r="35">
      <c r="A35" s="265"/>
      <c r="B35" s="950" t="str">
        <f t="shared" si="3"/>
        <v/>
      </c>
      <c r="F35" s="852"/>
      <c r="I35" s="847"/>
    </row>
    <row r="36">
      <c r="A36" s="265"/>
      <c r="B36" s="950" t="str">
        <f t="shared" si="3"/>
        <v/>
      </c>
      <c r="F36" s="161"/>
      <c r="I36" s="847"/>
    </row>
    <row r="37">
      <c r="A37" s="265"/>
      <c r="B37" s="950" t="str">
        <f t="shared" si="3"/>
        <v/>
      </c>
      <c r="F37" s="161"/>
      <c r="I37" s="847"/>
    </row>
    <row r="38">
      <c r="A38" s="265"/>
      <c r="B38" s="950" t="str">
        <f t="shared" si="3"/>
        <v/>
      </c>
      <c r="F38" s="161"/>
      <c r="I38" s="847"/>
    </row>
    <row r="39">
      <c r="A39" s="265"/>
      <c r="B39" s="950" t="str">
        <f t="shared" si="3"/>
        <v/>
      </c>
      <c r="F39" s="161"/>
      <c r="I39" s="847"/>
    </row>
    <row r="40">
      <c r="A40" s="270"/>
      <c r="B40" s="194">
        <f>SUM(B26:B39)</f>
        <v>15946.13</v>
      </c>
      <c r="C40" s="18"/>
      <c r="D40" s="18"/>
      <c r="E40" s="18"/>
      <c r="F40" s="952"/>
      <c r="G40" s="18"/>
      <c r="H40" s="18"/>
      <c r="I40" s="663"/>
    </row>
    <row r="41">
      <c r="A41" s="305">
        <v>43866.0</v>
      </c>
      <c r="B41" s="948">
        <f t="shared" ref="B41:B54" si="4">F41</f>
        <v>1300</v>
      </c>
      <c r="C41" s="242"/>
      <c r="D41" s="242"/>
      <c r="E41" s="242"/>
      <c r="F41" s="949">
        <v>1300.0</v>
      </c>
      <c r="G41" s="244" t="s">
        <v>4286</v>
      </c>
      <c r="H41" s="244"/>
      <c r="I41" s="662"/>
    </row>
    <row r="42">
      <c r="A42" s="265"/>
      <c r="B42" s="950">
        <f t="shared" si="4"/>
        <v>2000</v>
      </c>
      <c r="F42" s="161">
        <v>2000.0</v>
      </c>
      <c r="G42" s="2" t="s">
        <v>87</v>
      </c>
      <c r="I42" s="847"/>
    </row>
    <row r="43">
      <c r="A43" s="265"/>
      <c r="B43" s="950">
        <f t="shared" si="4"/>
        <v>2789</v>
      </c>
      <c r="F43" s="161">
        <v>2789.0</v>
      </c>
      <c r="G43" s="2" t="s">
        <v>4255</v>
      </c>
      <c r="I43" s="847"/>
    </row>
    <row r="44">
      <c r="A44" s="265"/>
      <c r="B44" s="950" t="str">
        <f t="shared" si="4"/>
        <v/>
      </c>
      <c r="C44" s="2">
        <v>4057.88</v>
      </c>
      <c r="F44" s="161"/>
      <c r="G44" s="2" t="s">
        <v>71</v>
      </c>
      <c r="I44" s="847"/>
    </row>
    <row r="45">
      <c r="A45" s="265"/>
      <c r="B45" s="950" t="str">
        <f t="shared" si="4"/>
        <v/>
      </c>
      <c r="D45" s="2">
        <v>10459.9</v>
      </c>
      <c r="F45" s="161"/>
      <c r="G45" s="2" t="s">
        <v>4287</v>
      </c>
      <c r="I45" s="847"/>
    </row>
    <row r="46">
      <c r="A46" s="265"/>
      <c r="B46" s="950" t="str">
        <f t="shared" si="4"/>
        <v/>
      </c>
      <c r="D46" s="2">
        <v>18286.31</v>
      </c>
      <c r="F46" s="161"/>
      <c r="G46" s="2" t="s">
        <v>3033</v>
      </c>
      <c r="H46" s="983"/>
      <c r="I46" s="847"/>
    </row>
    <row r="47">
      <c r="A47" s="265"/>
      <c r="B47" s="950" t="str">
        <f t="shared" si="4"/>
        <v/>
      </c>
      <c r="D47" s="2">
        <v>3000.0</v>
      </c>
      <c r="F47" s="852"/>
      <c r="G47" s="2" t="s">
        <v>4288</v>
      </c>
      <c r="I47" s="847"/>
    </row>
    <row r="48">
      <c r="A48" s="265"/>
      <c r="B48" s="950" t="str">
        <f t="shared" si="4"/>
        <v/>
      </c>
      <c r="D48" s="2">
        <v>36000.0</v>
      </c>
      <c r="F48" s="161"/>
      <c r="G48" s="2" t="s">
        <v>4289</v>
      </c>
      <c r="I48" s="847"/>
    </row>
    <row r="49">
      <c r="A49" s="265"/>
      <c r="B49" s="950">
        <f t="shared" si="4"/>
        <v>420.53</v>
      </c>
      <c r="F49" s="161">
        <v>420.53</v>
      </c>
      <c r="G49" s="2" t="s">
        <v>4290</v>
      </c>
      <c r="I49" s="847"/>
    </row>
    <row r="50">
      <c r="A50" s="265"/>
      <c r="B50" s="950">
        <f t="shared" si="4"/>
        <v>408</v>
      </c>
      <c r="F50" s="161">
        <v>408.0</v>
      </c>
      <c r="G50" s="2" t="s">
        <v>4291</v>
      </c>
      <c r="I50" s="847"/>
    </row>
    <row r="51">
      <c r="A51" s="265"/>
      <c r="B51" s="950" t="str">
        <f t="shared" si="4"/>
        <v/>
      </c>
      <c r="F51" s="161"/>
      <c r="I51" s="847"/>
    </row>
    <row r="52">
      <c r="A52" s="265"/>
      <c r="B52" s="950" t="str">
        <f t="shared" si="4"/>
        <v/>
      </c>
      <c r="F52" s="161"/>
      <c r="I52" s="847"/>
    </row>
    <row r="53">
      <c r="A53" s="265"/>
      <c r="B53" s="950" t="str">
        <f t="shared" si="4"/>
        <v/>
      </c>
      <c r="F53" s="161"/>
      <c r="I53" s="847"/>
    </row>
    <row r="54">
      <c r="A54" s="265"/>
      <c r="B54" s="950" t="str">
        <f t="shared" si="4"/>
        <v/>
      </c>
      <c r="F54" s="161"/>
      <c r="I54" s="847"/>
    </row>
    <row r="55">
      <c r="A55" s="270"/>
      <c r="B55" s="194">
        <f>SUM(B41:B54)</f>
        <v>6917.53</v>
      </c>
      <c r="C55" s="18"/>
      <c r="D55" s="18"/>
      <c r="E55" s="18"/>
      <c r="F55" s="952"/>
      <c r="G55" s="18"/>
      <c r="H55" s="18"/>
      <c r="I55" s="663"/>
    </row>
    <row r="56">
      <c r="A56" s="305">
        <v>43867.0</v>
      </c>
      <c r="B56" s="948">
        <f t="shared" ref="B56:B69" si="5">F56</f>
        <v>3855</v>
      </c>
      <c r="C56" s="242"/>
      <c r="D56" s="242"/>
      <c r="E56" s="242"/>
      <c r="F56" s="949">
        <v>3855.0</v>
      </c>
      <c r="G56" s="244" t="s">
        <v>4292</v>
      </c>
      <c r="H56" s="244"/>
      <c r="I56" s="662"/>
    </row>
    <row r="57">
      <c r="A57" s="265"/>
      <c r="B57" s="950">
        <f t="shared" si="5"/>
        <v>1264.35</v>
      </c>
      <c r="F57" s="161">
        <v>1264.35</v>
      </c>
      <c r="G57" s="2" t="s">
        <v>3821</v>
      </c>
      <c r="I57" s="847"/>
    </row>
    <row r="58">
      <c r="A58" s="265"/>
      <c r="B58" s="950">
        <f t="shared" si="5"/>
        <v>1658</v>
      </c>
      <c r="F58" s="161">
        <v>1658.0</v>
      </c>
      <c r="G58" s="2" t="s">
        <v>4293</v>
      </c>
      <c r="I58" s="847"/>
    </row>
    <row r="59">
      <c r="A59" s="265"/>
      <c r="B59" s="950">
        <f t="shared" si="5"/>
        <v>2000</v>
      </c>
      <c r="F59" s="161">
        <v>2000.0</v>
      </c>
      <c r="G59" s="2" t="s">
        <v>3904</v>
      </c>
      <c r="I59" s="847"/>
    </row>
    <row r="60">
      <c r="A60" s="265"/>
      <c r="B60" s="950">
        <f t="shared" si="5"/>
        <v>3480</v>
      </c>
      <c r="F60" s="161">
        <v>3480.0</v>
      </c>
      <c r="G60" s="2" t="s">
        <v>612</v>
      </c>
      <c r="I60" s="847"/>
    </row>
    <row r="61">
      <c r="A61" s="265"/>
      <c r="B61" s="950" t="str">
        <f t="shared" si="5"/>
        <v/>
      </c>
      <c r="D61" s="2">
        <v>2438.78</v>
      </c>
      <c r="F61" s="161"/>
      <c r="G61" s="2" t="s">
        <v>201</v>
      </c>
      <c r="I61" s="847"/>
    </row>
    <row r="62">
      <c r="A62" s="265"/>
      <c r="B62" s="950">
        <f t="shared" si="5"/>
        <v>4770</v>
      </c>
      <c r="F62" s="161">
        <v>4770.0</v>
      </c>
      <c r="G62" s="2" t="s">
        <v>3917</v>
      </c>
      <c r="I62" s="847"/>
    </row>
    <row r="63">
      <c r="A63" s="265"/>
      <c r="B63" s="950">
        <f t="shared" si="5"/>
        <v>500</v>
      </c>
      <c r="F63" s="161">
        <v>500.0</v>
      </c>
      <c r="G63" s="2" t="s">
        <v>4294</v>
      </c>
      <c r="I63" s="847"/>
    </row>
    <row r="64">
      <c r="A64" s="265"/>
      <c r="B64" s="950">
        <f t="shared" si="5"/>
        <v>200</v>
      </c>
      <c r="F64" s="161">
        <v>200.0</v>
      </c>
      <c r="G64" s="2" t="s">
        <v>3421</v>
      </c>
      <c r="H64" s="942"/>
      <c r="I64" s="847"/>
    </row>
    <row r="65">
      <c r="A65" s="265"/>
      <c r="B65" s="950" t="str">
        <f t="shared" si="5"/>
        <v/>
      </c>
      <c r="F65" s="852"/>
      <c r="I65" s="847"/>
    </row>
    <row r="66">
      <c r="A66" s="265"/>
      <c r="B66" s="950">
        <f t="shared" si="5"/>
        <v>11120</v>
      </c>
      <c r="F66" s="161">
        <v>11120.0</v>
      </c>
      <c r="G66" s="2" t="s">
        <v>4295</v>
      </c>
      <c r="H66" s="942"/>
      <c r="I66" s="847"/>
    </row>
    <row r="67">
      <c r="A67" s="265"/>
      <c r="B67" s="950">
        <f t="shared" si="5"/>
        <v>5750</v>
      </c>
      <c r="F67" s="161">
        <v>5750.0</v>
      </c>
      <c r="G67" s="2" t="s">
        <v>4062</v>
      </c>
      <c r="H67" s="942"/>
      <c r="I67" s="847"/>
    </row>
    <row r="68">
      <c r="A68" s="265"/>
      <c r="B68" s="950">
        <f t="shared" si="5"/>
        <v>6900</v>
      </c>
      <c r="F68" s="161">
        <v>6900.0</v>
      </c>
      <c r="G68" s="2" t="s">
        <v>4152</v>
      </c>
      <c r="H68" s="942"/>
      <c r="I68" s="847"/>
    </row>
    <row r="69">
      <c r="A69" s="265"/>
      <c r="B69" s="950">
        <f t="shared" si="5"/>
        <v>8100</v>
      </c>
      <c r="F69" s="161">
        <v>8100.0</v>
      </c>
      <c r="G69" s="2" t="s">
        <v>4154</v>
      </c>
      <c r="H69" s="942"/>
      <c r="I69" s="847"/>
    </row>
    <row r="70">
      <c r="A70" s="270"/>
      <c r="B70" s="194">
        <f>SUM(B56:B69)</f>
        <v>49597.35</v>
      </c>
      <c r="C70" s="18"/>
      <c r="D70" s="18"/>
      <c r="E70" s="18"/>
      <c r="F70" s="952"/>
      <c r="G70" s="18"/>
      <c r="H70" s="18"/>
      <c r="I70" s="663"/>
    </row>
    <row r="71">
      <c r="A71" s="305">
        <v>43868.0</v>
      </c>
      <c r="B71" s="948">
        <f t="shared" ref="B71:B84" si="6">F71</f>
        <v>2525</v>
      </c>
      <c r="C71" s="242"/>
      <c r="D71" s="242"/>
      <c r="E71" s="242"/>
      <c r="F71" s="949">
        <v>2525.0</v>
      </c>
      <c r="G71" s="244" t="s">
        <v>4268</v>
      </c>
      <c r="H71" s="244"/>
      <c r="I71" s="662"/>
    </row>
    <row r="72">
      <c r="A72" s="265"/>
      <c r="B72" s="950">
        <f t="shared" si="6"/>
        <v>1264.35</v>
      </c>
      <c r="F72" s="161">
        <v>1264.35</v>
      </c>
      <c r="G72" s="2" t="s">
        <v>3821</v>
      </c>
      <c r="I72" s="847"/>
    </row>
    <row r="73">
      <c r="A73" s="265"/>
      <c r="B73" s="950">
        <f t="shared" si="6"/>
        <v>2000</v>
      </c>
      <c r="F73" s="161">
        <v>2000.0</v>
      </c>
      <c r="G73" s="2" t="s">
        <v>3904</v>
      </c>
      <c r="I73" s="847"/>
    </row>
    <row r="74">
      <c r="A74" s="265"/>
      <c r="B74" s="950">
        <f t="shared" si="6"/>
        <v>6656</v>
      </c>
      <c r="F74" s="161">
        <v>6656.0</v>
      </c>
      <c r="G74" s="2" t="s">
        <v>3329</v>
      </c>
      <c r="I74" s="847"/>
    </row>
    <row r="75">
      <c r="A75" s="265"/>
      <c r="B75" s="950">
        <f t="shared" si="6"/>
        <v>3300</v>
      </c>
      <c r="F75" s="161">
        <v>3300.0</v>
      </c>
      <c r="G75" s="2" t="s">
        <v>3955</v>
      </c>
      <c r="H75" s="942"/>
      <c r="I75" s="847"/>
    </row>
    <row r="76">
      <c r="A76" s="265"/>
      <c r="B76" s="950">
        <f t="shared" si="6"/>
        <v>60</v>
      </c>
      <c r="F76" s="161">
        <v>60.0</v>
      </c>
      <c r="G76" s="2" t="s">
        <v>4296</v>
      </c>
      <c r="I76" s="847"/>
    </row>
    <row r="77">
      <c r="A77" s="265"/>
      <c r="B77" s="950">
        <f t="shared" si="6"/>
        <v>203</v>
      </c>
      <c r="F77" s="161">
        <v>203.0</v>
      </c>
      <c r="G77" s="2" t="s">
        <v>4157</v>
      </c>
      <c r="I77" s="847"/>
    </row>
    <row r="78">
      <c r="A78" s="265"/>
      <c r="B78" s="950">
        <f t="shared" si="6"/>
        <v>4900</v>
      </c>
      <c r="F78" s="161">
        <v>4900.0</v>
      </c>
      <c r="G78" s="2" t="s">
        <v>4266</v>
      </c>
      <c r="H78" s="942"/>
      <c r="I78" s="847"/>
    </row>
    <row r="79">
      <c r="A79" s="265"/>
      <c r="B79" s="950" t="str">
        <f t="shared" si="6"/>
        <v/>
      </c>
      <c r="F79" s="161"/>
      <c r="I79" s="847"/>
    </row>
    <row r="80">
      <c r="A80" s="265"/>
      <c r="B80" s="950" t="str">
        <f t="shared" si="6"/>
        <v/>
      </c>
      <c r="F80" s="852"/>
      <c r="I80" s="847"/>
    </row>
    <row r="81">
      <c r="A81" s="265"/>
      <c r="B81" s="950" t="str">
        <f t="shared" si="6"/>
        <v/>
      </c>
      <c r="F81" s="161"/>
      <c r="I81" s="847"/>
    </row>
    <row r="82">
      <c r="A82" s="265"/>
      <c r="B82" s="950" t="str">
        <f t="shared" si="6"/>
        <v/>
      </c>
      <c r="F82" s="161"/>
      <c r="I82" s="847"/>
    </row>
    <row r="83">
      <c r="A83" s="265"/>
      <c r="B83" s="950" t="str">
        <f t="shared" si="6"/>
        <v/>
      </c>
      <c r="F83" s="161"/>
      <c r="I83" s="847"/>
    </row>
    <row r="84">
      <c r="A84" s="265"/>
      <c r="B84" s="950" t="str">
        <f t="shared" si="6"/>
        <v/>
      </c>
      <c r="F84" s="161"/>
      <c r="I84" s="847"/>
    </row>
    <row r="85">
      <c r="A85" s="270"/>
      <c r="B85" s="194">
        <f>SUM(B71:B84)</f>
        <v>20908.35</v>
      </c>
      <c r="C85" s="18"/>
      <c r="D85" s="18"/>
      <c r="E85" s="18"/>
      <c r="F85" s="952"/>
      <c r="G85" s="18"/>
      <c r="H85" s="18"/>
      <c r="I85" s="663"/>
    </row>
    <row r="86">
      <c r="A86" s="305">
        <v>43869.0</v>
      </c>
      <c r="B86" s="948">
        <f t="shared" ref="B86:B99" si="7">F86</f>
        <v>133</v>
      </c>
      <c r="C86" s="242"/>
      <c r="D86" s="242"/>
      <c r="E86" s="242"/>
      <c r="F86" s="949">
        <v>133.0</v>
      </c>
      <c r="G86" s="244" t="s">
        <v>4297</v>
      </c>
      <c r="H86" s="244"/>
      <c r="I86" s="662"/>
    </row>
    <row r="87">
      <c r="A87" s="265"/>
      <c r="B87" s="950">
        <f t="shared" si="7"/>
        <v>160</v>
      </c>
      <c r="F87" s="161">
        <v>160.0</v>
      </c>
      <c r="G87" s="2" t="s">
        <v>4298</v>
      </c>
      <c r="I87" s="847"/>
    </row>
    <row r="88">
      <c r="A88" s="265"/>
      <c r="B88" s="950">
        <f t="shared" si="7"/>
        <v>52</v>
      </c>
      <c r="F88" s="161">
        <v>52.0</v>
      </c>
      <c r="G88" s="2" t="s">
        <v>4157</v>
      </c>
      <c r="I88" s="847"/>
    </row>
    <row r="89">
      <c r="A89" s="265"/>
      <c r="B89" s="950">
        <f t="shared" si="7"/>
        <v>2500</v>
      </c>
      <c r="F89" s="161">
        <v>2500.0</v>
      </c>
      <c r="G89" s="2" t="s">
        <v>4032</v>
      </c>
      <c r="H89" s="942"/>
      <c r="I89" s="847"/>
    </row>
    <row r="90">
      <c r="A90" s="265"/>
      <c r="B90" s="950">
        <f t="shared" si="7"/>
        <v>2000</v>
      </c>
      <c r="F90" s="161">
        <v>2000.0</v>
      </c>
      <c r="G90" s="2" t="s">
        <v>3818</v>
      </c>
      <c r="H90" s="942"/>
      <c r="I90" s="847"/>
    </row>
    <row r="91">
      <c r="A91" s="265"/>
      <c r="B91" s="950" t="str">
        <f t="shared" si="7"/>
        <v/>
      </c>
      <c r="F91" s="161"/>
      <c r="I91" s="847"/>
    </row>
    <row r="92">
      <c r="A92" s="265"/>
      <c r="B92" s="950" t="str">
        <f t="shared" si="7"/>
        <v/>
      </c>
      <c r="F92" s="852"/>
      <c r="I92" s="847"/>
    </row>
    <row r="93">
      <c r="A93" s="265"/>
      <c r="B93" s="950" t="str">
        <f t="shared" si="7"/>
        <v/>
      </c>
      <c r="F93" s="161"/>
      <c r="I93" s="847"/>
    </row>
    <row r="94">
      <c r="A94" s="265"/>
      <c r="B94" s="950" t="str">
        <f t="shared" si="7"/>
        <v/>
      </c>
      <c r="F94" s="161"/>
      <c r="I94" s="847"/>
    </row>
    <row r="95">
      <c r="A95" s="265"/>
      <c r="B95" s="950" t="str">
        <f t="shared" si="7"/>
        <v/>
      </c>
      <c r="F95" s="852"/>
      <c r="I95" s="847"/>
    </row>
    <row r="96">
      <c r="A96" s="265"/>
      <c r="B96" s="950" t="str">
        <f t="shared" si="7"/>
        <v/>
      </c>
      <c r="F96" s="161"/>
      <c r="I96" s="847"/>
    </row>
    <row r="97">
      <c r="A97" s="265"/>
      <c r="B97" s="950" t="str">
        <f t="shared" si="7"/>
        <v/>
      </c>
      <c r="F97" s="161"/>
      <c r="I97" s="847"/>
    </row>
    <row r="98">
      <c r="A98" s="265"/>
      <c r="B98" s="950" t="str">
        <f t="shared" si="7"/>
        <v/>
      </c>
      <c r="F98" s="161"/>
      <c r="I98" s="847"/>
    </row>
    <row r="99">
      <c r="A99" s="265"/>
      <c r="B99" s="950" t="str">
        <f t="shared" si="7"/>
        <v/>
      </c>
      <c r="F99" s="161"/>
      <c r="I99" s="847"/>
    </row>
    <row r="100">
      <c r="A100" s="270"/>
      <c r="B100" s="194">
        <f>SUM(B86:B99)</f>
        <v>4845</v>
      </c>
      <c r="C100" s="18"/>
      <c r="D100" s="18"/>
      <c r="E100" s="18"/>
      <c r="F100" s="952"/>
      <c r="G100" s="18"/>
      <c r="H100" s="18"/>
      <c r="I100" s="663"/>
    </row>
    <row r="101">
      <c r="A101" s="305">
        <v>43870.0</v>
      </c>
      <c r="B101" s="948" t="str">
        <f>F101</f>
        <v/>
      </c>
      <c r="C101" s="242"/>
      <c r="D101" s="242"/>
      <c r="E101" s="242"/>
      <c r="F101" s="949"/>
      <c r="G101" s="242"/>
      <c r="H101" s="244"/>
      <c r="I101" s="662"/>
    </row>
    <row r="102">
      <c r="A102" s="270"/>
      <c r="B102" s="194">
        <f>SUM(B101)</f>
        <v>0</v>
      </c>
      <c r="C102" s="18"/>
      <c r="D102" s="18"/>
      <c r="E102" s="18"/>
      <c r="F102" s="952"/>
      <c r="G102" s="18"/>
      <c r="H102" s="18"/>
      <c r="I102" s="663"/>
    </row>
    <row r="103">
      <c r="A103" s="305">
        <v>43871.0</v>
      </c>
      <c r="B103" s="948">
        <f t="shared" ref="B103:B116" si="8">F103</f>
        <v>3000</v>
      </c>
      <c r="C103" s="242"/>
      <c r="D103" s="242"/>
      <c r="E103" s="242"/>
      <c r="F103" s="949">
        <v>3000.0</v>
      </c>
      <c r="G103" s="244" t="s">
        <v>3731</v>
      </c>
      <c r="H103" s="244"/>
      <c r="I103" s="662"/>
    </row>
    <row r="104">
      <c r="A104" s="265"/>
      <c r="B104" s="950">
        <f t="shared" si="8"/>
        <v>2465</v>
      </c>
      <c r="F104" s="161">
        <v>2465.0</v>
      </c>
      <c r="G104" s="2" t="s">
        <v>4230</v>
      </c>
      <c r="I104" s="847"/>
    </row>
    <row r="105">
      <c r="A105" s="265"/>
      <c r="B105" s="950">
        <f t="shared" si="8"/>
        <v>390</v>
      </c>
      <c r="F105" s="161">
        <v>390.0</v>
      </c>
      <c r="G105" s="2" t="s">
        <v>4231</v>
      </c>
      <c r="I105" s="847"/>
    </row>
    <row r="106">
      <c r="A106" s="265"/>
      <c r="B106" s="950">
        <f t="shared" si="8"/>
        <v>1264.35</v>
      </c>
      <c r="F106" s="161">
        <v>1264.35</v>
      </c>
      <c r="G106" s="2" t="s">
        <v>3821</v>
      </c>
      <c r="I106" s="847"/>
    </row>
    <row r="107">
      <c r="A107" s="265"/>
      <c r="B107" s="950">
        <f t="shared" si="8"/>
        <v>520.02</v>
      </c>
      <c r="F107" s="161">
        <v>520.02</v>
      </c>
      <c r="G107" s="2" t="s">
        <v>314</v>
      </c>
      <c r="I107" s="847"/>
    </row>
    <row r="108">
      <c r="A108" s="265"/>
      <c r="B108" s="950">
        <f t="shared" si="8"/>
        <v>1455</v>
      </c>
      <c r="F108" s="161">
        <v>1455.0</v>
      </c>
      <c r="G108" s="2" t="s">
        <v>4299</v>
      </c>
      <c r="I108" s="847"/>
    </row>
    <row r="109">
      <c r="A109" s="265"/>
      <c r="B109" s="950">
        <f t="shared" si="8"/>
        <v>187</v>
      </c>
      <c r="F109" s="161">
        <v>187.0</v>
      </c>
      <c r="G109" s="2" t="s">
        <v>4300</v>
      </c>
      <c r="I109" s="847"/>
    </row>
    <row r="110">
      <c r="A110" s="265"/>
      <c r="B110" s="950">
        <f t="shared" si="8"/>
        <v>45</v>
      </c>
      <c r="F110" s="161">
        <v>45.0</v>
      </c>
      <c r="G110" s="2" t="s">
        <v>4301</v>
      </c>
      <c r="I110" s="847"/>
    </row>
    <row r="111">
      <c r="A111" s="265"/>
      <c r="B111" s="950">
        <f t="shared" si="8"/>
        <v>160</v>
      </c>
      <c r="F111" s="161">
        <v>160.0</v>
      </c>
      <c r="G111" s="2" t="s">
        <v>4300</v>
      </c>
      <c r="I111" s="847"/>
    </row>
    <row r="112">
      <c r="A112" s="265"/>
      <c r="B112" s="950">
        <f t="shared" si="8"/>
        <v>120</v>
      </c>
      <c r="F112" s="161">
        <v>120.0</v>
      </c>
      <c r="G112" s="2" t="s">
        <v>4302</v>
      </c>
      <c r="I112" s="847"/>
    </row>
    <row r="113">
      <c r="A113" s="265"/>
      <c r="B113" s="950">
        <f t="shared" si="8"/>
        <v>1000</v>
      </c>
      <c r="E113" s="2">
        <v>10000.0</v>
      </c>
      <c r="F113" s="161">
        <v>1000.0</v>
      </c>
      <c r="G113" s="2" t="s">
        <v>3815</v>
      </c>
      <c r="H113" s="942"/>
      <c r="I113" s="847"/>
    </row>
    <row r="114">
      <c r="A114" s="265"/>
      <c r="B114" s="950" t="str">
        <f t="shared" si="8"/>
        <v/>
      </c>
      <c r="F114" s="161"/>
      <c r="I114" s="847"/>
    </row>
    <row r="115">
      <c r="A115" s="265"/>
      <c r="B115" s="950" t="str">
        <f t="shared" si="8"/>
        <v/>
      </c>
      <c r="F115" s="161"/>
      <c r="I115" s="847"/>
    </row>
    <row r="116">
      <c r="A116" s="265"/>
      <c r="B116" s="950" t="str">
        <f t="shared" si="8"/>
        <v/>
      </c>
      <c r="F116" s="161"/>
      <c r="I116" s="847"/>
    </row>
    <row r="117">
      <c r="A117" s="270"/>
      <c r="B117" s="194">
        <f>SUM(B103:B116)</f>
        <v>10606.37</v>
      </c>
      <c r="C117" s="18"/>
      <c r="D117" s="18"/>
      <c r="E117" s="18"/>
      <c r="F117" s="952"/>
      <c r="G117" s="18"/>
      <c r="H117" s="18"/>
      <c r="I117" s="663"/>
    </row>
    <row r="118">
      <c r="A118" s="305">
        <v>43872.0</v>
      </c>
      <c r="B118" s="948">
        <f t="shared" ref="B118:B131" si="9">F118</f>
        <v>1454</v>
      </c>
      <c r="C118" s="242"/>
      <c r="D118" s="242"/>
      <c r="E118" s="242"/>
      <c r="F118" s="949">
        <v>1454.0</v>
      </c>
      <c r="G118" s="244" t="s">
        <v>4234</v>
      </c>
      <c r="H118" s="244"/>
      <c r="I118" s="662"/>
    </row>
    <row r="119">
      <c r="A119" s="265"/>
      <c r="B119" s="950" t="str">
        <f t="shared" si="9"/>
        <v/>
      </c>
      <c r="C119" s="2">
        <v>15756.49</v>
      </c>
      <c r="F119" s="161"/>
      <c r="G119" s="2" t="s">
        <v>2637</v>
      </c>
      <c r="I119" s="847"/>
    </row>
    <row r="120">
      <c r="A120" s="265"/>
      <c r="B120" s="950">
        <f t="shared" si="9"/>
        <v>2000</v>
      </c>
      <c r="F120" s="161">
        <v>2000.0</v>
      </c>
      <c r="G120" s="2" t="s">
        <v>3731</v>
      </c>
      <c r="I120" s="847"/>
    </row>
    <row r="121">
      <c r="A121" s="265"/>
      <c r="B121" s="950">
        <f t="shared" si="9"/>
        <v>125</v>
      </c>
      <c r="F121" s="161">
        <v>125.0</v>
      </c>
      <c r="G121" s="2" t="s">
        <v>1732</v>
      </c>
      <c r="I121" s="847"/>
    </row>
    <row r="122">
      <c r="A122" s="265"/>
      <c r="B122" s="950">
        <f t="shared" si="9"/>
        <v>632.18</v>
      </c>
      <c r="F122" s="161">
        <v>632.18</v>
      </c>
      <c r="G122" s="2" t="s">
        <v>58</v>
      </c>
      <c r="I122" s="847"/>
    </row>
    <row r="123">
      <c r="A123" s="265"/>
      <c r="B123" s="950" t="str">
        <f t="shared" si="9"/>
        <v/>
      </c>
      <c r="D123" s="2">
        <v>9050.35</v>
      </c>
      <c r="F123" s="161"/>
      <c r="G123" s="2" t="s">
        <v>4303</v>
      </c>
      <c r="I123" s="847"/>
    </row>
    <row r="124">
      <c r="A124" s="265"/>
      <c r="B124" s="950">
        <f t="shared" si="9"/>
        <v>950</v>
      </c>
      <c r="F124" s="161">
        <v>950.0</v>
      </c>
      <c r="G124" s="2" t="s">
        <v>3381</v>
      </c>
      <c r="I124" s="847"/>
    </row>
    <row r="125">
      <c r="A125" s="265"/>
      <c r="B125" s="950" t="str">
        <f t="shared" si="9"/>
        <v/>
      </c>
      <c r="D125" s="2" t="s">
        <v>4304</v>
      </c>
      <c r="F125" s="161"/>
      <c r="G125" s="2" t="s">
        <v>4305</v>
      </c>
      <c r="I125" s="847"/>
    </row>
    <row r="126">
      <c r="A126" s="265"/>
      <c r="B126" s="950">
        <f t="shared" si="9"/>
        <v>10000</v>
      </c>
      <c r="F126" s="161">
        <v>10000.0</v>
      </c>
      <c r="G126" s="2" t="s">
        <v>4306</v>
      </c>
      <c r="H126" s="942"/>
      <c r="I126" s="847"/>
    </row>
    <row r="127">
      <c r="A127" s="265"/>
      <c r="B127" s="950">
        <f t="shared" si="9"/>
        <v>3063</v>
      </c>
      <c r="F127" s="161">
        <v>3063.0</v>
      </c>
      <c r="G127" s="2" t="s">
        <v>4230</v>
      </c>
      <c r="I127" s="847"/>
    </row>
    <row r="128">
      <c r="A128" s="265"/>
      <c r="B128" s="950">
        <f t="shared" si="9"/>
        <v>1420</v>
      </c>
      <c r="F128" s="161">
        <v>1420.0</v>
      </c>
      <c r="G128" s="2" t="s">
        <v>2923</v>
      </c>
      <c r="I128" s="847"/>
    </row>
    <row r="129">
      <c r="A129" s="265"/>
      <c r="B129" s="950" t="str">
        <f t="shared" si="9"/>
        <v/>
      </c>
      <c r="F129" s="161"/>
      <c r="I129" s="847"/>
    </row>
    <row r="130">
      <c r="A130" s="265"/>
      <c r="B130" s="950" t="str">
        <f t="shared" si="9"/>
        <v/>
      </c>
      <c r="F130" s="161"/>
      <c r="I130" s="847"/>
    </row>
    <row r="131">
      <c r="A131" s="265"/>
      <c r="B131" s="950" t="str">
        <f t="shared" si="9"/>
        <v/>
      </c>
      <c r="F131" s="161"/>
      <c r="I131" s="847"/>
    </row>
    <row r="132">
      <c r="A132" s="270"/>
      <c r="B132" s="194">
        <f>SUM(B118:B131)</f>
        <v>19644.18</v>
      </c>
      <c r="C132" s="18"/>
      <c r="D132" s="18"/>
      <c r="E132" s="18"/>
      <c r="F132" s="952"/>
      <c r="G132" s="18"/>
      <c r="H132" s="18"/>
      <c r="I132" s="663"/>
    </row>
    <row r="133">
      <c r="A133" s="305">
        <v>43873.0</v>
      </c>
      <c r="B133" s="948">
        <f t="shared" ref="B133:B146" si="10">F133</f>
        <v>3000</v>
      </c>
      <c r="C133" s="242"/>
      <c r="D133" s="242"/>
      <c r="E133" s="242"/>
      <c r="F133" s="949">
        <v>3000.0</v>
      </c>
      <c r="G133" s="244" t="s">
        <v>3731</v>
      </c>
      <c r="H133" s="244"/>
      <c r="I133" s="662"/>
    </row>
    <row r="134">
      <c r="A134" s="265"/>
      <c r="B134" s="950">
        <f t="shared" si="10"/>
        <v>2435</v>
      </c>
      <c r="F134" s="161">
        <v>2435.0</v>
      </c>
      <c r="G134" s="2" t="s">
        <v>4230</v>
      </c>
      <c r="I134" s="847"/>
    </row>
    <row r="135">
      <c r="A135" s="265"/>
      <c r="B135" s="950">
        <f t="shared" si="10"/>
        <v>700</v>
      </c>
      <c r="F135" s="161">
        <v>700.0</v>
      </c>
      <c r="G135" s="2" t="s">
        <v>3437</v>
      </c>
      <c r="H135" s="974"/>
      <c r="I135" s="847"/>
    </row>
    <row r="136">
      <c r="A136" s="265"/>
      <c r="B136" s="950" t="str">
        <f t="shared" si="10"/>
        <v/>
      </c>
      <c r="D136" s="2">
        <v>7422.01</v>
      </c>
      <c r="F136" s="161"/>
      <c r="G136" s="2" t="s">
        <v>3368</v>
      </c>
      <c r="I136" s="847"/>
    </row>
    <row r="137">
      <c r="A137" s="265"/>
      <c r="B137" s="950" t="str">
        <f t="shared" si="10"/>
        <v/>
      </c>
      <c r="D137" s="2">
        <v>13300.0</v>
      </c>
      <c r="F137" s="161"/>
      <c r="G137" s="2" t="s">
        <v>4307</v>
      </c>
      <c r="I137" s="847"/>
    </row>
    <row r="138">
      <c r="A138" s="265"/>
      <c r="B138" s="950" t="str">
        <f t="shared" si="10"/>
        <v/>
      </c>
      <c r="D138" s="2">
        <v>10236.25</v>
      </c>
      <c r="F138" s="161"/>
      <c r="G138" s="2" t="s">
        <v>4239</v>
      </c>
      <c r="I138" s="847"/>
    </row>
    <row r="139">
      <c r="A139" s="265"/>
      <c r="B139" s="950" t="str">
        <f t="shared" si="10"/>
        <v/>
      </c>
      <c r="D139" s="2">
        <v>9500.0</v>
      </c>
      <c r="F139" s="852"/>
      <c r="G139" s="2" t="s">
        <v>3495</v>
      </c>
      <c r="I139" s="847"/>
    </row>
    <row r="140">
      <c r="A140" s="265"/>
      <c r="B140" s="950" t="str">
        <f t="shared" si="10"/>
        <v/>
      </c>
      <c r="D140" s="2">
        <v>21931.66</v>
      </c>
      <c r="F140" s="161"/>
      <c r="G140" s="2" t="s">
        <v>3978</v>
      </c>
      <c r="I140" s="847"/>
    </row>
    <row r="141">
      <c r="A141" s="265"/>
      <c r="B141" s="950" t="str">
        <f t="shared" si="10"/>
        <v/>
      </c>
      <c r="F141" s="161"/>
      <c r="I141" s="847"/>
    </row>
    <row r="142">
      <c r="A142" s="265"/>
      <c r="B142" s="950" t="str">
        <f t="shared" si="10"/>
        <v/>
      </c>
      <c r="F142" s="852"/>
      <c r="I142" s="847"/>
    </row>
    <row r="143">
      <c r="A143" s="265"/>
      <c r="B143" s="950" t="str">
        <f t="shared" si="10"/>
        <v/>
      </c>
      <c r="F143" s="161"/>
      <c r="I143" s="847"/>
    </row>
    <row r="144">
      <c r="A144" s="265"/>
      <c r="B144" s="950" t="str">
        <f t="shared" si="10"/>
        <v/>
      </c>
      <c r="F144" s="161"/>
      <c r="I144" s="847"/>
    </row>
    <row r="145">
      <c r="A145" s="265"/>
      <c r="B145" s="950" t="str">
        <f t="shared" si="10"/>
        <v/>
      </c>
      <c r="F145" s="161"/>
      <c r="I145" s="847"/>
    </row>
    <row r="146">
      <c r="A146" s="265"/>
      <c r="B146" s="950" t="str">
        <f t="shared" si="10"/>
        <v/>
      </c>
      <c r="F146" s="161"/>
      <c r="I146" s="847"/>
    </row>
    <row r="147">
      <c r="A147" s="270"/>
      <c r="B147" s="194">
        <f>SUM(B133:B146)</f>
        <v>6135</v>
      </c>
      <c r="C147" s="18"/>
      <c r="D147" s="18"/>
      <c r="E147" s="18"/>
      <c r="F147" s="952"/>
      <c r="G147" s="18"/>
      <c r="H147" s="18"/>
      <c r="I147" s="663"/>
    </row>
    <row r="148">
      <c r="A148" s="305">
        <v>43874.0</v>
      </c>
      <c r="B148" s="948">
        <f t="shared" ref="B148:B161" si="11">F148</f>
        <v>1456.31</v>
      </c>
      <c r="C148" s="242"/>
      <c r="D148" s="242"/>
      <c r="E148" s="242"/>
      <c r="F148" s="949">
        <v>1456.31</v>
      </c>
      <c r="G148" s="244" t="s">
        <v>3821</v>
      </c>
      <c r="H148" s="244"/>
      <c r="I148" s="662"/>
    </row>
    <row r="149">
      <c r="A149" s="265"/>
      <c r="B149" s="950">
        <f t="shared" si="11"/>
        <v>2000</v>
      </c>
      <c r="F149" s="161">
        <v>2000.0</v>
      </c>
      <c r="G149" s="2" t="s">
        <v>3904</v>
      </c>
      <c r="I149" s="847"/>
    </row>
    <row r="150">
      <c r="A150" s="265"/>
      <c r="B150" s="950">
        <f t="shared" si="11"/>
        <v>2717</v>
      </c>
      <c r="F150" s="161">
        <v>2717.0</v>
      </c>
      <c r="G150" s="2" t="s">
        <v>4299</v>
      </c>
      <c r="I150" s="847"/>
    </row>
    <row r="151">
      <c r="A151" s="265"/>
      <c r="B151" s="950">
        <f t="shared" si="11"/>
        <v>4220</v>
      </c>
      <c r="F151" s="161">
        <v>4220.0</v>
      </c>
      <c r="G151" s="2" t="s">
        <v>3329</v>
      </c>
      <c r="I151" s="847"/>
    </row>
    <row r="152">
      <c r="A152" s="265"/>
      <c r="B152" s="950">
        <f t="shared" si="11"/>
        <v>9576.71</v>
      </c>
      <c r="F152" s="161">
        <v>9576.71</v>
      </c>
      <c r="G152" s="2" t="s">
        <v>615</v>
      </c>
      <c r="I152" s="847"/>
    </row>
    <row r="153">
      <c r="A153" s="265"/>
      <c r="B153" s="950" t="str">
        <f t="shared" si="11"/>
        <v/>
      </c>
      <c r="C153" s="2">
        <v>12669.0</v>
      </c>
      <c r="F153" s="161"/>
      <c r="G153" s="2" t="s">
        <v>4280</v>
      </c>
      <c r="I153" s="847"/>
    </row>
    <row r="154">
      <c r="A154" s="265"/>
      <c r="B154" s="950">
        <f t="shared" si="11"/>
        <v>3075.15</v>
      </c>
      <c r="F154" s="161">
        <v>3075.15</v>
      </c>
      <c r="G154" s="2" t="s">
        <v>4107</v>
      </c>
      <c r="I154" s="847"/>
    </row>
    <row r="155">
      <c r="A155" s="265"/>
      <c r="B155" s="950">
        <f t="shared" si="11"/>
        <v>5342</v>
      </c>
      <c r="F155" s="161">
        <v>5342.0</v>
      </c>
      <c r="G155" s="2" t="s">
        <v>3917</v>
      </c>
      <c r="I155" s="847"/>
    </row>
    <row r="156">
      <c r="A156" s="265"/>
      <c r="B156" s="950">
        <f t="shared" si="11"/>
        <v>396</v>
      </c>
      <c r="F156" s="161">
        <v>396.0</v>
      </c>
      <c r="G156" s="2" t="s">
        <v>4308</v>
      </c>
      <c r="I156" s="847"/>
    </row>
    <row r="157">
      <c r="A157" s="265"/>
      <c r="B157" s="950">
        <f t="shared" si="11"/>
        <v>4541.19</v>
      </c>
      <c r="F157" s="161">
        <v>4541.19</v>
      </c>
      <c r="G157" s="2" t="s">
        <v>4309</v>
      </c>
      <c r="H157" s="942"/>
      <c r="I157" s="847"/>
    </row>
    <row r="158">
      <c r="A158" s="265"/>
      <c r="B158" s="950">
        <f t="shared" si="11"/>
        <v>3085</v>
      </c>
      <c r="F158" s="161">
        <v>3085.0</v>
      </c>
      <c r="G158" s="2" t="s">
        <v>4230</v>
      </c>
      <c r="I158" s="847"/>
    </row>
    <row r="159">
      <c r="A159" s="265"/>
      <c r="B159" s="950">
        <f t="shared" si="11"/>
        <v>1900</v>
      </c>
      <c r="F159" s="161">
        <v>1900.0</v>
      </c>
      <c r="G159" s="2" t="s">
        <v>2514</v>
      </c>
      <c r="I159" s="847"/>
    </row>
    <row r="160">
      <c r="A160" s="265"/>
      <c r="B160" s="950">
        <f t="shared" si="11"/>
        <v>500</v>
      </c>
      <c r="F160" s="161">
        <v>500.0</v>
      </c>
      <c r="G160" s="2" t="s">
        <v>4310</v>
      </c>
      <c r="H160" s="942"/>
      <c r="I160" s="847"/>
    </row>
    <row r="161">
      <c r="A161" s="265"/>
      <c r="B161" s="950" t="str">
        <f t="shared" si="11"/>
        <v/>
      </c>
      <c r="F161" s="161"/>
      <c r="I161" s="847"/>
    </row>
    <row r="162">
      <c r="A162" s="270"/>
      <c r="B162" s="194">
        <f>SUM(B148:B161)</f>
        <v>38809.36</v>
      </c>
      <c r="C162" s="18"/>
      <c r="D162" s="18"/>
      <c r="E162" s="18"/>
      <c r="F162" s="952"/>
      <c r="G162" s="18"/>
      <c r="H162" s="18"/>
      <c r="I162" s="663"/>
    </row>
    <row r="163">
      <c r="A163" s="305">
        <v>43875.0</v>
      </c>
      <c r="B163" s="948" t="str">
        <f t="shared" ref="B163:B176" si="12">F163</f>
        <v/>
      </c>
      <c r="C163" s="242"/>
      <c r="D163" s="242"/>
      <c r="E163" s="242"/>
      <c r="F163" s="949"/>
      <c r="G163" s="244"/>
      <c r="H163" s="244"/>
      <c r="I163" s="662"/>
    </row>
    <row r="164">
      <c r="A164" s="265"/>
      <c r="B164" s="950">
        <f t="shared" si="12"/>
        <v>3000</v>
      </c>
      <c r="F164" s="161">
        <v>3000.0</v>
      </c>
      <c r="G164" s="2" t="s">
        <v>3731</v>
      </c>
      <c r="I164" s="847"/>
    </row>
    <row r="165">
      <c r="A165" s="265"/>
      <c r="B165" s="950" t="str">
        <f t="shared" si="12"/>
        <v/>
      </c>
      <c r="C165" s="2">
        <v>9559.0</v>
      </c>
      <c r="F165" s="161"/>
      <c r="G165" s="2" t="s">
        <v>4280</v>
      </c>
      <c r="I165" s="847"/>
    </row>
    <row r="166">
      <c r="A166" s="265"/>
      <c r="B166" s="950">
        <f t="shared" si="12"/>
        <v>632.18</v>
      </c>
      <c r="F166" s="161">
        <v>632.18</v>
      </c>
      <c r="G166" s="2" t="s">
        <v>3821</v>
      </c>
      <c r="I166" s="847"/>
    </row>
    <row r="167">
      <c r="A167" s="265"/>
      <c r="B167" s="950">
        <f t="shared" si="12"/>
        <v>1726</v>
      </c>
      <c r="F167" s="161">
        <v>1726.0</v>
      </c>
      <c r="G167" s="2" t="s">
        <v>4230</v>
      </c>
      <c r="I167" s="847"/>
    </row>
    <row r="168">
      <c r="A168" s="265"/>
      <c r="B168" s="950">
        <f t="shared" si="12"/>
        <v>3350</v>
      </c>
      <c r="F168" s="161">
        <v>3350.0</v>
      </c>
      <c r="G168" s="2" t="s">
        <v>612</v>
      </c>
      <c r="I168" s="847"/>
    </row>
    <row r="169">
      <c r="A169" s="265"/>
      <c r="B169" s="950">
        <f t="shared" si="12"/>
        <v>256</v>
      </c>
      <c r="F169" s="161">
        <v>256.0</v>
      </c>
      <c r="G169" s="2" t="s">
        <v>4311</v>
      </c>
      <c r="I169" s="847"/>
    </row>
    <row r="170">
      <c r="A170" s="265"/>
      <c r="B170" s="950" t="str">
        <f t="shared" si="12"/>
        <v/>
      </c>
      <c r="F170" s="161"/>
      <c r="I170" s="847"/>
    </row>
    <row r="171">
      <c r="A171" s="265"/>
      <c r="B171" s="950">
        <f t="shared" si="12"/>
        <v>8050</v>
      </c>
      <c r="F171" s="161">
        <v>8050.0</v>
      </c>
      <c r="G171" s="2" t="s">
        <v>4154</v>
      </c>
      <c r="H171" s="942"/>
      <c r="I171" s="847"/>
    </row>
    <row r="172">
      <c r="A172" s="265"/>
      <c r="B172" s="950">
        <f t="shared" si="12"/>
        <v>18900</v>
      </c>
      <c r="F172" s="161">
        <v>18900.0</v>
      </c>
      <c r="G172" s="2" t="s">
        <v>4312</v>
      </c>
      <c r="H172" s="942"/>
      <c r="I172" s="847"/>
    </row>
    <row r="173">
      <c r="A173" s="265"/>
      <c r="B173" s="950">
        <f t="shared" si="12"/>
        <v>6000</v>
      </c>
      <c r="F173" s="161">
        <v>6000.0</v>
      </c>
      <c r="G173" s="2" t="s">
        <v>4313</v>
      </c>
      <c r="H173" s="942"/>
      <c r="I173" s="847"/>
    </row>
    <row r="174">
      <c r="A174" s="265"/>
      <c r="B174" s="950">
        <f t="shared" si="12"/>
        <v>15650</v>
      </c>
      <c r="F174" s="161">
        <v>15650.0</v>
      </c>
      <c r="G174" s="2" t="s">
        <v>4314</v>
      </c>
      <c r="H174" s="942"/>
      <c r="I174" s="847"/>
    </row>
    <row r="175">
      <c r="A175" s="265"/>
      <c r="B175" s="950">
        <f t="shared" si="12"/>
        <v>5750</v>
      </c>
      <c r="F175" s="161">
        <v>5750.0</v>
      </c>
      <c r="G175" s="2" t="s">
        <v>4062</v>
      </c>
      <c r="H175" s="942"/>
      <c r="I175" s="847"/>
    </row>
    <row r="176">
      <c r="A176" s="265"/>
      <c r="B176" s="950">
        <f t="shared" si="12"/>
        <v>5500</v>
      </c>
      <c r="F176" s="161">
        <v>5500.0</v>
      </c>
      <c r="G176" s="2" t="s">
        <v>4153</v>
      </c>
      <c r="H176" s="942"/>
      <c r="I176" s="847"/>
    </row>
    <row r="177">
      <c r="A177" s="270"/>
      <c r="B177" s="194">
        <f>SUM(B163:B176)</f>
        <v>68814.18</v>
      </c>
      <c r="C177" s="18"/>
      <c r="D177" s="18"/>
      <c r="E177" s="18"/>
      <c r="F177" s="952"/>
      <c r="G177" s="18"/>
      <c r="H177" s="18"/>
      <c r="I177" s="663"/>
    </row>
    <row r="178">
      <c r="A178" s="305">
        <v>43876.0</v>
      </c>
      <c r="B178" s="948" t="str">
        <f t="shared" ref="B178:B191" si="13">F178</f>
        <v/>
      </c>
      <c r="C178" s="242"/>
      <c r="D178" s="242"/>
      <c r="E178" s="242"/>
      <c r="F178" s="949"/>
      <c r="G178" s="244" t="s">
        <v>4315</v>
      </c>
      <c r="H178" s="244"/>
      <c r="I178" s="662"/>
    </row>
    <row r="179">
      <c r="A179" s="265"/>
      <c r="B179" s="950">
        <f t="shared" si="13"/>
        <v>2000</v>
      </c>
      <c r="F179" s="161">
        <v>2000.0</v>
      </c>
      <c r="G179" s="2" t="s">
        <v>4316</v>
      </c>
      <c r="I179" s="847"/>
    </row>
    <row r="180">
      <c r="A180" s="265"/>
      <c r="B180" s="950" t="str">
        <f t="shared" si="13"/>
        <v/>
      </c>
      <c r="F180" s="161"/>
      <c r="I180" s="847"/>
    </row>
    <row r="181">
      <c r="A181" s="265"/>
      <c r="B181" s="950" t="str">
        <f t="shared" si="13"/>
        <v/>
      </c>
      <c r="F181" s="161"/>
      <c r="I181" s="847"/>
    </row>
    <row r="182">
      <c r="A182" s="265"/>
      <c r="B182" s="950" t="str">
        <f t="shared" si="13"/>
        <v/>
      </c>
      <c r="F182" s="161"/>
      <c r="I182" s="847"/>
    </row>
    <row r="183">
      <c r="A183" s="265"/>
      <c r="B183" s="950" t="str">
        <f t="shared" si="13"/>
        <v/>
      </c>
      <c r="F183" s="161"/>
      <c r="I183" s="847"/>
    </row>
    <row r="184">
      <c r="A184" s="265"/>
      <c r="B184" s="950" t="str">
        <f t="shared" si="13"/>
        <v/>
      </c>
      <c r="F184" s="852"/>
      <c r="I184" s="847"/>
    </row>
    <row r="185">
      <c r="A185" s="265"/>
      <c r="B185" s="950" t="str">
        <f t="shared" si="13"/>
        <v/>
      </c>
      <c r="F185" s="161"/>
      <c r="I185" s="847"/>
    </row>
    <row r="186">
      <c r="A186" s="265"/>
      <c r="B186" s="950" t="str">
        <f t="shared" si="13"/>
        <v/>
      </c>
      <c r="F186" s="161"/>
      <c r="I186" s="847"/>
    </row>
    <row r="187">
      <c r="A187" s="265"/>
      <c r="B187" s="950" t="str">
        <f t="shared" si="13"/>
        <v/>
      </c>
      <c r="F187" s="852"/>
      <c r="I187" s="847"/>
    </row>
    <row r="188">
      <c r="A188" s="265"/>
      <c r="B188" s="950" t="str">
        <f t="shared" si="13"/>
        <v/>
      </c>
      <c r="F188" s="161"/>
      <c r="I188" s="847"/>
    </row>
    <row r="189">
      <c r="A189" s="265"/>
      <c r="B189" s="950" t="str">
        <f t="shared" si="13"/>
        <v/>
      </c>
      <c r="F189" s="161"/>
      <c r="I189" s="847"/>
    </row>
    <row r="190">
      <c r="A190" s="265"/>
      <c r="B190" s="950" t="str">
        <f t="shared" si="13"/>
        <v/>
      </c>
      <c r="F190" s="161"/>
      <c r="I190" s="847"/>
    </row>
    <row r="191">
      <c r="A191" s="265"/>
      <c r="B191" s="950" t="str">
        <f t="shared" si="13"/>
        <v/>
      </c>
      <c r="F191" s="161"/>
      <c r="I191" s="847"/>
    </row>
    <row r="192">
      <c r="A192" s="270"/>
      <c r="B192" s="194">
        <f>SUM(B178:B191)</f>
        <v>2000</v>
      </c>
      <c r="C192" s="18"/>
      <c r="D192" s="18"/>
      <c r="E192" s="18"/>
      <c r="F192" s="952"/>
      <c r="G192" s="18"/>
      <c r="H192" s="18"/>
      <c r="I192" s="663"/>
    </row>
    <row r="193">
      <c r="A193" s="305">
        <v>43877.0</v>
      </c>
      <c r="B193" s="948" t="str">
        <f>F193</f>
        <v/>
      </c>
      <c r="C193" s="242"/>
      <c r="D193" s="242"/>
      <c r="E193" s="242"/>
      <c r="F193" s="949"/>
      <c r="G193" s="242"/>
      <c r="H193" s="244"/>
      <c r="I193" s="662"/>
    </row>
    <row r="194">
      <c r="A194" s="270"/>
      <c r="B194" s="194">
        <f>SUM(B193)</f>
        <v>0</v>
      </c>
      <c r="C194" s="18"/>
      <c r="D194" s="18"/>
      <c r="E194" s="18"/>
      <c r="F194" s="952"/>
      <c r="G194" s="18"/>
      <c r="H194" s="18"/>
      <c r="I194" s="663"/>
    </row>
    <row r="195">
      <c r="A195" s="305">
        <v>43878.0</v>
      </c>
      <c r="B195" s="948">
        <f t="shared" ref="B195:B208" si="14">F195</f>
        <v>245</v>
      </c>
      <c r="C195" s="242"/>
      <c r="D195" s="242"/>
      <c r="E195" s="242"/>
      <c r="F195" s="949">
        <v>245.0</v>
      </c>
      <c r="G195" s="244" t="s">
        <v>708</v>
      </c>
      <c r="H195" s="244"/>
      <c r="I195" s="662"/>
    </row>
    <row r="196">
      <c r="A196" s="265"/>
      <c r="B196" s="950">
        <f t="shared" si="14"/>
        <v>632.18</v>
      </c>
      <c r="F196" s="161">
        <v>632.18</v>
      </c>
      <c r="G196" s="2" t="s">
        <v>58</v>
      </c>
      <c r="I196" s="847"/>
    </row>
    <row r="197">
      <c r="A197" s="265"/>
      <c r="B197" s="950">
        <f t="shared" si="14"/>
        <v>2000</v>
      </c>
      <c r="F197" s="161">
        <v>2000.0</v>
      </c>
      <c r="G197" s="2" t="s">
        <v>3731</v>
      </c>
      <c r="I197" s="847"/>
    </row>
    <row r="198">
      <c r="A198" s="265"/>
      <c r="B198" s="950">
        <f t="shared" si="14"/>
        <v>390</v>
      </c>
      <c r="F198" s="161">
        <v>390.0</v>
      </c>
      <c r="G198" s="2" t="s">
        <v>4231</v>
      </c>
      <c r="I198" s="847"/>
    </row>
    <row r="199">
      <c r="A199" s="265"/>
      <c r="B199" s="950">
        <f t="shared" si="14"/>
        <v>3115</v>
      </c>
      <c r="F199" s="161">
        <v>3115.0</v>
      </c>
      <c r="G199" s="2" t="s">
        <v>4230</v>
      </c>
      <c r="I199" s="847"/>
    </row>
    <row r="200">
      <c r="A200" s="265"/>
      <c r="B200" s="950">
        <f t="shared" si="14"/>
        <v>4149.88</v>
      </c>
      <c r="F200" s="161">
        <v>4149.88</v>
      </c>
      <c r="G200" s="2" t="s">
        <v>2755</v>
      </c>
      <c r="I200" s="847"/>
    </row>
    <row r="201">
      <c r="A201" s="265"/>
      <c r="B201" s="950">
        <f t="shared" si="14"/>
        <v>1275</v>
      </c>
      <c r="F201" s="161">
        <v>1275.0</v>
      </c>
      <c r="G201" s="2" t="s">
        <v>4234</v>
      </c>
      <c r="I201" s="847"/>
    </row>
    <row r="202">
      <c r="A202" s="265"/>
      <c r="B202" s="950">
        <f t="shared" si="14"/>
        <v>490</v>
      </c>
      <c r="F202" s="161">
        <v>490.0</v>
      </c>
      <c r="G202" s="2" t="s">
        <v>4317</v>
      </c>
      <c r="I202" s="847"/>
    </row>
    <row r="203">
      <c r="A203" s="265"/>
      <c r="B203" s="950">
        <f t="shared" si="14"/>
        <v>97</v>
      </c>
      <c r="F203" s="161">
        <v>97.0</v>
      </c>
      <c r="G203" s="2" t="s">
        <v>3152</v>
      </c>
      <c r="I203" s="847"/>
    </row>
    <row r="204">
      <c r="A204" s="265"/>
      <c r="B204" s="950" t="str">
        <f t="shared" si="14"/>
        <v/>
      </c>
      <c r="F204" s="852"/>
      <c r="I204" s="847"/>
    </row>
    <row r="205">
      <c r="A205" s="265"/>
      <c r="B205" s="950" t="str">
        <f t="shared" si="14"/>
        <v/>
      </c>
      <c r="F205" s="161"/>
      <c r="I205" s="847"/>
    </row>
    <row r="206">
      <c r="A206" s="265"/>
      <c r="B206" s="950" t="str">
        <f t="shared" si="14"/>
        <v/>
      </c>
      <c r="F206" s="161"/>
      <c r="I206" s="847"/>
    </row>
    <row r="207">
      <c r="A207" s="265"/>
      <c r="B207" s="950" t="str">
        <f t="shared" si="14"/>
        <v/>
      </c>
      <c r="F207" s="161"/>
      <c r="I207" s="847"/>
    </row>
    <row r="208">
      <c r="A208" s="265"/>
      <c r="B208" s="950" t="str">
        <f t="shared" si="14"/>
        <v/>
      </c>
      <c r="F208" s="161"/>
      <c r="I208" s="847"/>
    </row>
    <row r="209">
      <c r="A209" s="270"/>
      <c r="B209" s="194">
        <f>SUM(B195:B208)</f>
        <v>12394.06</v>
      </c>
      <c r="C209" s="18"/>
      <c r="D209" s="18"/>
      <c r="E209" s="18"/>
      <c r="F209" s="952"/>
      <c r="G209" s="18"/>
      <c r="H209" s="18"/>
      <c r="I209" s="663"/>
    </row>
    <row r="210">
      <c r="A210" s="305">
        <v>43879.0</v>
      </c>
      <c r="B210" s="948">
        <f t="shared" ref="B210:B223" si="15">F210</f>
        <v>2280</v>
      </c>
      <c r="C210" s="242"/>
      <c r="D210" s="242"/>
      <c r="E210" s="242"/>
      <c r="F210" s="949">
        <v>2280.0</v>
      </c>
      <c r="G210" s="244" t="s">
        <v>2673</v>
      </c>
      <c r="H210" s="244"/>
      <c r="I210" s="662"/>
    </row>
    <row r="211">
      <c r="A211" s="265"/>
      <c r="B211" s="950">
        <f t="shared" si="15"/>
        <v>3000</v>
      </c>
      <c r="F211" s="161">
        <v>3000.0</v>
      </c>
      <c r="G211" s="2" t="s">
        <v>64</v>
      </c>
      <c r="I211" s="847"/>
    </row>
    <row r="212">
      <c r="A212" s="265"/>
      <c r="B212" s="950">
        <f t="shared" si="15"/>
        <v>63.1</v>
      </c>
      <c r="F212" s="161">
        <v>63.1</v>
      </c>
      <c r="G212" s="2" t="s">
        <v>314</v>
      </c>
      <c r="I212" s="847"/>
    </row>
    <row r="213">
      <c r="A213" s="265"/>
      <c r="B213" s="950">
        <f t="shared" si="15"/>
        <v>632.18</v>
      </c>
      <c r="F213" s="161">
        <v>632.18</v>
      </c>
      <c r="G213" s="2" t="s">
        <v>58</v>
      </c>
      <c r="I213" s="847"/>
    </row>
    <row r="214">
      <c r="A214" s="265"/>
      <c r="B214" s="950" t="str">
        <f t="shared" si="15"/>
        <v/>
      </c>
      <c r="C214" s="2">
        <v>7756.46</v>
      </c>
      <c r="F214" s="161"/>
      <c r="G214" s="2" t="s">
        <v>2637</v>
      </c>
      <c r="I214" s="847"/>
    </row>
    <row r="215">
      <c r="A215" s="265"/>
      <c r="B215" s="950">
        <f t="shared" si="15"/>
        <v>2194</v>
      </c>
      <c r="F215" s="161">
        <v>2194.0</v>
      </c>
      <c r="G215" s="2" t="s">
        <v>4230</v>
      </c>
      <c r="I215" s="847"/>
    </row>
    <row r="216">
      <c r="A216" s="265"/>
      <c r="B216" s="950" t="str">
        <f t="shared" si="15"/>
        <v/>
      </c>
      <c r="C216" s="2">
        <v>10469.72</v>
      </c>
      <c r="F216" s="852"/>
      <c r="G216" s="2" t="s">
        <v>4318</v>
      </c>
      <c r="I216" s="847"/>
    </row>
    <row r="217">
      <c r="A217" s="265"/>
      <c r="B217" s="950" t="str">
        <f t="shared" si="15"/>
        <v/>
      </c>
      <c r="D217" s="2">
        <v>3741.37</v>
      </c>
      <c r="F217" s="161"/>
      <c r="G217" s="2" t="s">
        <v>2285</v>
      </c>
      <c r="I217" s="847"/>
    </row>
    <row r="218">
      <c r="A218" s="265"/>
      <c r="B218" s="950">
        <f t="shared" si="15"/>
        <v>200</v>
      </c>
      <c r="F218" s="161">
        <v>200.0</v>
      </c>
      <c r="G218" s="2" t="s">
        <v>3421</v>
      </c>
      <c r="H218" s="942"/>
      <c r="I218" s="847"/>
    </row>
    <row r="219">
      <c r="A219" s="265"/>
      <c r="B219" s="950">
        <f t="shared" si="15"/>
        <v>160</v>
      </c>
      <c r="F219" s="161">
        <v>160.0</v>
      </c>
      <c r="G219" s="2" t="s">
        <v>1729</v>
      </c>
      <c r="I219" s="847"/>
    </row>
    <row r="220">
      <c r="A220" s="265"/>
      <c r="B220" s="950">
        <f t="shared" si="15"/>
        <v>500</v>
      </c>
      <c r="F220" s="161">
        <v>500.0</v>
      </c>
      <c r="G220" s="2" t="s">
        <v>3992</v>
      </c>
      <c r="H220" s="942"/>
      <c r="I220" s="847"/>
    </row>
    <row r="221">
      <c r="A221" s="265"/>
      <c r="B221" s="950" t="str">
        <f t="shared" si="15"/>
        <v/>
      </c>
      <c r="F221" s="161"/>
      <c r="I221" s="847"/>
    </row>
    <row r="222">
      <c r="A222" s="265"/>
      <c r="B222" s="950" t="str">
        <f t="shared" si="15"/>
        <v/>
      </c>
      <c r="F222" s="161"/>
      <c r="I222" s="847"/>
    </row>
    <row r="223">
      <c r="A223" s="265"/>
      <c r="B223" s="950" t="str">
        <f t="shared" si="15"/>
        <v/>
      </c>
      <c r="F223" s="161"/>
      <c r="I223" s="847"/>
    </row>
    <row r="224">
      <c r="A224" s="270"/>
      <c r="B224" s="194">
        <f>SUM(B210:B223)</f>
        <v>9029.28</v>
      </c>
      <c r="C224" s="18"/>
      <c r="D224" s="18"/>
      <c r="E224" s="18"/>
      <c r="F224" s="952"/>
      <c r="G224" s="18"/>
      <c r="H224" s="18"/>
      <c r="I224" s="663"/>
    </row>
    <row r="225">
      <c r="A225" s="305">
        <v>43880.0</v>
      </c>
      <c r="B225" s="948">
        <f t="shared" ref="B225:B238" si="16">F225</f>
        <v>1530</v>
      </c>
      <c r="C225" s="242"/>
      <c r="D225" s="242"/>
      <c r="E225" s="242"/>
      <c r="F225" s="949">
        <v>1530.0</v>
      </c>
      <c r="G225" s="244" t="s">
        <v>4234</v>
      </c>
      <c r="H225" s="244"/>
      <c r="I225" s="662"/>
    </row>
    <row r="226">
      <c r="A226" s="265"/>
      <c r="B226" s="950">
        <f t="shared" si="16"/>
        <v>1264.35</v>
      </c>
      <c r="F226" s="161">
        <v>1264.35</v>
      </c>
      <c r="G226" s="2" t="s">
        <v>58</v>
      </c>
      <c r="I226" s="847"/>
    </row>
    <row r="227">
      <c r="A227" s="265"/>
      <c r="B227" s="950">
        <f t="shared" si="16"/>
        <v>2000</v>
      </c>
      <c r="F227" s="161">
        <v>2000.0</v>
      </c>
      <c r="G227" s="2" t="s">
        <v>3731</v>
      </c>
      <c r="I227" s="847"/>
    </row>
    <row r="228">
      <c r="A228" s="265"/>
      <c r="B228" s="950">
        <f t="shared" si="16"/>
        <v>3035</v>
      </c>
      <c r="F228" s="161">
        <v>3035.0</v>
      </c>
      <c r="G228" s="2" t="s">
        <v>4230</v>
      </c>
      <c r="I228" s="847"/>
    </row>
    <row r="229">
      <c r="A229" s="265"/>
      <c r="B229" s="950" t="str">
        <f t="shared" si="16"/>
        <v/>
      </c>
      <c r="D229" s="2">
        <v>1529.59</v>
      </c>
      <c r="F229" s="161"/>
      <c r="G229" s="2" t="s">
        <v>2284</v>
      </c>
      <c r="I229" s="847"/>
    </row>
    <row r="230">
      <c r="A230" s="265"/>
      <c r="B230" s="950" t="str">
        <f t="shared" si="16"/>
        <v/>
      </c>
      <c r="D230" s="2">
        <v>4881.15</v>
      </c>
      <c r="F230" s="161"/>
      <c r="G230" s="2" t="s">
        <v>4239</v>
      </c>
      <c r="I230" s="847"/>
    </row>
    <row r="231">
      <c r="A231" s="265"/>
      <c r="B231" s="950" t="str">
        <f t="shared" si="16"/>
        <v/>
      </c>
      <c r="D231" s="2">
        <v>30000.0</v>
      </c>
      <c r="F231" s="852"/>
      <c r="G231" s="2" t="s">
        <v>3033</v>
      </c>
      <c r="H231" s="942"/>
      <c r="I231" s="847"/>
    </row>
    <row r="232">
      <c r="A232" s="265"/>
      <c r="B232" s="950">
        <f t="shared" si="16"/>
        <v>490</v>
      </c>
      <c r="F232" s="161">
        <v>490.0</v>
      </c>
      <c r="G232" s="2" t="s">
        <v>314</v>
      </c>
      <c r="I232" s="847"/>
    </row>
    <row r="233">
      <c r="A233" s="265"/>
      <c r="B233" s="950">
        <f t="shared" si="16"/>
        <v>5520</v>
      </c>
      <c r="F233" s="161">
        <v>5520.0</v>
      </c>
      <c r="G233" s="2" t="s">
        <v>4153</v>
      </c>
      <c r="H233" s="942"/>
      <c r="I233" s="847"/>
    </row>
    <row r="234">
      <c r="A234" s="265"/>
      <c r="B234" s="950">
        <f t="shared" si="16"/>
        <v>5750</v>
      </c>
      <c r="F234" s="161">
        <v>5750.0</v>
      </c>
      <c r="G234" s="2" t="s">
        <v>4062</v>
      </c>
      <c r="H234" s="942"/>
      <c r="I234" s="847"/>
    </row>
    <row r="235">
      <c r="A235" s="265"/>
      <c r="B235" s="950" t="str">
        <f t="shared" si="16"/>
        <v/>
      </c>
      <c r="F235" s="161"/>
      <c r="I235" s="847"/>
    </row>
    <row r="236">
      <c r="A236" s="265"/>
      <c r="B236" s="950" t="str">
        <f t="shared" si="16"/>
        <v/>
      </c>
      <c r="F236" s="161"/>
      <c r="I236" s="847"/>
    </row>
    <row r="237">
      <c r="A237" s="265"/>
      <c r="B237" s="950" t="str">
        <f t="shared" si="16"/>
        <v/>
      </c>
      <c r="F237" s="161"/>
      <c r="I237" s="847"/>
    </row>
    <row r="238">
      <c r="A238" s="265"/>
      <c r="B238" s="950" t="str">
        <f t="shared" si="16"/>
        <v/>
      </c>
      <c r="F238" s="161"/>
      <c r="I238" s="847"/>
    </row>
    <row r="239">
      <c r="A239" s="270"/>
      <c r="B239" s="194">
        <f>SUM(B225:B238)</f>
        <v>19589.35</v>
      </c>
      <c r="C239" s="18"/>
      <c r="D239" s="18"/>
      <c r="E239" s="18"/>
      <c r="F239" s="952"/>
      <c r="G239" s="18"/>
      <c r="H239" s="18"/>
      <c r="I239" s="663"/>
    </row>
    <row r="240">
      <c r="A240" s="305">
        <v>43881.0</v>
      </c>
      <c r="B240" s="948">
        <f t="shared" ref="B240:B253" si="17">F240</f>
        <v>93</v>
      </c>
      <c r="C240" s="242"/>
      <c r="D240" s="242"/>
      <c r="E240" s="242"/>
      <c r="F240" s="949">
        <v>93.0</v>
      </c>
      <c r="G240" s="244" t="s">
        <v>314</v>
      </c>
      <c r="H240" s="244"/>
      <c r="I240" s="662"/>
    </row>
    <row r="241">
      <c r="A241" s="265"/>
      <c r="B241" s="950">
        <f t="shared" si="17"/>
        <v>2675</v>
      </c>
      <c r="F241" s="161">
        <v>2675.0</v>
      </c>
      <c r="G241" s="2" t="s">
        <v>4234</v>
      </c>
      <c r="I241" s="847"/>
    </row>
    <row r="242">
      <c r="A242" s="265"/>
      <c r="B242" s="950">
        <f t="shared" si="17"/>
        <v>1048</v>
      </c>
      <c r="F242" s="161">
        <v>1048.0</v>
      </c>
      <c r="G242" s="2" t="s">
        <v>4230</v>
      </c>
      <c r="I242" s="847"/>
    </row>
    <row r="243">
      <c r="A243" s="265"/>
      <c r="B243" s="950">
        <f t="shared" si="17"/>
        <v>8050</v>
      </c>
      <c r="F243" s="161">
        <v>8050.0</v>
      </c>
      <c r="G243" s="2" t="s">
        <v>4154</v>
      </c>
      <c r="H243" s="942"/>
      <c r="I243" s="847"/>
    </row>
    <row r="244">
      <c r="A244" s="265"/>
      <c r="B244" s="950">
        <f t="shared" si="17"/>
        <v>5520</v>
      </c>
      <c r="F244" s="161">
        <v>5520.0</v>
      </c>
      <c r="G244" s="2" t="s">
        <v>4063</v>
      </c>
      <c r="H244" s="942"/>
      <c r="I244" s="847"/>
    </row>
    <row r="245">
      <c r="A245" s="265"/>
      <c r="B245" s="950">
        <f t="shared" si="17"/>
        <v>189</v>
      </c>
      <c r="F245" s="161">
        <v>189.0</v>
      </c>
      <c r="G245" s="2" t="s">
        <v>4319</v>
      </c>
      <c r="I245" s="847"/>
    </row>
    <row r="246">
      <c r="A246" s="265"/>
      <c r="B246" s="950">
        <f t="shared" si="17"/>
        <v>3530</v>
      </c>
      <c r="F246" s="161">
        <v>3530.0</v>
      </c>
      <c r="G246" s="2" t="s">
        <v>3784</v>
      </c>
      <c r="I246" s="847"/>
    </row>
    <row r="247">
      <c r="A247" s="265"/>
      <c r="B247" s="950">
        <f t="shared" si="17"/>
        <v>4500</v>
      </c>
      <c r="F247" s="161">
        <v>4500.0</v>
      </c>
      <c r="G247" s="2" t="s">
        <v>4262</v>
      </c>
      <c r="H247" s="942"/>
      <c r="I247" s="847"/>
    </row>
    <row r="248">
      <c r="A248" s="265"/>
      <c r="B248" s="950" t="str">
        <f t="shared" si="17"/>
        <v/>
      </c>
      <c r="F248" s="161"/>
      <c r="I248" s="847"/>
    </row>
    <row r="249">
      <c r="A249" s="265"/>
      <c r="B249" s="950" t="str">
        <f t="shared" si="17"/>
        <v/>
      </c>
      <c r="F249" s="852"/>
      <c r="I249" s="847"/>
    </row>
    <row r="250">
      <c r="A250" s="265"/>
      <c r="B250" s="950" t="str">
        <f t="shared" si="17"/>
        <v/>
      </c>
      <c r="F250" s="161"/>
      <c r="I250" s="847"/>
    </row>
    <row r="251">
      <c r="A251" s="265"/>
      <c r="B251" s="950" t="str">
        <f t="shared" si="17"/>
        <v/>
      </c>
      <c r="F251" s="161"/>
      <c r="I251" s="847"/>
    </row>
    <row r="252">
      <c r="A252" s="265"/>
      <c r="B252" s="950" t="str">
        <f t="shared" si="17"/>
        <v/>
      </c>
      <c r="F252" s="161"/>
      <c r="I252" s="847"/>
    </row>
    <row r="253">
      <c r="A253" s="265"/>
      <c r="B253" s="950" t="str">
        <f t="shared" si="17"/>
        <v/>
      </c>
      <c r="F253" s="161"/>
      <c r="I253" s="847"/>
    </row>
    <row r="254">
      <c r="A254" s="270"/>
      <c r="B254" s="194">
        <f>SUM(B240:B253)</f>
        <v>25605</v>
      </c>
      <c r="C254" s="18"/>
      <c r="D254" s="18"/>
      <c r="E254" s="18"/>
      <c r="F254" s="952"/>
      <c r="G254" s="18"/>
      <c r="H254" s="18"/>
      <c r="I254" s="663"/>
    </row>
    <row r="255">
      <c r="A255" s="305">
        <v>43882.0</v>
      </c>
      <c r="B255" s="948">
        <f t="shared" ref="B255:B268" si="18">F255</f>
        <v>170</v>
      </c>
      <c r="C255" s="242"/>
      <c r="D255" s="242"/>
      <c r="E255" s="242"/>
      <c r="F255" s="949">
        <v>170.0</v>
      </c>
      <c r="G255" s="244" t="s">
        <v>4320</v>
      </c>
      <c r="H255" s="244"/>
      <c r="I255" s="662"/>
    </row>
    <row r="256">
      <c r="A256" s="265"/>
      <c r="B256" s="950">
        <f t="shared" si="18"/>
        <v>1264</v>
      </c>
      <c r="F256" s="161">
        <v>1264.0</v>
      </c>
      <c r="G256" s="2" t="s">
        <v>82</v>
      </c>
      <c r="I256" s="847"/>
    </row>
    <row r="257">
      <c r="A257" s="265"/>
      <c r="B257" s="950">
        <f t="shared" si="18"/>
        <v>353.64</v>
      </c>
      <c r="F257" s="161">
        <v>353.64</v>
      </c>
      <c r="G257" s="2" t="s">
        <v>708</v>
      </c>
      <c r="I257" s="847"/>
    </row>
    <row r="258">
      <c r="A258" s="265"/>
      <c r="B258" s="950">
        <f t="shared" si="18"/>
        <v>2130</v>
      </c>
      <c r="F258" s="161">
        <v>2130.0</v>
      </c>
      <c r="G258" s="2" t="s">
        <v>4255</v>
      </c>
      <c r="I258" s="847"/>
    </row>
    <row r="259">
      <c r="A259" s="265"/>
      <c r="B259" s="950" t="str">
        <f t="shared" si="18"/>
        <v/>
      </c>
      <c r="D259" s="2">
        <v>18150.0</v>
      </c>
      <c r="F259" s="161"/>
      <c r="G259" s="2" t="s">
        <v>4321</v>
      </c>
      <c r="I259" s="847"/>
    </row>
    <row r="260">
      <c r="A260" s="265"/>
      <c r="B260" s="950">
        <f t="shared" si="18"/>
        <v>5320</v>
      </c>
      <c r="F260" s="161">
        <v>5320.0</v>
      </c>
      <c r="G260" s="2" t="s">
        <v>4032</v>
      </c>
      <c r="H260" s="942"/>
      <c r="I260" s="847"/>
    </row>
    <row r="261">
      <c r="A261" s="265"/>
      <c r="B261" s="950" t="str">
        <f t="shared" si="18"/>
        <v/>
      </c>
      <c r="D261" s="2">
        <v>2562.29</v>
      </c>
      <c r="F261" s="852"/>
      <c r="G261" s="2" t="s">
        <v>4322</v>
      </c>
      <c r="I261" s="847"/>
    </row>
    <row r="262">
      <c r="A262" s="265"/>
      <c r="B262" s="950" t="str">
        <f t="shared" si="18"/>
        <v/>
      </c>
      <c r="F262" s="161"/>
      <c r="I262" s="847"/>
    </row>
    <row r="263">
      <c r="A263" s="265"/>
      <c r="B263" s="950" t="str">
        <f t="shared" si="18"/>
        <v/>
      </c>
      <c r="F263" s="161"/>
      <c r="I263" s="847"/>
    </row>
    <row r="264">
      <c r="A264" s="265"/>
      <c r="B264" s="950" t="str">
        <f t="shared" si="18"/>
        <v/>
      </c>
      <c r="F264" s="852"/>
      <c r="I264" s="847"/>
    </row>
    <row r="265">
      <c r="A265" s="265"/>
      <c r="B265" s="950" t="str">
        <f t="shared" si="18"/>
        <v/>
      </c>
      <c r="F265" s="161"/>
      <c r="I265" s="847"/>
    </row>
    <row r="266">
      <c r="A266" s="265"/>
      <c r="B266" s="950" t="str">
        <f t="shared" si="18"/>
        <v/>
      </c>
      <c r="F266" s="161"/>
      <c r="I266" s="847"/>
    </row>
    <row r="267">
      <c r="A267" s="265"/>
      <c r="B267" s="950" t="str">
        <f t="shared" si="18"/>
        <v/>
      </c>
      <c r="F267" s="161"/>
      <c r="I267" s="847"/>
    </row>
    <row r="268">
      <c r="A268" s="265"/>
      <c r="B268" s="950" t="str">
        <f t="shared" si="18"/>
        <v/>
      </c>
      <c r="F268" s="161"/>
      <c r="I268" s="847"/>
    </row>
    <row r="269">
      <c r="A269" s="270"/>
      <c r="B269" s="194">
        <f>SUM(B255:B268)</f>
        <v>9237.64</v>
      </c>
      <c r="C269" s="18"/>
      <c r="D269" s="18"/>
      <c r="E269" s="18"/>
      <c r="F269" s="952"/>
      <c r="G269" s="18"/>
      <c r="H269" s="18"/>
      <c r="I269" s="663"/>
    </row>
    <row r="270">
      <c r="A270" s="305">
        <v>43883.0</v>
      </c>
      <c r="B270" s="984" t="str">
        <f>F270</f>
        <v/>
      </c>
      <c r="C270" s="242"/>
      <c r="D270" s="242"/>
      <c r="E270" s="242"/>
      <c r="F270" s="955"/>
      <c r="G270" s="242"/>
      <c r="H270" s="244"/>
      <c r="I270" s="662"/>
    </row>
    <row r="271">
      <c r="A271" s="270"/>
      <c r="B271" s="985">
        <f>SUM(B270)</f>
        <v>0</v>
      </c>
      <c r="C271" s="18"/>
      <c r="D271" s="18"/>
      <c r="E271" s="18"/>
      <c r="F271" s="986"/>
      <c r="G271" s="18"/>
      <c r="H271" s="18"/>
      <c r="I271" s="663"/>
    </row>
    <row r="272">
      <c r="A272" s="305">
        <v>43884.0</v>
      </c>
      <c r="B272" s="984" t="str">
        <f>F272</f>
        <v/>
      </c>
      <c r="C272" s="242"/>
      <c r="D272" s="242"/>
      <c r="E272" s="242"/>
      <c r="F272" s="955"/>
      <c r="G272" s="242"/>
      <c r="H272" s="244"/>
      <c r="I272" s="662"/>
    </row>
    <row r="273">
      <c r="A273" s="270"/>
      <c r="B273" s="985">
        <f>SUM(B272)</f>
        <v>0</v>
      </c>
      <c r="C273" s="18"/>
      <c r="D273" s="18"/>
      <c r="E273" s="18"/>
      <c r="F273" s="986"/>
      <c r="G273" s="18"/>
      <c r="H273" s="18"/>
      <c r="I273" s="663"/>
    </row>
    <row r="274">
      <c r="A274" s="305">
        <v>43885.0</v>
      </c>
      <c r="B274" s="984" t="str">
        <f>F274</f>
        <v/>
      </c>
      <c r="C274" s="242"/>
      <c r="D274" s="242"/>
      <c r="E274" s="242"/>
      <c r="F274" s="955"/>
      <c r="G274" s="242"/>
      <c r="H274" s="244"/>
      <c r="I274" s="662"/>
    </row>
    <row r="275">
      <c r="A275" s="270"/>
      <c r="B275" s="985">
        <f>SUM(B274)</f>
        <v>0</v>
      </c>
      <c r="C275" s="18"/>
      <c r="D275" s="18"/>
      <c r="E275" s="18"/>
      <c r="F275" s="986"/>
      <c r="G275" s="18"/>
      <c r="H275" s="18"/>
      <c r="I275" s="663"/>
    </row>
    <row r="276">
      <c r="A276" s="305">
        <v>43886.0</v>
      </c>
      <c r="B276" s="984" t="str">
        <f>F276</f>
        <v/>
      </c>
      <c r="C276" s="242"/>
      <c r="D276" s="242"/>
      <c r="E276" s="242"/>
      <c r="F276" s="955"/>
      <c r="G276" s="242"/>
      <c r="H276" s="244"/>
      <c r="I276" s="662"/>
    </row>
    <row r="277">
      <c r="A277" s="270"/>
      <c r="B277" s="985">
        <f>SUM(B276)</f>
        <v>0</v>
      </c>
      <c r="C277" s="18"/>
      <c r="D277" s="18"/>
      <c r="E277" s="18"/>
      <c r="F277" s="986"/>
      <c r="G277" s="18"/>
      <c r="H277" s="18"/>
      <c r="I277" s="663"/>
    </row>
    <row r="278">
      <c r="A278" s="305">
        <v>43887.0</v>
      </c>
      <c r="B278" s="948">
        <f t="shared" ref="B278:B294" si="19">F278</f>
        <v>160</v>
      </c>
      <c r="C278" s="242"/>
      <c r="D278" s="242"/>
      <c r="E278" s="242"/>
      <c r="F278" s="949">
        <v>160.0</v>
      </c>
      <c r="G278" s="244" t="s">
        <v>345</v>
      </c>
      <c r="H278" s="244"/>
      <c r="I278" s="662"/>
    </row>
    <row r="279">
      <c r="A279" s="265"/>
      <c r="B279" s="950">
        <f t="shared" si="19"/>
        <v>2100</v>
      </c>
      <c r="F279" s="161">
        <v>2100.0</v>
      </c>
      <c r="G279" s="2" t="s">
        <v>3731</v>
      </c>
      <c r="I279" s="847"/>
    </row>
    <row r="280">
      <c r="A280" s="265"/>
      <c r="B280" s="950" t="str">
        <f t="shared" si="19"/>
        <v/>
      </c>
      <c r="C280" s="2">
        <v>10332.18</v>
      </c>
      <c r="F280" s="161"/>
      <c r="G280" s="2" t="s">
        <v>2637</v>
      </c>
      <c r="I280" s="847"/>
    </row>
    <row r="281">
      <c r="A281" s="265"/>
      <c r="B281" s="950">
        <f t="shared" si="19"/>
        <v>4616</v>
      </c>
      <c r="F281" s="161">
        <v>4616.0</v>
      </c>
      <c r="G281" s="2" t="s">
        <v>4234</v>
      </c>
      <c r="I281" s="847"/>
    </row>
    <row r="282">
      <c r="A282" s="265"/>
      <c r="B282" s="950">
        <f t="shared" si="19"/>
        <v>2130</v>
      </c>
      <c r="F282" s="161">
        <v>2130.0</v>
      </c>
      <c r="G282" s="2" t="s">
        <v>4230</v>
      </c>
      <c r="I282" s="847"/>
    </row>
    <row r="283">
      <c r="A283" s="265"/>
      <c r="B283" s="950">
        <f t="shared" si="19"/>
        <v>1264.35</v>
      </c>
      <c r="F283" s="161">
        <v>1264.35</v>
      </c>
      <c r="G283" s="2" t="s">
        <v>58</v>
      </c>
      <c r="I283" s="847"/>
    </row>
    <row r="284">
      <c r="A284" s="265"/>
      <c r="B284" s="950">
        <f t="shared" si="19"/>
        <v>300</v>
      </c>
      <c r="F284" s="161">
        <v>300.0</v>
      </c>
      <c r="G284" s="2" t="s">
        <v>4231</v>
      </c>
      <c r="I284" s="847"/>
    </row>
    <row r="285">
      <c r="A285" s="265"/>
      <c r="B285" s="950" t="str">
        <f t="shared" si="19"/>
        <v/>
      </c>
      <c r="D285" s="2">
        <v>25000.0</v>
      </c>
      <c r="F285" s="161"/>
      <c r="G285" s="2" t="s">
        <v>3033</v>
      </c>
      <c r="I285" s="847"/>
    </row>
    <row r="286">
      <c r="A286" s="265"/>
      <c r="B286" s="950">
        <f t="shared" si="19"/>
        <v>700</v>
      </c>
      <c r="F286" s="161">
        <v>700.0</v>
      </c>
      <c r="G286" s="2" t="s">
        <v>3437</v>
      </c>
      <c r="H286" s="942"/>
      <c r="I286" s="847"/>
    </row>
    <row r="287">
      <c r="A287" s="265"/>
      <c r="B287" s="950" t="str">
        <f t="shared" si="19"/>
        <v/>
      </c>
      <c r="D287" s="2">
        <v>13900.0</v>
      </c>
      <c r="F287" s="852"/>
      <c r="G287" s="2" t="s">
        <v>4096</v>
      </c>
      <c r="I287" s="847"/>
    </row>
    <row r="288">
      <c r="A288" s="265"/>
      <c r="B288" s="950" t="str">
        <f t="shared" si="19"/>
        <v/>
      </c>
      <c r="D288" s="2">
        <v>2260.0</v>
      </c>
      <c r="F288" s="161"/>
      <c r="G288" s="2" t="s">
        <v>4323</v>
      </c>
      <c r="I288" s="847"/>
    </row>
    <row r="289">
      <c r="A289" s="265"/>
      <c r="B289" s="950" t="str">
        <f t="shared" si="19"/>
        <v/>
      </c>
      <c r="D289" s="2">
        <v>3770.0</v>
      </c>
      <c r="F289" s="161"/>
      <c r="G289" s="2" t="s">
        <v>2167</v>
      </c>
      <c r="I289" s="847"/>
    </row>
    <row r="290">
      <c r="A290" s="265"/>
      <c r="B290" s="950">
        <f t="shared" si="19"/>
        <v>200</v>
      </c>
      <c r="F290" s="161">
        <v>200.0</v>
      </c>
      <c r="G290" s="2" t="s">
        <v>4324</v>
      </c>
      <c r="H290" s="942"/>
      <c r="I290" s="847"/>
    </row>
    <row r="291">
      <c r="A291" s="265"/>
      <c r="B291" s="950">
        <f t="shared" si="19"/>
        <v>500</v>
      </c>
      <c r="F291" s="161">
        <v>500.0</v>
      </c>
      <c r="G291" s="2" t="s">
        <v>3893</v>
      </c>
      <c r="H291" s="942"/>
      <c r="I291" s="847"/>
    </row>
    <row r="292">
      <c r="A292" s="265"/>
      <c r="B292" s="950">
        <f t="shared" si="19"/>
        <v>500</v>
      </c>
      <c r="F292" s="161">
        <v>500.0</v>
      </c>
      <c r="G292" s="2" t="s">
        <v>4240</v>
      </c>
      <c r="H292" s="942"/>
      <c r="I292" s="847"/>
    </row>
    <row r="293">
      <c r="A293" s="265"/>
      <c r="B293" s="950">
        <f t="shared" si="19"/>
        <v>500</v>
      </c>
      <c r="F293" s="161">
        <v>500.0</v>
      </c>
      <c r="G293" s="2" t="s">
        <v>4325</v>
      </c>
      <c r="H293" s="942"/>
      <c r="I293" s="847"/>
    </row>
    <row r="294">
      <c r="A294" s="265"/>
      <c r="B294" s="950">
        <f t="shared" si="19"/>
        <v>200</v>
      </c>
      <c r="F294" s="161">
        <v>200.0</v>
      </c>
      <c r="G294" s="2" t="s">
        <v>4326</v>
      </c>
      <c r="H294" s="942"/>
      <c r="I294" s="847"/>
    </row>
    <row r="295">
      <c r="A295" s="270"/>
      <c r="B295" s="194">
        <f>SUM(B278:B294)</f>
        <v>13170.35</v>
      </c>
      <c r="C295" s="18"/>
      <c r="D295" s="18"/>
      <c r="E295" s="18"/>
      <c r="F295" s="968" t="s">
        <v>1385</v>
      </c>
      <c r="G295" s="18"/>
      <c r="H295" s="18"/>
      <c r="I295" s="663"/>
    </row>
    <row r="296">
      <c r="A296" s="305">
        <v>43888.0</v>
      </c>
      <c r="B296" s="948">
        <f t="shared" ref="B296:B309" si="20">F296</f>
        <v>3150</v>
      </c>
      <c r="C296" s="242"/>
      <c r="D296" s="242"/>
      <c r="E296" s="242"/>
      <c r="F296" s="949">
        <v>3150.0</v>
      </c>
      <c r="G296" s="244" t="s">
        <v>4327</v>
      </c>
      <c r="H296" s="244"/>
      <c r="I296" s="662"/>
    </row>
    <row r="297">
      <c r="A297" s="265"/>
      <c r="B297" s="950">
        <f t="shared" si="20"/>
        <v>1300</v>
      </c>
      <c r="F297" s="161">
        <v>1300.0</v>
      </c>
      <c r="G297" s="2" t="s">
        <v>4328</v>
      </c>
      <c r="I297" s="847"/>
    </row>
    <row r="298">
      <c r="A298" s="265"/>
      <c r="B298" s="950">
        <f t="shared" si="20"/>
        <v>3500</v>
      </c>
      <c r="F298" s="161">
        <v>3500.0</v>
      </c>
      <c r="G298" s="2" t="s">
        <v>4329</v>
      </c>
      <c r="I298" s="847"/>
    </row>
    <row r="299">
      <c r="A299" s="265"/>
      <c r="B299" s="950" t="str">
        <f t="shared" si="20"/>
        <v/>
      </c>
      <c r="C299" s="2">
        <v>7280.03</v>
      </c>
      <c r="F299" s="161"/>
      <c r="G299" s="2" t="s">
        <v>2637</v>
      </c>
      <c r="I299" s="847"/>
    </row>
    <row r="300">
      <c r="A300" s="265"/>
      <c r="B300" s="950">
        <f t="shared" si="20"/>
        <v>3683.71</v>
      </c>
      <c r="F300" s="161">
        <v>3683.71</v>
      </c>
      <c r="G300" s="2" t="s">
        <v>2748</v>
      </c>
      <c r="I300" s="847"/>
    </row>
    <row r="301">
      <c r="A301" s="265"/>
      <c r="B301" s="950">
        <f t="shared" si="20"/>
        <v>490</v>
      </c>
      <c r="F301" s="161">
        <v>490.0</v>
      </c>
      <c r="G301" s="2" t="s">
        <v>4090</v>
      </c>
      <c r="I301" s="847"/>
    </row>
    <row r="302">
      <c r="A302" s="265"/>
      <c r="B302" s="950">
        <f t="shared" si="20"/>
        <v>2000</v>
      </c>
      <c r="F302" s="161">
        <v>2000.0</v>
      </c>
      <c r="G302" s="2" t="s">
        <v>3421</v>
      </c>
      <c r="H302" s="942"/>
      <c r="I302" s="847"/>
    </row>
    <row r="303">
      <c r="A303" s="265"/>
      <c r="B303" s="950" t="str">
        <f t="shared" si="20"/>
        <v/>
      </c>
      <c r="D303" s="2">
        <v>30199.0</v>
      </c>
      <c r="F303" s="161"/>
      <c r="G303" s="2" t="s">
        <v>4330</v>
      </c>
      <c r="I303" s="847"/>
    </row>
    <row r="304">
      <c r="A304" s="265"/>
      <c r="B304" s="950" t="str">
        <f t="shared" si="20"/>
        <v/>
      </c>
      <c r="F304" s="161"/>
      <c r="I304" s="847"/>
    </row>
    <row r="305">
      <c r="A305" s="265"/>
      <c r="B305" s="950" t="str">
        <f t="shared" si="20"/>
        <v/>
      </c>
      <c r="F305" s="852"/>
      <c r="I305" s="847"/>
    </row>
    <row r="306">
      <c r="A306" s="265"/>
      <c r="B306" s="950" t="str">
        <f t="shared" si="20"/>
        <v/>
      </c>
      <c r="F306" s="161"/>
      <c r="I306" s="847"/>
    </row>
    <row r="307">
      <c r="A307" s="265"/>
      <c r="B307" s="950" t="str">
        <f t="shared" si="20"/>
        <v/>
      </c>
      <c r="F307" s="161"/>
      <c r="I307" s="847"/>
    </row>
    <row r="308">
      <c r="A308" s="265"/>
      <c r="B308" s="950" t="str">
        <f t="shared" si="20"/>
        <v/>
      </c>
      <c r="F308" s="161"/>
      <c r="I308" s="847"/>
    </row>
    <row r="309">
      <c r="A309" s="265"/>
      <c r="B309" s="950" t="str">
        <f t="shared" si="20"/>
        <v/>
      </c>
      <c r="F309" s="161"/>
      <c r="I309" s="847"/>
    </row>
    <row r="310">
      <c r="A310" s="270"/>
      <c r="B310" s="194">
        <f>SUM(B296:B309)</f>
        <v>14123.71</v>
      </c>
      <c r="C310" s="18"/>
      <c r="D310" s="18"/>
      <c r="E310" s="18"/>
      <c r="F310" s="952"/>
      <c r="G310" s="18"/>
      <c r="H310" s="18"/>
      <c r="I310" s="663"/>
    </row>
    <row r="311">
      <c r="A311" s="305">
        <v>43889.0</v>
      </c>
      <c r="B311" s="948">
        <f t="shared" ref="B311:B324" si="21">F311</f>
        <v>419.1</v>
      </c>
      <c r="C311" s="242"/>
      <c r="D311" s="242"/>
      <c r="E311" s="242"/>
      <c r="F311" s="949">
        <v>419.1</v>
      </c>
      <c r="G311" s="244" t="s">
        <v>314</v>
      </c>
      <c r="H311" s="244"/>
      <c r="I311" s="662"/>
    </row>
    <row r="312">
      <c r="A312" s="265"/>
      <c r="B312" s="950">
        <f t="shared" si="21"/>
        <v>2100</v>
      </c>
      <c r="F312" s="161">
        <v>2100.0</v>
      </c>
      <c r="G312" s="2" t="s">
        <v>3904</v>
      </c>
      <c r="I312" s="847"/>
    </row>
    <row r="313">
      <c r="A313" s="265"/>
      <c r="B313" s="950">
        <f t="shared" si="21"/>
        <v>1264.35</v>
      </c>
      <c r="F313" s="161">
        <v>1264.35</v>
      </c>
      <c r="G313" s="2" t="s">
        <v>3821</v>
      </c>
      <c r="I313" s="847"/>
    </row>
    <row r="314">
      <c r="A314" s="265"/>
      <c r="B314" s="950">
        <f t="shared" si="21"/>
        <v>7984.06</v>
      </c>
      <c r="F314" s="161">
        <v>7984.06</v>
      </c>
      <c r="G314" s="2" t="s">
        <v>3329</v>
      </c>
      <c r="I314" s="847"/>
    </row>
    <row r="315">
      <c r="A315" s="265"/>
      <c r="B315" s="950">
        <f t="shared" si="21"/>
        <v>2610</v>
      </c>
      <c r="F315" s="161">
        <v>2610.0</v>
      </c>
      <c r="G315" s="2" t="s">
        <v>4331</v>
      </c>
      <c r="I315" s="847"/>
    </row>
    <row r="316">
      <c r="A316" s="265"/>
      <c r="B316" s="950">
        <f t="shared" si="21"/>
        <v>797</v>
      </c>
      <c r="F316" s="161">
        <v>797.0</v>
      </c>
      <c r="G316" s="2" t="s">
        <v>4268</v>
      </c>
      <c r="I316" s="847"/>
    </row>
    <row r="317">
      <c r="A317" s="265"/>
      <c r="B317" s="950">
        <f t="shared" si="21"/>
        <v>4550</v>
      </c>
      <c r="F317" s="161">
        <v>4550.0</v>
      </c>
      <c r="G317" s="2" t="s">
        <v>4332</v>
      </c>
      <c r="H317" s="942"/>
      <c r="I317" s="847"/>
    </row>
    <row r="318">
      <c r="A318" s="265"/>
      <c r="B318" s="950">
        <f t="shared" si="21"/>
        <v>1000</v>
      </c>
      <c r="F318" s="161">
        <v>1000.0</v>
      </c>
      <c r="G318" s="2" t="s">
        <v>4333</v>
      </c>
      <c r="H318" s="942"/>
      <c r="I318" s="847"/>
    </row>
    <row r="319">
      <c r="A319" s="265"/>
      <c r="B319" s="950">
        <f t="shared" si="21"/>
        <v>4500</v>
      </c>
      <c r="F319" s="161">
        <v>4500.0</v>
      </c>
      <c r="G319" s="2" t="s">
        <v>4061</v>
      </c>
      <c r="H319" s="942"/>
      <c r="I319" s="847"/>
    </row>
    <row r="320">
      <c r="A320" s="265"/>
      <c r="B320" s="950">
        <f t="shared" si="21"/>
        <v>5020</v>
      </c>
      <c r="F320" s="161">
        <v>5020.0</v>
      </c>
      <c r="G320" s="2" t="s">
        <v>4334</v>
      </c>
      <c r="H320" s="942"/>
      <c r="I320" s="847"/>
    </row>
    <row r="321">
      <c r="A321" s="265"/>
      <c r="B321" s="950">
        <f t="shared" si="21"/>
        <v>5320</v>
      </c>
      <c r="F321" s="161">
        <v>5320.0</v>
      </c>
      <c r="G321" s="2" t="s">
        <v>4277</v>
      </c>
      <c r="H321" s="942"/>
      <c r="I321" s="847"/>
    </row>
    <row r="322">
      <c r="A322" s="265"/>
      <c r="B322" s="950">
        <f t="shared" si="21"/>
        <v>1270</v>
      </c>
      <c r="F322" s="161">
        <v>1270.0</v>
      </c>
      <c r="G322" s="2" t="s">
        <v>4261</v>
      </c>
      <c r="I322" s="847"/>
    </row>
    <row r="323">
      <c r="A323" s="265"/>
      <c r="B323" s="950">
        <f t="shared" si="21"/>
        <v>5750</v>
      </c>
      <c r="F323" s="161">
        <v>5750.0</v>
      </c>
      <c r="G323" s="2" t="s">
        <v>4335</v>
      </c>
      <c r="H323" s="942"/>
      <c r="I323" s="847"/>
    </row>
    <row r="324">
      <c r="A324" s="265"/>
      <c r="B324" s="950">
        <f t="shared" si="21"/>
        <v>335</v>
      </c>
      <c r="F324" s="161">
        <v>335.0</v>
      </c>
      <c r="G324" s="2" t="s">
        <v>260</v>
      </c>
      <c r="I324" s="847"/>
    </row>
    <row r="325">
      <c r="A325" s="265"/>
      <c r="B325" s="950"/>
      <c r="F325" s="161"/>
      <c r="G325" s="2"/>
      <c r="I325" s="847"/>
    </row>
    <row r="326">
      <c r="A326" s="270"/>
      <c r="B326" s="194">
        <f>SUM(B311:B324)</f>
        <v>42919.51</v>
      </c>
      <c r="C326" s="18"/>
      <c r="D326" s="18"/>
      <c r="E326" s="18"/>
      <c r="F326" s="952"/>
      <c r="G326" s="18"/>
      <c r="H326" s="18"/>
      <c r="I326" s="663"/>
    </row>
    <row r="327">
      <c r="A327" s="305">
        <v>43890.0</v>
      </c>
      <c r="B327" s="948">
        <f t="shared" ref="B327:B340" si="22">F327</f>
        <v>8050</v>
      </c>
      <c r="C327" s="242"/>
      <c r="D327" s="242"/>
      <c r="E327" s="242"/>
      <c r="F327" s="949">
        <v>8050.0</v>
      </c>
      <c r="G327" s="244" t="s">
        <v>4336</v>
      </c>
      <c r="H327" s="943"/>
      <c r="I327" s="662"/>
    </row>
    <row r="328">
      <c r="A328" s="265"/>
      <c r="B328" s="950">
        <f t="shared" si="22"/>
        <v>5100</v>
      </c>
      <c r="F328" s="161">
        <v>5100.0</v>
      </c>
      <c r="G328" s="2" t="s">
        <v>4247</v>
      </c>
      <c r="H328" s="942"/>
      <c r="I328" s="847"/>
    </row>
    <row r="329">
      <c r="A329" s="265"/>
      <c r="B329" s="950">
        <f t="shared" si="22"/>
        <v>3020</v>
      </c>
      <c r="F329" s="161">
        <v>3020.0</v>
      </c>
      <c r="G329" s="2" t="s">
        <v>4313</v>
      </c>
      <c r="H329" s="942"/>
      <c r="I329" s="847"/>
    </row>
    <row r="330">
      <c r="A330" s="265"/>
      <c r="B330" s="950">
        <f t="shared" si="22"/>
        <v>2800</v>
      </c>
      <c r="F330" s="161">
        <v>2800.0</v>
      </c>
      <c r="G330" s="2" t="s">
        <v>4337</v>
      </c>
      <c r="H330" s="942"/>
      <c r="I330" s="963"/>
    </row>
    <row r="331">
      <c r="A331" s="265"/>
      <c r="B331" s="950">
        <f t="shared" si="22"/>
        <v>412</v>
      </c>
      <c r="F331" s="161">
        <v>412.0</v>
      </c>
      <c r="G331" s="2" t="s">
        <v>314</v>
      </c>
      <c r="I331" s="847"/>
    </row>
    <row r="332">
      <c r="A332" s="265"/>
      <c r="B332" s="950">
        <f t="shared" si="22"/>
        <v>4955</v>
      </c>
      <c r="F332" s="161">
        <v>4955.0</v>
      </c>
      <c r="G332" s="2" t="s">
        <v>4338</v>
      </c>
      <c r="I332" s="847"/>
    </row>
    <row r="333">
      <c r="A333" s="265"/>
      <c r="B333" s="950">
        <f t="shared" si="22"/>
        <v>609.8</v>
      </c>
      <c r="F333" s="161">
        <v>609.8</v>
      </c>
      <c r="G333" s="2" t="s">
        <v>314</v>
      </c>
      <c r="I333" s="847"/>
    </row>
    <row r="334">
      <c r="A334" s="265"/>
      <c r="B334" s="950" t="str">
        <f t="shared" si="22"/>
        <v/>
      </c>
      <c r="F334" s="161"/>
      <c r="I334" s="847"/>
    </row>
    <row r="335">
      <c r="A335" s="265"/>
      <c r="B335" s="950" t="str">
        <f t="shared" si="22"/>
        <v/>
      </c>
      <c r="F335" s="161"/>
      <c r="I335" s="847"/>
    </row>
    <row r="336">
      <c r="A336" s="265"/>
      <c r="B336" s="950" t="str">
        <f t="shared" si="22"/>
        <v/>
      </c>
      <c r="F336" s="852"/>
      <c r="I336" s="847"/>
    </row>
    <row r="337">
      <c r="A337" s="265"/>
      <c r="B337" s="950" t="str">
        <f t="shared" si="22"/>
        <v/>
      </c>
      <c r="F337" s="161"/>
      <c r="I337" s="847"/>
    </row>
    <row r="338">
      <c r="A338" s="265"/>
      <c r="B338" s="950" t="str">
        <f t="shared" si="22"/>
        <v/>
      </c>
      <c r="F338" s="161"/>
      <c r="I338" s="847"/>
    </row>
    <row r="339">
      <c r="A339" s="265"/>
      <c r="B339" s="950" t="str">
        <f t="shared" si="22"/>
        <v/>
      </c>
      <c r="F339" s="161"/>
      <c r="I339" s="847"/>
    </row>
    <row r="340">
      <c r="A340" s="265"/>
      <c r="B340" s="950" t="str">
        <f t="shared" si="22"/>
        <v/>
      </c>
      <c r="F340" s="161"/>
      <c r="I340" s="847"/>
    </row>
    <row r="341">
      <c r="A341" s="270"/>
      <c r="B341" s="194">
        <f>SUM(B327:B340)</f>
        <v>24946.8</v>
      </c>
      <c r="C341" s="18"/>
      <c r="D341" s="18"/>
      <c r="E341" s="18"/>
      <c r="F341" s="952"/>
      <c r="G341" s="18"/>
      <c r="H341" s="18"/>
      <c r="I341" s="663"/>
    </row>
    <row r="342">
      <c r="A342" s="305">
        <v>43891.0</v>
      </c>
      <c r="B342" s="948" t="str">
        <f>F342</f>
        <v/>
      </c>
      <c r="C342" s="242"/>
      <c r="D342" s="242"/>
      <c r="E342" s="242"/>
      <c r="F342" s="949"/>
      <c r="G342" s="242"/>
      <c r="H342" s="244"/>
      <c r="I342" s="662"/>
    </row>
    <row r="343">
      <c r="A343" s="270"/>
      <c r="B343" s="194">
        <f>SUM(B342)</f>
        <v>0</v>
      </c>
      <c r="C343" s="18"/>
      <c r="D343" s="18"/>
      <c r="E343" s="18"/>
      <c r="F343" s="952"/>
      <c r="G343" s="18"/>
      <c r="H343" s="18"/>
      <c r="I343" s="663"/>
    </row>
  </sheetData>
  <mergeCells count="31">
    <mergeCell ref="G1:H1"/>
    <mergeCell ref="A2:A8"/>
    <mergeCell ref="A9:A10"/>
    <mergeCell ref="A11:A25"/>
    <mergeCell ref="A26:A40"/>
    <mergeCell ref="A41:A55"/>
    <mergeCell ref="A56:A70"/>
    <mergeCell ref="A71:A85"/>
    <mergeCell ref="A86:A100"/>
    <mergeCell ref="A101:A102"/>
    <mergeCell ref="A103:A117"/>
    <mergeCell ref="A118:A132"/>
    <mergeCell ref="A133:A147"/>
    <mergeCell ref="A148:A162"/>
    <mergeCell ref="A163:A177"/>
    <mergeCell ref="A178:A192"/>
    <mergeCell ref="A193:A194"/>
    <mergeCell ref="A195:A209"/>
    <mergeCell ref="A210:A224"/>
    <mergeCell ref="A225:A239"/>
    <mergeCell ref="A240:A254"/>
    <mergeCell ref="A311:A326"/>
    <mergeCell ref="A327:A341"/>
    <mergeCell ref="A342:A343"/>
    <mergeCell ref="A255:A269"/>
    <mergeCell ref="A270:A271"/>
    <mergeCell ref="A272:A273"/>
    <mergeCell ref="A274:A275"/>
    <mergeCell ref="A276:A277"/>
    <mergeCell ref="A278:A295"/>
    <mergeCell ref="A296:A310"/>
  </mergeCells>
  <printOptions gridLines="1" horizontalCentered="1"/>
  <pageMargins bottom="0.18897637795275593" footer="0.0" header="0.0" left="0.6614173228346458" right="0.7735311932162329" top="0.190793458509994"/>
  <pageSetup paperSize="9" cellComments="atEnd" orientation="portrait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</cols>
  <sheetData>
    <row r="1" ht="28.5" customHeight="1">
      <c r="A1" s="231"/>
      <c r="B1" s="945" t="s">
        <v>3714</v>
      </c>
      <c r="C1" s="407" t="s">
        <v>53</v>
      </c>
      <c r="D1" s="946" t="s">
        <v>4339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305">
        <v>43831.0</v>
      </c>
      <c r="B2" s="948" t="str">
        <f>F2</f>
        <v/>
      </c>
      <c r="C2" s="242"/>
      <c r="D2" s="244"/>
      <c r="E2" s="242"/>
      <c r="F2" s="949"/>
      <c r="G2" s="244"/>
      <c r="H2" s="244"/>
      <c r="I2" s="958"/>
    </row>
    <row r="3">
      <c r="A3" s="270"/>
      <c r="B3" s="194">
        <f>SUM(B2)</f>
        <v>0</v>
      </c>
      <c r="C3" s="18"/>
      <c r="D3" s="18"/>
      <c r="E3" s="18"/>
      <c r="F3" s="952"/>
      <c r="G3" s="18"/>
      <c r="H3" s="18"/>
      <c r="I3" s="663"/>
    </row>
    <row r="4">
      <c r="A4" s="305">
        <v>43832.0</v>
      </c>
      <c r="B4" s="948" t="str">
        <f t="shared" ref="B4:B14" si="1">F4</f>
        <v/>
      </c>
      <c r="C4" s="242"/>
      <c r="D4" s="244">
        <v>250.0</v>
      </c>
      <c r="E4" s="242"/>
      <c r="F4" s="949"/>
      <c r="G4" s="244" t="s">
        <v>4340</v>
      </c>
      <c r="H4" s="244"/>
      <c r="I4" s="958" t="s">
        <v>52</v>
      </c>
    </row>
    <row r="5">
      <c r="A5" s="265"/>
      <c r="B5" s="950" t="str">
        <f t="shared" si="1"/>
        <v/>
      </c>
      <c r="C5" s="2">
        <v>11152.43</v>
      </c>
      <c r="F5" s="161"/>
      <c r="G5" s="2" t="s">
        <v>2637</v>
      </c>
      <c r="I5" s="847"/>
    </row>
    <row r="6">
      <c r="A6" s="265"/>
      <c r="B6" s="950">
        <f t="shared" si="1"/>
        <v>237.5</v>
      </c>
      <c r="F6" s="161">
        <v>237.5</v>
      </c>
      <c r="G6" s="2" t="s">
        <v>4341</v>
      </c>
      <c r="I6" s="847"/>
    </row>
    <row r="7">
      <c r="A7" s="265"/>
      <c r="B7" s="950">
        <f t="shared" si="1"/>
        <v>170</v>
      </c>
      <c r="F7" s="161">
        <v>170.0</v>
      </c>
      <c r="G7" s="2" t="s">
        <v>4279</v>
      </c>
      <c r="I7" s="847"/>
    </row>
    <row r="8">
      <c r="A8" s="265"/>
      <c r="B8" s="950">
        <f t="shared" si="1"/>
        <v>1200</v>
      </c>
      <c r="F8" s="161">
        <v>1200.0</v>
      </c>
      <c r="G8" s="2" t="s">
        <v>4342</v>
      </c>
      <c r="I8" s="847"/>
    </row>
    <row r="9">
      <c r="A9" s="265"/>
      <c r="B9" s="950">
        <f t="shared" si="1"/>
        <v>3013</v>
      </c>
      <c r="F9" s="161">
        <v>3013.0</v>
      </c>
      <c r="G9" s="2" t="s">
        <v>4284</v>
      </c>
      <c r="I9" s="847"/>
    </row>
    <row r="10">
      <c r="A10" s="265"/>
      <c r="B10" s="950">
        <f t="shared" si="1"/>
        <v>857.77</v>
      </c>
      <c r="F10" s="161">
        <v>857.77</v>
      </c>
      <c r="G10" s="2" t="s">
        <v>3821</v>
      </c>
      <c r="I10" s="847"/>
    </row>
    <row r="11">
      <c r="A11" s="265"/>
      <c r="B11" s="950" t="str">
        <f t="shared" si="1"/>
        <v/>
      </c>
      <c r="D11" s="2">
        <v>1915.0</v>
      </c>
      <c r="F11" s="161"/>
      <c r="G11" s="2" t="s">
        <v>4343</v>
      </c>
      <c r="I11" s="963" t="s">
        <v>52</v>
      </c>
    </row>
    <row r="12">
      <c r="A12" s="265"/>
      <c r="B12" s="950">
        <f t="shared" si="1"/>
        <v>700</v>
      </c>
      <c r="F12" s="161">
        <v>700.0</v>
      </c>
      <c r="G12" s="2" t="s">
        <v>4344</v>
      </c>
      <c r="I12" s="951"/>
    </row>
    <row r="13">
      <c r="A13" s="265"/>
      <c r="B13" s="950">
        <f t="shared" si="1"/>
        <v>173</v>
      </c>
      <c r="D13" s="2">
        <v>1100.0</v>
      </c>
      <c r="F13" s="161">
        <v>173.0</v>
      </c>
      <c r="G13" s="2" t="s">
        <v>2644</v>
      </c>
      <c r="I13" s="847"/>
    </row>
    <row r="14">
      <c r="A14" s="265"/>
      <c r="B14" s="950">
        <f t="shared" si="1"/>
        <v>380</v>
      </c>
      <c r="F14" s="161">
        <v>380.0</v>
      </c>
      <c r="G14" s="2" t="s">
        <v>1732</v>
      </c>
      <c r="I14" s="847"/>
    </row>
    <row r="15">
      <c r="A15" s="270"/>
      <c r="B15" s="194">
        <f>SUM(B4:B14)</f>
        <v>6731.27</v>
      </c>
      <c r="C15" s="18"/>
      <c r="D15" s="18"/>
      <c r="E15" s="18"/>
      <c r="F15" s="952"/>
      <c r="G15" s="18"/>
      <c r="H15" s="18"/>
      <c r="I15" s="663"/>
    </row>
    <row r="16">
      <c r="A16" s="305">
        <v>43833.0</v>
      </c>
      <c r="B16" s="948">
        <f t="shared" ref="B16:B32" si="2">F16</f>
        <v>2000</v>
      </c>
      <c r="C16" s="242"/>
      <c r="D16" s="242"/>
      <c r="E16" s="242"/>
      <c r="F16" s="949">
        <v>2000.0</v>
      </c>
      <c r="G16" s="244" t="s">
        <v>3904</v>
      </c>
      <c r="H16" s="244"/>
      <c r="I16" s="662"/>
    </row>
    <row r="17">
      <c r="A17" s="265"/>
      <c r="B17" s="950">
        <f t="shared" si="2"/>
        <v>2743.55</v>
      </c>
      <c r="F17" s="161">
        <v>2743.55</v>
      </c>
      <c r="G17" s="2" t="s">
        <v>3821</v>
      </c>
      <c r="I17" s="847"/>
    </row>
    <row r="18">
      <c r="A18" s="265"/>
      <c r="B18" s="950">
        <f t="shared" si="2"/>
        <v>25000</v>
      </c>
      <c r="F18" s="161">
        <v>25000.0</v>
      </c>
      <c r="G18" s="2" t="s">
        <v>3033</v>
      </c>
      <c r="I18" s="847"/>
    </row>
    <row r="19">
      <c r="A19" s="265"/>
      <c r="B19" s="950">
        <f t="shared" si="2"/>
        <v>21000</v>
      </c>
      <c r="F19" s="161">
        <v>21000.0</v>
      </c>
      <c r="G19" s="2" t="s">
        <v>4345</v>
      </c>
      <c r="I19" s="951"/>
    </row>
    <row r="20">
      <c r="A20" s="265"/>
      <c r="B20" s="950">
        <f t="shared" si="2"/>
        <v>6000</v>
      </c>
      <c r="F20" s="161">
        <v>6000.0</v>
      </c>
      <c r="G20" s="2" t="s">
        <v>4152</v>
      </c>
      <c r="I20" s="951"/>
    </row>
    <row r="21">
      <c r="A21" s="265"/>
      <c r="B21" s="950">
        <f t="shared" si="2"/>
        <v>5000</v>
      </c>
      <c r="F21" s="161">
        <v>5000.0</v>
      </c>
      <c r="G21" s="2" t="s">
        <v>4062</v>
      </c>
      <c r="I21" s="951"/>
    </row>
    <row r="22">
      <c r="A22" s="265"/>
      <c r="B22" s="950">
        <f t="shared" si="2"/>
        <v>4100</v>
      </c>
      <c r="F22" s="161">
        <v>4100.0</v>
      </c>
      <c r="G22" s="2" t="s">
        <v>4061</v>
      </c>
      <c r="I22" s="951"/>
    </row>
    <row r="23">
      <c r="A23" s="265"/>
      <c r="B23" s="950">
        <f t="shared" si="2"/>
        <v>16000</v>
      </c>
      <c r="F23" s="161">
        <v>16000.0</v>
      </c>
      <c r="G23" s="2" t="s">
        <v>4346</v>
      </c>
      <c r="I23" s="951"/>
    </row>
    <row r="24">
      <c r="A24" s="265"/>
      <c r="B24" s="950">
        <f t="shared" si="2"/>
        <v>8600</v>
      </c>
      <c r="F24" s="161">
        <v>8600.0</v>
      </c>
      <c r="G24" s="2" t="s">
        <v>4347</v>
      </c>
      <c r="I24" s="951"/>
    </row>
    <row r="25">
      <c r="A25" s="265"/>
      <c r="B25" s="950">
        <f t="shared" si="2"/>
        <v>9600</v>
      </c>
      <c r="F25" s="161">
        <v>9600.0</v>
      </c>
      <c r="G25" s="2" t="s">
        <v>4348</v>
      </c>
      <c r="I25" s="951"/>
    </row>
    <row r="26">
      <c r="A26" s="265"/>
      <c r="B26" s="950">
        <f t="shared" si="2"/>
        <v>3200</v>
      </c>
      <c r="F26" s="161">
        <v>3200.0</v>
      </c>
      <c r="G26" s="2" t="s">
        <v>4032</v>
      </c>
      <c r="I26" s="951"/>
    </row>
    <row r="27">
      <c r="A27" s="265"/>
      <c r="B27" s="950">
        <f t="shared" si="2"/>
        <v>180</v>
      </c>
      <c r="F27" s="161">
        <v>180.0</v>
      </c>
      <c r="G27" s="2" t="s">
        <v>4349</v>
      </c>
      <c r="I27" s="847"/>
    </row>
    <row r="28">
      <c r="A28" s="265"/>
      <c r="B28" s="950" t="str">
        <f t="shared" si="2"/>
        <v/>
      </c>
      <c r="D28" s="2">
        <v>546.0</v>
      </c>
      <c r="F28" s="161"/>
      <c r="G28" s="2" t="s">
        <v>4350</v>
      </c>
      <c r="I28" s="847"/>
    </row>
    <row r="29">
      <c r="A29" s="265"/>
      <c r="B29" s="950">
        <f t="shared" si="2"/>
        <v>1290</v>
      </c>
      <c r="C29" s="2"/>
      <c r="F29" s="161">
        <v>1290.0</v>
      </c>
      <c r="G29" s="2" t="s">
        <v>283</v>
      </c>
      <c r="I29" s="847"/>
    </row>
    <row r="30">
      <c r="A30" s="265"/>
      <c r="B30" s="950">
        <f t="shared" si="2"/>
        <v>75</v>
      </c>
      <c r="C30" s="2"/>
      <c r="F30" s="161">
        <v>75.0</v>
      </c>
      <c r="G30" s="2" t="s">
        <v>3152</v>
      </c>
      <c r="I30" s="847"/>
    </row>
    <row r="31">
      <c r="A31" s="265"/>
      <c r="B31" s="950">
        <f t="shared" si="2"/>
        <v>4000</v>
      </c>
      <c r="C31" s="2"/>
      <c r="F31" s="161">
        <v>4000.0</v>
      </c>
      <c r="G31" s="2" t="s">
        <v>3717</v>
      </c>
      <c r="I31" s="951"/>
    </row>
    <row r="32">
      <c r="A32" s="265"/>
      <c r="B32" s="950" t="str">
        <f t="shared" si="2"/>
        <v/>
      </c>
      <c r="C32" s="2">
        <v>6357.0</v>
      </c>
      <c r="F32" s="161"/>
      <c r="G32" s="2" t="s">
        <v>4280</v>
      </c>
      <c r="I32" s="847"/>
    </row>
    <row r="33">
      <c r="A33" s="270"/>
      <c r="B33" s="194">
        <f>SUM(B16:B32)</f>
        <v>108788.55</v>
      </c>
      <c r="C33" s="18"/>
      <c r="D33" s="18"/>
      <c r="E33" s="18"/>
      <c r="F33" s="952"/>
      <c r="G33" s="18"/>
      <c r="H33" s="18"/>
      <c r="I33" s="663"/>
    </row>
    <row r="34">
      <c r="A34" s="305">
        <v>43834.0</v>
      </c>
      <c r="B34" s="948" t="str">
        <f t="shared" ref="B34:B35" si="3">F34</f>
        <v/>
      </c>
      <c r="C34" s="244">
        <v>7677.0</v>
      </c>
      <c r="D34" s="242"/>
      <c r="E34" s="242"/>
      <c r="F34" s="949"/>
      <c r="G34" s="244" t="s">
        <v>4280</v>
      </c>
      <c r="H34" s="244"/>
      <c r="I34" s="662"/>
    </row>
    <row r="35">
      <c r="A35" s="265"/>
      <c r="B35" s="950">
        <f t="shared" si="3"/>
        <v>110</v>
      </c>
      <c r="F35" s="161">
        <v>110.0</v>
      </c>
      <c r="G35" s="2" t="s">
        <v>4351</v>
      </c>
      <c r="I35" s="847"/>
    </row>
    <row r="36">
      <c r="A36" s="270"/>
      <c r="B36" s="194">
        <f>SUM(B34:B35)</f>
        <v>110</v>
      </c>
      <c r="C36" s="18"/>
      <c r="D36" s="18"/>
      <c r="E36" s="18"/>
      <c r="F36" s="952"/>
      <c r="G36" s="18"/>
      <c r="H36" s="18"/>
      <c r="I36" s="663"/>
    </row>
    <row r="37">
      <c r="A37" s="305">
        <v>43835.0</v>
      </c>
      <c r="B37" s="948" t="str">
        <f>F37</f>
        <v/>
      </c>
      <c r="C37" s="242"/>
      <c r="D37" s="242"/>
      <c r="E37" s="242"/>
      <c r="F37" s="949"/>
      <c r="G37" s="242"/>
      <c r="H37" s="244"/>
      <c r="I37" s="662"/>
    </row>
    <row r="38">
      <c r="A38" s="270"/>
      <c r="B38" s="194">
        <f>SUM(B37)</f>
        <v>0</v>
      </c>
      <c r="C38" s="18"/>
      <c r="D38" s="18"/>
      <c r="E38" s="18"/>
      <c r="F38" s="952"/>
      <c r="G38" s="18"/>
      <c r="H38" s="18"/>
      <c r="I38" s="663"/>
    </row>
    <row r="39">
      <c r="A39" s="305">
        <v>43836.0</v>
      </c>
      <c r="B39" s="948">
        <f t="shared" ref="B39:B52" si="4">F39</f>
        <v>857.7</v>
      </c>
      <c r="C39" s="242"/>
      <c r="D39" s="242"/>
      <c r="E39" s="242"/>
      <c r="F39" s="949">
        <v>857.7</v>
      </c>
      <c r="G39" s="244" t="s">
        <v>3821</v>
      </c>
      <c r="H39" s="244"/>
      <c r="I39" s="662"/>
    </row>
    <row r="40">
      <c r="A40" s="265"/>
      <c r="B40" s="950">
        <f t="shared" si="4"/>
        <v>2340</v>
      </c>
      <c r="F40" s="161">
        <v>2340.0</v>
      </c>
      <c r="G40" s="2" t="s">
        <v>612</v>
      </c>
      <c r="I40" s="847"/>
    </row>
    <row r="41">
      <c r="A41" s="265"/>
      <c r="B41" s="950">
        <f t="shared" si="4"/>
        <v>1668</v>
      </c>
      <c r="F41" s="161">
        <v>1668.0</v>
      </c>
      <c r="G41" s="2" t="s">
        <v>4284</v>
      </c>
      <c r="I41" s="847"/>
    </row>
    <row r="42">
      <c r="A42" s="265"/>
      <c r="B42" s="950">
        <f t="shared" si="4"/>
        <v>930</v>
      </c>
      <c r="F42" s="161">
        <v>930.0</v>
      </c>
      <c r="G42" s="2" t="s">
        <v>4231</v>
      </c>
      <c r="I42" s="847"/>
    </row>
    <row r="43">
      <c r="A43" s="265"/>
      <c r="B43" s="950">
        <f t="shared" si="4"/>
        <v>2000</v>
      </c>
      <c r="F43" s="161">
        <v>2000.0</v>
      </c>
      <c r="G43" s="2" t="s">
        <v>3904</v>
      </c>
      <c r="I43" s="847"/>
    </row>
    <row r="44">
      <c r="A44" s="265"/>
      <c r="B44" s="950">
        <f t="shared" si="4"/>
        <v>1403</v>
      </c>
      <c r="F44" s="161">
        <v>1403.0</v>
      </c>
      <c r="G44" s="2" t="s">
        <v>4299</v>
      </c>
      <c r="I44" s="847"/>
    </row>
    <row r="45">
      <c r="A45" s="265"/>
      <c r="B45" s="950">
        <f t="shared" si="4"/>
        <v>160</v>
      </c>
      <c r="F45" s="161">
        <v>160.0</v>
      </c>
      <c r="G45" s="2" t="s">
        <v>4352</v>
      </c>
      <c r="I45" s="847"/>
    </row>
    <row r="46">
      <c r="A46" s="265"/>
      <c r="B46" s="950" t="str">
        <f t="shared" si="4"/>
        <v/>
      </c>
      <c r="F46" s="161"/>
      <c r="I46" s="847"/>
    </row>
    <row r="47">
      <c r="A47" s="265"/>
      <c r="B47" s="950" t="str">
        <f t="shared" si="4"/>
        <v/>
      </c>
      <c r="F47" s="161"/>
      <c r="I47" s="847"/>
    </row>
    <row r="48">
      <c r="A48" s="265"/>
      <c r="B48" s="950" t="str">
        <f t="shared" si="4"/>
        <v/>
      </c>
      <c r="F48" s="852"/>
      <c r="I48" s="847"/>
    </row>
    <row r="49">
      <c r="A49" s="265"/>
      <c r="B49" s="950" t="str">
        <f t="shared" si="4"/>
        <v/>
      </c>
      <c r="F49" s="161"/>
      <c r="I49" s="847"/>
    </row>
    <row r="50">
      <c r="A50" s="265"/>
      <c r="B50" s="950" t="str">
        <f t="shared" si="4"/>
        <v/>
      </c>
      <c r="F50" s="161"/>
      <c r="I50" s="847"/>
    </row>
    <row r="51">
      <c r="A51" s="265"/>
      <c r="B51" s="950" t="str">
        <f t="shared" si="4"/>
        <v/>
      </c>
      <c r="F51" s="161"/>
      <c r="I51" s="847"/>
    </row>
    <row r="52">
      <c r="A52" s="265"/>
      <c r="B52" s="950" t="str">
        <f t="shared" si="4"/>
        <v/>
      </c>
      <c r="F52" s="161"/>
      <c r="I52" s="847"/>
    </row>
    <row r="53">
      <c r="A53" s="270"/>
      <c r="B53" s="194">
        <f>SUM(B39:B52)</f>
        <v>9358.7</v>
      </c>
      <c r="C53" s="18"/>
      <c r="D53" s="18"/>
      <c r="E53" s="18"/>
      <c r="F53" s="952"/>
      <c r="G53" s="18"/>
      <c r="H53" s="18"/>
      <c r="I53" s="663"/>
    </row>
    <row r="54">
      <c r="A54" s="305">
        <v>43837.0</v>
      </c>
      <c r="B54" s="948">
        <f t="shared" ref="B54:B67" si="5">F54</f>
        <v>2000</v>
      </c>
      <c r="C54" s="242"/>
      <c r="D54" s="242"/>
      <c r="E54" s="242"/>
      <c r="F54" s="949">
        <v>2000.0</v>
      </c>
      <c r="G54" s="244" t="s">
        <v>3904</v>
      </c>
      <c r="H54" s="244"/>
      <c r="I54" s="662"/>
    </row>
    <row r="55">
      <c r="A55" s="265"/>
      <c r="B55" s="950">
        <f t="shared" si="5"/>
        <v>2015</v>
      </c>
      <c r="F55" s="161">
        <v>2015.0</v>
      </c>
      <c r="G55" s="2" t="s">
        <v>4353</v>
      </c>
      <c r="I55" s="847"/>
    </row>
    <row r="56">
      <c r="A56" s="265"/>
      <c r="B56" s="950">
        <f t="shared" si="5"/>
        <v>1620</v>
      </c>
      <c r="F56" s="161">
        <v>1620.0</v>
      </c>
      <c r="G56" s="2" t="s">
        <v>3917</v>
      </c>
      <c r="I56" s="847"/>
    </row>
    <row r="57">
      <c r="A57" s="265"/>
      <c r="B57" s="950">
        <f t="shared" si="5"/>
        <v>2365.66</v>
      </c>
      <c r="F57" s="161">
        <v>2365.66</v>
      </c>
      <c r="G57" s="2" t="s">
        <v>615</v>
      </c>
      <c r="I57" s="847"/>
    </row>
    <row r="58">
      <c r="A58" s="265"/>
      <c r="B58" s="950">
        <f t="shared" si="5"/>
        <v>2496.16</v>
      </c>
      <c r="F58" s="161">
        <v>2496.16</v>
      </c>
      <c r="G58" s="2" t="s">
        <v>4284</v>
      </c>
      <c r="I58" s="847"/>
    </row>
    <row r="59">
      <c r="A59" s="265"/>
      <c r="B59" s="950" t="str">
        <f t="shared" si="5"/>
        <v/>
      </c>
      <c r="D59" s="2">
        <v>6300.0</v>
      </c>
      <c r="F59" s="161"/>
      <c r="G59" s="2" t="s">
        <v>4194</v>
      </c>
      <c r="I59" s="847"/>
    </row>
    <row r="60">
      <c r="A60" s="265"/>
      <c r="B60" s="950">
        <f t="shared" si="5"/>
        <v>700</v>
      </c>
      <c r="F60" s="161">
        <v>700.0</v>
      </c>
      <c r="G60" s="2" t="s">
        <v>3437</v>
      </c>
      <c r="I60" s="612"/>
    </row>
    <row r="61">
      <c r="A61" s="265"/>
      <c r="B61" s="950">
        <f t="shared" si="5"/>
        <v>1100</v>
      </c>
      <c r="F61" s="161">
        <v>1100.0</v>
      </c>
      <c r="G61" s="2" t="s">
        <v>4240</v>
      </c>
      <c r="I61" s="612"/>
    </row>
    <row r="62">
      <c r="A62" s="265"/>
      <c r="B62" s="950" t="str">
        <f t="shared" si="5"/>
        <v/>
      </c>
      <c r="F62" s="161"/>
      <c r="I62" s="847"/>
    </row>
    <row r="63">
      <c r="A63" s="265"/>
      <c r="B63" s="950" t="str">
        <f t="shared" si="5"/>
        <v/>
      </c>
      <c r="F63" s="852"/>
      <c r="I63" s="847"/>
    </row>
    <row r="64">
      <c r="A64" s="265"/>
      <c r="B64" s="950" t="str">
        <f t="shared" si="5"/>
        <v/>
      </c>
      <c r="F64" s="161"/>
      <c r="I64" s="847"/>
    </row>
    <row r="65">
      <c r="A65" s="265"/>
      <c r="B65" s="950" t="str">
        <f t="shared" si="5"/>
        <v/>
      </c>
      <c r="F65" s="161"/>
      <c r="I65" s="847"/>
    </row>
    <row r="66">
      <c r="A66" s="265"/>
      <c r="B66" s="950" t="str">
        <f t="shared" si="5"/>
        <v/>
      </c>
      <c r="F66" s="161"/>
      <c r="I66" s="847"/>
    </row>
    <row r="67">
      <c r="A67" s="265"/>
      <c r="B67" s="950" t="str">
        <f t="shared" si="5"/>
        <v/>
      </c>
      <c r="F67" s="161"/>
      <c r="I67" s="847"/>
    </row>
    <row r="68">
      <c r="A68" s="270"/>
      <c r="B68" s="194">
        <f>SUM(B54:B67)</f>
        <v>12296.82</v>
      </c>
      <c r="C68" s="18"/>
      <c r="D68" s="18"/>
      <c r="E68" s="18"/>
      <c r="F68" s="952"/>
      <c r="G68" s="18"/>
      <c r="H68" s="18"/>
      <c r="I68" s="663"/>
    </row>
    <row r="69">
      <c r="A69" s="305">
        <v>43838.0</v>
      </c>
      <c r="B69" s="948">
        <f t="shared" ref="B69:B82" si="6">F69</f>
        <v>2000</v>
      </c>
      <c r="C69" s="242"/>
      <c r="D69" s="242"/>
      <c r="E69" s="242"/>
      <c r="F69" s="949">
        <v>2000.0</v>
      </c>
      <c r="G69" s="244" t="s">
        <v>3904</v>
      </c>
      <c r="H69" s="244"/>
      <c r="I69" s="662"/>
    </row>
    <row r="70">
      <c r="A70" s="265"/>
      <c r="B70" s="950">
        <f t="shared" si="6"/>
        <v>857.77</v>
      </c>
      <c r="F70" s="161">
        <v>857.77</v>
      </c>
      <c r="G70" s="2" t="s">
        <v>4354</v>
      </c>
      <c r="I70" s="847"/>
    </row>
    <row r="71">
      <c r="A71" s="265"/>
      <c r="B71" s="950">
        <f t="shared" si="6"/>
        <v>1325.43</v>
      </c>
      <c r="F71" s="161">
        <v>1325.43</v>
      </c>
      <c r="G71" s="2" t="s">
        <v>4284</v>
      </c>
      <c r="I71" s="847"/>
    </row>
    <row r="72">
      <c r="A72" s="265"/>
      <c r="B72" s="950" t="str">
        <f t="shared" si="6"/>
        <v/>
      </c>
      <c r="C72" s="2">
        <v>6913.0</v>
      </c>
      <c r="F72" s="161"/>
      <c r="G72" s="2" t="s">
        <v>2637</v>
      </c>
      <c r="I72" s="847"/>
    </row>
    <row r="73">
      <c r="A73" s="265"/>
      <c r="B73" s="950" t="str">
        <f t="shared" si="6"/>
        <v/>
      </c>
      <c r="C73" s="2">
        <v>11553.93</v>
      </c>
      <c r="F73" s="161"/>
      <c r="G73" s="2" t="s">
        <v>951</v>
      </c>
      <c r="I73" s="847"/>
    </row>
    <row r="74">
      <c r="A74" s="265"/>
      <c r="B74" s="950" t="str">
        <f t="shared" si="6"/>
        <v/>
      </c>
      <c r="D74" s="2">
        <v>13833.0</v>
      </c>
      <c r="F74" s="161"/>
      <c r="G74" s="2" t="s">
        <v>4355</v>
      </c>
      <c r="I74" s="847"/>
    </row>
    <row r="75">
      <c r="A75" s="265"/>
      <c r="B75" s="950" t="str">
        <f t="shared" si="6"/>
        <v/>
      </c>
      <c r="D75" s="2">
        <v>36000.0</v>
      </c>
      <c r="F75" s="852"/>
      <c r="G75" s="2" t="s">
        <v>4356</v>
      </c>
      <c r="I75" s="847"/>
    </row>
    <row r="76">
      <c r="A76" s="265"/>
      <c r="B76" s="950">
        <f t="shared" si="6"/>
        <v>420</v>
      </c>
      <c r="F76" s="161">
        <v>420.0</v>
      </c>
      <c r="G76" s="2" t="s">
        <v>2815</v>
      </c>
      <c r="I76" s="847"/>
    </row>
    <row r="77">
      <c r="A77" s="265"/>
      <c r="B77" s="950" t="str">
        <f t="shared" si="6"/>
        <v/>
      </c>
      <c r="F77" s="161"/>
      <c r="I77" s="847"/>
    </row>
    <row r="78">
      <c r="A78" s="265"/>
      <c r="B78" s="950" t="str">
        <f t="shared" si="6"/>
        <v/>
      </c>
      <c r="F78" s="852"/>
      <c r="I78" s="847"/>
    </row>
    <row r="79">
      <c r="A79" s="265"/>
      <c r="B79" s="950" t="str">
        <f t="shared" si="6"/>
        <v/>
      </c>
      <c r="F79" s="161"/>
      <c r="I79" s="847"/>
    </row>
    <row r="80">
      <c r="A80" s="265"/>
      <c r="B80" s="950" t="str">
        <f t="shared" si="6"/>
        <v/>
      </c>
      <c r="F80" s="161"/>
      <c r="I80" s="847"/>
    </row>
    <row r="81">
      <c r="A81" s="265"/>
      <c r="B81" s="950" t="str">
        <f t="shared" si="6"/>
        <v/>
      </c>
      <c r="F81" s="161"/>
      <c r="I81" s="847"/>
    </row>
    <row r="82">
      <c r="A82" s="265"/>
      <c r="B82" s="950" t="str">
        <f t="shared" si="6"/>
        <v/>
      </c>
      <c r="F82" s="161"/>
      <c r="I82" s="847"/>
    </row>
    <row r="83">
      <c r="A83" s="270"/>
      <c r="B83" s="194">
        <f>SUM(B69:B82)</f>
        <v>4603.2</v>
      </c>
      <c r="C83" s="18"/>
      <c r="D83" s="18"/>
      <c r="E83" s="18"/>
      <c r="F83" s="952"/>
      <c r="G83" s="18"/>
      <c r="H83" s="18"/>
      <c r="I83" s="663"/>
    </row>
    <row r="84">
      <c r="A84" s="305">
        <v>43839.0</v>
      </c>
      <c r="B84" s="948">
        <f t="shared" ref="B84:B97" si="7">F84</f>
        <v>1700</v>
      </c>
      <c r="C84" s="242"/>
      <c r="D84" s="242"/>
      <c r="E84" s="242"/>
      <c r="F84" s="949">
        <v>1700.0</v>
      </c>
      <c r="G84" s="244" t="s">
        <v>4284</v>
      </c>
      <c r="H84" s="244"/>
      <c r="I84" s="662"/>
    </row>
    <row r="85">
      <c r="A85" s="265"/>
      <c r="B85" s="950">
        <f t="shared" si="7"/>
        <v>1100</v>
      </c>
      <c r="F85" s="161">
        <v>1100.0</v>
      </c>
      <c r="G85" s="2" t="s">
        <v>4299</v>
      </c>
      <c r="I85" s="847"/>
    </row>
    <row r="86">
      <c r="A86" s="265"/>
      <c r="B86" s="950">
        <f t="shared" si="7"/>
        <v>5006</v>
      </c>
      <c r="F86" s="161">
        <v>5006.0</v>
      </c>
      <c r="G86" s="2" t="s">
        <v>4357</v>
      </c>
      <c r="I86" s="847"/>
    </row>
    <row r="87">
      <c r="A87" s="265"/>
      <c r="B87" s="950">
        <f t="shared" si="7"/>
        <v>1715.54</v>
      </c>
      <c r="F87" s="161">
        <v>1715.54</v>
      </c>
      <c r="G87" s="2" t="s">
        <v>3821</v>
      </c>
      <c r="I87" s="847"/>
    </row>
    <row r="88">
      <c r="A88" s="265"/>
      <c r="B88" s="950">
        <f t="shared" si="7"/>
        <v>4816</v>
      </c>
      <c r="F88" s="161">
        <v>4816.0</v>
      </c>
      <c r="G88" s="2" t="s">
        <v>4107</v>
      </c>
      <c r="I88" s="847"/>
    </row>
    <row r="89">
      <c r="A89" s="265"/>
      <c r="B89" s="950">
        <f t="shared" si="7"/>
        <v>4000</v>
      </c>
      <c r="F89" s="161">
        <v>4000.0</v>
      </c>
      <c r="G89" s="2" t="s">
        <v>3904</v>
      </c>
      <c r="I89" s="847"/>
    </row>
    <row r="90">
      <c r="A90" s="265"/>
      <c r="B90" s="950">
        <f t="shared" si="7"/>
        <v>4290.3</v>
      </c>
      <c r="F90" s="161">
        <v>4290.3</v>
      </c>
      <c r="G90" s="2" t="s">
        <v>4059</v>
      </c>
      <c r="I90" s="847"/>
    </row>
    <row r="91">
      <c r="A91" s="265"/>
      <c r="B91" s="950">
        <f t="shared" si="7"/>
        <v>500</v>
      </c>
      <c r="F91" s="161">
        <v>500.0</v>
      </c>
      <c r="G91" s="2" t="s">
        <v>4240</v>
      </c>
      <c r="H91" s="942"/>
      <c r="I91" s="847"/>
    </row>
    <row r="92">
      <c r="A92" s="265"/>
      <c r="B92" s="950" t="str">
        <f t="shared" si="7"/>
        <v/>
      </c>
      <c r="D92" s="2">
        <v>3725.89</v>
      </c>
      <c r="F92" s="161"/>
      <c r="G92" s="2" t="s">
        <v>4358</v>
      </c>
      <c r="I92" s="847"/>
    </row>
    <row r="93">
      <c r="A93" s="265"/>
      <c r="B93" s="950">
        <f t="shared" si="7"/>
        <v>100</v>
      </c>
      <c r="F93" s="161">
        <v>100.0</v>
      </c>
      <c r="G93" s="2" t="s">
        <v>4359</v>
      </c>
      <c r="H93" s="778"/>
      <c r="I93" s="847"/>
    </row>
    <row r="94">
      <c r="A94" s="265"/>
      <c r="B94" s="950">
        <f t="shared" si="7"/>
        <v>25</v>
      </c>
      <c r="F94" s="161">
        <v>25.0</v>
      </c>
      <c r="G94" s="2" t="s">
        <v>314</v>
      </c>
      <c r="I94" s="847"/>
    </row>
    <row r="95">
      <c r="A95" s="265"/>
      <c r="B95" s="950" t="str">
        <f t="shared" si="7"/>
        <v/>
      </c>
      <c r="F95" s="161"/>
      <c r="I95" s="847"/>
    </row>
    <row r="96">
      <c r="A96" s="265"/>
      <c r="B96" s="950" t="str">
        <f t="shared" si="7"/>
        <v/>
      </c>
      <c r="F96" s="161"/>
      <c r="I96" s="847"/>
    </row>
    <row r="97">
      <c r="A97" s="265"/>
      <c r="B97" s="950" t="str">
        <f t="shared" si="7"/>
        <v/>
      </c>
      <c r="F97" s="161"/>
      <c r="I97" s="847"/>
    </row>
    <row r="98">
      <c r="A98" s="270"/>
      <c r="B98" s="194">
        <f>SUM(B84:B97)</f>
        <v>23252.84</v>
      </c>
      <c r="C98" s="18"/>
      <c r="D98" s="18"/>
      <c r="E98" s="18"/>
      <c r="F98" s="952"/>
      <c r="G98" s="18"/>
      <c r="H98" s="18"/>
      <c r="I98" s="663"/>
    </row>
    <row r="99">
      <c r="A99" s="305">
        <v>43840.0</v>
      </c>
      <c r="B99" s="948" t="str">
        <f t="shared" ref="B99:B112" si="8">F99</f>
        <v/>
      </c>
      <c r="C99" s="242"/>
      <c r="D99" s="244">
        <v>12584.0</v>
      </c>
      <c r="E99" s="242"/>
      <c r="F99" s="949"/>
      <c r="G99" s="244" t="s">
        <v>4229</v>
      </c>
      <c r="H99" s="244"/>
      <c r="I99" s="662"/>
    </row>
    <row r="100">
      <c r="A100" s="265"/>
      <c r="B100" s="950">
        <f t="shared" si="8"/>
        <v>1650</v>
      </c>
      <c r="F100" s="161">
        <v>1650.0</v>
      </c>
      <c r="G100" s="2" t="s">
        <v>4360</v>
      </c>
      <c r="I100" s="847"/>
    </row>
    <row r="101">
      <c r="A101" s="265"/>
      <c r="B101" s="950">
        <f t="shared" si="8"/>
        <v>2300</v>
      </c>
      <c r="F101" s="161">
        <v>2300.0</v>
      </c>
      <c r="G101" s="2" t="s">
        <v>4299</v>
      </c>
      <c r="I101" s="847"/>
    </row>
    <row r="102">
      <c r="A102" s="265"/>
      <c r="B102" s="950">
        <f t="shared" si="8"/>
        <v>2440</v>
      </c>
      <c r="F102" s="161">
        <v>2440.0</v>
      </c>
      <c r="G102" s="2" t="s">
        <v>4284</v>
      </c>
      <c r="I102" s="847"/>
    </row>
    <row r="103">
      <c r="A103" s="265"/>
      <c r="B103" s="950">
        <f t="shared" si="8"/>
        <v>400</v>
      </c>
      <c r="F103" s="161">
        <v>400.0</v>
      </c>
      <c r="G103" s="2" t="s">
        <v>4361</v>
      </c>
      <c r="I103" s="847"/>
    </row>
    <row r="104">
      <c r="A104" s="265"/>
      <c r="B104" s="950">
        <f t="shared" si="8"/>
        <v>334</v>
      </c>
      <c r="F104" s="161">
        <v>334.0</v>
      </c>
      <c r="G104" s="2" t="s">
        <v>4119</v>
      </c>
      <c r="I104" s="847"/>
    </row>
    <row r="105">
      <c r="A105" s="265"/>
      <c r="B105" s="950">
        <f t="shared" si="8"/>
        <v>1575</v>
      </c>
      <c r="F105" s="161">
        <v>1575.0</v>
      </c>
      <c r="G105" s="2" t="s">
        <v>3917</v>
      </c>
      <c r="I105" s="847"/>
    </row>
    <row r="106">
      <c r="A106" s="265"/>
      <c r="B106" s="950">
        <f t="shared" si="8"/>
        <v>1900</v>
      </c>
      <c r="F106" s="161">
        <v>1900.0</v>
      </c>
      <c r="G106" s="2" t="s">
        <v>4080</v>
      </c>
      <c r="I106" s="847"/>
    </row>
    <row r="107">
      <c r="A107" s="265"/>
      <c r="B107" s="950">
        <f t="shared" si="8"/>
        <v>14000</v>
      </c>
      <c r="F107" s="161">
        <v>14000.0</v>
      </c>
      <c r="G107" s="2" t="s">
        <v>4362</v>
      </c>
      <c r="H107" s="942"/>
      <c r="I107" s="847"/>
    </row>
    <row r="108">
      <c r="A108" s="265"/>
      <c r="B108" s="950">
        <f t="shared" si="8"/>
        <v>6000</v>
      </c>
      <c r="F108" s="161">
        <v>6000.0</v>
      </c>
      <c r="G108" s="2" t="s">
        <v>4363</v>
      </c>
      <c r="H108" s="942"/>
      <c r="I108" s="847"/>
    </row>
    <row r="109">
      <c r="A109" s="265"/>
      <c r="B109" s="950">
        <f t="shared" si="8"/>
        <v>360</v>
      </c>
      <c r="F109" s="161">
        <v>360.0</v>
      </c>
      <c r="G109" s="2" t="s">
        <v>4364</v>
      </c>
      <c r="I109" s="847"/>
    </row>
    <row r="110">
      <c r="A110" s="265"/>
      <c r="B110" s="950">
        <f t="shared" si="8"/>
        <v>131</v>
      </c>
      <c r="F110" s="161">
        <v>131.0</v>
      </c>
      <c r="G110" s="2" t="s">
        <v>708</v>
      </c>
      <c r="I110" s="847"/>
    </row>
    <row r="111">
      <c r="A111" s="265"/>
      <c r="B111" s="950">
        <f t="shared" si="8"/>
        <v>4800</v>
      </c>
      <c r="F111" s="161">
        <v>4800.0</v>
      </c>
      <c r="G111" s="2" t="s">
        <v>4220</v>
      </c>
      <c r="H111" s="942"/>
      <c r="I111" s="847"/>
    </row>
    <row r="112">
      <c r="A112" s="265"/>
      <c r="B112" s="950" t="str">
        <f t="shared" si="8"/>
        <v/>
      </c>
      <c r="F112" s="161"/>
      <c r="I112" s="847"/>
    </row>
    <row r="113">
      <c r="A113" s="270"/>
      <c r="B113" s="194">
        <f>SUM(B99:B112)</f>
        <v>35890</v>
      </c>
      <c r="C113" s="18"/>
      <c r="D113" s="18"/>
      <c r="E113" s="18"/>
      <c r="F113" s="952"/>
      <c r="G113" s="18"/>
      <c r="H113" s="18"/>
      <c r="I113" s="663"/>
    </row>
    <row r="114">
      <c r="A114" s="305">
        <v>43841.0</v>
      </c>
      <c r="B114" s="948">
        <f t="shared" ref="B114:B127" si="9">F114</f>
        <v>1479.64</v>
      </c>
      <c r="C114" s="242"/>
      <c r="D114" s="242"/>
      <c r="E114" s="242"/>
      <c r="F114" s="949">
        <v>1479.64</v>
      </c>
      <c r="G114" s="244" t="s">
        <v>3821</v>
      </c>
      <c r="H114" s="244"/>
      <c r="I114" s="662"/>
    </row>
    <row r="115">
      <c r="A115" s="265"/>
      <c r="B115" s="950">
        <f t="shared" si="9"/>
        <v>507.77</v>
      </c>
      <c r="F115" s="161">
        <v>507.77</v>
      </c>
      <c r="G115" s="2" t="s">
        <v>708</v>
      </c>
      <c r="I115" s="847"/>
    </row>
    <row r="116">
      <c r="A116" s="265"/>
      <c r="B116" s="950">
        <f t="shared" si="9"/>
        <v>72.84</v>
      </c>
      <c r="F116" s="161">
        <v>72.84</v>
      </c>
      <c r="G116" s="2" t="s">
        <v>708</v>
      </c>
      <c r="I116" s="847"/>
    </row>
    <row r="117">
      <c r="A117" s="265"/>
      <c r="B117" s="950">
        <f t="shared" si="9"/>
        <v>475</v>
      </c>
      <c r="F117" s="161">
        <v>475.0</v>
      </c>
      <c r="G117" s="2" t="s">
        <v>227</v>
      </c>
      <c r="I117" s="847"/>
    </row>
    <row r="118">
      <c r="A118" s="265"/>
      <c r="B118" s="950">
        <f t="shared" si="9"/>
        <v>6000</v>
      </c>
      <c r="F118" s="161">
        <v>6000.0</v>
      </c>
      <c r="G118" s="2" t="s">
        <v>4365</v>
      </c>
      <c r="H118" s="942"/>
      <c r="I118" s="847"/>
    </row>
    <row r="119">
      <c r="A119" s="265"/>
      <c r="B119" s="950">
        <f t="shared" si="9"/>
        <v>2500</v>
      </c>
      <c r="F119" s="161">
        <v>2500.0</v>
      </c>
      <c r="G119" s="2" t="s">
        <v>4366</v>
      </c>
      <c r="H119" s="942"/>
      <c r="I119" s="847"/>
    </row>
    <row r="120">
      <c r="A120" s="265"/>
      <c r="B120" s="950">
        <f t="shared" si="9"/>
        <v>5000</v>
      </c>
      <c r="F120" s="161">
        <v>5000.0</v>
      </c>
      <c r="G120" s="2" t="s">
        <v>4367</v>
      </c>
      <c r="H120" s="942"/>
      <c r="I120" s="847"/>
    </row>
    <row r="121">
      <c r="A121" s="265"/>
      <c r="B121" s="950">
        <f t="shared" si="9"/>
        <v>8050</v>
      </c>
      <c r="F121" s="161">
        <v>8050.0</v>
      </c>
      <c r="G121" s="2" t="s">
        <v>4368</v>
      </c>
      <c r="H121" s="942"/>
      <c r="I121" s="847"/>
    </row>
    <row r="122">
      <c r="A122" s="265"/>
      <c r="B122" s="950">
        <f t="shared" si="9"/>
        <v>192.8</v>
      </c>
      <c r="F122" s="161">
        <v>192.8</v>
      </c>
      <c r="G122" s="2" t="s">
        <v>708</v>
      </c>
      <c r="H122" s="2" t="s">
        <v>4369</v>
      </c>
      <c r="I122" s="847"/>
    </row>
    <row r="123">
      <c r="A123" s="265"/>
      <c r="B123" s="950">
        <f t="shared" si="9"/>
        <v>700</v>
      </c>
      <c r="F123" s="161">
        <v>700.0</v>
      </c>
      <c r="G123" s="2" t="s">
        <v>3437</v>
      </c>
      <c r="H123" s="942"/>
      <c r="I123" s="847"/>
    </row>
    <row r="124">
      <c r="A124" s="265"/>
      <c r="B124" s="950" t="str">
        <f t="shared" si="9"/>
        <v/>
      </c>
      <c r="F124" s="161"/>
      <c r="I124" s="847"/>
    </row>
    <row r="125">
      <c r="A125" s="265"/>
      <c r="B125" s="950" t="str">
        <f t="shared" si="9"/>
        <v/>
      </c>
      <c r="F125" s="161"/>
      <c r="I125" s="847"/>
    </row>
    <row r="126">
      <c r="A126" s="265"/>
      <c r="B126" s="950" t="str">
        <f t="shared" si="9"/>
        <v/>
      </c>
      <c r="F126" s="161"/>
      <c r="I126" s="847"/>
    </row>
    <row r="127">
      <c r="A127" s="265"/>
      <c r="B127" s="950" t="str">
        <f t="shared" si="9"/>
        <v/>
      </c>
      <c r="F127" s="161"/>
      <c r="I127" s="847"/>
    </row>
    <row r="128">
      <c r="A128" s="270"/>
      <c r="B128" s="194">
        <f>SUM(B114:B127)</f>
        <v>24978.05</v>
      </c>
      <c r="C128" s="18"/>
      <c r="D128" s="18"/>
      <c r="E128" s="18"/>
      <c r="F128" s="952"/>
      <c r="G128" s="18"/>
      <c r="H128" s="18"/>
      <c r="I128" s="663"/>
    </row>
    <row r="129">
      <c r="A129" s="305">
        <v>43842.0</v>
      </c>
      <c r="B129" s="948" t="str">
        <f>F129</f>
        <v/>
      </c>
      <c r="C129" s="242"/>
      <c r="D129" s="242"/>
      <c r="E129" s="242"/>
      <c r="F129" s="949"/>
      <c r="G129" s="242"/>
      <c r="H129" s="244"/>
      <c r="I129" s="662"/>
    </row>
    <row r="130">
      <c r="A130" s="270"/>
      <c r="B130" s="194">
        <f>SUM(B129)</f>
        <v>0</v>
      </c>
      <c r="C130" s="18"/>
      <c r="D130" s="18"/>
      <c r="E130" s="18"/>
      <c r="F130" s="952"/>
      <c r="G130" s="18"/>
      <c r="H130" s="18"/>
      <c r="I130" s="663"/>
    </row>
    <row r="131">
      <c r="A131" s="305">
        <v>43843.0</v>
      </c>
      <c r="B131" s="948">
        <f t="shared" ref="B131:B144" si="10">F131</f>
        <v>1343.5</v>
      </c>
      <c r="C131" s="242"/>
      <c r="D131" s="242"/>
      <c r="E131" s="242"/>
      <c r="F131" s="949">
        <v>1343.5</v>
      </c>
      <c r="G131" s="244" t="s">
        <v>4284</v>
      </c>
      <c r="H131" s="244"/>
      <c r="I131" s="662"/>
    </row>
    <row r="132">
      <c r="A132" s="265"/>
      <c r="B132" s="950">
        <f t="shared" si="10"/>
        <v>990</v>
      </c>
      <c r="F132" s="161">
        <v>990.0</v>
      </c>
      <c r="G132" s="2" t="s">
        <v>4370</v>
      </c>
      <c r="I132" s="847"/>
    </row>
    <row r="133">
      <c r="A133" s="265"/>
      <c r="B133" s="950">
        <f t="shared" si="10"/>
        <v>176</v>
      </c>
      <c r="F133" s="161">
        <v>176.0</v>
      </c>
      <c r="G133" s="2" t="s">
        <v>2901</v>
      </c>
      <c r="I133" s="847"/>
    </row>
    <row r="134">
      <c r="A134" s="265"/>
      <c r="B134" s="950">
        <f t="shared" si="10"/>
        <v>208</v>
      </c>
      <c r="F134" s="161">
        <v>208.0</v>
      </c>
      <c r="G134" s="2" t="s">
        <v>459</v>
      </c>
      <c r="I134" s="847"/>
    </row>
    <row r="135">
      <c r="A135" s="265"/>
      <c r="B135" s="950">
        <f t="shared" si="10"/>
        <v>3000</v>
      </c>
      <c r="F135" s="161">
        <v>3000.0</v>
      </c>
      <c r="G135" s="2" t="s">
        <v>64</v>
      </c>
      <c r="I135" s="847"/>
    </row>
    <row r="136">
      <c r="A136" s="265"/>
      <c r="B136" s="950" t="str">
        <f t="shared" si="10"/>
        <v/>
      </c>
      <c r="C136" s="2">
        <v>10344.38</v>
      </c>
      <c r="F136" s="161"/>
      <c r="G136" s="2" t="s">
        <v>2637</v>
      </c>
      <c r="I136" s="847"/>
    </row>
    <row r="137">
      <c r="A137" s="265"/>
      <c r="B137" s="950">
        <f t="shared" si="10"/>
        <v>483</v>
      </c>
      <c r="F137" s="161">
        <v>483.0</v>
      </c>
      <c r="G137" s="2" t="s">
        <v>4371</v>
      </c>
      <c r="I137" s="847"/>
    </row>
    <row r="138">
      <c r="A138" s="265"/>
      <c r="B138" s="950">
        <f t="shared" si="10"/>
        <v>500</v>
      </c>
      <c r="F138" s="161">
        <v>500.0</v>
      </c>
      <c r="G138" s="2" t="s">
        <v>3815</v>
      </c>
      <c r="H138" s="942"/>
      <c r="I138" s="847"/>
    </row>
    <row r="139">
      <c r="A139" s="265"/>
      <c r="B139" s="950" t="str">
        <f t="shared" si="10"/>
        <v/>
      </c>
      <c r="F139" s="161"/>
      <c r="I139" s="847"/>
    </row>
    <row r="140">
      <c r="A140" s="265"/>
      <c r="B140" s="950" t="str">
        <f t="shared" si="10"/>
        <v/>
      </c>
      <c r="F140" s="852"/>
      <c r="I140" s="847"/>
    </row>
    <row r="141">
      <c r="A141" s="265"/>
      <c r="B141" s="950" t="str">
        <f t="shared" si="10"/>
        <v/>
      </c>
      <c r="F141" s="161"/>
      <c r="I141" s="847"/>
    </row>
    <row r="142">
      <c r="A142" s="265"/>
      <c r="B142" s="950" t="str">
        <f t="shared" si="10"/>
        <v/>
      </c>
      <c r="F142" s="161"/>
      <c r="I142" s="847"/>
    </row>
    <row r="143">
      <c r="A143" s="265"/>
      <c r="B143" s="950" t="str">
        <f t="shared" si="10"/>
        <v/>
      </c>
      <c r="F143" s="161"/>
      <c r="I143" s="847"/>
    </row>
    <row r="144">
      <c r="A144" s="265"/>
      <c r="B144" s="950" t="str">
        <f t="shared" si="10"/>
        <v/>
      </c>
      <c r="F144" s="161"/>
      <c r="I144" s="847"/>
    </row>
    <row r="145">
      <c r="A145" s="270"/>
      <c r="B145" s="194">
        <f>SUM(B131:B144)</f>
        <v>6700.5</v>
      </c>
      <c r="C145" s="18"/>
      <c r="D145" s="18"/>
      <c r="E145" s="18"/>
      <c r="F145" s="952"/>
      <c r="G145" s="18"/>
      <c r="H145" s="18"/>
      <c r="I145" s="663"/>
    </row>
    <row r="146">
      <c r="A146" s="305">
        <v>43844.0</v>
      </c>
      <c r="B146" s="948">
        <f t="shared" ref="B146:B159" si="11">F146</f>
        <v>2000</v>
      </c>
      <c r="C146" s="242"/>
      <c r="D146" s="242"/>
      <c r="E146" s="242"/>
      <c r="F146" s="949">
        <v>2000.0</v>
      </c>
      <c r="G146" s="244" t="s">
        <v>3731</v>
      </c>
      <c r="H146" s="244"/>
      <c r="I146" s="662"/>
    </row>
    <row r="147">
      <c r="A147" s="265"/>
      <c r="B147" s="950">
        <f t="shared" si="11"/>
        <v>739.82</v>
      </c>
      <c r="F147" s="161">
        <v>739.82</v>
      </c>
      <c r="G147" s="2" t="s">
        <v>58</v>
      </c>
      <c r="I147" s="847"/>
    </row>
    <row r="148">
      <c r="A148" s="265"/>
      <c r="B148" s="950">
        <f t="shared" si="11"/>
        <v>3115</v>
      </c>
      <c r="F148" s="161">
        <v>3115.0</v>
      </c>
      <c r="G148" s="2" t="s">
        <v>4230</v>
      </c>
      <c r="I148" s="847"/>
    </row>
    <row r="149">
      <c r="A149" s="265"/>
      <c r="B149" s="950">
        <f t="shared" si="11"/>
        <v>275</v>
      </c>
      <c r="F149" s="161">
        <v>275.0</v>
      </c>
      <c r="G149" s="2" t="s">
        <v>4361</v>
      </c>
      <c r="I149" s="847"/>
    </row>
    <row r="150">
      <c r="A150" s="265"/>
      <c r="B150" s="950">
        <f t="shared" si="11"/>
        <v>4500</v>
      </c>
      <c r="F150" s="161">
        <v>4500.0</v>
      </c>
      <c r="G150" s="2" t="s">
        <v>4372</v>
      </c>
      <c r="I150" s="847"/>
    </row>
    <row r="151">
      <c r="A151" s="265"/>
      <c r="B151" s="950">
        <f t="shared" si="11"/>
        <v>5632.55</v>
      </c>
      <c r="F151" s="161">
        <v>5632.55</v>
      </c>
      <c r="G151" s="2" t="s">
        <v>615</v>
      </c>
      <c r="I151" s="847"/>
    </row>
    <row r="152">
      <c r="A152" s="265"/>
      <c r="B152" s="950" t="str">
        <f t="shared" si="11"/>
        <v/>
      </c>
      <c r="D152" s="2">
        <v>2438.78</v>
      </c>
      <c r="F152" s="852"/>
      <c r="G152" s="2" t="s">
        <v>201</v>
      </c>
      <c r="I152" s="847"/>
    </row>
    <row r="153">
      <c r="A153" s="265"/>
      <c r="B153" s="950">
        <f t="shared" si="11"/>
        <v>80</v>
      </c>
      <c r="F153" s="161">
        <v>80.0</v>
      </c>
      <c r="G153" s="2" t="s">
        <v>4373</v>
      </c>
      <c r="I153" s="847"/>
    </row>
    <row r="154">
      <c r="A154" s="265"/>
      <c r="B154" s="950" t="str">
        <f t="shared" si="11"/>
        <v/>
      </c>
      <c r="F154" s="161"/>
      <c r="I154" s="847"/>
    </row>
    <row r="155">
      <c r="A155" s="265"/>
      <c r="B155" s="950" t="str">
        <f t="shared" si="11"/>
        <v/>
      </c>
      <c r="F155" s="852"/>
      <c r="I155" s="847"/>
    </row>
    <row r="156">
      <c r="A156" s="265"/>
      <c r="B156" s="950" t="str">
        <f t="shared" si="11"/>
        <v/>
      </c>
      <c r="F156" s="161"/>
      <c r="I156" s="847"/>
    </row>
    <row r="157">
      <c r="A157" s="265"/>
      <c r="B157" s="950" t="str">
        <f t="shared" si="11"/>
        <v/>
      </c>
      <c r="F157" s="161"/>
      <c r="I157" s="847"/>
    </row>
    <row r="158">
      <c r="A158" s="265"/>
      <c r="B158" s="950" t="str">
        <f t="shared" si="11"/>
        <v/>
      </c>
      <c r="F158" s="161"/>
      <c r="I158" s="847"/>
    </row>
    <row r="159">
      <c r="A159" s="265"/>
      <c r="B159" s="950" t="str">
        <f t="shared" si="11"/>
        <v/>
      </c>
      <c r="F159" s="161"/>
      <c r="I159" s="847"/>
    </row>
    <row r="160">
      <c r="A160" s="270"/>
      <c r="B160" s="194">
        <f>SUM(B146:B159)</f>
        <v>16342.37</v>
      </c>
      <c r="C160" s="18"/>
      <c r="D160" s="18"/>
      <c r="E160" s="18"/>
      <c r="F160" s="952"/>
      <c r="G160" s="18"/>
      <c r="H160" s="18"/>
      <c r="I160" s="663"/>
    </row>
    <row r="161">
      <c r="A161" s="305">
        <v>43845.0</v>
      </c>
      <c r="B161" s="948">
        <f t="shared" ref="B161:B174" si="12">F161</f>
        <v>3000</v>
      </c>
      <c r="C161" s="242"/>
      <c r="D161" s="242"/>
      <c r="E161" s="242"/>
      <c r="F161" s="949">
        <v>3000.0</v>
      </c>
      <c r="G161" s="244" t="s">
        <v>3731</v>
      </c>
      <c r="H161" s="244"/>
      <c r="I161" s="662"/>
    </row>
    <row r="162">
      <c r="A162" s="265"/>
      <c r="B162" s="950">
        <f t="shared" si="12"/>
        <v>1176</v>
      </c>
      <c r="F162" s="161">
        <v>1176.0</v>
      </c>
      <c r="G162" s="2" t="s">
        <v>4234</v>
      </c>
      <c r="I162" s="847"/>
    </row>
    <row r="163">
      <c r="A163" s="265"/>
      <c r="B163" s="950">
        <f t="shared" si="12"/>
        <v>357</v>
      </c>
      <c r="F163" s="161">
        <v>357.0</v>
      </c>
      <c r="G163" s="2" t="s">
        <v>314</v>
      </c>
      <c r="I163" s="847"/>
    </row>
    <row r="164">
      <c r="A164" s="265"/>
      <c r="B164" s="950">
        <f t="shared" si="12"/>
        <v>1878</v>
      </c>
      <c r="F164" s="161">
        <v>1878.0</v>
      </c>
      <c r="G164" s="2" t="s">
        <v>4230</v>
      </c>
      <c r="I164" s="847"/>
    </row>
    <row r="165">
      <c r="A165" s="265"/>
      <c r="B165" s="950">
        <f t="shared" si="12"/>
        <v>739.82</v>
      </c>
      <c r="F165" s="161">
        <v>739.82</v>
      </c>
      <c r="G165" s="2" t="s">
        <v>58</v>
      </c>
      <c r="I165" s="847"/>
    </row>
    <row r="166">
      <c r="A166" s="265"/>
      <c r="B166" s="950" t="str">
        <f t="shared" si="12"/>
        <v/>
      </c>
      <c r="D166" s="2">
        <v>35000.0</v>
      </c>
      <c r="F166" s="161"/>
      <c r="G166" s="2" t="s">
        <v>3033</v>
      </c>
      <c r="I166" s="847"/>
    </row>
    <row r="167">
      <c r="A167" s="265"/>
      <c r="B167" s="950" t="str">
        <f t="shared" si="12"/>
        <v/>
      </c>
      <c r="D167" s="2">
        <v>9767.89</v>
      </c>
      <c r="F167" s="852"/>
      <c r="G167" s="2" t="s">
        <v>4374</v>
      </c>
      <c r="I167" s="847"/>
    </row>
    <row r="168">
      <c r="A168" s="265"/>
      <c r="B168" s="950">
        <f t="shared" si="12"/>
        <v>1500</v>
      </c>
      <c r="F168" s="161">
        <v>1500.0</v>
      </c>
      <c r="G168" s="2" t="s">
        <v>2514</v>
      </c>
      <c r="I168" s="847"/>
    </row>
    <row r="169">
      <c r="A169" s="265"/>
      <c r="B169" s="950">
        <f t="shared" si="12"/>
        <v>500</v>
      </c>
      <c r="F169" s="161">
        <v>500.0</v>
      </c>
      <c r="G169" s="2" t="s">
        <v>3811</v>
      </c>
      <c r="H169" s="942"/>
      <c r="I169" s="847"/>
    </row>
    <row r="170">
      <c r="A170" s="265"/>
      <c r="B170" s="950">
        <f t="shared" si="12"/>
        <v>1500</v>
      </c>
      <c r="F170" s="161">
        <v>1500.0</v>
      </c>
      <c r="G170" s="2" t="s">
        <v>3897</v>
      </c>
      <c r="H170" s="942"/>
      <c r="I170" s="847"/>
    </row>
    <row r="171">
      <c r="A171" s="265"/>
      <c r="B171" s="950" t="str">
        <f t="shared" si="12"/>
        <v/>
      </c>
      <c r="F171" s="161"/>
      <c r="I171" s="847"/>
    </row>
    <row r="172">
      <c r="A172" s="265"/>
      <c r="B172" s="950" t="str">
        <f t="shared" si="12"/>
        <v/>
      </c>
      <c r="F172" s="161"/>
      <c r="I172" s="847"/>
    </row>
    <row r="173">
      <c r="A173" s="265"/>
      <c r="B173" s="950" t="str">
        <f t="shared" si="12"/>
        <v/>
      </c>
      <c r="F173" s="161"/>
      <c r="I173" s="847"/>
    </row>
    <row r="174">
      <c r="A174" s="265"/>
      <c r="B174" s="950" t="str">
        <f t="shared" si="12"/>
        <v/>
      </c>
      <c r="F174" s="161"/>
      <c r="I174" s="847"/>
    </row>
    <row r="175">
      <c r="A175" s="270"/>
      <c r="B175" s="194">
        <f>SUM(B161:B174)</f>
        <v>10650.82</v>
      </c>
      <c r="C175" s="18"/>
      <c r="D175" s="18"/>
      <c r="E175" s="18"/>
      <c r="F175" s="952"/>
      <c r="G175" s="18"/>
      <c r="H175" s="18"/>
      <c r="I175" s="663"/>
    </row>
    <row r="176">
      <c r="A176" s="305">
        <v>43846.0</v>
      </c>
      <c r="B176" s="948">
        <f t="shared" ref="B176:B189" si="13">F176</f>
        <v>4014.5</v>
      </c>
      <c r="C176" s="242"/>
      <c r="D176" s="242"/>
      <c r="E176" s="242"/>
      <c r="F176" s="949">
        <v>4014.5</v>
      </c>
      <c r="G176" s="244" t="s">
        <v>3899</v>
      </c>
      <c r="H176" s="244"/>
      <c r="I176" s="662"/>
    </row>
    <row r="177">
      <c r="A177" s="265"/>
      <c r="B177" s="950">
        <f t="shared" si="13"/>
        <v>1264.35</v>
      </c>
      <c r="F177" s="161">
        <v>1264.35</v>
      </c>
      <c r="G177" s="2" t="s">
        <v>3821</v>
      </c>
      <c r="I177" s="847"/>
    </row>
    <row r="178">
      <c r="A178" s="265"/>
      <c r="B178" s="950">
        <f t="shared" si="13"/>
        <v>2000</v>
      </c>
      <c r="F178" s="161">
        <v>2000.0</v>
      </c>
      <c r="G178" s="2" t="s">
        <v>3904</v>
      </c>
      <c r="I178" s="847"/>
    </row>
    <row r="179">
      <c r="A179" s="265"/>
      <c r="B179" s="950" t="str">
        <f t="shared" si="13"/>
        <v/>
      </c>
      <c r="D179" s="2">
        <v>16681.34</v>
      </c>
      <c r="F179" s="161"/>
      <c r="G179" s="2" t="s">
        <v>951</v>
      </c>
      <c r="H179" s="2">
        <v>16295.65</v>
      </c>
      <c r="I179" s="847"/>
    </row>
    <row r="180">
      <c r="A180" s="265"/>
      <c r="B180" s="950">
        <f t="shared" si="13"/>
        <v>170</v>
      </c>
      <c r="F180" s="161">
        <v>170.0</v>
      </c>
      <c r="G180" s="2" t="s">
        <v>4279</v>
      </c>
      <c r="I180" s="847"/>
    </row>
    <row r="181">
      <c r="A181" s="265"/>
      <c r="B181" s="950">
        <f t="shared" si="13"/>
        <v>1821.5</v>
      </c>
      <c r="F181" s="161">
        <v>1821.5</v>
      </c>
      <c r="G181" s="2" t="s">
        <v>4329</v>
      </c>
      <c r="I181" s="847"/>
    </row>
    <row r="182">
      <c r="A182" s="265"/>
      <c r="B182" s="950">
        <f t="shared" si="13"/>
        <v>2400</v>
      </c>
      <c r="F182" s="161">
        <v>2400.0</v>
      </c>
      <c r="G182" s="2" t="s">
        <v>612</v>
      </c>
      <c r="I182" s="847"/>
    </row>
    <row r="183">
      <c r="A183" s="265"/>
      <c r="B183" s="950" t="str">
        <f t="shared" si="13"/>
        <v/>
      </c>
      <c r="C183" s="2">
        <v>6528.0</v>
      </c>
      <c r="F183" s="161"/>
      <c r="G183" s="2" t="s">
        <v>4280</v>
      </c>
      <c r="I183" s="847"/>
    </row>
    <row r="184">
      <c r="A184" s="265"/>
      <c r="B184" s="950" t="str">
        <f t="shared" si="13"/>
        <v/>
      </c>
      <c r="C184" s="2">
        <v>8853.0</v>
      </c>
      <c r="F184" s="161"/>
      <c r="G184" s="2" t="s">
        <v>4280</v>
      </c>
      <c r="I184" s="847"/>
    </row>
    <row r="185">
      <c r="A185" s="265"/>
      <c r="B185" s="950">
        <f t="shared" si="13"/>
        <v>700</v>
      </c>
      <c r="F185" s="161">
        <v>700.0</v>
      </c>
      <c r="G185" s="2" t="s">
        <v>3437</v>
      </c>
      <c r="H185" s="942"/>
      <c r="I185" s="847"/>
    </row>
    <row r="186">
      <c r="A186" s="265"/>
      <c r="B186" s="950">
        <f t="shared" si="13"/>
        <v>221</v>
      </c>
      <c r="F186" s="161">
        <v>221.0</v>
      </c>
      <c r="G186" s="2" t="s">
        <v>345</v>
      </c>
      <c r="I186" s="847"/>
    </row>
    <row r="187">
      <c r="A187" s="265"/>
      <c r="B187" s="950">
        <f t="shared" si="13"/>
        <v>360</v>
      </c>
      <c r="F187" s="161">
        <v>360.0</v>
      </c>
      <c r="G187" s="2" t="s">
        <v>1729</v>
      </c>
      <c r="I187" s="847"/>
    </row>
    <row r="188">
      <c r="A188" s="265"/>
      <c r="B188" s="950">
        <f t="shared" si="13"/>
        <v>244</v>
      </c>
      <c r="F188" s="161">
        <v>244.0</v>
      </c>
      <c r="G188" s="2" t="s">
        <v>4375</v>
      </c>
      <c r="H188" s="942"/>
      <c r="I188" s="847"/>
    </row>
    <row r="189">
      <c r="A189" s="265"/>
      <c r="B189" s="950" t="str">
        <f t="shared" si="13"/>
        <v/>
      </c>
      <c r="D189" s="2">
        <v>30359.0</v>
      </c>
      <c r="F189" s="161"/>
      <c r="G189" s="2" t="s">
        <v>3322</v>
      </c>
      <c r="I189" s="847"/>
    </row>
    <row r="190">
      <c r="A190" s="270"/>
      <c r="B190" s="194">
        <f>SUM(B176:B189)</f>
        <v>13195.35</v>
      </c>
      <c r="C190" s="18"/>
      <c r="D190" s="18"/>
      <c r="E190" s="18"/>
      <c r="F190" s="952"/>
      <c r="G190" s="18"/>
      <c r="H190" s="18"/>
      <c r="I190" s="663"/>
    </row>
    <row r="191">
      <c r="A191" s="305">
        <v>43847.0</v>
      </c>
      <c r="B191" s="948">
        <f t="shared" ref="B191:B206" si="14">F191</f>
        <v>287.24</v>
      </c>
      <c r="C191" s="242"/>
      <c r="D191" s="242"/>
      <c r="E191" s="242"/>
      <c r="F191" s="949">
        <v>287.24</v>
      </c>
      <c r="G191" s="244" t="s">
        <v>314</v>
      </c>
      <c r="H191" s="244"/>
      <c r="I191" s="662"/>
    </row>
    <row r="192">
      <c r="A192" s="265"/>
      <c r="B192" s="950">
        <f t="shared" si="14"/>
        <v>1938</v>
      </c>
      <c r="F192" s="161">
        <v>1938.0</v>
      </c>
      <c r="G192" s="2" t="s">
        <v>4234</v>
      </c>
      <c r="I192" s="847"/>
    </row>
    <row r="193">
      <c r="A193" s="265"/>
      <c r="B193" s="950">
        <f t="shared" si="14"/>
        <v>402.5</v>
      </c>
      <c r="F193" s="161">
        <v>402.5</v>
      </c>
      <c r="G193" s="2" t="s">
        <v>3911</v>
      </c>
      <c r="I193" s="847"/>
    </row>
    <row r="194">
      <c r="A194" s="265"/>
      <c r="B194" s="950">
        <f t="shared" si="14"/>
        <v>2000</v>
      </c>
      <c r="F194" s="161">
        <v>2000.0</v>
      </c>
      <c r="G194" s="2" t="s">
        <v>3731</v>
      </c>
      <c r="I194" s="847"/>
    </row>
    <row r="195">
      <c r="A195" s="265"/>
      <c r="B195" s="950">
        <f t="shared" si="14"/>
        <v>2704</v>
      </c>
      <c r="F195" s="161">
        <v>2704.0</v>
      </c>
      <c r="G195" s="2" t="s">
        <v>4376</v>
      </c>
      <c r="I195" s="847"/>
    </row>
    <row r="196">
      <c r="A196" s="265"/>
      <c r="B196" s="950" t="str">
        <f t="shared" si="14"/>
        <v/>
      </c>
      <c r="C196" s="2">
        <v>11305.28</v>
      </c>
      <c r="F196" s="161"/>
      <c r="G196" s="2" t="s">
        <v>2637</v>
      </c>
      <c r="I196" s="847"/>
    </row>
    <row r="197">
      <c r="A197" s="265"/>
      <c r="B197" s="950">
        <f t="shared" si="14"/>
        <v>1431</v>
      </c>
      <c r="F197" s="161">
        <v>1431.0</v>
      </c>
      <c r="G197" s="2" t="s">
        <v>4230</v>
      </c>
      <c r="I197" s="847"/>
    </row>
    <row r="198">
      <c r="A198" s="265"/>
      <c r="B198" s="950">
        <f t="shared" si="14"/>
        <v>4770</v>
      </c>
      <c r="F198" s="161">
        <v>4770.0</v>
      </c>
      <c r="G198" s="2" t="s">
        <v>4377</v>
      </c>
      <c r="I198" s="847"/>
    </row>
    <row r="199">
      <c r="A199" s="265"/>
      <c r="B199" s="950">
        <f t="shared" si="14"/>
        <v>6000</v>
      </c>
      <c r="F199" s="161">
        <v>6000.0</v>
      </c>
      <c r="G199" s="2" t="s">
        <v>4152</v>
      </c>
      <c r="H199" s="942"/>
      <c r="I199" s="847"/>
    </row>
    <row r="200">
      <c r="A200" s="265"/>
      <c r="B200" s="950">
        <f t="shared" si="14"/>
        <v>2600</v>
      </c>
      <c r="F200" s="161">
        <v>2600.0</v>
      </c>
      <c r="G200" s="2" t="s">
        <v>4262</v>
      </c>
      <c r="H200" s="942"/>
      <c r="I200" s="847"/>
    </row>
    <row r="201">
      <c r="A201" s="265"/>
      <c r="B201" s="950">
        <f t="shared" si="14"/>
        <v>14500</v>
      </c>
      <c r="F201" s="161">
        <v>14500.0</v>
      </c>
      <c r="G201" s="2" t="s">
        <v>4378</v>
      </c>
      <c r="H201" s="942"/>
      <c r="I201" s="847"/>
    </row>
    <row r="202">
      <c r="A202" s="265"/>
      <c r="B202" s="950">
        <f t="shared" si="14"/>
        <v>4555</v>
      </c>
      <c r="F202" s="161">
        <v>4555.0</v>
      </c>
      <c r="G202" s="2" t="s">
        <v>4153</v>
      </c>
      <c r="H202" s="942"/>
      <c r="I202" s="847"/>
    </row>
    <row r="203">
      <c r="A203" s="265"/>
      <c r="B203" s="950">
        <f t="shared" si="14"/>
        <v>10400</v>
      </c>
      <c r="F203" s="161">
        <v>10400.0</v>
      </c>
      <c r="G203" s="2" t="s">
        <v>4379</v>
      </c>
      <c r="H203" s="942"/>
      <c r="I203" s="847"/>
    </row>
    <row r="204">
      <c r="A204" s="265"/>
      <c r="B204" s="950">
        <f t="shared" si="14"/>
        <v>2000</v>
      </c>
      <c r="F204" s="161">
        <v>2000.0</v>
      </c>
      <c r="G204" s="2" t="s">
        <v>3717</v>
      </c>
      <c r="I204" s="847"/>
    </row>
    <row r="205">
      <c r="A205" s="265"/>
      <c r="B205" s="950">
        <f t="shared" si="14"/>
        <v>1900</v>
      </c>
      <c r="F205" s="161">
        <v>1900.0</v>
      </c>
      <c r="G205" s="2" t="s">
        <v>4380</v>
      </c>
      <c r="I205" s="847"/>
    </row>
    <row r="206">
      <c r="A206" s="265"/>
      <c r="B206" s="950">
        <f t="shared" si="14"/>
        <v>500</v>
      </c>
      <c r="F206" s="161">
        <v>500.0</v>
      </c>
      <c r="G206" s="2" t="s">
        <v>633</v>
      </c>
      <c r="I206" s="847"/>
    </row>
    <row r="207">
      <c r="A207" s="270"/>
      <c r="B207" s="194">
        <f>SUM(B191:B206)</f>
        <v>55987.74</v>
      </c>
      <c r="C207" s="18"/>
      <c r="D207" s="18"/>
      <c r="E207" s="18"/>
      <c r="F207" s="952"/>
      <c r="G207" s="18"/>
      <c r="H207" s="18"/>
      <c r="I207" s="663"/>
    </row>
    <row r="208">
      <c r="A208" s="305">
        <v>43848.0</v>
      </c>
      <c r="B208" s="948">
        <f t="shared" ref="B208:B221" si="15">F208</f>
        <v>390.35</v>
      </c>
      <c r="C208" s="242"/>
      <c r="D208" s="242"/>
      <c r="E208" s="242"/>
      <c r="F208" s="949">
        <v>390.35</v>
      </c>
      <c r="G208" s="244" t="s">
        <v>314</v>
      </c>
      <c r="H208" s="244"/>
      <c r="I208" s="662"/>
    </row>
    <row r="209">
      <c r="A209" s="265"/>
      <c r="B209" s="950">
        <f t="shared" si="15"/>
        <v>1264.35</v>
      </c>
      <c r="F209" s="161">
        <v>1264.35</v>
      </c>
      <c r="G209" s="2" t="s">
        <v>4381</v>
      </c>
      <c r="I209" s="847"/>
    </row>
    <row r="210">
      <c r="A210" s="265"/>
      <c r="B210" s="950">
        <f t="shared" si="15"/>
        <v>3850</v>
      </c>
      <c r="F210" s="161">
        <v>3850.0</v>
      </c>
      <c r="G210" s="2" t="s">
        <v>4382</v>
      </c>
      <c r="H210" s="942"/>
      <c r="I210" s="847"/>
    </row>
    <row r="211">
      <c r="A211" s="265"/>
      <c r="B211" s="950">
        <f t="shared" si="15"/>
        <v>2000</v>
      </c>
      <c r="F211" s="161">
        <v>2000.0</v>
      </c>
      <c r="G211" s="2" t="s">
        <v>3818</v>
      </c>
      <c r="H211" s="942"/>
      <c r="I211" s="847"/>
    </row>
    <row r="212">
      <c r="A212" s="265"/>
      <c r="B212" s="950" t="str">
        <f t="shared" si="15"/>
        <v/>
      </c>
      <c r="F212" s="161"/>
      <c r="I212" s="847"/>
    </row>
    <row r="213">
      <c r="A213" s="265"/>
      <c r="B213" s="950" t="str">
        <f t="shared" si="15"/>
        <v/>
      </c>
      <c r="F213" s="161"/>
      <c r="I213" s="847"/>
    </row>
    <row r="214">
      <c r="A214" s="265"/>
      <c r="B214" s="950" t="str">
        <f t="shared" si="15"/>
        <v/>
      </c>
      <c r="F214" s="852"/>
      <c r="I214" s="847"/>
    </row>
    <row r="215">
      <c r="A215" s="265"/>
      <c r="B215" s="950" t="str">
        <f t="shared" si="15"/>
        <v/>
      </c>
      <c r="F215" s="161"/>
      <c r="I215" s="847"/>
    </row>
    <row r="216">
      <c r="A216" s="265"/>
      <c r="B216" s="950" t="str">
        <f t="shared" si="15"/>
        <v/>
      </c>
      <c r="F216" s="161"/>
      <c r="I216" s="847"/>
    </row>
    <row r="217">
      <c r="A217" s="265"/>
      <c r="B217" s="950" t="str">
        <f t="shared" si="15"/>
        <v/>
      </c>
      <c r="F217" s="852"/>
      <c r="I217" s="847"/>
    </row>
    <row r="218">
      <c r="A218" s="265"/>
      <c r="B218" s="950" t="str">
        <f t="shared" si="15"/>
        <v/>
      </c>
      <c r="F218" s="161"/>
      <c r="I218" s="847"/>
    </row>
    <row r="219">
      <c r="A219" s="265"/>
      <c r="B219" s="950" t="str">
        <f t="shared" si="15"/>
        <v/>
      </c>
      <c r="F219" s="161"/>
      <c r="I219" s="847"/>
    </row>
    <row r="220">
      <c r="A220" s="265"/>
      <c r="B220" s="950" t="str">
        <f t="shared" si="15"/>
        <v/>
      </c>
      <c r="F220" s="161"/>
      <c r="I220" s="847"/>
    </row>
    <row r="221">
      <c r="A221" s="265"/>
      <c r="B221" s="950" t="str">
        <f t="shared" si="15"/>
        <v/>
      </c>
      <c r="F221" s="161"/>
      <c r="I221" s="847"/>
    </row>
    <row r="222">
      <c r="A222" s="270"/>
      <c r="B222" s="194">
        <f>SUM(B208:B221)</f>
        <v>7504.7</v>
      </c>
      <c r="C222" s="18"/>
      <c r="D222" s="18"/>
      <c r="E222" s="18"/>
      <c r="F222" s="952"/>
      <c r="G222" s="18"/>
      <c r="H222" s="18"/>
      <c r="I222" s="663"/>
    </row>
    <row r="223">
      <c r="A223" s="305">
        <v>43849.0</v>
      </c>
      <c r="B223" s="948" t="str">
        <f>F223</f>
        <v/>
      </c>
      <c r="C223" s="242"/>
      <c r="D223" s="242"/>
      <c r="E223" s="242"/>
      <c r="F223" s="949"/>
      <c r="G223" s="242"/>
      <c r="H223" s="244"/>
      <c r="I223" s="662"/>
    </row>
    <row r="224">
      <c r="A224" s="270"/>
      <c r="B224" s="194">
        <f>SUM(B223)</f>
        <v>0</v>
      </c>
      <c r="C224" s="18"/>
      <c r="D224" s="18"/>
      <c r="E224" s="18"/>
      <c r="F224" s="952"/>
      <c r="G224" s="18"/>
      <c r="H224" s="18"/>
      <c r="I224" s="663"/>
    </row>
    <row r="225">
      <c r="A225" s="305">
        <v>43850.0</v>
      </c>
      <c r="B225" s="948">
        <f t="shared" ref="B225:B238" si="16">F225</f>
        <v>1264.35</v>
      </c>
      <c r="C225" s="242"/>
      <c r="D225" s="242"/>
      <c r="E225" s="242"/>
      <c r="F225" s="949">
        <v>1264.35</v>
      </c>
      <c r="G225" s="244" t="s">
        <v>58</v>
      </c>
      <c r="H225" s="244"/>
      <c r="I225" s="662"/>
    </row>
    <row r="226">
      <c r="A226" s="265"/>
      <c r="B226" s="950">
        <f t="shared" si="16"/>
        <v>1530</v>
      </c>
      <c r="F226" s="161">
        <v>1530.0</v>
      </c>
      <c r="G226" s="2" t="s">
        <v>4234</v>
      </c>
      <c r="I226" s="847"/>
    </row>
    <row r="227">
      <c r="A227" s="265"/>
      <c r="B227" s="950">
        <f t="shared" si="16"/>
        <v>3000</v>
      </c>
      <c r="F227" s="161">
        <v>3000.0</v>
      </c>
      <c r="G227" s="2" t="s">
        <v>3731</v>
      </c>
      <c r="I227" s="847"/>
    </row>
    <row r="228">
      <c r="A228" s="265"/>
      <c r="B228" s="950">
        <f t="shared" si="16"/>
        <v>990</v>
      </c>
      <c r="F228" s="161">
        <v>990.0</v>
      </c>
      <c r="G228" s="2" t="s">
        <v>4231</v>
      </c>
      <c r="I228" s="847"/>
    </row>
    <row r="229">
      <c r="A229" s="265"/>
      <c r="B229" s="950">
        <f t="shared" si="16"/>
        <v>2538</v>
      </c>
      <c r="F229" s="161">
        <v>2538.0</v>
      </c>
      <c r="G229" s="2" t="s">
        <v>4230</v>
      </c>
      <c r="I229" s="847"/>
    </row>
    <row r="230">
      <c r="A230" s="265"/>
      <c r="B230" s="950" t="str">
        <f t="shared" si="16"/>
        <v/>
      </c>
      <c r="F230" s="161"/>
      <c r="I230" s="847"/>
    </row>
    <row r="231">
      <c r="A231" s="265"/>
      <c r="B231" s="950" t="str">
        <f t="shared" si="16"/>
        <v/>
      </c>
      <c r="F231" s="852"/>
      <c r="I231" s="847"/>
    </row>
    <row r="232">
      <c r="A232" s="265"/>
      <c r="B232" s="950" t="str">
        <f t="shared" si="16"/>
        <v/>
      </c>
      <c r="F232" s="161"/>
      <c r="I232" s="847"/>
    </row>
    <row r="233">
      <c r="A233" s="265"/>
      <c r="B233" s="950" t="str">
        <f t="shared" si="16"/>
        <v/>
      </c>
      <c r="F233" s="161"/>
      <c r="I233" s="847"/>
    </row>
    <row r="234">
      <c r="A234" s="265"/>
      <c r="B234" s="950" t="str">
        <f t="shared" si="16"/>
        <v/>
      </c>
      <c r="F234" s="852"/>
      <c r="I234" s="847"/>
    </row>
    <row r="235">
      <c r="A235" s="265"/>
      <c r="B235" s="950" t="str">
        <f t="shared" si="16"/>
        <v/>
      </c>
      <c r="F235" s="161"/>
      <c r="I235" s="847"/>
    </row>
    <row r="236">
      <c r="A236" s="265"/>
      <c r="B236" s="950" t="str">
        <f t="shared" si="16"/>
        <v/>
      </c>
      <c r="F236" s="161"/>
      <c r="I236" s="847"/>
    </row>
    <row r="237">
      <c r="A237" s="265"/>
      <c r="B237" s="950" t="str">
        <f t="shared" si="16"/>
        <v/>
      </c>
      <c r="F237" s="161"/>
      <c r="I237" s="847"/>
    </row>
    <row r="238">
      <c r="A238" s="265"/>
      <c r="B238" s="950" t="str">
        <f t="shared" si="16"/>
        <v/>
      </c>
      <c r="F238" s="161"/>
      <c r="I238" s="847"/>
    </row>
    <row r="239">
      <c r="A239" s="270"/>
      <c r="B239" s="194">
        <f>SUM(B225:B238)</f>
        <v>9322.35</v>
      </c>
      <c r="C239" s="18"/>
      <c r="D239" s="18"/>
      <c r="E239" s="18"/>
      <c r="F239" s="952"/>
      <c r="G239" s="18"/>
      <c r="H239" s="18"/>
      <c r="I239" s="663"/>
    </row>
    <row r="240">
      <c r="A240" s="305">
        <v>43851.0</v>
      </c>
      <c r="B240" s="948">
        <f t="shared" ref="B240:B253" si="17">F240</f>
        <v>632.18</v>
      </c>
      <c r="C240" s="242"/>
      <c r="D240" s="242"/>
      <c r="E240" s="242"/>
      <c r="F240" s="949">
        <v>632.18</v>
      </c>
      <c r="G240" s="244" t="s">
        <v>4383</v>
      </c>
      <c r="H240" s="244"/>
      <c r="I240" s="662"/>
    </row>
    <row r="241">
      <c r="A241" s="265"/>
      <c r="B241" s="950">
        <f t="shared" si="17"/>
        <v>2000</v>
      </c>
      <c r="F241" s="161">
        <v>2000.0</v>
      </c>
      <c r="G241" s="2" t="s">
        <v>3904</v>
      </c>
      <c r="I241" s="847"/>
    </row>
    <row r="242">
      <c r="A242" s="265"/>
      <c r="B242" s="950">
        <f t="shared" si="17"/>
        <v>205</v>
      </c>
      <c r="F242" s="161">
        <v>205.0</v>
      </c>
      <c r="G242" s="2" t="s">
        <v>4352</v>
      </c>
      <c r="I242" s="847"/>
    </row>
    <row r="243">
      <c r="A243" s="265"/>
      <c r="B243" s="950" t="str">
        <f t="shared" si="17"/>
        <v/>
      </c>
      <c r="D243" s="2">
        <v>9624.7</v>
      </c>
      <c r="F243" s="161"/>
      <c r="G243" s="2" t="s">
        <v>2819</v>
      </c>
      <c r="I243" s="847"/>
    </row>
    <row r="244">
      <c r="A244" s="265"/>
      <c r="B244" s="950">
        <f t="shared" si="17"/>
        <v>3266</v>
      </c>
      <c r="F244" s="161">
        <v>3266.0</v>
      </c>
      <c r="G244" s="2" t="s">
        <v>4284</v>
      </c>
      <c r="I244" s="847"/>
    </row>
    <row r="245">
      <c r="A245" s="265"/>
      <c r="B245" s="950">
        <f t="shared" si="17"/>
        <v>300</v>
      </c>
      <c r="F245" s="161">
        <v>300.0</v>
      </c>
      <c r="G245" s="2" t="s">
        <v>3813</v>
      </c>
      <c r="H245" s="942"/>
      <c r="I245" s="847"/>
    </row>
    <row r="246">
      <c r="A246" s="265"/>
      <c r="B246" s="950">
        <f t="shared" si="17"/>
        <v>710</v>
      </c>
      <c r="F246" s="161">
        <v>710.0</v>
      </c>
      <c r="G246" s="2" t="s">
        <v>4384</v>
      </c>
      <c r="H246" s="942"/>
      <c r="I246" s="847"/>
    </row>
    <row r="247">
      <c r="A247" s="265"/>
      <c r="B247" s="950">
        <f t="shared" si="17"/>
        <v>700</v>
      </c>
      <c r="F247" s="161">
        <v>700.0</v>
      </c>
      <c r="G247" s="2" t="s">
        <v>3437</v>
      </c>
      <c r="I247" s="847"/>
    </row>
    <row r="248">
      <c r="A248" s="265"/>
      <c r="B248" s="950" t="str">
        <f t="shared" si="17"/>
        <v/>
      </c>
      <c r="F248" s="161"/>
      <c r="I248" s="847"/>
    </row>
    <row r="249">
      <c r="A249" s="265"/>
      <c r="B249" s="950" t="str">
        <f t="shared" si="17"/>
        <v/>
      </c>
      <c r="F249" s="852"/>
      <c r="I249" s="847"/>
    </row>
    <row r="250">
      <c r="A250" s="265"/>
      <c r="B250" s="950" t="str">
        <f t="shared" si="17"/>
        <v/>
      </c>
      <c r="F250" s="161"/>
      <c r="I250" s="847"/>
    </row>
    <row r="251">
      <c r="A251" s="265"/>
      <c r="B251" s="950" t="str">
        <f t="shared" si="17"/>
        <v/>
      </c>
      <c r="F251" s="161"/>
      <c r="I251" s="847"/>
    </row>
    <row r="252">
      <c r="A252" s="265"/>
      <c r="B252" s="950" t="str">
        <f t="shared" si="17"/>
        <v/>
      </c>
      <c r="F252" s="161"/>
      <c r="I252" s="847"/>
    </row>
    <row r="253">
      <c r="A253" s="265"/>
      <c r="B253" s="950" t="str">
        <f t="shared" si="17"/>
        <v/>
      </c>
      <c r="F253" s="161"/>
      <c r="I253" s="847"/>
    </row>
    <row r="254">
      <c r="A254" s="270"/>
      <c r="B254" s="194">
        <f>SUM(B240:B253)</f>
        <v>7813.18</v>
      </c>
      <c r="C254" s="18"/>
      <c r="D254" s="18"/>
      <c r="E254" s="18"/>
      <c r="F254" s="952"/>
      <c r="G254" s="18"/>
      <c r="H254" s="18"/>
      <c r="I254" s="663"/>
    </row>
    <row r="255">
      <c r="A255" s="305">
        <v>43852.0</v>
      </c>
      <c r="B255" s="948">
        <f t="shared" ref="B255:B268" si="18">F255</f>
        <v>1752.5</v>
      </c>
      <c r="C255" s="242"/>
      <c r="D255" s="242"/>
      <c r="E255" s="242"/>
      <c r="F255" s="949">
        <v>1752.5</v>
      </c>
      <c r="G255" s="244" t="s">
        <v>4268</v>
      </c>
      <c r="H255" s="244"/>
      <c r="I255" s="662"/>
    </row>
    <row r="256">
      <c r="A256" s="265"/>
      <c r="B256" s="950" t="str">
        <f t="shared" si="18"/>
        <v/>
      </c>
      <c r="D256" s="2">
        <v>3700.62</v>
      </c>
      <c r="F256" s="161"/>
      <c r="G256" s="2" t="s">
        <v>2637</v>
      </c>
      <c r="I256" s="847"/>
    </row>
    <row r="257">
      <c r="A257" s="265"/>
      <c r="B257" s="950">
        <f t="shared" si="18"/>
        <v>2000</v>
      </c>
      <c r="F257" s="161">
        <v>2000.0</v>
      </c>
      <c r="G257" s="2" t="s">
        <v>3904</v>
      </c>
      <c r="I257" s="847"/>
    </row>
    <row r="258">
      <c r="A258" s="265"/>
      <c r="B258" s="950">
        <f t="shared" si="18"/>
        <v>1000</v>
      </c>
      <c r="F258" s="161">
        <v>1000.0</v>
      </c>
      <c r="G258" s="2" t="s">
        <v>4385</v>
      </c>
      <c r="H258" s="942"/>
      <c r="I258" s="847"/>
    </row>
    <row r="259">
      <c r="A259" s="265"/>
      <c r="B259" s="950">
        <f t="shared" si="18"/>
        <v>1000</v>
      </c>
      <c r="F259" s="161">
        <v>1000.0</v>
      </c>
      <c r="G259" s="2" t="s">
        <v>3818</v>
      </c>
      <c r="H259" s="942"/>
      <c r="I259" s="847"/>
    </row>
    <row r="260">
      <c r="A260" s="265"/>
      <c r="B260" s="950" t="str">
        <f t="shared" si="18"/>
        <v/>
      </c>
      <c r="D260" s="2">
        <v>8712.55</v>
      </c>
      <c r="F260" s="161"/>
      <c r="G260" s="2" t="s">
        <v>4239</v>
      </c>
      <c r="I260" s="847"/>
    </row>
    <row r="261">
      <c r="A261" s="265"/>
      <c r="B261" s="950" t="str">
        <f t="shared" si="18"/>
        <v/>
      </c>
      <c r="F261" s="852"/>
      <c r="I261" s="847"/>
    </row>
    <row r="262">
      <c r="A262" s="265"/>
      <c r="B262" s="950" t="str">
        <f t="shared" si="18"/>
        <v/>
      </c>
      <c r="F262" s="161"/>
      <c r="I262" s="847"/>
    </row>
    <row r="263">
      <c r="A263" s="265"/>
      <c r="B263" s="950" t="str">
        <f t="shared" si="18"/>
        <v/>
      </c>
      <c r="F263" s="161"/>
      <c r="I263" s="847"/>
    </row>
    <row r="264">
      <c r="A264" s="265"/>
      <c r="B264" s="950" t="str">
        <f t="shared" si="18"/>
        <v/>
      </c>
      <c r="F264" s="852"/>
      <c r="I264" s="847"/>
    </row>
    <row r="265">
      <c r="A265" s="265"/>
      <c r="B265" s="950" t="str">
        <f t="shared" si="18"/>
        <v/>
      </c>
      <c r="F265" s="161"/>
      <c r="I265" s="847"/>
    </row>
    <row r="266">
      <c r="A266" s="265"/>
      <c r="B266" s="950" t="str">
        <f t="shared" si="18"/>
        <v/>
      </c>
      <c r="F266" s="161"/>
      <c r="I266" s="847"/>
    </row>
    <row r="267">
      <c r="A267" s="265"/>
      <c r="B267" s="950" t="str">
        <f t="shared" si="18"/>
        <v/>
      </c>
      <c r="F267" s="161"/>
      <c r="I267" s="847"/>
    </row>
    <row r="268">
      <c r="A268" s="265"/>
      <c r="B268" s="950" t="str">
        <f t="shared" si="18"/>
        <v/>
      </c>
      <c r="F268" s="161"/>
      <c r="I268" s="847"/>
    </row>
    <row r="269">
      <c r="A269" s="270"/>
      <c r="B269" s="194">
        <f>SUM(B255:B268)</f>
        <v>5752.5</v>
      </c>
      <c r="C269" s="18"/>
      <c r="D269" s="18"/>
      <c r="E269" s="18"/>
      <c r="F269" s="952"/>
      <c r="G269" s="18"/>
      <c r="H269" s="18"/>
      <c r="I269" s="663"/>
    </row>
    <row r="270">
      <c r="A270" s="305">
        <v>43853.0</v>
      </c>
      <c r="B270" s="948">
        <f t="shared" ref="B270:B283" si="19">F270</f>
        <v>1264.35</v>
      </c>
      <c r="C270" s="242"/>
      <c r="D270" s="242"/>
      <c r="E270" s="242"/>
      <c r="F270" s="949">
        <v>1264.35</v>
      </c>
      <c r="G270" s="244" t="s">
        <v>3821</v>
      </c>
      <c r="H270" s="244"/>
      <c r="I270" s="662"/>
    </row>
    <row r="271">
      <c r="A271" s="265"/>
      <c r="B271" s="950">
        <f t="shared" si="19"/>
        <v>748</v>
      </c>
      <c r="F271" s="161">
        <v>748.0</v>
      </c>
      <c r="G271" s="2" t="s">
        <v>4230</v>
      </c>
      <c r="I271" s="847"/>
    </row>
    <row r="272">
      <c r="A272" s="265"/>
      <c r="B272" s="950">
        <f t="shared" si="19"/>
        <v>1879.95</v>
      </c>
      <c r="F272" s="161">
        <v>1879.95</v>
      </c>
      <c r="G272" s="2" t="s">
        <v>3964</v>
      </c>
      <c r="I272" s="847"/>
    </row>
    <row r="273">
      <c r="A273" s="265"/>
      <c r="B273" s="950" t="str">
        <f t="shared" si="19"/>
        <v/>
      </c>
      <c r="C273" s="2">
        <v>8227.55</v>
      </c>
      <c r="F273" s="161"/>
      <c r="G273" s="2" t="s">
        <v>951</v>
      </c>
      <c r="I273" s="847"/>
    </row>
    <row r="274">
      <c r="A274" s="265"/>
      <c r="B274" s="950">
        <f t="shared" si="19"/>
        <v>200</v>
      </c>
      <c r="F274" s="161">
        <v>200.0</v>
      </c>
      <c r="G274" s="2" t="s">
        <v>4352</v>
      </c>
      <c r="I274" s="847"/>
    </row>
    <row r="275">
      <c r="A275" s="265"/>
      <c r="B275" s="950" t="str">
        <f t="shared" si="19"/>
        <v/>
      </c>
      <c r="C275" s="2">
        <v>22878.93</v>
      </c>
      <c r="F275" s="161"/>
      <c r="G275" s="2" t="s">
        <v>4318</v>
      </c>
      <c r="I275" s="847"/>
    </row>
    <row r="276">
      <c r="A276" s="265"/>
      <c r="B276" s="950">
        <f t="shared" si="19"/>
        <v>2295</v>
      </c>
      <c r="F276" s="161">
        <v>2295.0</v>
      </c>
      <c r="G276" s="2" t="s">
        <v>4299</v>
      </c>
      <c r="I276" s="847"/>
    </row>
    <row r="277">
      <c r="A277" s="265"/>
      <c r="B277" s="950">
        <f t="shared" si="19"/>
        <v>2872.73</v>
      </c>
      <c r="F277" s="161">
        <v>2872.73</v>
      </c>
      <c r="G277" s="2" t="s">
        <v>4386</v>
      </c>
      <c r="H277" s="2" t="s">
        <v>4387</v>
      </c>
      <c r="I277" s="847"/>
    </row>
    <row r="278">
      <c r="A278" s="265"/>
      <c r="B278" s="950">
        <f t="shared" si="19"/>
        <v>4000</v>
      </c>
      <c r="F278" s="161">
        <v>4000.0</v>
      </c>
      <c r="G278" s="2" t="s">
        <v>3904</v>
      </c>
      <c r="I278" s="847"/>
    </row>
    <row r="279">
      <c r="A279" s="265"/>
      <c r="B279" s="950">
        <f t="shared" si="19"/>
        <v>72</v>
      </c>
      <c r="F279" s="161">
        <v>72.0</v>
      </c>
      <c r="G279" s="2" t="s">
        <v>4352</v>
      </c>
      <c r="I279" s="847"/>
    </row>
    <row r="280">
      <c r="A280" s="265"/>
      <c r="B280" s="950">
        <f t="shared" si="19"/>
        <v>280</v>
      </c>
      <c r="F280" s="161">
        <v>280.0</v>
      </c>
      <c r="G280" s="2" t="s">
        <v>3536</v>
      </c>
      <c r="I280" s="847"/>
    </row>
    <row r="281">
      <c r="A281" s="265"/>
      <c r="B281" s="950">
        <f t="shared" si="19"/>
        <v>1200</v>
      </c>
      <c r="F281" s="161">
        <v>1200.0</v>
      </c>
      <c r="G281" s="2" t="s">
        <v>3891</v>
      </c>
      <c r="H281" s="942"/>
      <c r="I281" s="847"/>
    </row>
    <row r="282">
      <c r="A282" s="265"/>
      <c r="B282" s="950">
        <f t="shared" si="19"/>
        <v>830</v>
      </c>
      <c r="F282" s="161">
        <v>830.0</v>
      </c>
      <c r="G282" s="2" t="s">
        <v>1732</v>
      </c>
      <c r="I282" s="847"/>
    </row>
    <row r="283">
      <c r="A283" s="265"/>
      <c r="B283" s="950" t="str">
        <f t="shared" si="19"/>
        <v/>
      </c>
      <c r="F283" s="161"/>
      <c r="I283" s="847"/>
    </row>
    <row r="284">
      <c r="A284" s="270"/>
      <c r="B284" s="194">
        <f>SUM(B270:B283)</f>
        <v>15642.03</v>
      </c>
      <c r="C284" s="18"/>
      <c r="D284" s="18"/>
      <c r="E284" s="18"/>
      <c r="F284" s="952"/>
      <c r="G284" s="18"/>
      <c r="H284" s="18"/>
      <c r="I284" s="663"/>
    </row>
    <row r="285">
      <c r="A285" s="305">
        <v>43854.0</v>
      </c>
      <c r="B285" s="948">
        <f t="shared" ref="B285:B298" si="20">F285</f>
        <v>2000</v>
      </c>
      <c r="C285" s="242"/>
      <c r="D285" s="242"/>
      <c r="E285" s="242"/>
      <c r="F285" s="949">
        <v>2000.0</v>
      </c>
      <c r="G285" s="244" t="s">
        <v>3904</v>
      </c>
      <c r="H285" s="244"/>
      <c r="I285" s="662"/>
    </row>
    <row r="286">
      <c r="A286" s="265"/>
      <c r="B286" s="950">
        <f t="shared" si="20"/>
        <v>632.189</v>
      </c>
      <c r="F286" s="161">
        <v>632.189</v>
      </c>
      <c r="G286" s="2" t="s">
        <v>3821</v>
      </c>
      <c r="I286" s="847"/>
    </row>
    <row r="287">
      <c r="A287" s="265"/>
      <c r="B287" s="950" t="str">
        <f t="shared" si="20"/>
        <v/>
      </c>
      <c r="C287" s="2">
        <v>8313.95</v>
      </c>
      <c r="F287" s="161"/>
      <c r="G287" s="2" t="s">
        <v>4388</v>
      </c>
      <c r="I287" s="847"/>
    </row>
    <row r="288">
      <c r="A288" s="265"/>
      <c r="B288" s="950" t="str">
        <f t="shared" si="20"/>
        <v/>
      </c>
      <c r="D288" s="2">
        <v>25000.0</v>
      </c>
      <c r="F288" s="161"/>
      <c r="G288" s="2" t="s">
        <v>3033</v>
      </c>
      <c r="I288" s="847"/>
    </row>
    <row r="289">
      <c r="A289" s="265"/>
      <c r="B289" s="950" t="str">
        <f t="shared" si="20"/>
        <v/>
      </c>
      <c r="D289" s="2">
        <v>6809.5</v>
      </c>
      <c r="F289" s="161"/>
      <c r="G289" s="2" t="s">
        <v>188</v>
      </c>
      <c r="I289" s="847"/>
    </row>
    <row r="290">
      <c r="A290" s="265"/>
      <c r="B290" s="950" t="str">
        <f t="shared" si="20"/>
        <v/>
      </c>
      <c r="D290" s="2">
        <v>1604.94</v>
      </c>
      <c r="F290" s="161"/>
      <c r="G290" s="2" t="s">
        <v>2284</v>
      </c>
      <c r="I290" s="847"/>
    </row>
    <row r="291">
      <c r="A291" s="265"/>
      <c r="B291" s="950">
        <f t="shared" si="20"/>
        <v>14000</v>
      </c>
      <c r="F291" s="161">
        <v>14000.0</v>
      </c>
      <c r="G291" s="2" t="s">
        <v>4389</v>
      </c>
      <c r="H291" s="84"/>
      <c r="I291" s="847"/>
    </row>
    <row r="292">
      <c r="A292" s="265"/>
      <c r="B292" s="950">
        <f t="shared" si="20"/>
        <v>2300</v>
      </c>
      <c r="F292" s="161">
        <v>2300.0</v>
      </c>
      <c r="G292" s="2" t="s">
        <v>4390</v>
      </c>
      <c r="H292" s="942"/>
      <c r="I292" s="847"/>
    </row>
    <row r="293">
      <c r="A293" s="265"/>
      <c r="B293" s="950">
        <f t="shared" si="20"/>
        <v>9500</v>
      </c>
      <c r="F293" s="161">
        <v>9500.0</v>
      </c>
      <c r="G293" s="2" t="s">
        <v>196</v>
      </c>
      <c r="I293" s="847"/>
    </row>
    <row r="294">
      <c r="A294" s="265"/>
      <c r="B294" s="950" t="str">
        <f t="shared" si="20"/>
        <v/>
      </c>
      <c r="F294" s="852"/>
      <c r="I294" s="847"/>
    </row>
    <row r="295">
      <c r="A295" s="265"/>
      <c r="B295" s="950" t="str">
        <f t="shared" si="20"/>
        <v/>
      </c>
      <c r="F295" s="161"/>
      <c r="I295" s="847"/>
    </row>
    <row r="296">
      <c r="A296" s="265"/>
      <c r="B296" s="950" t="str">
        <f t="shared" si="20"/>
        <v/>
      </c>
      <c r="F296" s="161"/>
      <c r="I296" s="847"/>
    </row>
    <row r="297">
      <c r="A297" s="265"/>
      <c r="B297" s="950" t="str">
        <f t="shared" si="20"/>
        <v/>
      </c>
      <c r="F297" s="161"/>
      <c r="I297" s="847"/>
    </row>
    <row r="298">
      <c r="A298" s="265"/>
      <c r="B298" s="950" t="str">
        <f t="shared" si="20"/>
        <v/>
      </c>
      <c r="F298" s="161"/>
      <c r="I298" s="847"/>
    </row>
    <row r="299">
      <c r="A299" s="270"/>
      <c r="B299" s="194">
        <f>SUM(B285:B298)</f>
        <v>28432.189</v>
      </c>
      <c r="C299" s="18"/>
      <c r="D299" s="18"/>
      <c r="E299" s="18"/>
      <c r="F299" s="952"/>
      <c r="G299" s="18"/>
      <c r="H299" s="18"/>
      <c r="I299" s="663"/>
    </row>
    <row r="300">
      <c r="A300" s="305">
        <v>43855.0</v>
      </c>
      <c r="B300" s="948">
        <f t="shared" ref="B300:B313" si="21">F300</f>
        <v>7000</v>
      </c>
      <c r="C300" s="242"/>
      <c r="D300" s="242"/>
      <c r="E300" s="242"/>
      <c r="F300" s="949">
        <v>7000.0</v>
      </c>
      <c r="G300" s="244" t="s">
        <v>4336</v>
      </c>
      <c r="H300" s="943"/>
      <c r="I300" s="662"/>
    </row>
    <row r="301">
      <c r="A301" s="265"/>
      <c r="B301" s="950">
        <f t="shared" si="21"/>
        <v>6000</v>
      </c>
      <c r="F301" s="161">
        <v>6000.0</v>
      </c>
      <c r="G301" s="2" t="s">
        <v>4152</v>
      </c>
      <c r="H301" s="84"/>
      <c r="I301" s="847"/>
    </row>
    <row r="302">
      <c r="A302" s="265"/>
      <c r="B302" s="950">
        <f t="shared" si="21"/>
        <v>14500</v>
      </c>
      <c r="F302" s="161">
        <v>14500.0</v>
      </c>
      <c r="G302" s="2" t="s">
        <v>4391</v>
      </c>
      <c r="H302" s="84"/>
      <c r="I302" s="847"/>
    </row>
    <row r="303">
      <c r="A303" s="265"/>
      <c r="B303" s="950">
        <f t="shared" si="21"/>
        <v>1900</v>
      </c>
      <c r="F303" s="161">
        <v>1900.0</v>
      </c>
      <c r="G303" s="2" t="s">
        <v>4246</v>
      </c>
      <c r="H303" s="84"/>
      <c r="I303" s="847"/>
    </row>
    <row r="304">
      <c r="A304" s="265"/>
      <c r="B304" s="950">
        <f t="shared" si="21"/>
        <v>3381.34</v>
      </c>
      <c r="F304" s="161">
        <v>3381.34</v>
      </c>
      <c r="G304" s="2" t="s">
        <v>2755</v>
      </c>
      <c r="I304" s="847"/>
    </row>
    <row r="305">
      <c r="A305" s="265"/>
      <c r="B305" s="950">
        <f t="shared" si="21"/>
        <v>290</v>
      </c>
      <c r="F305" s="161">
        <v>290.0</v>
      </c>
      <c r="G305" s="2" t="s">
        <v>314</v>
      </c>
      <c r="I305" s="847"/>
    </row>
    <row r="306">
      <c r="A306" s="265"/>
      <c r="B306" s="950" t="str">
        <f t="shared" si="21"/>
        <v/>
      </c>
      <c r="F306" s="852"/>
      <c r="I306" s="847"/>
    </row>
    <row r="307">
      <c r="A307" s="265"/>
      <c r="B307" s="950" t="str">
        <f t="shared" si="21"/>
        <v/>
      </c>
      <c r="F307" s="161"/>
      <c r="I307" s="847"/>
    </row>
    <row r="308">
      <c r="A308" s="265"/>
      <c r="B308" s="950" t="str">
        <f t="shared" si="21"/>
        <v/>
      </c>
      <c r="F308" s="161"/>
      <c r="I308" s="847"/>
    </row>
    <row r="309">
      <c r="A309" s="265"/>
      <c r="B309" s="950" t="str">
        <f t="shared" si="21"/>
        <v/>
      </c>
      <c r="F309" s="852"/>
      <c r="I309" s="847"/>
    </row>
    <row r="310">
      <c r="A310" s="265"/>
      <c r="B310" s="950" t="str">
        <f t="shared" si="21"/>
        <v/>
      </c>
      <c r="F310" s="161"/>
      <c r="I310" s="847"/>
    </row>
    <row r="311">
      <c r="A311" s="265"/>
      <c r="B311" s="950" t="str">
        <f t="shared" si="21"/>
        <v/>
      </c>
      <c r="F311" s="161"/>
      <c r="I311" s="847"/>
    </row>
    <row r="312">
      <c r="A312" s="265"/>
      <c r="B312" s="950" t="str">
        <f t="shared" si="21"/>
        <v/>
      </c>
      <c r="F312" s="161"/>
      <c r="I312" s="847"/>
    </row>
    <row r="313">
      <c r="A313" s="265"/>
      <c r="B313" s="950" t="str">
        <f t="shared" si="21"/>
        <v/>
      </c>
      <c r="F313" s="161"/>
      <c r="I313" s="847"/>
    </row>
    <row r="314">
      <c r="A314" s="270"/>
      <c r="B314" s="194">
        <f>SUM(B300:B313)</f>
        <v>33071.34</v>
      </c>
      <c r="C314" s="18"/>
      <c r="D314" s="18"/>
      <c r="E314" s="18"/>
      <c r="F314" s="952"/>
      <c r="G314" s="18"/>
      <c r="H314" s="18"/>
      <c r="I314" s="663"/>
    </row>
    <row r="315">
      <c r="A315" s="305">
        <v>43856.0</v>
      </c>
      <c r="B315" s="948" t="str">
        <f>F315</f>
        <v/>
      </c>
      <c r="C315" s="242"/>
      <c r="D315" s="242"/>
      <c r="E315" s="242"/>
      <c r="F315" s="949"/>
      <c r="G315" s="244"/>
      <c r="H315" s="244"/>
      <c r="I315" s="662"/>
    </row>
    <row r="316">
      <c r="A316" s="270"/>
      <c r="B316" s="194">
        <f>SUM(B315)</f>
        <v>0</v>
      </c>
      <c r="C316" s="18"/>
      <c r="D316" s="18"/>
      <c r="E316" s="18"/>
      <c r="F316" s="952"/>
      <c r="G316" s="18"/>
      <c r="H316" s="18"/>
      <c r="I316" s="663"/>
    </row>
    <row r="317">
      <c r="A317" s="305">
        <v>43857.0</v>
      </c>
      <c r="B317" s="948">
        <f t="shared" ref="B317:B330" si="22">F317</f>
        <v>2000</v>
      </c>
      <c r="C317" s="242"/>
      <c r="D317" s="242"/>
      <c r="E317" s="242"/>
      <c r="F317" s="949">
        <v>2000.0</v>
      </c>
      <c r="G317" s="244" t="s">
        <v>3731</v>
      </c>
      <c r="H317" s="244"/>
      <c r="I317" s="662"/>
    </row>
    <row r="318">
      <c r="A318" s="265"/>
      <c r="B318" s="950">
        <f t="shared" si="22"/>
        <v>1479</v>
      </c>
      <c r="F318" s="161">
        <v>1479.0</v>
      </c>
      <c r="G318" s="2" t="s">
        <v>4234</v>
      </c>
      <c r="I318" s="847"/>
    </row>
    <row r="319">
      <c r="A319" s="265"/>
      <c r="B319" s="950">
        <f t="shared" si="22"/>
        <v>2642</v>
      </c>
      <c r="F319" s="161">
        <v>2642.0</v>
      </c>
      <c r="G319" s="2" t="s">
        <v>4392</v>
      </c>
      <c r="I319" s="847"/>
    </row>
    <row r="320">
      <c r="A320" s="265"/>
      <c r="B320" s="950">
        <f t="shared" si="22"/>
        <v>1264.35</v>
      </c>
      <c r="F320" s="161">
        <v>1264.35</v>
      </c>
      <c r="G320" s="2" t="s">
        <v>58</v>
      </c>
      <c r="I320" s="847"/>
    </row>
    <row r="321">
      <c r="A321" s="265"/>
      <c r="B321" s="950">
        <f t="shared" si="22"/>
        <v>990</v>
      </c>
      <c r="F321" s="161">
        <v>990.0</v>
      </c>
      <c r="G321" s="2" t="s">
        <v>4231</v>
      </c>
      <c r="I321" s="847"/>
    </row>
    <row r="322">
      <c r="A322" s="265"/>
      <c r="B322" s="950">
        <f t="shared" si="22"/>
        <v>180</v>
      </c>
      <c r="F322" s="161">
        <v>180.0</v>
      </c>
      <c r="G322" s="2" t="s">
        <v>4393</v>
      </c>
      <c r="I322" s="847"/>
    </row>
    <row r="323">
      <c r="A323" s="265"/>
      <c r="B323" s="950">
        <f t="shared" si="22"/>
        <v>143</v>
      </c>
      <c r="F323" s="161">
        <v>143.0</v>
      </c>
      <c r="G323" s="2" t="s">
        <v>314</v>
      </c>
      <c r="I323" s="847"/>
    </row>
    <row r="324">
      <c r="A324" s="265"/>
      <c r="B324" s="950">
        <f t="shared" si="22"/>
        <v>100</v>
      </c>
      <c r="F324" s="161">
        <v>100.0</v>
      </c>
      <c r="G324" s="2" t="s">
        <v>3362</v>
      </c>
      <c r="H324" s="942"/>
      <c r="I324" s="847"/>
    </row>
    <row r="325">
      <c r="A325" s="265"/>
      <c r="B325" s="950" t="str">
        <f t="shared" si="22"/>
        <v/>
      </c>
      <c r="F325" s="161"/>
      <c r="I325" s="847"/>
    </row>
    <row r="326">
      <c r="A326" s="265"/>
      <c r="B326" s="950" t="str">
        <f t="shared" si="22"/>
        <v/>
      </c>
      <c r="F326" s="852"/>
      <c r="I326" s="847"/>
    </row>
    <row r="327">
      <c r="A327" s="265"/>
      <c r="B327" s="950" t="str">
        <f t="shared" si="22"/>
        <v/>
      </c>
      <c r="F327" s="161"/>
      <c r="I327" s="847"/>
    </row>
    <row r="328">
      <c r="A328" s="265"/>
      <c r="B328" s="950" t="str">
        <f t="shared" si="22"/>
        <v/>
      </c>
      <c r="F328" s="161"/>
      <c r="I328" s="847"/>
    </row>
    <row r="329">
      <c r="A329" s="265"/>
      <c r="B329" s="950" t="str">
        <f t="shared" si="22"/>
        <v/>
      </c>
      <c r="F329" s="161"/>
      <c r="I329" s="847"/>
    </row>
    <row r="330">
      <c r="A330" s="265"/>
      <c r="B330" s="950" t="str">
        <f t="shared" si="22"/>
        <v/>
      </c>
      <c r="F330" s="161"/>
      <c r="I330" s="847"/>
    </row>
    <row r="331">
      <c r="A331" s="270"/>
      <c r="B331" s="194">
        <f>SUM(B317:B330)</f>
        <v>8798.35</v>
      </c>
      <c r="C331" s="18"/>
      <c r="D331" s="18"/>
      <c r="E331" s="18"/>
      <c r="F331" s="952"/>
      <c r="G331" s="18"/>
      <c r="H331" s="18"/>
      <c r="I331" s="663"/>
    </row>
    <row r="332">
      <c r="A332" s="305">
        <v>43858.0</v>
      </c>
      <c r="B332" s="948">
        <f t="shared" ref="B332:B345" si="23">F332</f>
        <v>2074</v>
      </c>
      <c r="C332" s="242"/>
      <c r="D332" s="242"/>
      <c r="E332" s="242"/>
      <c r="F332" s="949">
        <v>2074.0</v>
      </c>
      <c r="G332" s="244" t="s">
        <v>4268</v>
      </c>
      <c r="H332" s="244"/>
      <c r="I332" s="662"/>
    </row>
    <row r="333">
      <c r="A333" s="265"/>
      <c r="B333" s="950">
        <f t="shared" si="23"/>
        <v>287.93</v>
      </c>
      <c r="F333" s="161">
        <v>287.93</v>
      </c>
      <c r="G333" s="2" t="s">
        <v>3821</v>
      </c>
      <c r="H333">
        <f>288/6</f>
        <v>48</v>
      </c>
      <c r="I333" s="963" t="s">
        <v>4394</v>
      </c>
    </row>
    <row r="334">
      <c r="A334" s="265"/>
      <c r="B334" s="950">
        <f t="shared" si="23"/>
        <v>319</v>
      </c>
      <c r="F334" s="161">
        <v>319.0</v>
      </c>
      <c r="G334" s="2" t="s">
        <v>612</v>
      </c>
      <c r="H334" s="2" t="s">
        <v>1385</v>
      </c>
      <c r="I334" s="847"/>
    </row>
    <row r="335">
      <c r="A335" s="265"/>
      <c r="B335" s="950">
        <f t="shared" si="23"/>
        <v>3200</v>
      </c>
      <c r="F335" s="161">
        <v>3200.0</v>
      </c>
      <c r="G335" s="2" t="s">
        <v>4175</v>
      </c>
      <c r="I335" s="847"/>
    </row>
    <row r="336">
      <c r="A336" s="265"/>
      <c r="B336" s="950">
        <f t="shared" si="23"/>
        <v>3000</v>
      </c>
      <c r="F336" s="161">
        <v>3000.0</v>
      </c>
      <c r="G336" s="2" t="s">
        <v>3904</v>
      </c>
      <c r="I336" s="847"/>
    </row>
    <row r="337">
      <c r="A337" s="265"/>
      <c r="B337" s="950" t="str">
        <f t="shared" si="23"/>
        <v/>
      </c>
      <c r="C337" s="2">
        <v>9808.04</v>
      </c>
      <c r="F337" s="161"/>
      <c r="G337" s="2" t="s">
        <v>2637</v>
      </c>
      <c r="I337" s="847"/>
    </row>
    <row r="338">
      <c r="A338" s="265"/>
      <c r="B338" s="950">
        <f t="shared" si="23"/>
        <v>700</v>
      </c>
      <c r="F338" s="161">
        <v>700.0</v>
      </c>
      <c r="G338" s="2" t="s">
        <v>3437</v>
      </c>
      <c r="H338" s="942"/>
      <c r="I338" s="847"/>
    </row>
    <row r="339">
      <c r="A339" s="265"/>
      <c r="B339" s="950" t="str">
        <f t="shared" si="23"/>
        <v/>
      </c>
      <c r="D339" s="2">
        <v>1852.1</v>
      </c>
      <c r="F339" s="161"/>
      <c r="G339" s="2" t="s">
        <v>3415</v>
      </c>
      <c r="I339" s="847"/>
    </row>
    <row r="340">
      <c r="A340" s="265"/>
      <c r="B340" s="950" t="str">
        <f t="shared" si="23"/>
        <v/>
      </c>
      <c r="D340" s="2">
        <v>3394.8</v>
      </c>
      <c r="F340" s="161"/>
      <c r="G340" s="2" t="s">
        <v>4323</v>
      </c>
      <c r="I340" s="847"/>
    </row>
    <row r="341">
      <c r="A341" s="265"/>
      <c r="B341" s="950" t="str">
        <f t="shared" si="23"/>
        <v/>
      </c>
      <c r="D341" s="2">
        <v>14520.0</v>
      </c>
      <c r="F341" s="852"/>
      <c r="G341" s="2" t="s">
        <v>4321</v>
      </c>
      <c r="I341" s="847"/>
    </row>
    <row r="342">
      <c r="A342" s="265"/>
      <c r="B342" s="950">
        <f t="shared" si="23"/>
        <v>1000</v>
      </c>
      <c r="F342" s="161">
        <v>1000.0</v>
      </c>
      <c r="G342" s="2" t="s">
        <v>3427</v>
      </c>
      <c r="I342" s="847"/>
    </row>
    <row r="343">
      <c r="A343" s="265"/>
      <c r="B343" s="950">
        <f t="shared" si="23"/>
        <v>1575</v>
      </c>
      <c r="F343" s="161">
        <v>1575.0</v>
      </c>
      <c r="G343" s="2" t="s">
        <v>4395</v>
      </c>
      <c r="I343" s="847"/>
    </row>
    <row r="344">
      <c r="A344" s="265"/>
      <c r="B344" s="950">
        <f t="shared" si="23"/>
        <v>75</v>
      </c>
      <c r="F344" s="161">
        <v>75.0</v>
      </c>
      <c r="G344" s="2" t="s">
        <v>4396</v>
      </c>
      <c r="I344" s="847"/>
    </row>
    <row r="345">
      <c r="A345" s="265"/>
      <c r="B345" s="950">
        <f t="shared" si="23"/>
        <v>500</v>
      </c>
      <c r="F345" s="161">
        <v>500.0</v>
      </c>
      <c r="G345" s="2" t="s">
        <v>3893</v>
      </c>
      <c r="H345" s="942"/>
      <c r="I345" s="847"/>
    </row>
    <row r="346">
      <c r="A346" s="270"/>
      <c r="B346" s="194">
        <f>SUM(B332:B345)</f>
        <v>12730.93</v>
      </c>
      <c r="C346" s="18"/>
      <c r="D346" s="18"/>
      <c r="E346" s="18"/>
      <c r="F346" s="968">
        <v>300.0</v>
      </c>
      <c r="G346" s="293" t="s">
        <v>4397</v>
      </c>
      <c r="H346" s="18"/>
      <c r="I346" s="663"/>
    </row>
    <row r="347">
      <c r="A347" s="305">
        <v>43859.0</v>
      </c>
      <c r="B347" s="948">
        <f t="shared" ref="B347:B360" si="24">F347</f>
        <v>2000</v>
      </c>
      <c r="C347" s="242"/>
      <c r="D347" s="242"/>
      <c r="E347" s="242"/>
      <c r="F347" s="949">
        <v>2000.0</v>
      </c>
      <c r="G347" s="244" t="s">
        <v>3807</v>
      </c>
      <c r="H347" s="962"/>
      <c r="I347" s="662"/>
    </row>
    <row r="348">
      <c r="A348" s="265"/>
      <c r="B348" s="950">
        <f t="shared" si="24"/>
        <v>2000</v>
      </c>
      <c r="F348" s="161">
        <v>2000.0</v>
      </c>
      <c r="G348" s="2" t="s">
        <v>3904</v>
      </c>
      <c r="I348" s="847"/>
    </row>
    <row r="349">
      <c r="A349" s="265"/>
      <c r="B349" s="950">
        <f t="shared" si="24"/>
        <v>2165</v>
      </c>
      <c r="F349" s="161">
        <v>2165.0</v>
      </c>
      <c r="G349" s="2" t="s">
        <v>4268</v>
      </c>
      <c r="I349" s="847"/>
    </row>
    <row r="350">
      <c r="A350" s="265"/>
      <c r="B350" s="950">
        <f t="shared" si="24"/>
        <v>1785</v>
      </c>
      <c r="F350" s="161">
        <v>1785.0</v>
      </c>
      <c r="G350" s="2" t="s">
        <v>4234</v>
      </c>
      <c r="I350" s="847"/>
    </row>
    <row r="351">
      <c r="A351" s="265"/>
      <c r="B351" s="950">
        <f t="shared" si="24"/>
        <v>1264.35</v>
      </c>
      <c r="F351" s="161">
        <v>1264.35</v>
      </c>
      <c r="G351" s="2" t="s">
        <v>58</v>
      </c>
      <c r="I351" s="847"/>
    </row>
    <row r="352">
      <c r="A352" s="265"/>
      <c r="B352" s="950" t="str">
        <f t="shared" si="24"/>
        <v/>
      </c>
      <c r="D352" s="2">
        <v>12600.0</v>
      </c>
      <c r="F352" s="161"/>
      <c r="G352" s="2" t="s">
        <v>4096</v>
      </c>
      <c r="I352" s="847"/>
    </row>
    <row r="353">
      <c r="A353" s="265"/>
      <c r="B353" s="950" t="str">
        <f t="shared" si="24"/>
        <v/>
      </c>
      <c r="D353" s="2">
        <v>7934.4</v>
      </c>
      <c r="F353" s="852"/>
      <c r="G353" s="2" t="s">
        <v>4239</v>
      </c>
      <c r="I353" s="847"/>
    </row>
    <row r="354">
      <c r="A354" s="265"/>
      <c r="B354" s="950">
        <f t="shared" si="24"/>
        <v>260</v>
      </c>
      <c r="F354" s="161">
        <v>260.0</v>
      </c>
      <c r="G354" s="2" t="s">
        <v>4398</v>
      </c>
      <c r="I354" s="847"/>
    </row>
    <row r="355">
      <c r="A355" s="265"/>
      <c r="B355" s="950">
        <f t="shared" si="24"/>
        <v>700</v>
      </c>
      <c r="F355" s="161">
        <v>700.0</v>
      </c>
      <c r="G355" s="2" t="s">
        <v>3135</v>
      </c>
      <c r="I355" s="847"/>
    </row>
    <row r="356">
      <c r="A356" s="265"/>
      <c r="B356" s="950">
        <f t="shared" si="24"/>
        <v>2490</v>
      </c>
      <c r="F356" s="161">
        <v>2490.0</v>
      </c>
      <c r="G356" s="2" t="s">
        <v>99</v>
      </c>
      <c r="I356" s="847"/>
    </row>
    <row r="357">
      <c r="A357" s="265"/>
      <c r="B357" s="950">
        <f t="shared" si="24"/>
        <v>3195</v>
      </c>
      <c r="F357" s="161">
        <v>3195.0</v>
      </c>
      <c r="G357" s="2" t="s">
        <v>3784</v>
      </c>
      <c r="I357" s="847"/>
    </row>
    <row r="358">
      <c r="A358" s="265"/>
      <c r="B358" s="950">
        <f t="shared" si="24"/>
        <v>500</v>
      </c>
      <c r="F358" s="161">
        <v>500.0</v>
      </c>
      <c r="G358" s="2" t="s">
        <v>4240</v>
      </c>
      <c r="H358" s="942"/>
      <c r="I358" s="847"/>
    </row>
    <row r="359">
      <c r="A359" s="265"/>
      <c r="B359" s="950" t="str">
        <f t="shared" si="24"/>
        <v/>
      </c>
      <c r="F359" s="161"/>
      <c r="I359" s="847"/>
    </row>
    <row r="360">
      <c r="A360" s="265"/>
      <c r="B360" s="950" t="str">
        <f t="shared" si="24"/>
        <v/>
      </c>
      <c r="F360" s="161"/>
      <c r="I360" s="847"/>
    </row>
    <row r="361">
      <c r="A361" s="270"/>
      <c r="B361" s="194">
        <f>SUM(B347:B360)</f>
        <v>16359.35</v>
      </c>
      <c r="C361" s="18"/>
      <c r="D361" s="18"/>
      <c r="E361" s="18"/>
      <c r="F361" s="952"/>
      <c r="G361" s="18"/>
      <c r="H361" s="18"/>
      <c r="I361" s="663"/>
    </row>
    <row r="362">
      <c r="A362" s="305">
        <v>43860.0</v>
      </c>
      <c r="B362" s="948">
        <f t="shared" ref="B362:B375" si="25">F362</f>
        <v>3000</v>
      </c>
      <c r="C362" s="242"/>
      <c r="D362" s="242"/>
      <c r="E362" s="242"/>
      <c r="F362" s="949">
        <v>3000.0</v>
      </c>
      <c r="G362" s="244" t="s">
        <v>3904</v>
      </c>
      <c r="H362" s="244"/>
      <c r="I362" s="662"/>
    </row>
    <row r="363">
      <c r="A363" s="265"/>
      <c r="B363" s="950">
        <f t="shared" si="25"/>
        <v>120</v>
      </c>
      <c r="F363" s="161">
        <v>120.0</v>
      </c>
      <c r="G363" s="2" t="s">
        <v>4399</v>
      </c>
      <c r="I363" s="847"/>
    </row>
    <row r="364">
      <c r="A364" s="265"/>
      <c r="B364" s="950">
        <f t="shared" si="25"/>
        <v>4616</v>
      </c>
      <c r="F364" s="161">
        <v>4616.0</v>
      </c>
      <c r="G364" s="2" t="s">
        <v>4234</v>
      </c>
      <c r="I364" s="847"/>
    </row>
    <row r="365">
      <c r="A365" s="265"/>
      <c r="B365" s="950">
        <f t="shared" si="25"/>
        <v>1160</v>
      </c>
      <c r="F365" s="161">
        <v>1160.0</v>
      </c>
      <c r="G365" s="2" t="s">
        <v>314</v>
      </c>
      <c r="I365" s="847"/>
    </row>
    <row r="366">
      <c r="A366" s="265"/>
      <c r="B366" s="950">
        <f t="shared" si="25"/>
        <v>1500</v>
      </c>
      <c r="F366" s="161">
        <v>1500.0</v>
      </c>
      <c r="G366" s="2" t="s">
        <v>4240</v>
      </c>
      <c r="H366" s="942"/>
      <c r="I366" s="847"/>
    </row>
    <row r="367">
      <c r="A367" s="265"/>
      <c r="B367" s="950">
        <f t="shared" si="25"/>
        <v>500</v>
      </c>
      <c r="F367" s="161">
        <v>500.0</v>
      </c>
      <c r="G367" s="2" t="s">
        <v>3818</v>
      </c>
      <c r="H367" s="942"/>
      <c r="I367" s="847"/>
    </row>
    <row r="368">
      <c r="A368" s="265"/>
      <c r="B368" s="950">
        <f t="shared" si="25"/>
        <v>1750</v>
      </c>
      <c r="F368" s="161">
        <v>1750.0</v>
      </c>
      <c r="G368" s="2" t="s">
        <v>3980</v>
      </c>
      <c r="I368" s="847"/>
    </row>
    <row r="369">
      <c r="A369" s="265"/>
      <c r="B369" s="950" t="str">
        <f t="shared" si="25"/>
        <v/>
      </c>
      <c r="F369" s="161"/>
      <c r="I369" s="847"/>
    </row>
    <row r="370">
      <c r="A370" s="265"/>
      <c r="B370" s="950" t="str">
        <f t="shared" si="25"/>
        <v/>
      </c>
      <c r="F370" s="161"/>
      <c r="I370" s="847"/>
    </row>
    <row r="371">
      <c r="A371" s="265"/>
      <c r="B371" s="950" t="str">
        <f t="shared" si="25"/>
        <v/>
      </c>
      <c r="F371" s="852"/>
      <c r="I371" s="847"/>
    </row>
    <row r="372">
      <c r="A372" s="265"/>
      <c r="B372" s="950" t="str">
        <f t="shared" si="25"/>
        <v/>
      </c>
      <c r="F372" s="161"/>
      <c r="I372" s="847"/>
    </row>
    <row r="373">
      <c r="A373" s="265"/>
      <c r="B373" s="950" t="str">
        <f t="shared" si="25"/>
        <v/>
      </c>
      <c r="F373" s="161"/>
      <c r="I373" s="847"/>
    </row>
    <row r="374">
      <c r="A374" s="265"/>
      <c r="B374" s="950" t="str">
        <f t="shared" si="25"/>
        <v/>
      </c>
      <c r="F374" s="161"/>
      <c r="I374" s="847"/>
    </row>
    <row r="375">
      <c r="A375" s="265"/>
      <c r="B375" s="950" t="str">
        <f t="shared" si="25"/>
        <v/>
      </c>
      <c r="F375" s="161"/>
      <c r="I375" s="847"/>
    </row>
    <row r="376">
      <c r="A376" s="270"/>
      <c r="B376" s="194">
        <f>SUM(B362:B375)</f>
        <v>12646</v>
      </c>
      <c r="C376" s="18"/>
      <c r="D376" s="18"/>
      <c r="E376" s="18"/>
      <c r="F376" s="952"/>
      <c r="G376" s="18"/>
      <c r="H376" s="18"/>
      <c r="I376" s="663"/>
    </row>
    <row r="377">
      <c r="A377" s="305">
        <v>43861.0</v>
      </c>
      <c r="B377" s="948">
        <f t="shared" ref="B377:B390" si="26">F377</f>
        <v>2201.5</v>
      </c>
      <c r="C377" s="242"/>
      <c r="D377" s="242"/>
      <c r="E377" s="242"/>
      <c r="F377" s="949">
        <v>2201.5</v>
      </c>
      <c r="G377" s="244" t="s">
        <v>4230</v>
      </c>
      <c r="H377" s="244"/>
      <c r="I377" s="662"/>
    </row>
    <row r="378">
      <c r="A378" s="265"/>
      <c r="B378" s="950">
        <f t="shared" si="26"/>
        <v>1372.26</v>
      </c>
      <c r="F378" s="161">
        <v>1372.26</v>
      </c>
      <c r="G378" s="2" t="s">
        <v>58</v>
      </c>
      <c r="I378" s="847"/>
    </row>
    <row r="379">
      <c r="A379" s="265"/>
      <c r="B379" s="950">
        <f t="shared" si="26"/>
        <v>264</v>
      </c>
      <c r="F379" s="161">
        <v>264.0</v>
      </c>
      <c r="G379" s="2" t="s">
        <v>314</v>
      </c>
      <c r="I379" s="847"/>
    </row>
    <row r="380">
      <c r="A380" s="265"/>
      <c r="B380" s="950">
        <f t="shared" si="26"/>
        <v>310</v>
      </c>
      <c r="F380" s="161">
        <v>310.0</v>
      </c>
      <c r="G380" s="2" t="s">
        <v>4400</v>
      </c>
      <c r="I380" s="847"/>
    </row>
    <row r="381">
      <c r="A381" s="265"/>
      <c r="B381" s="950">
        <f t="shared" si="26"/>
        <v>180</v>
      </c>
      <c r="F381" s="161">
        <v>180.0</v>
      </c>
      <c r="G381" s="2" t="s">
        <v>1729</v>
      </c>
      <c r="I381" s="847"/>
    </row>
    <row r="382">
      <c r="A382" s="265"/>
      <c r="B382" s="950">
        <f t="shared" si="26"/>
        <v>5000</v>
      </c>
      <c r="F382" s="161">
        <v>5000.0</v>
      </c>
      <c r="G382" s="2" t="s">
        <v>4401</v>
      </c>
      <c r="H382" s="942"/>
      <c r="I382" s="963">
        <v>7000.0</v>
      </c>
    </row>
    <row r="383">
      <c r="A383" s="265"/>
      <c r="B383" s="950">
        <f t="shared" si="26"/>
        <v>4300</v>
      </c>
      <c r="F383" s="161">
        <v>4300.0</v>
      </c>
      <c r="G383" s="2" t="s">
        <v>4402</v>
      </c>
      <c r="H383" s="942"/>
      <c r="I383" s="963">
        <v>4400.0</v>
      </c>
    </row>
    <row r="384">
      <c r="A384" s="265"/>
      <c r="B384" s="950">
        <f t="shared" si="26"/>
        <v>10300</v>
      </c>
      <c r="F384" s="161">
        <v>10300.0</v>
      </c>
      <c r="G384" s="2" t="s">
        <v>4403</v>
      </c>
      <c r="H384" s="942"/>
      <c r="I384" s="963">
        <v>10800.0</v>
      </c>
    </row>
    <row r="385">
      <c r="A385" s="265"/>
      <c r="B385" s="950">
        <f t="shared" si="26"/>
        <v>10300</v>
      </c>
      <c r="F385" s="161">
        <v>10300.0</v>
      </c>
      <c r="G385" s="2" t="s">
        <v>4404</v>
      </c>
      <c r="H385" s="942"/>
      <c r="I385" s="963">
        <v>12300.0</v>
      </c>
    </row>
    <row r="386">
      <c r="A386" s="265"/>
      <c r="B386" s="950">
        <f t="shared" si="26"/>
        <v>6000</v>
      </c>
      <c r="F386" s="161">
        <v>6000.0</v>
      </c>
      <c r="G386" s="2" t="s">
        <v>4405</v>
      </c>
      <c r="H386" s="942"/>
      <c r="I386" s="963">
        <v>6000.0</v>
      </c>
    </row>
    <row r="387">
      <c r="A387" s="265"/>
      <c r="B387" s="950">
        <f t="shared" si="26"/>
        <v>299.51</v>
      </c>
      <c r="F387" s="161">
        <v>299.51</v>
      </c>
      <c r="G387" s="2" t="s">
        <v>4406</v>
      </c>
      <c r="I387" s="847"/>
    </row>
    <row r="388">
      <c r="A388" s="265"/>
      <c r="B388" s="950">
        <f t="shared" si="26"/>
        <v>1000</v>
      </c>
      <c r="F388" s="161">
        <v>1000.0</v>
      </c>
      <c r="G388" s="2" t="s">
        <v>4038</v>
      </c>
      <c r="H388" s="942"/>
      <c r="I388" s="847"/>
    </row>
    <row r="389">
      <c r="A389" s="265"/>
      <c r="B389" s="950" t="str">
        <f t="shared" si="26"/>
        <v/>
      </c>
      <c r="F389" s="161"/>
      <c r="I389" s="847"/>
    </row>
    <row r="390">
      <c r="A390" s="265"/>
      <c r="B390" s="950" t="str">
        <f t="shared" si="26"/>
        <v/>
      </c>
      <c r="F390" s="161"/>
      <c r="I390" s="847"/>
    </row>
    <row r="391">
      <c r="A391" s="270"/>
      <c r="B391" s="194">
        <f>SUM(B377:B390)</f>
        <v>41527.27</v>
      </c>
      <c r="C391" s="18"/>
      <c r="D391" s="18"/>
      <c r="E391" s="18"/>
      <c r="F391" s="952"/>
      <c r="G391" s="18"/>
      <c r="H391" s="18"/>
      <c r="I391" s="663"/>
    </row>
  </sheetData>
  <mergeCells count="32">
    <mergeCell ref="G1:H1"/>
    <mergeCell ref="A2:A3"/>
    <mergeCell ref="A4:A15"/>
    <mergeCell ref="A16:A33"/>
    <mergeCell ref="A34:A36"/>
    <mergeCell ref="A37:A38"/>
    <mergeCell ref="A39:A53"/>
    <mergeCell ref="A54:A68"/>
    <mergeCell ref="A69:A83"/>
    <mergeCell ref="A84:A98"/>
    <mergeCell ref="A99:A113"/>
    <mergeCell ref="A114:A128"/>
    <mergeCell ref="A129:A130"/>
    <mergeCell ref="A131:A145"/>
    <mergeCell ref="A146:A160"/>
    <mergeCell ref="A161:A175"/>
    <mergeCell ref="A176:A190"/>
    <mergeCell ref="A191:A207"/>
    <mergeCell ref="A208:A222"/>
    <mergeCell ref="A223:A224"/>
    <mergeCell ref="A225:A239"/>
    <mergeCell ref="A332:A346"/>
    <mergeCell ref="A347:A361"/>
    <mergeCell ref="A362:A376"/>
    <mergeCell ref="A377:A391"/>
    <mergeCell ref="A240:A254"/>
    <mergeCell ref="A255:A269"/>
    <mergeCell ref="A270:A284"/>
    <mergeCell ref="A285:A299"/>
    <mergeCell ref="A300:A314"/>
    <mergeCell ref="A315:A316"/>
    <mergeCell ref="A317:A331"/>
  </mergeCells>
  <printOptions gridLines="1" horizontalCentered="1"/>
  <pageMargins bottom="0.18897637795275593" footer="0.0" header="0.0" left="0.18897637795275593" right="0.43173834039975784" top="0.16190187764990918"/>
  <pageSetup paperSize="9" cellComments="atEnd" orientation="portrait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13"/>
    <col customWidth="1" min="2" max="2" width="11.63"/>
    <col customWidth="1" min="3" max="3" width="9.13"/>
    <col customWidth="1" min="4" max="4" width="7.75"/>
    <col customWidth="1" min="5" max="5" width="8.0"/>
    <col customWidth="1" min="6" max="34" width="9.13"/>
  </cols>
  <sheetData>
    <row r="1" ht="25.5" customHeight="1">
      <c r="A1" s="6"/>
      <c r="B1" s="6" t="s">
        <v>9</v>
      </c>
      <c r="C1" s="7" t="s">
        <v>10</v>
      </c>
      <c r="D1" s="9" t="s">
        <v>12</v>
      </c>
      <c r="E1" s="10" t="s">
        <v>13</v>
      </c>
      <c r="F1" s="6" t="s">
        <v>14</v>
      </c>
      <c r="G1" s="6" t="s">
        <v>4407</v>
      </c>
      <c r="H1" s="6" t="s">
        <v>17</v>
      </c>
      <c r="I1" s="6" t="s">
        <v>3703</v>
      </c>
      <c r="J1" s="14" t="s">
        <v>18</v>
      </c>
      <c r="K1" s="877" t="s">
        <v>3704</v>
      </c>
      <c r="L1" s="878" t="s">
        <v>3705</v>
      </c>
      <c r="M1" s="6" t="s">
        <v>3706</v>
      </c>
      <c r="N1" s="17" t="s">
        <v>3707</v>
      </c>
      <c r="O1" s="18"/>
      <c r="P1" s="6" t="s">
        <v>3708</v>
      </c>
      <c r="Q1" s="6" t="s">
        <v>3709</v>
      </c>
      <c r="R1" s="879" t="s">
        <v>3710</v>
      </c>
      <c r="S1" s="6" t="s">
        <v>3711</v>
      </c>
      <c r="T1" s="6" t="s">
        <v>4408</v>
      </c>
      <c r="U1" s="6" t="s">
        <v>4409</v>
      </c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>
      <c r="A2" s="105" t="s">
        <v>27</v>
      </c>
      <c r="B2" s="43">
        <v>43709.0</v>
      </c>
      <c r="C2" s="108"/>
      <c r="D2" s="108"/>
      <c r="E2" s="108"/>
      <c r="F2" s="108"/>
      <c r="G2" s="108"/>
      <c r="H2" s="108"/>
      <c r="I2" s="108"/>
      <c r="J2" s="230"/>
      <c r="K2" s="108" t="str">
        <f>D2</f>
        <v/>
      </c>
      <c r="L2" s="108"/>
      <c r="M2" s="108">
        <f>SUM(D2:J2)-(C2+E2)</f>
        <v>0</v>
      </c>
      <c r="N2" s="109"/>
      <c r="O2" s="987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>
      <c r="A3" s="988" t="s">
        <v>21</v>
      </c>
      <c r="B3" s="989">
        <v>43710.0</v>
      </c>
      <c r="C3" s="909">
        <v>54701.75</v>
      </c>
      <c r="D3" s="910">
        <v>971.0</v>
      </c>
      <c r="E3" s="911">
        <v>300.0</v>
      </c>
      <c r="F3" s="173">
        <f>2180+1135+520+4135+860+80+1950+1730+250+21335+3138+250+315</f>
        <v>37878</v>
      </c>
      <c r="G3" s="175"/>
      <c r="H3" s="175">
        <v>2987.5</v>
      </c>
      <c r="I3" s="175"/>
      <c r="J3" s="912">
        <v>12516.0</v>
      </c>
      <c r="K3" s="913">
        <f t="shared" ref="K3:K50" si="1">D3+E3</f>
        <v>1271</v>
      </c>
      <c r="L3" s="914">
        <f t="shared" ref="L3:L58" si="2">(D3+E3+J3)-K3</f>
        <v>12516</v>
      </c>
      <c r="M3" s="173">
        <f>SUM(D3:J3)-(C3)</f>
        <v>-49.25</v>
      </c>
      <c r="N3" s="211">
        <v>12600.0</v>
      </c>
      <c r="O3" s="33">
        <f>'PAGOS SEP19'!B9</f>
        <v>12116.45</v>
      </c>
      <c r="P3" s="173">
        <f t="shared" ref="P3:P125" si="3">N3-O3</f>
        <v>483.55</v>
      </c>
      <c r="Q3" s="173">
        <f t="shared" ref="Q3:Q125" si="4">(N3+J3)-O3</f>
        <v>12999.55</v>
      </c>
      <c r="R3" s="915">
        <v>10000.0</v>
      </c>
      <c r="S3" s="175">
        <f>R3+Q3</f>
        <v>22999.55</v>
      </c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</row>
    <row r="4">
      <c r="A4" s="38" t="s">
        <v>22</v>
      </c>
      <c r="B4" s="41">
        <v>43711.0</v>
      </c>
      <c r="C4" s="22">
        <v>54151.0</v>
      </c>
      <c r="D4" s="24">
        <v>1130.0</v>
      </c>
      <c r="E4" s="25">
        <v>300.0</v>
      </c>
      <c r="F4" s="33">
        <f>3025+785+7655+605+2505+170+20310+1590+250+10</f>
        <v>36905</v>
      </c>
      <c r="G4" s="35"/>
      <c r="H4" s="35">
        <v>3532.5</v>
      </c>
      <c r="I4" s="35"/>
      <c r="J4" s="30">
        <v>10560.0</v>
      </c>
      <c r="K4" s="114">
        <f t="shared" si="1"/>
        <v>1430</v>
      </c>
      <c r="L4" s="881">
        <f t="shared" si="2"/>
        <v>10560</v>
      </c>
      <c r="M4" s="33">
        <f>SUM(D4:J4)-(C4+E4)</f>
        <v>-2023.5</v>
      </c>
      <c r="N4" s="40">
        <f t="shared" ref="N4:N125" si="5">S3</f>
        <v>22999.55</v>
      </c>
      <c r="O4" s="33">
        <f>'PAGOS SEP19'!B19</f>
        <v>18559.09</v>
      </c>
      <c r="P4" s="33">
        <f t="shared" si="3"/>
        <v>4440.46</v>
      </c>
      <c r="Q4" s="33">
        <f t="shared" si="4"/>
        <v>15000.46</v>
      </c>
      <c r="R4" s="882">
        <v>0.0</v>
      </c>
      <c r="S4" s="175">
        <f t="shared" ref="S4:S125" si="6">Q4+R4</f>
        <v>15000.46</v>
      </c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38" t="s">
        <v>32</v>
      </c>
      <c r="B5" s="41">
        <v>43712.0</v>
      </c>
      <c r="C5" s="22">
        <v>59657.0</v>
      </c>
      <c r="D5" s="227">
        <f>510+175+220+250+700</f>
        <v>1855</v>
      </c>
      <c r="E5" s="25">
        <v>100.0</v>
      </c>
      <c r="F5" s="33">
        <f>3300+480+3680+250+21920+2336+1020+6245+1990+1005+200+585</f>
        <v>43011</v>
      </c>
      <c r="G5" s="35"/>
      <c r="H5" s="35">
        <v>2697.5</v>
      </c>
      <c r="I5" s="35"/>
      <c r="J5" s="30">
        <v>12187.0</v>
      </c>
      <c r="K5" s="114">
        <f t="shared" si="1"/>
        <v>1955</v>
      </c>
      <c r="L5" s="881">
        <f t="shared" si="2"/>
        <v>12187</v>
      </c>
      <c r="M5" s="33">
        <f t="shared" ref="M5:M6" si="7">SUM(D5:J5)-(C5)</f>
        <v>193.5</v>
      </c>
      <c r="N5" s="40">
        <f t="shared" si="5"/>
        <v>15000.46</v>
      </c>
      <c r="O5" s="33">
        <f>'PAGOS SEP19'!B36</f>
        <v>23887.2</v>
      </c>
      <c r="P5" s="33">
        <f t="shared" si="3"/>
        <v>-8886.74</v>
      </c>
      <c r="Q5" s="33">
        <f t="shared" si="4"/>
        <v>3300.26</v>
      </c>
      <c r="R5" s="882">
        <f>(19500)-5800</f>
        <v>13700</v>
      </c>
      <c r="S5" s="175">
        <f t="shared" si="6"/>
        <v>17000.26</v>
      </c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38" t="s">
        <v>24</v>
      </c>
      <c r="B6" s="41">
        <v>43713.0</v>
      </c>
      <c r="C6" s="22">
        <v>62543.0</v>
      </c>
      <c r="D6" s="24">
        <v>1965.0</v>
      </c>
      <c r="E6" s="25">
        <v>600.0</v>
      </c>
      <c r="F6" s="35">
        <v>42590.0</v>
      </c>
      <c r="G6" s="35"/>
      <c r="H6" s="35">
        <v>3538.75</v>
      </c>
      <c r="I6" s="35"/>
      <c r="J6" s="30">
        <v>13228.0</v>
      </c>
      <c r="K6" s="114">
        <f t="shared" si="1"/>
        <v>2565</v>
      </c>
      <c r="L6" s="881">
        <f t="shared" si="2"/>
        <v>13228</v>
      </c>
      <c r="M6" s="33">
        <f t="shared" si="7"/>
        <v>-621.25</v>
      </c>
      <c r="N6" s="40">
        <f t="shared" si="5"/>
        <v>17000.26</v>
      </c>
      <c r="O6" s="33">
        <f>'PAGOS SEP19'!B46</f>
        <v>17228.26</v>
      </c>
      <c r="P6" s="33">
        <f t="shared" si="3"/>
        <v>-228</v>
      </c>
      <c r="Q6" s="33">
        <f t="shared" si="4"/>
        <v>13000</v>
      </c>
      <c r="R6" s="882">
        <v>0.0</v>
      </c>
      <c r="S6" s="175">
        <f t="shared" si="6"/>
        <v>13000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>
      <c r="A7" s="38" t="s">
        <v>25</v>
      </c>
      <c r="B7" s="41">
        <v>43714.0</v>
      </c>
      <c r="C7" s="22">
        <v>43975.75</v>
      </c>
      <c r="D7" s="227">
        <f>700+100+270+75</f>
        <v>1145</v>
      </c>
      <c r="E7" s="25">
        <v>300.0</v>
      </c>
      <c r="F7" s="33">
        <f>15065+4750+390+740+220+1320+2310+310+115+3900+690</f>
        <v>29810</v>
      </c>
      <c r="G7" s="35"/>
      <c r="H7" s="35">
        <v>1640.75</v>
      </c>
      <c r="I7" s="35"/>
      <c r="J7" s="30">
        <v>12397.0</v>
      </c>
      <c r="K7" s="114">
        <f t="shared" si="1"/>
        <v>1445</v>
      </c>
      <c r="L7" s="881">
        <f t="shared" si="2"/>
        <v>12397</v>
      </c>
      <c r="M7" s="33">
        <f t="shared" ref="M7:M11" si="8">SUM(D7:J7)-(C7+E7)</f>
        <v>1017</v>
      </c>
      <c r="N7" s="40">
        <f t="shared" si="5"/>
        <v>13000</v>
      </c>
      <c r="O7" s="33">
        <f>'PAGOS SEP19'!B60</f>
        <v>14396.94</v>
      </c>
      <c r="P7" s="33">
        <f t="shared" si="3"/>
        <v>-1396.94</v>
      </c>
      <c r="Q7" s="33">
        <f t="shared" si="4"/>
        <v>11000.06</v>
      </c>
      <c r="R7" s="882">
        <v>30000.0</v>
      </c>
      <c r="S7" s="175">
        <f t="shared" si="6"/>
        <v>41000.06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38" t="s">
        <v>33</v>
      </c>
      <c r="B8" s="41">
        <v>43715.0</v>
      </c>
      <c r="C8" s="22">
        <v>24181.0</v>
      </c>
      <c r="D8" s="227">
        <f>60+50+600+40+35</f>
        <v>785</v>
      </c>
      <c r="E8" s="25">
        <v>300.0</v>
      </c>
      <c r="F8" s="33">
        <f>500+3005+575+1475+1675+740+700</f>
        <v>8670</v>
      </c>
      <c r="G8" s="35"/>
      <c r="H8" s="35">
        <v>3518.0</v>
      </c>
      <c r="I8" s="35"/>
      <c r="J8" s="30">
        <v>12648.0</v>
      </c>
      <c r="K8" s="114">
        <f t="shared" si="1"/>
        <v>1085</v>
      </c>
      <c r="L8" s="881">
        <f t="shared" si="2"/>
        <v>12648</v>
      </c>
      <c r="M8" s="33">
        <f t="shared" si="8"/>
        <v>1440</v>
      </c>
      <c r="N8" s="40">
        <f t="shared" si="5"/>
        <v>41000.06</v>
      </c>
      <c r="O8" s="33">
        <f>'PAGOS SEP19'!B71</f>
        <v>30147.63</v>
      </c>
      <c r="P8" s="33">
        <f t="shared" si="3"/>
        <v>10852.43</v>
      </c>
      <c r="Q8" s="33">
        <f t="shared" si="4"/>
        <v>23500.43</v>
      </c>
      <c r="R8" s="935"/>
      <c r="S8" s="175">
        <f t="shared" si="6"/>
        <v>23500.43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>
      <c r="A9" s="105" t="s">
        <v>27</v>
      </c>
      <c r="B9" s="43">
        <v>43716.0</v>
      </c>
      <c r="C9" s="108"/>
      <c r="D9" s="108"/>
      <c r="E9" s="108"/>
      <c r="F9" s="108"/>
      <c r="G9" s="108"/>
      <c r="H9" s="108"/>
      <c r="I9" s="108"/>
      <c r="J9" s="230"/>
      <c r="K9" s="108">
        <f t="shared" si="1"/>
        <v>0</v>
      </c>
      <c r="L9" s="108">
        <f t="shared" si="2"/>
        <v>0</v>
      </c>
      <c r="M9" s="108">
        <f t="shared" si="8"/>
        <v>0</v>
      </c>
      <c r="N9" s="109">
        <f t="shared" si="5"/>
        <v>23500.43</v>
      </c>
      <c r="O9" s="108"/>
      <c r="P9" s="108">
        <f t="shared" si="3"/>
        <v>23500.43</v>
      </c>
      <c r="Q9" s="108">
        <f t="shared" si="4"/>
        <v>23500.43</v>
      </c>
      <c r="R9" s="108"/>
      <c r="S9" s="990">
        <f t="shared" si="6"/>
        <v>23500.43</v>
      </c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</row>
    <row r="10">
      <c r="A10" s="38" t="s">
        <v>21</v>
      </c>
      <c r="B10" s="41">
        <v>43717.0</v>
      </c>
      <c r="C10" s="22">
        <v>28737.75</v>
      </c>
      <c r="D10" s="227">
        <f>210+260+60+50+1000+30</f>
        <v>1610</v>
      </c>
      <c r="E10" s="25">
        <v>100.0</v>
      </c>
      <c r="F10" s="33">
        <f>250+640+5485+520+8750+3460+1255</f>
        <v>20360</v>
      </c>
      <c r="G10" s="35"/>
      <c r="H10" s="35">
        <v>1947.0</v>
      </c>
      <c r="I10" s="35"/>
      <c r="J10" s="30">
        <v>6110.0</v>
      </c>
      <c r="K10" s="114">
        <f t="shared" si="1"/>
        <v>1710</v>
      </c>
      <c r="L10" s="881">
        <f t="shared" si="2"/>
        <v>6110</v>
      </c>
      <c r="M10" s="33">
        <f t="shared" si="8"/>
        <v>1289.25</v>
      </c>
      <c r="N10" s="40">
        <f t="shared" si="5"/>
        <v>23500.43</v>
      </c>
      <c r="O10" s="33">
        <f>'PAGOS SEP19'!B82</f>
        <v>13610.35</v>
      </c>
      <c r="P10" s="33">
        <f t="shared" si="3"/>
        <v>9890.08</v>
      </c>
      <c r="Q10" s="33">
        <f t="shared" si="4"/>
        <v>16000.08</v>
      </c>
      <c r="R10" s="935"/>
      <c r="S10" s="175">
        <f t="shared" si="6"/>
        <v>16000.08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38" t="s">
        <v>22</v>
      </c>
      <c r="B11" s="41">
        <v>43718.0</v>
      </c>
      <c r="C11" s="22">
        <v>56945.7</v>
      </c>
      <c r="D11" s="227">
        <f>800+50+505+20</f>
        <v>1375</v>
      </c>
      <c r="E11" s="25">
        <v>100.0</v>
      </c>
      <c r="F11" s="33">
        <f>9350+1645+920+16585+2645+190+10685+1520+545</f>
        <v>44085</v>
      </c>
      <c r="G11" s="35"/>
      <c r="H11" s="35">
        <v>2067.0</v>
      </c>
      <c r="I11" s="35"/>
      <c r="J11" s="30">
        <v>10249.0</v>
      </c>
      <c r="K11" s="114">
        <f t="shared" si="1"/>
        <v>1475</v>
      </c>
      <c r="L11" s="881">
        <f t="shared" si="2"/>
        <v>10249</v>
      </c>
      <c r="M11" s="33">
        <f t="shared" si="8"/>
        <v>830.3</v>
      </c>
      <c r="N11" s="40">
        <f t="shared" si="5"/>
        <v>16000.08</v>
      </c>
      <c r="O11" s="33">
        <f>'PAGOS SEP19'!B92</f>
        <v>13249.12</v>
      </c>
      <c r="P11" s="33">
        <f t="shared" si="3"/>
        <v>2750.96</v>
      </c>
      <c r="Q11" s="33">
        <f t="shared" si="4"/>
        <v>12999.96</v>
      </c>
      <c r="R11" s="935"/>
      <c r="S11" s="175">
        <f t="shared" si="6"/>
        <v>12999.96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38" t="s">
        <v>32</v>
      </c>
      <c r="B12" s="41">
        <v>43719.0</v>
      </c>
      <c r="C12" s="22">
        <v>48931.0</v>
      </c>
      <c r="D12" s="24">
        <v>1170.0</v>
      </c>
      <c r="E12" s="25">
        <v>100.0</v>
      </c>
      <c r="F12" s="33">
        <f>90+3400+860+1752+6010+735+2070+440+260+13383+2094+250</f>
        <v>31344</v>
      </c>
      <c r="G12" s="33"/>
      <c r="H12" s="33"/>
      <c r="I12" s="33"/>
      <c r="J12" s="30">
        <v>12708.0</v>
      </c>
      <c r="K12" s="114">
        <f t="shared" si="1"/>
        <v>1270</v>
      </c>
      <c r="L12" s="881">
        <f t="shared" si="2"/>
        <v>12708</v>
      </c>
      <c r="M12" s="33">
        <f t="shared" ref="M12:M25" si="9">SUM(D12:J12)-(C12)</f>
        <v>-3609</v>
      </c>
      <c r="N12" s="40">
        <f t="shared" si="5"/>
        <v>12999.96</v>
      </c>
      <c r="O12" s="33">
        <f>'PAGOS SEP19'!B97</f>
        <v>4707.87</v>
      </c>
      <c r="P12" s="33">
        <f t="shared" si="3"/>
        <v>8292.09</v>
      </c>
      <c r="Q12" s="33">
        <f t="shared" si="4"/>
        <v>21000.09</v>
      </c>
      <c r="R12" s="935"/>
      <c r="S12" s="175">
        <f t="shared" si="6"/>
        <v>21000.09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38" t="s">
        <v>24</v>
      </c>
      <c r="B13" s="41">
        <v>43720.0</v>
      </c>
      <c r="C13" s="22">
        <v>54225.0</v>
      </c>
      <c r="D13" s="24">
        <v>1813.0</v>
      </c>
      <c r="E13" s="25">
        <v>60.0</v>
      </c>
      <c r="F13" s="35">
        <v>33692.5</v>
      </c>
      <c r="G13" s="33"/>
      <c r="H13" s="33"/>
      <c r="I13" s="33"/>
      <c r="J13" s="30">
        <f>10364+3495</f>
        <v>13859</v>
      </c>
      <c r="K13" s="114">
        <f t="shared" si="1"/>
        <v>1873</v>
      </c>
      <c r="L13" s="881">
        <f t="shared" si="2"/>
        <v>13859</v>
      </c>
      <c r="M13" s="33">
        <f t="shared" si="9"/>
        <v>-4800.5</v>
      </c>
      <c r="N13" s="40">
        <f t="shared" si="5"/>
        <v>21000.09</v>
      </c>
      <c r="O13" s="33">
        <f>'PAGOS SEP19'!B113</f>
        <v>28858.74</v>
      </c>
      <c r="P13" s="33">
        <f t="shared" si="3"/>
        <v>-7858.65</v>
      </c>
      <c r="Q13" s="33">
        <f t="shared" si="4"/>
        <v>6000.35</v>
      </c>
      <c r="R13" s="882">
        <v>10000.0</v>
      </c>
      <c r="S13" s="175">
        <f t="shared" si="6"/>
        <v>16000.35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>
      <c r="A14" s="38" t="s">
        <v>25</v>
      </c>
      <c r="B14" s="41">
        <v>43721.0</v>
      </c>
      <c r="C14" s="22">
        <v>34838.0</v>
      </c>
      <c r="D14" s="24">
        <v>1470.0</v>
      </c>
      <c r="E14" s="25">
        <v>600.0</v>
      </c>
      <c r="F14" s="33">
        <f>2335+1195+10730+4075+695</f>
        <v>19030</v>
      </c>
      <c r="G14" s="35"/>
      <c r="H14" s="35"/>
      <c r="I14" s="35"/>
      <c r="J14" s="30">
        <v>10210.0</v>
      </c>
      <c r="K14" s="114">
        <f t="shared" si="1"/>
        <v>2070</v>
      </c>
      <c r="L14" s="881">
        <f t="shared" si="2"/>
        <v>10210</v>
      </c>
      <c r="M14" s="33">
        <f t="shared" si="9"/>
        <v>-3528</v>
      </c>
      <c r="N14" s="40">
        <f t="shared" si="5"/>
        <v>16000.35</v>
      </c>
      <c r="O14" s="33">
        <f>'PAGOS SEP19'!B128</f>
        <v>49210.61</v>
      </c>
      <c r="P14" s="33">
        <f t="shared" si="3"/>
        <v>-33210.26</v>
      </c>
      <c r="Q14" s="33">
        <f t="shared" si="4"/>
        <v>-23000.26</v>
      </c>
      <c r="R14" s="882">
        <f>25000+15000</f>
        <v>40000</v>
      </c>
      <c r="S14" s="175">
        <f t="shared" si="6"/>
        <v>16999.74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38" t="s">
        <v>33</v>
      </c>
      <c r="B15" s="41">
        <v>43722.0</v>
      </c>
      <c r="C15" s="22">
        <v>18364.0</v>
      </c>
      <c r="D15" s="227">
        <f>200+40+310</f>
        <v>550</v>
      </c>
      <c r="E15" s="25">
        <v>600.0</v>
      </c>
      <c r="F15" s="33">
        <f>365+190+485+720+3475+260</f>
        <v>5495</v>
      </c>
      <c r="G15" s="33"/>
      <c r="H15" s="33"/>
      <c r="I15" s="33"/>
      <c r="J15" s="30">
        <v>12015.0</v>
      </c>
      <c r="K15" s="114">
        <f t="shared" si="1"/>
        <v>1150</v>
      </c>
      <c r="L15" s="881">
        <f t="shared" si="2"/>
        <v>12015</v>
      </c>
      <c r="M15" s="33">
        <f t="shared" si="9"/>
        <v>296</v>
      </c>
      <c r="N15" s="40">
        <f t="shared" si="5"/>
        <v>16999.74</v>
      </c>
      <c r="O15" s="33">
        <f>'PAGOS SEP19'!B141</f>
        <v>25014.47</v>
      </c>
      <c r="P15" s="33">
        <f t="shared" si="3"/>
        <v>-8014.73</v>
      </c>
      <c r="Q15" s="33">
        <f t="shared" si="4"/>
        <v>4000.27</v>
      </c>
      <c r="R15" s="882">
        <v>12000.0</v>
      </c>
      <c r="S15" s="175">
        <f t="shared" si="6"/>
        <v>16000.27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>
      <c r="A16" s="105" t="s">
        <v>27</v>
      </c>
      <c r="B16" s="43">
        <v>43723.0</v>
      </c>
      <c r="C16" s="108"/>
      <c r="D16" s="108"/>
      <c r="E16" s="108"/>
      <c r="F16" s="108"/>
      <c r="G16" s="108"/>
      <c r="H16" s="108"/>
      <c r="I16" s="108"/>
      <c r="J16" s="230"/>
      <c r="K16" s="108">
        <f t="shared" si="1"/>
        <v>0</v>
      </c>
      <c r="L16" s="108">
        <f t="shared" si="2"/>
        <v>0</v>
      </c>
      <c r="M16" s="108">
        <f t="shared" si="9"/>
        <v>0</v>
      </c>
      <c r="N16" s="109">
        <f t="shared" si="5"/>
        <v>16000.27</v>
      </c>
      <c r="O16" s="108"/>
      <c r="P16" s="108">
        <f t="shared" si="3"/>
        <v>16000.27</v>
      </c>
      <c r="Q16" s="108">
        <f t="shared" si="4"/>
        <v>16000.27</v>
      </c>
      <c r="R16" s="108"/>
      <c r="S16" s="990">
        <f t="shared" si="6"/>
        <v>16000.27</v>
      </c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</row>
    <row r="17">
      <c r="A17" s="38" t="s">
        <v>21</v>
      </c>
      <c r="B17" s="41">
        <v>43724.0</v>
      </c>
      <c r="C17" s="22">
        <v>31186.5</v>
      </c>
      <c r="D17" s="227">
        <f>20+150+500+100+50</f>
        <v>820</v>
      </c>
      <c r="E17" s="25">
        <v>400.0</v>
      </c>
      <c r="F17" s="33">
        <f>10640+980+1000+255+1410+1885+655+2230+75+120</f>
        <v>19250</v>
      </c>
      <c r="G17" s="33"/>
      <c r="H17" s="33"/>
      <c r="I17" s="33"/>
      <c r="J17" s="30">
        <v>8683.0</v>
      </c>
      <c r="K17" s="114">
        <f t="shared" si="1"/>
        <v>1220</v>
      </c>
      <c r="L17" s="881">
        <f t="shared" si="2"/>
        <v>8683</v>
      </c>
      <c r="M17" s="33">
        <f t="shared" si="9"/>
        <v>-2033.5</v>
      </c>
      <c r="N17" s="40">
        <f t="shared" si="5"/>
        <v>16000.27</v>
      </c>
      <c r="O17" s="33">
        <f>'PAGOS SEP19'!B151</f>
        <v>15683</v>
      </c>
      <c r="P17" s="33">
        <f t="shared" si="3"/>
        <v>317.27</v>
      </c>
      <c r="Q17" s="33">
        <f t="shared" si="4"/>
        <v>9000.27</v>
      </c>
      <c r="R17" s="935"/>
      <c r="S17" s="175">
        <f t="shared" si="6"/>
        <v>9000.27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38" t="s">
        <v>22</v>
      </c>
      <c r="B18" s="41">
        <v>43725.0</v>
      </c>
      <c r="C18" s="225">
        <f>74436-C17</f>
        <v>43249.5</v>
      </c>
      <c r="D18" s="227">
        <f>800+90+200+120</f>
        <v>1210</v>
      </c>
      <c r="E18" s="25">
        <v>400.0</v>
      </c>
      <c r="F18" s="33">
        <f>3380+560+6230+2345+120+720+345+12085+1155+125</f>
        <v>27065</v>
      </c>
      <c r="G18" s="33"/>
      <c r="H18" s="33"/>
      <c r="I18" s="33"/>
      <c r="J18" s="30">
        <v>11721.0</v>
      </c>
      <c r="K18" s="114">
        <f t="shared" si="1"/>
        <v>1610</v>
      </c>
      <c r="L18" s="881">
        <f t="shared" si="2"/>
        <v>11721</v>
      </c>
      <c r="M18" s="33">
        <f t="shared" si="9"/>
        <v>-2853.5</v>
      </c>
      <c r="N18" s="40">
        <f t="shared" si="5"/>
        <v>9000.27</v>
      </c>
      <c r="O18" s="33">
        <f>'PAGOS SEP19'!B157</f>
        <v>6721</v>
      </c>
      <c r="P18" s="33">
        <f t="shared" si="3"/>
        <v>2279.27</v>
      </c>
      <c r="Q18" s="33">
        <f t="shared" si="4"/>
        <v>14000.27</v>
      </c>
      <c r="R18" s="935"/>
      <c r="S18" s="175">
        <f t="shared" si="6"/>
        <v>14000.27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>
      <c r="A19" s="38" t="s">
        <v>32</v>
      </c>
      <c r="B19" s="41">
        <v>43726.0</v>
      </c>
      <c r="C19" s="22">
        <v>37039.5</v>
      </c>
      <c r="D19" s="24">
        <v>870.0</v>
      </c>
      <c r="E19" s="25">
        <v>0.0</v>
      </c>
      <c r="F19" s="33">
        <f>13390+2295+450+1955+310+125+4190+1890+370</f>
        <v>24975</v>
      </c>
      <c r="G19" s="33"/>
      <c r="H19" s="33"/>
      <c r="I19" s="33"/>
      <c r="J19" s="30">
        <v>13338.0</v>
      </c>
      <c r="K19" s="114">
        <f t="shared" si="1"/>
        <v>870</v>
      </c>
      <c r="L19" s="881">
        <f t="shared" si="2"/>
        <v>13338</v>
      </c>
      <c r="M19" s="33">
        <f t="shared" si="9"/>
        <v>2143.5</v>
      </c>
      <c r="N19" s="40">
        <f t="shared" si="5"/>
        <v>14000.27</v>
      </c>
      <c r="O19" s="33">
        <f>'PAGOS SEP19'!B168</f>
        <v>2338.45</v>
      </c>
      <c r="P19" s="33">
        <f t="shared" si="3"/>
        <v>11661.82</v>
      </c>
      <c r="Q19" s="33">
        <f t="shared" si="4"/>
        <v>24999.82</v>
      </c>
      <c r="R19" s="935"/>
      <c r="S19" s="175">
        <f t="shared" si="6"/>
        <v>24999.82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38" t="s">
        <v>24</v>
      </c>
      <c r="B20" s="41">
        <v>43727.0</v>
      </c>
      <c r="C20" s="22">
        <v>50516.0</v>
      </c>
      <c r="D20" s="24">
        <v>830.0</v>
      </c>
      <c r="E20" s="228"/>
      <c r="F20" s="35">
        <v>32473.0</v>
      </c>
      <c r="G20" s="33"/>
      <c r="H20" s="33"/>
      <c r="I20" s="33"/>
      <c r="J20" s="30">
        <v>7841.0</v>
      </c>
      <c r="K20" s="114">
        <f t="shared" si="1"/>
        <v>830</v>
      </c>
      <c r="L20" s="881">
        <f t="shared" si="2"/>
        <v>7841</v>
      </c>
      <c r="M20" s="33">
        <f t="shared" si="9"/>
        <v>-9372</v>
      </c>
      <c r="N20" s="40">
        <f t="shared" si="5"/>
        <v>24999.82</v>
      </c>
      <c r="O20" s="33">
        <f>'PAGOS SEP19'!B174</f>
        <v>10133.41</v>
      </c>
      <c r="P20" s="33">
        <f t="shared" si="3"/>
        <v>14866.41</v>
      </c>
      <c r="Q20" s="33">
        <f t="shared" si="4"/>
        <v>22707.41</v>
      </c>
      <c r="R20" s="935"/>
      <c r="S20" s="175">
        <f t="shared" si="6"/>
        <v>22707.41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>
      <c r="A21" s="38" t="s">
        <v>25</v>
      </c>
      <c r="B21" s="41">
        <v>43728.0</v>
      </c>
      <c r="C21" s="22">
        <v>41068.0</v>
      </c>
      <c r="D21" s="24">
        <v>2750.0</v>
      </c>
      <c r="E21" s="25">
        <v>700.0</v>
      </c>
      <c r="F21" s="35">
        <v>24510.0</v>
      </c>
      <c r="G21" s="33"/>
      <c r="H21" s="33"/>
      <c r="I21" s="33"/>
      <c r="J21" s="30">
        <v>13015.0</v>
      </c>
      <c r="K21" s="114">
        <f t="shared" si="1"/>
        <v>3450</v>
      </c>
      <c r="L21" s="881">
        <f t="shared" si="2"/>
        <v>13015</v>
      </c>
      <c r="M21" s="33">
        <f t="shared" si="9"/>
        <v>-93</v>
      </c>
      <c r="N21" s="40">
        <f t="shared" si="5"/>
        <v>22707.41</v>
      </c>
      <c r="O21" s="33">
        <f>'PAGOS SEP19'!B183</f>
        <v>26722.49</v>
      </c>
      <c r="P21" s="33">
        <f t="shared" si="3"/>
        <v>-4015.08</v>
      </c>
      <c r="Q21" s="33">
        <f t="shared" si="4"/>
        <v>8999.92</v>
      </c>
      <c r="R21" s="935"/>
      <c r="S21" s="175">
        <f t="shared" si="6"/>
        <v>8999.92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>
      <c r="A22" s="38" t="s">
        <v>33</v>
      </c>
      <c r="B22" s="41">
        <v>43729.0</v>
      </c>
      <c r="C22" s="22">
        <v>18961.0</v>
      </c>
      <c r="D22" s="227">
        <f>400+250+100+210+140+50</f>
        <v>1150</v>
      </c>
      <c r="E22" s="25">
        <v>1000.0</v>
      </c>
      <c r="F22" s="33">
        <f>720+2170+520+1280</f>
        <v>4690</v>
      </c>
      <c r="G22" s="33"/>
      <c r="H22" s="33"/>
      <c r="I22" s="33"/>
      <c r="J22" s="30">
        <v>10380.0</v>
      </c>
      <c r="K22" s="114">
        <f t="shared" si="1"/>
        <v>2150</v>
      </c>
      <c r="L22" s="881">
        <f t="shared" si="2"/>
        <v>10380</v>
      </c>
      <c r="M22" s="33">
        <f t="shared" si="9"/>
        <v>-1741</v>
      </c>
      <c r="N22" s="40">
        <f t="shared" si="5"/>
        <v>8999.92</v>
      </c>
      <c r="O22" s="33">
        <f>'PAGOS SEP19'!B196</f>
        <v>90379.79</v>
      </c>
      <c r="P22" s="33">
        <f t="shared" si="3"/>
        <v>-81379.87</v>
      </c>
      <c r="Q22" s="33">
        <f t="shared" si="4"/>
        <v>-70999.87</v>
      </c>
      <c r="R22" s="882">
        <v>85000.0</v>
      </c>
      <c r="S22" s="175">
        <f t="shared" si="6"/>
        <v>14000.13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>
      <c r="A23" s="105" t="s">
        <v>27</v>
      </c>
      <c r="B23" s="43">
        <v>43730.0</v>
      </c>
      <c r="C23" s="108"/>
      <c r="D23" s="108"/>
      <c r="E23" s="108"/>
      <c r="F23" s="108"/>
      <c r="G23" s="108"/>
      <c r="H23" s="108"/>
      <c r="I23" s="108"/>
      <c r="J23" s="230"/>
      <c r="K23" s="108">
        <f t="shared" si="1"/>
        <v>0</v>
      </c>
      <c r="L23" s="108">
        <f t="shared" si="2"/>
        <v>0</v>
      </c>
      <c r="M23" s="108">
        <f t="shared" si="9"/>
        <v>0</v>
      </c>
      <c r="N23" s="109">
        <f t="shared" si="5"/>
        <v>14000.13</v>
      </c>
      <c r="O23" s="108"/>
      <c r="P23" s="108">
        <f t="shared" si="3"/>
        <v>14000.13</v>
      </c>
      <c r="Q23" s="108">
        <f t="shared" si="4"/>
        <v>14000.13</v>
      </c>
      <c r="R23" s="108"/>
      <c r="S23" s="990">
        <f t="shared" si="6"/>
        <v>14000.13</v>
      </c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</row>
    <row r="24">
      <c r="A24" s="38" t="s">
        <v>21</v>
      </c>
      <c r="B24" s="41">
        <v>43731.0</v>
      </c>
      <c r="C24" s="22">
        <v>24416.0</v>
      </c>
      <c r="D24" s="227">
        <f>255+100+100+500+35</f>
        <v>990</v>
      </c>
      <c r="E24" s="25">
        <v>1300.0</v>
      </c>
      <c r="F24" s="33">
        <f>1430+375+400+250+285+2440+1505+120+920+2065</f>
        <v>9790</v>
      </c>
      <c r="G24" s="33"/>
      <c r="H24" s="33"/>
      <c r="I24" s="33"/>
      <c r="J24" s="30">
        <v>10757.0</v>
      </c>
      <c r="K24" s="114">
        <f t="shared" si="1"/>
        <v>2290</v>
      </c>
      <c r="L24" s="881">
        <f t="shared" si="2"/>
        <v>10757</v>
      </c>
      <c r="M24" s="33">
        <f t="shared" si="9"/>
        <v>-1579</v>
      </c>
      <c r="N24" s="40">
        <f t="shared" si="5"/>
        <v>14000.13</v>
      </c>
      <c r="O24" s="33">
        <f>'PAGOS SEP19'!B205</f>
        <v>19757.13</v>
      </c>
      <c r="P24" s="33">
        <f t="shared" si="3"/>
        <v>-5757</v>
      </c>
      <c r="Q24" s="33">
        <f t="shared" si="4"/>
        <v>5000</v>
      </c>
      <c r="R24" s="882">
        <v>5000.0</v>
      </c>
      <c r="S24" s="175">
        <f t="shared" si="6"/>
        <v>10000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>
      <c r="A25" s="38" t="s">
        <v>22</v>
      </c>
      <c r="B25" s="41">
        <v>43732.0</v>
      </c>
      <c r="C25" s="22">
        <v>37173.5</v>
      </c>
      <c r="D25" s="227">
        <f>500+130+300</f>
        <v>930</v>
      </c>
      <c r="E25" s="25">
        <v>600.0</v>
      </c>
      <c r="F25" s="33">
        <f>5435+925+695+5772+840+7845+2965+470+165+645+390</f>
        <v>26147</v>
      </c>
      <c r="G25" s="33"/>
      <c r="H25" s="33"/>
      <c r="I25" s="33"/>
      <c r="J25" s="30">
        <v>8700.0</v>
      </c>
      <c r="K25" s="114">
        <f t="shared" si="1"/>
        <v>1530</v>
      </c>
      <c r="L25" s="881">
        <f t="shared" si="2"/>
        <v>8700</v>
      </c>
      <c r="M25" s="33">
        <f t="shared" si="9"/>
        <v>-796.5</v>
      </c>
      <c r="N25" s="40">
        <f t="shared" si="5"/>
        <v>10000</v>
      </c>
      <c r="O25" s="33">
        <f>'PAGOS SEP19'!B214</f>
        <v>11699.78</v>
      </c>
      <c r="P25" s="33">
        <f t="shared" si="3"/>
        <v>-1699.78</v>
      </c>
      <c r="Q25" s="33">
        <f t="shared" si="4"/>
        <v>7000.22</v>
      </c>
      <c r="R25" s="882">
        <v>10000.0</v>
      </c>
      <c r="S25" s="175">
        <f t="shared" si="6"/>
        <v>17000.22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>
      <c r="A26" s="38" t="s">
        <v>32</v>
      </c>
      <c r="B26" s="41">
        <v>43733.0</v>
      </c>
      <c r="C26" s="22">
        <v>45841.0</v>
      </c>
      <c r="D26" s="227">
        <f>330+100+700</f>
        <v>1130</v>
      </c>
      <c r="E26" s="25">
        <v>200.0</v>
      </c>
      <c r="F26" s="33">
        <f>720+3680+960+13645+765+2250+8690+1650+500</f>
        <v>32860</v>
      </c>
      <c r="G26" s="33"/>
      <c r="H26" s="33"/>
      <c r="I26" s="33"/>
      <c r="J26" s="30">
        <v>7789.0</v>
      </c>
      <c r="K26" s="114">
        <f t="shared" si="1"/>
        <v>1330</v>
      </c>
      <c r="L26" s="881">
        <f t="shared" si="2"/>
        <v>7789</v>
      </c>
      <c r="M26" s="33">
        <f t="shared" ref="M26:M35" si="10">SUM(D26:J26)-(C26+E26)</f>
        <v>-4062</v>
      </c>
      <c r="N26" s="40">
        <f t="shared" si="5"/>
        <v>17000.22</v>
      </c>
      <c r="O26" s="33">
        <f>'PAGOS SEP19'!B219</f>
        <v>6789</v>
      </c>
      <c r="P26" s="33">
        <f t="shared" si="3"/>
        <v>10211.22</v>
      </c>
      <c r="Q26" s="33">
        <f t="shared" si="4"/>
        <v>18000.22</v>
      </c>
      <c r="R26" s="935"/>
      <c r="S26" s="175">
        <f t="shared" si="6"/>
        <v>18000.22</v>
      </c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>
      <c r="A27" s="38" t="s">
        <v>24</v>
      </c>
      <c r="B27" s="41">
        <v>43734.0</v>
      </c>
      <c r="C27" s="22">
        <v>39026.0</v>
      </c>
      <c r="D27" s="227">
        <f>150+260+100+500</f>
        <v>1010</v>
      </c>
      <c r="E27" s="25">
        <v>100.0</v>
      </c>
      <c r="F27" s="33">
        <f>13200+1980+200+700+250+720+3535+3222</f>
        <v>23807</v>
      </c>
      <c r="G27" s="33"/>
      <c r="H27" s="33"/>
      <c r="I27" s="33"/>
      <c r="J27" s="30">
        <v>13411.0</v>
      </c>
      <c r="K27" s="114">
        <f t="shared" si="1"/>
        <v>1110</v>
      </c>
      <c r="L27" s="881">
        <f t="shared" si="2"/>
        <v>13411</v>
      </c>
      <c r="M27" s="33">
        <f t="shared" si="10"/>
        <v>-798</v>
      </c>
      <c r="N27" s="40">
        <f t="shared" si="5"/>
        <v>18000.22</v>
      </c>
      <c r="O27" s="33">
        <f>'PAGOS SEP19'!B230</f>
        <v>18410.93</v>
      </c>
      <c r="P27" s="33">
        <f t="shared" si="3"/>
        <v>-410.71</v>
      </c>
      <c r="Q27" s="33">
        <f t="shared" si="4"/>
        <v>13000.29</v>
      </c>
      <c r="R27" s="935"/>
      <c r="S27" s="175">
        <f t="shared" si="6"/>
        <v>13000.29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>
      <c r="A28" s="38" t="s">
        <v>25</v>
      </c>
      <c r="B28" s="41">
        <v>43735.0</v>
      </c>
      <c r="C28" s="22">
        <v>46160.0</v>
      </c>
      <c r="D28" s="24">
        <v>1995.0</v>
      </c>
      <c r="E28" s="25">
        <v>100.0</v>
      </c>
      <c r="F28" s="35">
        <v>29050.0</v>
      </c>
      <c r="G28" s="33"/>
      <c r="H28" s="33"/>
      <c r="I28" s="33"/>
      <c r="J28" s="30">
        <v>9663.0</v>
      </c>
      <c r="K28" s="114">
        <f t="shared" si="1"/>
        <v>2095</v>
      </c>
      <c r="L28" s="881">
        <f t="shared" si="2"/>
        <v>9663</v>
      </c>
      <c r="M28" s="33">
        <f t="shared" si="10"/>
        <v>-5452</v>
      </c>
      <c r="N28" s="40">
        <f t="shared" si="5"/>
        <v>13000.29</v>
      </c>
      <c r="O28" s="33">
        <f>'PAGOS SEP19'!B240</f>
        <v>12663.28</v>
      </c>
      <c r="P28" s="33">
        <f t="shared" si="3"/>
        <v>337.01</v>
      </c>
      <c r="Q28" s="33">
        <f t="shared" si="4"/>
        <v>10000.01</v>
      </c>
      <c r="R28" s="935"/>
      <c r="S28" s="175">
        <f t="shared" si="6"/>
        <v>10000.01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>
      <c r="A29" s="38" t="s">
        <v>33</v>
      </c>
      <c r="B29" s="41">
        <v>43736.0</v>
      </c>
      <c r="C29" s="22">
        <v>16885.0</v>
      </c>
      <c r="D29" s="24">
        <v>2015.0</v>
      </c>
      <c r="E29" s="25">
        <v>100.0</v>
      </c>
      <c r="F29" s="35">
        <v>5420.0</v>
      </c>
      <c r="G29" s="33"/>
      <c r="H29" s="33"/>
      <c r="I29" s="33"/>
      <c r="J29" s="30">
        <v>10424.0</v>
      </c>
      <c r="K29" s="114">
        <f t="shared" si="1"/>
        <v>2115</v>
      </c>
      <c r="L29" s="881">
        <f t="shared" si="2"/>
        <v>10424</v>
      </c>
      <c r="M29" s="33">
        <f t="shared" si="10"/>
        <v>974</v>
      </c>
      <c r="N29" s="40">
        <f t="shared" si="5"/>
        <v>10000.01</v>
      </c>
      <c r="O29" s="33">
        <f>'PAGOS SEP19'!B250</f>
        <v>39424</v>
      </c>
      <c r="P29" s="33">
        <f t="shared" si="3"/>
        <v>-29423.99</v>
      </c>
      <c r="Q29" s="33">
        <f t="shared" si="4"/>
        <v>-18999.99</v>
      </c>
      <c r="R29" s="882">
        <v>40000.0</v>
      </c>
      <c r="S29" s="175">
        <f t="shared" si="6"/>
        <v>21000.01</v>
      </c>
      <c r="T29" s="35" t="s">
        <v>4410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>
      <c r="A30" s="105" t="s">
        <v>27</v>
      </c>
      <c r="B30" s="43">
        <v>43737.0</v>
      </c>
      <c r="C30" s="108"/>
      <c r="D30" s="108"/>
      <c r="E30" s="108"/>
      <c r="F30" s="108"/>
      <c r="G30" s="108"/>
      <c r="H30" s="108"/>
      <c r="I30" s="108"/>
      <c r="J30" s="230"/>
      <c r="K30" s="108">
        <f t="shared" si="1"/>
        <v>0</v>
      </c>
      <c r="L30" s="108">
        <f t="shared" si="2"/>
        <v>0</v>
      </c>
      <c r="M30" s="108">
        <f t="shared" si="10"/>
        <v>0</v>
      </c>
      <c r="N30" s="109">
        <f t="shared" si="5"/>
        <v>21000.01</v>
      </c>
      <c r="O30" s="108"/>
      <c r="P30" s="108">
        <f t="shared" si="3"/>
        <v>21000.01</v>
      </c>
      <c r="Q30" s="108">
        <f t="shared" si="4"/>
        <v>21000.01</v>
      </c>
      <c r="R30" s="108"/>
      <c r="S30" s="990">
        <f t="shared" si="6"/>
        <v>21000.01</v>
      </c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A31" s="805" t="s">
        <v>21</v>
      </c>
      <c r="B31" s="928">
        <v>43738.0</v>
      </c>
      <c r="C31" s="22">
        <v>37418.0</v>
      </c>
      <c r="D31" s="227">
        <f>220+120+50+600</f>
        <v>990</v>
      </c>
      <c r="E31" s="25">
        <v>400.0</v>
      </c>
      <c r="F31" s="33">
        <f>195+5600+4005+365+2365+955+4550+200+1600+2900+710</f>
        <v>23445</v>
      </c>
      <c r="G31" s="33"/>
      <c r="H31" s="33"/>
      <c r="I31" s="33"/>
      <c r="J31" s="30">
        <v>11437.0</v>
      </c>
      <c r="K31" s="114">
        <f t="shared" si="1"/>
        <v>1390</v>
      </c>
      <c r="L31" s="881">
        <f t="shared" si="2"/>
        <v>11437</v>
      </c>
      <c r="M31" s="33">
        <f t="shared" si="10"/>
        <v>-1546</v>
      </c>
      <c r="N31" s="40">
        <f t="shared" si="5"/>
        <v>21000.01</v>
      </c>
      <c r="O31" s="33">
        <f>'PAGOS SEP19'!B263</f>
        <v>12437.43</v>
      </c>
      <c r="P31" s="33">
        <f t="shared" si="3"/>
        <v>8562.58</v>
      </c>
      <c r="Q31" s="33">
        <f t="shared" si="4"/>
        <v>19999.58</v>
      </c>
      <c r="R31" s="882"/>
      <c r="S31" s="175">
        <f t="shared" si="6"/>
        <v>19999.58</v>
      </c>
      <c r="T31" s="33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</row>
    <row r="32">
      <c r="A32" s="38" t="s">
        <v>22</v>
      </c>
      <c r="B32" s="41">
        <v>43739.0</v>
      </c>
      <c r="C32" s="909">
        <v>58628.0</v>
      </c>
      <c r="D32" s="991">
        <f>1200+230</f>
        <v>1430</v>
      </c>
      <c r="E32" s="911">
        <v>100.0</v>
      </c>
      <c r="F32" s="175">
        <f>7660+900+225+7820+1310+770+6020+1150+650+11835</f>
        <v>38340</v>
      </c>
      <c r="G32" s="175"/>
      <c r="H32" s="175">
        <v>4372.0</v>
      </c>
      <c r="I32" s="175"/>
      <c r="J32" s="912">
        <v>14003.0</v>
      </c>
      <c r="K32" s="913">
        <f t="shared" si="1"/>
        <v>1530</v>
      </c>
      <c r="L32" s="881">
        <f t="shared" si="2"/>
        <v>14003</v>
      </c>
      <c r="M32" s="173">
        <f t="shared" si="10"/>
        <v>-483</v>
      </c>
      <c r="N32" s="174">
        <f t="shared" si="5"/>
        <v>19999.58</v>
      </c>
      <c r="O32" s="173">
        <f>'PAGOS OCT19'!B11</f>
        <v>7002.46</v>
      </c>
      <c r="P32" s="173">
        <f t="shared" si="3"/>
        <v>12997.12</v>
      </c>
      <c r="Q32" s="173">
        <f t="shared" si="4"/>
        <v>27000.12</v>
      </c>
      <c r="R32" s="915"/>
      <c r="S32" s="175">
        <f t="shared" si="6"/>
        <v>27000.12</v>
      </c>
      <c r="T32" s="175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>
      <c r="A33" s="38" t="s">
        <v>32</v>
      </c>
      <c r="B33" s="41">
        <v>43740.0</v>
      </c>
      <c r="C33" s="22">
        <v>54891.0</v>
      </c>
      <c r="D33" s="227">
        <f>330+800</f>
        <v>1130</v>
      </c>
      <c r="E33" s="25">
        <v>0.0</v>
      </c>
      <c r="F33" s="35">
        <f>15320+3260+1425+4365+185+6560+1295+910+1642</f>
        <v>34962</v>
      </c>
      <c r="G33" s="35"/>
      <c r="H33" s="35">
        <v>5038.0</v>
      </c>
      <c r="I33" s="35"/>
      <c r="J33" s="30">
        <v>15046.0</v>
      </c>
      <c r="K33" s="114">
        <f t="shared" si="1"/>
        <v>1130</v>
      </c>
      <c r="L33" s="881">
        <f t="shared" si="2"/>
        <v>15046</v>
      </c>
      <c r="M33" s="33">
        <f t="shared" si="10"/>
        <v>1285</v>
      </c>
      <c r="N33" s="40">
        <f t="shared" si="5"/>
        <v>27000.12</v>
      </c>
      <c r="O33" s="33">
        <f>'PAGOS OCT19'!B21</f>
        <v>2045.96</v>
      </c>
      <c r="P33" s="33">
        <f t="shared" si="3"/>
        <v>24954.16</v>
      </c>
      <c r="Q33" s="33">
        <f t="shared" si="4"/>
        <v>40000.16</v>
      </c>
      <c r="R33" s="882"/>
      <c r="S33" s="35">
        <f t="shared" si="6"/>
        <v>40000.16</v>
      </c>
      <c r="T33" s="35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>
      <c r="A34" s="38" t="s">
        <v>24</v>
      </c>
      <c r="B34" s="41">
        <v>43741.0</v>
      </c>
      <c r="C34" s="22">
        <v>56262.0</v>
      </c>
      <c r="D34" s="24">
        <v>1930.0</v>
      </c>
      <c r="E34" s="25">
        <v>0.0</v>
      </c>
      <c r="F34" s="35">
        <v>36953.0</v>
      </c>
      <c r="G34" s="35"/>
      <c r="H34" s="35">
        <v>5751.0</v>
      </c>
      <c r="I34" s="35"/>
      <c r="J34" s="30">
        <v>11487.0</v>
      </c>
      <c r="K34" s="114">
        <f t="shared" si="1"/>
        <v>1930</v>
      </c>
      <c r="L34" s="881">
        <f t="shared" si="2"/>
        <v>11487</v>
      </c>
      <c r="M34" s="33">
        <f t="shared" si="10"/>
        <v>-141</v>
      </c>
      <c r="N34" s="40">
        <f t="shared" si="5"/>
        <v>40000.16</v>
      </c>
      <c r="O34" s="33">
        <f>'PAGOS OCT19'!B33</f>
        <v>22487.43</v>
      </c>
      <c r="P34" s="33">
        <f t="shared" si="3"/>
        <v>17512.73</v>
      </c>
      <c r="Q34" s="33">
        <f t="shared" si="4"/>
        <v>28999.73</v>
      </c>
      <c r="R34" s="882"/>
      <c r="S34" s="35">
        <f t="shared" si="6"/>
        <v>28999.73</v>
      </c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>
      <c r="A35" s="38" t="s">
        <v>25</v>
      </c>
      <c r="B35" s="41">
        <v>43742.0</v>
      </c>
      <c r="C35" s="22">
        <v>40117.0</v>
      </c>
      <c r="D35" s="24">
        <f>240+510+60+50+400</f>
        <v>1260</v>
      </c>
      <c r="E35" s="25">
        <v>0.0</v>
      </c>
      <c r="F35" s="35">
        <f>1600+3960+1100+2695+540+725+8655+3140+280+1620+1170</f>
        <v>25485</v>
      </c>
      <c r="G35" s="35"/>
      <c r="H35" s="35">
        <v>2768.0</v>
      </c>
      <c r="I35" s="35"/>
      <c r="J35" s="30">
        <v>12422.0</v>
      </c>
      <c r="K35" s="114">
        <f t="shared" si="1"/>
        <v>1260</v>
      </c>
      <c r="L35" s="881">
        <f t="shared" si="2"/>
        <v>12422</v>
      </c>
      <c r="M35" s="33">
        <f t="shared" si="10"/>
        <v>1818</v>
      </c>
      <c r="N35" s="40">
        <f t="shared" si="5"/>
        <v>28999.73</v>
      </c>
      <c r="O35" s="33">
        <f>'PAGOS OCT19'!B45</f>
        <v>30422.13</v>
      </c>
      <c r="P35" s="33">
        <f t="shared" si="3"/>
        <v>-1422.4</v>
      </c>
      <c r="Q35" s="33">
        <f t="shared" si="4"/>
        <v>10999.6</v>
      </c>
      <c r="R35" s="882">
        <v>18000.0</v>
      </c>
      <c r="S35" s="35">
        <f t="shared" si="6"/>
        <v>28999.6</v>
      </c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>
      <c r="A36" s="38" t="s">
        <v>33</v>
      </c>
      <c r="B36" s="41">
        <v>43743.0</v>
      </c>
      <c r="C36" s="22">
        <v>17552.0</v>
      </c>
      <c r="D36" s="24">
        <v>980.0</v>
      </c>
      <c r="E36" s="25">
        <v>400.0</v>
      </c>
      <c r="F36" s="35">
        <f>450+235+1370+200+2120</f>
        <v>4375</v>
      </c>
      <c r="G36" s="35"/>
      <c r="H36" s="35">
        <v>1288.0</v>
      </c>
      <c r="I36" s="35"/>
      <c r="J36" s="30">
        <v>10420.0</v>
      </c>
      <c r="K36" s="114">
        <f t="shared" si="1"/>
        <v>1380</v>
      </c>
      <c r="L36" s="881">
        <f t="shared" si="2"/>
        <v>10420</v>
      </c>
      <c r="M36" s="33">
        <f t="shared" ref="M36:M43" si="11">SUM(D36:J36)-(C36)</f>
        <v>-89</v>
      </c>
      <c r="N36" s="40">
        <f t="shared" si="5"/>
        <v>28999.6</v>
      </c>
      <c r="O36" s="33">
        <f>'PAGOS OCT19'!B55</f>
        <v>27420</v>
      </c>
      <c r="P36" s="33">
        <f t="shared" si="3"/>
        <v>1579.6</v>
      </c>
      <c r="Q36" s="33">
        <f t="shared" si="4"/>
        <v>11999.6</v>
      </c>
      <c r="R36" s="882"/>
      <c r="S36" s="35">
        <f t="shared" si="6"/>
        <v>11999.6</v>
      </c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>
      <c r="A37" s="105" t="s">
        <v>27</v>
      </c>
      <c r="B37" s="43">
        <v>43744.0</v>
      </c>
      <c r="C37" s="108"/>
      <c r="D37" s="110">
        <v>0.0</v>
      </c>
      <c r="E37" s="110">
        <v>0.0</v>
      </c>
      <c r="F37" s="110">
        <v>0.0</v>
      </c>
      <c r="G37" s="108"/>
      <c r="H37" s="108"/>
      <c r="I37" s="108"/>
      <c r="J37" s="30">
        <v>0.0</v>
      </c>
      <c r="K37" s="108">
        <f t="shared" si="1"/>
        <v>0</v>
      </c>
      <c r="L37" s="881">
        <f t="shared" si="2"/>
        <v>0</v>
      </c>
      <c r="M37" s="33">
        <f t="shared" si="11"/>
        <v>0</v>
      </c>
      <c r="N37" s="109">
        <f t="shared" si="5"/>
        <v>11999.6</v>
      </c>
      <c r="O37" s="108"/>
      <c r="P37" s="108">
        <f t="shared" si="3"/>
        <v>11999.6</v>
      </c>
      <c r="Q37" s="108">
        <f t="shared" si="4"/>
        <v>11999.6</v>
      </c>
      <c r="R37" s="110"/>
      <c r="S37" s="110">
        <f t="shared" si="6"/>
        <v>11999.6</v>
      </c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>
      <c r="A38" s="38" t="s">
        <v>21</v>
      </c>
      <c r="B38" s="41">
        <v>43745.0</v>
      </c>
      <c r="C38" s="22">
        <v>34379.0</v>
      </c>
      <c r="D38" s="24">
        <f>350+330+200+1250</f>
        <v>2130</v>
      </c>
      <c r="E38" s="25">
        <v>100.0</v>
      </c>
      <c r="F38" s="35">
        <f>4520+1215+6425+1710+1800+240+3450+3475+130</f>
        <v>22965</v>
      </c>
      <c r="G38" s="35"/>
      <c r="H38" s="35">
        <v>3559.0</v>
      </c>
      <c r="I38" s="35"/>
      <c r="J38" s="30">
        <v>6257.0</v>
      </c>
      <c r="K38" s="114">
        <f t="shared" si="1"/>
        <v>2230</v>
      </c>
      <c r="L38" s="881">
        <f t="shared" si="2"/>
        <v>6257</v>
      </c>
      <c r="M38" s="33">
        <f t="shared" si="11"/>
        <v>632</v>
      </c>
      <c r="N38" s="40">
        <f t="shared" si="5"/>
        <v>11999.6</v>
      </c>
      <c r="O38" s="33">
        <f>'PAGOS OCT19'!B69</f>
        <v>9256.746</v>
      </c>
      <c r="P38" s="33">
        <f t="shared" si="3"/>
        <v>2742.854</v>
      </c>
      <c r="Q38" s="33">
        <f t="shared" si="4"/>
        <v>8999.854</v>
      </c>
      <c r="R38" s="882"/>
      <c r="S38" s="35">
        <f t="shared" si="6"/>
        <v>8999.854</v>
      </c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>
      <c r="A39" s="38" t="s">
        <v>22</v>
      </c>
      <c r="B39" s="41">
        <v>43746.0</v>
      </c>
      <c r="C39" s="22">
        <v>44145.0</v>
      </c>
      <c r="D39" s="24">
        <f>85+300+140+700</f>
        <v>1225</v>
      </c>
      <c r="E39" s="25">
        <v>300.0</v>
      </c>
      <c r="F39" s="35">
        <f>2720+4871+190+325+10055+1845+292+2725+2230+310</f>
        <v>25563</v>
      </c>
      <c r="G39" s="35"/>
      <c r="H39" s="35">
        <v>4195.0</v>
      </c>
      <c r="I39" s="35"/>
      <c r="J39" s="30">
        <v>15161.0</v>
      </c>
      <c r="K39" s="114">
        <f t="shared" si="1"/>
        <v>1525</v>
      </c>
      <c r="L39" s="881">
        <f t="shared" si="2"/>
        <v>15161</v>
      </c>
      <c r="M39" s="33">
        <f t="shared" si="11"/>
        <v>2299</v>
      </c>
      <c r="N39" s="40">
        <f t="shared" si="5"/>
        <v>8999.854</v>
      </c>
      <c r="O39" s="33">
        <f>'PAGOS OCT19'!B82</f>
        <v>16160.55</v>
      </c>
      <c r="P39" s="33">
        <f t="shared" si="3"/>
        <v>-7160.696</v>
      </c>
      <c r="Q39" s="33">
        <f t="shared" si="4"/>
        <v>8000.304</v>
      </c>
      <c r="R39" s="882">
        <v>2000.0</v>
      </c>
      <c r="S39" s="35">
        <f t="shared" si="6"/>
        <v>10000.304</v>
      </c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>
      <c r="A40" s="38" t="s">
        <v>32</v>
      </c>
      <c r="B40" s="41">
        <v>43747.0</v>
      </c>
      <c r="C40" s="22">
        <v>35590.0</v>
      </c>
      <c r="D40" s="24">
        <f>130+700</f>
        <v>830</v>
      </c>
      <c r="E40" s="25">
        <v>300.0</v>
      </c>
      <c r="F40" s="35">
        <f>3040+4585+570+3020+200+420+9340+2565</f>
        <v>23740</v>
      </c>
      <c r="G40" s="33"/>
      <c r="H40" s="33">
        <f>2548.5+2053</f>
        <v>4601.5</v>
      </c>
      <c r="I40" s="33"/>
      <c r="J40" s="30">
        <f>2950+4102</f>
        <v>7052</v>
      </c>
      <c r="K40" s="114">
        <f t="shared" si="1"/>
        <v>1130</v>
      </c>
      <c r="L40" s="881">
        <f t="shared" si="2"/>
        <v>7052</v>
      </c>
      <c r="M40" s="33">
        <f t="shared" si="11"/>
        <v>933.5</v>
      </c>
      <c r="N40" s="40">
        <f t="shared" si="5"/>
        <v>10000.304</v>
      </c>
      <c r="O40" s="33">
        <f>'PAGOS OCT19'!B92</f>
        <v>8052.07</v>
      </c>
      <c r="P40" s="33">
        <f t="shared" si="3"/>
        <v>1948.234</v>
      </c>
      <c r="Q40" s="33">
        <f t="shared" si="4"/>
        <v>9000.234</v>
      </c>
      <c r="R40" s="882"/>
      <c r="S40" s="35">
        <f t="shared" si="6"/>
        <v>9000.234</v>
      </c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>
      <c r="A41" s="38" t="s">
        <v>24</v>
      </c>
      <c r="B41" s="41">
        <v>43748.0</v>
      </c>
      <c r="C41" s="22">
        <v>44865.0</v>
      </c>
      <c r="D41" s="24">
        <v>1460.0</v>
      </c>
      <c r="E41" s="25">
        <v>100.0</v>
      </c>
      <c r="F41" s="35">
        <v>27820.0</v>
      </c>
      <c r="G41" s="35"/>
      <c r="H41" s="35">
        <v>5566.0</v>
      </c>
      <c r="I41" s="35"/>
      <c r="J41" s="30">
        <v>10723.0</v>
      </c>
      <c r="K41" s="114">
        <f t="shared" si="1"/>
        <v>1560</v>
      </c>
      <c r="L41" s="881">
        <f t="shared" si="2"/>
        <v>10723</v>
      </c>
      <c r="M41" s="33">
        <f t="shared" si="11"/>
        <v>804</v>
      </c>
      <c r="N41" s="40">
        <f t="shared" si="5"/>
        <v>9000.234</v>
      </c>
      <c r="O41" s="33">
        <f>'PAGOS OCT19'!B102</f>
        <v>11722.79</v>
      </c>
      <c r="P41" s="33">
        <f t="shared" si="3"/>
        <v>-2722.556</v>
      </c>
      <c r="Q41" s="33">
        <f t="shared" si="4"/>
        <v>8000.444</v>
      </c>
      <c r="R41" s="882"/>
      <c r="S41" s="35">
        <f t="shared" si="6"/>
        <v>8000.444</v>
      </c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>
      <c r="A42" s="38" t="s">
        <v>25</v>
      </c>
      <c r="B42" s="41">
        <v>43749.0</v>
      </c>
      <c r="C42" s="22">
        <v>48064.0</v>
      </c>
      <c r="D42" s="24">
        <v>2375.0</v>
      </c>
      <c r="E42" s="25">
        <v>0.0</v>
      </c>
      <c r="F42" s="35">
        <v>20795.0</v>
      </c>
      <c r="G42" s="35"/>
      <c r="H42" s="35">
        <v>3515.0</v>
      </c>
      <c r="I42" s="35"/>
      <c r="J42" s="30">
        <v>21809.0</v>
      </c>
      <c r="K42" s="114">
        <f t="shared" si="1"/>
        <v>2375</v>
      </c>
      <c r="L42" s="881">
        <f t="shared" si="2"/>
        <v>21809</v>
      </c>
      <c r="M42" s="33">
        <f t="shared" si="11"/>
        <v>430</v>
      </c>
      <c r="N42" s="40">
        <f t="shared" si="5"/>
        <v>8000.444</v>
      </c>
      <c r="O42" s="33">
        <f>'PAGOS OCT19'!B112</f>
        <v>34808.97</v>
      </c>
      <c r="P42" s="33">
        <f t="shared" si="3"/>
        <v>-26808.526</v>
      </c>
      <c r="Q42" s="33">
        <f t="shared" si="4"/>
        <v>-4999.526</v>
      </c>
      <c r="R42" s="882">
        <v>25000.0</v>
      </c>
      <c r="S42" s="35">
        <f t="shared" si="6"/>
        <v>20000.474</v>
      </c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>
      <c r="A43" s="38" t="s">
        <v>33</v>
      </c>
      <c r="B43" s="41">
        <v>43750.0</v>
      </c>
      <c r="C43" s="22">
        <v>10922.0</v>
      </c>
      <c r="D43" s="24">
        <f>225+280+100+800+70+400</f>
        <v>1875</v>
      </c>
      <c r="E43" s="25">
        <v>0.0</v>
      </c>
      <c r="F43" s="35">
        <f>950+1100+495</f>
        <v>2545</v>
      </c>
      <c r="G43" s="35"/>
      <c r="H43" s="35">
        <v>1275.0</v>
      </c>
      <c r="I43" s="35"/>
      <c r="J43" s="30">
        <v>6490.0</v>
      </c>
      <c r="K43" s="114">
        <f t="shared" si="1"/>
        <v>1875</v>
      </c>
      <c r="L43" s="881">
        <f t="shared" si="2"/>
        <v>6490</v>
      </c>
      <c r="M43" s="33">
        <f t="shared" si="11"/>
        <v>1263</v>
      </c>
      <c r="N43" s="40">
        <f t="shared" si="5"/>
        <v>20000.474</v>
      </c>
      <c r="O43" s="33">
        <f>'PAGOS OCT19'!B122</f>
        <v>35490.84</v>
      </c>
      <c r="P43" s="33">
        <f t="shared" si="3"/>
        <v>-15490.366</v>
      </c>
      <c r="Q43" s="33">
        <f t="shared" si="4"/>
        <v>-9000.366</v>
      </c>
      <c r="R43" s="882">
        <v>28000.0</v>
      </c>
      <c r="S43" s="35">
        <f t="shared" si="6"/>
        <v>18999.634</v>
      </c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>
      <c r="A44" s="105" t="s">
        <v>27</v>
      </c>
      <c r="B44" s="43">
        <v>43751.0</v>
      </c>
      <c r="C44" s="108"/>
      <c r="D44" s="110">
        <v>0.0</v>
      </c>
      <c r="E44" s="110">
        <v>0.0</v>
      </c>
      <c r="F44" s="110">
        <v>0.0</v>
      </c>
      <c r="G44" s="108"/>
      <c r="H44" s="108"/>
      <c r="I44" s="108"/>
      <c r="J44" s="110">
        <v>0.0</v>
      </c>
      <c r="K44" s="108">
        <f t="shared" si="1"/>
        <v>0</v>
      </c>
      <c r="L44" s="108">
        <f t="shared" si="2"/>
        <v>0</v>
      </c>
      <c r="M44" s="108">
        <f t="shared" ref="M44:M62" si="12">SUM(D44:J44)-(C44+E44)</f>
        <v>0</v>
      </c>
      <c r="N44" s="109">
        <f t="shared" si="5"/>
        <v>18999.634</v>
      </c>
      <c r="O44" s="108" t="str">
        <f>'PAGOS OCT19'!B63</f>
        <v/>
      </c>
      <c r="P44" s="108">
        <f t="shared" si="3"/>
        <v>18999.634</v>
      </c>
      <c r="Q44" s="108">
        <f t="shared" si="4"/>
        <v>18999.634</v>
      </c>
      <c r="R44" s="110"/>
      <c r="S44" s="110">
        <f t="shared" si="6"/>
        <v>18999.634</v>
      </c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>
      <c r="A45" s="38" t="s">
        <v>21</v>
      </c>
      <c r="B45" s="41">
        <v>43752.0</v>
      </c>
      <c r="C45" s="225"/>
      <c r="D45" s="24">
        <v>0.0</v>
      </c>
      <c r="E45" s="25">
        <v>0.0</v>
      </c>
      <c r="F45" s="35">
        <v>0.0</v>
      </c>
      <c r="G45" s="33"/>
      <c r="H45" s="33"/>
      <c r="I45" s="33"/>
      <c r="J45" s="30">
        <v>0.0</v>
      </c>
      <c r="K45" s="114">
        <f t="shared" si="1"/>
        <v>0</v>
      </c>
      <c r="L45" s="881">
        <f t="shared" si="2"/>
        <v>0</v>
      </c>
      <c r="M45" s="33">
        <f t="shared" si="12"/>
        <v>0</v>
      </c>
      <c r="N45" s="40">
        <f t="shared" si="5"/>
        <v>18999.634</v>
      </c>
      <c r="O45" s="35">
        <f>'PAGOS OCT19'!B134</f>
        <v>0</v>
      </c>
      <c r="P45" s="33">
        <f t="shared" si="3"/>
        <v>18999.634</v>
      </c>
      <c r="Q45" s="33">
        <f t="shared" si="4"/>
        <v>18999.634</v>
      </c>
      <c r="R45" s="882"/>
      <c r="S45" s="35">
        <f t="shared" si="6"/>
        <v>18999.634</v>
      </c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>
      <c r="A46" s="38" t="s">
        <v>22</v>
      </c>
      <c r="B46" s="41">
        <v>43753.0</v>
      </c>
      <c r="C46" s="22">
        <v>55098.0</v>
      </c>
      <c r="D46" s="24">
        <f>265+400+100+600</f>
        <v>1365</v>
      </c>
      <c r="E46" s="25">
        <v>0.0</v>
      </c>
      <c r="F46" s="35">
        <f>2020+1820+415+7255+670+5220+560+14965+1350+135</f>
        <v>34410</v>
      </c>
      <c r="G46" s="35"/>
      <c r="H46" s="35">
        <v>3627.0</v>
      </c>
      <c r="I46" s="35"/>
      <c r="J46" s="30">
        <v>16590.0</v>
      </c>
      <c r="K46" s="114">
        <f t="shared" si="1"/>
        <v>1365</v>
      </c>
      <c r="L46" s="881">
        <f t="shared" si="2"/>
        <v>16590</v>
      </c>
      <c r="M46" s="33">
        <f t="shared" si="12"/>
        <v>894</v>
      </c>
      <c r="N46" s="40">
        <f t="shared" si="5"/>
        <v>18999.634</v>
      </c>
      <c r="O46" s="35">
        <f>'PAGOS OCT19'!B145</f>
        <v>9589.3</v>
      </c>
      <c r="P46" s="33">
        <f t="shared" si="3"/>
        <v>9410.334</v>
      </c>
      <c r="Q46" s="33">
        <f t="shared" si="4"/>
        <v>26000.334</v>
      </c>
      <c r="R46" s="882"/>
      <c r="S46" s="35">
        <f t="shared" si="6"/>
        <v>26000.334</v>
      </c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>
      <c r="A47" s="38" t="s">
        <v>32</v>
      </c>
      <c r="B47" s="41">
        <v>43754.0</v>
      </c>
      <c r="C47" s="22">
        <v>48319.0</v>
      </c>
      <c r="D47" s="24">
        <f>125+40+900+1650</f>
        <v>2715</v>
      </c>
      <c r="E47" s="25">
        <v>0.0</v>
      </c>
      <c r="F47" s="35">
        <f>6535+2190+292+5300+1110+250+260+13155+945+280+220+1830</f>
        <v>32367</v>
      </c>
      <c r="G47" s="35"/>
      <c r="H47" s="35">
        <v>3992.0</v>
      </c>
      <c r="I47" s="35"/>
      <c r="J47" s="30">
        <v>9519.0</v>
      </c>
      <c r="K47" s="114">
        <f t="shared" si="1"/>
        <v>2715</v>
      </c>
      <c r="L47" s="881">
        <f t="shared" si="2"/>
        <v>9519</v>
      </c>
      <c r="M47" s="33">
        <f t="shared" si="12"/>
        <v>274</v>
      </c>
      <c r="N47" s="40">
        <f t="shared" si="5"/>
        <v>26000.334</v>
      </c>
      <c r="O47" s="35">
        <f>'PAGOS OCT19'!B161</f>
        <v>21519.27</v>
      </c>
      <c r="P47" s="33">
        <f t="shared" si="3"/>
        <v>4481.064</v>
      </c>
      <c r="Q47" s="33">
        <f t="shared" si="4"/>
        <v>14000.064</v>
      </c>
      <c r="R47" s="882"/>
      <c r="S47" s="35">
        <f t="shared" si="6"/>
        <v>14000.064</v>
      </c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>
      <c r="A48" s="38" t="s">
        <v>24</v>
      </c>
      <c r="B48" s="41">
        <v>43755.0</v>
      </c>
      <c r="C48" s="22">
        <v>36374.0</v>
      </c>
      <c r="D48" s="24">
        <f>200+40+180+100+1000</f>
        <v>1520</v>
      </c>
      <c r="E48" s="25">
        <v>0.0</v>
      </c>
      <c r="F48" s="35">
        <f>220+610+1155+2660+240+1200+2680+220+195+9875+4825</f>
        <v>23880</v>
      </c>
      <c r="G48" s="35"/>
      <c r="H48" s="35">
        <v>3556.0</v>
      </c>
      <c r="I48" s="35"/>
      <c r="J48" s="30">
        <v>12864.0</v>
      </c>
      <c r="K48" s="114">
        <f t="shared" si="1"/>
        <v>1520</v>
      </c>
      <c r="L48" s="881">
        <f t="shared" si="2"/>
        <v>12864</v>
      </c>
      <c r="M48" s="33">
        <f t="shared" si="12"/>
        <v>5446</v>
      </c>
      <c r="N48" s="40">
        <f t="shared" si="5"/>
        <v>14000.064</v>
      </c>
      <c r="O48" s="35">
        <f>'PAGOS OCT19'!B173</f>
        <v>23864.19</v>
      </c>
      <c r="P48" s="33">
        <f t="shared" si="3"/>
        <v>-9864.126</v>
      </c>
      <c r="Q48" s="33">
        <f t="shared" si="4"/>
        <v>2999.874</v>
      </c>
      <c r="R48" s="882"/>
      <c r="S48" s="35">
        <f t="shared" si="6"/>
        <v>2999.874</v>
      </c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</row>
    <row r="49">
      <c r="A49" s="38" t="s">
        <v>25</v>
      </c>
      <c r="B49" s="41">
        <v>43756.0</v>
      </c>
      <c r="C49" s="22">
        <v>47631.0</v>
      </c>
      <c r="D49" s="24">
        <v>1500.0</v>
      </c>
      <c r="E49" s="25">
        <v>300.0</v>
      </c>
      <c r="F49" s="35">
        <f>6285+1652+1660+1065+1350+390+2660+2860+505+8835+410</f>
        <v>27672</v>
      </c>
      <c r="G49" s="35"/>
      <c r="H49" s="35">
        <v>3090.0</v>
      </c>
      <c r="I49" s="35"/>
      <c r="J49" s="30">
        <v>13572.0</v>
      </c>
      <c r="K49" s="114">
        <f t="shared" si="1"/>
        <v>1800</v>
      </c>
      <c r="L49" s="881">
        <f t="shared" si="2"/>
        <v>13572</v>
      </c>
      <c r="M49" s="33">
        <f t="shared" si="12"/>
        <v>-1797</v>
      </c>
      <c r="N49" s="40">
        <f t="shared" si="5"/>
        <v>2999.874</v>
      </c>
      <c r="O49" s="35">
        <f>'PAGOS OCT19'!B183</f>
        <v>16571.41</v>
      </c>
      <c r="P49" s="33">
        <f t="shared" si="3"/>
        <v>-13571.536</v>
      </c>
      <c r="Q49" s="33">
        <f t="shared" si="4"/>
        <v>0.464</v>
      </c>
      <c r="R49" s="882">
        <v>10000.0</v>
      </c>
      <c r="S49" s="35">
        <f t="shared" si="6"/>
        <v>10000.464</v>
      </c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>
      <c r="A50" s="38" t="s">
        <v>33</v>
      </c>
      <c r="B50" s="41">
        <v>43757.0</v>
      </c>
      <c r="C50" s="22">
        <v>19392.0</v>
      </c>
      <c r="D50" s="24">
        <v>1840.0</v>
      </c>
      <c r="E50" s="25">
        <v>400.0</v>
      </c>
      <c r="F50" s="35">
        <v>7930.0</v>
      </c>
      <c r="G50" s="35"/>
      <c r="H50" s="35">
        <v>1990.0</v>
      </c>
      <c r="I50" s="35"/>
      <c r="J50" s="30">
        <v>9625.0</v>
      </c>
      <c r="K50" s="114">
        <f t="shared" si="1"/>
        <v>2240</v>
      </c>
      <c r="L50" s="881">
        <f t="shared" si="2"/>
        <v>9625</v>
      </c>
      <c r="M50" s="33">
        <f t="shared" si="12"/>
        <v>1993</v>
      </c>
      <c r="N50" s="40">
        <f t="shared" si="5"/>
        <v>10000.464</v>
      </c>
      <c r="O50" s="35">
        <f>'PAGOS OCT19'!B194</f>
        <v>25625.8</v>
      </c>
      <c r="P50" s="33">
        <f t="shared" si="3"/>
        <v>-15625.336</v>
      </c>
      <c r="Q50" s="33">
        <f t="shared" si="4"/>
        <v>-6000.336</v>
      </c>
      <c r="R50" s="882">
        <v>18000.0</v>
      </c>
      <c r="S50" s="35">
        <f t="shared" si="6"/>
        <v>11999.664</v>
      </c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>
      <c r="A51" s="105" t="s">
        <v>27</v>
      </c>
      <c r="B51" s="43">
        <v>43758.0</v>
      </c>
      <c r="C51" s="108"/>
      <c r="D51" s="110">
        <v>0.0</v>
      </c>
      <c r="E51" s="110">
        <v>0.0</v>
      </c>
      <c r="F51" s="110">
        <v>0.0</v>
      </c>
      <c r="G51" s="108"/>
      <c r="H51" s="108"/>
      <c r="I51" s="108"/>
      <c r="J51" s="110">
        <v>0.0</v>
      </c>
      <c r="K51" s="110">
        <v>0.0</v>
      </c>
      <c r="L51" s="108">
        <f t="shared" si="2"/>
        <v>0</v>
      </c>
      <c r="M51" s="108">
        <f t="shared" si="12"/>
        <v>0</v>
      </c>
      <c r="N51" s="109">
        <f t="shared" si="5"/>
        <v>11999.664</v>
      </c>
      <c r="O51" s="110">
        <v>0.0</v>
      </c>
      <c r="P51" s="108">
        <f t="shared" si="3"/>
        <v>11999.664</v>
      </c>
      <c r="Q51" s="108">
        <f t="shared" si="4"/>
        <v>11999.664</v>
      </c>
      <c r="R51" s="110"/>
      <c r="S51" s="110">
        <f t="shared" si="6"/>
        <v>11999.664</v>
      </c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>
      <c r="A52" s="38" t="s">
        <v>21</v>
      </c>
      <c r="B52" s="41">
        <v>43759.0</v>
      </c>
      <c r="C52" s="22">
        <v>37500.0</v>
      </c>
      <c r="D52" s="24">
        <f>65+220+100+450+600+45</f>
        <v>1480</v>
      </c>
      <c r="E52" s="25">
        <v>400.0</v>
      </c>
      <c r="F52" s="35">
        <f>8445+1920+280+6170+1148+250+360+6145+460</f>
        <v>25178</v>
      </c>
      <c r="G52" s="35"/>
      <c r="H52" s="35">
        <v>2834.0</v>
      </c>
      <c r="I52" s="35"/>
      <c r="J52" s="30">
        <v>8387.0</v>
      </c>
      <c r="K52" s="114">
        <f t="shared" ref="K52:K125" si="13">D52+E52</f>
        <v>1880</v>
      </c>
      <c r="L52" s="881">
        <f t="shared" si="2"/>
        <v>8387</v>
      </c>
      <c r="M52" s="33">
        <f t="shared" si="12"/>
        <v>379</v>
      </c>
      <c r="N52" s="40">
        <f t="shared" si="5"/>
        <v>11999.664</v>
      </c>
      <c r="O52" s="35">
        <f>'PAGOS OCT19'!B206</f>
        <v>8386.2</v>
      </c>
      <c r="P52" s="33">
        <f t="shared" si="3"/>
        <v>3613.464</v>
      </c>
      <c r="Q52" s="33">
        <f t="shared" si="4"/>
        <v>12000.464</v>
      </c>
      <c r="R52" s="882"/>
      <c r="S52" s="35">
        <f t="shared" si="6"/>
        <v>12000.464</v>
      </c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>
      <c r="A53" s="38" t="s">
        <v>22</v>
      </c>
      <c r="B53" s="41">
        <v>43760.0</v>
      </c>
      <c r="C53" s="22">
        <v>37402.0</v>
      </c>
      <c r="D53" s="24">
        <f>240+950+600</f>
        <v>1790</v>
      </c>
      <c r="E53" s="25">
        <v>400.0</v>
      </c>
      <c r="F53" s="35">
        <f>6805+575+2200+250+4750+1750+6920+570+230</f>
        <v>24050</v>
      </c>
      <c r="G53" s="35"/>
      <c r="H53" s="35">
        <v>3158.0</v>
      </c>
      <c r="I53" s="35"/>
      <c r="J53" s="30">
        <v>9208.0</v>
      </c>
      <c r="K53" s="114">
        <f t="shared" si="13"/>
        <v>2190</v>
      </c>
      <c r="L53" s="881">
        <f t="shared" si="2"/>
        <v>9208</v>
      </c>
      <c r="M53" s="33">
        <f t="shared" si="12"/>
        <v>804</v>
      </c>
      <c r="N53" s="40">
        <f t="shared" si="5"/>
        <v>12000.464</v>
      </c>
      <c r="O53" s="35">
        <f>'PAGOS OCT19'!B217</f>
        <v>8208.33</v>
      </c>
      <c r="P53" s="33">
        <f t="shared" si="3"/>
        <v>3792.134</v>
      </c>
      <c r="Q53" s="33">
        <f t="shared" si="4"/>
        <v>13000.134</v>
      </c>
      <c r="R53" s="882"/>
      <c r="S53" s="35">
        <f t="shared" si="6"/>
        <v>13000.134</v>
      </c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>
      <c r="A54" s="38" t="s">
        <v>32</v>
      </c>
      <c r="B54" s="41">
        <v>43761.0</v>
      </c>
      <c r="C54" s="22">
        <v>45030.0</v>
      </c>
      <c r="D54" s="24">
        <f>800+430+900+1200</f>
        <v>3330</v>
      </c>
      <c r="E54" s="25">
        <v>400.0</v>
      </c>
      <c r="F54" s="35">
        <f>4380+3380+4145+960+380+680+9575+3085</f>
        <v>26585</v>
      </c>
      <c r="G54" s="35"/>
      <c r="H54" s="35">
        <v>4265.5</v>
      </c>
      <c r="I54" s="35"/>
      <c r="J54" s="30">
        <v>10563.0</v>
      </c>
      <c r="K54" s="114">
        <f t="shared" si="13"/>
        <v>3730</v>
      </c>
      <c r="L54" s="881">
        <f t="shared" si="2"/>
        <v>10563</v>
      </c>
      <c r="M54" s="33">
        <f t="shared" si="12"/>
        <v>-286.5</v>
      </c>
      <c r="N54" s="40">
        <f t="shared" si="5"/>
        <v>13000.134</v>
      </c>
      <c r="O54" s="35">
        <f>'PAGOS OCT19'!B227</f>
        <v>7563.35</v>
      </c>
      <c r="P54" s="33">
        <f t="shared" si="3"/>
        <v>5436.784</v>
      </c>
      <c r="Q54" s="33">
        <f t="shared" si="4"/>
        <v>15999.784</v>
      </c>
      <c r="R54" s="882">
        <v>10000.0</v>
      </c>
      <c r="S54" s="35">
        <f t="shared" si="6"/>
        <v>25999.784</v>
      </c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>
      <c r="A55" s="38" t="s">
        <v>24</v>
      </c>
      <c r="B55" s="41">
        <v>43762.0</v>
      </c>
      <c r="C55" s="22">
        <v>48557.0</v>
      </c>
      <c r="D55" s="24">
        <v>2110.0</v>
      </c>
      <c r="E55" s="25">
        <v>0.0</v>
      </c>
      <c r="F55" s="35">
        <v>31300.0</v>
      </c>
      <c r="G55" s="35"/>
      <c r="H55" s="35">
        <v>4336.0</v>
      </c>
      <c r="I55" s="35"/>
      <c r="J55" s="30">
        <v>18406.0</v>
      </c>
      <c r="K55" s="114">
        <f t="shared" si="13"/>
        <v>2110</v>
      </c>
      <c r="L55" s="881">
        <f t="shared" si="2"/>
        <v>18406</v>
      </c>
      <c r="M55" s="33">
        <f t="shared" si="12"/>
        <v>7595</v>
      </c>
      <c r="N55" s="40">
        <f t="shared" si="5"/>
        <v>25999.784</v>
      </c>
      <c r="O55" s="35">
        <f>'PAGOS OCT19'!B238</f>
        <v>22406.05</v>
      </c>
      <c r="P55" s="33">
        <f t="shared" si="3"/>
        <v>3593.734</v>
      </c>
      <c r="Q55" s="33">
        <f t="shared" si="4"/>
        <v>21999.734</v>
      </c>
      <c r="R55" s="882"/>
      <c r="S55" s="35">
        <f t="shared" si="6"/>
        <v>21999.734</v>
      </c>
      <c r="T55" s="35" t="s">
        <v>4411</v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>
      <c r="A56" s="38" t="s">
        <v>25</v>
      </c>
      <c r="B56" s="41">
        <v>43763.0</v>
      </c>
      <c r="C56" s="22">
        <v>36831.0</v>
      </c>
      <c r="D56" s="24">
        <v>3270.0</v>
      </c>
      <c r="E56" s="25">
        <v>500.0</v>
      </c>
      <c r="F56" s="35">
        <v>22410.0</v>
      </c>
      <c r="G56" s="35"/>
      <c r="H56" s="35">
        <v>3221.0</v>
      </c>
      <c r="I56" s="35"/>
      <c r="J56" s="30">
        <v>10064.0</v>
      </c>
      <c r="K56" s="114">
        <f t="shared" si="13"/>
        <v>3770</v>
      </c>
      <c r="L56" s="881">
        <f t="shared" si="2"/>
        <v>10064</v>
      </c>
      <c r="M56" s="33">
        <f t="shared" si="12"/>
        <v>2134</v>
      </c>
      <c r="N56" s="40">
        <f t="shared" si="5"/>
        <v>21999.734</v>
      </c>
      <c r="O56" s="35">
        <f>'PAGOS OCT19'!B252</f>
        <v>27063.64</v>
      </c>
      <c r="P56" s="33">
        <f t="shared" si="3"/>
        <v>-5063.906</v>
      </c>
      <c r="Q56" s="33">
        <f t="shared" si="4"/>
        <v>5000.094</v>
      </c>
      <c r="R56" s="882"/>
      <c r="S56" s="35">
        <f t="shared" si="6"/>
        <v>5000.094</v>
      </c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</row>
    <row r="57">
      <c r="A57" s="38" t="s">
        <v>33</v>
      </c>
      <c r="B57" s="41">
        <v>43764.0</v>
      </c>
      <c r="C57" s="22">
        <v>16790.0</v>
      </c>
      <c r="D57" s="24">
        <f>800+800+100+110+175+90</f>
        <v>2075</v>
      </c>
      <c r="E57" s="25">
        <v>500.0</v>
      </c>
      <c r="F57" s="35">
        <f>695+2170+200+975</f>
        <v>4040</v>
      </c>
      <c r="G57" s="35"/>
      <c r="H57" s="35">
        <v>1300.0</v>
      </c>
      <c r="I57" s="35"/>
      <c r="J57" s="30">
        <v>10982.0</v>
      </c>
      <c r="K57" s="114">
        <f t="shared" si="13"/>
        <v>2575</v>
      </c>
      <c r="L57" s="881">
        <f t="shared" si="2"/>
        <v>10982</v>
      </c>
      <c r="M57" s="33">
        <f t="shared" si="12"/>
        <v>1607</v>
      </c>
      <c r="N57" s="40">
        <f t="shared" si="5"/>
        <v>5000.094</v>
      </c>
      <c r="O57" s="35">
        <f>'PAGOS OCT19'!B262</f>
        <v>52982.39</v>
      </c>
      <c r="P57" s="33">
        <f t="shared" si="3"/>
        <v>-47982.296</v>
      </c>
      <c r="Q57" s="33">
        <f t="shared" si="4"/>
        <v>-37000.296</v>
      </c>
      <c r="R57" s="882">
        <v>50000.0</v>
      </c>
      <c r="S57" s="35">
        <f t="shared" si="6"/>
        <v>12999.704</v>
      </c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>
      <c r="A58" s="105" t="s">
        <v>27</v>
      </c>
      <c r="B58" s="43">
        <v>43765.0</v>
      </c>
      <c r="C58" s="108"/>
      <c r="D58" s="110">
        <v>0.0</v>
      </c>
      <c r="E58" s="110">
        <v>0.0</v>
      </c>
      <c r="F58" s="110">
        <v>0.0</v>
      </c>
      <c r="G58" s="108"/>
      <c r="H58" s="108"/>
      <c r="I58" s="108"/>
      <c r="J58" s="110">
        <v>0.0</v>
      </c>
      <c r="K58" s="108">
        <f t="shared" si="13"/>
        <v>0</v>
      </c>
      <c r="L58" s="108">
        <f t="shared" si="2"/>
        <v>0</v>
      </c>
      <c r="M58" s="108">
        <f t="shared" si="12"/>
        <v>0</v>
      </c>
      <c r="N58" s="109">
        <f t="shared" si="5"/>
        <v>12999.704</v>
      </c>
      <c r="O58" s="110">
        <v>0.0</v>
      </c>
      <c r="P58" s="108">
        <f t="shared" si="3"/>
        <v>12999.704</v>
      </c>
      <c r="Q58" s="108">
        <f t="shared" si="4"/>
        <v>12999.704</v>
      </c>
      <c r="R58" s="110"/>
      <c r="S58" s="110">
        <f t="shared" si="6"/>
        <v>12999.704</v>
      </c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</row>
    <row r="59">
      <c r="A59" s="38" t="s">
        <v>21</v>
      </c>
      <c r="B59" s="41">
        <v>43766.0</v>
      </c>
      <c r="C59" s="22">
        <v>47319.0</v>
      </c>
      <c r="D59" s="24">
        <f>1800+550</f>
        <v>2350</v>
      </c>
      <c r="E59" s="25">
        <v>300.0</v>
      </c>
      <c r="F59" s="35">
        <f>13250+1440+610+6575+885+390+4567+480+250+250+610</f>
        <v>29307</v>
      </c>
      <c r="G59" s="35"/>
      <c r="H59" s="35">
        <v>3692.0</v>
      </c>
      <c r="I59" s="35"/>
      <c r="J59" s="30">
        <v>12262.0</v>
      </c>
      <c r="K59" s="114">
        <f t="shared" si="13"/>
        <v>2650</v>
      </c>
      <c r="L59" s="881">
        <f t="shared" ref="L59:L64" si="14">(D59+E59+J59)-1000</f>
        <v>13912</v>
      </c>
      <c r="M59" s="33">
        <f t="shared" si="12"/>
        <v>292</v>
      </c>
      <c r="N59" s="40">
        <f t="shared" si="5"/>
        <v>12999.704</v>
      </c>
      <c r="O59" s="35">
        <f>'PAGOS OCT19'!B274</f>
        <v>14261.84</v>
      </c>
      <c r="P59" s="33">
        <f t="shared" si="3"/>
        <v>-1262.136</v>
      </c>
      <c r="Q59" s="33">
        <f t="shared" si="4"/>
        <v>10999.864</v>
      </c>
      <c r="R59" s="882"/>
      <c r="S59" s="35">
        <f t="shared" si="6"/>
        <v>10999.864</v>
      </c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>
      <c r="A60" s="38" t="s">
        <v>22</v>
      </c>
      <c r="B60" s="41">
        <v>43767.0</v>
      </c>
      <c r="C60" s="22">
        <f>57226+260</f>
        <v>57486</v>
      </c>
      <c r="D60" s="24">
        <f>1500+450+340+770+250</f>
        <v>3310</v>
      </c>
      <c r="E60" s="25">
        <v>500.0</v>
      </c>
      <c r="F60" s="35">
        <f>1220+16015+2259+220+3320+510+12640+3340+660</f>
        <v>40184</v>
      </c>
      <c r="G60" s="35">
        <v>289.0</v>
      </c>
      <c r="H60" s="35">
        <v>3339.0</v>
      </c>
      <c r="I60" s="35"/>
      <c r="J60" s="30">
        <v>11732.0</v>
      </c>
      <c r="K60" s="114">
        <f t="shared" si="13"/>
        <v>3810</v>
      </c>
      <c r="L60" s="881">
        <f t="shared" si="14"/>
        <v>14542</v>
      </c>
      <c r="M60" s="33">
        <f t="shared" si="12"/>
        <v>1368</v>
      </c>
      <c r="N60" s="40">
        <f t="shared" si="5"/>
        <v>10999.864</v>
      </c>
      <c r="O60" s="35">
        <f>'PAGOS OCT19'!B287</f>
        <v>25231.56</v>
      </c>
      <c r="P60" s="33">
        <f t="shared" si="3"/>
        <v>-14231.696</v>
      </c>
      <c r="Q60" s="33">
        <f t="shared" si="4"/>
        <v>-2499.696</v>
      </c>
      <c r="R60" s="882">
        <v>10000.0</v>
      </c>
      <c r="S60" s="35">
        <f t="shared" si="6"/>
        <v>7500.304</v>
      </c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>
      <c r="A61" s="38" t="s">
        <v>32</v>
      </c>
      <c r="B61" s="41">
        <v>43768.0</v>
      </c>
      <c r="C61" s="22">
        <v>49827.0</v>
      </c>
      <c r="D61" s="24">
        <f>900+320+700+90</f>
        <v>2010</v>
      </c>
      <c r="E61" s="25">
        <v>1000.0</v>
      </c>
      <c r="F61" s="35">
        <f>11180+2900+700+3600+250+220+13560+1240+350</f>
        <v>34000</v>
      </c>
      <c r="G61" s="35">
        <f>150+379</f>
        <v>529</v>
      </c>
      <c r="H61" s="35">
        <v>4366.0</v>
      </c>
      <c r="I61" s="35"/>
      <c r="J61" s="30">
        <v>10197.0</v>
      </c>
      <c r="K61" s="114">
        <f t="shared" si="13"/>
        <v>3010</v>
      </c>
      <c r="L61" s="881">
        <f t="shared" si="14"/>
        <v>12207</v>
      </c>
      <c r="M61" s="33">
        <f t="shared" si="12"/>
        <v>1275</v>
      </c>
      <c r="N61" s="40">
        <f t="shared" si="5"/>
        <v>7500.304</v>
      </c>
      <c r="O61" s="35">
        <f>'PAGOS OCT19'!B297</f>
        <v>7196.85</v>
      </c>
      <c r="P61" s="33">
        <f t="shared" si="3"/>
        <v>303.454</v>
      </c>
      <c r="Q61" s="33">
        <f t="shared" si="4"/>
        <v>10500.454</v>
      </c>
      <c r="R61" s="882"/>
      <c r="S61" s="35">
        <f t="shared" si="6"/>
        <v>10500.454</v>
      </c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>
      <c r="A62" s="38" t="s">
        <v>24</v>
      </c>
      <c r="B62" s="41">
        <v>43769.0</v>
      </c>
      <c r="C62" s="22">
        <v>43395.0</v>
      </c>
      <c r="D62" s="24">
        <v>1700.0</v>
      </c>
      <c r="E62" s="25">
        <v>1000.0</v>
      </c>
      <c r="F62" s="35">
        <v>26812.0</v>
      </c>
      <c r="G62" s="35">
        <v>369.0</v>
      </c>
      <c r="H62" s="35">
        <v>2945.0</v>
      </c>
      <c r="I62" s="35"/>
      <c r="J62" s="30">
        <v>11388.0</v>
      </c>
      <c r="K62" s="114">
        <f t="shared" si="13"/>
        <v>2700</v>
      </c>
      <c r="L62" s="881">
        <f t="shared" si="14"/>
        <v>13088</v>
      </c>
      <c r="M62" s="33">
        <f t="shared" si="12"/>
        <v>-181</v>
      </c>
      <c r="N62" s="40">
        <f t="shared" si="5"/>
        <v>10500.454</v>
      </c>
      <c r="O62" s="35">
        <f>'PAGOS OCT19'!B307</f>
        <v>16388.62</v>
      </c>
      <c r="P62" s="33">
        <f t="shared" si="3"/>
        <v>-5888.166</v>
      </c>
      <c r="Q62" s="33">
        <f t="shared" si="4"/>
        <v>5499.834</v>
      </c>
      <c r="R62" s="882"/>
      <c r="S62" s="35">
        <f t="shared" si="6"/>
        <v>5499.834</v>
      </c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</row>
    <row r="63">
      <c r="A63" s="988" t="s">
        <v>25</v>
      </c>
      <c r="B63" s="989">
        <v>43770.0</v>
      </c>
      <c r="C63" s="909">
        <v>46327.0</v>
      </c>
      <c r="D63" s="910">
        <v>2180.0</v>
      </c>
      <c r="E63" s="911">
        <v>1000.0</v>
      </c>
      <c r="F63" s="175">
        <v>26240.0</v>
      </c>
      <c r="G63" s="175">
        <v>0.0</v>
      </c>
      <c r="H63" s="175">
        <v>2882.0</v>
      </c>
      <c r="I63" s="175"/>
      <c r="J63" s="912">
        <v>16541.0</v>
      </c>
      <c r="K63" s="913">
        <f t="shared" si="13"/>
        <v>3180</v>
      </c>
      <c r="L63" s="914">
        <f t="shared" si="14"/>
        <v>18721</v>
      </c>
      <c r="M63" s="173">
        <f t="shared" ref="M63:M64" si="15">SUM(D63:J63)-(C63+1000)</f>
        <v>1516</v>
      </c>
      <c r="N63" s="174">
        <f t="shared" si="5"/>
        <v>5499.834</v>
      </c>
      <c r="O63" s="175">
        <f>'PAGOS NOV19'!B16</f>
        <v>22540.48</v>
      </c>
      <c r="P63" s="173">
        <f t="shared" si="3"/>
        <v>-17040.646</v>
      </c>
      <c r="Q63" s="173">
        <f t="shared" si="4"/>
        <v>-499.646</v>
      </c>
      <c r="R63" s="915"/>
      <c r="S63" s="175">
        <f t="shared" si="6"/>
        <v>-499.646</v>
      </c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</row>
    <row r="64">
      <c r="A64" s="38" t="s">
        <v>33</v>
      </c>
      <c r="B64" s="41">
        <v>43771.0</v>
      </c>
      <c r="C64" s="22">
        <v>17473.0</v>
      </c>
      <c r="D64" s="24">
        <f>600+960</f>
        <v>1560</v>
      </c>
      <c r="E64" s="25">
        <v>1000.0</v>
      </c>
      <c r="F64" s="35">
        <f>325+905+505+665+4700</f>
        <v>7100</v>
      </c>
      <c r="G64" s="35">
        <v>979.0</v>
      </c>
      <c r="H64" s="35">
        <v>548.0</v>
      </c>
      <c r="I64" s="35"/>
      <c r="J64" s="30">
        <v>5550.0</v>
      </c>
      <c r="K64" s="114">
        <f t="shared" si="13"/>
        <v>2560</v>
      </c>
      <c r="L64" s="881">
        <f t="shared" si="14"/>
        <v>7110</v>
      </c>
      <c r="M64" s="33">
        <f t="shared" si="15"/>
        <v>-1736</v>
      </c>
      <c r="N64" s="40">
        <f t="shared" si="5"/>
        <v>-499.646</v>
      </c>
      <c r="O64" s="35">
        <f>'PAGOS NOV19'!B27</f>
        <v>34550</v>
      </c>
      <c r="P64" s="33">
        <f t="shared" si="3"/>
        <v>-35049.646</v>
      </c>
      <c r="Q64" s="33">
        <f t="shared" si="4"/>
        <v>-29499.646</v>
      </c>
      <c r="R64" s="882">
        <v>35000.0</v>
      </c>
      <c r="S64" s="35">
        <f t="shared" si="6"/>
        <v>5500.354</v>
      </c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>
      <c r="A65" s="105" t="s">
        <v>27</v>
      </c>
      <c r="B65" s="43">
        <v>43772.0</v>
      </c>
      <c r="C65" s="110">
        <v>0.0</v>
      </c>
      <c r="D65" s="110">
        <v>0.0</v>
      </c>
      <c r="E65" s="110">
        <v>0.0</v>
      </c>
      <c r="F65" s="110">
        <v>0.0</v>
      </c>
      <c r="G65" s="108"/>
      <c r="H65" s="108"/>
      <c r="I65" s="108"/>
      <c r="J65" s="110">
        <v>0.0</v>
      </c>
      <c r="K65" s="108">
        <f t="shared" si="13"/>
        <v>0</v>
      </c>
      <c r="L65" s="108">
        <f t="shared" ref="L65:L98" si="16">(D65+E65+J65)-K65</f>
        <v>0</v>
      </c>
      <c r="M65" s="108">
        <f>SUM(D65:J65)-(C65+E65)</f>
        <v>0</v>
      </c>
      <c r="N65" s="109">
        <f t="shared" si="5"/>
        <v>5500.354</v>
      </c>
      <c r="O65" s="110" t="str">
        <f>'PAGOS OCT19'!B310</f>
        <v/>
      </c>
      <c r="P65" s="108">
        <f t="shared" si="3"/>
        <v>5500.354</v>
      </c>
      <c r="Q65" s="108">
        <f t="shared" si="4"/>
        <v>5500.354</v>
      </c>
      <c r="R65" s="110"/>
      <c r="S65" s="110">
        <f t="shared" si="6"/>
        <v>5500.354</v>
      </c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</row>
    <row r="66">
      <c r="A66" s="38" t="s">
        <v>21</v>
      </c>
      <c r="B66" s="41">
        <v>43773.0</v>
      </c>
      <c r="C66" s="22">
        <v>41527.0</v>
      </c>
      <c r="D66" s="24">
        <f>700+500+100</f>
        <v>1300</v>
      </c>
      <c r="E66" s="25">
        <v>800.0</v>
      </c>
      <c r="F66" s="35">
        <f>5075+1430+230+9155+920+110+5465+1850+750+205</f>
        <v>25190</v>
      </c>
      <c r="G66" s="35">
        <f>629+784</f>
        <v>1413</v>
      </c>
      <c r="H66" s="35">
        <v>3922.0</v>
      </c>
      <c r="I66" s="35"/>
      <c r="J66" s="30">
        <v>10055.0</v>
      </c>
      <c r="K66" s="114">
        <f t="shared" si="13"/>
        <v>2100</v>
      </c>
      <c r="L66" s="881">
        <f t="shared" si="16"/>
        <v>10055</v>
      </c>
      <c r="M66" s="33">
        <f t="shared" ref="M66:M68" si="17">SUM(D66:J66)-(C66)</f>
        <v>1153</v>
      </c>
      <c r="N66" s="40">
        <f t="shared" si="5"/>
        <v>5500.354</v>
      </c>
      <c r="O66" s="35">
        <f>'PAGOS NOV19'!B39</f>
        <v>5055.62</v>
      </c>
      <c r="P66" s="33">
        <f t="shared" si="3"/>
        <v>444.734</v>
      </c>
      <c r="Q66" s="33">
        <f t="shared" si="4"/>
        <v>10499.734</v>
      </c>
      <c r="R66" s="882"/>
      <c r="S66" s="35">
        <f t="shared" si="6"/>
        <v>10499.734</v>
      </c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>
      <c r="A67" s="38" t="s">
        <v>22</v>
      </c>
      <c r="B67" s="41">
        <v>43774.0</v>
      </c>
      <c r="C67" s="22">
        <v>44569.0</v>
      </c>
      <c r="D67" s="24">
        <f>300+20+1200+270+110</f>
        <v>1900</v>
      </c>
      <c r="E67" s="25">
        <v>500.0</v>
      </c>
      <c r="F67" s="35">
        <f>940+375+10906+1450+7695+1337+660+1725+315</f>
        <v>25403</v>
      </c>
      <c r="G67" s="35">
        <f>679+579</f>
        <v>1258</v>
      </c>
      <c r="H67" s="35">
        <v>3687.5</v>
      </c>
      <c r="I67" s="35"/>
      <c r="J67" s="30">
        <v>11265.0</v>
      </c>
      <c r="K67" s="114">
        <f t="shared" si="13"/>
        <v>2400</v>
      </c>
      <c r="L67" s="881">
        <f t="shared" si="16"/>
        <v>11265</v>
      </c>
      <c r="M67" s="33">
        <f t="shared" si="17"/>
        <v>-555.5</v>
      </c>
      <c r="N67" s="40">
        <f t="shared" si="5"/>
        <v>10499.734</v>
      </c>
      <c r="O67" s="35">
        <f>'PAGOS NOV19'!B49</f>
        <v>16264.95</v>
      </c>
      <c r="P67" s="33">
        <f t="shared" si="3"/>
        <v>-5765.216</v>
      </c>
      <c r="Q67" s="33">
        <f t="shared" si="4"/>
        <v>5499.784</v>
      </c>
      <c r="R67" s="882"/>
      <c r="S67" s="35">
        <f t="shared" si="6"/>
        <v>5499.784</v>
      </c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>
      <c r="A68" s="38" t="s">
        <v>32</v>
      </c>
      <c r="B68" s="41">
        <v>43775.0</v>
      </c>
      <c r="C68" s="22">
        <v>44603.0</v>
      </c>
      <c r="D68" s="24">
        <f>300+250+480+300+310</f>
        <v>1640</v>
      </c>
      <c r="E68" s="25">
        <v>500.0</v>
      </c>
      <c r="F68" s="35">
        <f>12345+3095+1820+1195+220+2400+75+6745+425</f>
        <v>28320</v>
      </c>
      <c r="G68" s="33">
        <f>689+219+299+614+289+209.3</f>
        <v>2319.3</v>
      </c>
      <c r="H68" s="35">
        <v>4208.0</v>
      </c>
      <c r="I68" s="35"/>
      <c r="J68" s="30">
        <v>12130.0</v>
      </c>
      <c r="K68" s="114">
        <f t="shared" si="13"/>
        <v>2140</v>
      </c>
      <c r="L68" s="881">
        <f t="shared" si="16"/>
        <v>12130</v>
      </c>
      <c r="M68" s="33">
        <f t="shared" si="17"/>
        <v>4514.3</v>
      </c>
      <c r="N68" s="40">
        <f t="shared" si="5"/>
        <v>5499.784</v>
      </c>
      <c r="O68" s="35">
        <f>'PAGOS NOV19'!B61</f>
        <v>11129.59</v>
      </c>
      <c r="P68" s="33">
        <f t="shared" si="3"/>
        <v>-5629.806</v>
      </c>
      <c r="Q68" s="33">
        <f t="shared" si="4"/>
        <v>6500.194</v>
      </c>
      <c r="R68" s="882"/>
      <c r="S68" s="35">
        <f t="shared" si="6"/>
        <v>6500.194</v>
      </c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>
      <c r="A69" s="38" t="s">
        <v>24</v>
      </c>
      <c r="B69" s="41">
        <v>43776.0</v>
      </c>
      <c r="C69" s="22">
        <v>40494.0</v>
      </c>
      <c r="D69" s="24">
        <f>1000+440+520+220+90</f>
        <v>2270</v>
      </c>
      <c r="E69" s="25">
        <v>500.0</v>
      </c>
      <c r="F69" s="35">
        <f>4050+880+1400+420+5545+2797+390+6425+2192+195</f>
        <v>24294</v>
      </c>
      <c r="G69" s="33">
        <f>289+614+429</f>
        <v>1332</v>
      </c>
      <c r="H69" s="35">
        <v>5310.0</v>
      </c>
      <c r="I69" s="35"/>
      <c r="J69" s="30">
        <v>7959.0</v>
      </c>
      <c r="K69" s="114">
        <f t="shared" si="13"/>
        <v>2770</v>
      </c>
      <c r="L69" s="881">
        <f t="shared" si="16"/>
        <v>7959</v>
      </c>
      <c r="M69" s="33">
        <f t="shared" ref="M69:M125" si="18">SUM(D69:J69)-(C69+E69)</f>
        <v>671</v>
      </c>
      <c r="N69" s="40">
        <f t="shared" si="5"/>
        <v>6500.194</v>
      </c>
      <c r="O69" s="35">
        <f>'PAGOS NOV19'!B73</f>
        <v>8959.22</v>
      </c>
      <c r="P69" s="33">
        <f t="shared" si="3"/>
        <v>-2459.026</v>
      </c>
      <c r="Q69" s="33">
        <f t="shared" si="4"/>
        <v>5499.974</v>
      </c>
      <c r="R69" s="882">
        <v>62000.0</v>
      </c>
      <c r="S69" s="35">
        <f t="shared" si="6"/>
        <v>67499.974</v>
      </c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>
      <c r="A70" s="38" t="s">
        <v>25</v>
      </c>
      <c r="B70" s="41">
        <v>43777.0</v>
      </c>
      <c r="C70" s="22">
        <v>38877.0</v>
      </c>
      <c r="D70" s="24">
        <f>800+100+180+310+180+80</f>
        <v>1650</v>
      </c>
      <c r="E70" s="25">
        <v>500.0</v>
      </c>
      <c r="F70" s="35">
        <f>5480+575+8135+2005+4665+2710+280</f>
        <v>23850</v>
      </c>
      <c r="G70" s="35">
        <f>639</f>
        <v>639</v>
      </c>
      <c r="H70" s="35">
        <v>4158.0</v>
      </c>
      <c r="I70" s="35"/>
      <c r="J70" s="30">
        <v>10233.0</v>
      </c>
      <c r="K70" s="114">
        <f t="shared" si="13"/>
        <v>2150</v>
      </c>
      <c r="L70" s="881">
        <f t="shared" si="16"/>
        <v>10233</v>
      </c>
      <c r="M70" s="33">
        <f t="shared" si="18"/>
        <v>1653</v>
      </c>
      <c r="N70" s="40">
        <f t="shared" si="5"/>
        <v>67499.974</v>
      </c>
      <c r="O70" s="35">
        <f>'PAGOS NOV19'!B91</f>
        <v>72233.34</v>
      </c>
      <c r="P70" s="33">
        <f t="shared" si="3"/>
        <v>-4733.366</v>
      </c>
      <c r="Q70" s="33">
        <f t="shared" si="4"/>
        <v>5499.634</v>
      </c>
      <c r="R70" s="882"/>
      <c r="S70" s="35">
        <f t="shared" si="6"/>
        <v>5499.634</v>
      </c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>
      <c r="A71" s="38" t="s">
        <v>33</v>
      </c>
      <c r="B71" s="41">
        <v>43778.0</v>
      </c>
      <c r="C71" s="22">
        <v>17872.0</v>
      </c>
      <c r="D71" s="24">
        <v>2090.0</v>
      </c>
      <c r="E71" s="25">
        <v>500.0</v>
      </c>
      <c r="F71" s="35">
        <v>5735.0</v>
      </c>
      <c r="G71" s="35">
        <f>789+1348</f>
        <v>2137</v>
      </c>
      <c r="H71" s="35">
        <v>1740.0</v>
      </c>
      <c r="I71" s="33"/>
      <c r="J71" s="30">
        <v>5070.0</v>
      </c>
      <c r="K71" s="114">
        <f t="shared" si="13"/>
        <v>2590</v>
      </c>
      <c r="L71" s="881">
        <f t="shared" si="16"/>
        <v>5070</v>
      </c>
      <c r="M71" s="33">
        <f t="shared" si="18"/>
        <v>-1100</v>
      </c>
      <c r="N71" s="40">
        <f t="shared" si="5"/>
        <v>5499.634</v>
      </c>
      <c r="O71" s="35">
        <f>'PAGOS NOV19'!B103</f>
        <v>32069.31</v>
      </c>
      <c r="P71" s="33">
        <f t="shared" si="3"/>
        <v>-26569.676</v>
      </c>
      <c r="Q71" s="33">
        <f t="shared" si="4"/>
        <v>-21499.676</v>
      </c>
      <c r="R71" s="882">
        <v>20000.0</v>
      </c>
      <c r="S71" s="35">
        <f t="shared" si="6"/>
        <v>-1499.676</v>
      </c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>
      <c r="A72" s="105" t="s">
        <v>27</v>
      </c>
      <c r="B72" s="43">
        <v>43779.0</v>
      </c>
      <c r="C72" s="110">
        <v>0.0</v>
      </c>
      <c r="D72" s="110">
        <v>0.0</v>
      </c>
      <c r="E72" s="110">
        <v>0.0</v>
      </c>
      <c r="F72" s="110">
        <v>0.0</v>
      </c>
      <c r="G72" s="108"/>
      <c r="H72" s="108"/>
      <c r="I72" s="108"/>
      <c r="J72" s="110">
        <v>0.0</v>
      </c>
      <c r="K72" s="108">
        <f t="shared" si="13"/>
        <v>0</v>
      </c>
      <c r="L72" s="108">
        <f t="shared" si="16"/>
        <v>0</v>
      </c>
      <c r="M72" s="108">
        <f t="shared" si="18"/>
        <v>0</v>
      </c>
      <c r="N72" s="109">
        <f t="shared" si="5"/>
        <v>-1499.676</v>
      </c>
      <c r="O72" s="110" t="str">
        <f>'PAGOS OCT19'!B317</f>
        <v/>
      </c>
      <c r="P72" s="108">
        <f t="shared" si="3"/>
        <v>-1499.676</v>
      </c>
      <c r="Q72" s="108">
        <f t="shared" si="4"/>
        <v>-1499.676</v>
      </c>
      <c r="R72" s="110"/>
      <c r="S72" s="110">
        <f t="shared" si="6"/>
        <v>-1499.676</v>
      </c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</row>
    <row r="73">
      <c r="A73" s="38" t="s">
        <v>21</v>
      </c>
      <c r="B73" s="41">
        <v>43780.0</v>
      </c>
      <c r="C73" s="22">
        <v>45278.0</v>
      </c>
      <c r="D73" s="24">
        <f>2445+180+280</f>
        <v>2905</v>
      </c>
      <c r="E73" s="25">
        <v>500.0</v>
      </c>
      <c r="F73" s="35">
        <f>440+2130+11340+1935+470+7380+1965+195</f>
        <v>25855</v>
      </c>
      <c r="G73" s="35">
        <f>279</f>
        <v>279</v>
      </c>
      <c r="H73" s="35">
        <v>5319.0</v>
      </c>
      <c r="I73" s="992">
        <v>525.0</v>
      </c>
      <c r="J73" s="30">
        <v>15207.0</v>
      </c>
      <c r="K73" s="114">
        <f t="shared" si="13"/>
        <v>3405</v>
      </c>
      <c r="L73" s="881">
        <f t="shared" si="16"/>
        <v>15207</v>
      </c>
      <c r="M73" s="33">
        <f t="shared" si="18"/>
        <v>4812</v>
      </c>
      <c r="N73" s="40">
        <f t="shared" si="5"/>
        <v>-1499.676</v>
      </c>
      <c r="O73" s="35">
        <f>'PAGOS NOV19'!B115</f>
        <v>5206.98</v>
      </c>
      <c r="P73" s="33">
        <f t="shared" si="3"/>
        <v>-6706.656</v>
      </c>
      <c r="Q73" s="33">
        <f t="shared" si="4"/>
        <v>8500.344</v>
      </c>
      <c r="R73" s="882">
        <v>0.0</v>
      </c>
      <c r="S73" s="35">
        <f t="shared" si="6"/>
        <v>8500.344</v>
      </c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>
      <c r="A74" s="38" t="s">
        <v>22</v>
      </c>
      <c r="B74" s="41">
        <v>43781.0</v>
      </c>
      <c r="C74" s="22">
        <v>39075.0</v>
      </c>
      <c r="D74" s="24">
        <f>850+600+260</f>
        <v>1710</v>
      </c>
      <c r="E74" s="25">
        <v>0.0</v>
      </c>
      <c r="F74" s="35">
        <f>12680+3450+195+2670+3545+1190+250+2960+210</f>
        <v>27150</v>
      </c>
      <c r="G74" s="33">
        <f>529+359</f>
        <v>888</v>
      </c>
      <c r="H74" s="35">
        <v>2400.0</v>
      </c>
      <c r="I74" s="992">
        <v>105.0</v>
      </c>
      <c r="J74" s="30">
        <v>9476.0</v>
      </c>
      <c r="K74" s="114">
        <f t="shared" si="13"/>
        <v>1710</v>
      </c>
      <c r="L74" s="881">
        <f t="shared" si="16"/>
        <v>9476</v>
      </c>
      <c r="M74" s="33">
        <f t="shared" si="18"/>
        <v>2654</v>
      </c>
      <c r="N74" s="40">
        <f t="shared" si="5"/>
        <v>8500.344</v>
      </c>
      <c r="O74" s="35">
        <f>'PAGOS NOV19'!B131</f>
        <v>21475.92</v>
      </c>
      <c r="P74" s="33">
        <f t="shared" si="3"/>
        <v>-12975.576</v>
      </c>
      <c r="Q74" s="33">
        <f t="shared" si="4"/>
        <v>-3499.576</v>
      </c>
      <c r="R74" s="882">
        <v>10000.0</v>
      </c>
      <c r="S74" s="35">
        <f t="shared" si="6"/>
        <v>6500.424</v>
      </c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>
      <c r="A75" s="38" t="s">
        <v>32</v>
      </c>
      <c r="B75" s="41">
        <v>43782.0</v>
      </c>
      <c r="C75" s="22">
        <v>33570.0</v>
      </c>
      <c r="D75" s="24">
        <f>1400+50+40+160+200+70</f>
        <v>1920</v>
      </c>
      <c r="E75" s="25">
        <v>500.0</v>
      </c>
      <c r="F75" s="35">
        <f>400+3290+440+1410+120+6410+2160+135</f>
        <v>14365</v>
      </c>
      <c r="G75" s="33">
        <f>389+924</f>
        <v>1313</v>
      </c>
      <c r="H75" s="35">
        <v>2800.0</v>
      </c>
      <c r="I75" s="992">
        <v>1510.0</v>
      </c>
      <c r="J75" s="30">
        <v>8850.0</v>
      </c>
      <c r="K75" s="114">
        <f t="shared" si="13"/>
        <v>2420</v>
      </c>
      <c r="L75" s="881">
        <f t="shared" si="16"/>
        <v>8850</v>
      </c>
      <c r="M75" s="33">
        <f t="shared" si="18"/>
        <v>-2812</v>
      </c>
      <c r="N75" s="40">
        <f t="shared" si="5"/>
        <v>6500.424</v>
      </c>
      <c r="O75" s="35">
        <f>'PAGOS NOV19'!B144</f>
        <v>8850.59</v>
      </c>
      <c r="P75" s="33">
        <f t="shared" si="3"/>
        <v>-2350.166</v>
      </c>
      <c r="Q75" s="33">
        <f t="shared" si="4"/>
        <v>6499.834</v>
      </c>
      <c r="R75" s="882"/>
      <c r="S75" s="35">
        <f t="shared" si="6"/>
        <v>6499.834</v>
      </c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>
      <c r="A76" s="38" t="s">
        <v>24</v>
      </c>
      <c r="B76" s="41">
        <v>43783.0</v>
      </c>
      <c r="C76" s="22">
        <v>45370.0</v>
      </c>
      <c r="D76" s="24">
        <v>2275.0</v>
      </c>
      <c r="E76" s="25">
        <v>500.0</v>
      </c>
      <c r="F76" s="35">
        <v>26623.0</v>
      </c>
      <c r="G76" s="35">
        <v>0.0</v>
      </c>
      <c r="H76" s="35">
        <v>5309.0</v>
      </c>
      <c r="I76" s="992">
        <v>855.0</v>
      </c>
      <c r="J76" s="30">
        <v>11236.0</v>
      </c>
      <c r="K76" s="114">
        <f t="shared" si="13"/>
        <v>2775</v>
      </c>
      <c r="L76" s="881">
        <f t="shared" si="16"/>
        <v>11236</v>
      </c>
      <c r="M76" s="33">
        <f t="shared" si="18"/>
        <v>928</v>
      </c>
      <c r="N76" s="40">
        <f t="shared" si="5"/>
        <v>6499.834</v>
      </c>
      <c r="O76" s="35">
        <f>'PAGOS NOV19'!B159</f>
        <v>13236.27</v>
      </c>
      <c r="P76" s="33">
        <f t="shared" si="3"/>
        <v>-6736.436</v>
      </c>
      <c r="Q76" s="33">
        <f t="shared" si="4"/>
        <v>4499.564</v>
      </c>
      <c r="R76" s="882"/>
      <c r="S76" s="35">
        <f t="shared" si="6"/>
        <v>4499.564</v>
      </c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</row>
    <row r="77">
      <c r="A77" s="38" t="s">
        <v>25</v>
      </c>
      <c r="B77" s="41">
        <v>43784.0</v>
      </c>
      <c r="C77" s="22">
        <v>39873.0</v>
      </c>
      <c r="D77" s="24">
        <v>2170.0</v>
      </c>
      <c r="E77" s="25">
        <v>500.0</v>
      </c>
      <c r="F77" s="35">
        <v>27495.0</v>
      </c>
      <c r="G77" s="33">
        <f>359+529</f>
        <v>888</v>
      </c>
      <c r="H77" s="35">
        <v>3332.0</v>
      </c>
      <c r="I77" s="992">
        <v>0.0</v>
      </c>
      <c r="J77" s="30">
        <v>7609.0</v>
      </c>
      <c r="K77" s="114">
        <f t="shared" si="13"/>
        <v>2670</v>
      </c>
      <c r="L77" s="881">
        <f t="shared" si="16"/>
        <v>7609</v>
      </c>
      <c r="M77" s="33">
        <f t="shared" si="18"/>
        <v>1621</v>
      </c>
      <c r="N77" s="40">
        <f t="shared" si="5"/>
        <v>4499.564</v>
      </c>
      <c r="O77" s="35">
        <f>'PAGOS NOV19'!B176</f>
        <v>33408.95</v>
      </c>
      <c r="P77" s="33">
        <f t="shared" si="3"/>
        <v>-28909.386</v>
      </c>
      <c r="Q77" s="33">
        <f t="shared" si="4"/>
        <v>-21300.386</v>
      </c>
      <c r="R77" s="882">
        <v>35000.0</v>
      </c>
      <c r="S77" s="35">
        <f t="shared" si="6"/>
        <v>13699.614</v>
      </c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>
      <c r="A78" s="38" t="s">
        <v>33</v>
      </c>
      <c r="B78" s="41">
        <v>43785.0</v>
      </c>
      <c r="C78" s="22">
        <v>25621.0</v>
      </c>
      <c r="D78" s="24">
        <f>1300+100++20+180+300+80</f>
        <v>1980</v>
      </c>
      <c r="E78" s="25">
        <v>500.0</v>
      </c>
      <c r="F78" s="35">
        <f>800+430+4010+345</f>
        <v>5585</v>
      </c>
      <c r="G78" s="33">
        <f>699+349</f>
        <v>1048</v>
      </c>
      <c r="H78" s="35">
        <v>270.0</v>
      </c>
      <c r="I78" s="992">
        <v>0.0</v>
      </c>
      <c r="J78" s="30">
        <v>15217.0</v>
      </c>
      <c r="K78" s="114">
        <f t="shared" si="13"/>
        <v>2480</v>
      </c>
      <c r="L78" s="881">
        <f t="shared" si="16"/>
        <v>15217</v>
      </c>
      <c r="M78" s="33">
        <f t="shared" si="18"/>
        <v>-1521</v>
      </c>
      <c r="N78" s="40">
        <f t="shared" si="5"/>
        <v>13699.614</v>
      </c>
      <c r="O78" s="35">
        <f>'PAGOS NOV19'!B186</f>
        <v>28916.15</v>
      </c>
      <c r="P78" s="33">
        <f t="shared" si="3"/>
        <v>-15216.536</v>
      </c>
      <c r="Q78" s="33">
        <f t="shared" si="4"/>
        <v>0.464</v>
      </c>
      <c r="R78" s="882"/>
      <c r="S78" s="35">
        <f t="shared" si="6"/>
        <v>0.464</v>
      </c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</row>
    <row r="79">
      <c r="A79" s="105" t="s">
        <v>27</v>
      </c>
      <c r="B79" s="43">
        <v>43786.0</v>
      </c>
      <c r="C79" s="110">
        <v>0.0</v>
      </c>
      <c r="D79" s="110">
        <v>0.0</v>
      </c>
      <c r="E79" s="110">
        <v>0.0</v>
      </c>
      <c r="F79" s="110">
        <v>0.0</v>
      </c>
      <c r="G79" s="108"/>
      <c r="H79" s="108"/>
      <c r="I79" s="108"/>
      <c r="J79" s="110">
        <v>0.0</v>
      </c>
      <c r="K79" s="108">
        <f t="shared" si="13"/>
        <v>0</v>
      </c>
      <c r="L79" s="108">
        <f t="shared" si="16"/>
        <v>0</v>
      </c>
      <c r="M79" s="108">
        <f t="shared" si="18"/>
        <v>0</v>
      </c>
      <c r="N79" s="109">
        <f t="shared" si="5"/>
        <v>0.464</v>
      </c>
      <c r="O79" s="110" t="str">
        <f>'PAGOS OCT19'!B324</f>
        <v/>
      </c>
      <c r="P79" s="108">
        <f t="shared" si="3"/>
        <v>0.464</v>
      </c>
      <c r="Q79" s="108">
        <f t="shared" si="4"/>
        <v>0.464</v>
      </c>
      <c r="R79" s="110"/>
      <c r="S79" s="110">
        <f t="shared" si="6"/>
        <v>0.464</v>
      </c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</row>
    <row r="80">
      <c r="A80" s="38" t="s">
        <v>21</v>
      </c>
      <c r="B80" s="41">
        <v>43787.0</v>
      </c>
      <c r="C80" s="22">
        <v>0.0</v>
      </c>
      <c r="D80" s="24">
        <v>0.0</v>
      </c>
      <c r="E80" s="25">
        <v>0.0</v>
      </c>
      <c r="F80" s="35">
        <v>0.0</v>
      </c>
      <c r="G80" s="35">
        <v>0.0</v>
      </c>
      <c r="H80" s="35">
        <v>0.0</v>
      </c>
      <c r="I80" s="35">
        <v>0.0</v>
      </c>
      <c r="J80" s="30">
        <v>0.0</v>
      </c>
      <c r="K80" s="114">
        <f t="shared" si="13"/>
        <v>0</v>
      </c>
      <c r="L80" s="881">
        <f t="shared" si="16"/>
        <v>0</v>
      </c>
      <c r="M80" s="33">
        <f t="shared" si="18"/>
        <v>0</v>
      </c>
      <c r="N80" s="40">
        <f t="shared" si="5"/>
        <v>0.464</v>
      </c>
      <c r="O80" s="35" t="str">
        <f>'PAGOS OCT19'!B325</f>
        <v/>
      </c>
      <c r="P80" s="33">
        <f t="shared" si="3"/>
        <v>0.464</v>
      </c>
      <c r="Q80" s="33">
        <f t="shared" si="4"/>
        <v>0.464</v>
      </c>
      <c r="R80" s="882"/>
      <c r="S80" s="35">
        <f t="shared" si="6"/>
        <v>0.464</v>
      </c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>
      <c r="A81" s="38" t="s">
        <v>22</v>
      </c>
      <c r="B81" s="41">
        <v>43788.0</v>
      </c>
      <c r="C81" s="22">
        <v>35558.0</v>
      </c>
      <c r="D81" s="24">
        <f>1000+210+380+80</f>
        <v>1670</v>
      </c>
      <c r="E81" s="25">
        <v>400.0</v>
      </c>
      <c r="F81" s="35">
        <f>2130+526+3985+900+9869+1173</f>
        <v>18583</v>
      </c>
      <c r="G81" s="33">
        <f>299+769+299+299</f>
        <v>1666</v>
      </c>
      <c r="H81" s="35">
        <v>4598.0</v>
      </c>
      <c r="I81" s="992">
        <v>1140.0</v>
      </c>
      <c r="J81" s="30">
        <v>9534.0</v>
      </c>
      <c r="K81" s="114">
        <f t="shared" si="13"/>
        <v>2070</v>
      </c>
      <c r="L81" s="881">
        <f t="shared" si="16"/>
        <v>9534</v>
      </c>
      <c r="M81" s="33">
        <f t="shared" si="18"/>
        <v>1633</v>
      </c>
      <c r="N81" s="40">
        <f t="shared" si="5"/>
        <v>0.464</v>
      </c>
      <c r="O81" s="35">
        <f>'PAGOS NOV19'!B200</f>
        <v>7034.75</v>
      </c>
      <c r="P81" s="33">
        <f t="shared" si="3"/>
        <v>-7034.286</v>
      </c>
      <c r="Q81" s="33">
        <f t="shared" si="4"/>
        <v>2499.714</v>
      </c>
      <c r="R81" s="882"/>
      <c r="S81" s="35">
        <f t="shared" si="6"/>
        <v>2499.714</v>
      </c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>
      <c r="A82" s="38" t="s">
        <v>32</v>
      </c>
      <c r="B82" s="41">
        <v>43789.0</v>
      </c>
      <c r="C82" s="22">
        <v>36969.0</v>
      </c>
      <c r="D82" s="24">
        <f>1200+100+140+320+440</f>
        <v>2200</v>
      </c>
      <c r="E82" s="25">
        <v>200.0</v>
      </c>
      <c r="F82" s="35">
        <f>5270+1680+900+4300+1245+8645+990</f>
        <v>23030</v>
      </c>
      <c r="G82" s="33">
        <f>779</f>
        <v>779</v>
      </c>
      <c r="H82" s="35">
        <v>4258.0</v>
      </c>
      <c r="I82" s="993">
        <v>210.0</v>
      </c>
      <c r="J82" s="30">
        <v>9070.0</v>
      </c>
      <c r="K82" s="114">
        <f t="shared" si="13"/>
        <v>2400</v>
      </c>
      <c r="L82" s="881">
        <f t="shared" si="16"/>
        <v>9070</v>
      </c>
      <c r="M82" s="33">
        <f t="shared" si="18"/>
        <v>2578</v>
      </c>
      <c r="N82" s="40">
        <f t="shared" si="5"/>
        <v>2499.714</v>
      </c>
      <c r="O82" s="35">
        <f>'PAGOS NOV19'!B216</f>
        <v>12069.82</v>
      </c>
      <c r="P82" s="33">
        <f t="shared" si="3"/>
        <v>-9570.106</v>
      </c>
      <c r="Q82" s="33">
        <f t="shared" si="4"/>
        <v>-500.106</v>
      </c>
      <c r="R82" s="882"/>
      <c r="S82" s="35">
        <f t="shared" si="6"/>
        <v>-500.106</v>
      </c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>
      <c r="A83" s="38" t="s">
        <v>24</v>
      </c>
      <c r="B83" s="41">
        <v>43790.0</v>
      </c>
      <c r="C83" s="22">
        <v>46525.0</v>
      </c>
      <c r="D83" s="24">
        <v>1805.0</v>
      </c>
      <c r="E83" s="25">
        <v>0.0</v>
      </c>
      <c r="F83" s="35">
        <v>29540.0</v>
      </c>
      <c r="G83" s="33">
        <f>299+504</f>
        <v>803</v>
      </c>
      <c r="H83" s="35">
        <v>3611.25</v>
      </c>
      <c r="I83" s="993">
        <v>515.0</v>
      </c>
      <c r="J83" s="30">
        <v>10857.0</v>
      </c>
      <c r="K83" s="114">
        <f t="shared" si="13"/>
        <v>1805</v>
      </c>
      <c r="L83" s="881">
        <f t="shared" si="16"/>
        <v>10857</v>
      </c>
      <c r="M83" s="33">
        <f t="shared" si="18"/>
        <v>606.25</v>
      </c>
      <c r="N83" s="40">
        <f t="shared" si="5"/>
        <v>-500.106</v>
      </c>
      <c r="O83" s="35">
        <f>'PAGOS NOV19'!B228</f>
        <v>9856.54</v>
      </c>
      <c r="P83" s="33">
        <f t="shared" si="3"/>
        <v>-10356.646</v>
      </c>
      <c r="Q83" s="33">
        <f t="shared" si="4"/>
        <v>500.354</v>
      </c>
      <c r="R83" s="882">
        <v>12000.0</v>
      </c>
      <c r="S83" s="35">
        <f t="shared" si="6"/>
        <v>12500.354</v>
      </c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>
      <c r="A84" s="38" t="s">
        <v>25</v>
      </c>
      <c r="B84" s="41">
        <v>43791.0</v>
      </c>
      <c r="C84" s="22">
        <v>53066.0</v>
      </c>
      <c r="D84" s="24">
        <v>2255.0</v>
      </c>
      <c r="E84" s="25">
        <v>400.0</v>
      </c>
      <c r="F84" s="35">
        <v>34740.0</v>
      </c>
      <c r="G84" s="33">
        <f>364+659+1014</f>
        <v>2037</v>
      </c>
      <c r="H84" s="35">
        <v>5190.0</v>
      </c>
      <c r="I84" s="993">
        <v>0.0</v>
      </c>
      <c r="J84" s="30">
        <v>10218.0</v>
      </c>
      <c r="K84" s="114">
        <f t="shared" si="13"/>
        <v>2655</v>
      </c>
      <c r="L84" s="881">
        <f t="shared" si="16"/>
        <v>10218</v>
      </c>
      <c r="M84" s="33">
        <f t="shared" si="18"/>
        <v>1374</v>
      </c>
      <c r="N84" s="40">
        <f t="shared" si="5"/>
        <v>12500.354</v>
      </c>
      <c r="O84" s="35">
        <f>'PAGOS NOV19'!B245</f>
        <v>42817.96</v>
      </c>
      <c r="P84" s="33">
        <f t="shared" si="3"/>
        <v>-30317.606</v>
      </c>
      <c r="Q84" s="33">
        <f t="shared" si="4"/>
        <v>-20099.606</v>
      </c>
      <c r="R84" s="882">
        <v>45000.0</v>
      </c>
      <c r="S84" s="35">
        <f t="shared" si="6"/>
        <v>24900.394</v>
      </c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>
      <c r="A85" s="38" t="s">
        <v>33</v>
      </c>
      <c r="B85" s="41">
        <v>43792.0</v>
      </c>
      <c r="C85" s="22">
        <v>17500.0</v>
      </c>
      <c r="D85" s="24">
        <v>1920.0</v>
      </c>
      <c r="E85" s="25">
        <v>400.0</v>
      </c>
      <c r="F85" s="35">
        <v>4330.0</v>
      </c>
      <c r="G85" s="35">
        <v>0.0</v>
      </c>
      <c r="H85" s="35">
        <v>1247.0</v>
      </c>
      <c r="I85" s="993">
        <v>0.0</v>
      </c>
      <c r="J85" s="30">
        <v>5628.0</v>
      </c>
      <c r="K85" s="114">
        <f t="shared" si="13"/>
        <v>2320</v>
      </c>
      <c r="L85" s="881">
        <f t="shared" si="16"/>
        <v>5628</v>
      </c>
      <c r="M85" s="33">
        <f t="shared" si="18"/>
        <v>-4375</v>
      </c>
      <c r="N85" s="40">
        <f t="shared" si="5"/>
        <v>24900.394</v>
      </c>
      <c r="O85" s="35">
        <f>'PAGOS NOV19'!B255</f>
        <v>27028.3</v>
      </c>
      <c r="P85" s="33">
        <f t="shared" si="3"/>
        <v>-2127.906</v>
      </c>
      <c r="Q85" s="33">
        <f t="shared" si="4"/>
        <v>3500.094</v>
      </c>
      <c r="R85" s="882"/>
      <c r="S85" s="35">
        <f t="shared" si="6"/>
        <v>3500.094</v>
      </c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>
      <c r="A86" s="105" t="s">
        <v>27</v>
      </c>
      <c r="B86" s="43">
        <v>43793.0</v>
      </c>
      <c r="C86" s="110">
        <v>0.0</v>
      </c>
      <c r="D86" s="110">
        <v>0.0</v>
      </c>
      <c r="E86" s="110">
        <v>0.0</v>
      </c>
      <c r="F86" s="110">
        <v>0.0</v>
      </c>
      <c r="G86" s="108"/>
      <c r="H86" s="108"/>
      <c r="I86" s="994"/>
      <c r="J86" s="110"/>
      <c r="K86" s="108">
        <f t="shared" si="13"/>
        <v>0</v>
      </c>
      <c r="L86" s="108">
        <f t="shared" si="16"/>
        <v>0</v>
      </c>
      <c r="M86" s="108">
        <f t="shared" si="18"/>
        <v>0</v>
      </c>
      <c r="N86" s="109">
        <f t="shared" si="5"/>
        <v>3500.094</v>
      </c>
      <c r="O86" s="110" t="str">
        <f>'PAGOS OCT19'!B331</f>
        <v/>
      </c>
      <c r="P86" s="108">
        <f t="shared" si="3"/>
        <v>3500.094</v>
      </c>
      <c r="Q86" s="108">
        <f t="shared" si="4"/>
        <v>3500.094</v>
      </c>
      <c r="R86" s="110"/>
      <c r="S86" s="110">
        <f t="shared" si="6"/>
        <v>3500.094</v>
      </c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38" t="s">
        <v>21</v>
      </c>
      <c r="B87" s="41">
        <v>43794.0</v>
      </c>
      <c r="C87" s="22">
        <v>49268.5</v>
      </c>
      <c r="D87" s="24">
        <f>125+550+120+50+800+220</f>
        <v>1865</v>
      </c>
      <c r="E87" s="25">
        <v>500.0</v>
      </c>
      <c r="F87" s="35">
        <f>3050+1710+10520+825+1190+10395+2725+170+195</f>
        <v>30780</v>
      </c>
      <c r="G87" s="33">
        <f>299+279</f>
        <v>578</v>
      </c>
      <c r="H87" s="35">
        <v>4358.5</v>
      </c>
      <c r="I87" s="993">
        <v>455.0</v>
      </c>
      <c r="J87" s="30">
        <v>12884.0</v>
      </c>
      <c r="K87" s="114">
        <f t="shared" si="13"/>
        <v>2365</v>
      </c>
      <c r="L87" s="881">
        <f t="shared" si="16"/>
        <v>12884</v>
      </c>
      <c r="M87" s="33">
        <f t="shared" si="18"/>
        <v>1652</v>
      </c>
      <c r="N87" s="40">
        <f t="shared" si="5"/>
        <v>3500.094</v>
      </c>
      <c r="O87" s="35">
        <f>'PAGOS NOV19'!B267</f>
        <v>7884.46</v>
      </c>
      <c r="P87" s="33">
        <f t="shared" si="3"/>
        <v>-4384.366</v>
      </c>
      <c r="Q87" s="33">
        <f t="shared" si="4"/>
        <v>8499.634</v>
      </c>
      <c r="R87" s="882"/>
      <c r="S87" s="35">
        <f t="shared" si="6"/>
        <v>8499.634</v>
      </c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>
      <c r="A88" s="38" t="s">
        <v>22</v>
      </c>
      <c r="B88" s="41">
        <v>43795.0</v>
      </c>
      <c r="C88" s="22">
        <v>50104.0</v>
      </c>
      <c r="D88" s="24">
        <f>70+20+80+100+500+400</f>
        <v>1170</v>
      </c>
      <c r="E88" s="25">
        <v>0.0</v>
      </c>
      <c r="F88" s="35">
        <f>17315+1140+490+1960+1635+11880+745</f>
        <v>35165</v>
      </c>
      <c r="G88" s="33">
        <f>180+150+559</f>
        <v>889</v>
      </c>
      <c r="H88" s="35">
        <v>2831.0</v>
      </c>
      <c r="I88" s="993">
        <v>295.0</v>
      </c>
      <c r="J88" s="30">
        <v>11185.0</v>
      </c>
      <c r="K88" s="114">
        <f t="shared" si="13"/>
        <v>1170</v>
      </c>
      <c r="L88" s="881">
        <f t="shared" si="16"/>
        <v>11185</v>
      </c>
      <c r="M88" s="33">
        <f t="shared" si="18"/>
        <v>1431</v>
      </c>
      <c r="N88" s="40">
        <f t="shared" si="5"/>
        <v>8499.634</v>
      </c>
      <c r="O88" s="35">
        <f>'PAGOS NOV19'!B277</f>
        <v>7185.09</v>
      </c>
      <c r="P88" s="33">
        <f t="shared" si="3"/>
        <v>1314.544</v>
      </c>
      <c r="Q88" s="33">
        <f t="shared" si="4"/>
        <v>12499.544</v>
      </c>
      <c r="R88" s="882"/>
      <c r="S88" s="35">
        <f t="shared" si="6"/>
        <v>12499.544</v>
      </c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</row>
    <row r="89">
      <c r="A89" s="38" t="s">
        <v>32</v>
      </c>
      <c r="B89" s="41">
        <v>43796.0</v>
      </c>
      <c r="C89" s="22">
        <f>4865+34104</f>
        <v>38969</v>
      </c>
      <c r="D89" s="24">
        <f>265+490+160+150+300</f>
        <v>1365</v>
      </c>
      <c r="E89" s="25">
        <v>0.0</v>
      </c>
      <c r="F89" s="35">
        <f>6100+935+1580+745+3540+360+1020+8795+2180</f>
        <v>25255</v>
      </c>
      <c r="G89" s="33">
        <f>319+559</f>
        <v>878</v>
      </c>
      <c r="H89" s="35">
        <v>3539.0</v>
      </c>
      <c r="I89" s="993">
        <v>535.0</v>
      </c>
      <c r="J89" s="30">
        <v>8144.0</v>
      </c>
      <c r="K89" s="114">
        <f t="shared" si="13"/>
        <v>1365</v>
      </c>
      <c r="L89" s="881">
        <f t="shared" si="16"/>
        <v>8144</v>
      </c>
      <c r="M89" s="33">
        <f t="shared" si="18"/>
        <v>747</v>
      </c>
      <c r="N89" s="40">
        <f t="shared" si="5"/>
        <v>12499.544</v>
      </c>
      <c r="O89" s="35">
        <f>'PAGOS NOV19'!B290</f>
        <v>11643.09</v>
      </c>
      <c r="P89" s="33">
        <f t="shared" si="3"/>
        <v>856.454</v>
      </c>
      <c r="Q89" s="33">
        <f t="shared" si="4"/>
        <v>9000.454</v>
      </c>
      <c r="R89" s="882"/>
      <c r="S89" s="35">
        <f t="shared" si="6"/>
        <v>9000.454</v>
      </c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>
      <c r="A90" s="38" t="s">
        <v>24</v>
      </c>
      <c r="B90" s="41">
        <v>43797.0</v>
      </c>
      <c r="C90" s="22">
        <v>50520.0</v>
      </c>
      <c r="D90" s="24">
        <v>1920.0</v>
      </c>
      <c r="E90" s="25">
        <v>500.0</v>
      </c>
      <c r="F90" s="35">
        <v>26134.0</v>
      </c>
      <c r="G90" s="33">
        <f>349+549+649</f>
        <v>1547</v>
      </c>
      <c r="H90" s="35">
        <v>4510.0</v>
      </c>
      <c r="I90" s="993">
        <v>0.0</v>
      </c>
      <c r="J90" s="30">
        <v>13400.0</v>
      </c>
      <c r="K90" s="114">
        <f t="shared" si="13"/>
        <v>2420</v>
      </c>
      <c r="L90" s="881">
        <f t="shared" si="16"/>
        <v>13400</v>
      </c>
      <c r="M90" s="33">
        <f t="shared" si="18"/>
        <v>-3009</v>
      </c>
      <c r="N90" s="40">
        <f t="shared" si="5"/>
        <v>9000.454</v>
      </c>
      <c r="O90" s="35">
        <f>'PAGOS NOV19'!B306</f>
        <v>27326.7</v>
      </c>
      <c r="P90" s="33">
        <f t="shared" si="3"/>
        <v>-18326.246</v>
      </c>
      <c r="Q90" s="33">
        <f t="shared" si="4"/>
        <v>-4926.246</v>
      </c>
      <c r="R90" s="882"/>
      <c r="S90" s="35">
        <f t="shared" si="6"/>
        <v>-4926.246</v>
      </c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</row>
    <row r="91">
      <c r="A91" s="38" t="s">
        <v>25</v>
      </c>
      <c r="B91" s="41">
        <v>43798.0</v>
      </c>
      <c r="C91" s="22">
        <v>37236.0</v>
      </c>
      <c r="D91" s="24">
        <f>1400+150+160+255+70+40</f>
        <v>2075</v>
      </c>
      <c r="E91" s="25">
        <v>400.0</v>
      </c>
      <c r="F91" s="35">
        <f>2555+385+7670+3900+635+2435+1140+120</f>
        <v>18840</v>
      </c>
      <c r="G91" s="33">
        <f>609+609+319+309</f>
        <v>1846</v>
      </c>
      <c r="H91" s="35">
        <v>3350.0</v>
      </c>
      <c r="I91" s="995">
        <f>475+110</f>
        <v>585</v>
      </c>
      <c r="J91" s="30">
        <v>11756.0</v>
      </c>
      <c r="K91" s="114">
        <f t="shared" si="13"/>
        <v>2475</v>
      </c>
      <c r="L91" s="881">
        <f t="shared" si="16"/>
        <v>11756</v>
      </c>
      <c r="M91" s="33">
        <f t="shared" si="18"/>
        <v>1216</v>
      </c>
      <c r="N91" s="40">
        <f t="shared" si="5"/>
        <v>-4926.246</v>
      </c>
      <c r="O91" s="35">
        <f>'PAGOS NOV19'!B316</f>
        <v>11755.53</v>
      </c>
      <c r="P91" s="33">
        <f t="shared" si="3"/>
        <v>-16681.776</v>
      </c>
      <c r="Q91" s="33">
        <f t="shared" si="4"/>
        <v>-4925.776</v>
      </c>
      <c r="R91" s="882"/>
      <c r="S91" s="35">
        <f t="shared" si="6"/>
        <v>-4925.776</v>
      </c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>
      <c r="A92" s="38" t="s">
        <v>33</v>
      </c>
      <c r="B92" s="41">
        <v>43799.0</v>
      </c>
      <c r="C92" s="22">
        <v>14255.0</v>
      </c>
      <c r="D92" s="24">
        <v>1935.0</v>
      </c>
      <c r="E92" s="25">
        <v>500.0</v>
      </c>
      <c r="F92" s="35">
        <v>3365.0</v>
      </c>
      <c r="G92" s="33">
        <f>609+230+379</f>
        <v>1218</v>
      </c>
      <c r="H92" s="35">
        <v>780.0</v>
      </c>
      <c r="I92" s="993">
        <v>0.0</v>
      </c>
      <c r="J92" s="30">
        <v>8980.0</v>
      </c>
      <c r="K92" s="114">
        <f t="shared" si="13"/>
        <v>2435</v>
      </c>
      <c r="L92" s="881">
        <f t="shared" si="16"/>
        <v>8980</v>
      </c>
      <c r="M92" s="33">
        <f t="shared" si="18"/>
        <v>2023</v>
      </c>
      <c r="N92" s="40">
        <f t="shared" si="5"/>
        <v>-4925.776</v>
      </c>
      <c r="O92" s="35">
        <f>'PAGOS NOV19'!B326</f>
        <v>29780</v>
      </c>
      <c r="P92" s="33">
        <f t="shared" si="3"/>
        <v>-34705.776</v>
      </c>
      <c r="Q92" s="33">
        <f t="shared" si="4"/>
        <v>-25725.776</v>
      </c>
      <c r="R92" s="882">
        <v>22500.0</v>
      </c>
      <c r="S92" s="35">
        <f t="shared" si="6"/>
        <v>-3225.776</v>
      </c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</row>
    <row r="93">
      <c r="A93" s="996" t="s">
        <v>27</v>
      </c>
      <c r="B93" s="997">
        <v>43800.0</v>
      </c>
      <c r="C93" s="990">
        <v>0.0</v>
      </c>
      <c r="D93" s="990">
        <v>0.0</v>
      </c>
      <c r="E93" s="990">
        <v>0.0</v>
      </c>
      <c r="F93" s="990">
        <v>0.0</v>
      </c>
      <c r="G93" s="998"/>
      <c r="H93" s="998"/>
      <c r="I93" s="999"/>
      <c r="J93" s="990">
        <v>0.0</v>
      </c>
      <c r="K93" s="998">
        <f t="shared" si="13"/>
        <v>0</v>
      </c>
      <c r="L93" s="998">
        <f t="shared" si="16"/>
        <v>0</v>
      </c>
      <c r="M93" s="998">
        <f t="shared" si="18"/>
        <v>0</v>
      </c>
      <c r="N93" s="1000">
        <f t="shared" si="5"/>
        <v>-3225.776</v>
      </c>
      <c r="O93" s="990" t="str">
        <f>'PAGOS OCT19'!B338</f>
        <v/>
      </c>
      <c r="P93" s="998">
        <f t="shared" si="3"/>
        <v>-3225.776</v>
      </c>
      <c r="Q93" s="998">
        <f t="shared" si="4"/>
        <v>-3225.776</v>
      </c>
      <c r="R93" s="990"/>
      <c r="S93" s="990">
        <f t="shared" si="6"/>
        <v>-3225.776</v>
      </c>
      <c r="T93" s="998"/>
      <c r="U93" s="998"/>
      <c r="V93" s="998"/>
      <c r="W93" s="998"/>
      <c r="X93" s="998"/>
      <c r="Y93" s="998"/>
      <c r="Z93" s="998"/>
      <c r="AA93" s="998"/>
      <c r="AB93" s="998"/>
      <c r="AC93" s="998"/>
      <c r="AD93" s="998"/>
      <c r="AE93" s="998"/>
      <c r="AF93" s="998"/>
      <c r="AG93" s="998"/>
      <c r="AH93" s="998"/>
    </row>
    <row r="94">
      <c r="A94" s="38" t="s">
        <v>21</v>
      </c>
      <c r="B94" s="41">
        <v>43801.0</v>
      </c>
      <c r="C94" s="22">
        <v>43254.0</v>
      </c>
      <c r="D94" s="24">
        <f>200+240+700</f>
        <v>1140</v>
      </c>
      <c r="E94" s="25">
        <f>100</f>
        <v>100</v>
      </c>
      <c r="F94" s="35">
        <f>250+6560+1210+3980+1510+6670+3345+250</f>
        <v>23775</v>
      </c>
      <c r="G94" s="35">
        <v>309.0</v>
      </c>
      <c r="H94" s="35">
        <v>4566.0</v>
      </c>
      <c r="I94" s="993">
        <v>590.0</v>
      </c>
      <c r="J94" s="30">
        <v>12672.0</v>
      </c>
      <c r="K94" s="114">
        <f t="shared" si="13"/>
        <v>1240</v>
      </c>
      <c r="L94" s="881">
        <f t="shared" si="16"/>
        <v>12672</v>
      </c>
      <c r="M94" s="33">
        <f t="shared" si="18"/>
        <v>-202</v>
      </c>
      <c r="N94" s="40">
        <f t="shared" si="5"/>
        <v>-3225.776</v>
      </c>
      <c r="O94" s="35">
        <f>'PAGOS DIC19'!B18</f>
        <v>17372.49</v>
      </c>
      <c r="P94" s="33">
        <f t="shared" si="3"/>
        <v>-20598.266</v>
      </c>
      <c r="Q94" s="33">
        <f t="shared" si="4"/>
        <v>-7926.266</v>
      </c>
      <c r="R94" s="882"/>
      <c r="S94" s="35">
        <f t="shared" si="6"/>
        <v>-7926.266</v>
      </c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</row>
    <row r="95">
      <c r="A95" s="38" t="s">
        <v>22</v>
      </c>
      <c r="B95" s="41">
        <v>43802.0</v>
      </c>
      <c r="C95" s="22">
        <v>47679.0</v>
      </c>
      <c r="D95" s="24">
        <f>800+250+280+540</f>
        <v>1870</v>
      </c>
      <c r="E95" s="25">
        <v>500.0</v>
      </c>
      <c r="F95" s="35">
        <f>13240+5275+195+2440+25+4020+390+3470+570</f>
        <v>29625</v>
      </c>
      <c r="G95" s="33">
        <f>414+589+739+319</f>
        <v>2061</v>
      </c>
      <c r="H95" s="35">
        <v>4310.0</v>
      </c>
      <c r="I95" s="993">
        <v>845.0</v>
      </c>
      <c r="J95" s="30">
        <v>7948.0</v>
      </c>
      <c r="K95" s="114">
        <f t="shared" si="13"/>
        <v>2370</v>
      </c>
      <c r="L95" s="881">
        <f t="shared" si="16"/>
        <v>7948</v>
      </c>
      <c r="M95" s="33">
        <f t="shared" si="18"/>
        <v>-1020</v>
      </c>
      <c r="N95" s="40">
        <f t="shared" si="5"/>
        <v>-7926.266</v>
      </c>
      <c r="O95" s="35">
        <f>'PAGOS DIC19'!B33</f>
        <v>15947.21</v>
      </c>
      <c r="P95" s="33">
        <f t="shared" si="3"/>
        <v>-23873.476</v>
      </c>
      <c r="Q95" s="33">
        <f t="shared" si="4"/>
        <v>-15925.476</v>
      </c>
      <c r="R95" s="882">
        <v>16000.0</v>
      </c>
      <c r="S95" s="35">
        <f t="shared" si="6"/>
        <v>74.524</v>
      </c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>
      <c r="A96" s="38" t="s">
        <v>32</v>
      </c>
      <c r="B96" s="41">
        <v>43803.0</v>
      </c>
      <c r="C96" s="22">
        <v>58800.0</v>
      </c>
      <c r="D96" s="24">
        <f>500+400+140</f>
        <v>1040</v>
      </c>
      <c r="E96" s="25">
        <v>0.0</v>
      </c>
      <c r="F96" s="35">
        <f>250+6230+720+515+15100+2905+5410+1600+2435</f>
        <v>35165</v>
      </c>
      <c r="G96" s="35">
        <v>459.0</v>
      </c>
      <c r="H96" s="35">
        <v>3273.0</v>
      </c>
      <c r="I96" s="993">
        <v>1140.0</v>
      </c>
      <c r="J96" s="30">
        <v>17582.0</v>
      </c>
      <c r="K96" s="114">
        <f t="shared" si="13"/>
        <v>1040</v>
      </c>
      <c r="L96" s="881">
        <f t="shared" si="16"/>
        <v>17582</v>
      </c>
      <c r="M96" s="33">
        <f t="shared" si="18"/>
        <v>-141</v>
      </c>
      <c r="N96" s="40">
        <f t="shared" si="5"/>
        <v>74.524</v>
      </c>
      <c r="O96" s="35">
        <f>'PAGOS DIC19'!B48</f>
        <v>11582.84</v>
      </c>
      <c r="P96" s="33">
        <f t="shared" si="3"/>
        <v>-11508.316</v>
      </c>
      <c r="Q96" s="33">
        <f t="shared" si="4"/>
        <v>6073.684</v>
      </c>
      <c r="R96" s="882"/>
      <c r="S96" s="35">
        <f t="shared" si="6"/>
        <v>6073.684</v>
      </c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>
      <c r="A97" s="38" t="s">
        <v>24</v>
      </c>
      <c r="B97" s="41">
        <v>43804.0</v>
      </c>
      <c r="C97" s="22">
        <v>59592.0</v>
      </c>
      <c r="D97" s="24">
        <f>800+410++360+50+310</f>
        <v>1930</v>
      </c>
      <c r="E97" s="25">
        <v>200.0</v>
      </c>
      <c r="F97" s="35">
        <v>37181.0</v>
      </c>
      <c r="G97" s="35">
        <v>0.0</v>
      </c>
      <c r="H97" s="35">
        <v>6003.0</v>
      </c>
      <c r="I97" s="993">
        <v>752.5</v>
      </c>
      <c r="J97" s="30">
        <v>14061.0</v>
      </c>
      <c r="K97" s="114">
        <f t="shared" si="13"/>
        <v>2130</v>
      </c>
      <c r="L97" s="881">
        <f t="shared" si="16"/>
        <v>14061</v>
      </c>
      <c r="M97" s="33">
        <f t="shared" si="18"/>
        <v>335.5</v>
      </c>
      <c r="N97" s="40">
        <f t="shared" si="5"/>
        <v>6073.684</v>
      </c>
      <c r="O97" s="35">
        <f>'PAGOS DIC19'!B63</f>
        <v>10061</v>
      </c>
      <c r="P97" s="33">
        <f t="shared" si="3"/>
        <v>-3987.316</v>
      </c>
      <c r="Q97" s="33">
        <f t="shared" si="4"/>
        <v>10073.684</v>
      </c>
      <c r="R97" s="882"/>
      <c r="S97" s="35">
        <f t="shared" si="6"/>
        <v>10073.684</v>
      </c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>
      <c r="A98" s="38" t="s">
        <v>25</v>
      </c>
      <c r="B98" s="41">
        <v>43805.0</v>
      </c>
      <c r="C98" s="22">
        <v>42267.0</v>
      </c>
      <c r="D98" s="24">
        <f>1400+120+440+200+90+45</f>
        <v>2295</v>
      </c>
      <c r="E98" s="25">
        <v>200.0</v>
      </c>
      <c r="F98" s="35">
        <v>23810.0</v>
      </c>
      <c r="G98" s="35">
        <v>569.0</v>
      </c>
      <c r="H98" s="35">
        <v>3799.0</v>
      </c>
      <c r="I98" s="887">
        <f>210+210+940</f>
        <v>1360</v>
      </c>
      <c r="J98" s="30">
        <v>11949.0</v>
      </c>
      <c r="K98" s="114">
        <f t="shared" si="13"/>
        <v>2495</v>
      </c>
      <c r="L98" s="881">
        <f t="shared" si="16"/>
        <v>11949</v>
      </c>
      <c r="M98" s="33">
        <f t="shared" si="18"/>
        <v>1515</v>
      </c>
      <c r="N98" s="40">
        <f t="shared" si="5"/>
        <v>10073.684</v>
      </c>
      <c r="O98" s="35">
        <f>'PAGOS DIC19'!B78</f>
        <v>15949</v>
      </c>
      <c r="P98" s="33">
        <f t="shared" si="3"/>
        <v>-5875.316</v>
      </c>
      <c r="Q98" s="33">
        <f t="shared" si="4"/>
        <v>6073.684</v>
      </c>
      <c r="R98" s="882"/>
      <c r="S98" s="35">
        <f t="shared" si="6"/>
        <v>6073.684</v>
      </c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</row>
    <row r="99">
      <c r="A99" s="38" t="s">
        <v>33</v>
      </c>
      <c r="B99" s="41">
        <v>43806.0</v>
      </c>
      <c r="C99" s="22">
        <v>19463.0</v>
      </c>
      <c r="D99" s="24">
        <f>250+370+60+50+600</f>
        <v>1330</v>
      </c>
      <c r="E99" s="25">
        <v>0.0</v>
      </c>
      <c r="F99" s="35">
        <f>775+3390+195+510+250+1160+250</f>
        <v>6530</v>
      </c>
      <c r="G99" s="35">
        <v>669.0</v>
      </c>
      <c r="H99" s="35">
        <v>3200.0</v>
      </c>
      <c r="I99" s="992">
        <v>0.0</v>
      </c>
      <c r="J99" s="30">
        <v>8513.0</v>
      </c>
      <c r="K99" s="114">
        <f t="shared" si="13"/>
        <v>1330</v>
      </c>
      <c r="L99" s="1001"/>
      <c r="M99" s="33">
        <f t="shared" si="18"/>
        <v>779</v>
      </c>
      <c r="N99" s="40">
        <f t="shared" si="5"/>
        <v>6073.684</v>
      </c>
      <c r="O99" s="35">
        <f>'PAGOS DIC19'!B94</f>
        <v>41087.04</v>
      </c>
      <c r="P99" s="33">
        <f t="shared" si="3"/>
        <v>-35013.356</v>
      </c>
      <c r="Q99" s="33">
        <f t="shared" si="4"/>
        <v>-26500.356</v>
      </c>
      <c r="R99" s="882">
        <v>30000.0</v>
      </c>
      <c r="S99" s="35">
        <f t="shared" si="6"/>
        <v>3499.644</v>
      </c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>
      <c r="A100" s="50" t="s">
        <v>27</v>
      </c>
      <c r="B100" s="788">
        <v>43807.0</v>
      </c>
      <c r="C100" s="45">
        <v>0.0</v>
      </c>
      <c r="D100" s="45">
        <v>0.0</v>
      </c>
      <c r="E100" s="45">
        <v>0.0</v>
      </c>
      <c r="F100" s="45">
        <v>0.0</v>
      </c>
      <c r="G100" s="48"/>
      <c r="H100" s="48"/>
      <c r="I100" s="1002"/>
      <c r="J100" s="45">
        <v>0.0</v>
      </c>
      <c r="K100" s="48">
        <f t="shared" si="13"/>
        <v>0</v>
      </c>
      <c r="L100" s="48">
        <f t="shared" ref="L100:L125" si="19">(D100+E100+J100)-K100</f>
        <v>0</v>
      </c>
      <c r="M100" s="48">
        <f t="shared" si="18"/>
        <v>0</v>
      </c>
      <c r="N100" s="52">
        <f t="shared" si="5"/>
        <v>3499.644</v>
      </c>
      <c r="O100" s="45" t="str">
        <f>'PAGOS OCT19'!B345</f>
        <v/>
      </c>
      <c r="P100" s="48">
        <f t="shared" si="3"/>
        <v>3499.644</v>
      </c>
      <c r="Q100" s="48">
        <f t="shared" si="4"/>
        <v>3499.644</v>
      </c>
      <c r="R100" s="45"/>
      <c r="S100" s="45">
        <f t="shared" si="6"/>
        <v>3499.644</v>
      </c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>
      <c r="A101" s="38" t="s">
        <v>21</v>
      </c>
      <c r="B101" s="41">
        <v>43808.0</v>
      </c>
      <c r="C101" s="22">
        <v>36812.0</v>
      </c>
      <c r="D101" s="24">
        <f>200+260+160+80+50+800</f>
        <v>1550</v>
      </c>
      <c r="E101" s="25">
        <v>0.0</v>
      </c>
      <c r="F101" s="35">
        <f>1210+1850+4605+935+1170+200+5165+1715+345</f>
        <v>17195</v>
      </c>
      <c r="G101" s="33">
        <f>319+709+309</f>
        <v>1337</v>
      </c>
      <c r="H101" s="35">
        <v>5148.0</v>
      </c>
      <c r="I101" s="887">
        <f>430+95+390</f>
        <v>915</v>
      </c>
      <c r="J101" s="30">
        <v>10018.0</v>
      </c>
      <c r="K101" s="114">
        <f t="shared" si="13"/>
        <v>1550</v>
      </c>
      <c r="L101" s="881">
        <f t="shared" si="19"/>
        <v>10018</v>
      </c>
      <c r="M101" s="33">
        <f t="shared" si="18"/>
        <v>-649</v>
      </c>
      <c r="N101" s="40">
        <f t="shared" si="5"/>
        <v>3499.644</v>
      </c>
      <c r="O101" s="35">
        <f>'PAGOS DIC19'!B124</f>
        <v>12018</v>
      </c>
      <c r="P101" s="33">
        <f t="shared" si="3"/>
        <v>-8518.356</v>
      </c>
      <c r="Q101" s="33">
        <f t="shared" si="4"/>
        <v>1499.644</v>
      </c>
      <c r="R101" s="882">
        <v>10000.0</v>
      </c>
      <c r="S101" s="35">
        <f t="shared" si="6"/>
        <v>11499.644</v>
      </c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>
      <c r="A102" s="38" t="s">
        <v>22</v>
      </c>
      <c r="B102" s="41">
        <v>43809.0</v>
      </c>
      <c r="C102" s="22">
        <v>31760.0</v>
      </c>
      <c r="D102" s="24">
        <f>200+100+200+160+190+200+140+400</f>
        <v>1590</v>
      </c>
      <c r="E102" s="25">
        <v>0.0</v>
      </c>
      <c r="F102" s="35">
        <f>1570+2555+190+4835+1310+250+220+4085+860+600</f>
        <v>16475</v>
      </c>
      <c r="G102" s="33">
        <f>439+299</f>
        <v>738</v>
      </c>
      <c r="H102" s="35">
        <v>1060.0</v>
      </c>
      <c r="I102" s="887">
        <f>315+395+210</f>
        <v>920</v>
      </c>
      <c r="J102" s="30">
        <v>11725.0</v>
      </c>
      <c r="K102" s="114">
        <f t="shared" si="13"/>
        <v>1590</v>
      </c>
      <c r="L102" s="881">
        <f t="shared" si="19"/>
        <v>11725</v>
      </c>
      <c r="M102" s="33">
        <f t="shared" si="18"/>
        <v>748</v>
      </c>
      <c r="N102" s="40">
        <f t="shared" si="5"/>
        <v>11499.644</v>
      </c>
      <c r="O102" s="35">
        <f>'PAGOS DIC19'!B139</f>
        <v>15924.64</v>
      </c>
      <c r="P102" s="33">
        <f t="shared" si="3"/>
        <v>-4424.996</v>
      </c>
      <c r="Q102" s="33">
        <f t="shared" si="4"/>
        <v>7300.004</v>
      </c>
      <c r="R102" s="882"/>
      <c r="S102" s="35">
        <f t="shared" si="6"/>
        <v>7300.004</v>
      </c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>
      <c r="A103" s="38" t="s">
        <v>32</v>
      </c>
      <c r="B103" s="41">
        <v>43810.0</v>
      </c>
      <c r="C103" s="22">
        <v>34870.0</v>
      </c>
      <c r="D103" s="24">
        <f>200+700+180+80+160</f>
        <v>1320</v>
      </c>
      <c r="E103" s="25">
        <v>0.0</v>
      </c>
      <c r="F103" s="35">
        <f>310+5390+2400+3045+655+340+7000</f>
        <v>19140</v>
      </c>
      <c r="G103" s="33">
        <f>279+319+319+539+539</f>
        <v>1995</v>
      </c>
      <c r="H103" s="35">
        <v>1810.0</v>
      </c>
      <c r="I103" s="992">
        <v>485.0</v>
      </c>
      <c r="J103" s="30">
        <v>10991.0</v>
      </c>
      <c r="K103" s="114">
        <f t="shared" si="13"/>
        <v>1320</v>
      </c>
      <c r="L103" s="881">
        <f t="shared" si="19"/>
        <v>10991</v>
      </c>
      <c r="M103" s="33">
        <f t="shared" si="18"/>
        <v>871</v>
      </c>
      <c r="N103" s="40">
        <f t="shared" si="5"/>
        <v>7300.004</v>
      </c>
      <c r="O103" s="35">
        <f>'PAGOS DIC19'!B154</f>
        <v>5791</v>
      </c>
      <c r="P103" s="33">
        <f t="shared" si="3"/>
        <v>1509.004</v>
      </c>
      <c r="Q103" s="33">
        <f t="shared" si="4"/>
        <v>12500.004</v>
      </c>
      <c r="R103" s="882"/>
      <c r="S103" s="35">
        <f t="shared" si="6"/>
        <v>12500.004</v>
      </c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>
      <c r="A104" s="38" t="s">
        <v>24</v>
      </c>
      <c r="B104" s="41">
        <v>43811.0</v>
      </c>
      <c r="C104" s="22">
        <v>48948.0</v>
      </c>
      <c r="D104" s="24">
        <v>1325.0</v>
      </c>
      <c r="E104" s="25">
        <v>200.0</v>
      </c>
      <c r="F104" s="35">
        <v>29224.0</v>
      </c>
      <c r="G104" s="33">
        <f>100+324+769</f>
        <v>1193</v>
      </c>
      <c r="H104" s="35">
        <v>4210.0</v>
      </c>
      <c r="I104" s="992">
        <v>345.0</v>
      </c>
      <c r="J104" s="30">
        <v>11936.0</v>
      </c>
      <c r="K104" s="114">
        <f t="shared" si="13"/>
        <v>1525</v>
      </c>
      <c r="L104" s="881">
        <f t="shared" si="19"/>
        <v>11936</v>
      </c>
      <c r="M104" s="33">
        <f t="shared" si="18"/>
        <v>-715</v>
      </c>
      <c r="N104" s="40">
        <f t="shared" si="5"/>
        <v>12500.004</v>
      </c>
      <c r="O104" s="35">
        <f>'PAGOS DIC19'!B169</f>
        <v>12936.28</v>
      </c>
      <c r="P104" s="33">
        <f t="shared" si="3"/>
        <v>-436.276</v>
      </c>
      <c r="Q104" s="33">
        <f t="shared" si="4"/>
        <v>11499.724</v>
      </c>
      <c r="R104" s="882">
        <v>12000.0</v>
      </c>
      <c r="S104" s="35">
        <f t="shared" si="6"/>
        <v>23499.724</v>
      </c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>
      <c r="A105" s="38" t="s">
        <v>25</v>
      </c>
      <c r="B105" s="41">
        <v>43812.0</v>
      </c>
      <c r="C105" s="22">
        <v>49738.0</v>
      </c>
      <c r="D105" s="24">
        <v>2160.0</v>
      </c>
      <c r="E105" s="25">
        <v>100.0</v>
      </c>
      <c r="F105" s="35">
        <v>25430.0</v>
      </c>
      <c r="G105" s="33">
        <f>399</f>
        <v>399</v>
      </c>
      <c r="H105" s="35">
        <v>3760.0</v>
      </c>
      <c r="I105" s="992">
        <v>875.0</v>
      </c>
      <c r="J105" s="30">
        <v>14197.0</v>
      </c>
      <c r="K105" s="114">
        <f t="shared" si="13"/>
        <v>2260</v>
      </c>
      <c r="L105" s="881">
        <f t="shared" si="19"/>
        <v>14197</v>
      </c>
      <c r="M105" s="33">
        <f t="shared" si="18"/>
        <v>-2917</v>
      </c>
      <c r="N105" s="40">
        <f t="shared" si="5"/>
        <v>23499.724</v>
      </c>
      <c r="O105" s="35">
        <f>'PAGOS DIC19'!B184</f>
        <v>46197</v>
      </c>
      <c r="P105" s="33">
        <f t="shared" si="3"/>
        <v>-22697.276</v>
      </c>
      <c r="Q105" s="33">
        <f t="shared" si="4"/>
        <v>-8500.276</v>
      </c>
      <c r="R105" s="882">
        <v>20000.0</v>
      </c>
      <c r="S105" s="35">
        <f t="shared" si="6"/>
        <v>11499.724</v>
      </c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>
      <c r="A106" s="38" t="s">
        <v>33</v>
      </c>
      <c r="B106" s="41">
        <v>43813.0</v>
      </c>
      <c r="C106" s="22">
        <v>16705.0</v>
      </c>
      <c r="D106" s="24">
        <v>2030.0</v>
      </c>
      <c r="E106" s="25">
        <v>100.0</v>
      </c>
      <c r="F106" s="35">
        <v>2245.0</v>
      </c>
      <c r="G106" s="35">
        <v>0.0</v>
      </c>
      <c r="H106" s="35">
        <v>2230.0</v>
      </c>
      <c r="I106" s="35">
        <v>0.0</v>
      </c>
      <c r="J106" s="30">
        <v>11090.0</v>
      </c>
      <c r="K106" s="114">
        <f t="shared" si="13"/>
        <v>2130</v>
      </c>
      <c r="L106" s="881">
        <f t="shared" si="19"/>
        <v>11090</v>
      </c>
      <c r="M106" s="33">
        <f t="shared" si="18"/>
        <v>890</v>
      </c>
      <c r="N106" s="40">
        <f t="shared" si="5"/>
        <v>11499.724</v>
      </c>
      <c r="O106" s="35">
        <f>'PAGOS DIC19'!B199</f>
        <v>27090</v>
      </c>
      <c r="P106" s="33">
        <f t="shared" si="3"/>
        <v>-15590.276</v>
      </c>
      <c r="Q106" s="33">
        <f t="shared" si="4"/>
        <v>-4500.276</v>
      </c>
      <c r="R106" s="882">
        <v>8000.0</v>
      </c>
      <c r="S106" s="35">
        <f t="shared" si="6"/>
        <v>3499.724</v>
      </c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>
      <c r="A107" s="42" t="s">
        <v>27</v>
      </c>
      <c r="B107" s="51">
        <v>43814.0</v>
      </c>
      <c r="C107" s="44">
        <v>0.0</v>
      </c>
      <c r="D107" s="44">
        <v>0.0</v>
      </c>
      <c r="E107" s="44">
        <v>0.0</v>
      </c>
      <c r="F107" s="44">
        <v>0.0</v>
      </c>
      <c r="G107" s="46"/>
      <c r="H107" s="46"/>
      <c r="I107" s="46"/>
      <c r="J107" s="44">
        <v>0.0</v>
      </c>
      <c r="K107" s="46">
        <f t="shared" si="13"/>
        <v>0</v>
      </c>
      <c r="L107" s="46">
        <f t="shared" si="19"/>
        <v>0</v>
      </c>
      <c r="M107" s="46">
        <f t="shared" si="18"/>
        <v>0</v>
      </c>
      <c r="N107" s="47">
        <f t="shared" si="5"/>
        <v>3499.724</v>
      </c>
      <c r="O107" s="44" t="str">
        <f>'PAGOS OCT19'!B352</f>
        <v/>
      </c>
      <c r="P107" s="46">
        <f t="shared" si="3"/>
        <v>3499.724</v>
      </c>
      <c r="Q107" s="46">
        <f t="shared" si="4"/>
        <v>3499.724</v>
      </c>
      <c r="R107" s="44"/>
      <c r="S107" s="44">
        <f t="shared" si="6"/>
        <v>3499.724</v>
      </c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</row>
    <row r="108">
      <c r="A108" s="38" t="s">
        <v>21</v>
      </c>
      <c r="B108" s="41">
        <v>43815.0</v>
      </c>
      <c r="C108" s="22">
        <v>42665.0</v>
      </c>
      <c r="D108" s="24">
        <f>100+500+250+80+380+150</f>
        <v>1460</v>
      </c>
      <c r="E108" s="25">
        <v>0.0</v>
      </c>
      <c r="F108" s="35">
        <f>220+670+870+7095+2915+515+10445+1974+540</f>
        <v>25244</v>
      </c>
      <c r="G108" s="33">
        <f>2200+619</f>
        <v>2819</v>
      </c>
      <c r="H108" s="35">
        <v>4185.0</v>
      </c>
      <c r="I108" s="995">
        <f>200+490+210</f>
        <v>900</v>
      </c>
      <c r="J108" s="30">
        <v>11399.0</v>
      </c>
      <c r="K108" s="114">
        <f t="shared" si="13"/>
        <v>1460</v>
      </c>
      <c r="L108" s="881">
        <f t="shared" si="19"/>
        <v>11399</v>
      </c>
      <c r="M108" s="33">
        <f t="shared" si="18"/>
        <v>3342</v>
      </c>
      <c r="N108" s="40">
        <f t="shared" si="5"/>
        <v>3499.724</v>
      </c>
      <c r="O108" s="35">
        <f>'PAGOS DIC19'!B229</f>
        <v>6399.22</v>
      </c>
      <c r="P108" s="33">
        <f t="shared" si="3"/>
        <v>-2899.496</v>
      </c>
      <c r="Q108" s="33">
        <f t="shared" si="4"/>
        <v>8499.504</v>
      </c>
      <c r="R108" s="882">
        <v>13500.0</v>
      </c>
      <c r="S108" s="35">
        <f t="shared" si="6"/>
        <v>21999.504</v>
      </c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>
      <c r="A109" s="38" t="s">
        <v>22</v>
      </c>
      <c r="B109" s="41">
        <v>43816.0</v>
      </c>
      <c r="C109" s="22">
        <v>49400.0</v>
      </c>
      <c r="D109" s="24">
        <f>1400+250+240+200</f>
        <v>2090</v>
      </c>
      <c r="E109" s="25">
        <v>0.0</v>
      </c>
      <c r="F109" s="35">
        <f>340+275+400+6405+850+280+10190+1230+6965+1025</f>
        <v>27960</v>
      </c>
      <c r="G109" s="33">
        <f>299</f>
        <v>299</v>
      </c>
      <c r="H109" s="35">
        <v>5190.0</v>
      </c>
      <c r="I109" s="995">
        <f>125+305</f>
        <v>430</v>
      </c>
      <c r="J109" s="30">
        <v>12209.0</v>
      </c>
      <c r="K109" s="114">
        <f t="shared" si="13"/>
        <v>2090</v>
      </c>
      <c r="L109" s="881">
        <f t="shared" si="19"/>
        <v>12209</v>
      </c>
      <c r="M109" s="33">
        <f t="shared" si="18"/>
        <v>-1222</v>
      </c>
      <c r="N109" s="40">
        <f t="shared" si="5"/>
        <v>21999.504</v>
      </c>
      <c r="O109" s="35">
        <f>'PAGOS DIC19'!B245</f>
        <v>27208.46</v>
      </c>
      <c r="P109" s="33">
        <f t="shared" si="3"/>
        <v>-5208.956</v>
      </c>
      <c r="Q109" s="33">
        <f t="shared" si="4"/>
        <v>7000.044</v>
      </c>
      <c r="R109" s="882"/>
      <c r="S109" s="35">
        <f t="shared" si="6"/>
        <v>7000.044</v>
      </c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>
      <c r="A110" s="38" t="s">
        <v>32</v>
      </c>
      <c r="B110" s="41">
        <v>43817.0</v>
      </c>
      <c r="C110" s="22">
        <v>51117.0</v>
      </c>
      <c r="D110" s="24">
        <f>230+330+320+30+600</f>
        <v>1510</v>
      </c>
      <c r="E110" s="25">
        <v>0.0</v>
      </c>
      <c r="F110" s="35">
        <f>2650+840+8320+2200+4585+3180+3500+1200+380</f>
        <v>26855</v>
      </c>
      <c r="G110" s="33">
        <f>309</f>
        <v>309</v>
      </c>
      <c r="H110" s="35">
        <v>7980.0</v>
      </c>
      <c r="I110" s="995">
        <f>210+1035+320</f>
        <v>1565</v>
      </c>
      <c r="J110" s="30">
        <v>13468.0</v>
      </c>
      <c r="K110" s="114">
        <f t="shared" si="13"/>
        <v>1510</v>
      </c>
      <c r="L110" s="881">
        <f t="shared" si="19"/>
        <v>13468</v>
      </c>
      <c r="M110" s="33">
        <f t="shared" si="18"/>
        <v>570</v>
      </c>
      <c r="N110" s="40">
        <f t="shared" si="5"/>
        <v>7000.044</v>
      </c>
      <c r="O110" s="35">
        <f>'PAGOS DIC19'!B260</f>
        <v>6468.1</v>
      </c>
      <c r="P110" s="33">
        <f t="shared" si="3"/>
        <v>531.944</v>
      </c>
      <c r="Q110" s="33">
        <f t="shared" si="4"/>
        <v>13999.944</v>
      </c>
      <c r="R110" s="882"/>
      <c r="S110" s="35">
        <f t="shared" si="6"/>
        <v>13999.944</v>
      </c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>
      <c r="A111" s="38" t="s">
        <v>24</v>
      </c>
      <c r="B111" s="41">
        <v>43818.0</v>
      </c>
      <c r="C111" s="22">
        <v>50861.0</v>
      </c>
      <c r="D111" s="24">
        <f>500+50+160+120+330+240</f>
        <v>1400</v>
      </c>
      <c r="E111" s="25">
        <v>0.0</v>
      </c>
      <c r="F111" s="35">
        <f>8100+1295+3320+910+9055+2970+2325+740+330</f>
        <v>29045</v>
      </c>
      <c r="G111" s="33">
        <f>809</f>
        <v>809</v>
      </c>
      <c r="H111" s="35">
        <v>5269.25</v>
      </c>
      <c r="I111" s="993">
        <v>515.0</v>
      </c>
      <c r="J111" s="30">
        <v>12889.0</v>
      </c>
      <c r="K111" s="114">
        <f t="shared" si="13"/>
        <v>1400</v>
      </c>
      <c r="L111" s="881">
        <f t="shared" si="19"/>
        <v>12889</v>
      </c>
      <c r="M111" s="33">
        <f t="shared" si="18"/>
        <v>-933.75</v>
      </c>
      <c r="N111" s="40">
        <f t="shared" si="5"/>
        <v>13999.944</v>
      </c>
      <c r="O111" s="35">
        <f>'PAGOS DIC19'!B275</f>
        <v>10889</v>
      </c>
      <c r="P111" s="33">
        <f t="shared" si="3"/>
        <v>3110.944</v>
      </c>
      <c r="Q111" s="33">
        <f t="shared" si="4"/>
        <v>15999.944</v>
      </c>
      <c r="R111" s="882"/>
      <c r="S111" s="35">
        <f t="shared" si="6"/>
        <v>15999.944</v>
      </c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>
      <c r="A112" s="38" t="s">
        <v>25</v>
      </c>
      <c r="B112" s="41">
        <v>43819.0</v>
      </c>
      <c r="C112" s="22">
        <v>44735.0</v>
      </c>
      <c r="D112" s="24">
        <v>2375.0</v>
      </c>
      <c r="E112" s="25">
        <v>0.0</v>
      </c>
      <c r="F112" s="35">
        <v>18990.0</v>
      </c>
      <c r="G112" s="33">
        <f>289+859+579+629</f>
        <v>2356</v>
      </c>
      <c r="H112" s="35">
        <v>7434.5</v>
      </c>
      <c r="I112" s="993">
        <v>850.0</v>
      </c>
      <c r="J112" s="30">
        <v>12642.0</v>
      </c>
      <c r="K112" s="114">
        <f t="shared" si="13"/>
        <v>2375</v>
      </c>
      <c r="L112" s="881">
        <f t="shared" si="19"/>
        <v>12642</v>
      </c>
      <c r="M112" s="33">
        <f t="shared" si="18"/>
        <v>-87.5</v>
      </c>
      <c r="N112" s="40">
        <f t="shared" si="5"/>
        <v>15999.944</v>
      </c>
      <c r="O112" s="35">
        <f>'PAGOS DIC19'!B290</f>
        <v>35242.44</v>
      </c>
      <c r="P112" s="33">
        <f t="shared" si="3"/>
        <v>-19242.496</v>
      </c>
      <c r="Q112" s="33">
        <f t="shared" si="4"/>
        <v>-6600.496</v>
      </c>
      <c r="R112" s="882">
        <v>10100.0</v>
      </c>
      <c r="S112" s="35">
        <f t="shared" si="6"/>
        <v>3499.504</v>
      </c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>
      <c r="A113" s="38" t="s">
        <v>33</v>
      </c>
      <c r="B113" s="41">
        <v>43820.0</v>
      </c>
      <c r="C113" s="22">
        <v>21139.0</v>
      </c>
      <c r="D113" s="24">
        <f>900+50+60+80+140+240</f>
        <v>1470</v>
      </c>
      <c r="E113" s="25">
        <v>0.0</v>
      </c>
      <c r="F113" s="35">
        <f>250+3455+195+860+1495+1365</f>
        <v>7620</v>
      </c>
      <c r="G113" s="35">
        <v>0.0</v>
      </c>
      <c r="H113" s="35">
        <v>3070.0</v>
      </c>
      <c r="I113" s="993">
        <v>0.0</v>
      </c>
      <c r="J113" s="30">
        <v>11312.0</v>
      </c>
      <c r="K113" s="114">
        <f t="shared" si="13"/>
        <v>1470</v>
      </c>
      <c r="L113" s="881">
        <f t="shared" si="19"/>
        <v>11312</v>
      </c>
      <c r="M113" s="33">
        <f t="shared" si="18"/>
        <v>2333</v>
      </c>
      <c r="N113" s="40">
        <f t="shared" si="5"/>
        <v>3499.504</v>
      </c>
      <c r="O113" s="35">
        <f>'PAGOS DIC19'!B306</f>
        <v>40811.54</v>
      </c>
      <c r="P113" s="33">
        <f t="shared" si="3"/>
        <v>-37312.036</v>
      </c>
      <c r="Q113" s="33">
        <f t="shared" si="4"/>
        <v>-26000.036</v>
      </c>
      <c r="R113" s="882">
        <v>35000.0</v>
      </c>
      <c r="S113" s="35">
        <f t="shared" si="6"/>
        <v>8999.964</v>
      </c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>
      <c r="A114" s="105" t="s">
        <v>27</v>
      </c>
      <c r="B114" s="43">
        <v>43821.0</v>
      </c>
      <c r="C114" s="110">
        <v>0.0</v>
      </c>
      <c r="D114" s="110">
        <v>0.0</v>
      </c>
      <c r="E114" s="110">
        <v>0.0</v>
      </c>
      <c r="F114" s="110">
        <v>0.0</v>
      </c>
      <c r="G114" s="108"/>
      <c r="H114" s="108"/>
      <c r="I114" s="994"/>
      <c r="J114" s="110">
        <v>0.0</v>
      </c>
      <c r="K114" s="108">
        <f t="shared" si="13"/>
        <v>0</v>
      </c>
      <c r="L114" s="108">
        <f t="shared" si="19"/>
        <v>0</v>
      </c>
      <c r="M114" s="108">
        <f t="shared" si="18"/>
        <v>0</v>
      </c>
      <c r="N114" s="109">
        <f t="shared" si="5"/>
        <v>8999.964</v>
      </c>
      <c r="O114" s="110" t="str">
        <f>'PAGOS OCT19'!B359</f>
        <v/>
      </c>
      <c r="P114" s="108">
        <f t="shared" si="3"/>
        <v>8999.964</v>
      </c>
      <c r="Q114" s="108">
        <f t="shared" si="4"/>
        <v>8999.964</v>
      </c>
      <c r="R114" s="110"/>
      <c r="S114" s="110">
        <f t="shared" si="6"/>
        <v>8999.964</v>
      </c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38" t="s">
        <v>21</v>
      </c>
      <c r="B115" s="41">
        <v>43822.0</v>
      </c>
      <c r="C115" s="22">
        <v>53525.0</v>
      </c>
      <c r="D115" s="24">
        <f>1100+250+20+120+40+90+50</f>
        <v>1670</v>
      </c>
      <c r="E115" s="25">
        <v>0.0</v>
      </c>
      <c r="F115" s="35">
        <f>720+1650+11475+1590+13235+1290+1720+735</f>
        <v>32415</v>
      </c>
      <c r="G115" s="35">
        <v>0.0</v>
      </c>
      <c r="H115" s="35">
        <v>2825.0</v>
      </c>
      <c r="I115" s="995">
        <f>105+210+640+295</f>
        <v>1250</v>
      </c>
      <c r="J115" s="30">
        <v>15135.0</v>
      </c>
      <c r="K115" s="114">
        <f t="shared" si="13"/>
        <v>1670</v>
      </c>
      <c r="L115" s="881">
        <f t="shared" si="19"/>
        <v>15135</v>
      </c>
      <c r="M115" s="33">
        <f t="shared" si="18"/>
        <v>-230</v>
      </c>
      <c r="N115" s="40">
        <f t="shared" si="5"/>
        <v>8999.964</v>
      </c>
      <c r="O115" s="35">
        <f>'PAGOS DIC19'!B324</f>
        <v>7135</v>
      </c>
      <c r="P115" s="33">
        <f t="shared" si="3"/>
        <v>1864.964</v>
      </c>
      <c r="Q115" s="33">
        <f t="shared" si="4"/>
        <v>16999.964</v>
      </c>
      <c r="R115" s="882"/>
      <c r="S115" s="35">
        <f t="shared" si="6"/>
        <v>16999.964</v>
      </c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>
      <c r="A116" s="38" t="s">
        <v>22</v>
      </c>
      <c r="B116" s="41">
        <v>43823.0</v>
      </c>
      <c r="C116" s="22">
        <v>9377.0</v>
      </c>
      <c r="D116" s="24">
        <f>1000+200+200+240+95+140</f>
        <v>1875</v>
      </c>
      <c r="E116" s="25">
        <v>0.0</v>
      </c>
      <c r="F116" s="35">
        <f>960+430+465+2665+660</f>
        <v>5180</v>
      </c>
      <c r="G116" s="35">
        <v>0.0</v>
      </c>
      <c r="H116" s="35">
        <v>130.0</v>
      </c>
      <c r="I116" s="993">
        <v>0.0</v>
      </c>
      <c r="J116" s="30">
        <v>3571.0</v>
      </c>
      <c r="K116" s="114">
        <f t="shared" si="13"/>
        <v>1875</v>
      </c>
      <c r="L116" s="881">
        <f t="shared" si="19"/>
        <v>3571</v>
      </c>
      <c r="M116" s="33">
        <f t="shared" si="18"/>
        <v>1379</v>
      </c>
      <c r="N116" s="40">
        <f t="shared" si="5"/>
        <v>16999.964</v>
      </c>
      <c r="O116" s="35">
        <f>'PAGOS DIC19'!B340</f>
        <v>9570.92</v>
      </c>
      <c r="P116" s="33">
        <f t="shared" si="3"/>
        <v>7429.044</v>
      </c>
      <c r="Q116" s="33">
        <f t="shared" si="4"/>
        <v>11000.044</v>
      </c>
      <c r="R116" s="882"/>
      <c r="S116" s="35">
        <f t="shared" si="6"/>
        <v>11000.044</v>
      </c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>
      <c r="A117" s="219" t="s">
        <v>32</v>
      </c>
      <c r="B117" s="864">
        <v>43824.0</v>
      </c>
      <c r="C117" s="32">
        <v>0.0</v>
      </c>
      <c r="D117" s="32">
        <v>0.0</v>
      </c>
      <c r="E117" s="32">
        <v>0.0</v>
      </c>
      <c r="F117" s="32">
        <v>0.0</v>
      </c>
      <c r="G117" s="39"/>
      <c r="H117" s="39"/>
      <c r="I117" s="39"/>
      <c r="J117" s="32">
        <v>0.0</v>
      </c>
      <c r="K117" s="39">
        <f t="shared" si="13"/>
        <v>0</v>
      </c>
      <c r="L117" s="39">
        <f t="shared" si="19"/>
        <v>0</v>
      </c>
      <c r="M117" s="39">
        <f t="shared" si="18"/>
        <v>0</v>
      </c>
      <c r="N117" s="206">
        <f t="shared" si="5"/>
        <v>11000.044</v>
      </c>
      <c r="O117" s="32" t="str">
        <f>'PAGOS OCT19'!B362</f>
        <v/>
      </c>
      <c r="P117" s="39">
        <f t="shared" si="3"/>
        <v>11000.044</v>
      </c>
      <c r="Q117" s="39">
        <f t="shared" si="4"/>
        <v>11000.044</v>
      </c>
      <c r="R117" s="32"/>
      <c r="S117" s="32">
        <f t="shared" si="6"/>
        <v>11000.044</v>
      </c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</row>
    <row r="118">
      <c r="A118" s="38" t="s">
        <v>24</v>
      </c>
      <c r="B118" s="41">
        <v>43825.0</v>
      </c>
      <c r="C118" s="22">
        <v>35043.0</v>
      </c>
      <c r="D118" s="24">
        <f>500+40+310+165+150</f>
        <v>1165</v>
      </c>
      <c r="E118" s="25">
        <v>0.0</v>
      </c>
      <c r="F118" s="35">
        <f>6685+750+480+5190+3276+545</f>
        <v>16926</v>
      </c>
      <c r="G118" s="33">
        <f>299+319</f>
        <v>618</v>
      </c>
      <c r="H118" s="35">
        <v>5264.25</v>
      </c>
      <c r="I118" s="35">
        <v>0.0</v>
      </c>
      <c r="J118" s="30">
        <v>8972.0</v>
      </c>
      <c r="K118" s="114">
        <f t="shared" si="13"/>
        <v>1165</v>
      </c>
      <c r="L118" s="881">
        <f t="shared" si="19"/>
        <v>8972</v>
      </c>
      <c r="M118" s="33">
        <f t="shared" si="18"/>
        <v>-2097.75</v>
      </c>
      <c r="N118" s="40">
        <f t="shared" si="5"/>
        <v>11000.044</v>
      </c>
      <c r="O118" s="35">
        <f>'PAGOS DIC19'!B372</f>
        <v>7972.54</v>
      </c>
      <c r="P118" s="33">
        <f t="shared" si="3"/>
        <v>3027.504</v>
      </c>
      <c r="Q118" s="33">
        <f t="shared" si="4"/>
        <v>11999.504</v>
      </c>
      <c r="R118" s="882"/>
      <c r="S118" s="35">
        <f t="shared" si="6"/>
        <v>11999.504</v>
      </c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>
      <c r="A119" s="38" t="s">
        <v>25</v>
      </c>
      <c r="B119" s="41">
        <v>43826.0</v>
      </c>
      <c r="C119" s="22">
        <v>25381.0</v>
      </c>
      <c r="D119" s="24">
        <v>1920.0</v>
      </c>
      <c r="E119" s="25">
        <v>300.0</v>
      </c>
      <c r="F119" s="35">
        <v>10840.0</v>
      </c>
      <c r="G119" s="35">
        <v>0.0</v>
      </c>
      <c r="H119" s="35">
        <v>2665.0</v>
      </c>
      <c r="I119" s="35">
        <v>0.0</v>
      </c>
      <c r="J119" s="30">
        <v>9421.0</v>
      </c>
      <c r="K119" s="114">
        <f t="shared" si="13"/>
        <v>2220</v>
      </c>
      <c r="L119" s="881">
        <f t="shared" si="19"/>
        <v>9421</v>
      </c>
      <c r="M119" s="33">
        <f t="shared" si="18"/>
        <v>-535</v>
      </c>
      <c r="N119" s="40">
        <f t="shared" si="5"/>
        <v>11999.504</v>
      </c>
      <c r="O119" s="35">
        <f>'PAGOS DIC19'!B390</f>
        <v>81420.1</v>
      </c>
      <c r="P119" s="33">
        <f t="shared" si="3"/>
        <v>-69420.596</v>
      </c>
      <c r="Q119" s="33">
        <f t="shared" si="4"/>
        <v>-59999.596</v>
      </c>
      <c r="R119" s="882">
        <v>70000.0</v>
      </c>
      <c r="S119" s="35">
        <f t="shared" si="6"/>
        <v>10000.404</v>
      </c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>
      <c r="A120" s="38" t="s">
        <v>33</v>
      </c>
      <c r="B120" s="41">
        <v>43827.0</v>
      </c>
      <c r="C120" s="22">
        <v>13066.0</v>
      </c>
      <c r="D120" s="24">
        <v>1530.0</v>
      </c>
      <c r="E120" s="25">
        <v>0.0</v>
      </c>
      <c r="F120" s="35">
        <v>3840.0</v>
      </c>
      <c r="G120" s="35">
        <v>0.0</v>
      </c>
      <c r="H120" s="35">
        <v>1375.0</v>
      </c>
      <c r="I120" s="35">
        <v>0.0</v>
      </c>
      <c r="J120" s="30">
        <v>8878.0</v>
      </c>
      <c r="K120" s="114">
        <f t="shared" si="13"/>
        <v>1530</v>
      </c>
      <c r="L120" s="881">
        <f t="shared" si="19"/>
        <v>8878</v>
      </c>
      <c r="M120" s="33">
        <f t="shared" si="18"/>
        <v>2557</v>
      </c>
      <c r="N120" s="40">
        <f t="shared" si="5"/>
        <v>10000.404</v>
      </c>
      <c r="O120" s="35">
        <f>'PAGOS DIC19'!B406</f>
        <v>8878</v>
      </c>
      <c r="P120" s="33">
        <f t="shared" si="3"/>
        <v>1122.404</v>
      </c>
      <c r="Q120" s="33">
        <f t="shared" si="4"/>
        <v>10000.404</v>
      </c>
      <c r="R120" s="882"/>
      <c r="S120" s="35">
        <f t="shared" si="6"/>
        <v>10000.404</v>
      </c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>
      <c r="A121" s="105" t="s">
        <v>27</v>
      </c>
      <c r="B121" s="43">
        <v>43828.0</v>
      </c>
      <c r="C121" s="110">
        <v>0.0</v>
      </c>
      <c r="D121" s="110">
        <v>0.0</v>
      </c>
      <c r="E121" s="110">
        <v>0.0</v>
      </c>
      <c r="F121" s="110">
        <v>0.0</v>
      </c>
      <c r="G121" s="108"/>
      <c r="H121" s="108"/>
      <c r="I121" s="110">
        <v>0.0</v>
      </c>
      <c r="J121" s="110">
        <v>0.0</v>
      </c>
      <c r="K121" s="108">
        <f t="shared" si="13"/>
        <v>0</v>
      </c>
      <c r="L121" s="108">
        <f t="shared" si="19"/>
        <v>0</v>
      </c>
      <c r="M121" s="108">
        <f t="shared" si="18"/>
        <v>0</v>
      </c>
      <c r="N121" s="109">
        <f t="shared" si="5"/>
        <v>10000.404</v>
      </c>
      <c r="O121" s="110" t="str">
        <f>'PAGOS OCT19'!B366</f>
        <v/>
      </c>
      <c r="P121" s="108">
        <f t="shared" si="3"/>
        <v>10000.404</v>
      </c>
      <c r="Q121" s="108">
        <f t="shared" si="4"/>
        <v>10000.404</v>
      </c>
      <c r="R121" s="110"/>
      <c r="S121" s="110">
        <f t="shared" si="6"/>
        <v>10000.404</v>
      </c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38" t="s">
        <v>21</v>
      </c>
      <c r="B122" s="41">
        <v>43829.0</v>
      </c>
      <c r="C122" s="22">
        <v>31989.0</v>
      </c>
      <c r="D122" s="24">
        <v>2395.0</v>
      </c>
      <c r="E122" s="25">
        <v>0.0</v>
      </c>
      <c r="F122" s="35">
        <v>13270.0</v>
      </c>
      <c r="G122" s="33">
        <f>299+354+799+609</f>
        <v>2061</v>
      </c>
      <c r="H122" s="35">
        <v>3295.0</v>
      </c>
      <c r="I122" s="35">
        <v>0.0</v>
      </c>
      <c r="J122" s="30">
        <v>11757.0</v>
      </c>
      <c r="K122" s="114">
        <f t="shared" si="13"/>
        <v>2395</v>
      </c>
      <c r="L122" s="881">
        <f t="shared" si="19"/>
        <v>11757</v>
      </c>
      <c r="M122" s="33">
        <f t="shared" si="18"/>
        <v>789</v>
      </c>
      <c r="N122" s="40">
        <f t="shared" si="5"/>
        <v>10000.404</v>
      </c>
      <c r="O122" s="35">
        <f>'PAGOS DIC19'!B438</f>
        <v>6757</v>
      </c>
      <c r="P122" s="33">
        <f t="shared" si="3"/>
        <v>3243.404</v>
      </c>
      <c r="Q122" s="33">
        <f t="shared" si="4"/>
        <v>15000.404</v>
      </c>
      <c r="R122" s="882"/>
      <c r="S122" s="35">
        <f t="shared" si="6"/>
        <v>15000.404</v>
      </c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>
      <c r="A123" s="38" t="s">
        <v>22</v>
      </c>
      <c r="B123" s="41">
        <v>43830.0</v>
      </c>
      <c r="C123" s="22">
        <v>10180.0</v>
      </c>
      <c r="D123" s="24">
        <v>2135.0</v>
      </c>
      <c r="E123" s="25">
        <v>0.0</v>
      </c>
      <c r="F123" s="35">
        <v>3780.0</v>
      </c>
      <c r="G123" s="35">
        <v>0.0</v>
      </c>
      <c r="H123" s="35">
        <v>1105.0</v>
      </c>
      <c r="I123" s="35">
        <v>0.0</v>
      </c>
      <c r="J123" s="30">
        <v>4000.0</v>
      </c>
      <c r="K123" s="114">
        <f t="shared" si="13"/>
        <v>2135</v>
      </c>
      <c r="L123" s="881">
        <f t="shared" si="19"/>
        <v>4000</v>
      </c>
      <c r="M123" s="33">
        <f t="shared" si="18"/>
        <v>840</v>
      </c>
      <c r="N123" s="40">
        <f t="shared" si="5"/>
        <v>15000.404</v>
      </c>
      <c r="O123" s="35">
        <f>'PAGOS DIC19'!B454</f>
        <v>2000</v>
      </c>
      <c r="P123" s="33">
        <f t="shared" si="3"/>
        <v>13000.404</v>
      </c>
      <c r="Q123" s="33">
        <f t="shared" si="4"/>
        <v>17000.404</v>
      </c>
      <c r="R123" s="882"/>
      <c r="S123" s="35">
        <f t="shared" si="6"/>
        <v>17000.404</v>
      </c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>
      <c r="A124" s="1003" t="s">
        <v>32</v>
      </c>
      <c r="B124" s="1004">
        <v>43831.0</v>
      </c>
      <c r="C124" s="103">
        <v>102180.0</v>
      </c>
      <c r="D124" s="103">
        <v>3570.0</v>
      </c>
      <c r="E124" s="103">
        <v>1200.0</v>
      </c>
      <c r="F124" s="103">
        <v>20450.0</v>
      </c>
      <c r="G124" s="103">
        <v>22410.0</v>
      </c>
      <c r="H124" s="103">
        <v>15920.0</v>
      </c>
      <c r="I124" s="103">
        <v>0.0</v>
      </c>
      <c r="J124" s="103">
        <v>39660.0</v>
      </c>
      <c r="K124" s="102">
        <f t="shared" si="13"/>
        <v>4770</v>
      </c>
      <c r="L124" s="102">
        <f t="shared" si="19"/>
        <v>39660</v>
      </c>
      <c r="M124" s="102">
        <f t="shared" si="18"/>
        <v>-170</v>
      </c>
      <c r="N124" s="1005">
        <f t="shared" si="5"/>
        <v>17000.404</v>
      </c>
      <c r="O124" s="103" t="str">
        <f>'PAGOS DIC19'!B455</f>
        <v/>
      </c>
      <c r="P124" s="102">
        <f t="shared" si="3"/>
        <v>17000.404</v>
      </c>
      <c r="Q124" s="102">
        <f t="shared" si="4"/>
        <v>56660.404</v>
      </c>
      <c r="R124" s="103"/>
      <c r="S124" s="103">
        <f t="shared" si="6"/>
        <v>56660.404</v>
      </c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</row>
    <row r="125">
      <c r="A125" s="1003" t="s">
        <v>24</v>
      </c>
      <c r="B125" s="1004">
        <v>43832.0</v>
      </c>
      <c r="C125" s="103">
        <v>0.0</v>
      </c>
      <c r="D125" s="103">
        <v>0.0</v>
      </c>
      <c r="E125" s="103">
        <v>0.0</v>
      </c>
      <c r="F125" s="103">
        <v>0.0</v>
      </c>
      <c r="G125" s="102"/>
      <c r="H125" s="102"/>
      <c r="I125" s="103">
        <v>0.0</v>
      </c>
      <c r="J125" s="103">
        <v>0.0</v>
      </c>
      <c r="K125" s="102">
        <f t="shared" si="13"/>
        <v>0</v>
      </c>
      <c r="L125" s="102">
        <f t="shared" si="19"/>
        <v>0</v>
      </c>
      <c r="M125" s="102">
        <f t="shared" si="18"/>
        <v>0</v>
      </c>
      <c r="N125" s="1005">
        <f t="shared" si="5"/>
        <v>56660.404</v>
      </c>
      <c r="O125" s="103" t="str">
        <f>'PAGOS DIC19'!B456</f>
        <v/>
      </c>
      <c r="P125" s="102">
        <f t="shared" si="3"/>
        <v>56660.404</v>
      </c>
      <c r="Q125" s="102">
        <f t="shared" si="4"/>
        <v>56660.404</v>
      </c>
      <c r="R125" s="103"/>
      <c r="S125" s="103">
        <f t="shared" si="6"/>
        <v>56660.404</v>
      </c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</row>
    <row r="126">
      <c r="A126" s="1006"/>
      <c r="B126" s="1007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</row>
    <row r="127">
      <c r="A127" s="1006"/>
      <c r="B127" s="1007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</row>
    <row r="128">
      <c r="A128" s="1006"/>
      <c r="B128" s="1007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</row>
    <row r="129">
      <c r="A129" s="1006"/>
      <c r="B129" s="1007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</row>
    <row r="130">
      <c r="A130" s="1006"/>
      <c r="B130" s="1007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</row>
    <row r="131">
      <c r="A131" s="1006"/>
      <c r="B131" s="1007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</row>
    <row r="132">
      <c r="A132" s="1006"/>
      <c r="B132" s="1007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</row>
    <row r="133">
      <c r="A133" s="1006"/>
      <c r="B133" s="1007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</row>
    <row r="134">
      <c r="A134" s="1006"/>
      <c r="B134" s="1007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</row>
    <row r="135">
      <c r="A135" s="1006"/>
      <c r="B135" s="1007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</row>
    <row r="136">
      <c r="A136" s="1006"/>
      <c r="B136" s="1007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</row>
    <row r="137">
      <c r="A137" s="1006"/>
      <c r="B137" s="1007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</row>
    <row r="138">
      <c r="A138" s="1006"/>
      <c r="B138" s="1007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</row>
    <row r="139">
      <c r="A139" s="1006"/>
      <c r="B139" s="1007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</row>
    <row r="140">
      <c r="A140" s="1006"/>
      <c r="B140" s="1007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</row>
    <row r="141">
      <c r="A141" s="1006"/>
      <c r="B141" s="1007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</row>
    <row r="142">
      <c r="A142" s="1006"/>
      <c r="B142" s="1007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</row>
    <row r="143">
      <c r="A143" s="1006"/>
      <c r="B143" s="1007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</row>
    <row r="144">
      <c r="A144" s="1006"/>
      <c r="B144" s="1007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</row>
    <row r="145">
      <c r="A145" s="1006"/>
      <c r="B145" s="1007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</row>
    <row r="146">
      <c r="A146" s="1006"/>
      <c r="B146" s="1007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</row>
    <row r="147">
      <c r="A147" s="1006"/>
      <c r="B147" s="1007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</row>
    <row r="148">
      <c r="A148" s="1006"/>
      <c r="B148" s="1007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</row>
    <row r="149">
      <c r="A149" s="224"/>
      <c r="B149" s="229"/>
      <c r="C149" s="225"/>
      <c r="D149" s="227"/>
      <c r="E149" s="228"/>
      <c r="F149" s="33"/>
      <c r="G149" s="33"/>
      <c r="H149" s="33"/>
      <c r="I149" s="33"/>
      <c r="J149" s="230"/>
      <c r="K149" s="114"/>
      <c r="L149" s="881"/>
      <c r="M149" s="33"/>
      <c r="N149" s="33"/>
      <c r="O149" s="33"/>
      <c r="P149" s="33"/>
      <c r="Q149" s="33"/>
      <c r="R149" s="935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>
      <c r="A150" s="224"/>
      <c r="B150" s="229"/>
      <c r="C150" s="225"/>
      <c r="D150" s="227"/>
      <c r="E150" s="228"/>
      <c r="F150" s="33"/>
      <c r="G150" s="33"/>
      <c r="H150" s="33"/>
      <c r="I150" s="33"/>
      <c r="J150" s="230"/>
      <c r="K150" s="114"/>
      <c r="L150" s="881"/>
      <c r="M150" s="33"/>
      <c r="N150" s="33"/>
      <c r="O150" s="33"/>
      <c r="P150" s="33"/>
      <c r="Q150" s="33"/>
      <c r="R150" s="935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>
      <c r="A151" s="224"/>
      <c r="B151" s="229"/>
      <c r="C151" s="225"/>
      <c r="D151" s="227"/>
      <c r="E151" s="228"/>
      <c r="F151" s="33"/>
      <c r="G151" s="33"/>
      <c r="H151" s="33"/>
      <c r="I151" s="33"/>
      <c r="J151" s="230"/>
      <c r="K151" s="114"/>
      <c r="L151" s="881"/>
      <c r="M151" s="33"/>
      <c r="N151" s="33"/>
      <c r="O151" s="33"/>
      <c r="P151" s="33"/>
      <c r="Q151" s="33"/>
      <c r="R151" s="935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>
      <c r="A152" s="224"/>
      <c r="B152" s="229"/>
      <c r="C152" s="225"/>
      <c r="D152" s="227"/>
      <c r="E152" s="228"/>
      <c r="F152" s="33"/>
      <c r="G152" s="33"/>
      <c r="H152" s="33"/>
      <c r="I152" s="33"/>
      <c r="J152" s="230"/>
      <c r="K152" s="114"/>
      <c r="L152" s="881"/>
      <c r="M152" s="33"/>
      <c r="N152" s="33"/>
      <c r="O152" s="33"/>
      <c r="P152" s="33"/>
      <c r="Q152" s="33"/>
      <c r="R152" s="935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>
      <c r="A153" s="224"/>
      <c r="B153" s="229"/>
      <c r="C153" s="225"/>
      <c r="D153" s="227"/>
      <c r="E153" s="228"/>
      <c r="F153" s="33"/>
      <c r="G153" s="33"/>
      <c r="H153" s="33"/>
      <c r="I153" s="33"/>
      <c r="J153" s="230"/>
      <c r="K153" s="114"/>
      <c r="L153" s="881"/>
      <c r="M153" s="33"/>
      <c r="N153" s="33"/>
      <c r="O153" s="33"/>
      <c r="P153" s="33"/>
      <c r="Q153" s="33"/>
      <c r="R153" s="935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>
      <c r="A154" s="224"/>
      <c r="B154" s="229"/>
      <c r="C154" s="225"/>
      <c r="D154" s="227"/>
      <c r="E154" s="228"/>
      <c r="F154" s="33"/>
      <c r="G154" s="33"/>
      <c r="H154" s="33"/>
      <c r="I154" s="33"/>
      <c r="J154" s="230"/>
      <c r="K154" s="114"/>
      <c r="L154" s="881"/>
      <c r="M154" s="33"/>
      <c r="N154" s="33"/>
      <c r="O154" s="33"/>
      <c r="P154" s="33"/>
      <c r="Q154" s="33"/>
      <c r="R154" s="935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>
      <c r="A155" s="224"/>
      <c r="B155" s="229"/>
      <c r="C155" s="225"/>
      <c r="D155" s="227"/>
      <c r="E155" s="228"/>
      <c r="F155" s="33"/>
      <c r="G155" s="33"/>
      <c r="H155" s="33"/>
      <c r="I155" s="33"/>
      <c r="J155" s="230"/>
      <c r="K155" s="114"/>
      <c r="L155" s="881"/>
      <c r="M155" s="33"/>
      <c r="N155" s="33"/>
      <c r="O155" s="33"/>
      <c r="P155" s="33"/>
      <c r="Q155" s="33"/>
      <c r="R155" s="935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>
      <c r="A156" s="224"/>
      <c r="B156" s="229"/>
      <c r="C156" s="225"/>
      <c r="D156" s="227"/>
      <c r="E156" s="228"/>
      <c r="F156" s="33"/>
      <c r="G156" s="33"/>
      <c r="H156" s="33"/>
      <c r="I156" s="33"/>
      <c r="J156" s="230"/>
      <c r="K156" s="114"/>
      <c r="L156" s="881"/>
      <c r="M156" s="33"/>
      <c r="N156" s="33"/>
      <c r="O156" s="33"/>
      <c r="P156" s="33"/>
      <c r="Q156" s="33"/>
      <c r="R156" s="935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>
      <c r="A157" s="224"/>
      <c r="B157" s="229"/>
      <c r="C157" s="225"/>
      <c r="D157" s="227"/>
      <c r="E157" s="228"/>
      <c r="F157" s="33"/>
      <c r="G157" s="33"/>
      <c r="H157" s="33"/>
      <c r="I157" s="33"/>
      <c r="J157" s="230"/>
      <c r="K157" s="114"/>
      <c r="L157" s="881"/>
      <c r="M157" s="33"/>
      <c r="N157" s="33"/>
      <c r="O157" s="33"/>
      <c r="P157" s="33"/>
      <c r="Q157" s="33"/>
      <c r="R157" s="935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>
      <c r="A158" s="224"/>
      <c r="B158" s="229"/>
      <c r="C158" s="225"/>
      <c r="D158" s="227"/>
      <c r="E158" s="228"/>
      <c r="F158" s="33"/>
      <c r="G158" s="33"/>
      <c r="H158" s="33"/>
      <c r="I158" s="33"/>
      <c r="J158" s="230"/>
      <c r="K158" s="114"/>
      <c r="L158" s="881"/>
      <c r="M158" s="33"/>
      <c r="N158" s="33"/>
      <c r="O158" s="33"/>
      <c r="P158" s="33"/>
      <c r="Q158" s="33"/>
      <c r="R158" s="935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>
      <c r="A159" s="224"/>
      <c r="B159" s="229"/>
      <c r="C159" s="225"/>
      <c r="D159" s="227"/>
      <c r="E159" s="228"/>
      <c r="F159" s="33"/>
      <c r="G159" s="33"/>
      <c r="H159" s="33"/>
      <c r="I159" s="33"/>
      <c r="J159" s="230"/>
      <c r="K159" s="114"/>
      <c r="L159" s="881"/>
      <c r="M159" s="33"/>
      <c r="N159" s="33"/>
      <c r="O159" s="33"/>
      <c r="P159" s="33"/>
      <c r="Q159" s="33"/>
      <c r="R159" s="935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>
      <c r="A160" s="224"/>
      <c r="B160" s="229"/>
      <c r="C160" s="225"/>
      <c r="D160" s="227"/>
      <c r="E160" s="228"/>
      <c r="F160" s="33"/>
      <c r="G160" s="33"/>
      <c r="H160" s="33"/>
      <c r="I160" s="33"/>
      <c r="J160" s="230"/>
      <c r="K160" s="114"/>
      <c r="L160" s="881"/>
      <c r="M160" s="33"/>
      <c r="N160" s="33"/>
      <c r="O160" s="33"/>
      <c r="P160" s="33"/>
      <c r="Q160" s="33"/>
      <c r="R160" s="935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>
      <c r="A161" s="224"/>
      <c r="B161" s="229"/>
      <c r="C161" s="225"/>
      <c r="D161" s="227"/>
      <c r="E161" s="228"/>
      <c r="F161" s="33"/>
      <c r="G161" s="33"/>
      <c r="H161" s="33"/>
      <c r="I161" s="33"/>
      <c r="J161" s="230"/>
      <c r="K161" s="114"/>
      <c r="L161" s="881"/>
      <c r="M161" s="33"/>
      <c r="N161" s="33"/>
      <c r="O161" s="33"/>
      <c r="P161" s="33"/>
      <c r="Q161" s="33"/>
      <c r="R161" s="935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>
      <c r="A162" s="224"/>
      <c r="B162" s="229"/>
      <c r="C162" s="225"/>
      <c r="D162" s="227"/>
      <c r="E162" s="228"/>
      <c r="F162" s="33"/>
      <c r="G162" s="33"/>
      <c r="H162" s="33"/>
      <c r="I162" s="33"/>
      <c r="J162" s="230"/>
      <c r="K162" s="114"/>
      <c r="L162" s="881"/>
      <c r="M162" s="33"/>
      <c r="N162" s="33"/>
      <c r="O162" s="33"/>
      <c r="P162" s="33"/>
      <c r="Q162" s="33"/>
      <c r="R162" s="935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>
      <c r="A163" s="224"/>
      <c r="B163" s="229"/>
      <c r="C163" s="225"/>
      <c r="D163" s="227"/>
      <c r="E163" s="228"/>
      <c r="F163" s="33"/>
      <c r="G163" s="33"/>
      <c r="H163" s="33"/>
      <c r="I163" s="33"/>
      <c r="J163" s="230"/>
      <c r="K163" s="114"/>
      <c r="L163" s="881"/>
      <c r="M163" s="33"/>
      <c r="N163" s="33"/>
      <c r="O163" s="33"/>
      <c r="P163" s="33"/>
      <c r="Q163" s="33"/>
      <c r="R163" s="935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>
      <c r="A164" s="224"/>
      <c r="B164" s="229"/>
      <c r="C164" s="225"/>
      <c r="D164" s="227"/>
      <c r="E164" s="228"/>
      <c r="F164" s="33"/>
      <c r="G164" s="33"/>
      <c r="H164" s="33"/>
      <c r="I164" s="33"/>
      <c r="J164" s="230"/>
      <c r="K164" s="114"/>
      <c r="L164" s="881"/>
      <c r="M164" s="33"/>
      <c r="N164" s="33"/>
      <c r="O164" s="33"/>
      <c r="P164" s="33"/>
      <c r="Q164" s="33"/>
      <c r="R164" s="935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>
      <c r="A165" s="224"/>
      <c r="B165" s="229"/>
      <c r="C165" s="225"/>
      <c r="D165" s="227"/>
      <c r="E165" s="228"/>
      <c r="F165" s="33"/>
      <c r="G165" s="33"/>
      <c r="H165" s="33"/>
      <c r="I165" s="33"/>
      <c r="J165" s="230"/>
      <c r="K165" s="114"/>
      <c r="L165" s="881"/>
      <c r="M165" s="33"/>
      <c r="N165" s="33"/>
      <c r="O165" s="33"/>
      <c r="P165" s="33"/>
      <c r="Q165" s="33"/>
      <c r="R165" s="935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>
      <c r="A166" s="224"/>
      <c r="B166" s="229"/>
      <c r="C166" s="225"/>
      <c r="D166" s="227"/>
      <c r="E166" s="228"/>
      <c r="F166" s="33"/>
      <c r="G166" s="33"/>
      <c r="H166" s="33"/>
      <c r="I166" s="33"/>
      <c r="J166" s="230"/>
      <c r="K166" s="114"/>
      <c r="L166" s="881"/>
      <c r="M166" s="33"/>
      <c r="N166" s="33"/>
      <c r="O166" s="33"/>
      <c r="P166" s="33"/>
      <c r="Q166" s="33"/>
      <c r="R166" s="935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>
      <c r="A167" s="224"/>
      <c r="B167" s="229"/>
      <c r="C167" s="225"/>
      <c r="D167" s="227"/>
      <c r="E167" s="228"/>
      <c r="F167" s="33"/>
      <c r="G167" s="33"/>
      <c r="H167" s="33"/>
      <c r="I167" s="33"/>
      <c r="J167" s="230"/>
      <c r="K167" s="114"/>
      <c r="L167" s="881"/>
      <c r="M167" s="33"/>
      <c r="N167" s="33"/>
      <c r="O167" s="33"/>
      <c r="P167" s="33"/>
      <c r="Q167" s="33"/>
      <c r="R167" s="935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>
      <c r="A168" s="224"/>
      <c r="B168" s="229"/>
      <c r="C168" s="225"/>
      <c r="D168" s="227"/>
      <c r="E168" s="228"/>
      <c r="F168" s="33"/>
      <c r="G168" s="33"/>
      <c r="H168" s="33"/>
      <c r="I168" s="33"/>
      <c r="J168" s="230"/>
      <c r="K168" s="114"/>
      <c r="L168" s="881"/>
      <c r="M168" s="33"/>
      <c r="N168" s="33"/>
      <c r="O168" s="33"/>
      <c r="P168" s="33"/>
      <c r="Q168" s="33"/>
      <c r="R168" s="935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>
      <c r="A169" s="224"/>
      <c r="B169" s="229"/>
      <c r="C169" s="225"/>
      <c r="D169" s="227"/>
      <c r="E169" s="228"/>
      <c r="F169" s="33"/>
      <c r="G169" s="33"/>
      <c r="H169" s="33"/>
      <c r="I169" s="33"/>
      <c r="J169" s="230"/>
      <c r="K169" s="114"/>
      <c r="L169" s="881"/>
      <c r="M169" s="33"/>
      <c r="N169" s="33"/>
      <c r="O169" s="33"/>
      <c r="P169" s="33"/>
      <c r="Q169" s="33"/>
      <c r="R169" s="935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>
      <c r="A170" s="224"/>
      <c r="B170" s="229"/>
      <c r="C170" s="225"/>
      <c r="D170" s="227"/>
      <c r="E170" s="228"/>
      <c r="F170" s="33"/>
      <c r="G170" s="33"/>
      <c r="H170" s="33"/>
      <c r="I170" s="33"/>
      <c r="J170" s="230"/>
      <c r="K170" s="114"/>
      <c r="L170" s="881"/>
      <c r="M170" s="33"/>
      <c r="N170" s="33"/>
      <c r="O170" s="33"/>
      <c r="P170" s="33"/>
      <c r="Q170" s="33"/>
      <c r="R170" s="935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>
      <c r="A171" s="224"/>
      <c r="B171" s="229"/>
      <c r="C171" s="225"/>
      <c r="D171" s="227"/>
      <c r="E171" s="228"/>
      <c r="F171" s="33"/>
      <c r="G171" s="33"/>
      <c r="H171" s="33"/>
      <c r="I171" s="33"/>
      <c r="J171" s="230"/>
      <c r="K171" s="114"/>
      <c r="L171" s="881"/>
      <c r="M171" s="33"/>
      <c r="N171" s="33"/>
      <c r="O171" s="33"/>
      <c r="P171" s="33"/>
      <c r="Q171" s="33"/>
      <c r="R171" s="935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>
      <c r="A172" s="224"/>
      <c r="B172" s="229"/>
      <c r="C172" s="225"/>
      <c r="D172" s="227"/>
      <c r="E172" s="228"/>
      <c r="F172" s="33"/>
      <c r="G172" s="33"/>
      <c r="H172" s="33"/>
      <c r="I172" s="33"/>
      <c r="J172" s="230"/>
      <c r="K172" s="114"/>
      <c r="L172" s="881"/>
      <c r="M172" s="33"/>
      <c r="N172" s="33"/>
      <c r="O172" s="33"/>
      <c r="P172" s="33"/>
      <c r="Q172" s="33"/>
      <c r="R172" s="935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>
      <c r="A173" s="224"/>
      <c r="B173" s="229"/>
      <c r="C173" s="225"/>
      <c r="D173" s="227"/>
      <c r="E173" s="228"/>
      <c r="F173" s="33"/>
      <c r="G173" s="33"/>
      <c r="H173" s="33"/>
      <c r="I173" s="33"/>
      <c r="J173" s="230"/>
      <c r="K173" s="114"/>
      <c r="L173" s="881"/>
      <c r="M173" s="33"/>
      <c r="N173" s="33"/>
      <c r="O173" s="33"/>
      <c r="P173" s="33"/>
      <c r="Q173" s="33"/>
      <c r="R173" s="935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>
      <c r="A174" s="224"/>
      <c r="B174" s="229"/>
      <c r="C174" s="225"/>
      <c r="D174" s="227"/>
      <c r="E174" s="228"/>
      <c r="F174" s="33"/>
      <c r="G174" s="33"/>
      <c r="H174" s="33"/>
      <c r="I174" s="33"/>
      <c r="J174" s="230"/>
      <c r="K174" s="114"/>
      <c r="L174" s="881"/>
      <c r="M174" s="33"/>
      <c r="N174" s="33"/>
      <c r="O174" s="33"/>
      <c r="P174" s="33"/>
      <c r="Q174" s="33"/>
      <c r="R174" s="935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>
      <c r="A175" s="224"/>
      <c r="B175" s="229"/>
      <c r="C175" s="225"/>
      <c r="D175" s="227"/>
      <c r="E175" s="228"/>
      <c r="F175" s="33"/>
      <c r="G175" s="33"/>
      <c r="H175" s="33"/>
      <c r="I175" s="33"/>
      <c r="J175" s="230"/>
      <c r="K175" s="114"/>
      <c r="L175" s="881"/>
      <c r="M175" s="33"/>
      <c r="N175" s="33"/>
      <c r="O175" s="33"/>
      <c r="P175" s="33"/>
      <c r="Q175" s="33"/>
      <c r="R175" s="935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>
      <c r="A176" s="224"/>
      <c r="B176" s="229"/>
      <c r="C176" s="225"/>
      <c r="D176" s="227"/>
      <c r="E176" s="228"/>
      <c r="F176" s="33"/>
      <c r="G176" s="33"/>
      <c r="H176" s="33"/>
      <c r="I176" s="33"/>
      <c r="J176" s="230"/>
      <c r="K176" s="114"/>
      <c r="L176" s="881"/>
      <c r="M176" s="33"/>
      <c r="N176" s="33"/>
      <c r="O176" s="33"/>
      <c r="P176" s="33"/>
      <c r="Q176" s="33"/>
      <c r="R176" s="935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>
      <c r="A177" s="224"/>
      <c r="B177" s="229"/>
      <c r="C177" s="225"/>
      <c r="D177" s="227"/>
      <c r="E177" s="228"/>
      <c r="F177" s="33"/>
      <c r="G177" s="33"/>
      <c r="H177" s="33"/>
      <c r="I177" s="33"/>
      <c r="J177" s="230"/>
      <c r="K177" s="114"/>
      <c r="L177" s="881"/>
      <c r="M177" s="33"/>
      <c r="N177" s="33"/>
      <c r="O177" s="33"/>
      <c r="P177" s="33"/>
      <c r="Q177" s="33"/>
      <c r="R177" s="935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>
      <c r="A178" s="224"/>
      <c r="B178" s="229"/>
      <c r="C178" s="225"/>
      <c r="D178" s="227"/>
      <c r="E178" s="228"/>
      <c r="F178" s="33"/>
      <c r="G178" s="33"/>
      <c r="H178" s="33"/>
      <c r="I178" s="33"/>
      <c r="J178" s="230"/>
      <c r="K178" s="114"/>
      <c r="L178" s="881"/>
      <c r="M178" s="33"/>
      <c r="N178" s="33"/>
      <c r="O178" s="33"/>
      <c r="P178" s="33"/>
      <c r="Q178" s="33"/>
      <c r="R178" s="935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>
      <c r="A179" s="224"/>
      <c r="B179" s="229"/>
      <c r="C179" s="225"/>
      <c r="D179" s="227"/>
      <c r="E179" s="228"/>
      <c r="F179" s="33"/>
      <c r="G179" s="33"/>
      <c r="H179" s="33"/>
      <c r="I179" s="33"/>
      <c r="J179" s="230"/>
      <c r="K179" s="114"/>
      <c r="L179" s="881"/>
      <c r="M179" s="33"/>
      <c r="N179" s="33"/>
      <c r="O179" s="33"/>
      <c r="P179" s="33"/>
      <c r="Q179" s="33"/>
      <c r="R179" s="935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>
      <c r="A180" s="224"/>
      <c r="B180" s="229"/>
      <c r="C180" s="225"/>
      <c r="D180" s="227"/>
      <c r="E180" s="228"/>
      <c r="F180" s="33"/>
      <c r="G180" s="33"/>
      <c r="H180" s="33"/>
      <c r="I180" s="33"/>
      <c r="J180" s="230"/>
      <c r="K180" s="114"/>
      <c r="L180" s="881"/>
      <c r="M180" s="33"/>
      <c r="N180" s="33"/>
      <c r="O180" s="33"/>
      <c r="P180" s="33"/>
      <c r="Q180" s="33"/>
      <c r="R180" s="935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>
      <c r="A181" s="224"/>
      <c r="B181" s="229"/>
      <c r="C181" s="225"/>
      <c r="D181" s="227"/>
      <c r="E181" s="228"/>
      <c r="F181" s="33"/>
      <c r="G181" s="33"/>
      <c r="H181" s="33"/>
      <c r="I181" s="33"/>
      <c r="J181" s="230"/>
      <c r="K181" s="114"/>
      <c r="L181" s="881"/>
      <c r="M181" s="33"/>
      <c r="N181" s="33"/>
      <c r="O181" s="33"/>
      <c r="P181" s="33"/>
      <c r="Q181" s="33"/>
      <c r="R181" s="935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>
      <c r="A182" s="224"/>
      <c r="B182" s="229"/>
      <c r="C182" s="225"/>
      <c r="D182" s="227"/>
      <c r="E182" s="228"/>
      <c r="F182" s="33"/>
      <c r="G182" s="33"/>
      <c r="H182" s="33"/>
      <c r="I182" s="33"/>
      <c r="J182" s="230"/>
      <c r="K182" s="114"/>
      <c r="L182" s="881"/>
      <c r="M182" s="33"/>
      <c r="N182" s="33"/>
      <c r="O182" s="33"/>
      <c r="P182" s="33"/>
      <c r="Q182" s="33"/>
      <c r="R182" s="935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>
      <c r="A183" s="224"/>
      <c r="B183" s="229"/>
      <c r="C183" s="225"/>
      <c r="D183" s="227"/>
      <c r="E183" s="228"/>
      <c r="F183" s="33"/>
      <c r="G183" s="33"/>
      <c r="H183" s="33"/>
      <c r="I183" s="33"/>
      <c r="J183" s="230"/>
      <c r="K183" s="114"/>
      <c r="L183" s="881"/>
      <c r="M183" s="33"/>
      <c r="N183" s="33"/>
      <c r="O183" s="33"/>
      <c r="P183" s="33"/>
      <c r="Q183" s="33"/>
      <c r="R183" s="935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>
      <c r="A184" s="224"/>
      <c r="B184" s="229"/>
      <c r="C184" s="225"/>
      <c r="D184" s="227"/>
      <c r="E184" s="228"/>
      <c r="F184" s="33"/>
      <c r="G184" s="33"/>
      <c r="H184" s="33"/>
      <c r="I184" s="33"/>
      <c r="J184" s="230"/>
      <c r="K184" s="114"/>
      <c r="L184" s="881"/>
      <c r="M184" s="33"/>
      <c r="N184" s="33"/>
      <c r="O184" s="33"/>
      <c r="P184" s="33"/>
      <c r="Q184" s="33"/>
      <c r="R184" s="935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>
      <c r="A185" s="224"/>
      <c r="B185" s="229"/>
      <c r="C185" s="225"/>
      <c r="D185" s="227"/>
      <c r="E185" s="228"/>
      <c r="F185" s="33"/>
      <c r="G185" s="33"/>
      <c r="H185" s="33"/>
      <c r="I185" s="33"/>
      <c r="J185" s="230"/>
      <c r="K185" s="114"/>
      <c r="L185" s="881"/>
      <c r="M185" s="33"/>
      <c r="N185" s="33"/>
      <c r="O185" s="33"/>
      <c r="P185" s="33"/>
      <c r="Q185" s="33"/>
      <c r="R185" s="935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>
      <c r="A186" s="224"/>
      <c r="B186" s="229"/>
      <c r="C186" s="225"/>
      <c r="D186" s="227"/>
      <c r="E186" s="228"/>
      <c r="F186" s="33"/>
      <c r="G186" s="33"/>
      <c r="H186" s="33"/>
      <c r="I186" s="33"/>
      <c r="J186" s="230"/>
      <c r="K186" s="114"/>
      <c r="L186" s="881"/>
      <c r="M186" s="33"/>
      <c r="N186" s="33"/>
      <c r="O186" s="33"/>
      <c r="P186" s="33"/>
      <c r="Q186" s="33"/>
      <c r="R186" s="935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>
      <c r="A187" s="224"/>
      <c r="B187" s="229"/>
      <c r="C187" s="225"/>
      <c r="D187" s="227"/>
      <c r="E187" s="228"/>
      <c r="F187" s="33"/>
      <c r="G187" s="33"/>
      <c r="H187" s="33"/>
      <c r="I187" s="33"/>
      <c r="J187" s="230"/>
      <c r="K187" s="114"/>
      <c r="L187" s="881"/>
      <c r="M187" s="33"/>
      <c r="N187" s="33"/>
      <c r="O187" s="33"/>
      <c r="P187" s="33"/>
      <c r="Q187" s="33"/>
      <c r="R187" s="935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>
      <c r="A188" s="224"/>
      <c r="B188" s="229"/>
      <c r="C188" s="225"/>
      <c r="D188" s="227"/>
      <c r="E188" s="228"/>
      <c r="F188" s="33"/>
      <c r="G188" s="33"/>
      <c r="H188" s="33"/>
      <c r="I188" s="33"/>
      <c r="J188" s="230"/>
      <c r="K188" s="114"/>
      <c r="L188" s="881"/>
      <c r="M188" s="33"/>
      <c r="N188" s="33"/>
      <c r="O188" s="33"/>
      <c r="P188" s="33"/>
      <c r="Q188" s="33"/>
      <c r="R188" s="935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>
      <c r="A189" s="224"/>
      <c r="B189" s="229"/>
      <c r="C189" s="225"/>
      <c r="D189" s="227"/>
      <c r="E189" s="228"/>
      <c r="F189" s="33"/>
      <c r="G189" s="33"/>
      <c r="H189" s="33"/>
      <c r="I189" s="33"/>
      <c r="J189" s="230"/>
      <c r="K189" s="114"/>
      <c r="L189" s="881"/>
      <c r="M189" s="33"/>
      <c r="N189" s="33"/>
      <c r="O189" s="33"/>
      <c r="P189" s="33"/>
      <c r="Q189" s="33"/>
      <c r="R189" s="935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>
      <c r="A190" s="224"/>
      <c r="B190" s="229"/>
      <c r="C190" s="225"/>
      <c r="D190" s="227"/>
      <c r="E190" s="228"/>
      <c r="F190" s="33"/>
      <c r="G190" s="33"/>
      <c r="H190" s="33"/>
      <c r="I190" s="33"/>
      <c r="J190" s="230"/>
      <c r="K190" s="114"/>
      <c r="L190" s="881"/>
      <c r="M190" s="33"/>
      <c r="N190" s="33"/>
      <c r="O190" s="33"/>
      <c r="P190" s="33"/>
      <c r="Q190" s="33"/>
      <c r="R190" s="935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>
      <c r="A191" s="224"/>
      <c r="B191" s="229"/>
      <c r="C191" s="225"/>
      <c r="D191" s="227"/>
      <c r="E191" s="228"/>
      <c r="F191" s="33"/>
      <c r="G191" s="33"/>
      <c r="H191" s="33"/>
      <c r="I191" s="33"/>
      <c r="J191" s="230"/>
      <c r="K191" s="114"/>
      <c r="L191" s="881"/>
      <c r="M191" s="33"/>
      <c r="N191" s="33"/>
      <c r="O191" s="33"/>
      <c r="P191" s="33"/>
      <c r="Q191" s="33"/>
      <c r="R191" s="935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>
      <c r="A192" s="224"/>
      <c r="B192" s="229"/>
      <c r="C192" s="225"/>
      <c r="D192" s="227"/>
      <c r="E192" s="228"/>
      <c r="F192" s="33"/>
      <c r="G192" s="33"/>
      <c r="H192" s="33"/>
      <c r="I192" s="33"/>
      <c r="J192" s="230"/>
      <c r="K192" s="114"/>
      <c r="L192" s="881"/>
      <c r="M192" s="33"/>
      <c r="N192" s="33"/>
      <c r="O192" s="33"/>
      <c r="P192" s="33"/>
      <c r="Q192" s="33"/>
      <c r="R192" s="935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>
      <c r="A193" s="224"/>
      <c r="B193" s="229"/>
      <c r="C193" s="225"/>
      <c r="D193" s="227"/>
      <c r="E193" s="228"/>
      <c r="F193" s="33"/>
      <c r="G193" s="33"/>
      <c r="H193" s="33"/>
      <c r="I193" s="33"/>
      <c r="J193" s="230"/>
      <c r="K193" s="114"/>
      <c r="L193" s="881"/>
      <c r="M193" s="33"/>
      <c r="N193" s="33"/>
      <c r="O193" s="33"/>
      <c r="P193" s="33"/>
      <c r="Q193" s="33"/>
      <c r="R193" s="935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>
      <c r="A194" s="224"/>
      <c r="B194" s="229"/>
      <c r="C194" s="225"/>
      <c r="D194" s="227"/>
      <c r="E194" s="228"/>
      <c r="F194" s="33"/>
      <c r="G194" s="33"/>
      <c r="H194" s="33"/>
      <c r="I194" s="33"/>
      <c r="J194" s="230"/>
      <c r="K194" s="114"/>
      <c r="L194" s="881"/>
      <c r="M194" s="33"/>
      <c r="N194" s="33"/>
      <c r="O194" s="33"/>
      <c r="P194" s="33"/>
      <c r="Q194" s="33"/>
      <c r="R194" s="935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>
      <c r="A195" s="224"/>
      <c r="B195" s="229"/>
      <c r="C195" s="225"/>
      <c r="D195" s="227"/>
      <c r="E195" s="228"/>
      <c r="F195" s="33"/>
      <c r="G195" s="33"/>
      <c r="H195" s="33"/>
      <c r="I195" s="33"/>
      <c r="J195" s="230"/>
      <c r="K195" s="114"/>
      <c r="L195" s="881"/>
      <c r="M195" s="33"/>
      <c r="N195" s="33"/>
      <c r="O195" s="33"/>
      <c r="P195" s="33"/>
      <c r="Q195" s="33"/>
      <c r="R195" s="935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>
      <c r="A196" s="224"/>
      <c r="B196" s="229"/>
      <c r="C196" s="225"/>
      <c r="D196" s="227"/>
      <c r="E196" s="228"/>
      <c r="F196" s="33"/>
      <c r="G196" s="33"/>
      <c r="H196" s="33"/>
      <c r="I196" s="33"/>
      <c r="J196" s="230"/>
      <c r="K196" s="114"/>
      <c r="L196" s="881"/>
      <c r="M196" s="33"/>
      <c r="N196" s="33"/>
      <c r="O196" s="33"/>
      <c r="P196" s="33"/>
      <c r="Q196" s="33"/>
      <c r="R196" s="935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>
      <c r="A197" s="224"/>
      <c r="B197" s="229"/>
      <c r="C197" s="225"/>
      <c r="D197" s="227"/>
      <c r="E197" s="228"/>
      <c r="F197" s="33"/>
      <c r="G197" s="33"/>
      <c r="H197" s="33"/>
      <c r="I197" s="33"/>
      <c r="J197" s="230"/>
      <c r="K197" s="114"/>
      <c r="L197" s="881"/>
      <c r="M197" s="33"/>
      <c r="N197" s="33"/>
      <c r="O197" s="33"/>
      <c r="P197" s="33"/>
      <c r="Q197" s="33"/>
      <c r="R197" s="935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>
      <c r="A198" s="224"/>
      <c r="B198" s="229"/>
      <c r="C198" s="225"/>
      <c r="D198" s="227"/>
      <c r="E198" s="228"/>
      <c r="F198" s="33"/>
      <c r="G198" s="33"/>
      <c r="H198" s="33"/>
      <c r="I198" s="33"/>
      <c r="J198" s="230"/>
      <c r="K198" s="114"/>
      <c r="L198" s="881"/>
      <c r="M198" s="33"/>
      <c r="N198" s="33"/>
      <c r="O198" s="33"/>
      <c r="P198" s="33"/>
      <c r="Q198" s="33"/>
      <c r="R198" s="935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>
      <c r="A199" s="224"/>
      <c r="B199" s="229"/>
      <c r="C199" s="225"/>
      <c r="D199" s="227"/>
      <c r="E199" s="228"/>
      <c r="F199" s="33"/>
      <c r="G199" s="33"/>
      <c r="H199" s="33"/>
      <c r="I199" s="33"/>
      <c r="J199" s="230"/>
      <c r="K199" s="114"/>
      <c r="L199" s="881"/>
      <c r="M199" s="33"/>
      <c r="N199" s="33"/>
      <c r="O199" s="33"/>
      <c r="P199" s="33"/>
      <c r="Q199" s="33"/>
      <c r="R199" s="935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>
      <c r="A200" s="224"/>
      <c r="B200" s="229"/>
      <c r="C200" s="225"/>
      <c r="D200" s="227"/>
      <c r="E200" s="228"/>
      <c r="F200" s="33"/>
      <c r="G200" s="33"/>
      <c r="H200" s="33"/>
      <c r="I200" s="33"/>
      <c r="J200" s="230"/>
      <c r="K200" s="114"/>
      <c r="L200" s="881"/>
      <c r="M200" s="33"/>
      <c r="N200" s="33"/>
      <c r="O200" s="33"/>
      <c r="P200" s="33"/>
      <c r="Q200" s="33"/>
      <c r="R200" s="935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>
      <c r="A201" s="224"/>
      <c r="B201" s="229"/>
      <c r="C201" s="225"/>
      <c r="D201" s="227"/>
      <c r="E201" s="228"/>
      <c r="F201" s="33"/>
      <c r="G201" s="33"/>
      <c r="H201" s="33"/>
      <c r="I201" s="33"/>
      <c r="J201" s="230"/>
      <c r="K201" s="114"/>
      <c r="L201" s="881"/>
      <c r="M201" s="33"/>
      <c r="N201" s="33"/>
      <c r="O201" s="33"/>
      <c r="P201" s="33"/>
      <c r="Q201" s="33"/>
      <c r="R201" s="935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>
      <c r="A202" s="224"/>
      <c r="B202" s="229"/>
      <c r="C202" s="225"/>
      <c r="D202" s="227"/>
      <c r="E202" s="228"/>
      <c r="F202" s="33"/>
      <c r="G202" s="33"/>
      <c r="H202" s="33"/>
      <c r="I202" s="33"/>
      <c r="J202" s="230"/>
      <c r="K202" s="114"/>
      <c r="L202" s="881"/>
      <c r="M202" s="33"/>
      <c r="N202" s="33"/>
      <c r="O202" s="33"/>
      <c r="P202" s="33"/>
      <c r="Q202" s="33"/>
      <c r="R202" s="935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>
      <c r="A203" s="224"/>
      <c r="B203" s="229"/>
      <c r="C203" s="225"/>
      <c r="D203" s="227"/>
      <c r="E203" s="228"/>
      <c r="F203" s="33"/>
      <c r="G203" s="33"/>
      <c r="H203" s="33"/>
      <c r="I203" s="33"/>
      <c r="J203" s="230"/>
      <c r="K203" s="114"/>
      <c r="L203" s="881"/>
      <c r="M203" s="33"/>
      <c r="N203" s="33"/>
      <c r="O203" s="33"/>
      <c r="P203" s="33"/>
      <c r="Q203" s="33"/>
      <c r="R203" s="935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>
      <c r="A204" s="224"/>
      <c r="B204" s="229"/>
      <c r="C204" s="225"/>
      <c r="D204" s="227"/>
      <c r="E204" s="228"/>
      <c r="F204" s="33"/>
      <c r="G204" s="33"/>
      <c r="H204" s="33"/>
      <c r="I204" s="33"/>
      <c r="J204" s="230"/>
      <c r="K204" s="114"/>
      <c r="L204" s="881"/>
      <c r="M204" s="33"/>
      <c r="N204" s="33"/>
      <c r="O204" s="33"/>
      <c r="P204" s="33"/>
      <c r="Q204" s="33"/>
      <c r="R204" s="935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>
      <c r="A205" s="224"/>
      <c r="B205" s="229"/>
      <c r="C205" s="225"/>
      <c r="D205" s="227"/>
      <c r="E205" s="228"/>
      <c r="F205" s="33"/>
      <c r="G205" s="33"/>
      <c r="H205" s="33"/>
      <c r="I205" s="33"/>
      <c r="J205" s="230"/>
      <c r="K205" s="114"/>
      <c r="L205" s="881"/>
      <c r="M205" s="33"/>
      <c r="N205" s="33"/>
      <c r="O205" s="33"/>
      <c r="P205" s="33"/>
      <c r="Q205" s="33"/>
      <c r="R205" s="935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>
      <c r="A206" s="224"/>
      <c r="B206" s="229"/>
      <c r="C206" s="225"/>
      <c r="D206" s="227"/>
      <c r="E206" s="228"/>
      <c r="F206" s="33"/>
      <c r="G206" s="33"/>
      <c r="H206" s="33"/>
      <c r="I206" s="33"/>
      <c r="J206" s="230"/>
      <c r="K206" s="114"/>
      <c r="L206" s="881"/>
      <c r="M206" s="33"/>
      <c r="N206" s="33"/>
      <c r="O206" s="33"/>
      <c r="P206" s="33"/>
      <c r="Q206" s="33"/>
      <c r="R206" s="935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>
      <c r="A207" s="224"/>
      <c r="B207" s="229"/>
      <c r="C207" s="225"/>
      <c r="D207" s="227"/>
      <c r="E207" s="228"/>
      <c r="F207" s="33"/>
      <c r="G207" s="33"/>
      <c r="H207" s="33"/>
      <c r="I207" s="33"/>
      <c r="J207" s="230"/>
      <c r="K207" s="114"/>
      <c r="L207" s="881"/>
      <c r="M207" s="33"/>
      <c r="N207" s="33"/>
      <c r="O207" s="33"/>
      <c r="P207" s="33"/>
      <c r="Q207" s="33"/>
      <c r="R207" s="935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>
      <c r="A208" s="224"/>
      <c r="B208" s="229"/>
      <c r="C208" s="225"/>
      <c r="D208" s="227"/>
      <c r="E208" s="228"/>
      <c r="F208" s="33"/>
      <c r="G208" s="33"/>
      <c r="H208" s="33"/>
      <c r="I208" s="33"/>
      <c r="J208" s="230"/>
      <c r="K208" s="114"/>
      <c r="L208" s="881"/>
      <c r="M208" s="33"/>
      <c r="N208" s="33"/>
      <c r="O208" s="33"/>
      <c r="P208" s="33"/>
      <c r="Q208" s="33"/>
      <c r="R208" s="935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>
      <c r="A209" s="224"/>
      <c r="B209" s="229"/>
      <c r="C209" s="225"/>
      <c r="D209" s="227"/>
      <c r="E209" s="228"/>
      <c r="F209" s="33"/>
      <c r="G209" s="33"/>
      <c r="H209" s="33"/>
      <c r="I209" s="33"/>
      <c r="J209" s="230"/>
      <c r="K209" s="114"/>
      <c r="L209" s="881"/>
      <c r="M209" s="33"/>
      <c r="N209" s="33"/>
      <c r="O209" s="33"/>
      <c r="P209" s="33"/>
      <c r="Q209" s="33"/>
      <c r="R209" s="935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>
      <c r="A210" s="224"/>
      <c r="B210" s="229"/>
      <c r="C210" s="225"/>
      <c r="D210" s="227"/>
      <c r="E210" s="228"/>
      <c r="F210" s="33"/>
      <c r="G210" s="33"/>
      <c r="H210" s="33"/>
      <c r="I210" s="33"/>
      <c r="J210" s="230"/>
      <c r="K210" s="114"/>
      <c r="L210" s="881"/>
      <c r="M210" s="33"/>
      <c r="N210" s="33"/>
      <c r="O210" s="33"/>
      <c r="P210" s="33"/>
      <c r="Q210" s="33"/>
      <c r="R210" s="935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>
      <c r="A211" s="224"/>
      <c r="B211" s="229"/>
      <c r="C211" s="225"/>
      <c r="D211" s="227"/>
      <c r="E211" s="228"/>
      <c r="F211" s="33"/>
      <c r="G211" s="33"/>
      <c r="H211" s="33"/>
      <c r="I211" s="33"/>
      <c r="J211" s="230"/>
      <c r="K211" s="114"/>
      <c r="L211" s="881"/>
      <c r="M211" s="33"/>
      <c r="N211" s="33"/>
      <c r="O211" s="33"/>
      <c r="P211" s="33"/>
      <c r="Q211" s="33"/>
      <c r="R211" s="935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>
      <c r="A212" s="224"/>
      <c r="B212" s="229"/>
      <c r="C212" s="225"/>
      <c r="D212" s="227"/>
      <c r="E212" s="228"/>
      <c r="F212" s="33"/>
      <c r="G212" s="33"/>
      <c r="H212" s="33"/>
      <c r="I212" s="33"/>
      <c r="J212" s="230"/>
      <c r="K212" s="114"/>
      <c r="L212" s="881"/>
      <c r="M212" s="33"/>
      <c r="N212" s="33"/>
      <c r="O212" s="33"/>
      <c r="P212" s="33"/>
      <c r="Q212" s="33"/>
      <c r="R212" s="935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>
      <c r="A213" s="224"/>
      <c r="B213" s="229"/>
      <c r="C213" s="225"/>
      <c r="D213" s="227"/>
      <c r="E213" s="228"/>
      <c r="F213" s="33"/>
      <c r="G213" s="33"/>
      <c r="H213" s="33"/>
      <c r="I213" s="33"/>
      <c r="J213" s="230"/>
      <c r="K213" s="114"/>
      <c r="L213" s="881"/>
      <c r="M213" s="33"/>
      <c r="N213" s="33"/>
      <c r="O213" s="33"/>
      <c r="P213" s="33"/>
      <c r="Q213" s="33"/>
      <c r="R213" s="935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>
      <c r="A214" s="224"/>
      <c r="B214" s="229"/>
      <c r="C214" s="225"/>
      <c r="D214" s="227"/>
      <c r="E214" s="228"/>
      <c r="F214" s="33"/>
      <c r="G214" s="33"/>
      <c r="H214" s="33"/>
      <c r="I214" s="33"/>
      <c r="J214" s="230"/>
      <c r="K214" s="114"/>
      <c r="L214" s="881"/>
      <c r="M214" s="33"/>
      <c r="N214" s="33"/>
      <c r="O214" s="33"/>
      <c r="P214" s="33"/>
      <c r="Q214" s="33"/>
      <c r="R214" s="935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>
      <c r="A215" s="224"/>
      <c r="B215" s="229"/>
      <c r="C215" s="225"/>
      <c r="D215" s="227"/>
      <c r="E215" s="228"/>
      <c r="F215" s="33"/>
      <c r="G215" s="33"/>
      <c r="H215" s="33"/>
      <c r="I215" s="33"/>
      <c r="J215" s="230"/>
      <c r="K215" s="114"/>
      <c r="L215" s="881"/>
      <c r="M215" s="33"/>
      <c r="N215" s="33"/>
      <c r="O215" s="33"/>
      <c r="P215" s="33"/>
      <c r="Q215" s="33"/>
      <c r="R215" s="935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>
      <c r="A216" s="224"/>
      <c r="B216" s="229"/>
      <c r="C216" s="225"/>
      <c r="D216" s="227"/>
      <c r="E216" s="228"/>
      <c r="F216" s="33"/>
      <c r="G216" s="33"/>
      <c r="H216" s="33"/>
      <c r="I216" s="33"/>
      <c r="J216" s="230"/>
      <c r="K216" s="114"/>
      <c r="L216" s="881"/>
      <c r="M216" s="33"/>
      <c r="N216" s="33"/>
      <c r="O216" s="33"/>
      <c r="P216" s="33"/>
      <c r="Q216" s="33"/>
      <c r="R216" s="935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>
      <c r="A217" s="224"/>
      <c r="B217" s="229"/>
      <c r="C217" s="225"/>
      <c r="D217" s="227"/>
      <c r="E217" s="228"/>
      <c r="F217" s="33"/>
      <c r="G217" s="33"/>
      <c r="H217" s="33"/>
      <c r="I217" s="33"/>
      <c r="J217" s="230"/>
      <c r="K217" s="114"/>
      <c r="L217" s="881"/>
      <c r="M217" s="33"/>
      <c r="N217" s="33"/>
      <c r="O217" s="33"/>
      <c r="P217" s="33"/>
      <c r="Q217" s="33"/>
      <c r="R217" s="935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>
      <c r="A218" s="224"/>
      <c r="B218" s="229"/>
      <c r="C218" s="225"/>
      <c r="D218" s="227"/>
      <c r="E218" s="228"/>
      <c r="F218" s="33"/>
      <c r="G218" s="33"/>
      <c r="H218" s="33"/>
      <c r="I218" s="33"/>
      <c r="J218" s="230"/>
      <c r="K218" s="114"/>
      <c r="L218" s="881"/>
      <c r="M218" s="33"/>
      <c r="N218" s="33"/>
      <c r="O218" s="33"/>
      <c r="P218" s="33"/>
      <c r="Q218" s="33"/>
      <c r="R218" s="935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>
      <c r="A219" s="224"/>
      <c r="B219" s="229"/>
      <c r="C219" s="225"/>
      <c r="D219" s="227"/>
      <c r="E219" s="228"/>
      <c r="F219" s="33"/>
      <c r="G219" s="33"/>
      <c r="H219" s="33"/>
      <c r="I219" s="33"/>
      <c r="J219" s="230"/>
      <c r="K219" s="114"/>
      <c r="L219" s="881"/>
      <c r="M219" s="33"/>
      <c r="N219" s="33"/>
      <c r="O219" s="33"/>
      <c r="P219" s="33"/>
      <c r="Q219" s="33"/>
      <c r="R219" s="935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>
      <c r="A220" s="224"/>
      <c r="B220" s="229"/>
      <c r="C220" s="225"/>
      <c r="D220" s="227"/>
      <c r="E220" s="228"/>
      <c r="F220" s="33"/>
      <c r="G220" s="33"/>
      <c r="H220" s="33"/>
      <c r="I220" s="33"/>
      <c r="J220" s="230"/>
      <c r="K220" s="114"/>
      <c r="L220" s="881"/>
      <c r="M220" s="33"/>
      <c r="N220" s="33"/>
      <c r="O220" s="33"/>
      <c r="P220" s="33"/>
      <c r="Q220" s="33"/>
      <c r="R220" s="935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>
      <c r="A221" s="224"/>
      <c r="B221" s="229"/>
      <c r="C221" s="225"/>
      <c r="D221" s="227"/>
      <c r="E221" s="228"/>
      <c r="F221" s="33"/>
      <c r="G221" s="33"/>
      <c r="H221" s="33"/>
      <c r="I221" s="33"/>
      <c r="J221" s="230"/>
      <c r="K221" s="114"/>
      <c r="L221" s="881"/>
      <c r="M221" s="33"/>
      <c r="N221" s="33"/>
      <c r="O221" s="33"/>
      <c r="P221" s="33"/>
      <c r="Q221" s="33"/>
      <c r="R221" s="935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</row>
    <row r="222">
      <c r="A222" s="224"/>
      <c r="B222" s="229"/>
      <c r="C222" s="225"/>
      <c r="D222" s="227"/>
      <c r="E222" s="228"/>
      <c r="F222" s="33"/>
      <c r="G222" s="33"/>
      <c r="H222" s="33"/>
      <c r="I222" s="33"/>
      <c r="J222" s="230"/>
      <c r="K222" s="114"/>
      <c r="L222" s="881"/>
      <c r="M222" s="33"/>
      <c r="N222" s="33"/>
      <c r="O222" s="33"/>
      <c r="P222" s="33"/>
      <c r="Q222" s="33"/>
      <c r="R222" s="935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</row>
    <row r="223">
      <c r="A223" s="224"/>
      <c r="B223" s="229"/>
      <c r="C223" s="225"/>
      <c r="D223" s="227"/>
      <c r="E223" s="228"/>
      <c r="F223" s="33"/>
      <c r="G223" s="33"/>
      <c r="H223" s="33"/>
      <c r="I223" s="33"/>
      <c r="J223" s="230"/>
      <c r="K223" s="114"/>
      <c r="L223" s="881"/>
      <c r="M223" s="33"/>
      <c r="N223" s="33"/>
      <c r="O223" s="33"/>
      <c r="P223" s="33"/>
      <c r="Q223" s="33"/>
      <c r="R223" s="935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>
      <c r="A224" s="224"/>
      <c r="B224" s="229"/>
      <c r="C224" s="225"/>
      <c r="D224" s="227"/>
      <c r="E224" s="228"/>
      <c r="F224" s="33"/>
      <c r="G224" s="33"/>
      <c r="H224" s="33"/>
      <c r="I224" s="33"/>
      <c r="J224" s="230"/>
      <c r="K224" s="114"/>
      <c r="L224" s="881"/>
      <c r="M224" s="33"/>
      <c r="N224" s="33"/>
      <c r="O224" s="33"/>
      <c r="P224" s="33"/>
      <c r="Q224" s="33"/>
      <c r="R224" s="935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</row>
    <row r="225">
      <c r="A225" s="224"/>
      <c r="B225" s="229"/>
      <c r="C225" s="225"/>
      <c r="D225" s="227"/>
      <c r="E225" s="228"/>
      <c r="F225" s="33"/>
      <c r="G225" s="33"/>
      <c r="H225" s="33"/>
      <c r="I225" s="33"/>
      <c r="J225" s="230"/>
      <c r="K225" s="114"/>
      <c r="L225" s="881"/>
      <c r="M225" s="33"/>
      <c r="N225" s="33"/>
      <c r="O225" s="33"/>
      <c r="P225" s="33"/>
      <c r="Q225" s="33"/>
      <c r="R225" s="935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>
      <c r="A226" s="224"/>
      <c r="B226" s="229"/>
      <c r="C226" s="225"/>
      <c r="D226" s="227"/>
      <c r="E226" s="228"/>
      <c r="F226" s="33"/>
      <c r="G226" s="33"/>
      <c r="H226" s="33"/>
      <c r="I226" s="33"/>
      <c r="J226" s="230"/>
      <c r="K226" s="114"/>
      <c r="L226" s="881"/>
      <c r="M226" s="33"/>
      <c r="N226" s="33"/>
      <c r="O226" s="33"/>
      <c r="P226" s="33"/>
      <c r="Q226" s="33"/>
      <c r="R226" s="935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>
      <c r="A227" s="224"/>
      <c r="B227" s="229"/>
      <c r="C227" s="225"/>
      <c r="D227" s="227"/>
      <c r="E227" s="228"/>
      <c r="F227" s="33"/>
      <c r="G227" s="33"/>
      <c r="H227" s="33"/>
      <c r="I227" s="33"/>
      <c r="J227" s="230"/>
      <c r="K227" s="114"/>
      <c r="L227" s="881"/>
      <c r="M227" s="33"/>
      <c r="N227" s="33"/>
      <c r="O227" s="33"/>
      <c r="P227" s="33"/>
      <c r="Q227" s="33"/>
      <c r="R227" s="935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>
      <c r="A228" s="224"/>
      <c r="B228" s="229"/>
      <c r="C228" s="225"/>
      <c r="D228" s="227"/>
      <c r="E228" s="228"/>
      <c r="F228" s="33"/>
      <c r="G228" s="33"/>
      <c r="H228" s="33"/>
      <c r="I228" s="33"/>
      <c r="J228" s="230"/>
      <c r="K228" s="114"/>
      <c r="L228" s="881"/>
      <c r="M228" s="33"/>
      <c r="N228" s="33"/>
      <c r="O228" s="33"/>
      <c r="P228" s="33"/>
      <c r="Q228" s="33"/>
      <c r="R228" s="935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</row>
    <row r="229">
      <c r="A229" s="224"/>
      <c r="B229" s="229"/>
      <c r="C229" s="225"/>
      <c r="D229" s="227"/>
      <c r="E229" s="228"/>
      <c r="F229" s="33"/>
      <c r="G229" s="33"/>
      <c r="H229" s="33"/>
      <c r="I229" s="33"/>
      <c r="J229" s="230"/>
      <c r="K229" s="114"/>
      <c r="L229" s="881"/>
      <c r="M229" s="33"/>
      <c r="N229" s="33"/>
      <c r="O229" s="33"/>
      <c r="P229" s="33"/>
      <c r="Q229" s="33"/>
      <c r="R229" s="935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</row>
    <row r="230">
      <c r="A230" s="224"/>
      <c r="B230" s="229"/>
      <c r="C230" s="225"/>
      <c r="D230" s="227"/>
      <c r="E230" s="228"/>
      <c r="F230" s="33"/>
      <c r="G230" s="33"/>
      <c r="H230" s="33"/>
      <c r="I230" s="33"/>
      <c r="J230" s="230"/>
      <c r="K230" s="114"/>
      <c r="L230" s="881"/>
      <c r="M230" s="33"/>
      <c r="N230" s="33"/>
      <c r="O230" s="33"/>
      <c r="P230" s="33"/>
      <c r="Q230" s="33"/>
      <c r="R230" s="935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</row>
    <row r="231">
      <c r="A231" s="224"/>
      <c r="B231" s="229"/>
      <c r="C231" s="225"/>
      <c r="D231" s="227"/>
      <c r="E231" s="228"/>
      <c r="F231" s="33"/>
      <c r="G231" s="33"/>
      <c r="H231" s="33"/>
      <c r="I231" s="33"/>
      <c r="J231" s="230"/>
      <c r="K231" s="114"/>
      <c r="L231" s="881"/>
      <c r="M231" s="33"/>
      <c r="N231" s="33"/>
      <c r="O231" s="33"/>
      <c r="P231" s="33"/>
      <c r="Q231" s="33"/>
      <c r="R231" s="935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>
      <c r="A232" s="224"/>
      <c r="B232" s="229"/>
      <c r="C232" s="225"/>
      <c r="D232" s="227"/>
      <c r="E232" s="228"/>
      <c r="F232" s="33"/>
      <c r="G232" s="33"/>
      <c r="H232" s="33"/>
      <c r="I232" s="33"/>
      <c r="J232" s="230"/>
      <c r="K232" s="114"/>
      <c r="L232" s="881"/>
      <c r="M232" s="33"/>
      <c r="N232" s="33"/>
      <c r="O232" s="33"/>
      <c r="P232" s="33"/>
      <c r="Q232" s="33"/>
      <c r="R232" s="935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</row>
    <row r="233">
      <c r="A233" s="224"/>
      <c r="B233" s="229"/>
      <c r="C233" s="225"/>
      <c r="D233" s="227"/>
      <c r="E233" s="228"/>
      <c r="F233" s="33"/>
      <c r="G233" s="33"/>
      <c r="H233" s="33"/>
      <c r="I233" s="33"/>
      <c r="J233" s="230"/>
      <c r="K233" s="114"/>
      <c r="L233" s="881"/>
      <c r="M233" s="33"/>
      <c r="N233" s="33"/>
      <c r="O233" s="33"/>
      <c r="P233" s="33"/>
      <c r="Q233" s="33"/>
      <c r="R233" s="935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>
      <c r="A234" s="224"/>
      <c r="B234" s="229"/>
      <c r="C234" s="225"/>
      <c r="D234" s="227"/>
      <c r="E234" s="228"/>
      <c r="F234" s="33"/>
      <c r="G234" s="33"/>
      <c r="H234" s="33"/>
      <c r="I234" s="33"/>
      <c r="J234" s="230"/>
      <c r="K234" s="114"/>
      <c r="L234" s="881"/>
      <c r="M234" s="33"/>
      <c r="N234" s="33"/>
      <c r="O234" s="33"/>
      <c r="P234" s="33"/>
      <c r="Q234" s="33"/>
      <c r="R234" s="935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</row>
    <row r="235">
      <c r="A235" s="224"/>
      <c r="B235" s="229"/>
      <c r="C235" s="225"/>
      <c r="D235" s="227"/>
      <c r="E235" s="228"/>
      <c r="F235" s="33"/>
      <c r="G235" s="33"/>
      <c r="H235" s="33"/>
      <c r="I235" s="33"/>
      <c r="J235" s="230"/>
      <c r="K235" s="114"/>
      <c r="L235" s="881"/>
      <c r="M235" s="33"/>
      <c r="N235" s="33"/>
      <c r="O235" s="33"/>
      <c r="P235" s="33"/>
      <c r="Q235" s="33"/>
      <c r="R235" s="935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</row>
    <row r="236">
      <c r="A236" s="224"/>
      <c r="B236" s="229"/>
      <c r="C236" s="225"/>
      <c r="D236" s="227"/>
      <c r="E236" s="228"/>
      <c r="F236" s="33"/>
      <c r="G236" s="33"/>
      <c r="H236" s="33"/>
      <c r="I236" s="33"/>
      <c r="J236" s="230"/>
      <c r="K236" s="114"/>
      <c r="L236" s="881"/>
      <c r="M236" s="33"/>
      <c r="N236" s="33"/>
      <c r="O236" s="33"/>
      <c r="P236" s="33"/>
      <c r="Q236" s="33"/>
      <c r="R236" s="935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</row>
    <row r="237">
      <c r="A237" s="224"/>
      <c r="B237" s="229"/>
      <c r="C237" s="225"/>
      <c r="D237" s="227"/>
      <c r="E237" s="228"/>
      <c r="F237" s="33"/>
      <c r="G237" s="33"/>
      <c r="H237" s="33"/>
      <c r="I237" s="33"/>
      <c r="J237" s="230"/>
      <c r="K237" s="114"/>
      <c r="L237" s="881"/>
      <c r="M237" s="33"/>
      <c r="N237" s="33"/>
      <c r="O237" s="33"/>
      <c r="P237" s="33"/>
      <c r="Q237" s="33"/>
      <c r="R237" s="935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>
      <c r="A238" s="224"/>
      <c r="B238" s="229"/>
      <c r="C238" s="225"/>
      <c r="D238" s="227"/>
      <c r="E238" s="228"/>
      <c r="F238" s="33"/>
      <c r="G238" s="33"/>
      <c r="H238" s="33"/>
      <c r="I238" s="33"/>
      <c r="J238" s="230"/>
      <c r="K238" s="114"/>
      <c r="L238" s="881"/>
      <c r="M238" s="33"/>
      <c r="N238" s="33"/>
      <c r="O238" s="33"/>
      <c r="P238" s="33"/>
      <c r="Q238" s="33"/>
      <c r="R238" s="935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</row>
    <row r="239">
      <c r="A239" s="224"/>
      <c r="B239" s="229"/>
      <c r="C239" s="225"/>
      <c r="D239" s="227"/>
      <c r="E239" s="228"/>
      <c r="F239" s="33"/>
      <c r="G239" s="33"/>
      <c r="H239" s="33"/>
      <c r="I239" s="33"/>
      <c r="J239" s="230"/>
      <c r="K239" s="114"/>
      <c r="L239" s="881"/>
      <c r="M239" s="33"/>
      <c r="N239" s="33"/>
      <c r="O239" s="33"/>
      <c r="P239" s="33"/>
      <c r="Q239" s="33"/>
      <c r="R239" s="935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>
      <c r="A240" s="224"/>
      <c r="B240" s="229"/>
      <c r="C240" s="225"/>
      <c r="D240" s="227"/>
      <c r="E240" s="228"/>
      <c r="F240" s="33"/>
      <c r="G240" s="33"/>
      <c r="H240" s="33"/>
      <c r="I240" s="33"/>
      <c r="J240" s="230"/>
      <c r="K240" s="114"/>
      <c r="L240" s="881"/>
      <c r="M240" s="33"/>
      <c r="N240" s="33"/>
      <c r="O240" s="33"/>
      <c r="P240" s="33"/>
      <c r="Q240" s="33"/>
      <c r="R240" s="935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>
      <c r="A241" s="224"/>
      <c r="B241" s="229"/>
      <c r="C241" s="225"/>
      <c r="D241" s="227"/>
      <c r="E241" s="228"/>
      <c r="F241" s="33"/>
      <c r="G241" s="33"/>
      <c r="H241" s="33"/>
      <c r="I241" s="33"/>
      <c r="J241" s="230"/>
      <c r="K241" s="114"/>
      <c r="L241" s="881"/>
      <c r="M241" s="33"/>
      <c r="N241" s="33"/>
      <c r="O241" s="33"/>
      <c r="P241" s="33"/>
      <c r="Q241" s="33"/>
      <c r="R241" s="935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>
      <c r="A242" s="224"/>
      <c r="B242" s="229"/>
      <c r="C242" s="225"/>
      <c r="D242" s="227"/>
      <c r="E242" s="228"/>
      <c r="F242" s="33"/>
      <c r="G242" s="33"/>
      <c r="H242" s="33"/>
      <c r="I242" s="33"/>
      <c r="J242" s="230"/>
      <c r="K242" s="114"/>
      <c r="L242" s="881"/>
      <c r="M242" s="33"/>
      <c r="N242" s="33"/>
      <c r="O242" s="33"/>
      <c r="P242" s="33"/>
      <c r="Q242" s="33"/>
      <c r="R242" s="935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</row>
    <row r="243">
      <c r="A243" s="224"/>
      <c r="B243" s="229"/>
      <c r="C243" s="225"/>
      <c r="D243" s="227"/>
      <c r="E243" s="228"/>
      <c r="F243" s="33"/>
      <c r="G243" s="33"/>
      <c r="H243" s="33"/>
      <c r="I243" s="33"/>
      <c r="J243" s="230"/>
      <c r="K243" s="114"/>
      <c r="L243" s="881"/>
      <c r="M243" s="33"/>
      <c r="N243" s="33"/>
      <c r="O243" s="33"/>
      <c r="P243" s="33"/>
      <c r="Q243" s="33"/>
      <c r="R243" s="935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</row>
    <row r="244">
      <c r="A244" s="224"/>
      <c r="B244" s="229"/>
      <c r="C244" s="225"/>
      <c r="D244" s="227"/>
      <c r="E244" s="228"/>
      <c r="F244" s="33"/>
      <c r="G244" s="33"/>
      <c r="H244" s="33"/>
      <c r="I244" s="33"/>
      <c r="J244" s="230"/>
      <c r="K244" s="114"/>
      <c r="L244" s="881"/>
      <c r="M244" s="33"/>
      <c r="N244" s="33"/>
      <c r="O244" s="33"/>
      <c r="P244" s="33"/>
      <c r="Q244" s="33"/>
      <c r="R244" s="935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</row>
    <row r="245">
      <c r="A245" s="224"/>
      <c r="B245" s="229"/>
      <c r="C245" s="225"/>
      <c r="D245" s="227"/>
      <c r="E245" s="228"/>
      <c r="F245" s="33"/>
      <c r="G245" s="33"/>
      <c r="H245" s="33"/>
      <c r="I245" s="33"/>
      <c r="J245" s="230"/>
      <c r="K245" s="114"/>
      <c r="L245" s="881"/>
      <c r="M245" s="33"/>
      <c r="N245" s="33"/>
      <c r="O245" s="33"/>
      <c r="P245" s="33"/>
      <c r="Q245" s="33"/>
      <c r="R245" s="935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>
      <c r="A246" s="224"/>
      <c r="B246" s="229"/>
      <c r="C246" s="225"/>
      <c r="D246" s="227"/>
      <c r="E246" s="228"/>
      <c r="F246" s="33"/>
      <c r="G246" s="33"/>
      <c r="H246" s="33"/>
      <c r="I246" s="33"/>
      <c r="J246" s="230"/>
      <c r="K246" s="114"/>
      <c r="L246" s="881"/>
      <c r="M246" s="33"/>
      <c r="N246" s="33"/>
      <c r="O246" s="33"/>
      <c r="P246" s="33"/>
      <c r="Q246" s="33"/>
      <c r="R246" s="935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</row>
    <row r="247">
      <c r="A247" s="224"/>
      <c r="B247" s="229"/>
      <c r="C247" s="225"/>
      <c r="D247" s="227"/>
      <c r="E247" s="228"/>
      <c r="F247" s="33"/>
      <c r="G247" s="33"/>
      <c r="H247" s="33"/>
      <c r="I247" s="33"/>
      <c r="J247" s="230"/>
      <c r="K247" s="114"/>
      <c r="L247" s="881"/>
      <c r="M247" s="33"/>
      <c r="N247" s="33"/>
      <c r="O247" s="33"/>
      <c r="P247" s="33"/>
      <c r="Q247" s="33"/>
      <c r="R247" s="935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>
      <c r="A248" s="224"/>
      <c r="B248" s="229"/>
      <c r="C248" s="225"/>
      <c r="D248" s="227"/>
      <c r="E248" s="228"/>
      <c r="F248" s="33"/>
      <c r="G248" s="33"/>
      <c r="H248" s="33"/>
      <c r="I248" s="33"/>
      <c r="J248" s="230"/>
      <c r="K248" s="114"/>
      <c r="L248" s="881"/>
      <c r="M248" s="33"/>
      <c r="N248" s="33"/>
      <c r="O248" s="33"/>
      <c r="P248" s="33"/>
      <c r="Q248" s="33"/>
      <c r="R248" s="935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</row>
    <row r="249">
      <c r="A249" s="224"/>
      <c r="B249" s="229"/>
      <c r="C249" s="225"/>
      <c r="D249" s="227"/>
      <c r="E249" s="228"/>
      <c r="F249" s="33"/>
      <c r="G249" s="33"/>
      <c r="H249" s="33"/>
      <c r="I249" s="33"/>
      <c r="J249" s="230"/>
      <c r="K249" s="114"/>
      <c r="L249" s="881"/>
      <c r="M249" s="33"/>
      <c r="N249" s="33"/>
      <c r="O249" s="33"/>
      <c r="P249" s="33"/>
      <c r="Q249" s="33"/>
      <c r="R249" s="935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</row>
    <row r="250">
      <c r="A250" s="224"/>
      <c r="B250" s="229"/>
      <c r="C250" s="225"/>
      <c r="D250" s="227"/>
      <c r="E250" s="228"/>
      <c r="F250" s="33"/>
      <c r="G250" s="33"/>
      <c r="H250" s="33"/>
      <c r="I250" s="33"/>
      <c r="J250" s="230"/>
      <c r="K250" s="114"/>
      <c r="L250" s="881"/>
      <c r="M250" s="33"/>
      <c r="N250" s="33"/>
      <c r="O250" s="33"/>
      <c r="P250" s="33"/>
      <c r="Q250" s="33"/>
      <c r="R250" s="935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</row>
    <row r="251">
      <c r="A251" s="224"/>
      <c r="B251" s="229"/>
      <c r="C251" s="225"/>
      <c r="D251" s="227"/>
      <c r="E251" s="228"/>
      <c r="F251" s="33"/>
      <c r="G251" s="33"/>
      <c r="H251" s="33"/>
      <c r="I251" s="33"/>
      <c r="J251" s="230"/>
      <c r="K251" s="114"/>
      <c r="L251" s="881"/>
      <c r="M251" s="33"/>
      <c r="N251" s="33"/>
      <c r="O251" s="33"/>
      <c r="P251" s="33"/>
      <c r="Q251" s="33"/>
      <c r="R251" s="935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>
      <c r="A252" s="224"/>
      <c r="B252" s="229"/>
      <c r="C252" s="225"/>
      <c r="D252" s="227"/>
      <c r="E252" s="228"/>
      <c r="F252" s="33"/>
      <c r="G252" s="33"/>
      <c r="H252" s="33"/>
      <c r="I252" s="33"/>
      <c r="J252" s="230"/>
      <c r="K252" s="114"/>
      <c r="L252" s="881"/>
      <c r="M252" s="33"/>
      <c r="N252" s="33"/>
      <c r="O252" s="33"/>
      <c r="P252" s="33"/>
      <c r="Q252" s="33"/>
      <c r="R252" s="935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</row>
    <row r="253">
      <c r="A253" s="224"/>
      <c r="B253" s="229"/>
      <c r="C253" s="225"/>
      <c r="D253" s="227"/>
      <c r="E253" s="228"/>
      <c r="F253" s="33"/>
      <c r="G253" s="33"/>
      <c r="H253" s="33"/>
      <c r="I253" s="33"/>
      <c r="J253" s="230"/>
      <c r="K253" s="114"/>
      <c r="L253" s="881"/>
      <c r="M253" s="33"/>
      <c r="N253" s="33"/>
      <c r="O253" s="33"/>
      <c r="P253" s="33"/>
      <c r="Q253" s="33"/>
      <c r="R253" s="935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>
      <c r="A254" s="224"/>
      <c r="B254" s="229"/>
      <c r="C254" s="225"/>
      <c r="D254" s="227"/>
      <c r="E254" s="228"/>
      <c r="F254" s="33"/>
      <c r="G254" s="33"/>
      <c r="H254" s="33"/>
      <c r="I254" s="33"/>
      <c r="J254" s="230"/>
      <c r="K254" s="114"/>
      <c r="L254" s="881"/>
      <c r="M254" s="33"/>
      <c r="N254" s="33"/>
      <c r="O254" s="33"/>
      <c r="P254" s="33"/>
      <c r="Q254" s="33"/>
      <c r="R254" s="935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</row>
    <row r="255">
      <c r="A255" s="224"/>
      <c r="B255" s="229"/>
      <c r="C255" s="225"/>
      <c r="D255" s="227"/>
      <c r="E255" s="228"/>
      <c r="F255" s="33"/>
      <c r="G255" s="33"/>
      <c r="H255" s="33"/>
      <c r="I255" s="33"/>
      <c r="J255" s="230"/>
      <c r="K255" s="114"/>
      <c r="L255" s="881"/>
      <c r="M255" s="33"/>
      <c r="N255" s="33"/>
      <c r="O255" s="33"/>
      <c r="P255" s="33"/>
      <c r="Q255" s="33"/>
      <c r="R255" s="935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>
      <c r="A256" s="224"/>
      <c r="B256" s="229"/>
      <c r="C256" s="225"/>
      <c r="D256" s="227"/>
      <c r="E256" s="228"/>
      <c r="F256" s="33"/>
      <c r="G256" s="33"/>
      <c r="H256" s="33"/>
      <c r="I256" s="33"/>
      <c r="J256" s="230"/>
      <c r="K256" s="114"/>
      <c r="L256" s="881"/>
      <c r="M256" s="33"/>
      <c r="N256" s="33"/>
      <c r="O256" s="33"/>
      <c r="P256" s="33"/>
      <c r="Q256" s="33"/>
      <c r="R256" s="935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</row>
    <row r="257">
      <c r="A257" s="224"/>
      <c r="B257" s="229"/>
      <c r="C257" s="225"/>
      <c r="D257" s="227"/>
      <c r="E257" s="228"/>
      <c r="F257" s="33"/>
      <c r="G257" s="33"/>
      <c r="H257" s="33"/>
      <c r="I257" s="33"/>
      <c r="J257" s="230"/>
      <c r="K257" s="114"/>
      <c r="L257" s="881"/>
      <c r="M257" s="33"/>
      <c r="N257" s="33"/>
      <c r="O257" s="33"/>
      <c r="P257" s="33"/>
      <c r="Q257" s="33"/>
      <c r="R257" s="935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</row>
    <row r="258">
      <c r="A258" s="224"/>
      <c r="B258" s="229"/>
      <c r="C258" s="225"/>
      <c r="D258" s="227"/>
      <c r="E258" s="228"/>
      <c r="F258" s="33"/>
      <c r="G258" s="33"/>
      <c r="H258" s="33"/>
      <c r="I258" s="33"/>
      <c r="J258" s="230"/>
      <c r="K258" s="114"/>
      <c r="L258" s="881"/>
      <c r="M258" s="33"/>
      <c r="N258" s="33"/>
      <c r="O258" s="33"/>
      <c r="P258" s="33"/>
      <c r="Q258" s="33"/>
      <c r="R258" s="935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</row>
    <row r="259">
      <c r="A259" s="224"/>
      <c r="B259" s="229"/>
      <c r="C259" s="225"/>
      <c r="D259" s="227"/>
      <c r="E259" s="228"/>
      <c r="F259" s="33"/>
      <c r="G259" s="33"/>
      <c r="H259" s="33"/>
      <c r="I259" s="33"/>
      <c r="J259" s="230"/>
      <c r="K259" s="114"/>
      <c r="L259" s="881"/>
      <c r="M259" s="33"/>
      <c r="N259" s="33"/>
      <c r="O259" s="33"/>
      <c r="P259" s="33"/>
      <c r="Q259" s="33"/>
      <c r="R259" s="935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>
      <c r="A260" s="224"/>
      <c r="B260" s="229"/>
      <c r="C260" s="225"/>
      <c r="D260" s="227"/>
      <c r="E260" s="228"/>
      <c r="F260" s="33"/>
      <c r="G260" s="33"/>
      <c r="H260" s="33"/>
      <c r="I260" s="33"/>
      <c r="J260" s="230"/>
      <c r="K260" s="114"/>
      <c r="L260" s="881"/>
      <c r="M260" s="33"/>
      <c r="N260" s="33"/>
      <c r="O260" s="33"/>
      <c r="P260" s="33"/>
      <c r="Q260" s="33"/>
      <c r="R260" s="935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</row>
    <row r="261">
      <c r="A261" s="224"/>
      <c r="B261" s="229"/>
      <c r="C261" s="225"/>
      <c r="D261" s="227"/>
      <c r="E261" s="228"/>
      <c r="F261" s="33"/>
      <c r="G261" s="33"/>
      <c r="H261" s="33"/>
      <c r="I261" s="33"/>
      <c r="J261" s="230"/>
      <c r="K261" s="114"/>
      <c r="L261" s="881"/>
      <c r="M261" s="33"/>
      <c r="N261" s="33"/>
      <c r="O261" s="33"/>
      <c r="P261" s="33"/>
      <c r="Q261" s="33"/>
      <c r="R261" s="935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>
      <c r="A262" s="224"/>
      <c r="B262" s="229"/>
      <c r="C262" s="225"/>
      <c r="D262" s="227"/>
      <c r="E262" s="228"/>
      <c r="F262" s="33"/>
      <c r="G262" s="33"/>
      <c r="H262" s="33"/>
      <c r="I262" s="33"/>
      <c r="J262" s="230"/>
      <c r="K262" s="114"/>
      <c r="L262" s="881"/>
      <c r="M262" s="33"/>
      <c r="N262" s="33"/>
      <c r="O262" s="33"/>
      <c r="P262" s="33"/>
      <c r="Q262" s="33"/>
      <c r="R262" s="935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</row>
    <row r="263">
      <c r="A263" s="224"/>
      <c r="B263" s="229"/>
      <c r="C263" s="225"/>
      <c r="D263" s="227"/>
      <c r="E263" s="228"/>
      <c r="F263" s="33"/>
      <c r="G263" s="33"/>
      <c r="H263" s="33"/>
      <c r="I263" s="33"/>
      <c r="J263" s="230"/>
      <c r="K263" s="114"/>
      <c r="L263" s="881"/>
      <c r="M263" s="33"/>
      <c r="N263" s="33"/>
      <c r="O263" s="33"/>
      <c r="P263" s="33"/>
      <c r="Q263" s="33"/>
      <c r="R263" s="935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>
      <c r="A264" s="224"/>
      <c r="B264" s="229"/>
      <c r="C264" s="225"/>
      <c r="D264" s="227"/>
      <c r="E264" s="228"/>
      <c r="F264" s="33"/>
      <c r="G264" s="33"/>
      <c r="H264" s="33"/>
      <c r="I264" s="33"/>
      <c r="J264" s="230"/>
      <c r="K264" s="114"/>
      <c r="L264" s="881"/>
      <c r="M264" s="33"/>
      <c r="N264" s="33"/>
      <c r="O264" s="33"/>
      <c r="P264" s="33"/>
      <c r="Q264" s="33"/>
      <c r="R264" s="935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</row>
    <row r="265">
      <c r="A265" s="224"/>
      <c r="B265" s="229"/>
      <c r="C265" s="225"/>
      <c r="D265" s="227"/>
      <c r="E265" s="228"/>
      <c r="F265" s="33"/>
      <c r="G265" s="33"/>
      <c r="H265" s="33"/>
      <c r="I265" s="33"/>
      <c r="J265" s="230"/>
      <c r="K265" s="114"/>
      <c r="L265" s="881"/>
      <c r="M265" s="33"/>
      <c r="N265" s="33"/>
      <c r="O265" s="33"/>
      <c r="P265" s="33"/>
      <c r="Q265" s="33"/>
      <c r="R265" s="935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</row>
    <row r="266">
      <c r="A266" s="224"/>
      <c r="B266" s="229"/>
      <c r="C266" s="225"/>
      <c r="D266" s="227"/>
      <c r="E266" s="228"/>
      <c r="F266" s="33"/>
      <c r="G266" s="33"/>
      <c r="H266" s="33"/>
      <c r="I266" s="33"/>
      <c r="J266" s="230"/>
      <c r="K266" s="114"/>
      <c r="L266" s="881"/>
      <c r="M266" s="33"/>
      <c r="N266" s="33"/>
      <c r="O266" s="33"/>
      <c r="P266" s="33"/>
      <c r="Q266" s="33"/>
      <c r="R266" s="935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</row>
    <row r="267">
      <c r="A267" s="224"/>
      <c r="B267" s="229"/>
      <c r="C267" s="225"/>
      <c r="D267" s="227"/>
      <c r="E267" s="228"/>
      <c r="F267" s="33"/>
      <c r="G267" s="33"/>
      <c r="H267" s="33"/>
      <c r="I267" s="33"/>
      <c r="J267" s="230"/>
      <c r="K267" s="114"/>
      <c r="L267" s="881"/>
      <c r="M267" s="33"/>
      <c r="N267" s="33"/>
      <c r="O267" s="33"/>
      <c r="P267" s="33"/>
      <c r="Q267" s="33"/>
      <c r="R267" s="935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>
      <c r="A268" s="224"/>
      <c r="B268" s="229"/>
      <c r="C268" s="225"/>
      <c r="D268" s="227"/>
      <c r="E268" s="228"/>
      <c r="F268" s="33"/>
      <c r="G268" s="33"/>
      <c r="H268" s="33"/>
      <c r="I268" s="33"/>
      <c r="J268" s="230"/>
      <c r="K268" s="114"/>
      <c r="L268" s="881"/>
      <c r="M268" s="33"/>
      <c r="N268" s="33"/>
      <c r="O268" s="33"/>
      <c r="P268" s="33"/>
      <c r="Q268" s="33"/>
      <c r="R268" s="935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</row>
    <row r="269">
      <c r="A269" s="224"/>
      <c r="B269" s="229"/>
      <c r="C269" s="225"/>
      <c r="D269" s="227"/>
      <c r="E269" s="228"/>
      <c r="F269" s="33"/>
      <c r="G269" s="33"/>
      <c r="H269" s="33"/>
      <c r="I269" s="33"/>
      <c r="J269" s="230"/>
      <c r="K269" s="114"/>
      <c r="L269" s="881"/>
      <c r="M269" s="33"/>
      <c r="N269" s="33"/>
      <c r="O269" s="33"/>
      <c r="P269" s="33"/>
      <c r="Q269" s="33"/>
      <c r="R269" s="935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>
      <c r="A270" s="224"/>
      <c r="B270" s="229"/>
      <c r="C270" s="225"/>
      <c r="D270" s="227"/>
      <c r="E270" s="228"/>
      <c r="F270" s="33"/>
      <c r="G270" s="33"/>
      <c r="H270" s="33"/>
      <c r="I270" s="33"/>
      <c r="J270" s="230"/>
      <c r="K270" s="114"/>
      <c r="L270" s="881"/>
      <c r="M270" s="33"/>
      <c r="N270" s="33"/>
      <c r="O270" s="33"/>
      <c r="P270" s="33"/>
      <c r="Q270" s="33"/>
      <c r="R270" s="935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</row>
    <row r="271">
      <c r="A271" s="224"/>
      <c r="B271" s="229"/>
      <c r="C271" s="225"/>
      <c r="D271" s="227"/>
      <c r="E271" s="228"/>
      <c r="F271" s="33"/>
      <c r="G271" s="33"/>
      <c r="H271" s="33"/>
      <c r="I271" s="33"/>
      <c r="J271" s="230"/>
      <c r="K271" s="114"/>
      <c r="L271" s="881"/>
      <c r="M271" s="33"/>
      <c r="N271" s="33"/>
      <c r="O271" s="33"/>
      <c r="P271" s="33"/>
      <c r="Q271" s="33"/>
      <c r="R271" s="935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</row>
    <row r="272">
      <c r="A272" s="224"/>
      <c r="B272" s="229"/>
      <c r="C272" s="225"/>
      <c r="D272" s="227"/>
      <c r="E272" s="228"/>
      <c r="F272" s="33"/>
      <c r="G272" s="33"/>
      <c r="H272" s="33"/>
      <c r="I272" s="33"/>
      <c r="J272" s="230"/>
      <c r="K272" s="114"/>
      <c r="L272" s="881"/>
      <c r="M272" s="33"/>
      <c r="N272" s="33"/>
      <c r="O272" s="33"/>
      <c r="P272" s="33"/>
      <c r="Q272" s="33"/>
      <c r="R272" s="935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</row>
    <row r="273">
      <c r="A273" s="224"/>
      <c r="B273" s="229"/>
      <c r="C273" s="225"/>
      <c r="D273" s="227"/>
      <c r="E273" s="228"/>
      <c r="F273" s="33"/>
      <c r="G273" s="33"/>
      <c r="H273" s="33"/>
      <c r="I273" s="33"/>
      <c r="J273" s="230"/>
      <c r="K273" s="114"/>
      <c r="L273" s="881"/>
      <c r="M273" s="33"/>
      <c r="N273" s="33"/>
      <c r="O273" s="33"/>
      <c r="P273" s="33"/>
      <c r="Q273" s="33"/>
      <c r="R273" s="935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>
      <c r="A274" s="224"/>
      <c r="B274" s="229"/>
      <c r="C274" s="225"/>
      <c r="D274" s="227"/>
      <c r="E274" s="228"/>
      <c r="F274" s="33"/>
      <c r="G274" s="33"/>
      <c r="H274" s="33"/>
      <c r="I274" s="33"/>
      <c r="J274" s="230"/>
      <c r="K274" s="114"/>
      <c r="L274" s="881"/>
      <c r="M274" s="33"/>
      <c r="N274" s="33"/>
      <c r="O274" s="33"/>
      <c r="P274" s="33"/>
      <c r="Q274" s="33"/>
      <c r="R274" s="935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</row>
    <row r="275">
      <c r="A275" s="224"/>
      <c r="B275" s="229"/>
      <c r="C275" s="225"/>
      <c r="D275" s="227"/>
      <c r="E275" s="228"/>
      <c r="F275" s="33"/>
      <c r="G275" s="33"/>
      <c r="H275" s="33"/>
      <c r="I275" s="33"/>
      <c r="J275" s="230"/>
      <c r="K275" s="114"/>
      <c r="L275" s="881"/>
      <c r="M275" s="33"/>
      <c r="N275" s="33"/>
      <c r="O275" s="33"/>
      <c r="P275" s="33"/>
      <c r="Q275" s="33"/>
      <c r="R275" s="935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>
      <c r="A276" s="224"/>
      <c r="B276" s="229"/>
      <c r="C276" s="225"/>
      <c r="D276" s="227"/>
      <c r="E276" s="228"/>
      <c r="F276" s="33"/>
      <c r="G276" s="33"/>
      <c r="H276" s="33"/>
      <c r="I276" s="33"/>
      <c r="J276" s="230"/>
      <c r="K276" s="114"/>
      <c r="L276" s="881"/>
      <c r="M276" s="33"/>
      <c r="N276" s="33"/>
      <c r="O276" s="33"/>
      <c r="P276" s="33"/>
      <c r="Q276" s="33"/>
      <c r="R276" s="935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</row>
    <row r="277">
      <c r="A277" s="224"/>
      <c r="B277" s="229"/>
      <c r="C277" s="225"/>
      <c r="D277" s="227"/>
      <c r="E277" s="228"/>
      <c r="F277" s="33"/>
      <c r="G277" s="33"/>
      <c r="H277" s="33"/>
      <c r="I277" s="33"/>
      <c r="J277" s="230"/>
      <c r="K277" s="114"/>
      <c r="L277" s="881"/>
      <c r="M277" s="33"/>
      <c r="N277" s="33"/>
      <c r="O277" s="33"/>
      <c r="P277" s="33"/>
      <c r="Q277" s="33"/>
      <c r="R277" s="935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>
      <c r="A278" s="224"/>
      <c r="B278" s="229"/>
      <c r="C278" s="225"/>
      <c r="D278" s="227"/>
      <c r="E278" s="228"/>
      <c r="F278" s="33"/>
      <c r="G278" s="33"/>
      <c r="H278" s="33"/>
      <c r="I278" s="33"/>
      <c r="J278" s="230"/>
      <c r="K278" s="114"/>
      <c r="L278" s="881"/>
      <c r="M278" s="33"/>
      <c r="N278" s="33"/>
      <c r="O278" s="33"/>
      <c r="P278" s="33"/>
      <c r="Q278" s="33"/>
      <c r="R278" s="935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</row>
    <row r="279">
      <c r="A279" s="224"/>
      <c r="B279" s="229"/>
      <c r="C279" s="225"/>
      <c r="D279" s="227"/>
      <c r="E279" s="228"/>
      <c r="F279" s="33"/>
      <c r="G279" s="33"/>
      <c r="H279" s="33"/>
      <c r="I279" s="33"/>
      <c r="J279" s="230"/>
      <c r="K279" s="114"/>
      <c r="L279" s="881"/>
      <c r="M279" s="33"/>
      <c r="N279" s="33"/>
      <c r="O279" s="33"/>
      <c r="P279" s="33"/>
      <c r="Q279" s="33"/>
      <c r="R279" s="935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</row>
    <row r="280">
      <c r="A280" s="224"/>
      <c r="B280" s="229"/>
      <c r="C280" s="225"/>
      <c r="D280" s="227"/>
      <c r="E280" s="228"/>
      <c r="F280" s="33"/>
      <c r="G280" s="33"/>
      <c r="H280" s="33"/>
      <c r="I280" s="33"/>
      <c r="J280" s="230"/>
      <c r="K280" s="114"/>
      <c r="L280" s="881"/>
      <c r="M280" s="33"/>
      <c r="N280" s="33"/>
      <c r="O280" s="33"/>
      <c r="P280" s="33"/>
      <c r="Q280" s="33"/>
      <c r="R280" s="935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</row>
    <row r="281">
      <c r="A281" s="224"/>
      <c r="B281" s="229"/>
      <c r="C281" s="225"/>
      <c r="D281" s="227"/>
      <c r="E281" s="228"/>
      <c r="F281" s="33"/>
      <c r="G281" s="33"/>
      <c r="H281" s="33"/>
      <c r="I281" s="33"/>
      <c r="J281" s="230"/>
      <c r="K281" s="114"/>
      <c r="L281" s="881"/>
      <c r="M281" s="33"/>
      <c r="N281" s="33"/>
      <c r="O281" s="33"/>
      <c r="P281" s="33"/>
      <c r="Q281" s="33"/>
      <c r="R281" s="935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>
      <c r="A282" s="224"/>
      <c r="B282" s="229"/>
      <c r="C282" s="225"/>
      <c r="D282" s="227"/>
      <c r="E282" s="228"/>
      <c r="F282" s="33"/>
      <c r="G282" s="33"/>
      <c r="H282" s="33"/>
      <c r="I282" s="33"/>
      <c r="J282" s="230"/>
      <c r="K282" s="114"/>
      <c r="L282" s="881"/>
      <c r="M282" s="33"/>
      <c r="N282" s="33"/>
      <c r="O282" s="33"/>
      <c r="P282" s="33"/>
      <c r="Q282" s="33"/>
      <c r="R282" s="935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</row>
    <row r="283">
      <c r="A283" s="224"/>
      <c r="B283" s="229"/>
      <c r="C283" s="225"/>
      <c r="D283" s="227"/>
      <c r="E283" s="228"/>
      <c r="F283" s="33"/>
      <c r="G283" s="33"/>
      <c r="H283" s="33"/>
      <c r="I283" s="33"/>
      <c r="J283" s="230"/>
      <c r="K283" s="114"/>
      <c r="L283" s="881"/>
      <c r="M283" s="33"/>
      <c r="N283" s="33"/>
      <c r="O283" s="33"/>
      <c r="P283" s="33"/>
      <c r="Q283" s="33"/>
      <c r="R283" s="935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>
      <c r="A284" s="224"/>
      <c r="B284" s="229"/>
      <c r="C284" s="225"/>
      <c r="D284" s="227"/>
      <c r="E284" s="228"/>
      <c r="F284" s="33"/>
      <c r="G284" s="33"/>
      <c r="H284" s="33"/>
      <c r="I284" s="33"/>
      <c r="J284" s="230"/>
      <c r="K284" s="114"/>
      <c r="L284" s="881"/>
      <c r="M284" s="33"/>
      <c r="N284" s="33"/>
      <c r="O284" s="33"/>
      <c r="P284" s="33"/>
      <c r="Q284" s="33"/>
      <c r="R284" s="935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</row>
    <row r="285">
      <c r="A285" s="224"/>
      <c r="B285" s="229"/>
      <c r="C285" s="225"/>
      <c r="D285" s="227"/>
      <c r="E285" s="228"/>
      <c r="F285" s="33"/>
      <c r="G285" s="33"/>
      <c r="H285" s="33"/>
      <c r="I285" s="33"/>
      <c r="J285" s="230"/>
      <c r="K285" s="114"/>
      <c r="L285" s="881"/>
      <c r="M285" s="33"/>
      <c r="N285" s="33"/>
      <c r="O285" s="33"/>
      <c r="P285" s="33"/>
      <c r="Q285" s="33"/>
      <c r="R285" s="935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>
      <c r="A286" s="224"/>
      <c r="B286" s="229"/>
      <c r="C286" s="225"/>
      <c r="D286" s="227"/>
      <c r="E286" s="228"/>
      <c r="F286" s="33"/>
      <c r="G286" s="33"/>
      <c r="H286" s="33"/>
      <c r="I286" s="33"/>
      <c r="J286" s="230"/>
      <c r="K286" s="114"/>
      <c r="L286" s="881"/>
      <c r="M286" s="33"/>
      <c r="N286" s="33"/>
      <c r="O286" s="33"/>
      <c r="P286" s="33"/>
      <c r="Q286" s="33"/>
      <c r="R286" s="935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</row>
    <row r="287">
      <c r="A287" s="224"/>
      <c r="B287" s="229"/>
      <c r="C287" s="225"/>
      <c r="D287" s="227"/>
      <c r="E287" s="228"/>
      <c r="F287" s="33"/>
      <c r="G287" s="33"/>
      <c r="H287" s="33"/>
      <c r="I287" s="33"/>
      <c r="J287" s="230"/>
      <c r="K287" s="114"/>
      <c r="L287" s="881"/>
      <c r="M287" s="33"/>
      <c r="N287" s="33"/>
      <c r="O287" s="33"/>
      <c r="P287" s="33"/>
      <c r="Q287" s="33"/>
      <c r="R287" s="935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</row>
    <row r="288">
      <c r="A288" s="224"/>
      <c r="B288" s="229"/>
      <c r="C288" s="225"/>
      <c r="D288" s="227"/>
      <c r="E288" s="228"/>
      <c r="F288" s="33"/>
      <c r="G288" s="33"/>
      <c r="H288" s="33"/>
      <c r="I288" s="33"/>
      <c r="J288" s="230"/>
      <c r="K288" s="114"/>
      <c r="L288" s="881"/>
      <c r="M288" s="33"/>
      <c r="N288" s="33"/>
      <c r="O288" s="33"/>
      <c r="P288" s="33"/>
      <c r="Q288" s="33"/>
      <c r="R288" s="935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</row>
    <row r="289">
      <c r="A289" s="224"/>
      <c r="B289" s="229"/>
      <c r="C289" s="225"/>
      <c r="D289" s="227"/>
      <c r="E289" s="228"/>
      <c r="F289" s="33"/>
      <c r="G289" s="33"/>
      <c r="H289" s="33"/>
      <c r="I289" s="33"/>
      <c r="J289" s="230"/>
      <c r="K289" s="114"/>
      <c r="L289" s="881"/>
      <c r="M289" s="33"/>
      <c r="N289" s="33"/>
      <c r="O289" s="33"/>
      <c r="P289" s="33"/>
      <c r="Q289" s="33"/>
      <c r="R289" s="935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>
      <c r="A290" s="224"/>
      <c r="B290" s="229"/>
      <c r="C290" s="225"/>
      <c r="D290" s="227"/>
      <c r="E290" s="228"/>
      <c r="F290" s="33"/>
      <c r="G290" s="33"/>
      <c r="H290" s="33"/>
      <c r="I290" s="33"/>
      <c r="J290" s="230"/>
      <c r="K290" s="114"/>
      <c r="L290" s="881"/>
      <c r="M290" s="33"/>
      <c r="N290" s="33"/>
      <c r="O290" s="33"/>
      <c r="P290" s="33"/>
      <c r="Q290" s="33"/>
      <c r="R290" s="935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</row>
    <row r="291">
      <c r="A291" s="224"/>
      <c r="B291" s="229"/>
      <c r="C291" s="225"/>
      <c r="D291" s="227"/>
      <c r="E291" s="228"/>
      <c r="F291" s="33"/>
      <c r="G291" s="33"/>
      <c r="H291" s="33"/>
      <c r="I291" s="33"/>
      <c r="J291" s="230"/>
      <c r="K291" s="114"/>
      <c r="L291" s="881"/>
      <c r="M291" s="33"/>
      <c r="N291" s="33"/>
      <c r="O291" s="33"/>
      <c r="P291" s="33"/>
      <c r="Q291" s="33"/>
      <c r="R291" s="935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>
      <c r="A292" s="224"/>
      <c r="B292" s="229"/>
      <c r="C292" s="225"/>
      <c r="D292" s="227"/>
      <c r="E292" s="228"/>
      <c r="F292" s="33"/>
      <c r="G292" s="33"/>
      <c r="H292" s="33"/>
      <c r="I292" s="33"/>
      <c r="J292" s="230"/>
      <c r="K292" s="114"/>
      <c r="L292" s="881"/>
      <c r="M292" s="33"/>
      <c r="N292" s="33"/>
      <c r="O292" s="33"/>
      <c r="P292" s="33"/>
      <c r="Q292" s="33"/>
      <c r="R292" s="935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</row>
    <row r="293">
      <c r="A293" s="224"/>
      <c r="B293" s="229"/>
      <c r="C293" s="225"/>
      <c r="D293" s="227"/>
      <c r="E293" s="228"/>
      <c r="F293" s="33"/>
      <c r="G293" s="33"/>
      <c r="H293" s="33"/>
      <c r="I293" s="33"/>
      <c r="J293" s="230"/>
      <c r="K293" s="114"/>
      <c r="L293" s="881"/>
      <c r="M293" s="33"/>
      <c r="N293" s="33"/>
      <c r="O293" s="33"/>
      <c r="P293" s="33"/>
      <c r="Q293" s="33"/>
      <c r="R293" s="935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</row>
    <row r="294">
      <c r="A294" s="224"/>
      <c r="B294" s="229"/>
      <c r="C294" s="225"/>
      <c r="D294" s="227"/>
      <c r="E294" s="228"/>
      <c r="F294" s="33"/>
      <c r="G294" s="33"/>
      <c r="H294" s="33"/>
      <c r="I294" s="33"/>
      <c r="J294" s="230"/>
      <c r="K294" s="114"/>
      <c r="L294" s="881"/>
      <c r="M294" s="33"/>
      <c r="N294" s="33"/>
      <c r="O294" s="33"/>
      <c r="P294" s="33"/>
      <c r="Q294" s="33"/>
      <c r="R294" s="935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</row>
    <row r="295">
      <c r="A295" s="224"/>
      <c r="B295" s="229"/>
      <c r="C295" s="225"/>
      <c r="D295" s="227"/>
      <c r="E295" s="228"/>
      <c r="F295" s="33"/>
      <c r="G295" s="33"/>
      <c r="H295" s="33"/>
      <c r="I295" s="33"/>
      <c r="J295" s="230"/>
      <c r="K295" s="114"/>
      <c r="L295" s="881"/>
      <c r="M295" s="33"/>
      <c r="N295" s="33"/>
      <c r="O295" s="33"/>
      <c r="P295" s="33"/>
      <c r="Q295" s="33"/>
      <c r="R295" s="935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>
      <c r="A296" s="224"/>
      <c r="B296" s="229"/>
      <c r="C296" s="225"/>
      <c r="D296" s="227"/>
      <c r="E296" s="228"/>
      <c r="F296" s="33"/>
      <c r="G296" s="33"/>
      <c r="H296" s="33"/>
      <c r="I296" s="33"/>
      <c r="J296" s="230"/>
      <c r="K296" s="114"/>
      <c r="L296" s="881"/>
      <c r="M296" s="33"/>
      <c r="N296" s="33"/>
      <c r="O296" s="33"/>
      <c r="P296" s="33"/>
      <c r="Q296" s="33"/>
      <c r="R296" s="935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>
      <c r="A297" s="224"/>
      <c r="B297" s="229"/>
      <c r="C297" s="225"/>
      <c r="D297" s="227"/>
      <c r="E297" s="228"/>
      <c r="F297" s="33"/>
      <c r="G297" s="33"/>
      <c r="H297" s="33"/>
      <c r="I297" s="33"/>
      <c r="J297" s="230"/>
      <c r="K297" s="114"/>
      <c r="L297" s="881"/>
      <c r="M297" s="33"/>
      <c r="N297" s="33"/>
      <c r="O297" s="33"/>
      <c r="P297" s="33"/>
      <c r="Q297" s="33"/>
      <c r="R297" s="935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>
      <c r="A298" s="224"/>
      <c r="B298" s="229"/>
      <c r="C298" s="225"/>
      <c r="D298" s="227"/>
      <c r="E298" s="228"/>
      <c r="F298" s="33"/>
      <c r="G298" s="33"/>
      <c r="H298" s="33"/>
      <c r="I298" s="33"/>
      <c r="J298" s="230"/>
      <c r="K298" s="114"/>
      <c r="L298" s="881"/>
      <c r="M298" s="33"/>
      <c r="N298" s="33"/>
      <c r="O298" s="33"/>
      <c r="P298" s="33"/>
      <c r="Q298" s="33"/>
      <c r="R298" s="935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</row>
    <row r="299">
      <c r="A299" s="224"/>
      <c r="B299" s="229"/>
      <c r="C299" s="225"/>
      <c r="D299" s="227"/>
      <c r="E299" s="228"/>
      <c r="F299" s="33"/>
      <c r="G299" s="33"/>
      <c r="H299" s="33"/>
      <c r="I299" s="33"/>
      <c r="J299" s="230"/>
      <c r="K299" s="114"/>
      <c r="L299" s="881"/>
      <c r="M299" s="33"/>
      <c r="N299" s="33"/>
      <c r="O299" s="33"/>
      <c r="P299" s="33"/>
      <c r="Q299" s="33"/>
      <c r="R299" s="935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>
      <c r="A300" s="224"/>
      <c r="B300" s="229"/>
      <c r="C300" s="225"/>
      <c r="D300" s="227"/>
      <c r="E300" s="228"/>
      <c r="F300" s="33"/>
      <c r="G300" s="33"/>
      <c r="H300" s="33"/>
      <c r="I300" s="33"/>
      <c r="J300" s="230"/>
      <c r="K300" s="114"/>
      <c r="L300" s="881"/>
      <c r="M300" s="33"/>
      <c r="N300" s="33"/>
      <c r="O300" s="33"/>
      <c r="P300" s="33"/>
      <c r="Q300" s="33"/>
      <c r="R300" s="935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</row>
    <row r="301">
      <c r="A301" s="224"/>
      <c r="B301" s="229"/>
      <c r="C301" s="225"/>
      <c r="D301" s="227"/>
      <c r="E301" s="228"/>
      <c r="F301" s="33"/>
      <c r="G301" s="33"/>
      <c r="H301" s="33"/>
      <c r="I301" s="33"/>
      <c r="J301" s="230"/>
      <c r="K301" s="114"/>
      <c r="L301" s="881"/>
      <c r="M301" s="33"/>
      <c r="N301" s="33"/>
      <c r="O301" s="33"/>
      <c r="P301" s="33"/>
      <c r="Q301" s="33"/>
      <c r="R301" s="935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>
      <c r="A302" s="224"/>
      <c r="B302" s="229"/>
      <c r="C302" s="225"/>
      <c r="D302" s="227"/>
      <c r="E302" s="228"/>
      <c r="F302" s="33"/>
      <c r="G302" s="33"/>
      <c r="H302" s="33"/>
      <c r="I302" s="33"/>
      <c r="J302" s="230"/>
      <c r="K302" s="114"/>
      <c r="L302" s="881"/>
      <c r="M302" s="33"/>
      <c r="N302" s="33"/>
      <c r="O302" s="33"/>
      <c r="P302" s="33"/>
      <c r="Q302" s="33"/>
      <c r="R302" s="935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</row>
    <row r="303">
      <c r="A303" s="224"/>
      <c r="B303" s="229"/>
      <c r="C303" s="225"/>
      <c r="D303" s="227"/>
      <c r="E303" s="228"/>
      <c r="F303" s="33"/>
      <c r="G303" s="33"/>
      <c r="H303" s="33"/>
      <c r="I303" s="33"/>
      <c r="J303" s="230"/>
      <c r="K303" s="114"/>
      <c r="L303" s="881"/>
      <c r="M303" s="33"/>
      <c r="N303" s="33"/>
      <c r="O303" s="33"/>
      <c r="P303" s="33"/>
      <c r="Q303" s="33"/>
      <c r="R303" s="935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>
      <c r="A304" s="224"/>
      <c r="B304" s="229"/>
      <c r="C304" s="225"/>
      <c r="D304" s="227"/>
      <c r="E304" s="228"/>
      <c r="F304" s="33"/>
      <c r="G304" s="33"/>
      <c r="H304" s="33"/>
      <c r="I304" s="33"/>
      <c r="J304" s="230"/>
      <c r="K304" s="114"/>
      <c r="L304" s="881"/>
      <c r="M304" s="33"/>
      <c r="N304" s="33"/>
      <c r="O304" s="33"/>
      <c r="P304" s="33"/>
      <c r="Q304" s="33"/>
      <c r="R304" s="935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</row>
    <row r="305">
      <c r="A305" s="224"/>
      <c r="B305" s="229"/>
      <c r="C305" s="225"/>
      <c r="D305" s="227"/>
      <c r="E305" s="228"/>
      <c r="F305" s="33"/>
      <c r="G305" s="33"/>
      <c r="H305" s="33"/>
      <c r="I305" s="33"/>
      <c r="J305" s="230"/>
      <c r="K305" s="114"/>
      <c r="L305" s="881"/>
      <c r="M305" s="33"/>
      <c r="N305" s="33"/>
      <c r="O305" s="33"/>
      <c r="P305" s="33"/>
      <c r="Q305" s="33"/>
      <c r="R305" s="935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>
      <c r="A306" s="224"/>
      <c r="B306" s="229"/>
      <c r="C306" s="225"/>
      <c r="D306" s="227"/>
      <c r="E306" s="228"/>
      <c r="F306" s="33"/>
      <c r="G306" s="33"/>
      <c r="H306" s="33"/>
      <c r="I306" s="33"/>
      <c r="J306" s="230"/>
      <c r="K306" s="114"/>
      <c r="L306" s="881"/>
      <c r="M306" s="33"/>
      <c r="N306" s="33"/>
      <c r="O306" s="33"/>
      <c r="P306" s="33"/>
      <c r="Q306" s="33"/>
      <c r="R306" s="935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</row>
    <row r="307">
      <c r="A307" s="224"/>
      <c r="B307" s="229"/>
      <c r="C307" s="225"/>
      <c r="D307" s="227"/>
      <c r="E307" s="228"/>
      <c r="F307" s="33"/>
      <c r="G307" s="33"/>
      <c r="H307" s="33"/>
      <c r="I307" s="33"/>
      <c r="J307" s="230"/>
      <c r="K307" s="114"/>
      <c r="L307" s="881"/>
      <c r="M307" s="33"/>
      <c r="N307" s="33"/>
      <c r="O307" s="33"/>
      <c r="P307" s="33"/>
      <c r="Q307" s="33"/>
      <c r="R307" s="935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>
      <c r="A308" s="224"/>
      <c r="B308" s="229"/>
      <c r="C308" s="225"/>
      <c r="D308" s="227"/>
      <c r="E308" s="228"/>
      <c r="F308" s="33"/>
      <c r="G308" s="33"/>
      <c r="H308" s="33"/>
      <c r="I308" s="33"/>
      <c r="J308" s="230"/>
      <c r="K308" s="114"/>
      <c r="L308" s="881"/>
      <c r="M308" s="33"/>
      <c r="N308" s="33"/>
      <c r="O308" s="33"/>
      <c r="P308" s="33"/>
      <c r="Q308" s="33"/>
      <c r="R308" s="935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</row>
    <row r="309">
      <c r="A309" s="224"/>
      <c r="B309" s="229"/>
      <c r="C309" s="225"/>
      <c r="D309" s="227"/>
      <c r="E309" s="228"/>
      <c r="F309" s="33"/>
      <c r="G309" s="33"/>
      <c r="H309" s="33"/>
      <c r="I309" s="33"/>
      <c r="J309" s="230"/>
      <c r="K309" s="114"/>
      <c r="L309" s="881"/>
      <c r="M309" s="33"/>
      <c r="N309" s="33"/>
      <c r="O309" s="33"/>
      <c r="P309" s="33"/>
      <c r="Q309" s="33"/>
      <c r="R309" s="935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>
      <c r="A310" s="224"/>
      <c r="B310" s="229"/>
      <c r="C310" s="225"/>
      <c r="D310" s="227"/>
      <c r="E310" s="228"/>
      <c r="F310" s="33"/>
      <c r="G310" s="33"/>
      <c r="H310" s="33"/>
      <c r="I310" s="33"/>
      <c r="J310" s="230"/>
      <c r="K310" s="114"/>
      <c r="L310" s="881"/>
      <c r="M310" s="33"/>
      <c r="N310" s="33"/>
      <c r="O310" s="33"/>
      <c r="P310" s="33"/>
      <c r="Q310" s="33"/>
      <c r="R310" s="935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</row>
    <row r="311">
      <c r="A311" s="224"/>
      <c r="B311" s="229"/>
      <c r="C311" s="225"/>
      <c r="D311" s="227"/>
      <c r="E311" s="228"/>
      <c r="F311" s="33"/>
      <c r="G311" s="33"/>
      <c r="H311" s="33"/>
      <c r="I311" s="33"/>
      <c r="J311" s="230"/>
      <c r="K311" s="114"/>
      <c r="L311" s="881"/>
      <c r="M311" s="33"/>
      <c r="N311" s="33"/>
      <c r="O311" s="33"/>
      <c r="P311" s="33"/>
      <c r="Q311" s="33"/>
      <c r="R311" s="935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>
      <c r="A312" s="224"/>
      <c r="B312" s="229"/>
      <c r="C312" s="225"/>
      <c r="D312" s="227"/>
      <c r="E312" s="228"/>
      <c r="F312" s="33"/>
      <c r="G312" s="33"/>
      <c r="H312" s="33"/>
      <c r="I312" s="33"/>
      <c r="J312" s="230"/>
      <c r="K312" s="114"/>
      <c r="L312" s="881"/>
      <c r="M312" s="33"/>
      <c r="N312" s="33"/>
      <c r="O312" s="33"/>
      <c r="P312" s="33"/>
      <c r="Q312" s="33"/>
      <c r="R312" s="935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</row>
    <row r="313">
      <c r="A313" s="224"/>
      <c r="B313" s="229"/>
      <c r="C313" s="225"/>
      <c r="D313" s="227"/>
      <c r="E313" s="228"/>
      <c r="F313" s="33"/>
      <c r="G313" s="33"/>
      <c r="H313" s="33"/>
      <c r="I313" s="33"/>
      <c r="J313" s="230"/>
      <c r="K313" s="114"/>
      <c r="L313" s="881"/>
      <c r="M313" s="33"/>
      <c r="N313" s="33"/>
      <c r="O313" s="33"/>
      <c r="P313" s="33"/>
      <c r="Q313" s="33"/>
      <c r="R313" s="935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>
      <c r="A314" s="224"/>
      <c r="B314" s="229"/>
      <c r="C314" s="225"/>
      <c r="D314" s="227"/>
      <c r="E314" s="228"/>
      <c r="F314" s="33"/>
      <c r="G314" s="33"/>
      <c r="H314" s="33"/>
      <c r="I314" s="33"/>
      <c r="J314" s="230"/>
      <c r="K314" s="114"/>
      <c r="L314" s="881"/>
      <c r="M314" s="33"/>
      <c r="N314" s="33"/>
      <c r="O314" s="33"/>
      <c r="P314" s="33"/>
      <c r="Q314" s="33"/>
      <c r="R314" s="935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</row>
    <row r="315">
      <c r="A315" s="224"/>
      <c r="B315" s="229"/>
      <c r="C315" s="225"/>
      <c r="D315" s="227"/>
      <c r="E315" s="228"/>
      <c r="F315" s="33"/>
      <c r="G315" s="33"/>
      <c r="H315" s="33"/>
      <c r="I315" s="33"/>
      <c r="J315" s="230"/>
      <c r="K315" s="114"/>
      <c r="L315" s="881"/>
      <c r="M315" s="33"/>
      <c r="N315" s="33"/>
      <c r="O315" s="33"/>
      <c r="P315" s="33"/>
      <c r="Q315" s="33"/>
      <c r="R315" s="935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>
      <c r="A316" s="224"/>
      <c r="B316" s="229"/>
      <c r="C316" s="225"/>
      <c r="D316" s="227"/>
      <c r="E316" s="228"/>
      <c r="F316" s="33"/>
      <c r="G316" s="33"/>
      <c r="H316" s="33"/>
      <c r="I316" s="33"/>
      <c r="J316" s="230"/>
      <c r="K316" s="114"/>
      <c r="L316" s="881"/>
      <c r="M316" s="33"/>
      <c r="N316" s="33"/>
      <c r="O316" s="33"/>
      <c r="P316" s="33"/>
      <c r="Q316" s="33"/>
      <c r="R316" s="935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</row>
    <row r="317">
      <c r="A317" s="224"/>
      <c r="B317" s="229"/>
      <c r="C317" s="225"/>
      <c r="D317" s="227"/>
      <c r="E317" s="228"/>
      <c r="F317" s="33"/>
      <c r="G317" s="33"/>
      <c r="H317" s="33"/>
      <c r="I317" s="33"/>
      <c r="J317" s="230"/>
      <c r="K317" s="114"/>
      <c r="L317" s="881"/>
      <c r="M317" s="33"/>
      <c r="N317" s="33"/>
      <c r="O317" s="33"/>
      <c r="P317" s="33"/>
      <c r="Q317" s="33"/>
      <c r="R317" s="935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>
      <c r="A318" s="224"/>
      <c r="B318" s="229"/>
      <c r="C318" s="225"/>
      <c r="D318" s="227"/>
      <c r="E318" s="228"/>
      <c r="F318" s="33"/>
      <c r="G318" s="33"/>
      <c r="H318" s="33"/>
      <c r="I318" s="33"/>
      <c r="J318" s="230"/>
      <c r="K318" s="114"/>
      <c r="L318" s="881"/>
      <c r="M318" s="33"/>
      <c r="N318" s="33"/>
      <c r="O318" s="33"/>
      <c r="P318" s="33"/>
      <c r="Q318" s="33"/>
      <c r="R318" s="935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</row>
    <row r="319">
      <c r="A319" s="224"/>
      <c r="B319" s="229"/>
      <c r="C319" s="225"/>
      <c r="D319" s="227"/>
      <c r="E319" s="228"/>
      <c r="F319" s="33"/>
      <c r="G319" s="33"/>
      <c r="H319" s="33"/>
      <c r="I319" s="33"/>
      <c r="J319" s="230"/>
      <c r="K319" s="114"/>
      <c r="L319" s="881"/>
      <c r="M319" s="33"/>
      <c r="N319" s="33"/>
      <c r="O319" s="33"/>
      <c r="P319" s="33"/>
      <c r="Q319" s="33"/>
      <c r="R319" s="935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>
      <c r="A320" s="224"/>
      <c r="B320" s="229"/>
      <c r="C320" s="225"/>
      <c r="D320" s="227"/>
      <c r="E320" s="228"/>
      <c r="F320" s="33"/>
      <c r="G320" s="33"/>
      <c r="H320" s="33"/>
      <c r="I320" s="33"/>
      <c r="J320" s="230"/>
      <c r="K320" s="114"/>
      <c r="L320" s="881"/>
      <c r="M320" s="33"/>
      <c r="N320" s="33"/>
      <c r="O320" s="33"/>
      <c r="P320" s="33"/>
      <c r="Q320" s="33"/>
      <c r="R320" s="935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</row>
    <row r="321">
      <c r="A321" s="224"/>
      <c r="B321" s="229"/>
      <c r="C321" s="225"/>
      <c r="D321" s="227"/>
      <c r="E321" s="228"/>
      <c r="F321" s="33"/>
      <c r="G321" s="33"/>
      <c r="H321" s="33"/>
      <c r="I321" s="33"/>
      <c r="J321" s="230"/>
      <c r="K321" s="114"/>
      <c r="L321" s="881"/>
      <c r="M321" s="33"/>
      <c r="N321" s="33"/>
      <c r="O321" s="33"/>
      <c r="P321" s="33"/>
      <c r="Q321" s="33"/>
      <c r="R321" s="935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>
      <c r="A322" s="224"/>
      <c r="B322" s="229"/>
      <c r="C322" s="225"/>
      <c r="D322" s="227"/>
      <c r="E322" s="228"/>
      <c r="F322" s="33"/>
      <c r="G322" s="33"/>
      <c r="H322" s="33"/>
      <c r="I322" s="33"/>
      <c r="J322" s="230"/>
      <c r="K322" s="114"/>
      <c r="L322" s="881"/>
      <c r="M322" s="33"/>
      <c r="N322" s="33"/>
      <c r="O322" s="33"/>
      <c r="P322" s="33"/>
      <c r="Q322" s="33"/>
      <c r="R322" s="935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</row>
    <row r="323">
      <c r="A323" s="224"/>
      <c r="B323" s="229"/>
      <c r="C323" s="225"/>
      <c r="D323" s="227"/>
      <c r="E323" s="228"/>
      <c r="F323" s="33"/>
      <c r="G323" s="33"/>
      <c r="H323" s="33"/>
      <c r="I323" s="33"/>
      <c r="J323" s="230"/>
      <c r="K323" s="114"/>
      <c r="L323" s="881"/>
      <c r="M323" s="33"/>
      <c r="N323" s="33"/>
      <c r="O323" s="33"/>
      <c r="P323" s="33"/>
      <c r="Q323" s="33"/>
      <c r="R323" s="935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</row>
    <row r="324">
      <c r="A324" s="224"/>
      <c r="B324" s="229"/>
      <c r="C324" s="225"/>
      <c r="D324" s="227"/>
      <c r="E324" s="228"/>
      <c r="F324" s="33"/>
      <c r="G324" s="33"/>
      <c r="H324" s="33"/>
      <c r="I324" s="33"/>
      <c r="J324" s="230"/>
      <c r="K324" s="114"/>
      <c r="L324" s="881"/>
      <c r="M324" s="33"/>
      <c r="N324" s="33"/>
      <c r="O324" s="33"/>
      <c r="P324" s="33"/>
      <c r="Q324" s="33"/>
      <c r="R324" s="935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</row>
    <row r="325">
      <c r="A325" s="224"/>
      <c r="B325" s="229"/>
      <c r="C325" s="225"/>
      <c r="D325" s="227"/>
      <c r="E325" s="228"/>
      <c r="F325" s="33"/>
      <c r="G325" s="33"/>
      <c r="H325" s="33"/>
      <c r="I325" s="33"/>
      <c r="J325" s="230"/>
      <c r="K325" s="114"/>
      <c r="L325" s="881"/>
      <c r="M325" s="33"/>
      <c r="N325" s="33"/>
      <c r="O325" s="33"/>
      <c r="P325" s="33"/>
      <c r="Q325" s="33"/>
      <c r="R325" s="935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>
      <c r="A326" s="224"/>
      <c r="B326" s="229"/>
      <c r="C326" s="225"/>
      <c r="D326" s="227"/>
      <c r="E326" s="228"/>
      <c r="F326" s="33"/>
      <c r="G326" s="33"/>
      <c r="H326" s="33"/>
      <c r="I326" s="33"/>
      <c r="J326" s="230"/>
      <c r="K326" s="114"/>
      <c r="L326" s="881"/>
      <c r="M326" s="33"/>
      <c r="N326" s="33"/>
      <c r="O326" s="33"/>
      <c r="P326" s="33"/>
      <c r="Q326" s="33"/>
      <c r="R326" s="935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</row>
    <row r="327">
      <c r="A327" s="224"/>
      <c r="B327" s="229"/>
      <c r="C327" s="225"/>
      <c r="D327" s="227"/>
      <c r="E327" s="228"/>
      <c r="F327" s="33"/>
      <c r="G327" s="33"/>
      <c r="H327" s="33"/>
      <c r="I327" s="33"/>
      <c r="J327" s="230"/>
      <c r="K327" s="114"/>
      <c r="L327" s="881"/>
      <c r="M327" s="33"/>
      <c r="N327" s="33"/>
      <c r="O327" s="33"/>
      <c r="P327" s="33"/>
      <c r="Q327" s="33"/>
      <c r="R327" s="935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>
      <c r="A328" s="224"/>
      <c r="B328" s="229"/>
      <c r="C328" s="225"/>
      <c r="D328" s="227"/>
      <c r="E328" s="228"/>
      <c r="F328" s="33"/>
      <c r="G328" s="33"/>
      <c r="H328" s="33"/>
      <c r="I328" s="33"/>
      <c r="J328" s="230"/>
      <c r="K328" s="114"/>
      <c r="L328" s="881"/>
      <c r="M328" s="33"/>
      <c r="N328" s="33"/>
      <c r="O328" s="33"/>
      <c r="P328" s="33"/>
      <c r="Q328" s="33"/>
      <c r="R328" s="935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</row>
    <row r="329">
      <c r="A329" s="224"/>
      <c r="B329" s="229"/>
      <c r="C329" s="225"/>
      <c r="D329" s="227"/>
      <c r="E329" s="228"/>
      <c r="F329" s="33"/>
      <c r="G329" s="33"/>
      <c r="H329" s="33"/>
      <c r="I329" s="33"/>
      <c r="J329" s="230"/>
      <c r="K329" s="114"/>
      <c r="L329" s="881"/>
      <c r="M329" s="33"/>
      <c r="N329" s="33"/>
      <c r="O329" s="33"/>
      <c r="P329" s="33"/>
      <c r="Q329" s="33"/>
      <c r="R329" s="935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>
      <c r="A330" s="224"/>
      <c r="B330" s="229"/>
      <c r="C330" s="225"/>
      <c r="D330" s="227"/>
      <c r="E330" s="228"/>
      <c r="F330" s="33"/>
      <c r="G330" s="33"/>
      <c r="H330" s="33"/>
      <c r="I330" s="33"/>
      <c r="J330" s="230"/>
      <c r="K330" s="114"/>
      <c r="L330" s="881"/>
      <c r="M330" s="33"/>
      <c r="N330" s="33"/>
      <c r="O330" s="33"/>
      <c r="P330" s="33"/>
      <c r="Q330" s="33"/>
      <c r="R330" s="935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</row>
    <row r="331">
      <c r="A331" s="224"/>
      <c r="B331" s="229"/>
      <c r="C331" s="225"/>
      <c r="D331" s="227"/>
      <c r="E331" s="228"/>
      <c r="F331" s="33"/>
      <c r="G331" s="33"/>
      <c r="H331" s="33"/>
      <c r="I331" s="33"/>
      <c r="J331" s="230"/>
      <c r="K331" s="114"/>
      <c r="L331" s="881"/>
      <c r="M331" s="33"/>
      <c r="N331" s="33"/>
      <c r="O331" s="33"/>
      <c r="P331" s="33"/>
      <c r="Q331" s="33"/>
      <c r="R331" s="935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>
      <c r="A332" s="224"/>
      <c r="B332" s="229"/>
      <c r="C332" s="225"/>
      <c r="D332" s="227"/>
      <c r="E332" s="228"/>
      <c r="F332" s="33"/>
      <c r="G332" s="33"/>
      <c r="H332" s="33"/>
      <c r="I332" s="33"/>
      <c r="J332" s="230"/>
      <c r="K332" s="114"/>
      <c r="L332" s="881"/>
      <c r="M332" s="33"/>
      <c r="N332" s="33"/>
      <c r="O332" s="33"/>
      <c r="P332" s="33"/>
      <c r="Q332" s="33"/>
      <c r="R332" s="935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</row>
    <row r="333">
      <c r="A333" s="224"/>
      <c r="B333" s="229"/>
      <c r="C333" s="225"/>
      <c r="D333" s="227"/>
      <c r="E333" s="228"/>
      <c r="F333" s="33"/>
      <c r="G333" s="33"/>
      <c r="H333" s="33"/>
      <c r="I333" s="33"/>
      <c r="J333" s="230"/>
      <c r="K333" s="114"/>
      <c r="L333" s="881"/>
      <c r="M333" s="33"/>
      <c r="N333" s="33"/>
      <c r="O333" s="33"/>
      <c r="P333" s="33"/>
      <c r="Q333" s="33"/>
      <c r="R333" s="935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>
      <c r="A334" s="224"/>
      <c r="B334" s="229"/>
      <c r="C334" s="225"/>
      <c r="D334" s="227"/>
      <c r="E334" s="228"/>
      <c r="F334" s="33"/>
      <c r="G334" s="33"/>
      <c r="H334" s="33"/>
      <c r="I334" s="33"/>
      <c r="J334" s="230"/>
      <c r="K334" s="114"/>
      <c r="L334" s="881"/>
      <c r="M334" s="33"/>
      <c r="N334" s="33"/>
      <c r="O334" s="33"/>
      <c r="P334" s="33"/>
      <c r="Q334" s="33"/>
      <c r="R334" s="935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</row>
    <row r="335">
      <c r="A335" s="224"/>
      <c r="B335" s="229"/>
      <c r="C335" s="225"/>
      <c r="D335" s="227"/>
      <c r="E335" s="228"/>
      <c r="F335" s="33"/>
      <c r="G335" s="33"/>
      <c r="H335" s="33"/>
      <c r="I335" s="33"/>
      <c r="J335" s="230"/>
      <c r="K335" s="114"/>
      <c r="L335" s="881"/>
      <c r="M335" s="33"/>
      <c r="N335" s="33"/>
      <c r="O335" s="33"/>
      <c r="P335" s="33"/>
      <c r="Q335" s="33"/>
      <c r="R335" s="935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>
      <c r="A336" s="224"/>
      <c r="B336" s="229"/>
      <c r="C336" s="225"/>
      <c r="D336" s="227"/>
      <c r="E336" s="228"/>
      <c r="F336" s="33"/>
      <c r="G336" s="33"/>
      <c r="H336" s="33"/>
      <c r="I336" s="33"/>
      <c r="J336" s="230"/>
      <c r="K336" s="114"/>
      <c r="L336" s="881"/>
      <c r="M336" s="33"/>
      <c r="N336" s="33"/>
      <c r="O336" s="33"/>
      <c r="P336" s="33"/>
      <c r="Q336" s="33"/>
      <c r="R336" s="935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</row>
    <row r="337">
      <c r="A337" s="224"/>
      <c r="B337" s="229"/>
      <c r="C337" s="225"/>
      <c r="D337" s="227"/>
      <c r="E337" s="228"/>
      <c r="F337" s="33"/>
      <c r="G337" s="33"/>
      <c r="H337" s="33"/>
      <c r="I337" s="33"/>
      <c r="J337" s="230"/>
      <c r="K337" s="114"/>
      <c r="L337" s="881"/>
      <c r="M337" s="33"/>
      <c r="N337" s="33"/>
      <c r="O337" s="33"/>
      <c r="P337" s="33"/>
      <c r="Q337" s="33"/>
      <c r="R337" s="935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</row>
    <row r="338">
      <c r="A338" s="224"/>
      <c r="B338" s="229"/>
      <c r="C338" s="225"/>
      <c r="D338" s="227"/>
      <c r="E338" s="228"/>
      <c r="F338" s="33"/>
      <c r="G338" s="33"/>
      <c r="H338" s="33"/>
      <c r="I338" s="33"/>
      <c r="J338" s="230"/>
      <c r="K338" s="114"/>
      <c r="L338" s="881"/>
      <c r="M338" s="33"/>
      <c r="N338" s="33"/>
      <c r="O338" s="33"/>
      <c r="P338" s="33"/>
      <c r="Q338" s="33"/>
      <c r="R338" s="935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</row>
    <row r="339">
      <c r="A339" s="224"/>
      <c r="B339" s="229"/>
      <c r="C339" s="225"/>
      <c r="D339" s="227"/>
      <c r="E339" s="228"/>
      <c r="F339" s="33"/>
      <c r="G339" s="33"/>
      <c r="H339" s="33"/>
      <c r="I339" s="33"/>
      <c r="J339" s="230"/>
      <c r="K339" s="114"/>
      <c r="L339" s="881"/>
      <c r="M339" s="33"/>
      <c r="N339" s="33"/>
      <c r="O339" s="33"/>
      <c r="P339" s="33"/>
      <c r="Q339" s="33"/>
      <c r="R339" s="935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>
      <c r="A340" s="224"/>
      <c r="B340" s="229"/>
      <c r="C340" s="225"/>
      <c r="D340" s="227"/>
      <c r="E340" s="228"/>
      <c r="F340" s="33"/>
      <c r="G340" s="33"/>
      <c r="H340" s="33"/>
      <c r="I340" s="33"/>
      <c r="J340" s="230"/>
      <c r="K340" s="114"/>
      <c r="L340" s="881"/>
      <c r="M340" s="33"/>
      <c r="N340" s="33"/>
      <c r="O340" s="33"/>
      <c r="P340" s="33"/>
      <c r="Q340" s="33"/>
      <c r="R340" s="935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</row>
    <row r="341">
      <c r="A341" s="224"/>
      <c r="B341" s="229"/>
      <c r="C341" s="225"/>
      <c r="D341" s="227"/>
      <c r="E341" s="228"/>
      <c r="F341" s="33"/>
      <c r="G341" s="33"/>
      <c r="H341" s="33"/>
      <c r="I341" s="33"/>
      <c r="J341" s="230"/>
      <c r="K341" s="114"/>
      <c r="L341" s="881"/>
      <c r="M341" s="33"/>
      <c r="N341" s="33"/>
      <c r="O341" s="33"/>
      <c r="P341" s="33"/>
      <c r="Q341" s="33"/>
      <c r="R341" s="935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>
      <c r="A342" s="224"/>
      <c r="B342" s="229"/>
      <c r="C342" s="225"/>
      <c r="D342" s="227"/>
      <c r="E342" s="228"/>
      <c r="F342" s="33"/>
      <c r="G342" s="33"/>
      <c r="H342" s="33"/>
      <c r="I342" s="33"/>
      <c r="J342" s="230"/>
      <c r="K342" s="114"/>
      <c r="L342" s="881"/>
      <c r="M342" s="33"/>
      <c r="N342" s="33"/>
      <c r="O342" s="33"/>
      <c r="P342" s="33"/>
      <c r="Q342" s="33"/>
      <c r="R342" s="935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</row>
    <row r="343">
      <c r="A343" s="224"/>
      <c r="B343" s="229"/>
      <c r="C343" s="225"/>
      <c r="D343" s="227"/>
      <c r="E343" s="228"/>
      <c r="F343" s="33"/>
      <c r="G343" s="33"/>
      <c r="H343" s="33"/>
      <c r="I343" s="33"/>
      <c r="J343" s="230"/>
      <c r="K343" s="114"/>
      <c r="L343" s="881"/>
      <c r="M343" s="33"/>
      <c r="N343" s="33"/>
      <c r="O343" s="33"/>
      <c r="P343" s="33"/>
      <c r="Q343" s="33"/>
      <c r="R343" s="935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>
      <c r="A344" s="224"/>
      <c r="B344" s="229"/>
      <c r="C344" s="225"/>
      <c r="D344" s="227"/>
      <c r="E344" s="228"/>
      <c r="F344" s="33"/>
      <c r="G344" s="33"/>
      <c r="H344" s="33"/>
      <c r="I344" s="33"/>
      <c r="J344" s="230"/>
      <c r="K344" s="114"/>
      <c r="L344" s="881"/>
      <c r="M344" s="33"/>
      <c r="N344" s="33"/>
      <c r="O344" s="33"/>
      <c r="P344" s="33"/>
      <c r="Q344" s="33"/>
      <c r="R344" s="935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</row>
    <row r="345">
      <c r="A345" s="224"/>
      <c r="B345" s="229"/>
      <c r="C345" s="225"/>
      <c r="D345" s="227"/>
      <c r="E345" s="228"/>
      <c r="F345" s="33"/>
      <c r="G345" s="33"/>
      <c r="H345" s="33"/>
      <c r="I345" s="33"/>
      <c r="J345" s="230"/>
      <c r="K345" s="114"/>
      <c r="L345" s="881"/>
      <c r="M345" s="33"/>
      <c r="N345" s="33"/>
      <c r="O345" s="33"/>
      <c r="P345" s="33"/>
      <c r="Q345" s="33"/>
      <c r="R345" s="935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>
      <c r="A346" s="224"/>
      <c r="B346" s="229"/>
      <c r="C346" s="225"/>
      <c r="D346" s="227"/>
      <c r="E346" s="228"/>
      <c r="F346" s="33"/>
      <c r="G346" s="33"/>
      <c r="H346" s="33"/>
      <c r="I346" s="33"/>
      <c r="J346" s="230"/>
      <c r="K346" s="114"/>
      <c r="L346" s="881"/>
      <c r="M346" s="33"/>
      <c r="N346" s="33"/>
      <c r="O346" s="33"/>
      <c r="P346" s="33"/>
      <c r="Q346" s="33"/>
      <c r="R346" s="935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>
      <c r="A347" s="224"/>
      <c r="B347" s="229"/>
      <c r="C347" s="225"/>
      <c r="D347" s="227"/>
      <c r="E347" s="228"/>
      <c r="F347" s="33"/>
      <c r="G347" s="33"/>
      <c r="H347" s="33"/>
      <c r="I347" s="33"/>
      <c r="J347" s="230"/>
      <c r="K347" s="114"/>
      <c r="L347" s="881"/>
      <c r="M347" s="33"/>
      <c r="N347" s="33"/>
      <c r="O347" s="33"/>
      <c r="P347" s="33"/>
      <c r="Q347" s="33"/>
      <c r="R347" s="935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>
      <c r="A348" s="224"/>
      <c r="B348" s="229"/>
      <c r="C348" s="225"/>
      <c r="D348" s="227"/>
      <c r="E348" s="228"/>
      <c r="F348" s="33"/>
      <c r="G348" s="33"/>
      <c r="H348" s="33"/>
      <c r="I348" s="33"/>
      <c r="J348" s="230"/>
      <c r="K348" s="114"/>
      <c r="L348" s="881"/>
      <c r="M348" s="33"/>
      <c r="N348" s="33"/>
      <c r="O348" s="33"/>
      <c r="P348" s="33"/>
      <c r="Q348" s="33"/>
      <c r="R348" s="935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>
      <c r="A349" s="224"/>
      <c r="B349" s="229"/>
      <c r="C349" s="225"/>
      <c r="D349" s="227"/>
      <c r="E349" s="228"/>
      <c r="F349" s="33"/>
      <c r="G349" s="33"/>
      <c r="H349" s="33"/>
      <c r="I349" s="33"/>
      <c r="J349" s="230"/>
      <c r="K349" s="114"/>
      <c r="L349" s="881"/>
      <c r="M349" s="33"/>
      <c r="N349" s="33"/>
      <c r="O349" s="33"/>
      <c r="P349" s="33"/>
      <c r="Q349" s="33"/>
      <c r="R349" s="935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>
      <c r="A350" s="224"/>
      <c r="B350" s="229"/>
      <c r="C350" s="225"/>
      <c r="D350" s="227"/>
      <c r="E350" s="228"/>
      <c r="F350" s="33"/>
      <c r="G350" s="33"/>
      <c r="H350" s="33"/>
      <c r="I350" s="33"/>
      <c r="J350" s="230"/>
      <c r="K350" s="114"/>
      <c r="L350" s="881"/>
      <c r="M350" s="33"/>
      <c r="N350" s="33"/>
      <c r="O350" s="33"/>
      <c r="P350" s="33"/>
      <c r="Q350" s="33"/>
      <c r="R350" s="935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>
      <c r="A351" s="224"/>
      <c r="B351" s="229"/>
      <c r="C351" s="225"/>
      <c r="D351" s="227"/>
      <c r="E351" s="228"/>
      <c r="F351" s="33"/>
      <c r="G351" s="33"/>
      <c r="H351" s="33"/>
      <c r="I351" s="33"/>
      <c r="J351" s="230"/>
      <c r="K351" s="114"/>
      <c r="L351" s="881"/>
      <c r="M351" s="33"/>
      <c r="N351" s="33"/>
      <c r="O351" s="33"/>
      <c r="P351" s="33"/>
      <c r="Q351" s="33"/>
      <c r="R351" s="935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>
      <c r="A352" s="224"/>
      <c r="B352" s="229"/>
      <c r="C352" s="225"/>
      <c r="D352" s="227"/>
      <c r="E352" s="228"/>
      <c r="F352" s="33"/>
      <c r="G352" s="33"/>
      <c r="H352" s="33"/>
      <c r="I352" s="33"/>
      <c r="J352" s="230"/>
      <c r="K352" s="114"/>
      <c r="L352" s="881"/>
      <c r="M352" s="33"/>
      <c r="N352" s="33"/>
      <c r="O352" s="33"/>
      <c r="P352" s="33"/>
      <c r="Q352" s="33"/>
      <c r="R352" s="935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>
      <c r="A353" s="224"/>
      <c r="B353" s="229"/>
      <c r="C353" s="225"/>
      <c r="D353" s="227"/>
      <c r="E353" s="228"/>
      <c r="F353" s="33"/>
      <c r="G353" s="33"/>
      <c r="H353" s="33"/>
      <c r="I353" s="33"/>
      <c r="J353" s="230"/>
      <c r="K353" s="114"/>
      <c r="L353" s="881"/>
      <c r="M353" s="33"/>
      <c r="N353" s="33"/>
      <c r="O353" s="33"/>
      <c r="P353" s="33"/>
      <c r="Q353" s="33"/>
      <c r="R353" s="935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>
      <c r="A354" s="224"/>
      <c r="B354" s="229"/>
      <c r="C354" s="225"/>
      <c r="D354" s="227"/>
      <c r="E354" s="228"/>
      <c r="F354" s="33"/>
      <c r="G354" s="33"/>
      <c r="H354" s="33"/>
      <c r="I354" s="33"/>
      <c r="J354" s="230"/>
      <c r="K354" s="114"/>
      <c r="L354" s="881"/>
      <c r="M354" s="33"/>
      <c r="N354" s="33"/>
      <c r="O354" s="33"/>
      <c r="P354" s="33"/>
      <c r="Q354" s="33"/>
      <c r="R354" s="935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>
      <c r="A355" s="224"/>
      <c r="B355" s="229"/>
      <c r="C355" s="225"/>
      <c r="D355" s="227"/>
      <c r="E355" s="228"/>
      <c r="F355" s="33"/>
      <c r="G355" s="33"/>
      <c r="H355" s="33"/>
      <c r="I355" s="33"/>
      <c r="J355" s="230"/>
      <c r="K355" s="114"/>
      <c r="L355" s="881"/>
      <c r="M355" s="33"/>
      <c r="N355" s="33"/>
      <c r="O355" s="33"/>
      <c r="P355" s="33"/>
      <c r="Q355" s="33"/>
      <c r="R355" s="935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>
      <c r="A356" s="224"/>
      <c r="B356" s="229"/>
      <c r="C356" s="225"/>
      <c r="D356" s="227"/>
      <c r="E356" s="228"/>
      <c r="F356" s="33"/>
      <c r="G356" s="33"/>
      <c r="H356" s="33"/>
      <c r="I356" s="33"/>
      <c r="J356" s="230"/>
      <c r="K356" s="114"/>
      <c r="L356" s="881"/>
      <c r="M356" s="33"/>
      <c r="N356" s="33"/>
      <c r="O356" s="33"/>
      <c r="P356" s="33"/>
      <c r="Q356" s="33"/>
      <c r="R356" s="935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>
      <c r="A357" s="224"/>
      <c r="B357" s="229"/>
      <c r="C357" s="225"/>
      <c r="D357" s="227"/>
      <c r="E357" s="228"/>
      <c r="F357" s="33"/>
      <c r="G357" s="33"/>
      <c r="H357" s="33"/>
      <c r="I357" s="33"/>
      <c r="J357" s="230"/>
      <c r="K357" s="114"/>
      <c r="L357" s="881"/>
      <c r="M357" s="33"/>
      <c r="N357" s="33"/>
      <c r="O357" s="33"/>
      <c r="P357" s="33"/>
      <c r="Q357" s="33"/>
      <c r="R357" s="935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>
      <c r="A358" s="224"/>
      <c r="B358" s="229"/>
      <c r="C358" s="225"/>
      <c r="D358" s="227"/>
      <c r="E358" s="228"/>
      <c r="F358" s="33"/>
      <c r="G358" s="33"/>
      <c r="H358" s="33"/>
      <c r="I358" s="33"/>
      <c r="J358" s="230"/>
      <c r="K358" s="114"/>
      <c r="L358" s="881"/>
      <c r="M358" s="33"/>
      <c r="N358" s="33"/>
      <c r="O358" s="33"/>
      <c r="P358" s="33"/>
      <c r="Q358" s="33"/>
      <c r="R358" s="935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>
      <c r="A359" s="224"/>
      <c r="B359" s="229"/>
      <c r="C359" s="225"/>
      <c r="D359" s="227"/>
      <c r="E359" s="228"/>
      <c r="F359" s="33"/>
      <c r="G359" s="33"/>
      <c r="H359" s="33"/>
      <c r="I359" s="33"/>
      <c r="J359" s="230"/>
      <c r="K359" s="114"/>
      <c r="L359" s="881"/>
      <c r="M359" s="33"/>
      <c r="N359" s="33"/>
      <c r="O359" s="33"/>
      <c r="P359" s="33"/>
      <c r="Q359" s="33"/>
      <c r="R359" s="935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>
      <c r="A360" s="224"/>
      <c r="B360" s="229"/>
      <c r="C360" s="225"/>
      <c r="D360" s="227"/>
      <c r="E360" s="228"/>
      <c r="F360" s="33"/>
      <c r="G360" s="33"/>
      <c r="H360" s="33"/>
      <c r="I360" s="33"/>
      <c r="J360" s="230"/>
      <c r="K360" s="114"/>
      <c r="L360" s="881"/>
      <c r="M360" s="33"/>
      <c r="N360" s="33"/>
      <c r="O360" s="33"/>
      <c r="P360" s="33"/>
      <c r="Q360" s="33"/>
      <c r="R360" s="935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>
      <c r="A361" s="224"/>
      <c r="B361" s="229"/>
      <c r="C361" s="225"/>
      <c r="D361" s="227"/>
      <c r="E361" s="228"/>
      <c r="F361" s="33"/>
      <c r="G361" s="33"/>
      <c r="H361" s="33"/>
      <c r="I361" s="33"/>
      <c r="J361" s="230"/>
      <c r="K361" s="114"/>
      <c r="L361" s="881"/>
      <c r="M361" s="33"/>
      <c r="N361" s="33"/>
      <c r="O361" s="33"/>
      <c r="P361" s="33"/>
      <c r="Q361" s="33"/>
      <c r="R361" s="935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>
      <c r="A362" s="224"/>
      <c r="B362" s="229"/>
      <c r="C362" s="225"/>
      <c r="D362" s="227"/>
      <c r="E362" s="228"/>
      <c r="F362" s="33"/>
      <c r="G362" s="33"/>
      <c r="H362" s="33"/>
      <c r="I362" s="33"/>
      <c r="J362" s="230"/>
      <c r="K362" s="114"/>
      <c r="L362" s="881"/>
      <c r="M362" s="33"/>
      <c r="N362" s="33"/>
      <c r="O362" s="33"/>
      <c r="P362" s="33"/>
      <c r="Q362" s="33"/>
      <c r="R362" s="935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>
      <c r="A363" s="224"/>
      <c r="B363" s="229"/>
      <c r="C363" s="225"/>
      <c r="D363" s="227"/>
      <c r="E363" s="228"/>
      <c r="F363" s="33"/>
      <c r="G363" s="33"/>
      <c r="H363" s="33"/>
      <c r="I363" s="33"/>
      <c r="J363" s="230"/>
      <c r="K363" s="114"/>
      <c r="L363" s="881"/>
      <c r="M363" s="33"/>
      <c r="N363" s="33"/>
      <c r="O363" s="33"/>
      <c r="P363" s="33"/>
      <c r="Q363" s="33"/>
      <c r="R363" s="935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>
      <c r="A364" s="224"/>
      <c r="B364" s="229"/>
      <c r="C364" s="225"/>
      <c r="D364" s="227"/>
      <c r="E364" s="228"/>
      <c r="F364" s="33"/>
      <c r="G364" s="33"/>
      <c r="H364" s="33"/>
      <c r="I364" s="33"/>
      <c r="J364" s="230"/>
      <c r="K364" s="114"/>
      <c r="L364" s="881"/>
      <c r="M364" s="33"/>
      <c r="N364" s="33"/>
      <c r="O364" s="33"/>
      <c r="P364" s="33"/>
      <c r="Q364" s="33"/>
      <c r="R364" s="935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>
      <c r="A365" s="224"/>
      <c r="B365" s="229"/>
      <c r="C365" s="225"/>
      <c r="D365" s="227"/>
      <c r="E365" s="228"/>
      <c r="F365" s="33"/>
      <c r="G365" s="33"/>
      <c r="H365" s="33"/>
      <c r="I365" s="33"/>
      <c r="J365" s="230"/>
      <c r="K365" s="114"/>
      <c r="L365" s="881"/>
      <c r="M365" s="33"/>
      <c r="N365" s="33"/>
      <c r="O365" s="33"/>
      <c r="P365" s="33"/>
      <c r="Q365" s="33"/>
      <c r="R365" s="935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>
      <c r="A366" s="224"/>
      <c r="B366" s="229"/>
      <c r="C366" s="225"/>
      <c r="D366" s="227"/>
      <c r="E366" s="228"/>
      <c r="F366" s="33"/>
      <c r="G366" s="33"/>
      <c r="H366" s="33"/>
      <c r="I366" s="33"/>
      <c r="J366" s="230"/>
      <c r="K366" s="114"/>
      <c r="L366" s="881"/>
      <c r="M366" s="33"/>
      <c r="N366" s="33"/>
      <c r="O366" s="33"/>
      <c r="P366" s="33"/>
      <c r="Q366" s="33"/>
      <c r="R366" s="935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>
      <c r="A367" s="224"/>
      <c r="B367" s="229"/>
      <c r="C367" s="225"/>
      <c r="D367" s="227"/>
      <c r="E367" s="228"/>
      <c r="F367" s="33"/>
      <c r="G367" s="33"/>
      <c r="H367" s="33"/>
      <c r="I367" s="33"/>
      <c r="J367" s="230"/>
      <c r="K367" s="114"/>
      <c r="L367" s="881"/>
      <c r="M367" s="33"/>
      <c r="N367" s="33"/>
      <c r="O367" s="33"/>
      <c r="P367" s="33"/>
      <c r="Q367" s="33"/>
      <c r="R367" s="935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>
      <c r="A368" s="224"/>
      <c r="B368" s="229"/>
      <c r="C368" s="225"/>
      <c r="D368" s="227"/>
      <c r="E368" s="228"/>
      <c r="F368" s="33"/>
      <c r="G368" s="33"/>
      <c r="H368" s="33"/>
      <c r="I368" s="33"/>
      <c r="J368" s="230"/>
      <c r="K368" s="114"/>
      <c r="L368" s="881"/>
      <c r="M368" s="33"/>
      <c r="N368" s="33"/>
      <c r="O368" s="33"/>
      <c r="P368" s="33"/>
      <c r="Q368" s="33"/>
      <c r="R368" s="935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>
      <c r="A369" s="224"/>
      <c r="B369" s="229"/>
      <c r="C369" s="225"/>
      <c r="D369" s="227"/>
      <c r="E369" s="228"/>
      <c r="F369" s="33"/>
      <c r="G369" s="33"/>
      <c r="H369" s="33"/>
      <c r="I369" s="33"/>
      <c r="J369" s="230"/>
      <c r="K369" s="114"/>
      <c r="L369" s="881"/>
      <c r="M369" s="33"/>
      <c r="N369" s="33"/>
      <c r="O369" s="33"/>
      <c r="P369" s="33"/>
      <c r="Q369" s="33"/>
      <c r="R369" s="935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>
      <c r="A370" s="224"/>
      <c r="B370" s="229"/>
      <c r="C370" s="225"/>
      <c r="D370" s="227"/>
      <c r="E370" s="228"/>
      <c r="F370" s="33"/>
      <c r="G370" s="33"/>
      <c r="H370" s="33"/>
      <c r="I370" s="33"/>
      <c r="J370" s="230"/>
      <c r="K370" s="114"/>
      <c r="L370" s="881"/>
      <c r="M370" s="33"/>
      <c r="N370" s="33"/>
      <c r="O370" s="33"/>
      <c r="P370" s="33"/>
      <c r="Q370" s="33"/>
      <c r="R370" s="935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>
      <c r="A371" s="224"/>
      <c r="B371" s="229"/>
      <c r="C371" s="225"/>
      <c r="D371" s="227"/>
      <c r="E371" s="228"/>
      <c r="F371" s="33"/>
      <c r="G371" s="33"/>
      <c r="H371" s="33"/>
      <c r="I371" s="33"/>
      <c r="J371" s="230"/>
      <c r="K371" s="114"/>
      <c r="L371" s="881"/>
      <c r="M371" s="33"/>
      <c r="N371" s="33"/>
      <c r="O371" s="33"/>
      <c r="P371" s="33"/>
      <c r="Q371" s="33"/>
      <c r="R371" s="935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>
      <c r="A372" s="224"/>
      <c r="B372" s="229"/>
      <c r="C372" s="225"/>
      <c r="D372" s="227"/>
      <c r="E372" s="228"/>
      <c r="F372" s="33"/>
      <c r="G372" s="33"/>
      <c r="H372" s="33"/>
      <c r="I372" s="33"/>
      <c r="J372" s="230"/>
      <c r="K372" s="114"/>
      <c r="L372" s="881"/>
      <c r="M372" s="33"/>
      <c r="N372" s="33"/>
      <c r="O372" s="33"/>
      <c r="P372" s="33"/>
      <c r="Q372" s="33"/>
      <c r="R372" s="935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>
      <c r="A373" s="224"/>
      <c r="B373" s="229"/>
      <c r="C373" s="225"/>
      <c r="D373" s="227"/>
      <c r="E373" s="228"/>
      <c r="F373" s="33"/>
      <c r="G373" s="33"/>
      <c r="H373" s="33"/>
      <c r="I373" s="33"/>
      <c r="J373" s="230"/>
      <c r="K373" s="114"/>
      <c r="L373" s="881"/>
      <c r="M373" s="33"/>
      <c r="N373" s="33"/>
      <c r="O373" s="33"/>
      <c r="P373" s="33"/>
      <c r="Q373" s="33"/>
      <c r="R373" s="935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>
      <c r="A374" s="224"/>
      <c r="B374" s="229"/>
      <c r="C374" s="225"/>
      <c r="D374" s="227"/>
      <c r="E374" s="228"/>
      <c r="F374" s="33"/>
      <c r="G374" s="33"/>
      <c r="H374" s="33"/>
      <c r="I374" s="33"/>
      <c r="J374" s="230"/>
      <c r="K374" s="114"/>
      <c r="L374" s="881"/>
      <c r="M374" s="33"/>
      <c r="N374" s="33"/>
      <c r="O374" s="33"/>
      <c r="P374" s="33"/>
      <c r="Q374" s="33"/>
      <c r="R374" s="935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>
      <c r="A375" s="224"/>
      <c r="B375" s="229"/>
      <c r="C375" s="225"/>
      <c r="D375" s="227"/>
      <c r="E375" s="228"/>
      <c r="F375" s="33"/>
      <c r="G375" s="33"/>
      <c r="H375" s="33"/>
      <c r="I375" s="33"/>
      <c r="J375" s="230"/>
      <c r="K375" s="114"/>
      <c r="L375" s="881"/>
      <c r="M375" s="33"/>
      <c r="N375" s="33"/>
      <c r="O375" s="33"/>
      <c r="P375" s="33"/>
      <c r="Q375" s="33"/>
      <c r="R375" s="935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>
      <c r="A376" s="224"/>
      <c r="B376" s="229"/>
      <c r="C376" s="225"/>
      <c r="D376" s="227"/>
      <c r="E376" s="228"/>
      <c r="F376" s="33"/>
      <c r="G376" s="33"/>
      <c r="H376" s="33"/>
      <c r="I376" s="33"/>
      <c r="J376" s="230"/>
      <c r="K376" s="114"/>
      <c r="L376" s="881"/>
      <c r="M376" s="33"/>
      <c r="N376" s="33"/>
      <c r="O376" s="33"/>
      <c r="P376" s="33"/>
      <c r="Q376" s="33"/>
      <c r="R376" s="935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>
      <c r="A377" s="224"/>
      <c r="B377" s="229"/>
      <c r="C377" s="225"/>
      <c r="D377" s="227"/>
      <c r="E377" s="228"/>
      <c r="F377" s="33"/>
      <c r="G377" s="33"/>
      <c r="H377" s="33"/>
      <c r="I377" s="33"/>
      <c r="J377" s="230"/>
      <c r="K377" s="114"/>
      <c r="L377" s="881"/>
      <c r="M377" s="33"/>
      <c r="N377" s="33"/>
      <c r="O377" s="33"/>
      <c r="P377" s="33"/>
      <c r="Q377" s="33"/>
      <c r="R377" s="935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>
      <c r="A378" s="224"/>
      <c r="B378" s="229"/>
      <c r="C378" s="225"/>
      <c r="D378" s="227"/>
      <c r="E378" s="228"/>
      <c r="F378" s="33"/>
      <c r="G378" s="33"/>
      <c r="H378" s="33"/>
      <c r="I378" s="33"/>
      <c r="J378" s="230"/>
      <c r="K378" s="114"/>
      <c r="L378" s="881"/>
      <c r="M378" s="33"/>
      <c r="N378" s="33"/>
      <c r="O378" s="33"/>
      <c r="P378" s="33"/>
      <c r="Q378" s="33"/>
      <c r="R378" s="935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>
      <c r="A379" s="224"/>
      <c r="B379" s="229"/>
      <c r="C379" s="225"/>
      <c r="D379" s="227"/>
      <c r="E379" s="228"/>
      <c r="F379" s="33"/>
      <c r="G379" s="33"/>
      <c r="H379" s="33"/>
      <c r="I379" s="33"/>
      <c r="J379" s="230"/>
      <c r="K379" s="114"/>
      <c r="L379" s="881"/>
      <c r="M379" s="33"/>
      <c r="N379" s="33"/>
      <c r="O379" s="33"/>
      <c r="P379" s="33"/>
      <c r="Q379" s="33"/>
      <c r="R379" s="935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>
      <c r="A380" s="224"/>
      <c r="B380" s="229"/>
      <c r="C380" s="225"/>
      <c r="D380" s="227"/>
      <c r="E380" s="228"/>
      <c r="F380" s="33"/>
      <c r="G380" s="33"/>
      <c r="H380" s="33"/>
      <c r="I380" s="33"/>
      <c r="J380" s="230"/>
      <c r="K380" s="114"/>
      <c r="L380" s="881"/>
      <c r="M380" s="33"/>
      <c r="N380" s="33"/>
      <c r="O380" s="33"/>
      <c r="P380" s="33"/>
      <c r="Q380" s="33"/>
      <c r="R380" s="935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>
      <c r="A381" s="224"/>
      <c r="B381" s="229"/>
      <c r="C381" s="225"/>
      <c r="D381" s="227"/>
      <c r="E381" s="228"/>
      <c r="F381" s="33"/>
      <c r="G381" s="33"/>
      <c r="H381" s="33"/>
      <c r="I381" s="33"/>
      <c r="J381" s="230"/>
      <c r="K381" s="114"/>
      <c r="L381" s="881"/>
      <c r="M381" s="33"/>
      <c r="N381" s="33"/>
      <c r="O381" s="33"/>
      <c r="P381" s="33"/>
      <c r="Q381" s="33"/>
      <c r="R381" s="935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>
      <c r="A382" s="224"/>
      <c r="B382" s="229"/>
      <c r="C382" s="225"/>
      <c r="D382" s="227"/>
      <c r="E382" s="228"/>
      <c r="F382" s="33"/>
      <c r="G382" s="33"/>
      <c r="H382" s="33"/>
      <c r="I382" s="33"/>
      <c r="J382" s="230"/>
      <c r="K382" s="114"/>
      <c r="L382" s="881"/>
      <c r="M382" s="33"/>
      <c r="N382" s="33"/>
      <c r="O382" s="33"/>
      <c r="P382" s="33"/>
      <c r="Q382" s="33"/>
      <c r="R382" s="935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>
      <c r="A383" s="224"/>
      <c r="B383" s="229"/>
      <c r="C383" s="225"/>
      <c r="D383" s="227"/>
      <c r="E383" s="228"/>
      <c r="F383" s="33"/>
      <c r="G383" s="33"/>
      <c r="H383" s="33"/>
      <c r="I383" s="33"/>
      <c r="J383" s="230"/>
      <c r="K383" s="114"/>
      <c r="L383" s="881"/>
      <c r="M383" s="33"/>
      <c r="N383" s="33"/>
      <c r="O383" s="33"/>
      <c r="P383" s="33"/>
      <c r="Q383" s="33"/>
      <c r="R383" s="935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>
      <c r="A384" s="224"/>
      <c r="B384" s="229"/>
      <c r="C384" s="225"/>
      <c r="D384" s="227"/>
      <c r="E384" s="228"/>
      <c r="F384" s="33"/>
      <c r="G384" s="33"/>
      <c r="H384" s="33"/>
      <c r="I384" s="33"/>
      <c r="J384" s="230"/>
      <c r="K384" s="114"/>
      <c r="L384" s="881"/>
      <c r="M384" s="33"/>
      <c r="N384" s="33"/>
      <c r="O384" s="33"/>
      <c r="P384" s="33"/>
      <c r="Q384" s="33"/>
      <c r="R384" s="935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>
      <c r="A385" s="224"/>
      <c r="B385" s="229"/>
      <c r="C385" s="225"/>
      <c r="D385" s="227"/>
      <c r="E385" s="228"/>
      <c r="F385" s="33"/>
      <c r="G385" s="33"/>
      <c r="H385" s="33"/>
      <c r="I385" s="33"/>
      <c r="J385" s="230"/>
      <c r="K385" s="114"/>
      <c r="L385" s="881"/>
      <c r="M385" s="33"/>
      <c r="N385" s="33"/>
      <c r="O385" s="33"/>
      <c r="P385" s="33"/>
      <c r="Q385" s="33"/>
      <c r="R385" s="935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>
      <c r="A386" s="224"/>
      <c r="B386" s="229"/>
      <c r="C386" s="225"/>
      <c r="D386" s="227"/>
      <c r="E386" s="228"/>
      <c r="F386" s="33"/>
      <c r="G386" s="33"/>
      <c r="H386" s="33"/>
      <c r="I386" s="33"/>
      <c r="J386" s="230"/>
      <c r="K386" s="114"/>
      <c r="L386" s="881"/>
      <c r="M386" s="33"/>
      <c r="N386" s="33"/>
      <c r="O386" s="33"/>
      <c r="P386" s="33"/>
      <c r="Q386" s="33"/>
      <c r="R386" s="935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>
      <c r="A387" s="224"/>
      <c r="B387" s="229"/>
      <c r="C387" s="225"/>
      <c r="D387" s="227"/>
      <c r="E387" s="228"/>
      <c r="F387" s="33"/>
      <c r="G387" s="33"/>
      <c r="H387" s="33"/>
      <c r="I387" s="33"/>
      <c r="J387" s="230"/>
      <c r="K387" s="114"/>
      <c r="L387" s="881"/>
      <c r="M387" s="33"/>
      <c r="N387" s="33"/>
      <c r="O387" s="33"/>
      <c r="P387" s="33"/>
      <c r="Q387" s="33"/>
      <c r="R387" s="935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>
      <c r="A388" s="224"/>
      <c r="B388" s="229"/>
      <c r="C388" s="225"/>
      <c r="D388" s="227"/>
      <c r="E388" s="228"/>
      <c r="F388" s="33"/>
      <c r="G388" s="33"/>
      <c r="H388" s="33"/>
      <c r="I388" s="33"/>
      <c r="J388" s="230"/>
      <c r="K388" s="114"/>
      <c r="L388" s="881"/>
      <c r="M388" s="33"/>
      <c r="N388" s="33"/>
      <c r="O388" s="33"/>
      <c r="P388" s="33"/>
      <c r="Q388" s="33"/>
      <c r="R388" s="935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>
      <c r="A389" s="224"/>
      <c r="B389" s="229"/>
      <c r="C389" s="225"/>
      <c r="D389" s="227"/>
      <c r="E389" s="228"/>
      <c r="F389" s="33"/>
      <c r="G389" s="33"/>
      <c r="H389" s="33"/>
      <c r="I389" s="33"/>
      <c r="J389" s="230"/>
      <c r="K389" s="114"/>
      <c r="L389" s="881"/>
      <c r="M389" s="33"/>
      <c r="N389" s="33"/>
      <c r="O389" s="33"/>
      <c r="P389" s="33"/>
      <c r="Q389" s="33"/>
      <c r="R389" s="935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>
      <c r="A390" s="224"/>
      <c r="B390" s="229"/>
      <c r="C390" s="225"/>
      <c r="D390" s="227"/>
      <c r="E390" s="228"/>
      <c r="F390" s="33"/>
      <c r="G390" s="33"/>
      <c r="H390" s="33"/>
      <c r="I390" s="33"/>
      <c r="J390" s="230"/>
      <c r="K390" s="114"/>
      <c r="L390" s="881"/>
      <c r="M390" s="33"/>
      <c r="N390" s="33"/>
      <c r="O390" s="33"/>
      <c r="P390" s="33"/>
      <c r="Q390" s="33"/>
      <c r="R390" s="935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>
      <c r="A391" s="224"/>
      <c r="B391" s="229"/>
      <c r="C391" s="225"/>
      <c r="D391" s="227"/>
      <c r="E391" s="228"/>
      <c r="F391" s="33"/>
      <c r="G391" s="33"/>
      <c r="H391" s="33"/>
      <c r="I391" s="33"/>
      <c r="J391" s="230"/>
      <c r="K391" s="114"/>
      <c r="L391" s="881"/>
      <c r="M391" s="33"/>
      <c r="N391" s="33"/>
      <c r="O391" s="33"/>
      <c r="P391" s="33"/>
      <c r="Q391" s="33"/>
      <c r="R391" s="935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>
      <c r="A392" s="224"/>
      <c r="B392" s="229"/>
      <c r="C392" s="225"/>
      <c r="D392" s="227"/>
      <c r="E392" s="228"/>
      <c r="F392" s="33"/>
      <c r="G392" s="33"/>
      <c r="H392" s="33"/>
      <c r="I392" s="33"/>
      <c r="J392" s="230"/>
      <c r="K392" s="114"/>
      <c r="L392" s="881"/>
      <c r="M392" s="33"/>
      <c r="N392" s="33"/>
      <c r="O392" s="33"/>
      <c r="P392" s="33"/>
      <c r="Q392" s="33"/>
      <c r="R392" s="935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>
      <c r="A393" s="224"/>
      <c r="B393" s="229"/>
      <c r="C393" s="225"/>
      <c r="D393" s="227"/>
      <c r="E393" s="228"/>
      <c r="F393" s="33"/>
      <c r="G393" s="33"/>
      <c r="H393" s="33"/>
      <c r="I393" s="33"/>
      <c r="J393" s="230"/>
      <c r="K393" s="114"/>
      <c r="L393" s="881"/>
      <c r="M393" s="33"/>
      <c r="N393" s="33"/>
      <c r="O393" s="33"/>
      <c r="P393" s="33"/>
      <c r="Q393" s="33"/>
      <c r="R393" s="935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>
      <c r="A394" s="224"/>
      <c r="B394" s="229"/>
      <c r="C394" s="225"/>
      <c r="D394" s="227"/>
      <c r="E394" s="228"/>
      <c r="F394" s="33"/>
      <c r="G394" s="33"/>
      <c r="H394" s="33"/>
      <c r="I394" s="33"/>
      <c r="J394" s="230"/>
      <c r="K394" s="114"/>
      <c r="L394" s="881"/>
      <c r="M394" s="33"/>
      <c r="N394" s="33"/>
      <c r="O394" s="33"/>
      <c r="P394" s="33"/>
      <c r="Q394" s="33"/>
      <c r="R394" s="935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>
      <c r="A395" s="224"/>
      <c r="B395" s="229"/>
      <c r="C395" s="225"/>
      <c r="D395" s="227"/>
      <c r="E395" s="228"/>
      <c r="F395" s="33"/>
      <c r="G395" s="33"/>
      <c r="H395" s="33"/>
      <c r="I395" s="33"/>
      <c r="J395" s="230"/>
      <c r="K395" s="114"/>
      <c r="L395" s="881"/>
      <c r="M395" s="33"/>
      <c r="N395" s="33"/>
      <c r="O395" s="33"/>
      <c r="P395" s="33"/>
      <c r="Q395" s="33"/>
      <c r="R395" s="935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>
      <c r="A396" s="224"/>
      <c r="B396" s="229"/>
      <c r="C396" s="225"/>
      <c r="D396" s="227"/>
      <c r="E396" s="228"/>
      <c r="F396" s="33"/>
      <c r="G396" s="33"/>
      <c r="H396" s="33"/>
      <c r="I396" s="33"/>
      <c r="J396" s="230"/>
      <c r="K396" s="114"/>
      <c r="L396" s="881"/>
      <c r="M396" s="33"/>
      <c r="N396" s="33"/>
      <c r="O396" s="33"/>
      <c r="P396" s="33"/>
      <c r="Q396" s="33"/>
      <c r="R396" s="935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>
      <c r="A397" s="224"/>
      <c r="B397" s="229"/>
      <c r="C397" s="225"/>
      <c r="D397" s="227"/>
      <c r="E397" s="228"/>
      <c r="F397" s="33"/>
      <c r="G397" s="33"/>
      <c r="H397" s="33"/>
      <c r="I397" s="33"/>
      <c r="J397" s="230"/>
      <c r="K397" s="114"/>
      <c r="L397" s="881"/>
      <c r="M397" s="33"/>
      <c r="N397" s="33"/>
      <c r="O397" s="33"/>
      <c r="P397" s="33"/>
      <c r="Q397" s="33"/>
      <c r="R397" s="935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>
      <c r="A398" s="224"/>
      <c r="B398" s="229"/>
      <c r="C398" s="225"/>
      <c r="D398" s="227"/>
      <c r="E398" s="228"/>
      <c r="F398" s="33"/>
      <c r="G398" s="33"/>
      <c r="H398" s="33"/>
      <c r="I398" s="33"/>
      <c r="J398" s="230"/>
      <c r="K398" s="114"/>
      <c r="L398" s="881"/>
      <c r="M398" s="33"/>
      <c r="N398" s="33"/>
      <c r="O398" s="33"/>
      <c r="P398" s="33"/>
      <c r="Q398" s="33"/>
      <c r="R398" s="935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>
      <c r="A399" s="224"/>
      <c r="B399" s="229"/>
      <c r="C399" s="225"/>
      <c r="D399" s="227"/>
      <c r="E399" s="228"/>
      <c r="F399" s="33"/>
      <c r="G399" s="33"/>
      <c r="H399" s="33"/>
      <c r="I399" s="33"/>
      <c r="J399" s="230"/>
      <c r="K399" s="114"/>
      <c r="L399" s="881"/>
      <c r="M399" s="33"/>
      <c r="N399" s="33"/>
      <c r="O399" s="33"/>
      <c r="P399" s="33"/>
      <c r="Q399" s="33"/>
      <c r="R399" s="935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>
      <c r="A400" s="224"/>
      <c r="B400" s="229"/>
      <c r="C400" s="225"/>
      <c r="D400" s="227"/>
      <c r="E400" s="228"/>
      <c r="F400" s="33"/>
      <c r="G400" s="33"/>
      <c r="H400" s="33"/>
      <c r="I400" s="33"/>
      <c r="J400" s="230"/>
      <c r="K400" s="114"/>
      <c r="L400" s="881"/>
      <c r="M400" s="33"/>
      <c r="N400" s="33"/>
      <c r="O400" s="33"/>
      <c r="P400" s="33"/>
      <c r="Q400" s="33"/>
      <c r="R400" s="935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>
      <c r="A401" s="224"/>
      <c r="B401" s="229"/>
      <c r="C401" s="225"/>
      <c r="D401" s="227"/>
      <c r="E401" s="228"/>
      <c r="F401" s="33"/>
      <c r="G401" s="33"/>
      <c r="H401" s="33"/>
      <c r="I401" s="33"/>
      <c r="J401" s="230"/>
      <c r="K401" s="114"/>
      <c r="L401" s="881"/>
      <c r="M401" s="33"/>
      <c r="N401" s="33"/>
      <c r="O401" s="33"/>
      <c r="P401" s="33"/>
      <c r="Q401" s="33"/>
      <c r="R401" s="935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>
      <c r="A402" s="224"/>
      <c r="B402" s="229"/>
      <c r="C402" s="225"/>
      <c r="D402" s="227"/>
      <c r="E402" s="228"/>
      <c r="F402" s="33"/>
      <c r="G402" s="33"/>
      <c r="H402" s="33"/>
      <c r="I402" s="33"/>
      <c r="J402" s="230"/>
      <c r="K402" s="114"/>
      <c r="L402" s="881"/>
      <c r="M402" s="33"/>
      <c r="N402" s="33"/>
      <c r="O402" s="33"/>
      <c r="P402" s="33"/>
      <c r="Q402" s="33"/>
      <c r="R402" s="935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>
      <c r="A403" s="224"/>
      <c r="B403" s="229"/>
      <c r="C403" s="225"/>
      <c r="D403" s="227"/>
      <c r="E403" s="228"/>
      <c r="F403" s="33"/>
      <c r="G403" s="33"/>
      <c r="H403" s="33"/>
      <c r="I403" s="33"/>
      <c r="J403" s="230"/>
      <c r="K403" s="114"/>
      <c r="L403" s="881"/>
      <c r="M403" s="33"/>
      <c r="N403" s="33"/>
      <c r="O403" s="33"/>
      <c r="P403" s="33"/>
      <c r="Q403" s="33"/>
      <c r="R403" s="935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>
      <c r="A404" s="224"/>
      <c r="B404" s="229"/>
      <c r="C404" s="225"/>
      <c r="D404" s="227"/>
      <c r="E404" s="228"/>
      <c r="F404" s="33"/>
      <c r="G404" s="33"/>
      <c r="H404" s="33"/>
      <c r="I404" s="33"/>
      <c r="J404" s="230"/>
      <c r="K404" s="114"/>
      <c r="L404" s="881"/>
      <c r="M404" s="33"/>
      <c r="N404" s="33"/>
      <c r="O404" s="33"/>
      <c r="P404" s="33"/>
      <c r="Q404" s="33"/>
      <c r="R404" s="935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>
      <c r="A405" s="224"/>
      <c r="B405" s="229"/>
      <c r="C405" s="225"/>
      <c r="D405" s="227"/>
      <c r="E405" s="228"/>
      <c r="F405" s="33"/>
      <c r="G405" s="33"/>
      <c r="H405" s="33"/>
      <c r="I405" s="33"/>
      <c r="J405" s="230"/>
      <c r="K405" s="114"/>
      <c r="L405" s="881"/>
      <c r="M405" s="33"/>
      <c r="N405" s="33"/>
      <c r="O405" s="33"/>
      <c r="P405" s="33"/>
      <c r="Q405" s="33"/>
      <c r="R405" s="935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>
      <c r="A406" s="224"/>
      <c r="B406" s="229"/>
      <c r="C406" s="225"/>
      <c r="D406" s="227"/>
      <c r="E406" s="228"/>
      <c r="F406" s="33"/>
      <c r="G406" s="33"/>
      <c r="H406" s="33"/>
      <c r="I406" s="33"/>
      <c r="J406" s="230"/>
      <c r="K406" s="114"/>
      <c r="L406" s="881"/>
      <c r="M406" s="33"/>
      <c r="N406" s="33"/>
      <c r="O406" s="33"/>
      <c r="P406" s="33"/>
      <c r="Q406" s="33"/>
      <c r="R406" s="935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>
      <c r="A407" s="224"/>
      <c r="B407" s="229"/>
      <c r="C407" s="225"/>
      <c r="D407" s="227"/>
      <c r="E407" s="228"/>
      <c r="F407" s="33"/>
      <c r="G407" s="33"/>
      <c r="H407" s="33"/>
      <c r="I407" s="33"/>
      <c r="J407" s="230"/>
      <c r="K407" s="114"/>
      <c r="L407" s="881"/>
      <c r="M407" s="33"/>
      <c r="N407" s="33"/>
      <c r="O407" s="33"/>
      <c r="P407" s="33"/>
      <c r="Q407" s="33"/>
      <c r="R407" s="935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>
      <c r="A408" s="224"/>
      <c r="B408" s="229"/>
      <c r="C408" s="225"/>
      <c r="D408" s="227"/>
      <c r="E408" s="228"/>
      <c r="F408" s="33"/>
      <c r="G408" s="33"/>
      <c r="H408" s="33"/>
      <c r="I408" s="33"/>
      <c r="J408" s="230"/>
      <c r="K408" s="114"/>
      <c r="L408" s="881"/>
      <c r="M408" s="33"/>
      <c r="N408" s="33"/>
      <c r="O408" s="33"/>
      <c r="P408" s="33"/>
      <c r="Q408" s="33"/>
      <c r="R408" s="935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>
      <c r="A409" s="224"/>
      <c r="B409" s="229"/>
      <c r="C409" s="225"/>
      <c r="D409" s="227"/>
      <c r="E409" s="228"/>
      <c r="F409" s="33"/>
      <c r="G409" s="33"/>
      <c r="H409" s="33"/>
      <c r="I409" s="33"/>
      <c r="J409" s="230"/>
      <c r="K409" s="114"/>
      <c r="L409" s="881"/>
      <c r="M409" s="33"/>
      <c r="N409" s="33"/>
      <c r="O409" s="33"/>
      <c r="P409" s="33"/>
      <c r="Q409" s="33"/>
      <c r="R409" s="935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>
      <c r="A410" s="224"/>
      <c r="B410" s="229"/>
      <c r="C410" s="225"/>
      <c r="D410" s="227"/>
      <c r="E410" s="228"/>
      <c r="F410" s="33"/>
      <c r="G410" s="33"/>
      <c r="H410" s="33"/>
      <c r="I410" s="33"/>
      <c r="J410" s="230"/>
      <c r="K410" s="114"/>
      <c r="L410" s="881"/>
      <c r="M410" s="33"/>
      <c r="N410" s="33"/>
      <c r="O410" s="33"/>
      <c r="P410" s="33"/>
      <c r="Q410" s="33"/>
      <c r="R410" s="935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>
      <c r="A411" s="224"/>
      <c r="B411" s="229"/>
      <c r="C411" s="225"/>
      <c r="D411" s="227"/>
      <c r="E411" s="228"/>
      <c r="F411" s="33"/>
      <c r="G411" s="33"/>
      <c r="H411" s="33"/>
      <c r="I411" s="33"/>
      <c r="J411" s="230"/>
      <c r="K411" s="114"/>
      <c r="L411" s="881"/>
      <c r="M411" s="33"/>
      <c r="N411" s="33"/>
      <c r="O411" s="33"/>
      <c r="P411" s="33"/>
      <c r="Q411" s="33"/>
      <c r="R411" s="935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>
      <c r="A412" s="224"/>
      <c r="B412" s="229"/>
      <c r="C412" s="225"/>
      <c r="D412" s="227"/>
      <c r="E412" s="228"/>
      <c r="F412" s="33"/>
      <c r="G412" s="33"/>
      <c r="H412" s="33"/>
      <c r="I412" s="33"/>
      <c r="J412" s="230"/>
      <c r="K412" s="114"/>
      <c r="L412" s="881"/>
      <c r="M412" s="33"/>
      <c r="N412" s="33"/>
      <c r="O412" s="33"/>
      <c r="P412" s="33"/>
      <c r="Q412" s="33"/>
      <c r="R412" s="935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>
      <c r="A413" s="224"/>
      <c r="B413" s="229"/>
      <c r="C413" s="225"/>
      <c r="D413" s="227"/>
      <c r="E413" s="228"/>
      <c r="F413" s="33"/>
      <c r="G413" s="33"/>
      <c r="H413" s="33"/>
      <c r="I413" s="33"/>
      <c r="J413" s="230"/>
      <c r="K413" s="114"/>
      <c r="L413" s="881"/>
      <c r="M413" s="33"/>
      <c r="N413" s="33"/>
      <c r="O413" s="33"/>
      <c r="P413" s="33"/>
      <c r="Q413" s="33"/>
      <c r="R413" s="935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>
      <c r="A414" s="224"/>
      <c r="B414" s="229"/>
      <c r="C414" s="225"/>
      <c r="D414" s="227"/>
      <c r="E414" s="228"/>
      <c r="F414" s="33"/>
      <c r="G414" s="33"/>
      <c r="H414" s="33"/>
      <c r="I414" s="33"/>
      <c r="J414" s="230"/>
      <c r="K414" s="114"/>
      <c r="L414" s="881"/>
      <c r="M414" s="33"/>
      <c r="N414" s="33"/>
      <c r="O414" s="33"/>
      <c r="P414" s="33"/>
      <c r="Q414" s="33"/>
      <c r="R414" s="935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>
      <c r="A415" s="224"/>
      <c r="B415" s="229"/>
      <c r="C415" s="225"/>
      <c r="D415" s="227"/>
      <c r="E415" s="228"/>
      <c r="F415" s="33"/>
      <c r="G415" s="33"/>
      <c r="H415" s="33"/>
      <c r="I415" s="33"/>
      <c r="J415" s="230"/>
      <c r="K415" s="114"/>
      <c r="L415" s="881"/>
      <c r="M415" s="33"/>
      <c r="N415" s="33"/>
      <c r="O415" s="33"/>
      <c r="P415" s="33"/>
      <c r="Q415" s="33"/>
      <c r="R415" s="935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>
      <c r="A416" s="224"/>
      <c r="B416" s="229"/>
      <c r="C416" s="225"/>
      <c r="D416" s="227"/>
      <c r="E416" s="228"/>
      <c r="F416" s="33"/>
      <c r="G416" s="33"/>
      <c r="H416" s="33"/>
      <c r="I416" s="33"/>
      <c r="J416" s="230"/>
      <c r="K416" s="114"/>
      <c r="L416" s="881"/>
      <c r="M416" s="33"/>
      <c r="N416" s="33"/>
      <c r="O416" s="33"/>
      <c r="P416" s="33"/>
      <c r="Q416" s="33"/>
      <c r="R416" s="935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>
      <c r="A417" s="224"/>
      <c r="B417" s="229"/>
      <c r="C417" s="225"/>
      <c r="D417" s="227"/>
      <c r="E417" s="228"/>
      <c r="F417" s="33"/>
      <c r="G417" s="33"/>
      <c r="H417" s="33"/>
      <c r="I417" s="33"/>
      <c r="J417" s="230"/>
      <c r="K417" s="114"/>
      <c r="L417" s="881"/>
      <c r="M417" s="33"/>
      <c r="N417" s="33"/>
      <c r="O417" s="33"/>
      <c r="P417" s="33"/>
      <c r="Q417" s="33"/>
      <c r="R417" s="935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>
      <c r="A418" s="224"/>
      <c r="B418" s="229"/>
      <c r="C418" s="225"/>
      <c r="D418" s="227"/>
      <c r="E418" s="228"/>
      <c r="F418" s="33"/>
      <c r="G418" s="33"/>
      <c r="H418" s="33"/>
      <c r="I418" s="33"/>
      <c r="J418" s="230"/>
      <c r="K418" s="114"/>
      <c r="L418" s="881"/>
      <c r="M418" s="33"/>
      <c r="N418" s="33"/>
      <c r="O418" s="33"/>
      <c r="P418" s="33"/>
      <c r="Q418" s="33"/>
      <c r="R418" s="935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>
      <c r="A419" s="224"/>
      <c r="B419" s="229"/>
      <c r="C419" s="225"/>
      <c r="D419" s="227"/>
      <c r="E419" s="228"/>
      <c r="F419" s="33"/>
      <c r="G419" s="33"/>
      <c r="H419" s="33"/>
      <c r="I419" s="33"/>
      <c r="J419" s="230"/>
      <c r="K419" s="114"/>
      <c r="L419" s="881"/>
      <c r="M419" s="33"/>
      <c r="N419" s="33"/>
      <c r="O419" s="33"/>
      <c r="P419" s="33"/>
      <c r="Q419" s="33"/>
      <c r="R419" s="935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>
      <c r="A420" s="224"/>
      <c r="B420" s="229"/>
      <c r="C420" s="225"/>
      <c r="D420" s="227"/>
      <c r="E420" s="228"/>
      <c r="F420" s="33"/>
      <c r="G420" s="33"/>
      <c r="H420" s="33"/>
      <c r="I420" s="33"/>
      <c r="J420" s="230"/>
      <c r="K420" s="114"/>
      <c r="L420" s="881"/>
      <c r="M420" s="33"/>
      <c r="N420" s="33"/>
      <c r="O420" s="33"/>
      <c r="P420" s="33"/>
      <c r="Q420" s="33"/>
      <c r="R420" s="935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>
      <c r="A421" s="224"/>
      <c r="B421" s="229"/>
      <c r="C421" s="225"/>
      <c r="D421" s="227"/>
      <c r="E421" s="228"/>
      <c r="F421" s="33"/>
      <c r="G421" s="33"/>
      <c r="H421" s="33"/>
      <c r="I421" s="33"/>
      <c r="J421" s="230"/>
      <c r="K421" s="114"/>
      <c r="L421" s="881"/>
      <c r="M421" s="33"/>
      <c r="N421" s="33"/>
      <c r="O421" s="33"/>
      <c r="P421" s="33"/>
      <c r="Q421" s="33"/>
      <c r="R421" s="935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>
      <c r="A422" s="224"/>
      <c r="B422" s="229"/>
      <c r="C422" s="225"/>
      <c r="D422" s="227"/>
      <c r="E422" s="228"/>
      <c r="F422" s="33"/>
      <c r="G422" s="33"/>
      <c r="H422" s="33"/>
      <c r="I422" s="33"/>
      <c r="J422" s="230"/>
      <c r="K422" s="114"/>
      <c r="L422" s="881"/>
      <c r="M422" s="33"/>
      <c r="N422" s="33"/>
      <c r="O422" s="33"/>
      <c r="P422" s="33"/>
      <c r="Q422" s="33"/>
      <c r="R422" s="935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>
      <c r="A423" s="224"/>
      <c r="B423" s="229"/>
      <c r="C423" s="225"/>
      <c r="D423" s="227"/>
      <c r="E423" s="228"/>
      <c r="F423" s="33"/>
      <c r="G423" s="33"/>
      <c r="H423" s="33"/>
      <c r="I423" s="33"/>
      <c r="J423" s="230"/>
      <c r="K423" s="114"/>
      <c r="L423" s="881"/>
      <c r="M423" s="33"/>
      <c r="N423" s="33"/>
      <c r="O423" s="33"/>
      <c r="P423" s="33"/>
      <c r="Q423" s="33"/>
      <c r="R423" s="935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>
      <c r="A424" s="224"/>
      <c r="B424" s="229"/>
      <c r="C424" s="225"/>
      <c r="D424" s="227"/>
      <c r="E424" s="228"/>
      <c r="F424" s="33"/>
      <c r="G424" s="33"/>
      <c r="H424" s="33"/>
      <c r="I424" s="33"/>
      <c r="J424" s="230"/>
      <c r="K424" s="114"/>
      <c r="L424" s="881"/>
      <c r="M424" s="33"/>
      <c r="N424" s="33"/>
      <c r="O424" s="33"/>
      <c r="P424" s="33"/>
      <c r="Q424" s="33"/>
      <c r="R424" s="935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>
      <c r="A425" s="224"/>
      <c r="B425" s="229"/>
      <c r="C425" s="225"/>
      <c r="D425" s="227"/>
      <c r="E425" s="228"/>
      <c r="F425" s="33"/>
      <c r="G425" s="33"/>
      <c r="H425" s="33"/>
      <c r="I425" s="33"/>
      <c r="J425" s="230"/>
      <c r="K425" s="114"/>
      <c r="L425" s="881"/>
      <c r="M425" s="33"/>
      <c r="N425" s="33"/>
      <c r="O425" s="33"/>
      <c r="P425" s="33"/>
      <c r="Q425" s="33"/>
      <c r="R425" s="935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>
      <c r="A426" s="224"/>
      <c r="B426" s="229"/>
      <c r="C426" s="225"/>
      <c r="D426" s="227"/>
      <c r="E426" s="228"/>
      <c r="F426" s="33"/>
      <c r="G426" s="33"/>
      <c r="H426" s="33"/>
      <c r="I426" s="33"/>
      <c r="J426" s="230"/>
      <c r="K426" s="114"/>
      <c r="L426" s="881"/>
      <c r="M426" s="33"/>
      <c r="N426" s="33"/>
      <c r="O426" s="33"/>
      <c r="P426" s="33"/>
      <c r="Q426" s="33"/>
      <c r="R426" s="935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>
      <c r="A427" s="224"/>
      <c r="B427" s="229"/>
      <c r="C427" s="225"/>
      <c r="D427" s="227"/>
      <c r="E427" s="228"/>
      <c r="F427" s="33"/>
      <c r="G427" s="33"/>
      <c r="H427" s="33"/>
      <c r="I427" s="33"/>
      <c r="J427" s="230"/>
      <c r="K427" s="114"/>
      <c r="L427" s="881"/>
      <c r="M427" s="33"/>
      <c r="N427" s="33"/>
      <c r="O427" s="33"/>
      <c r="P427" s="33"/>
      <c r="Q427" s="33"/>
      <c r="R427" s="935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>
      <c r="A428" s="224"/>
      <c r="B428" s="229"/>
      <c r="C428" s="225"/>
      <c r="D428" s="227"/>
      <c r="E428" s="228"/>
      <c r="F428" s="33"/>
      <c r="G428" s="33"/>
      <c r="H428" s="33"/>
      <c r="I428" s="33"/>
      <c r="J428" s="230"/>
      <c r="K428" s="114"/>
      <c r="L428" s="881"/>
      <c r="M428" s="33"/>
      <c r="N428" s="33"/>
      <c r="O428" s="33"/>
      <c r="P428" s="33"/>
      <c r="Q428" s="33"/>
      <c r="R428" s="935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>
      <c r="A429" s="224"/>
      <c r="B429" s="229"/>
      <c r="C429" s="225"/>
      <c r="D429" s="227"/>
      <c r="E429" s="228"/>
      <c r="F429" s="33"/>
      <c r="G429" s="33"/>
      <c r="H429" s="33"/>
      <c r="I429" s="33"/>
      <c r="J429" s="230"/>
      <c r="K429" s="114"/>
      <c r="L429" s="881"/>
      <c r="M429" s="33"/>
      <c r="N429" s="33"/>
      <c r="O429" s="33"/>
      <c r="P429" s="33"/>
      <c r="Q429" s="33"/>
      <c r="R429" s="935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>
      <c r="A430" s="224"/>
      <c r="B430" s="229"/>
      <c r="C430" s="225"/>
      <c r="D430" s="227"/>
      <c r="E430" s="228"/>
      <c r="F430" s="33"/>
      <c r="G430" s="33"/>
      <c r="H430" s="33"/>
      <c r="I430" s="33"/>
      <c r="J430" s="230"/>
      <c r="K430" s="114"/>
      <c r="L430" s="881"/>
      <c r="M430" s="33"/>
      <c r="N430" s="33"/>
      <c r="O430" s="33"/>
      <c r="P430" s="33"/>
      <c r="Q430" s="33"/>
      <c r="R430" s="935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>
      <c r="A431" s="224"/>
      <c r="B431" s="229"/>
      <c r="C431" s="225"/>
      <c r="D431" s="227"/>
      <c r="E431" s="228"/>
      <c r="F431" s="33"/>
      <c r="G431" s="33"/>
      <c r="H431" s="33"/>
      <c r="I431" s="33"/>
      <c r="J431" s="230"/>
      <c r="K431" s="114"/>
      <c r="L431" s="881"/>
      <c r="M431" s="33"/>
      <c r="N431" s="33"/>
      <c r="O431" s="33"/>
      <c r="P431" s="33"/>
      <c r="Q431" s="33"/>
      <c r="R431" s="935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>
      <c r="A432" s="224"/>
      <c r="B432" s="229"/>
      <c r="C432" s="225"/>
      <c r="D432" s="227"/>
      <c r="E432" s="228"/>
      <c r="F432" s="33"/>
      <c r="G432" s="33"/>
      <c r="H432" s="33"/>
      <c r="I432" s="33"/>
      <c r="J432" s="230"/>
      <c r="K432" s="114"/>
      <c r="L432" s="881"/>
      <c r="M432" s="33"/>
      <c r="N432" s="33"/>
      <c r="O432" s="33"/>
      <c r="P432" s="33"/>
      <c r="Q432" s="33"/>
      <c r="R432" s="935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>
      <c r="A433" s="224"/>
      <c r="B433" s="229"/>
      <c r="C433" s="225"/>
      <c r="D433" s="227"/>
      <c r="E433" s="228"/>
      <c r="F433" s="33"/>
      <c r="G433" s="33"/>
      <c r="H433" s="33"/>
      <c r="I433" s="33"/>
      <c r="J433" s="230"/>
      <c r="K433" s="114"/>
      <c r="L433" s="881"/>
      <c r="M433" s="33"/>
      <c r="N433" s="33"/>
      <c r="O433" s="33"/>
      <c r="P433" s="33"/>
      <c r="Q433" s="33"/>
      <c r="R433" s="935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>
      <c r="A434" s="224"/>
      <c r="B434" s="229"/>
      <c r="C434" s="225"/>
      <c r="D434" s="227"/>
      <c r="E434" s="228"/>
      <c r="F434" s="33"/>
      <c r="G434" s="33"/>
      <c r="H434" s="33"/>
      <c r="I434" s="33"/>
      <c r="J434" s="230"/>
      <c r="K434" s="114"/>
      <c r="L434" s="881"/>
      <c r="M434" s="33"/>
      <c r="N434" s="33"/>
      <c r="O434" s="33"/>
      <c r="P434" s="33"/>
      <c r="Q434" s="33"/>
      <c r="R434" s="935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>
      <c r="A435" s="224"/>
      <c r="B435" s="229"/>
      <c r="C435" s="225"/>
      <c r="D435" s="227"/>
      <c r="E435" s="228"/>
      <c r="F435" s="33"/>
      <c r="G435" s="33"/>
      <c r="H435" s="33"/>
      <c r="I435" s="33"/>
      <c r="J435" s="230"/>
      <c r="K435" s="114"/>
      <c r="L435" s="881"/>
      <c r="M435" s="33"/>
      <c r="N435" s="33"/>
      <c r="O435" s="33"/>
      <c r="P435" s="33"/>
      <c r="Q435" s="33"/>
      <c r="R435" s="935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>
      <c r="A436" s="224"/>
      <c r="B436" s="229"/>
      <c r="C436" s="225"/>
      <c r="D436" s="227"/>
      <c r="E436" s="228"/>
      <c r="F436" s="33"/>
      <c r="G436" s="33"/>
      <c r="H436" s="33"/>
      <c r="I436" s="33"/>
      <c r="J436" s="230"/>
      <c r="K436" s="114"/>
      <c r="L436" s="881"/>
      <c r="M436" s="33"/>
      <c r="N436" s="33"/>
      <c r="O436" s="33"/>
      <c r="P436" s="33"/>
      <c r="Q436" s="33"/>
      <c r="R436" s="935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>
      <c r="A437" s="224"/>
      <c r="B437" s="229"/>
      <c r="C437" s="225"/>
      <c r="D437" s="227"/>
      <c r="E437" s="228"/>
      <c r="F437" s="33"/>
      <c r="G437" s="33"/>
      <c r="H437" s="33"/>
      <c r="I437" s="33"/>
      <c r="J437" s="230"/>
      <c r="K437" s="114"/>
      <c r="L437" s="881"/>
      <c r="M437" s="33"/>
      <c r="N437" s="33"/>
      <c r="O437" s="33"/>
      <c r="P437" s="33"/>
      <c r="Q437" s="33"/>
      <c r="R437" s="935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>
      <c r="A438" s="224"/>
      <c r="B438" s="229"/>
      <c r="C438" s="225"/>
      <c r="D438" s="227"/>
      <c r="E438" s="228"/>
      <c r="F438" s="33"/>
      <c r="G438" s="33"/>
      <c r="H438" s="33"/>
      <c r="I438" s="33"/>
      <c r="J438" s="230"/>
      <c r="K438" s="114"/>
      <c r="L438" s="881"/>
      <c r="M438" s="33"/>
      <c r="N438" s="33"/>
      <c r="O438" s="33"/>
      <c r="P438" s="33"/>
      <c r="Q438" s="33"/>
      <c r="R438" s="935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>
      <c r="A439" s="224"/>
      <c r="B439" s="229"/>
      <c r="C439" s="225"/>
      <c r="D439" s="227"/>
      <c r="E439" s="228"/>
      <c r="F439" s="33"/>
      <c r="G439" s="33"/>
      <c r="H439" s="33"/>
      <c r="I439" s="33"/>
      <c r="J439" s="230"/>
      <c r="K439" s="114"/>
      <c r="L439" s="881"/>
      <c r="M439" s="33"/>
      <c r="N439" s="33"/>
      <c r="O439" s="33"/>
      <c r="P439" s="33"/>
      <c r="Q439" s="33"/>
      <c r="R439" s="935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>
      <c r="A440" s="224"/>
      <c r="B440" s="229"/>
      <c r="C440" s="225"/>
      <c r="D440" s="227"/>
      <c r="E440" s="228"/>
      <c r="F440" s="33"/>
      <c r="G440" s="33"/>
      <c r="H440" s="33"/>
      <c r="I440" s="33"/>
      <c r="J440" s="230"/>
      <c r="K440" s="114"/>
      <c r="L440" s="881"/>
      <c r="M440" s="33"/>
      <c r="N440" s="33"/>
      <c r="O440" s="33"/>
      <c r="P440" s="33"/>
      <c r="Q440" s="33"/>
      <c r="R440" s="935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>
      <c r="A441" s="224"/>
      <c r="B441" s="229"/>
      <c r="C441" s="225"/>
      <c r="D441" s="227"/>
      <c r="E441" s="228"/>
      <c r="F441" s="33"/>
      <c r="G441" s="33"/>
      <c r="H441" s="33"/>
      <c r="I441" s="33"/>
      <c r="J441" s="230"/>
      <c r="K441" s="114"/>
      <c r="L441" s="881"/>
      <c r="M441" s="33"/>
      <c r="N441" s="33"/>
      <c r="O441" s="33"/>
      <c r="P441" s="33"/>
      <c r="Q441" s="33"/>
      <c r="R441" s="935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>
      <c r="A442" s="224"/>
      <c r="B442" s="229"/>
      <c r="C442" s="225"/>
      <c r="D442" s="227"/>
      <c r="E442" s="228"/>
      <c r="F442" s="33"/>
      <c r="G442" s="33"/>
      <c r="H442" s="33"/>
      <c r="I442" s="33"/>
      <c r="J442" s="230"/>
      <c r="K442" s="114"/>
      <c r="L442" s="881"/>
      <c r="M442" s="33"/>
      <c r="N442" s="33"/>
      <c r="O442" s="33"/>
      <c r="P442" s="33"/>
      <c r="Q442" s="33"/>
      <c r="R442" s="935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>
      <c r="A443" s="224"/>
      <c r="B443" s="229"/>
      <c r="C443" s="225"/>
      <c r="D443" s="227"/>
      <c r="E443" s="228"/>
      <c r="F443" s="33"/>
      <c r="G443" s="33"/>
      <c r="H443" s="33"/>
      <c r="I443" s="33"/>
      <c r="J443" s="230"/>
      <c r="K443" s="114"/>
      <c r="L443" s="881"/>
      <c r="M443" s="33"/>
      <c r="N443" s="33"/>
      <c r="O443" s="33"/>
      <c r="P443" s="33"/>
      <c r="Q443" s="33"/>
      <c r="R443" s="935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>
      <c r="A444" s="224"/>
      <c r="B444" s="229"/>
      <c r="C444" s="225"/>
      <c r="D444" s="227"/>
      <c r="E444" s="228"/>
      <c r="F444" s="33"/>
      <c r="G444" s="33"/>
      <c r="H444" s="33"/>
      <c r="I444" s="33"/>
      <c r="J444" s="230"/>
      <c r="K444" s="114"/>
      <c r="L444" s="881"/>
      <c r="M444" s="33"/>
      <c r="N444" s="33"/>
      <c r="O444" s="33"/>
      <c r="P444" s="33"/>
      <c r="Q444" s="33"/>
      <c r="R444" s="935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>
      <c r="A445" s="224"/>
      <c r="B445" s="229"/>
      <c r="C445" s="225"/>
      <c r="D445" s="227"/>
      <c r="E445" s="228"/>
      <c r="F445" s="33"/>
      <c r="G445" s="33"/>
      <c r="H445" s="33"/>
      <c r="I445" s="33"/>
      <c r="J445" s="230"/>
      <c r="K445" s="114"/>
      <c r="L445" s="881"/>
      <c r="M445" s="33"/>
      <c r="N445" s="33"/>
      <c r="O445" s="33"/>
      <c r="P445" s="33"/>
      <c r="Q445" s="33"/>
      <c r="R445" s="935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>
      <c r="A446" s="224"/>
      <c r="B446" s="229"/>
      <c r="C446" s="225"/>
      <c r="D446" s="227"/>
      <c r="E446" s="228"/>
      <c r="F446" s="33"/>
      <c r="G446" s="33"/>
      <c r="H446" s="33"/>
      <c r="I446" s="33"/>
      <c r="J446" s="230"/>
      <c r="K446" s="114"/>
      <c r="L446" s="881"/>
      <c r="M446" s="33"/>
      <c r="N446" s="33"/>
      <c r="O446" s="33"/>
      <c r="P446" s="33"/>
      <c r="Q446" s="33"/>
      <c r="R446" s="935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>
      <c r="A447" s="224"/>
      <c r="B447" s="229"/>
      <c r="C447" s="225"/>
      <c r="D447" s="227"/>
      <c r="E447" s="228"/>
      <c r="F447" s="33"/>
      <c r="G447" s="33"/>
      <c r="H447" s="33"/>
      <c r="I447" s="33"/>
      <c r="J447" s="230"/>
      <c r="K447" s="114"/>
      <c r="L447" s="881"/>
      <c r="M447" s="33"/>
      <c r="N447" s="33"/>
      <c r="O447" s="33"/>
      <c r="P447" s="33"/>
      <c r="Q447" s="33"/>
      <c r="R447" s="935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>
      <c r="A448" s="224"/>
      <c r="B448" s="229"/>
      <c r="C448" s="225"/>
      <c r="D448" s="227"/>
      <c r="E448" s="228"/>
      <c r="F448" s="33"/>
      <c r="G448" s="33"/>
      <c r="H448" s="33"/>
      <c r="I448" s="33"/>
      <c r="J448" s="230"/>
      <c r="K448" s="114"/>
      <c r="L448" s="881"/>
      <c r="M448" s="33"/>
      <c r="N448" s="33"/>
      <c r="O448" s="33"/>
      <c r="P448" s="33"/>
      <c r="Q448" s="33"/>
      <c r="R448" s="935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>
      <c r="A449" s="224"/>
      <c r="B449" s="229"/>
      <c r="C449" s="225"/>
      <c r="D449" s="227"/>
      <c r="E449" s="228"/>
      <c r="F449" s="33"/>
      <c r="G449" s="33"/>
      <c r="H449" s="33"/>
      <c r="I449" s="33"/>
      <c r="J449" s="230"/>
      <c r="K449" s="114"/>
      <c r="L449" s="881"/>
      <c r="M449" s="33"/>
      <c r="N449" s="33"/>
      <c r="O449" s="33"/>
      <c r="P449" s="33"/>
      <c r="Q449" s="33"/>
      <c r="R449" s="935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>
      <c r="A450" s="224"/>
      <c r="B450" s="229"/>
      <c r="C450" s="225"/>
      <c r="D450" s="227"/>
      <c r="E450" s="228"/>
      <c r="F450" s="33"/>
      <c r="G450" s="33"/>
      <c r="H450" s="33"/>
      <c r="I450" s="33"/>
      <c r="J450" s="230"/>
      <c r="K450" s="114"/>
      <c r="L450" s="881"/>
      <c r="M450" s="33"/>
      <c r="N450" s="33"/>
      <c r="O450" s="33"/>
      <c r="P450" s="33"/>
      <c r="Q450" s="33"/>
      <c r="R450" s="935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>
      <c r="A451" s="224"/>
      <c r="B451" s="229"/>
      <c r="C451" s="225"/>
      <c r="D451" s="227"/>
      <c r="E451" s="228"/>
      <c r="F451" s="33"/>
      <c r="G451" s="33"/>
      <c r="H451" s="33"/>
      <c r="I451" s="33"/>
      <c r="J451" s="230"/>
      <c r="K451" s="114"/>
      <c r="L451" s="881"/>
      <c r="M451" s="33"/>
      <c r="N451" s="33"/>
      <c r="O451" s="33"/>
      <c r="P451" s="33"/>
      <c r="Q451" s="33"/>
      <c r="R451" s="935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>
      <c r="A452" s="224"/>
      <c r="B452" s="229"/>
      <c r="C452" s="225"/>
      <c r="D452" s="227"/>
      <c r="E452" s="228"/>
      <c r="F452" s="33"/>
      <c r="G452" s="33"/>
      <c r="H452" s="33"/>
      <c r="I452" s="33"/>
      <c r="J452" s="230"/>
      <c r="K452" s="114"/>
      <c r="L452" s="881"/>
      <c r="M452" s="33"/>
      <c r="N452" s="33"/>
      <c r="O452" s="33"/>
      <c r="P452" s="33"/>
      <c r="Q452" s="33"/>
      <c r="R452" s="935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>
      <c r="A453" s="224"/>
      <c r="B453" s="229"/>
      <c r="C453" s="225"/>
      <c r="D453" s="227"/>
      <c r="E453" s="228"/>
      <c r="F453" s="33"/>
      <c r="G453" s="33"/>
      <c r="H453" s="33"/>
      <c r="I453" s="33"/>
      <c r="J453" s="230"/>
      <c r="K453" s="114"/>
      <c r="L453" s="881"/>
      <c r="M453" s="33"/>
      <c r="N453" s="33"/>
      <c r="O453" s="33"/>
      <c r="P453" s="33"/>
      <c r="Q453" s="33"/>
      <c r="R453" s="935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>
      <c r="A454" s="224"/>
      <c r="B454" s="229"/>
      <c r="C454" s="225"/>
      <c r="D454" s="227"/>
      <c r="E454" s="228"/>
      <c r="F454" s="33"/>
      <c r="G454" s="33"/>
      <c r="H454" s="33"/>
      <c r="I454" s="33"/>
      <c r="J454" s="230"/>
      <c r="K454" s="114"/>
      <c r="L454" s="881"/>
      <c r="M454" s="33"/>
      <c r="N454" s="33"/>
      <c r="O454" s="33"/>
      <c r="P454" s="33"/>
      <c r="Q454" s="33"/>
      <c r="R454" s="935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>
      <c r="A455" s="224"/>
      <c r="B455" s="229"/>
      <c r="C455" s="225"/>
      <c r="D455" s="227"/>
      <c r="E455" s="228"/>
      <c r="F455" s="33"/>
      <c r="G455" s="33"/>
      <c r="H455" s="33"/>
      <c r="I455" s="33"/>
      <c r="J455" s="230"/>
      <c r="K455" s="114"/>
      <c r="L455" s="881"/>
      <c r="M455" s="33"/>
      <c r="N455" s="33"/>
      <c r="O455" s="33"/>
      <c r="P455" s="33"/>
      <c r="Q455" s="33"/>
      <c r="R455" s="935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>
      <c r="A456" s="224"/>
      <c r="B456" s="229"/>
      <c r="C456" s="225"/>
      <c r="D456" s="227"/>
      <c r="E456" s="228"/>
      <c r="F456" s="33"/>
      <c r="G456" s="33"/>
      <c r="H456" s="33"/>
      <c r="I456" s="33"/>
      <c r="J456" s="230"/>
      <c r="K456" s="114"/>
      <c r="L456" s="881"/>
      <c r="M456" s="33"/>
      <c r="N456" s="33"/>
      <c r="O456" s="33"/>
      <c r="P456" s="33"/>
      <c r="Q456" s="33"/>
      <c r="R456" s="935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>
      <c r="A457" s="224"/>
      <c r="B457" s="229"/>
      <c r="C457" s="225"/>
      <c r="D457" s="227"/>
      <c r="E457" s="228"/>
      <c r="F457" s="33"/>
      <c r="G457" s="33"/>
      <c r="H457" s="33"/>
      <c r="I457" s="33"/>
      <c r="J457" s="230"/>
      <c r="K457" s="114"/>
      <c r="L457" s="881"/>
      <c r="M457" s="33"/>
      <c r="N457" s="33"/>
      <c r="O457" s="33"/>
      <c r="P457" s="33"/>
      <c r="Q457" s="33"/>
      <c r="R457" s="935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>
      <c r="A458" s="224"/>
      <c r="B458" s="229"/>
      <c r="C458" s="225"/>
      <c r="D458" s="227"/>
      <c r="E458" s="228"/>
      <c r="F458" s="33"/>
      <c r="G458" s="33"/>
      <c r="H458" s="33"/>
      <c r="I458" s="33"/>
      <c r="J458" s="230"/>
      <c r="K458" s="114"/>
      <c r="L458" s="881"/>
      <c r="M458" s="33"/>
      <c r="N458" s="33"/>
      <c r="O458" s="33"/>
      <c r="P458" s="33"/>
      <c r="Q458" s="33"/>
      <c r="R458" s="935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>
      <c r="A459" s="224"/>
      <c r="B459" s="229"/>
      <c r="C459" s="225"/>
      <c r="D459" s="227"/>
      <c r="E459" s="228"/>
      <c r="F459" s="33"/>
      <c r="G459" s="33"/>
      <c r="H459" s="33"/>
      <c r="I459" s="33"/>
      <c r="J459" s="230"/>
      <c r="K459" s="114"/>
      <c r="L459" s="881"/>
      <c r="M459" s="33"/>
      <c r="N459" s="33"/>
      <c r="O459" s="33"/>
      <c r="P459" s="33"/>
      <c r="Q459" s="33"/>
      <c r="R459" s="935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>
      <c r="A460" s="224"/>
      <c r="B460" s="229"/>
      <c r="C460" s="225"/>
      <c r="D460" s="227"/>
      <c r="E460" s="228"/>
      <c r="F460" s="33"/>
      <c r="G460" s="33"/>
      <c r="H460" s="33"/>
      <c r="I460" s="33"/>
      <c r="J460" s="230"/>
      <c r="K460" s="114"/>
      <c r="L460" s="881"/>
      <c r="M460" s="33"/>
      <c r="N460" s="33"/>
      <c r="O460" s="33"/>
      <c r="P460" s="33"/>
      <c r="Q460" s="33"/>
      <c r="R460" s="935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>
      <c r="A461" s="224"/>
      <c r="B461" s="229"/>
      <c r="C461" s="225"/>
      <c r="D461" s="227"/>
      <c r="E461" s="228"/>
      <c r="F461" s="33"/>
      <c r="G461" s="33"/>
      <c r="H461" s="33"/>
      <c r="I461" s="33"/>
      <c r="J461" s="230"/>
      <c r="K461" s="114"/>
      <c r="L461" s="881"/>
      <c r="M461" s="33"/>
      <c r="N461" s="33"/>
      <c r="O461" s="33"/>
      <c r="P461" s="33"/>
      <c r="Q461" s="33"/>
      <c r="R461" s="935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>
      <c r="A462" s="224"/>
      <c r="B462" s="229"/>
      <c r="C462" s="225"/>
      <c r="D462" s="227"/>
      <c r="E462" s="228"/>
      <c r="F462" s="33"/>
      <c r="G462" s="33"/>
      <c r="H462" s="33"/>
      <c r="I462" s="33"/>
      <c r="J462" s="230"/>
      <c r="K462" s="114"/>
      <c r="L462" s="881"/>
      <c r="M462" s="33"/>
      <c r="N462" s="33"/>
      <c r="O462" s="33"/>
      <c r="P462" s="33"/>
      <c r="Q462" s="33"/>
      <c r="R462" s="935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>
      <c r="A463" s="224"/>
      <c r="B463" s="229"/>
      <c r="C463" s="225"/>
      <c r="D463" s="227"/>
      <c r="E463" s="228"/>
      <c r="F463" s="33"/>
      <c r="G463" s="33"/>
      <c r="H463" s="33"/>
      <c r="I463" s="33"/>
      <c r="J463" s="230"/>
      <c r="K463" s="114"/>
      <c r="L463" s="881"/>
      <c r="M463" s="33"/>
      <c r="N463" s="33"/>
      <c r="O463" s="33"/>
      <c r="P463" s="33"/>
      <c r="Q463" s="33"/>
      <c r="R463" s="935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>
      <c r="A464" s="224"/>
      <c r="B464" s="229"/>
      <c r="C464" s="225"/>
      <c r="D464" s="227"/>
      <c r="E464" s="228"/>
      <c r="F464" s="33"/>
      <c r="G464" s="33"/>
      <c r="H464" s="33"/>
      <c r="I464" s="33"/>
      <c r="J464" s="230"/>
      <c r="K464" s="114"/>
      <c r="L464" s="881"/>
      <c r="M464" s="33"/>
      <c r="N464" s="33"/>
      <c r="O464" s="33"/>
      <c r="P464" s="33"/>
      <c r="Q464" s="33"/>
      <c r="R464" s="935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>
      <c r="A465" s="224"/>
      <c r="B465" s="229"/>
      <c r="C465" s="225"/>
      <c r="D465" s="227"/>
      <c r="E465" s="228"/>
      <c r="F465" s="33"/>
      <c r="G465" s="33"/>
      <c r="H465" s="33"/>
      <c r="I465" s="33"/>
      <c r="J465" s="230"/>
      <c r="K465" s="114"/>
      <c r="L465" s="881"/>
      <c r="M465" s="33"/>
      <c r="N465" s="33"/>
      <c r="O465" s="33"/>
      <c r="P465" s="33"/>
      <c r="Q465" s="33"/>
      <c r="R465" s="935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>
      <c r="A466" s="224"/>
      <c r="B466" s="229"/>
      <c r="C466" s="225"/>
      <c r="D466" s="227"/>
      <c r="E466" s="228"/>
      <c r="F466" s="33"/>
      <c r="G466" s="33"/>
      <c r="H466" s="33"/>
      <c r="I466" s="33"/>
      <c r="J466" s="230"/>
      <c r="K466" s="114"/>
      <c r="L466" s="881"/>
      <c r="M466" s="33"/>
      <c r="N466" s="33"/>
      <c r="O466" s="33"/>
      <c r="P466" s="33"/>
      <c r="Q466" s="33"/>
      <c r="R466" s="935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>
      <c r="A467" s="224"/>
      <c r="B467" s="229"/>
      <c r="C467" s="225"/>
      <c r="D467" s="227"/>
      <c r="E467" s="228"/>
      <c r="F467" s="33"/>
      <c r="G467" s="33"/>
      <c r="H467" s="33"/>
      <c r="I467" s="33"/>
      <c r="J467" s="230"/>
      <c r="K467" s="114"/>
      <c r="L467" s="881"/>
      <c r="M467" s="33"/>
      <c r="N467" s="33"/>
      <c r="O467" s="33"/>
      <c r="P467" s="33"/>
      <c r="Q467" s="33"/>
      <c r="R467" s="935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>
      <c r="A468" s="224"/>
      <c r="B468" s="229"/>
      <c r="C468" s="225"/>
      <c r="D468" s="227"/>
      <c r="E468" s="228"/>
      <c r="F468" s="33"/>
      <c r="G468" s="33"/>
      <c r="H468" s="33"/>
      <c r="I468" s="33"/>
      <c r="J468" s="230"/>
      <c r="K468" s="114"/>
      <c r="L468" s="881"/>
      <c r="M468" s="33"/>
      <c r="N468" s="33"/>
      <c r="O468" s="33"/>
      <c r="P468" s="33"/>
      <c r="Q468" s="33"/>
      <c r="R468" s="935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>
      <c r="A469" s="224"/>
      <c r="B469" s="229"/>
      <c r="C469" s="225"/>
      <c r="D469" s="227"/>
      <c r="E469" s="228"/>
      <c r="F469" s="33"/>
      <c r="G469" s="33"/>
      <c r="H469" s="33"/>
      <c r="I469" s="33"/>
      <c r="J469" s="230"/>
      <c r="K469" s="114"/>
      <c r="L469" s="881"/>
      <c r="M469" s="33"/>
      <c r="N469" s="33"/>
      <c r="O469" s="33"/>
      <c r="P469" s="33"/>
      <c r="Q469" s="33"/>
      <c r="R469" s="935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>
      <c r="A470" s="224"/>
      <c r="B470" s="229"/>
      <c r="C470" s="225"/>
      <c r="D470" s="227"/>
      <c r="E470" s="228"/>
      <c r="F470" s="33"/>
      <c r="G470" s="33"/>
      <c r="H470" s="33"/>
      <c r="I470" s="33"/>
      <c r="J470" s="230"/>
      <c r="K470" s="114"/>
      <c r="L470" s="881"/>
      <c r="M470" s="33"/>
      <c r="N470" s="33"/>
      <c r="O470" s="33"/>
      <c r="P470" s="33"/>
      <c r="Q470" s="33"/>
      <c r="R470" s="935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>
      <c r="A471" s="224"/>
      <c r="B471" s="229"/>
      <c r="C471" s="225"/>
      <c r="D471" s="227"/>
      <c r="E471" s="228"/>
      <c r="F471" s="33"/>
      <c r="G471" s="33"/>
      <c r="H471" s="33"/>
      <c r="I471" s="33"/>
      <c r="J471" s="230"/>
      <c r="K471" s="114"/>
      <c r="L471" s="881"/>
      <c r="M471" s="33"/>
      <c r="N471" s="33"/>
      <c r="O471" s="33"/>
      <c r="P471" s="33"/>
      <c r="Q471" s="33"/>
      <c r="R471" s="935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>
      <c r="A472" s="224"/>
      <c r="B472" s="229"/>
      <c r="C472" s="225"/>
      <c r="D472" s="227"/>
      <c r="E472" s="228"/>
      <c r="F472" s="33"/>
      <c r="G472" s="33"/>
      <c r="H472" s="33"/>
      <c r="I472" s="33"/>
      <c r="J472" s="230"/>
      <c r="K472" s="114"/>
      <c r="L472" s="881"/>
      <c r="M472" s="33"/>
      <c r="N472" s="33"/>
      <c r="O472" s="33"/>
      <c r="P472" s="33"/>
      <c r="Q472" s="33"/>
      <c r="R472" s="935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>
      <c r="A473" s="224"/>
      <c r="B473" s="229"/>
      <c r="C473" s="225"/>
      <c r="D473" s="227"/>
      <c r="E473" s="228"/>
      <c r="F473" s="33"/>
      <c r="G473" s="33"/>
      <c r="H473" s="33"/>
      <c r="I473" s="33"/>
      <c r="J473" s="230"/>
      <c r="K473" s="114"/>
      <c r="L473" s="881"/>
      <c r="M473" s="33"/>
      <c r="N473" s="33"/>
      <c r="O473" s="33"/>
      <c r="P473" s="33"/>
      <c r="Q473" s="33"/>
      <c r="R473" s="935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>
      <c r="A474" s="224"/>
      <c r="B474" s="229"/>
      <c r="C474" s="225"/>
      <c r="D474" s="227"/>
      <c r="E474" s="228"/>
      <c r="F474" s="33"/>
      <c r="G474" s="33"/>
      <c r="H474" s="33"/>
      <c r="I474" s="33"/>
      <c r="J474" s="230"/>
      <c r="K474" s="114"/>
      <c r="L474" s="881"/>
      <c r="M474" s="33"/>
      <c r="N474" s="33"/>
      <c r="O474" s="33"/>
      <c r="P474" s="33"/>
      <c r="Q474" s="33"/>
      <c r="R474" s="935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>
      <c r="A475" s="224"/>
      <c r="B475" s="229"/>
      <c r="C475" s="225"/>
      <c r="D475" s="227"/>
      <c r="E475" s="228"/>
      <c r="F475" s="33"/>
      <c r="G475" s="33"/>
      <c r="H475" s="33"/>
      <c r="I475" s="33"/>
      <c r="J475" s="230"/>
      <c r="K475" s="114"/>
      <c r="L475" s="881"/>
      <c r="M475" s="33"/>
      <c r="N475" s="33"/>
      <c r="O475" s="33"/>
      <c r="P475" s="33"/>
      <c r="Q475" s="33"/>
      <c r="R475" s="935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>
      <c r="A476" s="224"/>
      <c r="B476" s="229"/>
      <c r="C476" s="225"/>
      <c r="D476" s="227"/>
      <c r="E476" s="228"/>
      <c r="F476" s="33"/>
      <c r="G476" s="33"/>
      <c r="H476" s="33"/>
      <c r="I476" s="33"/>
      <c r="J476" s="230"/>
      <c r="K476" s="114"/>
      <c r="L476" s="881"/>
      <c r="M476" s="33"/>
      <c r="N476" s="33"/>
      <c r="O476" s="33"/>
      <c r="P476" s="33"/>
      <c r="Q476" s="33"/>
      <c r="R476" s="935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>
      <c r="A477" s="224"/>
      <c r="B477" s="229"/>
      <c r="C477" s="225"/>
      <c r="D477" s="227"/>
      <c r="E477" s="228"/>
      <c r="F477" s="33"/>
      <c r="G477" s="33"/>
      <c r="H477" s="33"/>
      <c r="I477" s="33"/>
      <c r="J477" s="230"/>
      <c r="K477" s="114"/>
      <c r="L477" s="881"/>
      <c r="M477" s="33"/>
      <c r="N477" s="33"/>
      <c r="O477" s="33"/>
      <c r="P477" s="33"/>
      <c r="Q477" s="33"/>
      <c r="R477" s="935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>
      <c r="A478" s="224"/>
      <c r="B478" s="229"/>
      <c r="C478" s="225"/>
      <c r="D478" s="227"/>
      <c r="E478" s="228"/>
      <c r="F478" s="33"/>
      <c r="G478" s="33"/>
      <c r="H478" s="33"/>
      <c r="I478" s="33"/>
      <c r="J478" s="230"/>
      <c r="K478" s="114"/>
      <c r="L478" s="881"/>
      <c r="M478" s="33"/>
      <c r="N478" s="33"/>
      <c r="O478" s="33"/>
      <c r="P478" s="33"/>
      <c r="Q478" s="33"/>
      <c r="R478" s="935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>
      <c r="A479" s="224"/>
      <c r="B479" s="229"/>
      <c r="C479" s="225"/>
      <c r="D479" s="227"/>
      <c r="E479" s="228"/>
      <c r="F479" s="33"/>
      <c r="G479" s="33"/>
      <c r="H479" s="33"/>
      <c r="I479" s="33"/>
      <c r="J479" s="230"/>
      <c r="K479" s="114"/>
      <c r="L479" s="881"/>
      <c r="M479" s="33"/>
      <c r="N479" s="33"/>
      <c r="O479" s="33"/>
      <c r="P479" s="33"/>
      <c r="Q479" s="33"/>
      <c r="R479" s="935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>
      <c r="A480" s="224"/>
      <c r="B480" s="229"/>
      <c r="C480" s="225"/>
      <c r="D480" s="227"/>
      <c r="E480" s="228"/>
      <c r="F480" s="33"/>
      <c r="G480" s="33"/>
      <c r="H480" s="33"/>
      <c r="I480" s="33"/>
      <c r="J480" s="230"/>
      <c r="K480" s="114"/>
      <c r="L480" s="881"/>
      <c r="M480" s="33"/>
      <c r="N480" s="33"/>
      <c r="O480" s="33"/>
      <c r="P480" s="33"/>
      <c r="Q480" s="33"/>
      <c r="R480" s="935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>
      <c r="A481" s="224"/>
      <c r="B481" s="229"/>
      <c r="C481" s="225"/>
      <c r="D481" s="227"/>
      <c r="E481" s="228"/>
      <c r="F481" s="33"/>
      <c r="G481" s="33"/>
      <c r="H481" s="33"/>
      <c r="I481" s="33"/>
      <c r="J481" s="230"/>
      <c r="K481" s="114"/>
      <c r="L481" s="881"/>
      <c r="M481" s="33"/>
      <c r="N481" s="33"/>
      <c r="O481" s="33"/>
      <c r="P481" s="33"/>
      <c r="Q481" s="33"/>
      <c r="R481" s="935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>
      <c r="A482" s="224"/>
      <c r="B482" s="229"/>
      <c r="C482" s="225"/>
      <c r="D482" s="227"/>
      <c r="E482" s="228"/>
      <c r="F482" s="33"/>
      <c r="G482" s="33"/>
      <c r="H482" s="33"/>
      <c r="I482" s="33"/>
      <c r="J482" s="230"/>
      <c r="K482" s="114"/>
      <c r="L482" s="881"/>
      <c r="M482" s="33"/>
      <c r="N482" s="33"/>
      <c r="O482" s="33"/>
      <c r="P482" s="33"/>
      <c r="Q482" s="33"/>
      <c r="R482" s="935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>
      <c r="A483" s="224"/>
      <c r="B483" s="229"/>
      <c r="C483" s="225"/>
      <c r="D483" s="227"/>
      <c r="E483" s="228"/>
      <c r="F483" s="33"/>
      <c r="G483" s="33"/>
      <c r="H483" s="33"/>
      <c r="I483" s="33"/>
      <c r="J483" s="230"/>
      <c r="K483" s="114"/>
      <c r="L483" s="881"/>
      <c r="M483" s="33"/>
      <c r="N483" s="33"/>
      <c r="O483" s="33"/>
      <c r="P483" s="33"/>
      <c r="Q483" s="33"/>
      <c r="R483" s="935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>
      <c r="A484" s="224"/>
      <c r="B484" s="229"/>
      <c r="C484" s="225"/>
      <c r="D484" s="227"/>
      <c r="E484" s="228"/>
      <c r="F484" s="33"/>
      <c r="G484" s="33"/>
      <c r="H484" s="33"/>
      <c r="I484" s="33"/>
      <c r="J484" s="230"/>
      <c r="K484" s="114"/>
      <c r="L484" s="881"/>
      <c r="M484" s="33"/>
      <c r="N484" s="33"/>
      <c r="O484" s="33"/>
      <c r="P484" s="33"/>
      <c r="Q484" s="33"/>
      <c r="R484" s="935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>
      <c r="A485" s="224"/>
      <c r="B485" s="229"/>
      <c r="C485" s="225"/>
      <c r="D485" s="227"/>
      <c r="E485" s="228"/>
      <c r="F485" s="33"/>
      <c r="G485" s="33"/>
      <c r="H485" s="33"/>
      <c r="I485" s="33"/>
      <c r="J485" s="230"/>
      <c r="K485" s="114"/>
      <c r="L485" s="881"/>
      <c r="M485" s="33"/>
      <c r="N485" s="33"/>
      <c r="O485" s="33"/>
      <c r="P485" s="33"/>
      <c r="Q485" s="33"/>
      <c r="R485" s="935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>
      <c r="A486" s="224"/>
      <c r="B486" s="229"/>
      <c r="C486" s="225"/>
      <c r="D486" s="227"/>
      <c r="E486" s="228"/>
      <c r="F486" s="33"/>
      <c r="G486" s="33"/>
      <c r="H486" s="33"/>
      <c r="I486" s="33"/>
      <c r="J486" s="230"/>
      <c r="K486" s="114"/>
      <c r="L486" s="881"/>
      <c r="M486" s="33"/>
      <c r="N486" s="33"/>
      <c r="O486" s="33"/>
      <c r="P486" s="33"/>
      <c r="Q486" s="33"/>
      <c r="R486" s="935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>
      <c r="A487" s="224"/>
      <c r="B487" s="229"/>
      <c r="C487" s="225"/>
      <c r="D487" s="227"/>
      <c r="E487" s="228"/>
      <c r="F487" s="33"/>
      <c r="G487" s="33"/>
      <c r="H487" s="33"/>
      <c r="I487" s="33"/>
      <c r="J487" s="230"/>
      <c r="K487" s="114"/>
      <c r="L487" s="881"/>
      <c r="M487" s="33"/>
      <c r="N487" s="33"/>
      <c r="O487" s="33"/>
      <c r="P487" s="33"/>
      <c r="Q487" s="33"/>
      <c r="R487" s="935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>
      <c r="A488" s="224"/>
      <c r="B488" s="229"/>
      <c r="C488" s="225"/>
      <c r="D488" s="227"/>
      <c r="E488" s="228"/>
      <c r="F488" s="33"/>
      <c r="G488" s="33"/>
      <c r="H488" s="33"/>
      <c r="I488" s="33"/>
      <c r="J488" s="230"/>
      <c r="K488" s="114"/>
      <c r="L488" s="881"/>
      <c r="M488" s="33"/>
      <c r="N488" s="33"/>
      <c r="O488" s="33"/>
      <c r="P488" s="33"/>
      <c r="Q488" s="33"/>
      <c r="R488" s="935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>
      <c r="A489" s="224"/>
      <c r="B489" s="229"/>
      <c r="C489" s="225"/>
      <c r="D489" s="227"/>
      <c r="E489" s="228"/>
      <c r="F489" s="33"/>
      <c r="G489" s="33"/>
      <c r="H489" s="33"/>
      <c r="I489" s="33"/>
      <c r="J489" s="230"/>
      <c r="K489" s="114"/>
      <c r="L489" s="881"/>
      <c r="M489" s="33"/>
      <c r="N489" s="33"/>
      <c r="O489" s="33"/>
      <c r="P489" s="33"/>
      <c r="Q489" s="33"/>
      <c r="R489" s="935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>
      <c r="A490" s="224"/>
      <c r="B490" s="229"/>
      <c r="C490" s="225"/>
      <c r="D490" s="227"/>
      <c r="E490" s="228"/>
      <c r="F490" s="33"/>
      <c r="G490" s="33"/>
      <c r="H490" s="33"/>
      <c r="I490" s="33"/>
      <c r="J490" s="230"/>
      <c r="K490" s="114"/>
      <c r="L490" s="881"/>
      <c r="M490" s="33"/>
      <c r="N490" s="33"/>
      <c r="O490" s="33"/>
      <c r="P490" s="33"/>
      <c r="Q490" s="33"/>
      <c r="R490" s="935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>
      <c r="A491" s="224"/>
      <c r="B491" s="229"/>
      <c r="C491" s="225"/>
      <c r="D491" s="227"/>
      <c r="E491" s="228"/>
      <c r="F491" s="33"/>
      <c r="G491" s="33"/>
      <c r="H491" s="33"/>
      <c r="I491" s="33"/>
      <c r="J491" s="230"/>
      <c r="K491" s="114"/>
      <c r="L491" s="881"/>
      <c r="M491" s="33"/>
      <c r="N491" s="33"/>
      <c r="O491" s="33"/>
      <c r="P491" s="33"/>
      <c r="Q491" s="33"/>
      <c r="R491" s="935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>
      <c r="A492" s="224"/>
      <c r="B492" s="229"/>
      <c r="C492" s="225"/>
      <c r="D492" s="227"/>
      <c r="E492" s="228"/>
      <c r="F492" s="33"/>
      <c r="G492" s="33"/>
      <c r="H492" s="33"/>
      <c r="I492" s="33"/>
      <c r="J492" s="230"/>
      <c r="K492" s="114"/>
      <c r="L492" s="881"/>
      <c r="M492" s="33"/>
      <c r="N492" s="33"/>
      <c r="O492" s="33"/>
      <c r="P492" s="33"/>
      <c r="Q492" s="33"/>
      <c r="R492" s="935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>
      <c r="A493" s="224"/>
      <c r="B493" s="229"/>
      <c r="C493" s="225"/>
      <c r="D493" s="227"/>
      <c r="E493" s="228"/>
      <c r="F493" s="33"/>
      <c r="G493" s="33"/>
      <c r="H493" s="33"/>
      <c r="I493" s="33"/>
      <c r="J493" s="230"/>
      <c r="K493" s="114"/>
      <c r="L493" s="881"/>
      <c r="M493" s="33"/>
      <c r="N493" s="33"/>
      <c r="O493" s="33"/>
      <c r="P493" s="33"/>
      <c r="Q493" s="33"/>
      <c r="R493" s="935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>
      <c r="A494" s="224"/>
      <c r="B494" s="229"/>
      <c r="C494" s="225"/>
      <c r="D494" s="227"/>
      <c r="E494" s="228"/>
      <c r="F494" s="33"/>
      <c r="G494" s="33"/>
      <c r="H494" s="33"/>
      <c r="I494" s="33"/>
      <c r="J494" s="230"/>
      <c r="K494" s="114"/>
      <c r="L494" s="881"/>
      <c r="M494" s="33"/>
      <c r="N494" s="33"/>
      <c r="O494" s="33"/>
      <c r="P494" s="33"/>
      <c r="Q494" s="33"/>
      <c r="R494" s="935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>
      <c r="A495" s="224"/>
      <c r="B495" s="229"/>
      <c r="C495" s="225"/>
      <c r="D495" s="227"/>
      <c r="E495" s="228"/>
      <c r="F495" s="33"/>
      <c r="G495" s="33"/>
      <c r="H495" s="33"/>
      <c r="I495" s="33"/>
      <c r="J495" s="230"/>
      <c r="K495" s="114"/>
      <c r="L495" s="881"/>
      <c r="M495" s="33"/>
      <c r="N495" s="33"/>
      <c r="O495" s="33"/>
      <c r="P495" s="33"/>
      <c r="Q495" s="33"/>
      <c r="R495" s="935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>
      <c r="A496" s="224"/>
      <c r="B496" s="229"/>
      <c r="C496" s="225"/>
      <c r="D496" s="227"/>
      <c r="E496" s="228"/>
      <c r="F496" s="33"/>
      <c r="G496" s="33"/>
      <c r="H496" s="33"/>
      <c r="I496" s="33"/>
      <c r="J496" s="230"/>
      <c r="K496" s="114"/>
      <c r="L496" s="881"/>
      <c r="M496" s="33"/>
      <c r="N496" s="33"/>
      <c r="O496" s="33"/>
      <c r="P496" s="33"/>
      <c r="Q496" s="33"/>
      <c r="R496" s="935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>
      <c r="A497" s="224"/>
      <c r="B497" s="229"/>
      <c r="C497" s="225"/>
      <c r="D497" s="227"/>
      <c r="E497" s="228"/>
      <c r="F497" s="33"/>
      <c r="G497" s="33"/>
      <c r="H497" s="33"/>
      <c r="I497" s="33"/>
      <c r="J497" s="230"/>
      <c r="K497" s="114"/>
      <c r="L497" s="881"/>
      <c r="M497" s="33"/>
      <c r="N497" s="33"/>
      <c r="O497" s="33"/>
      <c r="P497" s="33"/>
      <c r="Q497" s="33"/>
      <c r="R497" s="935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>
      <c r="A498" s="224"/>
      <c r="B498" s="229"/>
      <c r="C498" s="225"/>
      <c r="D498" s="227"/>
      <c r="E498" s="228"/>
      <c r="F498" s="33"/>
      <c r="G498" s="33"/>
      <c r="H498" s="33"/>
      <c r="I498" s="33"/>
      <c r="J498" s="230"/>
      <c r="K498" s="114"/>
      <c r="L498" s="881"/>
      <c r="M498" s="33"/>
      <c r="N498" s="33"/>
      <c r="O498" s="33"/>
      <c r="P498" s="33"/>
      <c r="Q498" s="33"/>
      <c r="R498" s="935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>
      <c r="A499" s="224"/>
      <c r="B499" s="229"/>
      <c r="C499" s="225"/>
      <c r="D499" s="227"/>
      <c r="E499" s="228"/>
      <c r="F499" s="33"/>
      <c r="G499" s="33"/>
      <c r="H499" s="33"/>
      <c r="I499" s="33"/>
      <c r="J499" s="230"/>
      <c r="K499" s="114"/>
      <c r="L499" s="881"/>
      <c r="M499" s="33"/>
      <c r="N499" s="33"/>
      <c r="O499" s="33"/>
      <c r="P499" s="33"/>
      <c r="Q499" s="33"/>
      <c r="R499" s="935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>
      <c r="A500" s="224"/>
      <c r="B500" s="229"/>
      <c r="C500" s="225"/>
      <c r="D500" s="227"/>
      <c r="E500" s="228"/>
      <c r="F500" s="33"/>
      <c r="G500" s="33"/>
      <c r="H500" s="33"/>
      <c r="I500" s="33"/>
      <c r="J500" s="230"/>
      <c r="K500" s="114"/>
      <c r="L500" s="881"/>
      <c r="M500" s="33"/>
      <c r="N500" s="33"/>
      <c r="O500" s="33"/>
      <c r="P500" s="33"/>
      <c r="Q500" s="33"/>
      <c r="R500" s="935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>
      <c r="A501" s="224"/>
      <c r="B501" s="229"/>
      <c r="C501" s="225"/>
      <c r="D501" s="227"/>
      <c r="E501" s="228"/>
      <c r="F501" s="33"/>
      <c r="G501" s="33"/>
      <c r="H501" s="33"/>
      <c r="I501" s="33"/>
      <c r="J501" s="230"/>
      <c r="K501" s="114"/>
      <c r="L501" s="881"/>
      <c r="M501" s="33"/>
      <c r="N501" s="33"/>
      <c r="O501" s="33"/>
      <c r="P501" s="33"/>
      <c r="Q501" s="33"/>
      <c r="R501" s="935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>
      <c r="A502" s="224"/>
      <c r="B502" s="229"/>
      <c r="C502" s="225"/>
      <c r="D502" s="227"/>
      <c r="E502" s="228"/>
      <c r="F502" s="33"/>
      <c r="G502" s="33"/>
      <c r="H502" s="33"/>
      <c r="I502" s="33"/>
      <c r="J502" s="230"/>
      <c r="K502" s="114"/>
      <c r="L502" s="881"/>
      <c r="M502" s="33"/>
      <c r="N502" s="33"/>
      <c r="O502" s="33"/>
      <c r="P502" s="33"/>
      <c r="Q502" s="33"/>
      <c r="R502" s="935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>
      <c r="A503" s="224"/>
      <c r="B503" s="229"/>
      <c r="C503" s="225"/>
      <c r="D503" s="227"/>
      <c r="E503" s="228"/>
      <c r="F503" s="33"/>
      <c r="G503" s="33"/>
      <c r="H503" s="33"/>
      <c r="I503" s="33"/>
      <c r="J503" s="230"/>
      <c r="K503" s="114"/>
      <c r="L503" s="881"/>
      <c r="M503" s="33"/>
      <c r="N503" s="33"/>
      <c r="O503" s="33"/>
      <c r="P503" s="33"/>
      <c r="Q503" s="33"/>
      <c r="R503" s="935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>
      <c r="A504" s="224"/>
      <c r="B504" s="229"/>
      <c r="C504" s="225"/>
      <c r="D504" s="227"/>
      <c r="E504" s="228"/>
      <c r="F504" s="33"/>
      <c r="G504" s="33"/>
      <c r="H504" s="33"/>
      <c r="I504" s="33"/>
      <c r="J504" s="230"/>
      <c r="K504" s="114"/>
      <c r="L504" s="881"/>
      <c r="M504" s="33"/>
      <c r="N504" s="33"/>
      <c r="O504" s="33"/>
      <c r="P504" s="33"/>
      <c r="Q504" s="33"/>
      <c r="R504" s="935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>
      <c r="A505" s="224"/>
      <c r="B505" s="229"/>
      <c r="C505" s="225"/>
      <c r="D505" s="227"/>
      <c r="E505" s="228"/>
      <c r="F505" s="33"/>
      <c r="G505" s="33"/>
      <c r="H505" s="33"/>
      <c r="I505" s="33"/>
      <c r="J505" s="230"/>
      <c r="K505" s="114"/>
      <c r="L505" s="881"/>
      <c r="M505" s="33"/>
      <c r="N505" s="33"/>
      <c r="O505" s="33"/>
      <c r="P505" s="33"/>
      <c r="Q505" s="33"/>
      <c r="R505" s="935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>
      <c r="A506" s="224"/>
      <c r="B506" s="229"/>
      <c r="C506" s="225"/>
      <c r="D506" s="227"/>
      <c r="E506" s="228"/>
      <c r="F506" s="33"/>
      <c r="G506" s="33"/>
      <c r="H506" s="33"/>
      <c r="I506" s="33"/>
      <c r="J506" s="230"/>
      <c r="K506" s="114"/>
      <c r="L506" s="881"/>
      <c r="M506" s="33"/>
      <c r="N506" s="33"/>
      <c r="O506" s="33"/>
      <c r="P506" s="33"/>
      <c r="Q506" s="33"/>
      <c r="R506" s="935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>
      <c r="A507" s="224"/>
      <c r="B507" s="229"/>
      <c r="C507" s="225"/>
      <c r="D507" s="227"/>
      <c r="E507" s="228"/>
      <c r="F507" s="33"/>
      <c r="G507" s="33"/>
      <c r="H507" s="33"/>
      <c r="I507" s="33"/>
      <c r="J507" s="230"/>
      <c r="K507" s="114"/>
      <c r="L507" s="881"/>
      <c r="M507" s="33"/>
      <c r="N507" s="33"/>
      <c r="O507" s="33"/>
      <c r="P507" s="33"/>
      <c r="Q507" s="33"/>
      <c r="R507" s="935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>
      <c r="A508" s="224"/>
      <c r="B508" s="229"/>
      <c r="C508" s="225"/>
      <c r="D508" s="227"/>
      <c r="E508" s="228"/>
      <c r="F508" s="33"/>
      <c r="G508" s="33"/>
      <c r="H508" s="33"/>
      <c r="I508" s="33"/>
      <c r="J508" s="230"/>
      <c r="K508" s="114"/>
      <c r="L508" s="881"/>
      <c r="M508" s="33"/>
      <c r="N508" s="33"/>
      <c r="O508" s="33"/>
      <c r="P508" s="33"/>
      <c r="Q508" s="33"/>
      <c r="R508" s="935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>
      <c r="A509" s="224"/>
      <c r="B509" s="229"/>
      <c r="C509" s="225"/>
      <c r="D509" s="227"/>
      <c r="E509" s="228"/>
      <c r="F509" s="33"/>
      <c r="G509" s="33"/>
      <c r="H509" s="33"/>
      <c r="I509" s="33"/>
      <c r="J509" s="230"/>
      <c r="K509" s="114"/>
      <c r="L509" s="881"/>
      <c r="M509" s="33"/>
      <c r="N509" s="33"/>
      <c r="O509" s="33"/>
      <c r="P509" s="33"/>
      <c r="Q509" s="33"/>
      <c r="R509" s="935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>
      <c r="A510" s="224"/>
      <c r="B510" s="229"/>
      <c r="C510" s="225"/>
      <c r="D510" s="227"/>
      <c r="E510" s="228"/>
      <c r="F510" s="33"/>
      <c r="G510" s="33"/>
      <c r="H510" s="33"/>
      <c r="I510" s="33"/>
      <c r="J510" s="230"/>
      <c r="K510" s="114"/>
      <c r="L510" s="881"/>
      <c r="M510" s="33"/>
      <c r="N510" s="33"/>
      <c r="O510" s="33"/>
      <c r="P510" s="33"/>
      <c r="Q510" s="33"/>
      <c r="R510" s="935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>
      <c r="A511" s="224"/>
      <c r="B511" s="229"/>
      <c r="C511" s="225"/>
      <c r="D511" s="227"/>
      <c r="E511" s="228"/>
      <c r="F511" s="33"/>
      <c r="G511" s="33"/>
      <c r="H511" s="33"/>
      <c r="I511" s="33"/>
      <c r="J511" s="230"/>
      <c r="K511" s="114"/>
      <c r="L511" s="881"/>
      <c r="M511" s="33"/>
      <c r="N511" s="33"/>
      <c r="O511" s="33"/>
      <c r="P511" s="33"/>
      <c r="Q511" s="33"/>
      <c r="R511" s="935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>
      <c r="A512" s="224"/>
      <c r="B512" s="229"/>
      <c r="C512" s="225"/>
      <c r="D512" s="227"/>
      <c r="E512" s="228"/>
      <c r="F512" s="33"/>
      <c r="G512" s="33"/>
      <c r="H512" s="33"/>
      <c r="I512" s="33"/>
      <c r="J512" s="230"/>
      <c r="K512" s="114"/>
      <c r="L512" s="881"/>
      <c r="M512" s="33"/>
      <c r="N512" s="33"/>
      <c r="O512" s="33"/>
      <c r="P512" s="33"/>
      <c r="Q512" s="33"/>
      <c r="R512" s="935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>
      <c r="A513" s="224"/>
      <c r="B513" s="229"/>
      <c r="C513" s="225"/>
      <c r="D513" s="227"/>
      <c r="E513" s="228"/>
      <c r="F513" s="33"/>
      <c r="G513" s="33"/>
      <c r="H513" s="33"/>
      <c r="I513" s="33"/>
      <c r="J513" s="230"/>
      <c r="K513" s="114"/>
      <c r="L513" s="881"/>
      <c r="M513" s="33"/>
      <c r="N513" s="33"/>
      <c r="O513" s="33"/>
      <c r="P513" s="33"/>
      <c r="Q513" s="33"/>
      <c r="R513" s="935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>
      <c r="A514" s="224"/>
      <c r="B514" s="229"/>
      <c r="C514" s="225"/>
      <c r="D514" s="227"/>
      <c r="E514" s="228"/>
      <c r="F514" s="33"/>
      <c r="G514" s="33"/>
      <c r="H514" s="33"/>
      <c r="I514" s="33"/>
      <c r="J514" s="230"/>
      <c r="K514" s="114"/>
      <c r="L514" s="881"/>
      <c r="M514" s="33"/>
      <c r="N514" s="33"/>
      <c r="O514" s="33"/>
      <c r="P514" s="33"/>
      <c r="Q514" s="33"/>
      <c r="R514" s="935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>
      <c r="A515" s="224"/>
      <c r="B515" s="229"/>
      <c r="C515" s="225"/>
      <c r="D515" s="227"/>
      <c r="E515" s="228"/>
      <c r="F515" s="33"/>
      <c r="G515" s="33"/>
      <c r="H515" s="33"/>
      <c r="I515" s="33"/>
      <c r="J515" s="230"/>
      <c r="K515" s="114"/>
      <c r="L515" s="881"/>
      <c r="M515" s="33"/>
      <c r="N515" s="33"/>
      <c r="O515" s="33"/>
      <c r="P515" s="33"/>
      <c r="Q515" s="33"/>
      <c r="R515" s="935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>
      <c r="A516" s="224"/>
      <c r="B516" s="229"/>
      <c r="C516" s="225"/>
      <c r="D516" s="227"/>
      <c r="E516" s="228"/>
      <c r="F516" s="33"/>
      <c r="G516" s="33"/>
      <c r="H516" s="33"/>
      <c r="I516" s="33"/>
      <c r="J516" s="230"/>
      <c r="K516" s="114"/>
      <c r="L516" s="881"/>
      <c r="M516" s="33"/>
      <c r="N516" s="33"/>
      <c r="O516" s="33"/>
      <c r="P516" s="33"/>
      <c r="Q516" s="33"/>
      <c r="R516" s="935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>
      <c r="A517" s="224"/>
      <c r="B517" s="229"/>
      <c r="C517" s="225"/>
      <c r="D517" s="227"/>
      <c r="E517" s="228"/>
      <c r="F517" s="33"/>
      <c r="G517" s="33"/>
      <c r="H517" s="33"/>
      <c r="I517" s="33"/>
      <c r="J517" s="230"/>
      <c r="K517" s="114"/>
      <c r="L517" s="881"/>
      <c r="M517" s="33"/>
      <c r="N517" s="33"/>
      <c r="O517" s="33"/>
      <c r="P517" s="33"/>
      <c r="Q517" s="33"/>
      <c r="R517" s="935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>
      <c r="A518" s="224"/>
      <c r="B518" s="229"/>
      <c r="C518" s="225"/>
      <c r="D518" s="227"/>
      <c r="E518" s="228"/>
      <c r="F518" s="33"/>
      <c r="G518" s="33"/>
      <c r="H518" s="33"/>
      <c r="I518" s="33"/>
      <c r="J518" s="230"/>
      <c r="K518" s="114"/>
      <c r="L518" s="881"/>
      <c r="M518" s="33"/>
      <c r="N518" s="33"/>
      <c r="O518" s="33"/>
      <c r="P518" s="33"/>
      <c r="Q518" s="33"/>
      <c r="R518" s="935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>
      <c r="A519" s="224"/>
      <c r="B519" s="229"/>
      <c r="C519" s="225"/>
      <c r="D519" s="227"/>
      <c r="E519" s="228"/>
      <c r="F519" s="33"/>
      <c r="G519" s="33"/>
      <c r="H519" s="33"/>
      <c r="I519" s="33"/>
      <c r="J519" s="230"/>
      <c r="K519" s="114"/>
      <c r="L519" s="881"/>
      <c r="M519" s="33"/>
      <c r="N519" s="33"/>
      <c r="O519" s="33"/>
      <c r="P519" s="33"/>
      <c r="Q519" s="33"/>
      <c r="R519" s="935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>
      <c r="A520" s="224"/>
      <c r="B520" s="229"/>
      <c r="C520" s="225"/>
      <c r="D520" s="227"/>
      <c r="E520" s="228"/>
      <c r="F520" s="33"/>
      <c r="G520" s="33"/>
      <c r="H520" s="33"/>
      <c r="I520" s="33"/>
      <c r="J520" s="230"/>
      <c r="K520" s="114"/>
      <c r="L520" s="881"/>
      <c r="M520" s="33"/>
      <c r="N520" s="33"/>
      <c r="O520" s="33"/>
      <c r="P520" s="33"/>
      <c r="Q520" s="33"/>
      <c r="R520" s="935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>
      <c r="A521" s="224"/>
      <c r="B521" s="229"/>
      <c r="C521" s="225"/>
      <c r="D521" s="227"/>
      <c r="E521" s="228"/>
      <c r="F521" s="33"/>
      <c r="G521" s="33"/>
      <c r="H521" s="33"/>
      <c r="I521" s="33"/>
      <c r="J521" s="230"/>
      <c r="K521" s="114"/>
      <c r="L521" s="881"/>
      <c r="M521" s="33"/>
      <c r="N521" s="33"/>
      <c r="O521" s="33"/>
      <c r="P521" s="33"/>
      <c r="Q521" s="33"/>
      <c r="R521" s="935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>
      <c r="A522" s="224"/>
      <c r="B522" s="229"/>
      <c r="C522" s="225"/>
      <c r="D522" s="227"/>
      <c r="E522" s="228"/>
      <c r="F522" s="33"/>
      <c r="G522" s="33"/>
      <c r="H522" s="33"/>
      <c r="I522" s="33"/>
      <c r="J522" s="230"/>
      <c r="K522" s="114"/>
      <c r="L522" s="881"/>
      <c r="M522" s="33"/>
      <c r="N522" s="33"/>
      <c r="O522" s="33"/>
      <c r="P522" s="33"/>
      <c r="Q522" s="33"/>
      <c r="R522" s="935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>
      <c r="A523" s="224"/>
      <c r="B523" s="229"/>
      <c r="C523" s="225"/>
      <c r="D523" s="227"/>
      <c r="E523" s="228"/>
      <c r="F523" s="33"/>
      <c r="G523" s="33"/>
      <c r="H523" s="33"/>
      <c r="I523" s="33"/>
      <c r="J523" s="230"/>
      <c r="K523" s="114"/>
      <c r="L523" s="881"/>
      <c r="M523" s="33"/>
      <c r="N523" s="33"/>
      <c r="O523" s="33"/>
      <c r="P523" s="33"/>
      <c r="Q523" s="33"/>
      <c r="R523" s="935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>
      <c r="A524" s="224"/>
      <c r="B524" s="229"/>
      <c r="C524" s="225"/>
      <c r="D524" s="227"/>
      <c r="E524" s="228"/>
      <c r="F524" s="33"/>
      <c r="G524" s="33"/>
      <c r="H524" s="33"/>
      <c r="I524" s="33"/>
      <c r="J524" s="230"/>
      <c r="K524" s="114"/>
      <c r="L524" s="881"/>
      <c r="M524" s="33"/>
      <c r="N524" s="33"/>
      <c r="O524" s="33"/>
      <c r="P524" s="33"/>
      <c r="Q524" s="33"/>
      <c r="R524" s="935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>
      <c r="A525" s="224"/>
      <c r="B525" s="229"/>
      <c r="C525" s="225"/>
      <c r="D525" s="227"/>
      <c r="E525" s="228"/>
      <c r="F525" s="33"/>
      <c r="G525" s="33"/>
      <c r="H525" s="33"/>
      <c r="I525" s="33"/>
      <c r="J525" s="230"/>
      <c r="K525" s="114"/>
      <c r="L525" s="881"/>
      <c r="M525" s="33"/>
      <c r="N525" s="33"/>
      <c r="O525" s="33"/>
      <c r="P525" s="33"/>
      <c r="Q525" s="33"/>
      <c r="R525" s="935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>
      <c r="A526" s="224"/>
      <c r="B526" s="229"/>
      <c r="C526" s="225"/>
      <c r="D526" s="227"/>
      <c r="E526" s="228"/>
      <c r="F526" s="33"/>
      <c r="G526" s="33"/>
      <c r="H526" s="33"/>
      <c r="I526" s="33"/>
      <c r="J526" s="230"/>
      <c r="K526" s="114"/>
      <c r="L526" s="881"/>
      <c r="M526" s="33"/>
      <c r="N526" s="33"/>
      <c r="O526" s="33"/>
      <c r="P526" s="33"/>
      <c r="Q526" s="33"/>
      <c r="R526" s="935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>
      <c r="A527" s="224"/>
      <c r="B527" s="229"/>
      <c r="C527" s="225"/>
      <c r="D527" s="227"/>
      <c r="E527" s="228"/>
      <c r="F527" s="33"/>
      <c r="G527" s="33"/>
      <c r="H527" s="33"/>
      <c r="I527" s="33"/>
      <c r="J527" s="230"/>
      <c r="K527" s="114"/>
      <c r="L527" s="881"/>
      <c r="M527" s="33"/>
      <c r="N527" s="33"/>
      <c r="O527" s="33"/>
      <c r="P527" s="33"/>
      <c r="Q527" s="33"/>
      <c r="R527" s="935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>
      <c r="A528" s="224"/>
      <c r="B528" s="229"/>
      <c r="C528" s="225"/>
      <c r="D528" s="227"/>
      <c r="E528" s="228"/>
      <c r="F528" s="33"/>
      <c r="G528" s="33"/>
      <c r="H528" s="33"/>
      <c r="I528" s="33"/>
      <c r="J528" s="230"/>
      <c r="K528" s="114"/>
      <c r="L528" s="881"/>
      <c r="M528" s="33"/>
      <c r="N528" s="33"/>
      <c r="O528" s="33"/>
      <c r="P528" s="33"/>
      <c r="Q528" s="33"/>
      <c r="R528" s="935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>
      <c r="A529" s="224"/>
      <c r="B529" s="229"/>
      <c r="C529" s="225"/>
      <c r="D529" s="227"/>
      <c r="E529" s="228"/>
      <c r="F529" s="33"/>
      <c r="G529" s="33"/>
      <c r="H529" s="33"/>
      <c r="I529" s="33"/>
      <c r="J529" s="230"/>
      <c r="K529" s="114"/>
      <c r="L529" s="881"/>
      <c r="M529" s="33"/>
      <c r="N529" s="33"/>
      <c r="O529" s="33"/>
      <c r="P529" s="33"/>
      <c r="Q529" s="33"/>
      <c r="R529" s="935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>
      <c r="A530" s="224"/>
      <c r="B530" s="229"/>
      <c r="C530" s="225"/>
      <c r="D530" s="227"/>
      <c r="E530" s="228"/>
      <c r="F530" s="33"/>
      <c r="G530" s="33"/>
      <c r="H530" s="33"/>
      <c r="I530" s="33"/>
      <c r="J530" s="230"/>
      <c r="K530" s="114"/>
      <c r="L530" s="881"/>
      <c r="M530" s="33"/>
      <c r="N530" s="33"/>
      <c r="O530" s="33"/>
      <c r="P530" s="33"/>
      <c r="Q530" s="33"/>
      <c r="R530" s="935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>
      <c r="A531" s="224"/>
      <c r="B531" s="229"/>
      <c r="C531" s="225"/>
      <c r="D531" s="227"/>
      <c r="E531" s="228"/>
      <c r="F531" s="33"/>
      <c r="G531" s="33"/>
      <c r="H531" s="33"/>
      <c r="I531" s="33"/>
      <c r="J531" s="230"/>
      <c r="K531" s="114"/>
      <c r="L531" s="881"/>
      <c r="M531" s="33"/>
      <c r="N531" s="33"/>
      <c r="O531" s="33"/>
      <c r="P531" s="33"/>
      <c r="Q531" s="33"/>
      <c r="R531" s="935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>
      <c r="A532" s="224"/>
      <c r="B532" s="229"/>
      <c r="C532" s="225"/>
      <c r="D532" s="227"/>
      <c r="E532" s="228"/>
      <c r="F532" s="33"/>
      <c r="G532" s="33"/>
      <c r="H532" s="33"/>
      <c r="I532" s="33"/>
      <c r="J532" s="230"/>
      <c r="K532" s="114"/>
      <c r="L532" s="881"/>
      <c r="M532" s="33"/>
      <c r="N532" s="33"/>
      <c r="O532" s="33"/>
      <c r="P532" s="33"/>
      <c r="Q532" s="33"/>
      <c r="R532" s="935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>
      <c r="A533" s="224"/>
      <c r="B533" s="229"/>
      <c r="C533" s="225"/>
      <c r="D533" s="227"/>
      <c r="E533" s="228"/>
      <c r="F533" s="33"/>
      <c r="G533" s="33"/>
      <c r="H533" s="33"/>
      <c r="I533" s="33"/>
      <c r="J533" s="230"/>
      <c r="K533" s="114"/>
      <c r="L533" s="881"/>
      <c r="M533" s="33"/>
      <c r="N533" s="33"/>
      <c r="O533" s="33"/>
      <c r="P533" s="33"/>
      <c r="Q533" s="33"/>
      <c r="R533" s="935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>
      <c r="A534" s="224"/>
      <c r="B534" s="229"/>
      <c r="C534" s="225"/>
      <c r="D534" s="227"/>
      <c r="E534" s="228"/>
      <c r="F534" s="33"/>
      <c r="G534" s="33"/>
      <c r="H534" s="33"/>
      <c r="I534" s="33"/>
      <c r="J534" s="230"/>
      <c r="K534" s="114"/>
      <c r="L534" s="881"/>
      <c r="M534" s="33"/>
      <c r="N534" s="33"/>
      <c r="O534" s="33"/>
      <c r="P534" s="33"/>
      <c r="Q534" s="33"/>
      <c r="R534" s="935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>
      <c r="A535" s="224"/>
      <c r="B535" s="229"/>
      <c r="C535" s="225"/>
      <c r="D535" s="227"/>
      <c r="E535" s="228"/>
      <c r="F535" s="33"/>
      <c r="G535" s="33"/>
      <c r="H535" s="33"/>
      <c r="I535" s="33"/>
      <c r="J535" s="230"/>
      <c r="K535" s="114"/>
      <c r="L535" s="881"/>
      <c r="M535" s="33"/>
      <c r="N535" s="33"/>
      <c r="O535" s="33"/>
      <c r="P535" s="33"/>
      <c r="Q535" s="33"/>
      <c r="R535" s="935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>
      <c r="A536" s="224"/>
      <c r="B536" s="229"/>
      <c r="C536" s="225"/>
      <c r="D536" s="227"/>
      <c r="E536" s="228"/>
      <c r="F536" s="33"/>
      <c r="G536" s="33"/>
      <c r="H536" s="33"/>
      <c r="I536" s="33"/>
      <c r="J536" s="230"/>
      <c r="K536" s="114"/>
      <c r="L536" s="881"/>
      <c r="M536" s="33"/>
      <c r="N536" s="33"/>
      <c r="O536" s="33"/>
      <c r="P536" s="33"/>
      <c r="Q536" s="33"/>
      <c r="R536" s="935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>
      <c r="A537" s="224"/>
      <c r="B537" s="229"/>
      <c r="C537" s="225"/>
      <c r="D537" s="227"/>
      <c r="E537" s="228"/>
      <c r="F537" s="33"/>
      <c r="G537" s="33"/>
      <c r="H537" s="33"/>
      <c r="I537" s="33"/>
      <c r="J537" s="230"/>
      <c r="K537" s="114"/>
      <c r="L537" s="881"/>
      <c r="M537" s="33"/>
      <c r="N537" s="33"/>
      <c r="O537" s="33"/>
      <c r="P537" s="33"/>
      <c r="Q537" s="33"/>
      <c r="R537" s="935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>
      <c r="A538" s="224"/>
      <c r="B538" s="229"/>
      <c r="C538" s="225"/>
      <c r="D538" s="227"/>
      <c r="E538" s="228"/>
      <c r="F538" s="33"/>
      <c r="G538" s="33"/>
      <c r="H538" s="33"/>
      <c r="I538" s="33"/>
      <c r="J538" s="230"/>
      <c r="K538" s="114"/>
      <c r="L538" s="881"/>
      <c r="M538" s="33"/>
      <c r="N538" s="33"/>
      <c r="O538" s="33"/>
      <c r="P538" s="33"/>
      <c r="Q538" s="33"/>
      <c r="R538" s="935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>
      <c r="A539" s="224"/>
      <c r="B539" s="229"/>
      <c r="C539" s="225"/>
      <c r="D539" s="227"/>
      <c r="E539" s="228"/>
      <c r="F539" s="33"/>
      <c r="G539" s="33"/>
      <c r="H539" s="33"/>
      <c r="I539" s="33"/>
      <c r="J539" s="230"/>
      <c r="K539" s="114"/>
      <c r="L539" s="881"/>
      <c r="M539" s="33"/>
      <c r="N539" s="33"/>
      <c r="O539" s="33"/>
      <c r="P539" s="33"/>
      <c r="Q539" s="33"/>
      <c r="R539" s="935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>
      <c r="A540" s="224"/>
      <c r="B540" s="229"/>
      <c r="C540" s="225"/>
      <c r="D540" s="227"/>
      <c r="E540" s="228"/>
      <c r="F540" s="33"/>
      <c r="G540" s="33"/>
      <c r="H540" s="33"/>
      <c r="I540" s="33"/>
      <c r="J540" s="230"/>
      <c r="K540" s="114"/>
      <c r="L540" s="881"/>
      <c r="M540" s="33"/>
      <c r="N540" s="33"/>
      <c r="O540" s="33"/>
      <c r="P540" s="33"/>
      <c r="Q540" s="33"/>
      <c r="R540" s="935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>
      <c r="A541" s="224"/>
      <c r="B541" s="229"/>
      <c r="C541" s="225"/>
      <c r="D541" s="227"/>
      <c r="E541" s="228"/>
      <c r="F541" s="33"/>
      <c r="G541" s="33"/>
      <c r="H541" s="33"/>
      <c r="I541" s="33"/>
      <c r="J541" s="230"/>
      <c r="K541" s="114"/>
      <c r="L541" s="881"/>
      <c r="M541" s="33"/>
      <c r="N541" s="33"/>
      <c r="O541" s="33"/>
      <c r="P541" s="33"/>
      <c r="Q541" s="33"/>
      <c r="R541" s="935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>
      <c r="A542" s="224"/>
      <c r="B542" s="229"/>
      <c r="C542" s="225"/>
      <c r="D542" s="227"/>
      <c r="E542" s="228"/>
      <c r="F542" s="33"/>
      <c r="G542" s="33"/>
      <c r="H542" s="33"/>
      <c r="I542" s="33"/>
      <c r="J542" s="230"/>
      <c r="K542" s="114"/>
      <c r="L542" s="881"/>
      <c r="M542" s="33"/>
      <c r="N542" s="33"/>
      <c r="O542" s="33"/>
      <c r="P542" s="33"/>
      <c r="Q542" s="33"/>
      <c r="R542" s="935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>
      <c r="A543" s="224"/>
      <c r="B543" s="229"/>
      <c r="C543" s="225"/>
      <c r="D543" s="227"/>
      <c r="E543" s="228"/>
      <c r="F543" s="33"/>
      <c r="G543" s="33"/>
      <c r="H543" s="33"/>
      <c r="I543" s="33"/>
      <c r="J543" s="230"/>
      <c r="K543" s="114"/>
      <c r="L543" s="881"/>
      <c r="M543" s="33"/>
      <c r="N543" s="33"/>
      <c r="O543" s="33"/>
      <c r="P543" s="33"/>
      <c r="Q543" s="33"/>
      <c r="R543" s="935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>
      <c r="A544" s="224"/>
      <c r="B544" s="229"/>
      <c r="C544" s="225"/>
      <c r="D544" s="227"/>
      <c r="E544" s="228"/>
      <c r="F544" s="33"/>
      <c r="G544" s="33"/>
      <c r="H544" s="33"/>
      <c r="I544" s="33"/>
      <c r="J544" s="230"/>
      <c r="K544" s="114"/>
      <c r="L544" s="881"/>
      <c r="M544" s="33"/>
      <c r="N544" s="33"/>
      <c r="O544" s="33"/>
      <c r="P544" s="33"/>
      <c r="Q544" s="33"/>
      <c r="R544" s="935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>
      <c r="A545" s="224"/>
      <c r="B545" s="229"/>
      <c r="C545" s="225"/>
      <c r="D545" s="227"/>
      <c r="E545" s="228"/>
      <c r="F545" s="33"/>
      <c r="G545" s="33"/>
      <c r="H545" s="33"/>
      <c r="I545" s="33"/>
      <c r="J545" s="230"/>
      <c r="K545" s="114"/>
      <c r="L545" s="881"/>
      <c r="M545" s="33"/>
      <c r="N545" s="33"/>
      <c r="O545" s="33"/>
      <c r="P545" s="33"/>
      <c r="Q545" s="33"/>
      <c r="R545" s="935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>
      <c r="A546" s="224"/>
      <c r="B546" s="229"/>
      <c r="C546" s="225"/>
      <c r="D546" s="227"/>
      <c r="E546" s="228"/>
      <c r="F546" s="33"/>
      <c r="G546" s="33"/>
      <c r="H546" s="33"/>
      <c r="I546" s="33"/>
      <c r="J546" s="230"/>
      <c r="K546" s="114"/>
      <c r="L546" s="881"/>
      <c r="M546" s="33"/>
      <c r="N546" s="33"/>
      <c r="O546" s="33"/>
      <c r="P546" s="33"/>
      <c r="Q546" s="33"/>
      <c r="R546" s="935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>
      <c r="A547" s="224"/>
      <c r="B547" s="229"/>
      <c r="C547" s="225"/>
      <c r="D547" s="227"/>
      <c r="E547" s="228"/>
      <c r="F547" s="33"/>
      <c r="G547" s="33"/>
      <c r="H547" s="33"/>
      <c r="I547" s="33"/>
      <c r="J547" s="230"/>
      <c r="K547" s="114"/>
      <c r="L547" s="881"/>
      <c r="M547" s="33"/>
      <c r="N547" s="33"/>
      <c r="O547" s="33"/>
      <c r="P547" s="33"/>
      <c r="Q547" s="33"/>
      <c r="R547" s="935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>
      <c r="A548" s="224"/>
      <c r="B548" s="229"/>
      <c r="C548" s="225"/>
      <c r="D548" s="227"/>
      <c r="E548" s="228"/>
      <c r="F548" s="33"/>
      <c r="G548" s="33"/>
      <c r="H548" s="33"/>
      <c r="I548" s="33"/>
      <c r="J548" s="230"/>
      <c r="K548" s="114"/>
      <c r="L548" s="881"/>
      <c r="M548" s="33"/>
      <c r="N548" s="33"/>
      <c r="O548" s="33"/>
      <c r="P548" s="33"/>
      <c r="Q548" s="33"/>
      <c r="R548" s="935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>
      <c r="A549" s="224"/>
      <c r="B549" s="229"/>
      <c r="C549" s="225"/>
      <c r="D549" s="227"/>
      <c r="E549" s="228"/>
      <c r="F549" s="33"/>
      <c r="G549" s="33"/>
      <c r="H549" s="33"/>
      <c r="I549" s="33"/>
      <c r="J549" s="230"/>
      <c r="K549" s="114"/>
      <c r="L549" s="881"/>
      <c r="M549" s="33"/>
      <c r="N549" s="33"/>
      <c r="O549" s="33"/>
      <c r="P549" s="33"/>
      <c r="Q549" s="33"/>
      <c r="R549" s="935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>
      <c r="A550" s="224"/>
      <c r="B550" s="229"/>
      <c r="C550" s="225"/>
      <c r="D550" s="227"/>
      <c r="E550" s="228"/>
      <c r="F550" s="33"/>
      <c r="G550" s="33"/>
      <c r="H550" s="33"/>
      <c r="I550" s="33"/>
      <c r="J550" s="230"/>
      <c r="K550" s="114"/>
      <c r="L550" s="881"/>
      <c r="M550" s="33"/>
      <c r="N550" s="33"/>
      <c r="O550" s="33"/>
      <c r="P550" s="33"/>
      <c r="Q550" s="33"/>
      <c r="R550" s="935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>
      <c r="A551" s="224"/>
      <c r="B551" s="229"/>
      <c r="C551" s="225"/>
      <c r="D551" s="227"/>
      <c r="E551" s="228"/>
      <c r="F551" s="33"/>
      <c r="G551" s="33"/>
      <c r="H551" s="33"/>
      <c r="I551" s="33"/>
      <c r="J551" s="230"/>
      <c r="K551" s="114"/>
      <c r="L551" s="881"/>
      <c r="M551" s="33"/>
      <c r="N551" s="33"/>
      <c r="O551" s="33"/>
      <c r="P551" s="33"/>
      <c r="Q551" s="33"/>
      <c r="R551" s="935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>
      <c r="A552" s="224"/>
      <c r="B552" s="229"/>
      <c r="C552" s="225"/>
      <c r="D552" s="227"/>
      <c r="E552" s="228"/>
      <c r="F552" s="33"/>
      <c r="G552" s="33"/>
      <c r="H552" s="33"/>
      <c r="I552" s="33"/>
      <c r="J552" s="230"/>
      <c r="K552" s="114"/>
      <c r="L552" s="881"/>
      <c r="M552" s="33"/>
      <c r="N552" s="33"/>
      <c r="O552" s="33"/>
      <c r="P552" s="33"/>
      <c r="Q552" s="33"/>
      <c r="R552" s="935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>
      <c r="A553" s="224"/>
      <c r="B553" s="229"/>
      <c r="C553" s="225"/>
      <c r="D553" s="227"/>
      <c r="E553" s="228"/>
      <c r="F553" s="33"/>
      <c r="G553" s="33"/>
      <c r="H553" s="33"/>
      <c r="I553" s="33"/>
      <c r="J553" s="230"/>
      <c r="K553" s="114"/>
      <c r="L553" s="881"/>
      <c r="M553" s="33"/>
      <c r="N553" s="33"/>
      <c r="O553" s="33"/>
      <c r="P553" s="33"/>
      <c r="Q553" s="33"/>
      <c r="R553" s="935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>
      <c r="A554" s="224"/>
      <c r="B554" s="229"/>
      <c r="C554" s="225"/>
      <c r="D554" s="227"/>
      <c r="E554" s="228"/>
      <c r="F554" s="33"/>
      <c r="G554" s="33"/>
      <c r="H554" s="33"/>
      <c r="I554" s="33"/>
      <c r="J554" s="230"/>
      <c r="K554" s="114"/>
      <c r="L554" s="881"/>
      <c r="M554" s="33"/>
      <c r="N554" s="33"/>
      <c r="O554" s="33"/>
      <c r="P554" s="33"/>
      <c r="Q554" s="33"/>
      <c r="R554" s="935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>
      <c r="A555" s="224"/>
      <c r="B555" s="229"/>
      <c r="C555" s="225"/>
      <c r="D555" s="227"/>
      <c r="E555" s="228"/>
      <c r="F555" s="33"/>
      <c r="G555" s="33"/>
      <c r="H555" s="33"/>
      <c r="I555" s="33"/>
      <c r="J555" s="230"/>
      <c r="K555" s="114"/>
      <c r="L555" s="881"/>
      <c r="M555" s="33"/>
      <c r="N555" s="33"/>
      <c r="O555" s="33"/>
      <c r="P555" s="33"/>
      <c r="Q555" s="33"/>
      <c r="R555" s="935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>
      <c r="A556" s="224"/>
      <c r="B556" s="229"/>
      <c r="C556" s="225"/>
      <c r="D556" s="227"/>
      <c r="E556" s="228"/>
      <c r="F556" s="33"/>
      <c r="G556" s="33"/>
      <c r="H556" s="33"/>
      <c r="I556" s="33"/>
      <c r="J556" s="230"/>
      <c r="K556" s="114"/>
      <c r="L556" s="881"/>
      <c r="M556" s="33"/>
      <c r="N556" s="33"/>
      <c r="O556" s="33"/>
      <c r="P556" s="33"/>
      <c r="Q556" s="33"/>
      <c r="R556" s="935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>
      <c r="A557" s="224"/>
      <c r="B557" s="229"/>
      <c r="C557" s="225"/>
      <c r="D557" s="227"/>
      <c r="E557" s="228"/>
      <c r="F557" s="33"/>
      <c r="G557" s="33"/>
      <c r="H557" s="33"/>
      <c r="I557" s="33"/>
      <c r="J557" s="230"/>
      <c r="K557" s="114"/>
      <c r="L557" s="881"/>
      <c r="M557" s="33"/>
      <c r="N557" s="33"/>
      <c r="O557" s="33"/>
      <c r="P557" s="33"/>
      <c r="Q557" s="33"/>
      <c r="R557" s="935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>
      <c r="A558" s="224"/>
      <c r="B558" s="229"/>
      <c r="C558" s="225"/>
      <c r="D558" s="227"/>
      <c r="E558" s="228"/>
      <c r="F558" s="33"/>
      <c r="G558" s="33"/>
      <c r="H558" s="33"/>
      <c r="I558" s="33"/>
      <c r="J558" s="230"/>
      <c r="K558" s="114"/>
      <c r="L558" s="881"/>
      <c r="M558" s="33"/>
      <c r="N558" s="33"/>
      <c r="O558" s="33"/>
      <c r="P558" s="33"/>
      <c r="Q558" s="33"/>
      <c r="R558" s="935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>
      <c r="A559" s="224"/>
      <c r="B559" s="229"/>
      <c r="C559" s="225"/>
      <c r="D559" s="227"/>
      <c r="E559" s="228"/>
      <c r="F559" s="33"/>
      <c r="G559" s="33"/>
      <c r="H559" s="33"/>
      <c r="I559" s="33"/>
      <c r="J559" s="230"/>
      <c r="K559" s="114"/>
      <c r="L559" s="881"/>
      <c r="M559" s="33"/>
      <c r="N559" s="33"/>
      <c r="O559" s="33"/>
      <c r="P559" s="33"/>
      <c r="Q559" s="33"/>
      <c r="R559" s="935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>
      <c r="A560" s="224"/>
      <c r="B560" s="229"/>
      <c r="C560" s="225"/>
      <c r="D560" s="227"/>
      <c r="E560" s="228"/>
      <c r="F560" s="33"/>
      <c r="G560" s="33"/>
      <c r="H560" s="33"/>
      <c r="I560" s="33"/>
      <c r="J560" s="230"/>
      <c r="K560" s="114"/>
      <c r="L560" s="881"/>
      <c r="M560" s="33"/>
      <c r="N560" s="33"/>
      <c r="O560" s="33"/>
      <c r="P560" s="33"/>
      <c r="Q560" s="33"/>
      <c r="R560" s="935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>
      <c r="A561" s="224"/>
      <c r="B561" s="229"/>
      <c r="C561" s="225"/>
      <c r="D561" s="227"/>
      <c r="E561" s="228"/>
      <c r="F561" s="33"/>
      <c r="G561" s="33"/>
      <c r="H561" s="33"/>
      <c r="I561" s="33"/>
      <c r="J561" s="230"/>
      <c r="K561" s="114"/>
      <c r="L561" s="881"/>
      <c r="M561" s="33"/>
      <c r="N561" s="33"/>
      <c r="O561" s="33"/>
      <c r="P561" s="33"/>
      <c r="Q561" s="33"/>
      <c r="R561" s="935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>
      <c r="A562" s="224"/>
      <c r="B562" s="229"/>
      <c r="C562" s="225"/>
      <c r="D562" s="227"/>
      <c r="E562" s="228"/>
      <c r="F562" s="33"/>
      <c r="G562" s="33"/>
      <c r="H562" s="33"/>
      <c r="I562" s="33"/>
      <c r="J562" s="230"/>
      <c r="K562" s="114"/>
      <c r="L562" s="881"/>
      <c r="M562" s="33"/>
      <c r="N562" s="33"/>
      <c r="O562" s="33"/>
      <c r="P562" s="33"/>
      <c r="Q562" s="33"/>
      <c r="R562" s="935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>
      <c r="A563" s="224"/>
      <c r="B563" s="229"/>
      <c r="C563" s="225"/>
      <c r="D563" s="227"/>
      <c r="E563" s="228"/>
      <c r="F563" s="33"/>
      <c r="G563" s="33"/>
      <c r="H563" s="33"/>
      <c r="I563" s="33"/>
      <c r="J563" s="230"/>
      <c r="K563" s="114"/>
      <c r="L563" s="881"/>
      <c r="M563" s="33"/>
      <c r="N563" s="33"/>
      <c r="O563" s="33"/>
      <c r="P563" s="33"/>
      <c r="Q563" s="33"/>
      <c r="R563" s="935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>
      <c r="A564" s="224"/>
      <c r="B564" s="229"/>
      <c r="C564" s="225"/>
      <c r="D564" s="227"/>
      <c r="E564" s="228"/>
      <c r="F564" s="33"/>
      <c r="G564" s="33"/>
      <c r="H564" s="33"/>
      <c r="I564" s="33"/>
      <c r="J564" s="230"/>
      <c r="K564" s="114"/>
      <c r="L564" s="881"/>
      <c r="M564" s="33"/>
      <c r="N564" s="33"/>
      <c r="O564" s="33"/>
      <c r="P564" s="33"/>
      <c r="Q564" s="33"/>
      <c r="R564" s="935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>
      <c r="A565" s="224"/>
      <c r="B565" s="229"/>
      <c r="C565" s="225"/>
      <c r="D565" s="227"/>
      <c r="E565" s="228"/>
      <c r="F565" s="33"/>
      <c r="G565" s="33"/>
      <c r="H565" s="33"/>
      <c r="I565" s="33"/>
      <c r="J565" s="230"/>
      <c r="K565" s="114"/>
      <c r="L565" s="881"/>
      <c r="M565" s="33"/>
      <c r="N565" s="33"/>
      <c r="O565" s="33"/>
      <c r="P565" s="33"/>
      <c r="Q565" s="33"/>
      <c r="R565" s="935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>
      <c r="A566" s="224"/>
      <c r="B566" s="229"/>
      <c r="C566" s="225"/>
      <c r="D566" s="227"/>
      <c r="E566" s="228"/>
      <c r="F566" s="33"/>
      <c r="G566" s="33"/>
      <c r="H566" s="33"/>
      <c r="I566" s="33"/>
      <c r="J566" s="230"/>
      <c r="K566" s="114"/>
      <c r="L566" s="881"/>
      <c r="M566" s="33"/>
      <c r="N566" s="33"/>
      <c r="O566" s="33"/>
      <c r="P566" s="33"/>
      <c r="Q566" s="33"/>
      <c r="R566" s="935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>
      <c r="A567" s="224"/>
      <c r="B567" s="229"/>
      <c r="C567" s="225"/>
      <c r="D567" s="227"/>
      <c r="E567" s="228"/>
      <c r="F567" s="33"/>
      <c r="G567" s="33"/>
      <c r="H567" s="33"/>
      <c r="I567" s="33"/>
      <c r="J567" s="230"/>
      <c r="K567" s="114"/>
      <c r="L567" s="881"/>
      <c r="M567" s="33"/>
      <c r="N567" s="33"/>
      <c r="O567" s="33"/>
      <c r="P567" s="33"/>
      <c r="Q567" s="33"/>
      <c r="R567" s="935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>
      <c r="A568" s="224"/>
      <c r="B568" s="229"/>
      <c r="C568" s="225"/>
      <c r="D568" s="227"/>
      <c r="E568" s="228"/>
      <c r="F568" s="33"/>
      <c r="G568" s="33"/>
      <c r="H568" s="33"/>
      <c r="I568" s="33"/>
      <c r="J568" s="230"/>
      <c r="K568" s="114"/>
      <c r="L568" s="881"/>
      <c r="M568" s="33"/>
      <c r="N568" s="33"/>
      <c r="O568" s="33"/>
      <c r="P568" s="33"/>
      <c r="Q568" s="33"/>
      <c r="R568" s="935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>
      <c r="A569" s="224"/>
      <c r="B569" s="229"/>
      <c r="C569" s="225"/>
      <c r="D569" s="227"/>
      <c r="E569" s="228"/>
      <c r="F569" s="33"/>
      <c r="G569" s="33"/>
      <c r="H569" s="33"/>
      <c r="I569" s="33"/>
      <c r="J569" s="230"/>
      <c r="K569" s="114"/>
      <c r="L569" s="881"/>
      <c r="M569" s="33"/>
      <c r="N569" s="33"/>
      <c r="O569" s="33"/>
      <c r="P569" s="33"/>
      <c r="Q569" s="33"/>
      <c r="R569" s="935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>
      <c r="A570" s="224"/>
      <c r="B570" s="229"/>
      <c r="C570" s="225"/>
      <c r="D570" s="227"/>
      <c r="E570" s="228"/>
      <c r="F570" s="33"/>
      <c r="G570" s="33"/>
      <c r="H570" s="33"/>
      <c r="I570" s="33"/>
      <c r="J570" s="230"/>
      <c r="K570" s="114"/>
      <c r="L570" s="881"/>
      <c r="M570" s="33"/>
      <c r="N570" s="33"/>
      <c r="O570" s="33"/>
      <c r="P570" s="33"/>
      <c r="Q570" s="33"/>
      <c r="R570" s="935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>
      <c r="A571" s="224"/>
      <c r="B571" s="229"/>
      <c r="C571" s="225"/>
      <c r="D571" s="227"/>
      <c r="E571" s="228"/>
      <c r="F571" s="33"/>
      <c r="G571" s="33"/>
      <c r="H571" s="33"/>
      <c r="I571" s="33"/>
      <c r="J571" s="230"/>
      <c r="K571" s="114"/>
      <c r="L571" s="881"/>
      <c r="M571" s="33"/>
      <c r="N571" s="33"/>
      <c r="O571" s="33"/>
      <c r="P571" s="33"/>
      <c r="Q571" s="33"/>
      <c r="R571" s="935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>
      <c r="A572" s="224"/>
      <c r="B572" s="229"/>
      <c r="C572" s="225"/>
      <c r="D572" s="227"/>
      <c r="E572" s="228"/>
      <c r="F572" s="33"/>
      <c r="G572" s="33"/>
      <c r="H572" s="33"/>
      <c r="I572" s="33"/>
      <c r="J572" s="230"/>
      <c r="K572" s="114"/>
      <c r="L572" s="881"/>
      <c r="M572" s="33"/>
      <c r="N572" s="33"/>
      <c r="O572" s="33"/>
      <c r="P572" s="33"/>
      <c r="Q572" s="33"/>
      <c r="R572" s="935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>
      <c r="A573" s="224"/>
      <c r="B573" s="229"/>
      <c r="C573" s="225"/>
      <c r="D573" s="227"/>
      <c r="E573" s="228"/>
      <c r="F573" s="33"/>
      <c r="G573" s="33"/>
      <c r="H573" s="33"/>
      <c r="I573" s="33"/>
      <c r="J573" s="230"/>
      <c r="K573" s="114"/>
      <c r="L573" s="881"/>
      <c r="M573" s="33"/>
      <c r="N573" s="33"/>
      <c r="O573" s="33"/>
      <c r="P573" s="33"/>
      <c r="Q573" s="33"/>
      <c r="R573" s="935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>
      <c r="A574" s="224"/>
      <c r="B574" s="229"/>
      <c r="C574" s="225"/>
      <c r="D574" s="227"/>
      <c r="E574" s="228"/>
      <c r="F574" s="33"/>
      <c r="G574" s="33"/>
      <c r="H574" s="33"/>
      <c r="I574" s="33"/>
      <c r="J574" s="230"/>
      <c r="K574" s="114"/>
      <c r="L574" s="881"/>
      <c r="M574" s="33"/>
      <c r="N574" s="33"/>
      <c r="O574" s="33"/>
      <c r="P574" s="33"/>
      <c r="Q574" s="33"/>
      <c r="R574" s="935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>
      <c r="A575" s="224"/>
      <c r="B575" s="229"/>
      <c r="C575" s="225"/>
      <c r="D575" s="227"/>
      <c r="E575" s="228"/>
      <c r="F575" s="33"/>
      <c r="G575" s="33"/>
      <c r="H575" s="33"/>
      <c r="I575" s="33"/>
      <c r="J575" s="230"/>
      <c r="K575" s="114"/>
      <c r="L575" s="881"/>
      <c r="M575" s="33"/>
      <c r="N575" s="33"/>
      <c r="O575" s="33"/>
      <c r="P575" s="33"/>
      <c r="Q575" s="33"/>
      <c r="R575" s="935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>
      <c r="A576" s="224"/>
      <c r="B576" s="229"/>
      <c r="C576" s="225"/>
      <c r="D576" s="227"/>
      <c r="E576" s="228"/>
      <c r="F576" s="33"/>
      <c r="G576" s="33"/>
      <c r="H576" s="33"/>
      <c r="I576" s="33"/>
      <c r="J576" s="230"/>
      <c r="K576" s="114"/>
      <c r="L576" s="881"/>
      <c r="M576" s="33"/>
      <c r="N576" s="33"/>
      <c r="O576" s="33"/>
      <c r="P576" s="33"/>
      <c r="Q576" s="33"/>
      <c r="R576" s="935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>
      <c r="A577" s="224"/>
      <c r="B577" s="229"/>
      <c r="C577" s="225"/>
      <c r="D577" s="227"/>
      <c r="E577" s="228"/>
      <c r="F577" s="33"/>
      <c r="G577" s="33"/>
      <c r="H577" s="33"/>
      <c r="I577" s="33"/>
      <c r="J577" s="230"/>
      <c r="K577" s="114"/>
      <c r="L577" s="881"/>
      <c r="M577" s="33"/>
      <c r="N577" s="33"/>
      <c r="O577" s="33"/>
      <c r="P577" s="33"/>
      <c r="Q577" s="33"/>
      <c r="R577" s="935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>
      <c r="A578" s="224"/>
      <c r="B578" s="229"/>
      <c r="C578" s="225"/>
      <c r="D578" s="227"/>
      <c r="E578" s="228"/>
      <c r="F578" s="33"/>
      <c r="G578" s="33"/>
      <c r="H578" s="33"/>
      <c r="I578" s="33"/>
      <c r="J578" s="230"/>
      <c r="K578" s="114"/>
      <c r="L578" s="881"/>
      <c r="M578" s="33"/>
      <c r="N578" s="33"/>
      <c r="O578" s="33"/>
      <c r="P578" s="33"/>
      <c r="Q578" s="33"/>
      <c r="R578" s="935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>
      <c r="A579" s="224"/>
      <c r="B579" s="229"/>
      <c r="C579" s="225"/>
      <c r="D579" s="227"/>
      <c r="E579" s="228"/>
      <c r="F579" s="33"/>
      <c r="G579" s="33"/>
      <c r="H579" s="33"/>
      <c r="I579" s="33"/>
      <c r="J579" s="230"/>
      <c r="K579" s="114"/>
      <c r="L579" s="881"/>
      <c r="M579" s="33"/>
      <c r="N579" s="33"/>
      <c r="O579" s="33"/>
      <c r="P579" s="33"/>
      <c r="Q579" s="33"/>
      <c r="R579" s="935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>
      <c r="A580" s="224"/>
      <c r="B580" s="229"/>
      <c r="C580" s="225"/>
      <c r="D580" s="227"/>
      <c r="E580" s="228"/>
      <c r="F580" s="33"/>
      <c r="G580" s="33"/>
      <c r="H580" s="33"/>
      <c r="I580" s="33"/>
      <c r="J580" s="230"/>
      <c r="K580" s="114"/>
      <c r="L580" s="881"/>
      <c r="M580" s="33"/>
      <c r="N580" s="33"/>
      <c r="O580" s="33"/>
      <c r="P580" s="33"/>
      <c r="Q580" s="33"/>
      <c r="R580" s="935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>
      <c r="A581" s="224"/>
      <c r="B581" s="229"/>
      <c r="C581" s="225"/>
      <c r="D581" s="227"/>
      <c r="E581" s="228"/>
      <c r="F581" s="33"/>
      <c r="G581" s="33"/>
      <c r="H581" s="33"/>
      <c r="I581" s="33"/>
      <c r="J581" s="230"/>
      <c r="K581" s="114"/>
      <c r="L581" s="881"/>
      <c r="M581" s="33"/>
      <c r="N581" s="33"/>
      <c r="O581" s="33"/>
      <c r="P581" s="33"/>
      <c r="Q581" s="33"/>
      <c r="R581" s="935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>
      <c r="A582" s="224"/>
      <c r="B582" s="229"/>
      <c r="C582" s="225"/>
      <c r="D582" s="227"/>
      <c r="E582" s="228"/>
      <c r="F582" s="33"/>
      <c r="G582" s="33"/>
      <c r="H582" s="33"/>
      <c r="I582" s="33"/>
      <c r="J582" s="230"/>
      <c r="K582" s="114"/>
      <c r="L582" s="881"/>
      <c r="M582" s="33"/>
      <c r="N582" s="33"/>
      <c r="O582" s="33"/>
      <c r="P582" s="33"/>
      <c r="Q582" s="33"/>
      <c r="R582" s="935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>
      <c r="A583" s="224"/>
      <c r="B583" s="229"/>
      <c r="C583" s="225"/>
      <c r="D583" s="227"/>
      <c r="E583" s="228"/>
      <c r="F583" s="33"/>
      <c r="G583" s="33"/>
      <c r="H583" s="33"/>
      <c r="I583" s="33"/>
      <c r="J583" s="230"/>
      <c r="K583" s="114"/>
      <c r="L583" s="881"/>
      <c r="M583" s="33"/>
      <c r="N583" s="33"/>
      <c r="O583" s="33"/>
      <c r="P583" s="33"/>
      <c r="Q583" s="33"/>
      <c r="R583" s="935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>
      <c r="A584" s="224"/>
      <c r="B584" s="229"/>
      <c r="C584" s="225"/>
      <c r="D584" s="227"/>
      <c r="E584" s="228"/>
      <c r="F584" s="33"/>
      <c r="G584" s="33"/>
      <c r="H584" s="33"/>
      <c r="I584" s="33"/>
      <c r="J584" s="230"/>
      <c r="K584" s="114"/>
      <c r="L584" s="881"/>
      <c r="M584" s="33"/>
      <c r="N584" s="33"/>
      <c r="O584" s="33"/>
      <c r="P584" s="33"/>
      <c r="Q584" s="33"/>
      <c r="R584" s="935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>
      <c r="A585" s="224"/>
      <c r="B585" s="229"/>
      <c r="C585" s="225"/>
      <c r="D585" s="227"/>
      <c r="E585" s="228"/>
      <c r="F585" s="33"/>
      <c r="G585" s="33"/>
      <c r="H585" s="33"/>
      <c r="I585" s="33"/>
      <c r="J585" s="230"/>
      <c r="K585" s="114"/>
      <c r="L585" s="881"/>
      <c r="M585" s="33"/>
      <c r="N585" s="33"/>
      <c r="O585" s="33"/>
      <c r="P585" s="33"/>
      <c r="Q585" s="33"/>
      <c r="R585" s="935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>
      <c r="A586" s="224"/>
      <c r="B586" s="229"/>
      <c r="C586" s="225"/>
      <c r="D586" s="227"/>
      <c r="E586" s="228"/>
      <c r="F586" s="33"/>
      <c r="G586" s="33"/>
      <c r="H586" s="33"/>
      <c r="I586" s="33"/>
      <c r="J586" s="230"/>
      <c r="K586" s="114"/>
      <c r="L586" s="881"/>
      <c r="M586" s="33"/>
      <c r="N586" s="33"/>
      <c r="O586" s="33"/>
      <c r="P586" s="33"/>
      <c r="Q586" s="33"/>
      <c r="R586" s="935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>
      <c r="A587" s="224"/>
      <c r="B587" s="229"/>
      <c r="C587" s="225"/>
      <c r="D587" s="227"/>
      <c r="E587" s="228"/>
      <c r="F587" s="33"/>
      <c r="G587" s="33"/>
      <c r="H587" s="33"/>
      <c r="I587" s="33"/>
      <c r="J587" s="230"/>
      <c r="K587" s="114"/>
      <c r="L587" s="881"/>
      <c r="M587" s="33"/>
      <c r="N587" s="33"/>
      <c r="O587" s="33"/>
      <c r="P587" s="33"/>
      <c r="Q587" s="33"/>
      <c r="R587" s="935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>
      <c r="A588" s="224"/>
      <c r="B588" s="229"/>
      <c r="C588" s="225"/>
      <c r="D588" s="227"/>
      <c r="E588" s="228"/>
      <c r="F588" s="33"/>
      <c r="G588" s="33"/>
      <c r="H588" s="33"/>
      <c r="I588" s="33"/>
      <c r="J588" s="230"/>
      <c r="K588" s="114"/>
      <c r="L588" s="881"/>
      <c r="M588" s="33"/>
      <c r="N588" s="33"/>
      <c r="O588" s="33"/>
      <c r="P588" s="33"/>
      <c r="Q588" s="33"/>
      <c r="R588" s="935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>
      <c r="A589" s="224"/>
      <c r="B589" s="229"/>
      <c r="C589" s="225"/>
      <c r="D589" s="227"/>
      <c r="E589" s="228"/>
      <c r="F589" s="33"/>
      <c r="G589" s="33"/>
      <c r="H589" s="33"/>
      <c r="I589" s="33"/>
      <c r="J589" s="230"/>
      <c r="K589" s="114"/>
      <c r="L589" s="881"/>
      <c r="M589" s="33"/>
      <c r="N589" s="33"/>
      <c r="O589" s="33"/>
      <c r="P589" s="33"/>
      <c r="Q589" s="33"/>
      <c r="R589" s="935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>
      <c r="A590" s="224"/>
      <c r="B590" s="229"/>
      <c r="C590" s="225"/>
      <c r="D590" s="227"/>
      <c r="E590" s="228"/>
      <c r="F590" s="33"/>
      <c r="G590" s="33"/>
      <c r="H590" s="33"/>
      <c r="I590" s="33"/>
      <c r="J590" s="230"/>
      <c r="K590" s="114"/>
      <c r="L590" s="881"/>
      <c r="M590" s="33"/>
      <c r="N590" s="33"/>
      <c r="O590" s="33"/>
      <c r="P590" s="33"/>
      <c r="Q590" s="33"/>
      <c r="R590" s="935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>
      <c r="A591" s="224"/>
      <c r="B591" s="229"/>
      <c r="C591" s="225"/>
      <c r="D591" s="227"/>
      <c r="E591" s="228"/>
      <c r="F591" s="33"/>
      <c r="G591" s="33"/>
      <c r="H591" s="33"/>
      <c r="I591" s="33"/>
      <c r="J591" s="230"/>
      <c r="K591" s="114"/>
      <c r="L591" s="881"/>
      <c r="M591" s="33"/>
      <c r="N591" s="33"/>
      <c r="O591" s="33"/>
      <c r="P591" s="33"/>
      <c r="Q591" s="33"/>
      <c r="R591" s="935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>
      <c r="A592" s="224"/>
      <c r="B592" s="229"/>
      <c r="C592" s="225"/>
      <c r="D592" s="227"/>
      <c r="E592" s="228"/>
      <c r="F592" s="33"/>
      <c r="G592" s="33"/>
      <c r="H592" s="33"/>
      <c r="I592" s="33"/>
      <c r="J592" s="230"/>
      <c r="K592" s="114"/>
      <c r="L592" s="881"/>
      <c r="M592" s="33"/>
      <c r="N592" s="33"/>
      <c r="O592" s="33"/>
      <c r="P592" s="33"/>
      <c r="Q592" s="33"/>
      <c r="R592" s="935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>
      <c r="A593" s="224"/>
      <c r="B593" s="229"/>
      <c r="C593" s="225"/>
      <c r="D593" s="227"/>
      <c r="E593" s="228"/>
      <c r="F593" s="33"/>
      <c r="G593" s="33"/>
      <c r="H593" s="33"/>
      <c r="I593" s="33"/>
      <c r="J593" s="230"/>
      <c r="K593" s="114"/>
      <c r="L593" s="881"/>
      <c r="M593" s="33"/>
      <c r="N593" s="33"/>
      <c r="O593" s="33"/>
      <c r="P593" s="33"/>
      <c r="Q593" s="33"/>
      <c r="R593" s="935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>
      <c r="A594" s="224"/>
      <c r="B594" s="229"/>
      <c r="C594" s="225"/>
      <c r="D594" s="227"/>
      <c r="E594" s="228"/>
      <c r="F594" s="33"/>
      <c r="G594" s="33"/>
      <c r="H594" s="33"/>
      <c r="I594" s="33"/>
      <c r="J594" s="230"/>
      <c r="K594" s="114"/>
      <c r="L594" s="881"/>
      <c r="M594" s="33"/>
      <c r="N594" s="33"/>
      <c r="O594" s="33"/>
      <c r="P594" s="33"/>
      <c r="Q594" s="33"/>
      <c r="R594" s="935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>
      <c r="A595" s="224"/>
      <c r="B595" s="229"/>
      <c r="C595" s="225"/>
      <c r="D595" s="227"/>
      <c r="E595" s="228"/>
      <c r="F595" s="33"/>
      <c r="G595" s="33"/>
      <c r="H595" s="33"/>
      <c r="I595" s="33"/>
      <c r="J595" s="230"/>
      <c r="K595" s="114"/>
      <c r="L595" s="881"/>
      <c r="M595" s="33"/>
      <c r="N595" s="33"/>
      <c r="O595" s="33"/>
      <c r="P595" s="33"/>
      <c r="Q595" s="33"/>
      <c r="R595" s="935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>
      <c r="A596" s="224"/>
      <c r="B596" s="229"/>
      <c r="C596" s="225"/>
      <c r="D596" s="227"/>
      <c r="E596" s="228"/>
      <c r="F596" s="33"/>
      <c r="G596" s="33"/>
      <c r="H596" s="33"/>
      <c r="I596" s="33"/>
      <c r="J596" s="230"/>
      <c r="K596" s="114"/>
      <c r="L596" s="881"/>
      <c r="M596" s="33"/>
      <c r="N596" s="33"/>
      <c r="O596" s="33"/>
      <c r="P596" s="33"/>
      <c r="Q596" s="33"/>
      <c r="R596" s="935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>
      <c r="A597" s="224"/>
      <c r="B597" s="229"/>
      <c r="C597" s="225"/>
      <c r="D597" s="227"/>
      <c r="E597" s="228"/>
      <c r="F597" s="33"/>
      <c r="G597" s="33"/>
      <c r="H597" s="33"/>
      <c r="I597" s="33"/>
      <c r="J597" s="230"/>
      <c r="K597" s="114"/>
      <c r="L597" s="881"/>
      <c r="M597" s="33"/>
      <c r="N597" s="33"/>
      <c r="O597" s="33"/>
      <c r="P597" s="33"/>
      <c r="Q597" s="33"/>
      <c r="R597" s="935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>
      <c r="A598" s="224"/>
      <c r="B598" s="229"/>
      <c r="C598" s="225"/>
      <c r="D598" s="227"/>
      <c r="E598" s="228"/>
      <c r="F598" s="33"/>
      <c r="G598" s="33"/>
      <c r="H598" s="33"/>
      <c r="I598" s="33"/>
      <c r="J598" s="230"/>
      <c r="K598" s="114"/>
      <c r="L598" s="881"/>
      <c r="M598" s="33"/>
      <c r="N598" s="33"/>
      <c r="O598" s="33"/>
      <c r="P598" s="33"/>
      <c r="Q598" s="33"/>
      <c r="R598" s="935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>
      <c r="A599" s="224"/>
      <c r="B599" s="229"/>
      <c r="C599" s="225"/>
      <c r="D599" s="227"/>
      <c r="E599" s="228"/>
      <c r="F599" s="33"/>
      <c r="G599" s="33"/>
      <c r="H599" s="33"/>
      <c r="I599" s="33"/>
      <c r="J599" s="230"/>
      <c r="K599" s="114"/>
      <c r="L599" s="881"/>
      <c r="M599" s="33"/>
      <c r="N599" s="33"/>
      <c r="O599" s="33"/>
      <c r="P599" s="33"/>
      <c r="Q599" s="33"/>
      <c r="R599" s="935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>
      <c r="A600" s="224"/>
      <c r="B600" s="229"/>
      <c r="C600" s="225"/>
      <c r="D600" s="227"/>
      <c r="E600" s="228"/>
      <c r="F600" s="33"/>
      <c r="G600" s="33"/>
      <c r="H600" s="33"/>
      <c r="I600" s="33"/>
      <c r="J600" s="230"/>
      <c r="K600" s="114"/>
      <c r="L600" s="881"/>
      <c r="M600" s="33"/>
      <c r="N600" s="33"/>
      <c r="O600" s="33"/>
      <c r="P600" s="33"/>
      <c r="Q600" s="33"/>
      <c r="R600" s="935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>
      <c r="A601" s="224"/>
      <c r="B601" s="229"/>
      <c r="C601" s="225"/>
      <c r="D601" s="227"/>
      <c r="E601" s="228"/>
      <c r="F601" s="33"/>
      <c r="G601" s="33"/>
      <c r="H601" s="33"/>
      <c r="I601" s="33"/>
      <c r="J601" s="230"/>
      <c r="K601" s="114"/>
      <c r="L601" s="881"/>
      <c r="M601" s="33"/>
      <c r="N601" s="33"/>
      <c r="O601" s="33"/>
      <c r="P601" s="33"/>
      <c r="Q601" s="33"/>
      <c r="R601" s="935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>
      <c r="A602" s="224"/>
      <c r="B602" s="229"/>
      <c r="C602" s="225"/>
      <c r="D602" s="227"/>
      <c r="E602" s="228"/>
      <c r="F602" s="33"/>
      <c r="G602" s="33"/>
      <c r="H602" s="33"/>
      <c r="I602" s="33"/>
      <c r="J602" s="230"/>
      <c r="K602" s="114"/>
      <c r="L602" s="881"/>
      <c r="M602" s="33"/>
      <c r="N602" s="33"/>
      <c r="O602" s="33"/>
      <c r="P602" s="33"/>
      <c r="Q602" s="33"/>
      <c r="R602" s="935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>
      <c r="A603" s="224"/>
      <c r="B603" s="229"/>
      <c r="C603" s="225"/>
      <c r="D603" s="227"/>
      <c r="E603" s="228"/>
      <c r="F603" s="33"/>
      <c r="G603" s="33"/>
      <c r="H603" s="33"/>
      <c r="I603" s="33"/>
      <c r="J603" s="230"/>
      <c r="K603" s="114"/>
      <c r="L603" s="881"/>
      <c r="M603" s="33"/>
      <c r="N603" s="33"/>
      <c r="O603" s="33"/>
      <c r="P603" s="33"/>
      <c r="Q603" s="33"/>
      <c r="R603" s="935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>
      <c r="A604" s="224"/>
      <c r="B604" s="229"/>
      <c r="C604" s="225"/>
      <c r="D604" s="227"/>
      <c r="E604" s="228"/>
      <c r="F604" s="33"/>
      <c r="G604" s="33"/>
      <c r="H604" s="33"/>
      <c r="I604" s="33"/>
      <c r="J604" s="230"/>
      <c r="K604" s="114"/>
      <c r="L604" s="881"/>
      <c r="M604" s="33"/>
      <c r="N604" s="33"/>
      <c r="O604" s="33"/>
      <c r="P604" s="33"/>
      <c r="Q604" s="33"/>
      <c r="R604" s="935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>
      <c r="A605" s="224"/>
      <c r="B605" s="229"/>
      <c r="C605" s="225"/>
      <c r="D605" s="227"/>
      <c r="E605" s="228"/>
      <c r="F605" s="33"/>
      <c r="G605" s="33"/>
      <c r="H605" s="33"/>
      <c r="I605" s="33"/>
      <c r="J605" s="230"/>
      <c r="K605" s="114"/>
      <c r="L605" s="881"/>
      <c r="M605" s="33"/>
      <c r="N605" s="33"/>
      <c r="O605" s="33"/>
      <c r="P605" s="33"/>
      <c r="Q605" s="33"/>
      <c r="R605" s="935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>
      <c r="A606" s="224"/>
      <c r="B606" s="229"/>
      <c r="C606" s="225"/>
      <c r="D606" s="227"/>
      <c r="E606" s="228"/>
      <c r="F606" s="33"/>
      <c r="G606" s="33"/>
      <c r="H606" s="33"/>
      <c r="I606" s="33"/>
      <c r="J606" s="230"/>
      <c r="K606" s="114"/>
      <c r="L606" s="881"/>
      <c r="M606" s="33"/>
      <c r="N606" s="33"/>
      <c r="O606" s="33"/>
      <c r="P606" s="33"/>
      <c r="Q606" s="33"/>
      <c r="R606" s="935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>
      <c r="A607" s="224"/>
      <c r="B607" s="229"/>
      <c r="C607" s="225"/>
      <c r="D607" s="227"/>
      <c r="E607" s="228"/>
      <c r="F607" s="33"/>
      <c r="G607" s="33"/>
      <c r="H607" s="33"/>
      <c r="I607" s="33"/>
      <c r="J607" s="230"/>
      <c r="K607" s="114"/>
      <c r="L607" s="881"/>
      <c r="M607" s="33"/>
      <c r="N607" s="33"/>
      <c r="O607" s="33"/>
      <c r="P607" s="33"/>
      <c r="Q607" s="33"/>
      <c r="R607" s="935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>
      <c r="A608" s="224"/>
      <c r="B608" s="229"/>
      <c r="C608" s="225"/>
      <c r="D608" s="227"/>
      <c r="E608" s="228"/>
      <c r="F608" s="33"/>
      <c r="G608" s="33"/>
      <c r="H608" s="33"/>
      <c r="I608" s="33"/>
      <c r="J608" s="230"/>
      <c r="K608" s="114"/>
      <c r="L608" s="881"/>
      <c r="M608" s="33"/>
      <c r="N608" s="33"/>
      <c r="O608" s="33"/>
      <c r="P608" s="33"/>
      <c r="Q608" s="33"/>
      <c r="R608" s="935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>
      <c r="A609" s="224"/>
      <c r="B609" s="229"/>
      <c r="C609" s="225"/>
      <c r="D609" s="227"/>
      <c r="E609" s="228"/>
      <c r="F609" s="33"/>
      <c r="G609" s="33"/>
      <c r="H609" s="33"/>
      <c r="I609" s="33"/>
      <c r="J609" s="230"/>
      <c r="K609" s="114"/>
      <c r="L609" s="881"/>
      <c r="M609" s="33"/>
      <c r="N609" s="33"/>
      <c r="O609" s="33"/>
      <c r="P609" s="33"/>
      <c r="Q609" s="33"/>
      <c r="R609" s="935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>
      <c r="A610" s="224"/>
      <c r="B610" s="229"/>
      <c r="C610" s="225"/>
      <c r="D610" s="227"/>
      <c r="E610" s="228"/>
      <c r="F610" s="33"/>
      <c r="G610" s="33"/>
      <c r="H610" s="33"/>
      <c r="I610" s="33"/>
      <c r="J610" s="230"/>
      <c r="K610" s="114"/>
      <c r="L610" s="881"/>
      <c r="M610" s="33"/>
      <c r="N610" s="33"/>
      <c r="O610" s="33"/>
      <c r="P610" s="33"/>
      <c r="Q610" s="33"/>
      <c r="R610" s="935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>
      <c r="A611" s="224"/>
      <c r="B611" s="229"/>
      <c r="C611" s="225"/>
      <c r="D611" s="227"/>
      <c r="E611" s="228"/>
      <c r="F611" s="33"/>
      <c r="G611" s="33"/>
      <c r="H611" s="33"/>
      <c r="I611" s="33"/>
      <c r="J611" s="230"/>
      <c r="K611" s="114"/>
      <c r="L611" s="881"/>
      <c r="M611" s="33"/>
      <c r="N611" s="33"/>
      <c r="O611" s="33"/>
      <c r="P611" s="33"/>
      <c r="Q611" s="33"/>
      <c r="R611" s="935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>
      <c r="A612" s="224"/>
      <c r="B612" s="229"/>
      <c r="C612" s="225"/>
      <c r="D612" s="227"/>
      <c r="E612" s="228"/>
      <c r="F612" s="33"/>
      <c r="G612" s="33"/>
      <c r="H612" s="33"/>
      <c r="I612" s="33"/>
      <c r="J612" s="230"/>
      <c r="K612" s="114"/>
      <c r="L612" s="881"/>
      <c r="M612" s="33"/>
      <c r="N612" s="33"/>
      <c r="O612" s="33"/>
      <c r="P612" s="33"/>
      <c r="Q612" s="33"/>
      <c r="R612" s="935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>
      <c r="A613" s="224"/>
      <c r="B613" s="229"/>
      <c r="C613" s="225"/>
      <c r="D613" s="227"/>
      <c r="E613" s="228"/>
      <c r="F613" s="33"/>
      <c r="G613" s="33"/>
      <c r="H613" s="33"/>
      <c r="I613" s="33"/>
      <c r="J613" s="230"/>
      <c r="K613" s="114"/>
      <c r="L613" s="881"/>
      <c r="M613" s="33"/>
      <c r="N613" s="33"/>
      <c r="O613" s="33"/>
      <c r="P613" s="33"/>
      <c r="Q613" s="33"/>
      <c r="R613" s="935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>
      <c r="A614" s="224"/>
      <c r="B614" s="229"/>
      <c r="C614" s="225"/>
      <c r="D614" s="227"/>
      <c r="E614" s="228"/>
      <c r="F614" s="33"/>
      <c r="G614" s="33"/>
      <c r="H614" s="33"/>
      <c r="I614" s="33"/>
      <c r="J614" s="230"/>
      <c r="K614" s="114"/>
      <c r="L614" s="881"/>
      <c r="M614" s="33"/>
      <c r="N614" s="33"/>
      <c r="O614" s="33"/>
      <c r="P614" s="33"/>
      <c r="Q614" s="33"/>
      <c r="R614" s="935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>
      <c r="A615" s="224"/>
      <c r="B615" s="229"/>
      <c r="C615" s="225"/>
      <c r="D615" s="227"/>
      <c r="E615" s="228"/>
      <c r="F615" s="33"/>
      <c r="G615" s="33"/>
      <c r="H615" s="33"/>
      <c r="I615" s="33"/>
      <c r="J615" s="230"/>
      <c r="K615" s="114"/>
      <c r="L615" s="881"/>
      <c r="M615" s="33"/>
      <c r="N615" s="33"/>
      <c r="O615" s="33"/>
      <c r="P615" s="33"/>
      <c r="Q615" s="33"/>
      <c r="R615" s="935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>
      <c r="A616" s="224"/>
      <c r="B616" s="229"/>
      <c r="C616" s="225"/>
      <c r="D616" s="227"/>
      <c r="E616" s="228"/>
      <c r="F616" s="33"/>
      <c r="G616" s="33"/>
      <c r="H616" s="33"/>
      <c r="I616" s="33"/>
      <c r="J616" s="230"/>
      <c r="K616" s="114"/>
      <c r="L616" s="881"/>
      <c r="M616" s="33"/>
      <c r="N616" s="33"/>
      <c r="O616" s="33"/>
      <c r="P616" s="33"/>
      <c r="Q616" s="33"/>
      <c r="R616" s="935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>
      <c r="A617" s="224"/>
      <c r="B617" s="229"/>
      <c r="C617" s="225"/>
      <c r="D617" s="227"/>
      <c r="E617" s="228"/>
      <c r="F617" s="33"/>
      <c r="G617" s="33"/>
      <c r="H617" s="33"/>
      <c r="I617" s="33"/>
      <c r="J617" s="230"/>
      <c r="K617" s="114"/>
      <c r="L617" s="881"/>
      <c r="M617" s="33"/>
      <c r="N617" s="33"/>
      <c r="O617" s="33"/>
      <c r="P617" s="33"/>
      <c r="Q617" s="33"/>
      <c r="R617" s="935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>
      <c r="A618" s="224"/>
      <c r="B618" s="229"/>
      <c r="C618" s="225"/>
      <c r="D618" s="227"/>
      <c r="E618" s="228"/>
      <c r="F618" s="33"/>
      <c r="G618" s="33"/>
      <c r="H618" s="33"/>
      <c r="I618" s="33"/>
      <c r="J618" s="230"/>
      <c r="K618" s="114"/>
      <c r="L618" s="881"/>
      <c r="M618" s="33"/>
      <c r="N618" s="33"/>
      <c r="O618" s="33"/>
      <c r="P618" s="33"/>
      <c r="Q618" s="33"/>
      <c r="R618" s="935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>
      <c r="A619" s="224"/>
      <c r="B619" s="229"/>
      <c r="C619" s="225"/>
      <c r="D619" s="227"/>
      <c r="E619" s="228"/>
      <c r="F619" s="33"/>
      <c r="G619" s="33"/>
      <c r="H619" s="33"/>
      <c r="I619" s="33"/>
      <c r="J619" s="230"/>
      <c r="K619" s="114"/>
      <c r="L619" s="881"/>
      <c r="M619" s="33"/>
      <c r="N619" s="33"/>
      <c r="O619" s="33"/>
      <c r="P619" s="33"/>
      <c r="Q619" s="33"/>
      <c r="R619" s="935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>
      <c r="A620" s="224"/>
      <c r="B620" s="229"/>
      <c r="C620" s="225"/>
      <c r="D620" s="227"/>
      <c r="E620" s="228"/>
      <c r="F620" s="33"/>
      <c r="G620" s="33"/>
      <c r="H620" s="33"/>
      <c r="I620" s="33"/>
      <c r="J620" s="230"/>
      <c r="K620" s="114"/>
      <c r="L620" s="881"/>
      <c r="M620" s="33"/>
      <c r="N620" s="33"/>
      <c r="O620" s="33"/>
      <c r="P620" s="33"/>
      <c r="Q620" s="33"/>
      <c r="R620" s="935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>
      <c r="A621" s="224"/>
      <c r="B621" s="229"/>
      <c r="C621" s="225"/>
      <c r="D621" s="227"/>
      <c r="E621" s="228"/>
      <c r="F621" s="33"/>
      <c r="G621" s="33"/>
      <c r="H621" s="33"/>
      <c r="I621" s="33"/>
      <c r="J621" s="230"/>
      <c r="K621" s="114"/>
      <c r="L621" s="881"/>
      <c r="M621" s="33"/>
      <c r="N621" s="33"/>
      <c r="O621" s="33"/>
      <c r="P621" s="33"/>
      <c r="Q621" s="33"/>
      <c r="R621" s="935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>
      <c r="A622" s="224"/>
      <c r="B622" s="229"/>
      <c r="C622" s="225"/>
      <c r="D622" s="227"/>
      <c r="E622" s="228"/>
      <c r="F622" s="33"/>
      <c r="G622" s="33"/>
      <c r="H622" s="33"/>
      <c r="I622" s="33"/>
      <c r="J622" s="230"/>
      <c r="K622" s="114"/>
      <c r="L622" s="881"/>
      <c r="M622" s="33"/>
      <c r="N622" s="33"/>
      <c r="O622" s="33"/>
      <c r="P622" s="33"/>
      <c r="Q622" s="33"/>
      <c r="R622" s="935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>
      <c r="A623" s="224"/>
      <c r="B623" s="229"/>
      <c r="C623" s="225"/>
      <c r="D623" s="227"/>
      <c r="E623" s="228"/>
      <c r="F623" s="33"/>
      <c r="G623" s="33"/>
      <c r="H623" s="33"/>
      <c r="I623" s="33"/>
      <c r="J623" s="230"/>
      <c r="K623" s="114"/>
      <c r="L623" s="881"/>
      <c r="M623" s="33"/>
      <c r="N623" s="33"/>
      <c r="O623" s="33"/>
      <c r="P623" s="33"/>
      <c r="Q623" s="33"/>
      <c r="R623" s="935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>
      <c r="A624" s="224"/>
      <c r="B624" s="229"/>
      <c r="C624" s="225"/>
      <c r="D624" s="227"/>
      <c r="E624" s="228"/>
      <c r="F624" s="33"/>
      <c r="G624" s="33"/>
      <c r="H624" s="33"/>
      <c r="I624" s="33"/>
      <c r="J624" s="230"/>
      <c r="K624" s="114"/>
      <c r="L624" s="881"/>
      <c r="M624" s="33"/>
      <c r="N624" s="33"/>
      <c r="O624" s="33"/>
      <c r="P624" s="33"/>
      <c r="Q624" s="33"/>
      <c r="R624" s="935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>
      <c r="A625" s="224"/>
      <c r="B625" s="229"/>
      <c r="C625" s="225"/>
      <c r="D625" s="227"/>
      <c r="E625" s="228"/>
      <c r="F625" s="33"/>
      <c r="G625" s="33"/>
      <c r="H625" s="33"/>
      <c r="I625" s="33"/>
      <c r="J625" s="230"/>
      <c r="K625" s="114"/>
      <c r="L625" s="881"/>
      <c r="M625" s="33"/>
      <c r="N625" s="33"/>
      <c r="O625" s="33"/>
      <c r="P625" s="33"/>
      <c r="Q625" s="33"/>
      <c r="R625" s="935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>
      <c r="A626" s="224"/>
      <c r="B626" s="229"/>
      <c r="C626" s="225"/>
      <c r="D626" s="227"/>
      <c r="E626" s="228"/>
      <c r="F626" s="33"/>
      <c r="G626" s="33"/>
      <c r="H626" s="33"/>
      <c r="I626" s="33"/>
      <c r="J626" s="230"/>
      <c r="K626" s="114"/>
      <c r="L626" s="881"/>
      <c r="M626" s="33"/>
      <c r="N626" s="33"/>
      <c r="O626" s="33"/>
      <c r="P626" s="33"/>
      <c r="Q626" s="33"/>
      <c r="R626" s="935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>
      <c r="A627" s="224"/>
      <c r="B627" s="229"/>
      <c r="C627" s="225"/>
      <c r="D627" s="227"/>
      <c r="E627" s="228"/>
      <c r="F627" s="33"/>
      <c r="G627" s="33"/>
      <c r="H627" s="33"/>
      <c r="I627" s="33"/>
      <c r="J627" s="230"/>
      <c r="K627" s="114"/>
      <c r="L627" s="881"/>
      <c r="M627" s="33"/>
      <c r="N627" s="33"/>
      <c r="O627" s="33"/>
      <c r="P627" s="33"/>
      <c r="Q627" s="33"/>
      <c r="R627" s="935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>
      <c r="A628" s="224"/>
      <c r="B628" s="229"/>
      <c r="C628" s="225"/>
      <c r="D628" s="227"/>
      <c r="E628" s="228"/>
      <c r="F628" s="33"/>
      <c r="G628" s="33"/>
      <c r="H628" s="33"/>
      <c r="I628" s="33"/>
      <c r="J628" s="230"/>
      <c r="K628" s="114"/>
      <c r="L628" s="881"/>
      <c r="M628" s="33"/>
      <c r="N628" s="33"/>
      <c r="O628" s="33"/>
      <c r="P628" s="33"/>
      <c r="Q628" s="33"/>
      <c r="R628" s="935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>
      <c r="A629" s="224"/>
      <c r="B629" s="229"/>
      <c r="C629" s="225"/>
      <c r="D629" s="227"/>
      <c r="E629" s="228"/>
      <c r="F629" s="33"/>
      <c r="G629" s="33"/>
      <c r="H629" s="33"/>
      <c r="I629" s="33"/>
      <c r="J629" s="230"/>
      <c r="K629" s="114"/>
      <c r="L629" s="881"/>
      <c r="M629" s="33"/>
      <c r="N629" s="33"/>
      <c r="O629" s="33"/>
      <c r="P629" s="33"/>
      <c r="Q629" s="33"/>
      <c r="R629" s="935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>
      <c r="A630" s="224"/>
      <c r="B630" s="229"/>
      <c r="C630" s="225"/>
      <c r="D630" s="227"/>
      <c r="E630" s="228"/>
      <c r="F630" s="33"/>
      <c r="G630" s="33"/>
      <c r="H630" s="33"/>
      <c r="I630" s="33"/>
      <c r="J630" s="230"/>
      <c r="K630" s="114"/>
      <c r="L630" s="881"/>
      <c r="M630" s="33"/>
      <c r="N630" s="33"/>
      <c r="O630" s="33"/>
      <c r="P630" s="33"/>
      <c r="Q630" s="33"/>
      <c r="R630" s="935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>
      <c r="A631" s="224"/>
      <c r="B631" s="229"/>
      <c r="C631" s="225"/>
      <c r="D631" s="227"/>
      <c r="E631" s="228"/>
      <c r="F631" s="33"/>
      <c r="G631" s="33"/>
      <c r="H631" s="33"/>
      <c r="I631" s="33"/>
      <c r="J631" s="230"/>
      <c r="K631" s="114"/>
      <c r="L631" s="881"/>
      <c r="M631" s="33"/>
      <c r="N631" s="33"/>
      <c r="O631" s="33"/>
      <c r="P631" s="33"/>
      <c r="Q631" s="33"/>
      <c r="R631" s="935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>
      <c r="A632" s="224"/>
      <c r="B632" s="229"/>
      <c r="C632" s="225"/>
      <c r="D632" s="227"/>
      <c r="E632" s="228"/>
      <c r="F632" s="33"/>
      <c r="G632" s="33"/>
      <c r="H632" s="33"/>
      <c r="I632" s="33"/>
      <c r="J632" s="230"/>
      <c r="K632" s="114"/>
      <c r="L632" s="881"/>
      <c r="M632" s="33"/>
      <c r="N632" s="33"/>
      <c r="O632" s="33"/>
      <c r="P632" s="33"/>
      <c r="Q632" s="33"/>
      <c r="R632" s="935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>
      <c r="A633" s="224"/>
      <c r="B633" s="229"/>
      <c r="C633" s="225"/>
      <c r="D633" s="227"/>
      <c r="E633" s="228"/>
      <c r="F633" s="33"/>
      <c r="G633" s="33"/>
      <c r="H633" s="33"/>
      <c r="I633" s="33"/>
      <c r="J633" s="230"/>
      <c r="K633" s="114"/>
      <c r="L633" s="881"/>
      <c r="M633" s="33"/>
      <c r="N633" s="33"/>
      <c r="O633" s="33"/>
      <c r="P633" s="33"/>
      <c r="Q633" s="33"/>
      <c r="R633" s="935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>
      <c r="A634" s="224"/>
      <c r="B634" s="229"/>
      <c r="C634" s="225"/>
      <c r="D634" s="227"/>
      <c r="E634" s="228"/>
      <c r="F634" s="33"/>
      <c r="G634" s="33"/>
      <c r="H634" s="33"/>
      <c r="I634" s="33"/>
      <c r="J634" s="230"/>
      <c r="K634" s="114"/>
      <c r="L634" s="881"/>
      <c r="M634" s="33"/>
      <c r="N634" s="33"/>
      <c r="O634" s="33"/>
      <c r="P634" s="33"/>
      <c r="Q634" s="33"/>
      <c r="R634" s="935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>
      <c r="A635" s="224"/>
      <c r="B635" s="229"/>
      <c r="C635" s="225"/>
      <c r="D635" s="227"/>
      <c r="E635" s="228"/>
      <c r="F635" s="33"/>
      <c r="G635" s="33"/>
      <c r="H635" s="33"/>
      <c r="I635" s="33"/>
      <c r="J635" s="230"/>
      <c r="K635" s="114"/>
      <c r="L635" s="881"/>
      <c r="M635" s="33"/>
      <c r="N635" s="33"/>
      <c r="O635" s="33"/>
      <c r="P635" s="33"/>
      <c r="Q635" s="33"/>
      <c r="R635" s="935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>
      <c r="A636" s="224"/>
      <c r="B636" s="229"/>
      <c r="C636" s="225"/>
      <c r="D636" s="227"/>
      <c r="E636" s="228"/>
      <c r="F636" s="33"/>
      <c r="G636" s="33"/>
      <c r="H636" s="33"/>
      <c r="I636" s="33"/>
      <c r="J636" s="230"/>
      <c r="K636" s="114"/>
      <c r="L636" s="881"/>
      <c r="M636" s="33"/>
      <c r="N636" s="33"/>
      <c r="O636" s="33"/>
      <c r="P636" s="33"/>
      <c r="Q636" s="33"/>
      <c r="R636" s="935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>
      <c r="A637" s="224"/>
      <c r="B637" s="229"/>
      <c r="C637" s="225"/>
      <c r="D637" s="227"/>
      <c r="E637" s="228"/>
      <c r="F637" s="33"/>
      <c r="G637" s="33"/>
      <c r="H637" s="33"/>
      <c r="I637" s="33"/>
      <c r="J637" s="230"/>
      <c r="K637" s="114"/>
      <c r="L637" s="881"/>
      <c r="M637" s="33"/>
      <c r="N637" s="33"/>
      <c r="O637" s="33"/>
      <c r="P637" s="33"/>
      <c r="Q637" s="33"/>
      <c r="R637" s="935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>
      <c r="A638" s="224"/>
      <c r="B638" s="229"/>
      <c r="C638" s="225"/>
      <c r="D638" s="227"/>
      <c r="E638" s="228"/>
      <c r="F638" s="33"/>
      <c r="G638" s="33"/>
      <c r="H638" s="33"/>
      <c r="I638" s="33"/>
      <c r="J638" s="230"/>
      <c r="K638" s="114"/>
      <c r="L638" s="881"/>
      <c r="M638" s="33"/>
      <c r="N638" s="33"/>
      <c r="O638" s="33"/>
      <c r="P638" s="33"/>
      <c r="Q638" s="33"/>
      <c r="R638" s="935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>
      <c r="A639" s="224"/>
      <c r="B639" s="229"/>
      <c r="C639" s="225"/>
      <c r="D639" s="227"/>
      <c r="E639" s="228"/>
      <c r="F639" s="33"/>
      <c r="G639" s="33"/>
      <c r="H639" s="33"/>
      <c r="I639" s="33"/>
      <c r="J639" s="230"/>
      <c r="K639" s="114"/>
      <c r="L639" s="881"/>
      <c r="M639" s="33"/>
      <c r="N639" s="33"/>
      <c r="O639" s="33"/>
      <c r="P639" s="33"/>
      <c r="Q639" s="33"/>
      <c r="R639" s="935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>
      <c r="A640" s="224"/>
      <c r="B640" s="229"/>
      <c r="C640" s="225"/>
      <c r="D640" s="227"/>
      <c r="E640" s="228"/>
      <c r="F640" s="33"/>
      <c r="G640" s="33"/>
      <c r="H640" s="33"/>
      <c r="I640" s="33"/>
      <c r="J640" s="230"/>
      <c r="K640" s="114"/>
      <c r="L640" s="881"/>
      <c r="M640" s="33"/>
      <c r="N640" s="33"/>
      <c r="O640" s="33"/>
      <c r="P640" s="33"/>
      <c r="Q640" s="33"/>
      <c r="R640" s="935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>
      <c r="A641" s="224"/>
      <c r="B641" s="229"/>
      <c r="C641" s="225"/>
      <c r="D641" s="227"/>
      <c r="E641" s="228"/>
      <c r="F641" s="33"/>
      <c r="G641" s="33"/>
      <c r="H641" s="33"/>
      <c r="I641" s="33"/>
      <c r="J641" s="230"/>
      <c r="K641" s="114"/>
      <c r="L641" s="881"/>
      <c r="M641" s="33"/>
      <c r="N641" s="33"/>
      <c r="O641" s="33"/>
      <c r="P641" s="33"/>
      <c r="Q641" s="33"/>
      <c r="R641" s="935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>
      <c r="A642" s="224"/>
      <c r="B642" s="229"/>
      <c r="C642" s="225"/>
      <c r="D642" s="227"/>
      <c r="E642" s="228"/>
      <c r="F642" s="33"/>
      <c r="G642" s="33"/>
      <c r="H642" s="33"/>
      <c r="I642" s="33"/>
      <c r="J642" s="230"/>
      <c r="K642" s="114"/>
      <c r="L642" s="881"/>
      <c r="M642" s="33"/>
      <c r="N642" s="33"/>
      <c r="O642" s="33"/>
      <c r="P642" s="33"/>
      <c r="Q642" s="33"/>
      <c r="R642" s="935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>
      <c r="A643" s="224"/>
      <c r="B643" s="229"/>
      <c r="C643" s="225"/>
      <c r="D643" s="227"/>
      <c r="E643" s="228"/>
      <c r="F643" s="33"/>
      <c r="G643" s="33"/>
      <c r="H643" s="33"/>
      <c r="I643" s="33"/>
      <c r="J643" s="230"/>
      <c r="K643" s="114"/>
      <c r="L643" s="881"/>
      <c r="M643" s="33"/>
      <c r="N643" s="33"/>
      <c r="O643" s="33"/>
      <c r="P643" s="33"/>
      <c r="Q643" s="33"/>
      <c r="R643" s="935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>
      <c r="A644" s="224"/>
      <c r="B644" s="229"/>
      <c r="C644" s="225"/>
      <c r="D644" s="227"/>
      <c r="E644" s="228"/>
      <c r="F644" s="33"/>
      <c r="G644" s="33"/>
      <c r="H644" s="33"/>
      <c r="I644" s="33"/>
      <c r="J644" s="230"/>
      <c r="K644" s="114"/>
      <c r="L644" s="881"/>
      <c r="M644" s="33"/>
      <c r="N644" s="33"/>
      <c r="O644" s="33"/>
      <c r="P644" s="33"/>
      <c r="Q644" s="33"/>
      <c r="R644" s="935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>
      <c r="A645" s="224"/>
      <c r="B645" s="229"/>
      <c r="C645" s="225"/>
      <c r="D645" s="227"/>
      <c r="E645" s="228"/>
      <c r="F645" s="33"/>
      <c r="G645" s="33"/>
      <c r="H645" s="33"/>
      <c r="I645" s="33"/>
      <c r="J645" s="230"/>
      <c r="K645" s="114"/>
      <c r="L645" s="881"/>
      <c r="M645" s="33"/>
      <c r="N645" s="33"/>
      <c r="O645" s="33"/>
      <c r="P645" s="33"/>
      <c r="Q645" s="33"/>
      <c r="R645" s="935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>
      <c r="A646" s="224"/>
      <c r="B646" s="229"/>
      <c r="C646" s="225"/>
      <c r="D646" s="227"/>
      <c r="E646" s="228"/>
      <c r="F646" s="33"/>
      <c r="G646" s="33"/>
      <c r="H646" s="33"/>
      <c r="I646" s="33"/>
      <c r="J646" s="230"/>
      <c r="K646" s="114"/>
      <c r="L646" s="881"/>
      <c r="M646" s="33"/>
      <c r="N646" s="33"/>
      <c r="O646" s="33"/>
      <c r="P646" s="33"/>
      <c r="Q646" s="33"/>
      <c r="R646" s="935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>
      <c r="A647" s="224"/>
      <c r="B647" s="229"/>
      <c r="C647" s="225"/>
      <c r="D647" s="227"/>
      <c r="E647" s="228"/>
      <c r="F647" s="33"/>
      <c r="G647" s="33"/>
      <c r="H647" s="33"/>
      <c r="I647" s="33"/>
      <c r="J647" s="230"/>
      <c r="K647" s="114"/>
      <c r="L647" s="881"/>
      <c r="M647" s="33"/>
      <c r="N647" s="33"/>
      <c r="O647" s="33"/>
      <c r="P647" s="33"/>
      <c r="Q647" s="33"/>
      <c r="R647" s="935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>
      <c r="A648" s="224"/>
      <c r="B648" s="229"/>
      <c r="C648" s="225"/>
      <c r="D648" s="227"/>
      <c r="E648" s="228"/>
      <c r="F648" s="33"/>
      <c r="G648" s="33"/>
      <c r="H648" s="33"/>
      <c r="I648" s="33"/>
      <c r="J648" s="230"/>
      <c r="K648" s="114"/>
      <c r="L648" s="881"/>
      <c r="M648" s="33"/>
      <c r="N648" s="33"/>
      <c r="O648" s="33"/>
      <c r="P648" s="33"/>
      <c r="Q648" s="33"/>
      <c r="R648" s="935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>
      <c r="A649" s="224"/>
      <c r="B649" s="229"/>
      <c r="C649" s="225"/>
      <c r="D649" s="227"/>
      <c r="E649" s="228"/>
      <c r="F649" s="33"/>
      <c r="G649" s="33"/>
      <c r="H649" s="33"/>
      <c r="I649" s="33"/>
      <c r="J649" s="230"/>
      <c r="K649" s="114"/>
      <c r="L649" s="881"/>
      <c r="M649" s="33"/>
      <c r="N649" s="33"/>
      <c r="O649" s="33"/>
      <c r="P649" s="33"/>
      <c r="Q649" s="33"/>
      <c r="R649" s="935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>
      <c r="A650" s="224"/>
      <c r="B650" s="229"/>
      <c r="C650" s="225"/>
      <c r="D650" s="227"/>
      <c r="E650" s="228"/>
      <c r="F650" s="33"/>
      <c r="G650" s="33"/>
      <c r="H650" s="33"/>
      <c r="I650" s="33"/>
      <c r="J650" s="230"/>
      <c r="K650" s="114"/>
      <c r="L650" s="881"/>
      <c r="M650" s="33"/>
      <c r="N650" s="33"/>
      <c r="O650" s="33"/>
      <c r="P650" s="33"/>
      <c r="Q650" s="33"/>
      <c r="R650" s="935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>
      <c r="A651" s="224"/>
      <c r="B651" s="229"/>
      <c r="C651" s="225"/>
      <c r="D651" s="227"/>
      <c r="E651" s="228"/>
      <c r="F651" s="33"/>
      <c r="G651" s="33"/>
      <c r="H651" s="33"/>
      <c r="I651" s="33"/>
      <c r="J651" s="230"/>
      <c r="K651" s="114"/>
      <c r="L651" s="881"/>
      <c r="M651" s="33"/>
      <c r="N651" s="33"/>
      <c r="O651" s="33"/>
      <c r="P651" s="33"/>
      <c r="Q651" s="33"/>
      <c r="R651" s="935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>
      <c r="A652" s="224"/>
      <c r="B652" s="229"/>
      <c r="C652" s="225"/>
      <c r="D652" s="227"/>
      <c r="E652" s="228"/>
      <c r="F652" s="33"/>
      <c r="G652" s="33"/>
      <c r="H652" s="33"/>
      <c r="I652" s="33"/>
      <c r="J652" s="230"/>
      <c r="K652" s="114"/>
      <c r="L652" s="881"/>
      <c r="M652" s="33"/>
      <c r="N652" s="33"/>
      <c r="O652" s="33"/>
      <c r="P652" s="33"/>
      <c r="Q652" s="33"/>
      <c r="R652" s="935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>
      <c r="A653" s="224"/>
      <c r="B653" s="229"/>
      <c r="C653" s="225"/>
      <c r="D653" s="227"/>
      <c r="E653" s="228"/>
      <c r="F653" s="33"/>
      <c r="G653" s="33"/>
      <c r="H653" s="33"/>
      <c r="I653" s="33"/>
      <c r="J653" s="230"/>
      <c r="K653" s="114"/>
      <c r="L653" s="881"/>
      <c r="M653" s="33"/>
      <c r="N653" s="33"/>
      <c r="O653" s="33"/>
      <c r="P653" s="33"/>
      <c r="Q653" s="33"/>
      <c r="R653" s="935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>
      <c r="A654" s="224"/>
      <c r="B654" s="229"/>
      <c r="C654" s="225"/>
      <c r="D654" s="227"/>
      <c r="E654" s="228"/>
      <c r="F654" s="33"/>
      <c r="G654" s="33"/>
      <c r="H654" s="33"/>
      <c r="I654" s="33"/>
      <c r="J654" s="230"/>
      <c r="K654" s="114"/>
      <c r="L654" s="881"/>
      <c r="M654" s="33"/>
      <c r="N654" s="33"/>
      <c r="O654" s="33"/>
      <c r="P654" s="33"/>
      <c r="Q654" s="33"/>
      <c r="R654" s="935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>
      <c r="A655" s="224"/>
      <c r="B655" s="229"/>
      <c r="C655" s="225"/>
      <c r="D655" s="227"/>
      <c r="E655" s="228"/>
      <c r="F655" s="33"/>
      <c r="G655" s="33"/>
      <c r="H655" s="33"/>
      <c r="I655" s="33"/>
      <c r="J655" s="230"/>
      <c r="K655" s="114"/>
      <c r="L655" s="881"/>
      <c r="M655" s="33"/>
      <c r="N655" s="33"/>
      <c r="O655" s="33"/>
      <c r="P655" s="33"/>
      <c r="Q655" s="33"/>
      <c r="R655" s="935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>
      <c r="A656" s="224"/>
      <c r="B656" s="229"/>
      <c r="C656" s="225"/>
      <c r="D656" s="227"/>
      <c r="E656" s="228"/>
      <c r="F656" s="33"/>
      <c r="G656" s="33"/>
      <c r="H656" s="33"/>
      <c r="I656" s="33"/>
      <c r="J656" s="230"/>
      <c r="K656" s="114"/>
      <c r="L656" s="881"/>
      <c r="M656" s="33"/>
      <c r="N656" s="33"/>
      <c r="O656" s="33"/>
      <c r="P656" s="33"/>
      <c r="Q656" s="33"/>
      <c r="R656" s="935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>
      <c r="A657" s="224"/>
      <c r="B657" s="229"/>
      <c r="C657" s="225"/>
      <c r="D657" s="227"/>
      <c r="E657" s="228"/>
      <c r="F657" s="33"/>
      <c r="G657" s="33"/>
      <c r="H657" s="33"/>
      <c r="I657" s="33"/>
      <c r="J657" s="230"/>
      <c r="K657" s="114"/>
      <c r="L657" s="881"/>
      <c r="M657" s="33"/>
      <c r="N657" s="33"/>
      <c r="O657" s="33"/>
      <c r="P657" s="33"/>
      <c r="Q657" s="33"/>
      <c r="R657" s="935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>
      <c r="A658" s="224"/>
      <c r="B658" s="229"/>
      <c r="C658" s="225"/>
      <c r="D658" s="227"/>
      <c r="E658" s="228"/>
      <c r="F658" s="33"/>
      <c r="G658" s="33"/>
      <c r="H658" s="33"/>
      <c r="I658" s="33"/>
      <c r="J658" s="230"/>
      <c r="K658" s="114"/>
      <c r="L658" s="881"/>
      <c r="M658" s="33"/>
      <c r="N658" s="33"/>
      <c r="O658" s="33"/>
      <c r="P658" s="33"/>
      <c r="Q658" s="33"/>
      <c r="R658" s="935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>
      <c r="A659" s="224"/>
      <c r="B659" s="229"/>
      <c r="C659" s="225"/>
      <c r="D659" s="227"/>
      <c r="E659" s="228"/>
      <c r="F659" s="33"/>
      <c r="G659" s="33"/>
      <c r="H659" s="33"/>
      <c r="I659" s="33"/>
      <c r="J659" s="230"/>
      <c r="K659" s="114"/>
      <c r="L659" s="881"/>
      <c r="M659" s="33"/>
      <c r="N659" s="33"/>
      <c r="O659" s="33"/>
      <c r="P659" s="33"/>
      <c r="Q659" s="33"/>
      <c r="R659" s="935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>
      <c r="A660" s="224"/>
      <c r="B660" s="229"/>
      <c r="C660" s="225"/>
      <c r="D660" s="227"/>
      <c r="E660" s="228"/>
      <c r="F660" s="33"/>
      <c r="G660" s="33"/>
      <c r="H660" s="33"/>
      <c r="I660" s="33"/>
      <c r="J660" s="230"/>
      <c r="K660" s="114"/>
      <c r="L660" s="881"/>
      <c r="M660" s="33"/>
      <c r="N660" s="33"/>
      <c r="O660" s="33"/>
      <c r="P660" s="33"/>
      <c r="Q660" s="33"/>
      <c r="R660" s="935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>
      <c r="A661" s="224"/>
      <c r="B661" s="229"/>
      <c r="C661" s="225"/>
      <c r="D661" s="227"/>
      <c r="E661" s="228"/>
      <c r="F661" s="33"/>
      <c r="G661" s="33"/>
      <c r="H661" s="33"/>
      <c r="I661" s="33"/>
      <c r="J661" s="230"/>
      <c r="K661" s="114"/>
      <c r="L661" s="881"/>
      <c r="M661" s="33"/>
      <c r="N661" s="33"/>
      <c r="O661" s="33"/>
      <c r="P661" s="33"/>
      <c r="Q661" s="33"/>
      <c r="R661" s="935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>
      <c r="A662" s="224"/>
      <c r="B662" s="229"/>
      <c r="C662" s="225"/>
      <c r="D662" s="227"/>
      <c r="E662" s="228"/>
      <c r="F662" s="33"/>
      <c r="G662" s="33"/>
      <c r="H662" s="33"/>
      <c r="I662" s="33"/>
      <c r="J662" s="230"/>
      <c r="K662" s="114"/>
      <c r="L662" s="881"/>
      <c r="M662" s="33"/>
      <c r="N662" s="33"/>
      <c r="O662" s="33"/>
      <c r="P662" s="33"/>
      <c r="Q662" s="33"/>
      <c r="R662" s="935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>
      <c r="A663" s="224"/>
      <c r="B663" s="229"/>
      <c r="C663" s="225"/>
      <c r="D663" s="227"/>
      <c r="E663" s="228"/>
      <c r="F663" s="33"/>
      <c r="G663" s="33"/>
      <c r="H663" s="33"/>
      <c r="I663" s="33"/>
      <c r="J663" s="230"/>
      <c r="K663" s="114"/>
      <c r="L663" s="881"/>
      <c r="M663" s="33"/>
      <c r="N663" s="33"/>
      <c r="O663" s="33"/>
      <c r="P663" s="33"/>
      <c r="Q663" s="33"/>
      <c r="R663" s="935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>
      <c r="A664" s="224"/>
      <c r="B664" s="229"/>
      <c r="C664" s="225"/>
      <c r="D664" s="227"/>
      <c r="E664" s="228"/>
      <c r="F664" s="33"/>
      <c r="G664" s="33"/>
      <c r="H664" s="33"/>
      <c r="I664" s="33"/>
      <c r="J664" s="230"/>
      <c r="K664" s="114"/>
      <c r="L664" s="881"/>
      <c r="M664" s="33"/>
      <c r="N664" s="33"/>
      <c r="O664" s="33"/>
      <c r="P664" s="33"/>
      <c r="Q664" s="33"/>
      <c r="R664" s="935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>
      <c r="A665" s="224"/>
      <c r="B665" s="229"/>
      <c r="C665" s="225"/>
      <c r="D665" s="227"/>
      <c r="E665" s="228"/>
      <c r="F665" s="33"/>
      <c r="G665" s="33"/>
      <c r="H665" s="33"/>
      <c r="I665" s="33"/>
      <c r="J665" s="230"/>
      <c r="K665" s="114"/>
      <c r="L665" s="881"/>
      <c r="M665" s="33"/>
      <c r="N665" s="33"/>
      <c r="O665" s="33"/>
      <c r="P665" s="33"/>
      <c r="Q665" s="33"/>
      <c r="R665" s="935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>
      <c r="A666" s="224"/>
      <c r="B666" s="229"/>
      <c r="C666" s="225"/>
      <c r="D666" s="227"/>
      <c r="E666" s="228"/>
      <c r="F666" s="33"/>
      <c r="G666" s="33"/>
      <c r="H666" s="33"/>
      <c r="I666" s="33"/>
      <c r="J666" s="230"/>
      <c r="K666" s="114"/>
      <c r="L666" s="881"/>
      <c r="M666" s="33"/>
      <c r="N666" s="33"/>
      <c r="O666" s="33"/>
      <c r="P666" s="33"/>
      <c r="Q666" s="33"/>
      <c r="R666" s="935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>
      <c r="A667" s="224"/>
      <c r="B667" s="229"/>
      <c r="C667" s="225"/>
      <c r="D667" s="227"/>
      <c r="E667" s="228"/>
      <c r="F667" s="33"/>
      <c r="G667" s="33"/>
      <c r="H667" s="33"/>
      <c r="I667" s="33"/>
      <c r="J667" s="230"/>
      <c r="K667" s="114"/>
      <c r="L667" s="881"/>
      <c r="M667" s="33"/>
      <c r="N667" s="33"/>
      <c r="O667" s="33"/>
      <c r="P667" s="33"/>
      <c r="Q667" s="33"/>
      <c r="R667" s="935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>
      <c r="A668" s="224"/>
      <c r="B668" s="229"/>
      <c r="C668" s="225"/>
      <c r="D668" s="227"/>
      <c r="E668" s="228"/>
      <c r="F668" s="33"/>
      <c r="G668" s="33"/>
      <c r="H668" s="33"/>
      <c r="I668" s="33"/>
      <c r="J668" s="230"/>
      <c r="K668" s="114"/>
      <c r="L668" s="881"/>
      <c r="M668" s="33"/>
      <c r="N668" s="33"/>
      <c r="O668" s="33"/>
      <c r="P668" s="33"/>
      <c r="Q668" s="33"/>
      <c r="R668" s="935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>
      <c r="A669" s="224"/>
      <c r="B669" s="229"/>
      <c r="C669" s="225"/>
      <c r="D669" s="227"/>
      <c r="E669" s="228"/>
      <c r="F669" s="33"/>
      <c r="G669" s="33"/>
      <c r="H669" s="33"/>
      <c r="I669" s="33"/>
      <c r="J669" s="230"/>
      <c r="K669" s="114"/>
      <c r="L669" s="881"/>
      <c r="M669" s="33"/>
      <c r="N669" s="33"/>
      <c r="O669" s="33"/>
      <c r="P669" s="33"/>
      <c r="Q669" s="33"/>
      <c r="R669" s="935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>
      <c r="A670" s="224"/>
      <c r="B670" s="229"/>
      <c r="C670" s="225"/>
      <c r="D670" s="227"/>
      <c r="E670" s="228"/>
      <c r="F670" s="33"/>
      <c r="G670" s="33"/>
      <c r="H670" s="33"/>
      <c r="I670" s="33"/>
      <c r="J670" s="230"/>
      <c r="K670" s="114"/>
      <c r="L670" s="881"/>
      <c r="M670" s="33"/>
      <c r="N670" s="33"/>
      <c r="O670" s="33"/>
      <c r="P670" s="33"/>
      <c r="Q670" s="33"/>
      <c r="R670" s="935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>
      <c r="A671" s="224"/>
      <c r="B671" s="229"/>
      <c r="C671" s="225"/>
      <c r="D671" s="227"/>
      <c r="E671" s="228"/>
      <c r="F671" s="33"/>
      <c r="G671" s="33"/>
      <c r="H671" s="33"/>
      <c r="I671" s="33"/>
      <c r="J671" s="230"/>
      <c r="K671" s="114"/>
      <c r="L671" s="881"/>
      <c r="M671" s="33"/>
      <c r="N671" s="33"/>
      <c r="O671" s="33"/>
      <c r="P671" s="33"/>
      <c r="Q671" s="33"/>
      <c r="R671" s="935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>
      <c r="A672" s="224"/>
      <c r="B672" s="229"/>
      <c r="C672" s="225"/>
      <c r="D672" s="227"/>
      <c r="E672" s="228"/>
      <c r="F672" s="33"/>
      <c r="G672" s="33"/>
      <c r="H672" s="33"/>
      <c r="I672" s="33"/>
      <c r="J672" s="230"/>
      <c r="K672" s="114"/>
      <c r="L672" s="881"/>
      <c r="M672" s="33"/>
      <c r="N672" s="33"/>
      <c r="O672" s="33"/>
      <c r="P672" s="33"/>
      <c r="Q672" s="33"/>
      <c r="R672" s="935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>
      <c r="A673" s="224"/>
      <c r="B673" s="229"/>
      <c r="C673" s="225"/>
      <c r="D673" s="227"/>
      <c r="E673" s="228"/>
      <c r="F673" s="33"/>
      <c r="G673" s="33"/>
      <c r="H673" s="33"/>
      <c r="I673" s="33"/>
      <c r="J673" s="230"/>
      <c r="K673" s="114"/>
      <c r="L673" s="881"/>
      <c r="M673" s="33"/>
      <c r="N673" s="33"/>
      <c r="O673" s="33"/>
      <c r="P673" s="33"/>
      <c r="Q673" s="33"/>
      <c r="R673" s="935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>
      <c r="A674" s="224"/>
      <c r="B674" s="229"/>
      <c r="C674" s="225"/>
      <c r="D674" s="227"/>
      <c r="E674" s="228"/>
      <c r="F674" s="33"/>
      <c r="G674" s="33"/>
      <c r="H674" s="33"/>
      <c r="I674" s="33"/>
      <c r="J674" s="230"/>
      <c r="K674" s="114"/>
      <c r="L674" s="881"/>
      <c r="M674" s="33"/>
      <c r="N674" s="33"/>
      <c r="O674" s="33"/>
      <c r="P674" s="33"/>
      <c r="Q674" s="33"/>
      <c r="R674" s="935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>
      <c r="A675" s="224"/>
      <c r="B675" s="229"/>
      <c r="C675" s="225"/>
      <c r="D675" s="227"/>
      <c r="E675" s="228"/>
      <c r="F675" s="33"/>
      <c r="G675" s="33"/>
      <c r="H675" s="33"/>
      <c r="I675" s="33"/>
      <c r="J675" s="230"/>
      <c r="K675" s="114"/>
      <c r="L675" s="881"/>
      <c r="M675" s="33"/>
      <c r="N675" s="33"/>
      <c r="O675" s="33"/>
      <c r="P675" s="33"/>
      <c r="Q675" s="33"/>
      <c r="R675" s="935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>
      <c r="A676" s="224"/>
      <c r="B676" s="229"/>
      <c r="C676" s="225"/>
      <c r="D676" s="227"/>
      <c r="E676" s="228"/>
      <c r="F676" s="33"/>
      <c r="G676" s="33"/>
      <c r="H676" s="33"/>
      <c r="I676" s="33"/>
      <c r="J676" s="230"/>
      <c r="K676" s="114"/>
      <c r="L676" s="881"/>
      <c r="M676" s="33"/>
      <c r="N676" s="33"/>
      <c r="O676" s="33"/>
      <c r="P676" s="33"/>
      <c r="Q676" s="33"/>
      <c r="R676" s="935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>
      <c r="A677" s="224"/>
      <c r="B677" s="229"/>
      <c r="C677" s="225"/>
      <c r="D677" s="227"/>
      <c r="E677" s="228"/>
      <c r="F677" s="33"/>
      <c r="G677" s="33"/>
      <c r="H677" s="33"/>
      <c r="I677" s="33"/>
      <c r="J677" s="230"/>
      <c r="K677" s="114"/>
      <c r="L677" s="881"/>
      <c r="M677" s="33"/>
      <c r="N677" s="33"/>
      <c r="O677" s="33"/>
      <c r="P677" s="33"/>
      <c r="Q677" s="33"/>
      <c r="R677" s="935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>
      <c r="A678" s="224"/>
      <c r="B678" s="229"/>
      <c r="C678" s="225"/>
      <c r="D678" s="227"/>
      <c r="E678" s="228"/>
      <c r="F678" s="33"/>
      <c r="G678" s="33"/>
      <c r="H678" s="33"/>
      <c r="I678" s="33"/>
      <c r="J678" s="230"/>
      <c r="K678" s="114"/>
      <c r="L678" s="881"/>
      <c r="M678" s="33"/>
      <c r="N678" s="33"/>
      <c r="O678" s="33"/>
      <c r="P678" s="33"/>
      <c r="Q678" s="33"/>
      <c r="R678" s="935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>
      <c r="A679" s="224"/>
      <c r="B679" s="229"/>
      <c r="C679" s="225"/>
      <c r="D679" s="227"/>
      <c r="E679" s="228"/>
      <c r="F679" s="33"/>
      <c r="G679" s="33"/>
      <c r="H679" s="33"/>
      <c r="I679" s="33"/>
      <c r="J679" s="230"/>
      <c r="K679" s="114"/>
      <c r="L679" s="881"/>
      <c r="M679" s="33"/>
      <c r="N679" s="33"/>
      <c r="O679" s="33"/>
      <c r="P679" s="33"/>
      <c r="Q679" s="33"/>
      <c r="R679" s="935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>
      <c r="A680" s="224"/>
      <c r="B680" s="229"/>
      <c r="C680" s="225"/>
      <c r="D680" s="227"/>
      <c r="E680" s="228"/>
      <c r="F680" s="33"/>
      <c r="G680" s="33"/>
      <c r="H680" s="33"/>
      <c r="I680" s="33"/>
      <c r="J680" s="230"/>
      <c r="K680" s="114"/>
      <c r="L680" s="881"/>
      <c r="M680" s="33"/>
      <c r="N680" s="33"/>
      <c r="O680" s="33"/>
      <c r="P680" s="33"/>
      <c r="Q680" s="33"/>
      <c r="R680" s="935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>
      <c r="A681" s="224"/>
      <c r="B681" s="229"/>
      <c r="C681" s="225"/>
      <c r="D681" s="227"/>
      <c r="E681" s="228"/>
      <c r="F681" s="33"/>
      <c r="G681" s="33"/>
      <c r="H681" s="33"/>
      <c r="I681" s="33"/>
      <c r="J681" s="230"/>
      <c r="K681" s="114"/>
      <c r="L681" s="881"/>
      <c r="M681" s="33"/>
      <c r="N681" s="33"/>
      <c r="O681" s="33"/>
      <c r="P681" s="33"/>
      <c r="Q681" s="33"/>
      <c r="R681" s="935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>
      <c r="A682" s="224"/>
      <c r="B682" s="229"/>
      <c r="C682" s="225"/>
      <c r="D682" s="227"/>
      <c r="E682" s="228"/>
      <c r="F682" s="33"/>
      <c r="G682" s="33"/>
      <c r="H682" s="33"/>
      <c r="I682" s="33"/>
      <c r="J682" s="230"/>
      <c r="K682" s="114"/>
      <c r="L682" s="881"/>
      <c r="M682" s="33"/>
      <c r="N682" s="33"/>
      <c r="O682" s="33"/>
      <c r="P682" s="33"/>
      <c r="Q682" s="33"/>
      <c r="R682" s="935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>
      <c r="A683" s="224"/>
      <c r="B683" s="229"/>
      <c r="C683" s="225"/>
      <c r="D683" s="227"/>
      <c r="E683" s="228"/>
      <c r="F683" s="33"/>
      <c r="G683" s="33"/>
      <c r="H683" s="33"/>
      <c r="I683" s="33"/>
      <c r="J683" s="230"/>
      <c r="K683" s="114"/>
      <c r="L683" s="881"/>
      <c r="M683" s="33"/>
      <c r="N683" s="33"/>
      <c r="O683" s="33"/>
      <c r="P683" s="33"/>
      <c r="Q683" s="33"/>
      <c r="R683" s="935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>
      <c r="A684" s="224"/>
      <c r="B684" s="229"/>
      <c r="C684" s="225"/>
      <c r="D684" s="227"/>
      <c r="E684" s="228"/>
      <c r="F684" s="33"/>
      <c r="G684" s="33"/>
      <c r="H684" s="33"/>
      <c r="I684" s="33"/>
      <c r="J684" s="230"/>
      <c r="K684" s="114"/>
      <c r="L684" s="881"/>
      <c r="M684" s="33"/>
      <c r="N684" s="33"/>
      <c r="O684" s="33"/>
      <c r="P684" s="33"/>
      <c r="Q684" s="33"/>
      <c r="R684" s="935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>
      <c r="A685" s="224"/>
      <c r="B685" s="229"/>
      <c r="C685" s="225"/>
      <c r="D685" s="227"/>
      <c r="E685" s="228"/>
      <c r="F685" s="33"/>
      <c r="G685" s="33"/>
      <c r="H685" s="33"/>
      <c r="I685" s="33"/>
      <c r="J685" s="230"/>
      <c r="K685" s="114"/>
      <c r="L685" s="881"/>
      <c r="M685" s="33"/>
      <c r="N685" s="33"/>
      <c r="O685" s="33"/>
      <c r="P685" s="33"/>
      <c r="Q685" s="33"/>
      <c r="R685" s="935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>
      <c r="A686" s="224"/>
      <c r="B686" s="229"/>
      <c r="C686" s="225"/>
      <c r="D686" s="227"/>
      <c r="E686" s="228"/>
      <c r="F686" s="33"/>
      <c r="G686" s="33"/>
      <c r="H686" s="33"/>
      <c r="I686" s="33"/>
      <c r="J686" s="230"/>
      <c r="K686" s="114"/>
      <c r="L686" s="881"/>
      <c r="M686" s="33"/>
      <c r="N686" s="33"/>
      <c r="O686" s="33"/>
      <c r="P686" s="33"/>
      <c r="Q686" s="33"/>
      <c r="R686" s="935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>
      <c r="A687" s="224"/>
      <c r="B687" s="229"/>
      <c r="C687" s="225"/>
      <c r="D687" s="227"/>
      <c r="E687" s="228"/>
      <c r="F687" s="33"/>
      <c r="G687" s="33"/>
      <c r="H687" s="33"/>
      <c r="I687" s="33"/>
      <c r="J687" s="230"/>
      <c r="K687" s="114"/>
      <c r="L687" s="881"/>
      <c r="M687" s="33"/>
      <c r="N687" s="33"/>
      <c r="O687" s="33"/>
      <c r="P687" s="33"/>
      <c r="Q687" s="33"/>
      <c r="R687" s="935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>
      <c r="A688" s="224"/>
      <c r="B688" s="229"/>
      <c r="C688" s="225"/>
      <c r="D688" s="227"/>
      <c r="E688" s="228"/>
      <c r="F688" s="33"/>
      <c r="G688" s="33"/>
      <c r="H688" s="33"/>
      <c r="I688" s="33"/>
      <c r="J688" s="230"/>
      <c r="K688" s="114"/>
      <c r="L688" s="881"/>
      <c r="M688" s="33"/>
      <c r="N688" s="33"/>
      <c r="O688" s="33"/>
      <c r="P688" s="33"/>
      <c r="Q688" s="33"/>
      <c r="R688" s="935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>
      <c r="A689" s="224"/>
      <c r="B689" s="229"/>
      <c r="C689" s="225"/>
      <c r="D689" s="227"/>
      <c r="E689" s="228"/>
      <c r="F689" s="33"/>
      <c r="G689" s="33"/>
      <c r="H689" s="33"/>
      <c r="I689" s="33"/>
      <c r="J689" s="230"/>
      <c r="K689" s="114"/>
      <c r="L689" s="881"/>
      <c r="M689" s="33"/>
      <c r="N689" s="33"/>
      <c r="O689" s="33"/>
      <c r="P689" s="33"/>
      <c r="Q689" s="33"/>
      <c r="R689" s="935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>
      <c r="A690" s="224"/>
      <c r="B690" s="229"/>
      <c r="C690" s="225"/>
      <c r="D690" s="227"/>
      <c r="E690" s="228"/>
      <c r="F690" s="33"/>
      <c r="G690" s="33"/>
      <c r="H690" s="33"/>
      <c r="I690" s="33"/>
      <c r="J690" s="230"/>
      <c r="K690" s="114"/>
      <c r="L690" s="881"/>
      <c r="M690" s="33"/>
      <c r="N690" s="33"/>
      <c r="O690" s="33"/>
      <c r="P690" s="33"/>
      <c r="Q690" s="33"/>
      <c r="R690" s="935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>
      <c r="A691" s="224"/>
      <c r="B691" s="229"/>
      <c r="C691" s="225"/>
      <c r="D691" s="227"/>
      <c r="E691" s="228"/>
      <c r="F691" s="33"/>
      <c r="G691" s="33"/>
      <c r="H691" s="33"/>
      <c r="I691" s="33"/>
      <c r="J691" s="230"/>
      <c r="K691" s="114"/>
      <c r="L691" s="881"/>
      <c r="M691" s="33"/>
      <c r="N691" s="33"/>
      <c r="O691" s="33"/>
      <c r="P691" s="33"/>
      <c r="Q691" s="33"/>
      <c r="R691" s="935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>
      <c r="A692" s="224"/>
      <c r="B692" s="229"/>
      <c r="C692" s="225"/>
      <c r="D692" s="227"/>
      <c r="E692" s="228"/>
      <c r="F692" s="33"/>
      <c r="G692" s="33"/>
      <c r="H692" s="33"/>
      <c r="I692" s="33"/>
      <c r="J692" s="230"/>
      <c r="K692" s="114"/>
      <c r="L692" s="881"/>
      <c r="M692" s="33"/>
      <c r="N692" s="33"/>
      <c r="O692" s="33"/>
      <c r="P692" s="33"/>
      <c r="Q692" s="33"/>
      <c r="R692" s="935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>
      <c r="A693" s="224"/>
      <c r="B693" s="229"/>
      <c r="C693" s="225"/>
      <c r="D693" s="227"/>
      <c r="E693" s="228"/>
      <c r="F693" s="33"/>
      <c r="G693" s="33"/>
      <c r="H693" s="33"/>
      <c r="I693" s="33"/>
      <c r="J693" s="230"/>
      <c r="K693" s="114"/>
      <c r="L693" s="881"/>
      <c r="M693" s="33"/>
      <c r="N693" s="33"/>
      <c r="O693" s="33"/>
      <c r="P693" s="33"/>
      <c r="Q693" s="33"/>
      <c r="R693" s="935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>
      <c r="A694" s="224"/>
      <c r="B694" s="229"/>
      <c r="C694" s="225"/>
      <c r="D694" s="227"/>
      <c r="E694" s="228"/>
      <c r="F694" s="33"/>
      <c r="G694" s="33"/>
      <c r="H694" s="33"/>
      <c r="I694" s="33"/>
      <c r="J694" s="230"/>
      <c r="K694" s="114"/>
      <c r="L694" s="881"/>
      <c r="M694" s="33"/>
      <c r="N694" s="33"/>
      <c r="O694" s="33"/>
      <c r="P694" s="33"/>
      <c r="Q694" s="33"/>
      <c r="R694" s="935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>
      <c r="A695" s="224"/>
      <c r="B695" s="229"/>
      <c r="C695" s="225"/>
      <c r="D695" s="227"/>
      <c r="E695" s="228"/>
      <c r="F695" s="33"/>
      <c r="G695" s="33"/>
      <c r="H695" s="33"/>
      <c r="I695" s="33"/>
      <c r="J695" s="230"/>
      <c r="K695" s="114"/>
      <c r="L695" s="881"/>
      <c r="M695" s="33"/>
      <c r="N695" s="33"/>
      <c r="O695" s="33"/>
      <c r="P695" s="33"/>
      <c r="Q695" s="33"/>
      <c r="R695" s="935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>
      <c r="A696" s="224"/>
      <c r="B696" s="229"/>
      <c r="C696" s="225"/>
      <c r="D696" s="227"/>
      <c r="E696" s="228"/>
      <c r="F696" s="33"/>
      <c r="G696" s="33"/>
      <c r="H696" s="33"/>
      <c r="I696" s="33"/>
      <c r="J696" s="230"/>
      <c r="K696" s="114"/>
      <c r="L696" s="881"/>
      <c r="M696" s="33"/>
      <c r="N696" s="33"/>
      <c r="O696" s="33"/>
      <c r="P696" s="33"/>
      <c r="Q696" s="33"/>
      <c r="R696" s="935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>
      <c r="A697" s="224"/>
      <c r="B697" s="229"/>
      <c r="C697" s="225"/>
      <c r="D697" s="227"/>
      <c r="E697" s="228"/>
      <c r="F697" s="33"/>
      <c r="G697" s="33"/>
      <c r="H697" s="33"/>
      <c r="I697" s="33"/>
      <c r="J697" s="230"/>
      <c r="K697" s="114"/>
      <c r="L697" s="881"/>
      <c r="M697" s="33"/>
      <c r="N697" s="33"/>
      <c r="O697" s="33"/>
      <c r="P697" s="33"/>
      <c r="Q697" s="33"/>
      <c r="R697" s="935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>
      <c r="A698" s="224"/>
      <c r="B698" s="229"/>
      <c r="C698" s="225"/>
      <c r="D698" s="227"/>
      <c r="E698" s="228"/>
      <c r="F698" s="33"/>
      <c r="G698" s="33"/>
      <c r="H698" s="33"/>
      <c r="I698" s="33"/>
      <c r="J698" s="230"/>
      <c r="K698" s="114"/>
      <c r="L698" s="881"/>
      <c r="M698" s="33"/>
      <c r="N698" s="33"/>
      <c r="O698" s="33"/>
      <c r="P698" s="33"/>
      <c r="Q698" s="33"/>
      <c r="R698" s="935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>
      <c r="A699" s="224"/>
      <c r="B699" s="229"/>
      <c r="C699" s="225"/>
      <c r="D699" s="227"/>
      <c r="E699" s="228"/>
      <c r="F699" s="33"/>
      <c r="G699" s="33"/>
      <c r="H699" s="33"/>
      <c r="I699" s="33"/>
      <c r="J699" s="230"/>
      <c r="K699" s="114"/>
      <c r="L699" s="881"/>
      <c r="M699" s="33"/>
      <c r="N699" s="33"/>
      <c r="O699" s="33"/>
      <c r="P699" s="33"/>
      <c r="Q699" s="33"/>
      <c r="R699" s="935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>
      <c r="A700" s="224"/>
      <c r="B700" s="229"/>
      <c r="C700" s="225"/>
      <c r="D700" s="227"/>
      <c r="E700" s="228"/>
      <c r="F700" s="33"/>
      <c r="G700" s="33"/>
      <c r="H700" s="33"/>
      <c r="I700" s="33"/>
      <c r="J700" s="230"/>
      <c r="K700" s="114"/>
      <c r="L700" s="881"/>
      <c r="M700" s="33"/>
      <c r="N700" s="33"/>
      <c r="O700" s="33"/>
      <c r="P700" s="33"/>
      <c r="Q700" s="33"/>
      <c r="R700" s="935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>
      <c r="A701" s="224"/>
      <c r="B701" s="229"/>
      <c r="C701" s="225"/>
      <c r="D701" s="227"/>
      <c r="E701" s="228"/>
      <c r="F701" s="33"/>
      <c r="G701" s="33"/>
      <c r="H701" s="33"/>
      <c r="I701" s="33"/>
      <c r="J701" s="230"/>
      <c r="K701" s="114"/>
      <c r="L701" s="881"/>
      <c r="M701" s="33"/>
      <c r="N701" s="33"/>
      <c r="O701" s="33"/>
      <c r="P701" s="33"/>
      <c r="Q701" s="33"/>
      <c r="R701" s="935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>
      <c r="A702" s="224"/>
      <c r="B702" s="229"/>
      <c r="C702" s="225"/>
      <c r="D702" s="227"/>
      <c r="E702" s="228"/>
      <c r="F702" s="33"/>
      <c r="G702" s="33"/>
      <c r="H702" s="33"/>
      <c r="I702" s="33"/>
      <c r="J702" s="230"/>
      <c r="K702" s="114"/>
      <c r="L702" s="881"/>
      <c r="M702" s="33"/>
      <c r="N702" s="33"/>
      <c r="O702" s="33"/>
      <c r="P702" s="33"/>
      <c r="Q702" s="33"/>
      <c r="R702" s="935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>
      <c r="A703" s="224"/>
      <c r="B703" s="229"/>
      <c r="C703" s="225"/>
      <c r="D703" s="227"/>
      <c r="E703" s="228"/>
      <c r="F703" s="33"/>
      <c r="G703" s="33"/>
      <c r="H703" s="33"/>
      <c r="I703" s="33"/>
      <c r="J703" s="230"/>
      <c r="K703" s="114"/>
      <c r="L703" s="881"/>
      <c r="M703" s="33"/>
      <c r="N703" s="33"/>
      <c r="O703" s="33"/>
      <c r="P703" s="33"/>
      <c r="Q703" s="33"/>
      <c r="R703" s="935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>
      <c r="A704" s="224"/>
      <c r="B704" s="229"/>
      <c r="C704" s="225"/>
      <c r="D704" s="227"/>
      <c r="E704" s="228"/>
      <c r="F704" s="33"/>
      <c r="G704" s="33"/>
      <c r="H704" s="33"/>
      <c r="I704" s="33"/>
      <c r="J704" s="230"/>
      <c r="K704" s="114"/>
      <c r="L704" s="881"/>
      <c r="M704" s="33"/>
      <c r="N704" s="33"/>
      <c r="O704" s="33"/>
      <c r="P704" s="33"/>
      <c r="Q704" s="33"/>
      <c r="R704" s="935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>
      <c r="A705" s="224"/>
      <c r="B705" s="229"/>
      <c r="C705" s="225"/>
      <c r="D705" s="227"/>
      <c r="E705" s="228"/>
      <c r="F705" s="33"/>
      <c r="G705" s="33"/>
      <c r="H705" s="33"/>
      <c r="I705" s="33"/>
      <c r="J705" s="230"/>
      <c r="K705" s="114"/>
      <c r="L705" s="881"/>
      <c r="M705" s="33"/>
      <c r="N705" s="33"/>
      <c r="O705" s="33"/>
      <c r="P705" s="33"/>
      <c r="Q705" s="33"/>
      <c r="R705" s="935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>
      <c r="A706" s="224"/>
      <c r="B706" s="229"/>
      <c r="C706" s="225"/>
      <c r="D706" s="227"/>
      <c r="E706" s="228"/>
      <c r="F706" s="33"/>
      <c r="G706" s="33"/>
      <c r="H706" s="33"/>
      <c r="I706" s="33"/>
      <c r="J706" s="230"/>
      <c r="K706" s="114"/>
      <c r="L706" s="881"/>
      <c r="M706" s="33"/>
      <c r="N706" s="33"/>
      <c r="O706" s="33"/>
      <c r="P706" s="33"/>
      <c r="Q706" s="33"/>
      <c r="R706" s="935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>
      <c r="A707" s="224"/>
      <c r="B707" s="229"/>
      <c r="C707" s="225"/>
      <c r="D707" s="227"/>
      <c r="E707" s="228"/>
      <c r="F707" s="33"/>
      <c r="G707" s="33"/>
      <c r="H707" s="33"/>
      <c r="I707" s="33"/>
      <c r="J707" s="230"/>
      <c r="K707" s="114"/>
      <c r="L707" s="881"/>
      <c r="M707" s="33"/>
      <c r="N707" s="33"/>
      <c r="O707" s="33"/>
      <c r="P707" s="33"/>
      <c r="Q707" s="33"/>
      <c r="R707" s="935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>
      <c r="A708" s="224"/>
      <c r="B708" s="229"/>
      <c r="C708" s="225"/>
      <c r="D708" s="227"/>
      <c r="E708" s="228"/>
      <c r="F708" s="33"/>
      <c r="G708" s="33"/>
      <c r="H708" s="33"/>
      <c r="I708" s="33"/>
      <c r="J708" s="230"/>
      <c r="K708" s="114"/>
      <c r="L708" s="881"/>
      <c r="M708" s="33"/>
      <c r="N708" s="33"/>
      <c r="O708" s="33"/>
      <c r="P708" s="33"/>
      <c r="Q708" s="33"/>
      <c r="R708" s="935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>
      <c r="A709" s="224"/>
      <c r="B709" s="229"/>
      <c r="C709" s="225"/>
      <c r="D709" s="227"/>
      <c r="E709" s="228"/>
      <c r="F709" s="33"/>
      <c r="G709" s="33"/>
      <c r="H709" s="33"/>
      <c r="I709" s="33"/>
      <c r="J709" s="230"/>
      <c r="K709" s="114"/>
      <c r="L709" s="881"/>
      <c r="M709" s="33"/>
      <c r="N709" s="33"/>
      <c r="O709" s="33"/>
      <c r="P709" s="33"/>
      <c r="Q709" s="33"/>
      <c r="R709" s="935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>
      <c r="A710" s="224"/>
      <c r="B710" s="229"/>
      <c r="C710" s="225"/>
      <c r="D710" s="227"/>
      <c r="E710" s="228"/>
      <c r="F710" s="33"/>
      <c r="G710" s="33"/>
      <c r="H710" s="33"/>
      <c r="I710" s="33"/>
      <c r="J710" s="230"/>
      <c r="K710" s="114"/>
      <c r="L710" s="881"/>
      <c r="M710" s="33"/>
      <c r="N710" s="33"/>
      <c r="O710" s="33"/>
      <c r="P710" s="33"/>
      <c r="Q710" s="33"/>
      <c r="R710" s="935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>
      <c r="A711" s="224"/>
      <c r="B711" s="229"/>
      <c r="C711" s="225"/>
      <c r="D711" s="227"/>
      <c r="E711" s="228"/>
      <c r="F711" s="33"/>
      <c r="G711" s="33"/>
      <c r="H711" s="33"/>
      <c r="I711" s="33"/>
      <c r="J711" s="230"/>
      <c r="K711" s="114"/>
      <c r="L711" s="881"/>
      <c r="M711" s="33"/>
      <c r="N711" s="33"/>
      <c r="O711" s="33"/>
      <c r="P711" s="33"/>
      <c r="Q711" s="33"/>
      <c r="R711" s="935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>
      <c r="A712" s="224"/>
      <c r="B712" s="229"/>
      <c r="C712" s="225"/>
      <c r="D712" s="227"/>
      <c r="E712" s="228"/>
      <c r="F712" s="33"/>
      <c r="G712" s="33"/>
      <c r="H712" s="33"/>
      <c r="I712" s="33"/>
      <c r="J712" s="230"/>
      <c r="K712" s="114"/>
      <c r="L712" s="881"/>
      <c r="M712" s="33"/>
      <c r="N712" s="33"/>
      <c r="O712" s="33"/>
      <c r="P712" s="33"/>
      <c r="Q712" s="33"/>
      <c r="R712" s="935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>
      <c r="A713" s="224"/>
      <c r="B713" s="229"/>
      <c r="C713" s="225"/>
      <c r="D713" s="227"/>
      <c r="E713" s="228"/>
      <c r="F713" s="33"/>
      <c r="G713" s="33"/>
      <c r="H713" s="33"/>
      <c r="I713" s="33"/>
      <c r="J713" s="230"/>
      <c r="K713" s="114"/>
      <c r="L713" s="881"/>
      <c r="M713" s="33"/>
      <c r="N713" s="33"/>
      <c r="O713" s="33"/>
      <c r="P713" s="33"/>
      <c r="Q713" s="33"/>
      <c r="R713" s="935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>
      <c r="A714" s="224"/>
      <c r="B714" s="229"/>
      <c r="C714" s="225"/>
      <c r="D714" s="227"/>
      <c r="E714" s="228"/>
      <c r="F714" s="33"/>
      <c r="G714" s="33"/>
      <c r="H714" s="33"/>
      <c r="I714" s="33"/>
      <c r="J714" s="230"/>
      <c r="K714" s="114"/>
      <c r="L714" s="881"/>
      <c r="M714" s="33"/>
      <c r="N714" s="33"/>
      <c r="O714" s="33"/>
      <c r="P714" s="33"/>
      <c r="Q714" s="33"/>
      <c r="R714" s="935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>
      <c r="A715" s="224"/>
      <c r="B715" s="229"/>
      <c r="C715" s="225"/>
      <c r="D715" s="227"/>
      <c r="E715" s="228"/>
      <c r="F715" s="33"/>
      <c r="G715" s="33"/>
      <c r="H715" s="33"/>
      <c r="I715" s="33"/>
      <c r="J715" s="230"/>
      <c r="K715" s="114"/>
      <c r="L715" s="881"/>
      <c r="M715" s="33"/>
      <c r="N715" s="33"/>
      <c r="O715" s="33"/>
      <c r="P715" s="33"/>
      <c r="Q715" s="33"/>
      <c r="R715" s="935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>
      <c r="A716" s="224"/>
      <c r="B716" s="229"/>
      <c r="C716" s="225"/>
      <c r="D716" s="227"/>
      <c r="E716" s="228"/>
      <c r="F716" s="33"/>
      <c r="G716" s="33"/>
      <c r="H716" s="33"/>
      <c r="I716" s="33"/>
      <c r="J716" s="230"/>
      <c r="K716" s="114"/>
      <c r="L716" s="881"/>
      <c r="M716" s="33"/>
      <c r="N716" s="33"/>
      <c r="O716" s="33"/>
      <c r="P716" s="33"/>
      <c r="Q716" s="33"/>
      <c r="R716" s="935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>
      <c r="A717" s="224"/>
      <c r="B717" s="229"/>
      <c r="C717" s="225"/>
      <c r="D717" s="227"/>
      <c r="E717" s="228"/>
      <c r="F717" s="33"/>
      <c r="G717" s="33"/>
      <c r="H717" s="33"/>
      <c r="I717" s="33"/>
      <c r="J717" s="230"/>
      <c r="K717" s="114"/>
      <c r="L717" s="881"/>
      <c r="M717" s="33"/>
      <c r="N717" s="33"/>
      <c r="O717" s="33"/>
      <c r="P717" s="33"/>
      <c r="Q717" s="33"/>
      <c r="R717" s="935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>
      <c r="A718" s="224"/>
      <c r="B718" s="229"/>
      <c r="C718" s="225"/>
      <c r="D718" s="227"/>
      <c r="E718" s="228"/>
      <c r="F718" s="33"/>
      <c r="G718" s="33"/>
      <c r="H718" s="33"/>
      <c r="I718" s="33"/>
      <c r="J718" s="230"/>
      <c r="K718" s="114"/>
      <c r="L718" s="881"/>
      <c r="M718" s="33"/>
      <c r="N718" s="33"/>
      <c r="O718" s="33"/>
      <c r="P718" s="33"/>
      <c r="Q718" s="33"/>
      <c r="R718" s="935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>
      <c r="A719" s="224"/>
      <c r="B719" s="229"/>
      <c r="C719" s="225"/>
      <c r="D719" s="227"/>
      <c r="E719" s="228"/>
      <c r="F719" s="33"/>
      <c r="G719" s="33"/>
      <c r="H719" s="33"/>
      <c r="I719" s="33"/>
      <c r="J719" s="230"/>
      <c r="K719" s="114"/>
      <c r="L719" s="881"/>
      <c r="M719" s="33"/>
      <c r="N719" s="33"/>
      <c r="O719" s="33"/>
      <c r="P719" s="33"/>
      <c r="Q719" s="33"/>
      <c r="R719" s="935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>
      <c r="A720" s="224"/>
      <c r="B720" s="229"/>
      <c r="C720" s="225"/>
      <c r="D720" s="227"/>
      <c r="E720" s="228"/>
      <c r="F720" s="33"/>
      <c r="G720" s="33"/>
      <c r="H720" s="33"/>
      <c r="I720" s="33"/>
      <c r="J720" s="230"/>
      <c r="K720" s="114"/>
      <c r="L720" s="881"/>
      <c r="M720" s="33"/>
      <c r="N720" s="33"/>
      <c r="O720" s="33"/>
      <c r="P720" s="33"/>
      <c r="Q720" s="33"/>
      <c r="R720" s="935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>
      <c r="A721" s="224"/>
      <c r="B721" s="229"/>
      <c r="C721" s="225"/>
      <c r="D721" s="227"/>
      <c r="E721" s="228"/>
      <c r="F721" s="33"/>
      <c r="G721" s="33"/>
      <c r="H721" s="33"/>
      <c r="I721" s="33"/>
      <c r="J721" s="230"/>
      <c r="K721" s="114"/>
      <c r="L721" s="881"/>
      <c r="M721" s="33"/>
      <c r="N721" s="33"/>
      <c r="O721" s="33"/>
      <c r="P721" s="33"/>
      <c r="Q721" s="33"/>
      <c r="R721" s="935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>
      <c r="A722" s="224"/>
      <c r="B722" s="229"/>
      <c r="C722" s="225"/>
      <c r="D722" s="227"/>
      <c r="E722" s="228"/>
      <c r="F722" s="33"/>
      <c r="G722" s="33"/>
      <c r="H722" s="33"/>
      <c r="I722" s="33"/>
      <c r="J722" s="230"/>
      <c r="K722" s="114"/>
      <c r="L722" s="881"/>
      <c r="M722" s="33"/>
      <c r="N722" s="33"/>
      <c r="O722" s="33"/>
      <c r="P722" s="33"/>
      <c r="Q722" s="33"/>
      <c r="R722" s="935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>
      <c r="A723" s="224"/>
      <c r="B723" s="229"/>
      <c r="C723" s="225"/>
      <c r="D723" s="227"/>
      <c r="E723" s="228"/>
      <c r="F723" s="33"/>
      <c r="G723" s="33"/>
      <c r="H723" s="33"/>
      <c r="I723" s="33"/>
      <c r="J723" s="230"/>
      <c r="K723" s="114"/>
      <c r="L723" s="881"/>
      <c r="M723" s="33"/>
      <c r="N723" s="33"/>
      <c r="O723" s="33"/>
      <c r="P723" s="33"/>
      <c r="Q723" s="33"/>
      <c r="R723" s="935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>
      <c r="A724" s="224"/>
      <c r="B724" s="229"/>
      <c r="C724" s="225"/>
      <c r="D724" s="227"/>
      <c r="E724" s="228"/>
      <c r="F724" s="33"/>
      <c r="G724" s="33"/>
      <c r="H724" s="33"/>
      <c r="I724" s="33"/>
      <c r="J724" s="230"/>
      <c r="K724" s="114"/>
      <c r="L724" s="881"/>
      <c r="M724" s="33"/>
      <c r="N724" s="33"/>
      <c r="O724" s="33"/>
      <c r="P724" s="33"/>
      <c r="Q724" s="33"/>
      <c r="R724" s="935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>
      <c r="A725" s="224"/>
      <c r="B725" s="229"/>
      <c r="C725" s="225"/>
      <c r="D725" s="227"/>
      <c r="E725" s="228"/>
      <c r="F725" s="33"/>
      <c r="G725" s="33"/>
      <c r="H725" s="33"/>
      <c r="I725" s="33"/>
      <c r="J725" s="230"/>
      <c r="K725" s="114"/>
      <c r="L725" s="881"/>
      <c r="M725" s="33"/>
      <c r="N725" s="33"/>
      <c r="O725" s="33"/>
      <c r="P725" s="33"/>
      <c r="Q725" s="33"/>
      <c r="R725" s="935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>
      <c r="A726" s="224"/>
      <c r="B726" s="229"/>
      <c r="C726" s="225"/>
      <c r="D726" s="227"/>
      <c r="E726" s="228"/>
      <c r="F726" s="33"/>
      <c r="G726" s="33"/>
      <c r="H726" s="33"/>
      <c r="I726" s="33"/>
      <c r="J726" s="230"/>
      <c r="K726" s="114"/>
      <c r="L726" s="881"/>
      <c r="M726" s="33"/>
      <c r="N726" s="33"/>
      <c r="O726" s="33"/>
      <c r="P726" s="33"/>
      <c r="Q726" s="33"/>
      <c r="R726" s="935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>
      <c r="A727" s="224"/>
      <c r="B727" s="229"/>
      <c r="C727" s="225"/>
      <c r="D727" s="227"/>
      <c r="E727" s="228"/>
      <c r="F727" s="33"/>
      <c r="G727" s="33"/>
      <c r="H727" s="33"/>
      <c r="I727" s="33"/>
      <c r="J727" s="230"/>
      <c r="K727" s="114"/>
      <c r="L727" s="881"/>
      <c r="M727" s="33"/>
      <c r="N727" s="33"/>
      <c r="O727" s="33"/>
      <c r="P727" s="33"/>
      <c r="Q727" s="33"/>
      <c r="R727" s="935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>
      <c r="A728" s="224"/>
      <c r="B728" s="229"/>
      <c r="C728" s="225"/>
      <c r="D728" s="227"/>
      <c r="E728" s="228"/>
      <c r="F728" s="33"/>
      <c r="G728" s="33"/>
      <c r="H728" s="33"/>
      <c r="I728" s="33"/>
      <c r="J728" s="230"/>
      <c r="K728" s="114"/>
      <c r="L728" s="881"/>
      <c r="M728" s="33"/>
      <c r="N728" s="33"/>
      <c r="O728" s="33"/>
      <c r="P728" s="33"/>
      <c r="Q728" s="33"/>
      <c r="R728" s="935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>
      <c r="A729" s="224"/>
      <c r="B729" s="229"/>
      <c r="C729" s="225"/>
      <c r="D729" s="227"/>
      <c r="E729" s="228"/>
      <c r="F729" s="33"/>
      <c r="G729" s="33"/>
      <c r="H729" s="33"/>
      <c r="I729" s="33"/>
      <c r="J729" s="230"/>
      <c r="K729" s="114"/>
      <c r="L729" s="881"/>
      <c r="M729" s="33"/>
      <c r="N729" s="33"/>
      <c r="O729" s="33"/>
      <c r="P729" s="33"/>
      <c r="Q729" s="33"/>
      <c r="R729" s="935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>
      <c r="A730" s="224"/>
      <c r="B730" s="229"/>
      <c r="C730" s="225"/>
      <c r="D730" s="227"/>
      <c r="E730" s="228"/>
      <c r="F730" s="33"/>
      <c r="G730" s="33"/>
      <c r="H730" s="33"/>
      <c r="I730" s="33"/>
      <c r="J730" s="230"/>
      <c r="K730" s="114"/>
      <c r="L730" s="881"/>
      <c r="M730" s="33"/>
      <c r="N730" s="33"/>
      <c r="O730" s="33"/>
      <c r="P730" s="33"/>
      <c r="Q730" s="33"/>
      <c r="R730" s="935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>
      <c r="A731" s="224"/>
      <c r="B731" s="229"/>
      <c r="C731" s="225"/>
      <c r="D731" s="227"/>
      <c r="E731" s="228"/>
      <c r="F731" s="33"/>
      <c r="G731" s="33"/>
      <c r="H731" s="33"/>
      <c r="I731" s="33"/>
      <c r="J731" s="230"/>
      <c r="K731" s="114"/>
      <c r="L731" s="881"/>
      <c r="M731" s="33"/>
      <c r="N731" s="33"/>
      <c r="O731" s="33"/>
      <c r="P731" s="33"/>
      <c r="Q731" s="33"/>
      <c r="R731" s="935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>
      <c r="A732" s="224"/>
      <c r="B732" s="229"/>
      <c r="C732" s="225"/>
      <c r="D732" s="227"/>
      <c r="E732" s="228"/>
      <c r="F732" s="33"/>
      <c r="G732" s="33"/>
      <c r="H732" s="33"/>
      <c r="I732" s="33"/>
      <c r="J732" s="230"/>
      <c r="K732" s="114"/>
      <c r="L732" s="881"/>
      <c r="M732" s="33"/>
      <c r="N732" s="33"/>
      <c r="O732" s="33"/>
      <c r="P732" s="33"/>
      <c r="Q732" s="33"/>
      <c r="R732" s="935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>
      <c r="A733" s="224"/>
      <c r="B733" s="229"/>
      <c r="C733" s="225"/>
      <c r="D733" s="227"/>
      <c r="E733" s="228"/>
      <c r="F733" s="33"/>
      <c r="G733" s="33"/>
      <c r="H733" s="33"/>
      <c r="I733" s="33"/>
      <c r="J733" s="230"/>
      <c r="K733" s="114"/>
      <c r="L733" s="881"/>
      <c r="M733" s="33"/>
      <c r="N733" s="33"/>
      <c r="O733" s="33"/>
      <c r="P733" s="33"/>
      <c r="Q733" s="33"/>
      <c r="R733" s="935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>
      <c r="A734" s="224"/>
      <c r="B734" s="229"/>
      <c r="C734" s="225"/>
      <c r="D734" s="227"/>
      <c r="E734" s="228"/>
      <c r="F734" s="33"/>
      <c r="G734" s="33"/>
      <c r="H734" s="33"/>
      <c r="I734" s="33"/>
      <c r="J734" s="230"/>
      <c r="K734" s="114"/>
      <c r="L734" s="881"/>
      <c r="M734" s="33"/>
      <c r="N734" s="33"/>
      <c r="O734" s="33"/>
      <c r="P734" s="33"/>
      <c r="Q734" s="33"/>
      <c r="R734" s="935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>
      <c r="A735" s="224"/>
      <c r="B735" s="229"/>
      <c r="C735" s="225"/>
      <c r="D735" s="227"/>
      <c r="E735" s="228"/>
      <c r="F735" s="33"/>
      <c r="G735" s="33"/>
      <c r="H735" s="33"/>
      <c r="I735" s="33"/>
      <c r="J735" s="230"/>
      <c r="K735" s="114"/>
      <c r="L735" s="881"/>
      <c r="M735" s="33"/>
      <c r="N735" s="33"/>
      <c r="O735" s="33"/>
      <c r="P735" s="33"/>
      <c r="Q735" s="33"/>
      <c r="R735" s="935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>
      <c r="A736" s="224"/>
      <c r="B736" s="229"/>
      <c r="C736" s="225"/>
      <c r="D736" s="227"/>
      <c r="E736" s="228"/>
      <c r="F736" s="33"/>
      <c r="G736" s="33"/>
      <c r="H736" s="33"/>
      <c r="I736" s="33"/>
      <c r="J736" s="230"/>
      <c r="K736" s="114"/>
      <c r="L736" s="881"/>
      <c r="M736" s="33"/>
      <c r="N736" s="33"/>
      <c r="O736" s="33"/>
      <c r="P736" s="33"/>
      <c r="Q736" s="33"/>
      <c r="R736" s="935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>
      <c r="A737" s="224"/>
      <c r="B737" s="229"/>
      <c r="C737" s="225"/>
      <c r="D737" s="227"/>
      <c r="E737" s="228"/>
      <c r="F737" s="33"/>
      <c r="G737" s="33"/>
      <c r="H737" s="33"/>
      <c r="I737" s="33"/>
      <c r="J737" s="230"/>
      <c r="K737" s="114"/>
      <c r="L737" s="881"/>
      <c r="M737" s="33"/>
      <c r="N737" s="33"/>
      <c r="O737" s="33"/>
      <c r="P737" s="33"/>
      <c r="Q737" s="33"/>
      <c r="R737" s="935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>
      <c r="A738" s="224"/>
      <c r="B738" s="229"/>
      <c r="C738" s="225"/>
      <c r="D738" s="227"/>
      <c r="E738" s="228"/>
      <c r="F738" s="33"/>
      <c r="G738" s="33"/>
      <c r="H738" s="33"/>
      <c r="I738" s="33"/>
      <c r="J738" s="230"/>
      <c r="K738" s="114"/>
      <c r="L738" s="881"/>
      <c r="M738" s="33"/>
      <c r="N738" s="33"/>
      <c r="O738" s="33"/>
      <c r="P738" s="33"/>
      <c r="Q738" s="33"/>
      <c r="R738" s="935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>
      <c r="A739" s="224"/>
      <c r="B739" s="229"/>
      <c r="C739" s="225"/>
      <c r="D739" s="227"/>
      <c r="E739" s="228"/>
      <c r="F739" s="33"/>
      <c r="G739" s="33"/>
      <c r="H739" s="33"/>
      <c r="I739" s="33"/>
      <c r="J739" s="230"/>
      <c r="K739" s="114"/>
      <c r="L739" s="881"/>
      <c r="M739" s="33"/>
      <c r="N739" s="33"/>
      <c r="O739" s="33"/>
      <c r="P739" s="33"/>
      <c r="Q739" s="33"/>
      <c r="R739" s="935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>
      <c r="A740" s="224"/>
      <c r="B740" s="229"/>
      <c r="C740" s="225"/>
      <c r="D740" s="227"/>
      <c r="E740" s="228"/>
      <c r="F740" s="33"/>
      <c r="G740" s="33"/>
      <c r="H740" s="33"/>
      <c r="I740" s="33"/>
      <c r="J740" s="230"/>
      <c r="K740" s="114"/>
      <c r="L740" s="881"/>
      <c r="M740" s="33"/>
      <c r="N740" s="33"/>
      <c r="O740" s="33"/>
      <c r="P740" s="33"/>
      <c r="Q740" s="33"/>
      <c r="R740" s="935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>
      <c r="A741" s="224"/>
      <c r="B741" s="229"/>
      <c r="C741" s="225"/>
      <c r="D741" s="227"/>
      <c r="E741" s="228"/>
      <c r="F741" s="33"/>
      <c r="G741" s="33"/>
      <c r="H741" s="33"/>
      <c r="I741" s="33"/>
      <c r="J741" s="230"/>
      <c r="K741" s="114"/>
      <c r="L741" s="881"/>
      <c r="M741" s="33"/>
      <c r="N741" s="33"/>
      <c r="O741" s="33"/>
      <c r="P741" s="33"/>
      <c r="Q741" s="33"/>
      <c r="R741" s="935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>
      <c r="A742" s="224"/>
      <c r="B742" s="229"/>
      <c r="C742" s="225"/>
      <c r="D742" s="227"/>
      <c r="E742" s="228"/>
      <c r="F742" s="33"/>
      <c r="G742" s="33"/>
      <c r="H742" s="33"/>
      <c r="I742" s="33"/>
      <c r="J742" s="230"/>
      <c r="K742" s="114"/>
      <c r="L742" s="881"/>
      <c r="M742" s="33"/>
      <c r="N742" s="33"/>
      <c r="O742" s="33"/>
      <c r="P742" s="33"/>
      <c r="Q742" s="33"/>
      <c r="R742" s="935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>
      <c r="A743" s="224"/>
      <c r="B743" s="229"/>
      <c r="C743" s="225"/>
      <c r="D743" s="227"/>
      <c r="E743" s="228"/>
      <c r="F743" s="33"/>
      <c r="G743" s="33"/>
      <c r="H743" s="33"/>
      <c r="I743" s="33"/>
      <c r="J743" s="230"/>
      <c r="K743" s="114"/>
      <c r="L743" s="881"/>
      <c r="M743" s="33"/>
      <c r="N743" s="33"/>
      <c r="O743" s="33"/>
      <c r="P743" s="33"/>
      <c r="Q743" s="33"/>
      <c r="R743" s="935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>
      <c r="A744" s="224"/>
      <c r="B744" s="229"/>
      <c r="C744" s="225"/>
      <c r="D744" s="227"/>
      <c r="E744" s="228"/>
      <c r="F744" s="33"/>
      <c r="G744" s="33"/>
      <c r="H744" s="33"/>
      <c r="I744" s="33"/>
      <c r="J744" s="230"/>
      <c r="K744" s="114"/>
      <c r="L744" s="881"/>
      <c r="M744" s="33"/>
      <c r="N744" s="33"/>
      <c r="O744" s="33"/>
      <c r="P744" s="33"/>
      <c r="Q744" s="33"/>
      <c r="R744" s="935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>
      <c r="A745" s="224"/>
      <c r="B745" s="229"/>
      <c r="C745" s="225"/>
      <c r="D745" s="227"/>
      <c r="E745" s="228"/>
      <c r="F745" s="33"/>
      <c r="G745" s="33"/>
      <c r="H745" s="33"/>
      <c r="I745" s="33"/>
      <c r="J745" s="230"/>
      <c r="K745" s="114"/>
      <c r="L745" s="881"/>
      <c r="M745" s="33"/>
      <c r="N745" s="33"/>
      <c r="O745" s="33"/>
      <c r="P745" s="33"/>
      <c r="Q745" s="33"/>
      <c r="R745" s="935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>
      <c r="A746" s="224"/>
      <c r="B746" s="229"/>
      <c r="C746" s="225"/>
      <c r="D746" s="227"/>
      <c r="E746" s="228"/>
      <c r="F746" s="33"/>
      <c r="G746" s="33"/>
      <c r="H746" s="33"/>
      <c r="I746" s="33"/>
      <c r="J746" s="230"/>
      <c r="K746" s="114"/>
      <c r="L746" s="881"/>
      <c r="M746" s="33"/>
      <c r="N746" s="33"/>
      <c r="O746" s="33"/>
      <c r="P746" s="33"/>
      <c r="Q746" s="33"/>
      <c r="R746" s="935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>
      <c r="A747" s="224"/>
      <c r="B747" s="229"/>
      <c r="C747" s="225"/>
      <c r="D747" s="227"/>
      <c r="E747" s="228"/>
      <c r="F747" s="33"/>
      <c r="G747" s="33"/>
      <c r="H747" s="33"/>
      <c r="I747" s="33"/>
      <c r="J747" s="230"/>
      <c r="K747" s="114"/>
      <c r="L747" s="881"/>
      <c r="M747" s="33"/>
      <c r="N747" s="33"/>
      <c r="O747" s="33"/>
      <c r="P747" s="33"/>
      <c r="Q747" s="33"/>
      <c r="R747" s="935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>
      <c r="A748" s="224"/>
      <c r="B748" s="229"/>
      <c r="C748" s="225"/>
      <c r="D748" s="227"/>
      <c r="E748" s="228"/>
      <c r="F748" s="33"/>
      <c r="G748" s="33"/>
      <c r="H748" s="33"/>
      <c r="I748" s="33"/>
      <c r="J748" s="230"/>
      <c r="K748" s="114"/>
      <c r="L748" s="881"/>
      <c r="M748" s="33"/>
      <c r="N748" s="33"/>
      <c r="O748" s="33"/>
      <c r="P748" s="33"/>
      <c r="Q748" s="33"/>
      <c r="R748" s="935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>
      <c r="A749" s="224"/>
      <c r="B749" s="229"/>
      <c r="C749" s="225"/>
      <c r="D749" s="227"/>
      <c r="E749" s="228"/>
      <c r="F749" s="33"/>
      <c r="G749" s="33"/>
      <c r="H749" s="33"/>
      <c r="I749" s="33"/>
      <c r="J749" s="230"/>
      <c r="K749" s="114"/>
      <c r="L749" s="881"/>
      <c r="M749" s="33"/>
      <c r="N749" s="33"/>
      <c r="O749" s="33"/>
      <c r="P749" s="33"/>
      <c r="Q749" s="33"/>
      <c r="R749" s="935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>
      <c r="A750" s="224"/>
      <c r="B750" s="229"/>
      <c r="C750" s="225"/>
      <c r="D750" s="227"/>
      <c r="E750" s="228"/>
      <c r="F750" s="33"/>
      <c r="G750" s="33"/>
      <c r="H750" s="33"/>
      <c r="I750" s="33"/>
      <c r="J750" s="230"/>
      <c r="K750" s="114"/>
      <c r="L750" s="881"/>
      <c r="M750" s="33"/>
      <c r="N750" s="33"/>
      <c r="O750" s="33"/>
      <c r="P750" s="33"/>
      <c r="Q750" s="33"/>
      <c r="R750" s="935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>
      <c r="A751" s="224"/>
      <c r="B751" s="229"/>
      <c r="C751" s="225"/>
      <c r="D751" s="227"/>
      <c r="E751" s="228"/>
      <c r="F751" s="33"/>
      <c r="G751" s="33"/>
      <c r="H751" s="33"/>
      <c r="I751" s="33"/>
      <c r="J751" s="230"/>
      <c r="K751" s="114"/>
      <c r="L751" s="881"/>
      <c r="M751" s="33"/>
      <c r="N751" s="33"/>
      <c r="O751" s="33"/>
      <c r="P751" s="33"/>
      <c r="Q751" s="33"/>
      <c r="R751" s="935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>
      <c r="A752" s="224"/>
      <c r="B752" s="229"/>
      <c r="C752" s="225"/>
      <c r="D752" s="227"/>
      <c r="E752" s="228"/>
      <c r="F752" s="33"/>
      <c r="G752" s="33"/>
      <c r="H752" s="33"/>
      <c r="I752" s="33"/>
      <c r="J752" s="230"/>
      <c r="K752" s="114"/>
      <c r="L752" s="881"/>
      <c r="M752" s="33"/>
      <c r="N752" s="33"/>
      <c r="O752" s="33"/>
      <c r="P752" s="33"/>
      <c r="Q752" s="33"/>
      <c r="R752" s="935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>
      <c r="A753" s="224"/>
      <c r="B753" s="229"/>
      <c r="C753" s="225"/>
      <c r="D753" s="227"/>
      <c r="E753" s="228"/>
      <c r="F753" s="33"/>
      <c r="G753" s="33"/>
      <c r="H753" s="33"/>
      <c r="I753" s="33"/>
      <c r="J753" s="230"/>
      <c r="K753" s="114"/>
      <c r="L753" s="881"/>
      <c r="M753" s="33"/>
      <c r="N753" s="33"/>
      <c r="O753" s="33"/>
      <c r="P753" s="33"/>
      <c r="Q753" s="33"/>
      <c r="R753" s="935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>
      <c r="A754" s="224"/>
      <c r="B754" s="229"/>
      <c r="C754" s="225"/>
      <c r="D754" s="227"/>
      <c r="E754" s="228"/>
      <c r="F754" s="33"/>
      <c r="G754" s="33"/>
      <c r="H754" s="33"/>
      <c r="I754" s="33"/>
      <c r="J754" s="230"/>
      <c r="K754" s="114"/>
      <c r="L754" s="881"/>
      <c r="M754" s="33"/>
      <c r="N754" s="33"/>
      <c r="O754" s="33"/>
      <c r="P754" s="33"/>
      <c r="Q754" s="33"/>
      <c r="R754" s="935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>
      <c r="A755" s="224"/>
      <c r="B755" s="229"/>
      <c r="C755" s="225"/>
      <c r="D755" s="227"/>
      <c r="E755" s="228"/>
      <c r="F755" s="33"/>
      <c r="G755" s="33"/>
      <c r="H755" s="33"/>
      <c r="I755" s="33"/>
      <c r="J755" s="230"/>
      <c r="K755" s="114"/>
      <c r="L755" s="881"/>
      <c r="M755" s="33"/>
      <c r="N755" s="33"/>
      <c r="O755" s="33"/>
      <c r="P755" s="33"/>
      <c r="Q755" s="33"/>
      <c r="R755" s="935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>
      <c r="A756" s="224"/>
      <c r="B756" s="229"/>
      <c r="C756" s="225"/>
      <c r="D756" s="227"/>
      <c r="E756" s="228"/>
      <c r="F756" s="33"/>
      <c r="G756" s="33"/>
      <c r="H756" s="33"/>
      <c r="I756" s="33"/>
      <c r="J756" s="230"/>
      <c r="K756" s="114"/>
      <c r="L756" s="881"/>
      <c r="M756" s="33"/>
      <c r="N756" s="33"/>
      <c r="O756" s="33"/>
      <c r="P756" s="33"/>
      <c r="Q756" s="33"/>
      <c r="R756" s="935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>
      <c r="A757" s="224"/>
      <c r="B757" s="229"/>
      <c r="C757" s="225"/>
      <c r="D757" s="227"/>
      <c r="E757" s="228"/>
      <c r="F757" s="33"/>
      <c r="G757" s="33"/>
      <c r="H757" s="33"/>
      <c r="I757" s="33"/>
      <c r="J757" s="230"/>
      <c r="K757" s="114"/>
      <c r="L757" s="881"/>
      <c r="M757" s="33"/>
      <c r="N757" s="33"/>
      <c r="O757" s="33"/>
      <c r="P757" s="33"/>
      <c r="Q757" s="33"/>
      <c r="R757" s="935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>
      <c r="A758" s="224"/>
      <c r="B758" s="229"/>
      <c r="C758" s="225"/>
      <c r="D758" s="227"/>
      <c r="E758" s="228"/>
      <c r="F758" s="33"/>
      <c r="G758" s="33"/>
      <c r="H758" s="33"/>
      <c r="I758" s="33"/>
      <c r="J758" s="230"/>
      <c r="K758" s="114"/>
      <c r="L758" s="881"/>
      <c r="M758" s="33"/>
      <c r="N758" s="33"/>
      <c r="O758" s="33"/>
      <c r="P758" s="33"/>
      <c r="Q758" s="33"/>
      <c r="R758" s="935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>
      <c r="A759" s="224"/>
      <c r="B759" s="229"/>
      <c r="C759" s="225"/>
      <c r="D759" s="227"/>
      <c r="E759" s="228"/>
      <c r="F759" s="33"/>
      <c r="G759" s="33"/>
      <c r="H759" s="33"/>
      <c r="I759" s="33"/>
      <c r="J759" s="230"/>
      <c r="K759" s="114"/>
      <c r="L759" s="881"/>
      <c r="M759" s="33"/>
      <c r="N759" s="33"/>
      <c r="O759" s="33"/>
      <c r="P759" s="33"/>
      <c r="Q759" s="33"/>
      <c r="R759" s="935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>
      <c r="A760" s="224"/>
      <c r="B760" s="229"/>
      <c r="C760" s="225"/>
      <c r="D760" s="227"/>
      <c r="E760" s="228"/>
      <c r="F760" s="33"/>
      <c r="G760" s="33"/>
      <c r="H760" s="33"/>
      <c r="I760" s="33"/>
      <c r="J760" s="230"/>
      <c r="K760" s="114"/>
      <c r="L760" s="881"/>
      <c r="M760" s="33"/>
      <c r="N760" s="33"/>
      <c r="O760" s="33"/>
      <c r="P760" s="33"/>
      <c r="Q760" s="33"/>
      <c r="R760" s="935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>
      <c r="A761" s="224"/>
      <c r="B761" s="229"/>
      <c r="C761" s="225"/>
      <c r="D761" s="227"/>
      <c r="E761" s="228"/>
      <c r="F761" s="33"/>
      <c r="G761" s="33"/>
      <c r="H761" s="33"/>
      <c r="I761" s="33"/>
      <c r="J761" s="230"/>
      <c r="K761" s="114"/>
      <c r="L761" s="881"/>
      <c r="M761" s="33"/>
      <c r="N761" s="33"/>
      <c r="O761" s="33"/>
      <c r="P761" s="33"/>
      <c r="Q761" s="33"/>
      <c r="R761" s="935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>
      <c r="A762" s="224"/>
      <c r="B762" s="229"/>
      <c r="C762" s="225"/>
      <c r="D762" s="227"/>
      <c r="E762" s="228"/>
      <c r="F762" s="33"/>
      <c r="G762" s="33"/>
      <c r="H762" s="33"/>
      <c r="I762" s="33"/>
      <c r="J762" s="230"/>
      <c r="K762" s="114"/>
      <c r="L762" s="881"/>
      <c r="M762" s="33"/>
      <c r="N762" s="33"/>
      <c r="O762" s="33"/>
      <c r="P762" s="33"/>
      <c r="Q762" s="33"/>
      <c r="R762" s="935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>
      <c r="A763" s="224"/>
      <c r="B763" s="229"/>
      <c r="C763" s="225"/>
      <c r="D763" s="227"/>
      <c r="E763" s="228"/>
      <c r="F763" s="33"/>
      <c r="G763" s="33"/>
      <c r="H763" s="33"/>
      <c r="I763" s="33"/>
      <c r="J763" s="230"/>
      <c r="K763" s="114"/>
      <c r="L763" s="881"/>
      <c r="M763" s="33"/>
      <c r="N763" s="33"/>
      <c r="O763" s="33"/>
      <c r="P763" s="33"/>
      <c r="Q763" s="33"/>
      <c r="R763" s="935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>
      <c r="A764" s="224"/>
      <c r="B764" s="229"/>
      <c r="C764" s="225"/>
      <c r="D764" s="227"/>
      <c r="E764" s="228"/>
      <c r="F764" s="33"/>
      <c r="G764" s="33"/>
      <c r="H764" s="33"/>
      <c r="I764" s="33"/>
      <c r="J764" s="230"/>
      <c r="K764" s="114"/>
      <c r="L764" s="881"/>
      <c r="M764" s="33"/>
      <c r="N764" s="33"/>
      <c r="O764" s="33"/>
      <c r="P764" s="33"/>
      <c r="Q764" s="33"/>
      <c r="R764" s="935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>
      <c r="A765" s="224"/>
      <c r="B765" s="229"/>
      <c r="C765" s="225"/>
      <c r="D765" s="227"/>
      <c r="E765" s="228"/>
      <c r="F765" s="33"/>
      <c r="G765" s="33"/>
      <c r="H765" s="33"/>
      <c r="I765" s="33"/>
      <c r="J765" s="230"/>
      <c r="K765" s="114"/>
      <c r="L765" s="881"/>
      <c r="M765" s="33"/>
      <c r="N765" s="33"/>
      <c r="O765" s="33"/>
      <c r="P765" s="33"/>
      <c r="Q765" s="33"/>
      <c r="R765" s="935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>
      <c r="A766" s="224"/>
      <c r="B766" s="229"/>
      <c r="C766" s="225"/>
      <c r="D766" s="227"/>
      <c r="E766" s="228"/>
      <c r="F766" s="33"/>
      <c r="G766" s="33"/>
      <c r="H766" s="33"/>
      <c r="I766" s="33"/>
      <c r="J766" s="230"/>
      <c r="K766" s="114"/>
      <c r="L766" s="881"/>
      <c r="M766" s="33"/>
      <c r="N766" s="33"/>
      <c r="O766" s="33"/>
      <c r="P766" s="33"/>
      <c r="Q766" s="33"/>
      <c r="R766" s="935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>
      <c r="A767" s="224"/>
      <c r="B767" s="229"/>
      <c r="C767" s="225"/>
      <c r="D767" s="227"/>
      <c r="E767" s="228"/>
      <c r="F767" s="33"/>
      <c r="G767" s="33"/>
      <c r="H767" s="33"/>
      <c r="I767" s="33"/>
      <c r="J767" s="230"/>
      <c r="K767" s="114"/>
      <c r="L767" s="881"/>
      <c r="M767" s="33"/>
      <c r="N767" s="33"/>
      <c r="O767" s="33"/>
      <c r="P767" s="33"/>
      <c r="Q767" s="33"/>
      <c r="R767" s="935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>
      <c r="A768" s="224"/>
      <c r="B768" s="229"/>
      <c r="C768" s="225"/>
      <c r="D768" s="227"/>
      <c r="E768" s="228"/>
      <c r="F768" s="33"/>
      <c r="G768" s="33"/>
      <c r="H768" s="33"/>
      <c r="I768" s="33"/>
      <c r="J768" s="230"/>
      <c r="K768" s="114"/>
      <c r="L768" s="881"/>
      <c r="M768" s="33"/>
      <c r="N768" s="33"/>
      <c r="O768" s="33"/>
      <c r="P768" s="33"/>
      <c r="Q768" s="33"/>
      <c r="R768" s="935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>
      <c r="A769" s="224"/>
      <c r="B769" s="229"/>
      <c r="C769" s="225"/>
      <c r="D769" s="227"/>
      <c r="E769" s="228"/>
      <c r="F769" s="33"/>
      <c r="G769" s="33"/>
      <c r="H769" s="33"/>
      <c r="I769" s="33"/>
      <c r="J769" s="230"/>
      <c r="K769" s="114"/>
      <c r="L769" s="881"/>
      <c r="M769" s="33"/>
      <c r="N769" s="33"/>
      <c r="O769" s="33"/>
      <c r="P769" s="33"/>
      <c r="Q769" s="33"/>
      <c r="R769" s="935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>
      <c r="A770" s="224"/>
      <c r="B770" s="229"/>
      <c r="C770" s="225"/>
      <c r="D770" s="227"/>
      <c r="E770" s="228"/>
      <c r="F770" s="33"/>
      <c r="G770" s="33"/>
      <c r="H770" s="33"/>
      <c r="I770" s="33"/>
      <c r="J770" s="230"/>
      <c r="K770" s="114"/>
      <c r="L770" s="881"/>
      <c r="M770" s="33"/>
      <c r="N770" s="33"/>
      <c r="O770" s="33"/>
      <c r="P770" s="33"/>
      <c r="Q770" s="33"/>
      <c r="R770" s="935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>
      <c r="A771" s="224"/>
      <c r="B771" s="229"/>
      <c r="C771" s="225"/>
      <c r="D771" s="227"/>
      <c r="E771" s="228"/>
      <c r="F771" s="33"/>
      <c r="G771" s="33"/>
      <c r="H771" s="33"/>
      <c r="I771" s="33"/>
      <c r="J771" s="230"/>
      <c r="K771" s="114"/>
      <c r="L771" s="881"/>
      <c r="M771" s="33"/>
      <c r="N771" s="33"/>
      <c r="O771" s="33"/>
      <c r="P771" s="33"/>
      <c r="Q771" s="33"/>
      <c r="R771" s="935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>
      <c r="A772" s="224"/>
      <c r="B772" s="229"/>
      <c r="C772" s="225"/>
      <c r="D772" s="227"/>
      <c r="E772" s="228"/>
      <c r="F772" s="33"/>
      <c r="G772" s="33"/>
      <c r="H772" s="33"/>
      <c r="I772" s="33"/>
      <c r="J772" s="230"/>
      <c r="K772" s="114"/>
      <c r="L772" s="881"/>
      <c r="M772" s="33"/>
      <c r="N772" s="33"/>
      <c r="O772" s="33"/>
      <c r="P772" s="33"/>
      <c r="Q772" s="33"/>
      <c r="R772" s="935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>
      <c r="A773" s="224"/>
      <c r="B773" s="229"/>
      <c r="C773" s="225"/>
      <c r="D773" s="227"/>
      <c r="E773" s="228"/>
      <c r="F773" s="33"/>
      <c r="G773" s="33"/>
      <c r="H773" s="33"/>
      <c r="I773" s="33"/>
      <c r="J773" s="230"/>
      <c r="K773" s="114"/>
      <c r="L773" s="881"/>
      <c r="M773" s="33"/>
      <c r="N773" s="33"/>
      <c r="O773" s="33"/>
      <c r="P773" s="33"/>
      <c r="Q773" s="33"/>
      <c r="R773" s="935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>
      <c r="A774" s="224"/>
      <c r="B774" s="229"/>
      <c r="C774" s="225"/>
      <c r="D774" s="227"/>
      <c r="E774" s="228"/>
      <c r="F774" s="33"/>
      <c r="G774" s="33"/>
      <c r="H774" s="33"/>
      <c r="I774" s="33"/>
      <c r="J774" s="230"/>
      <c r="K774" s="114"/>
      <c r="L774" s="881"/>
      <c r="M774" s="33"/>
      <c r="N774" s="33"/>
      <c r="O774" s="33"/>
      <c r="P774" s="33"/>
      <c r="Q774" s="33"/>
      <c r="R774" s="935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>
      <c r="A775" s="224"/>
      <c r="B775" s="229"/>
      <c r="C775" s="225"/>
      <c r="D775" s="227"/>
      <c r="E775" s="228"/>
      <c r="F775" s="33"/>
      <c r="G775" s="33"/>
      <c r="H775" s="33"/>
      <c r="I775" s="33"/>
      <c r="J775" s="230"/>
      <c r="K775" s="114"/>
      <c r="L775" s="881"/>
      <c r="M775" s="33"/>
      <c r="N775" s="33"/>
      <c r="O775" s="33"/>
      <c r="P775" s="33"/>
      <c r="Q775" s="33"/>
      <c r="R775" s="935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>
      <c r="A776" s="224"/>
      <c r="B776" s="229"/>
      <c r="C776" s="225"/>
      <c r="D776" s="227"/>
      <c r="E776" s="228"/>
      <c r="F776" s="33"/>
      <c r="G776" s="33"/>
      <c r="H776" s="33"/>
      <c r="I776" s="33"/>
      <c r="J776" s="230"/>
      <c r="K776" s="114"/>
      <c r="L776" s="881"/>
      <c r="M776" s="33"/>
      <c r="N776" s="33"/>
      <c r="O776" s="33"/>
      <c r="P776" s="33"/>
      <c r="Q776" s="33"/>
      <c r="R776" s="935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>
      <c r="A777" s="224"/>
      <c r="B777" s="229"/>
      <c r="C777" s="225"/>
      <c r="D777" s="227"/>
      <c r="E777" s="228"/>
      <c r="F777" s="33"/>
      <c r="G777" s="33"/>
      <c r="H777" s="33"/>
      <c r="I777" s="33"/>
      <c r="J777" s="230"/>
      <c r="K777" s="114"/>
      <c r="L777" s="881"/>
      <c r="M777" s="33"/>
      <c r="N777" s="33"/>
      <c r="O777" s="33"/>
      <c r="P777" s="33"/>
      <c r="Q777" s="33"/>
      <c r="R777" s="935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>
      <c r="A778" s="224"/>
      <c r="B778" s="229"/>
      <c r="C778" s="225"/>
      <c r="D778" s="227"/>
      <c r="E778" s="228"/>
      <c r="F778" s="33"/>
      <c r="G778" s="33"/>
      <c r="H778" s="33"/>
      <c r="I778" s="33"/>
      <c r="J778" s="230"/>
      <c r="K778" s="114"/>
      <c r="L778" s="881"/>
      <c r="M778" s="33"/>
      <c r="N778" s="33"/>
      <c r="O778" s="33"/>
      <c r="P778" s="33"/>
      <c r="Q778" s="33"/>
      <c r="R778" s="935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>
      <c r="A779" s="224"/>
      <c r="B779" s="229"/>
      <c r="C779" s="225"/>
      <c r="D779" s="227"/>
      <c r="E779" s="228"/>
      <c r="F779" s="33"/>
      <c r="G779" s="33"/>
      <c r="H779" s="33"/>
      <c r="I779" s="33"/>
      <c r="J779" s="230"/>
      <c r="K779" s="114"/>
      <c r="L779" s="881"/>
      <c r="M779" s="33"/>
      <c r="N779" s="33"/>
      <c r="O779" s="33"/>
      <c r="P779" s="33"/>
      <c r="Q779" s="33"/>
      <c r="R779" s="935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>
      <c r="A780" s="224"/>
      <c r="B780" s="229"/>
      <c r="C780" s="225"/>
      <c r="D780" s="227"/>
      <c r="E780" s="228"/>
      <c r="F780" s="33"/>
      <c r="G780" s="33"/>
      <c r="H780" s="33"/>
      <c r="I780" s="33"/>
      <c r="J780" s="230"/>
      <c r="K780" s="114"/>
      <c r="L780" s="881"/>
      <c r="M780" s="33"/>
      <c r="N780" s="33"/>
      <c r="O780" s="33"/>
      <c r="P780" s="33"/>
      <c r="Q780" s="33"/>
      <c r="R780" s="935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>
      <c r="A781" s="224"/>
      <c r="B781" s="229"/>
      <c r="C781" s="225"/>
      <c r="D781" s="227"/>
      <c r="E781" s="228"/>
      <c r="F781" s="33"/>
      <c r="G781" s="33"/>
      <c r="H781" s="33"/>
      <c r="I781" s="33"/>
      <c r="J781" s="230"/>
      <c r="K781" s="114"/>
      <c r="L781" s="881"/>
      <c r="M781" s="33"/>
      <c r="N781" s="33"/>
      <c r="O781" s="33"/>
      <c r="P781" s="33"/>
      <c r="Q781" s="33"/>
      <c r="R781" s="935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>
      <c r="A782" s="224"/>
      <c r="B782" s="229"/>
      <c r="C782" s="225"/>
      <c r="D782" s="227"/>
      <c r="E782" s="228"/>
      <c r="F782" s="33"/>
      <c r="G782" s="33"/>
      <c r="H782" s="33"/>
      <c r="I782" s="33"/>
      <c r="J782" s="230"/>
      <c r="K782" s="114"/>
      <c r="L782" s="881"/>
      <c r="M782" s="33"/>
      <c r="N782" s="33"/>
      <c r="O782" s="33"/>
      <c r="P782" s="33"/>
      <c r="Q782" s="33"/>
      <c r="R782" s="935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>
      <c r="A783" s="224"/>
      <c r="B783" s="229"/>
      <c r="C783" s="225"/>
      <c r="D783" s="227"/>
      <c r="E783" s="228"/>
      <c r="F783" s="33"/>
      <c r="G783" s="33"/>
      <c r="H783" s="33"/>
      <c r="I783" s="33"/>
      <c r="J783" s="230"/>
      <c r="K783" s="114"/>
      <c r="L783" s="881"/>
      <c r="M783" s="33"/>
      <c r="N783" s="33"/>
      <c r="O783" s="33"/>
      <c r="P783" s="33"/>
      <c r="Q783" s="33"/>
      <c r="R783" s="935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>
      <c r="A784" s="224"/>
      <c r="B784" s="229"/>
      <c r="C784" s="225"/>
      <c r="D784" s="227"/>
      <c r="E784" s="228"/>
      <c r="F784" s="33"/>
      <c r="G784" s="33"/>
      <c r="H784" s="33"/>
      <c r="I784" s="33"/>
      <c r="J784" s="230"/>
      <c r="K784" s="114"/>
      <c r="L784" s="881"/>
      <c r="M784" s="33"/>
      <c r="N784" s="33"/>
      <c r="O784" s="33"/>
      <c r="P784" s="33"/>
      <c r="Q784" s="33"/>
      <c r="R784" s="935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>
      <c r="A785" s="224"/>
      <c r="B785" s="229"/>
      <c r="C785" s="225"/>
      <c r="D785" s="227"/>
      <c r="E785" s="228"/>
      <c r="F785" s="33"/>
      <c r="G785" s="33"/>
      <c r="H785" s="33"/>
      <c r="I785" s="33"/>
      <c r="J785" s="230"/>
      <c r="K785" s="114"/>
      <c r="L785" s="881"/>
      <c r="M785" s="33"/>
      <c r="N785" s="33"/>
      <c r="O785" s="33"/>
      <c r="P785" s="33"/>
      <c r="Q785" s="33"/>
      <c r="R785" s="935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>
      <c r="A786" s="224"/>
      <c r="B786" s="229"/>
      <c r="C786" s="225"/>
      <c r="D786" s="227"/>
      <c r="E786" s="228"/>
      <c r="F786" s="33"/>
      <c r="G786" s="33"/>
      <c r="H786" s="33"/>
      <c r="I786" s="33"/>
      <c r="J786" s="230"/>
      <c r="K786" s="114"/>
      <c r="L786" s="881"/>
      <c r="M786" s="33"/>
      <c r="N786" s="33"/>
      <c r="O786" s="33"/>
      <c r="P786" s="33"/>
      <c r="Q786" s="33"/>
      <c r="R786" s="935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>
      <c r="A787" s="224"/>
      <c r="B787" s="229"/>
      <c r="C787" s="225"/>
      <c r="D787" s="227"/>
      <c r="E787" s="228"/>
      <c r="F787" s="33"/>
      <c r="G787" s="33"/>
      <c r="H787" s="33"/>
      <c r="I787" s="33"/>
      <c r="J787" s="230"/>
      <c r="K787" s="114"/>
      <c r="L787" s="881"/>
      <c r="M787" s="33"/>
      <c r="N787" s="33"/>
      <c r="O787" s="33"/>
      <c r="P787" s="33"/>
      <c r="Q787" s="33"/>
      <c r="R787" s="935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>
      <c r="A788" s="224"/>
      <c r="B788" s="229"/>
      <c r="C788" s="225"/>
      <c r="D788" s="227"/>
      <c r="E788" s="228"/>
      <c r="F788" s="33"/>
      <c r="G788" s="33"/>
      <c r="H788" s="33"/>
      <c r="I788" s="33"/>
      <c r="J788" s="230"/>
      <c r="K788" s="114"/>
      <c r="L788" s="881"/>
      <c r="M788" s="33"/>
      <c r="N788" s="33"/>
      <c r="O788" s="33"/>
      <c r="P788" s="33"/>
      <c r="Q788" s="33"/>
      <c r="R788" s="935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>
      <c r="A789" s="224"/>
      <c r="B789" s="229"/>
      <c r="C789" s="225"/>
      <c r="D789" s="227"/>
      <c r="E789" s="228"/>
      <c r="F789" s="33"/>
      <c r="G789" s="33"/>
      <c r="H789" s="33"/>
      <c r="I789" s="33"/>
      <c r="J789" s="230"/>
      <c r="K789" s="114"/>
      <c r="L789" s="881"/>
      <c r="M789" s="33"/>
      <c r="N789" s="33"/>
      <c r="O789" s="33"/>
      <c r="P789" s="33"/>
      <c r="Q789" s="33"/>
      <c r="R789" s="935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>
      <c r="A790" s="224"/>
      <c r="B790" s="229"/>
      <c r="C790" s="225"/>
      <c r="D790" s="227"/>
      <c r="E790" s="228"/>
      <c r="F790" s="33"/>
      <c r="G790" s="33"/>
      <c r="H790" s="33"/>
      <c r="I790" s="33"/>
      <c r="J790" s="230"/>
      <c r="K790" s="114"/>
      <c r="L790" s="881"/>
      <c r="M790" s="33"/>
      <c r="N790" s="33"/>
      <c r="O790" s="33"/>
      <c r="P790" s="33"/>
      <c r="Q790" s="33"/>
      <c r="R790" s="935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>
      <c r="A791" s="224"/>
      <c r="B791" s="229"/>
      <c r="C791" s="225"/>
      <c r="D791" s="227"/>
      <c r="E791" s="228"/>
      <c r="F791" s="33"/>
      <c r="G791" s="33"/>
      <c r="H791" s="33"/>
      <c r="I791" s="33"/>
      <c r="J791" s="230"/>
      <c r="K791" s="114"/>
      <c r="L791" s="881"/>
      <c r="M791" s="33"/>
      <c r="N791" s="33"/>
      <c r="O791" s="33"/>
      <c r="P791" s="33"/>
      <c r="Q791" s="33"/>
      <c r="R791" s="935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>
      <c r="A792" s="224"/>
      <c r="B792" s="229"/>
      <c r="C792" s="225"/>
      <c r="D792" s="227"/>
      <c r="E792" s="228"/>
      <c r="F792" s="33"/>
      <c r="G792" s="33"/>
      <c r="H792" s="33"/>
      <c r="I792" s="33"/>
      <c r="J792" s="230"/>
      <c r="K792" s="114"/>
      <c r="L792" s="881"/>
      <c r="M792" s="33"/>
      <c r="N792" s="33"/>
      <c r="O792" s="33"/>
      <c r="P792" s="33"/>
      <c r="Q792" s="33"/>
      <c r="R792" s="935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>
      <c r="A793" s="224"/>
      <c r="B793" s="229"/>
      <c r="C793" s="225"/>
      <c r="D793" s="227"/>
      <c r="E793" s="228"/>
      <c r="F793" s="33"/>
      <c r="G793" s="33"/>
      <c r="H793" s="33"/>
      <c r="I793" s="33"/>
      <c r="J793" s="230"/>
      <c r="K793" s="114"/>
      <c r="L793" s="881"/>
      <c r="M793" s="33"/>
      <c r="N793" s="33"/>
      <c r="O793" s="33"/>
      <c r="P793" s="33"/>
      <c r="Q793" s="33"/>
      <c r="R793" s="935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>
      <c r="A794" s="224"/>
      <c r="B794" s="229"/>
      <c r="C794" s="225"/>
      <c r="D794" s="227"/>
      <c r="E794" s="228"/>
      <c r="F794" s="33"/>
      <c r="G794" s="33"/>
      <c r="H794" s="33"/>
      <c r="I794" s="33"/>
      <c r="J794" s="230"/>
      <c r="K794" s="114"/>
      <c r="L794" s="881"/>
      <c r="M794" s="33"/>
      <c r="N794" s="33"/>
      <c r="O794" s="33"/>
      <c r="P794" s="33"/>
      <c r="Q794" s="33"/>
      <c r="R794" s="935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>
      <c r="A795" s="224"/>
      <c r="B795" s="229"/>
      <c r="C795" s="225"/>
      <c r="D795" s="227"/>
      <c r="E795" s="228"/>
      <c r="F795" s="33"/>
      <c r="G795" s="33"/>
      <c r="H795" s="33"/>
      <c r="I795" s="33"/>
      <c r="J795" s="230"/>
      <c r="K795" s="114"/>
      <c r="L795" s="881"/>
      <c r="M795" s="33"/>
      <c r="N795" s="33"/>
      <c r="O795" s="33"/>
      <c r="P795" s="33"/>
      <c r="Q795" s="33"/>
      <c r="R795" s="935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>
      <c r="A796" s="224"/>
      <c r="B796" s="229"/>
      <c r="C796" s="225"/>
      <c r="D796" s="227"/>
      <c r="E796" s="228"/>
      <c r="F796" s="33"/>
      <c r="G796" s="33"/>
      <c r="H796" s="33"/>
      <c r="I796" s="33"/>
      <c r="J796" s="230"/>
      <c r="K796" s="114"/>
      <c r="L796" s="881"/>
      <c r="M796" s="33"/>
      <c r="N796" s="33"/>
      <c r="O796" s="33"/>
      <c r="P796" s="33"/>
      <c r="Q796" s="33"/>
      <c r="R796" s="935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>
      <c r="A797" s="224"/>
      <c r="B797" s="229"/>
      <c r="C797" s="225"/>
      <c r="D797" s="227"/>
      <c r="E797" s="228"/>
      <c r="F797" s="33"/>
      <c r="G797" s="33"/>
      <c r="H797" s="33"/>
      <c r="I797" s="33"/>
      <c r="J797" s="230"/>
      <c r="K797" s="114"/>
      <c r="L797" s="881"/>
      <c r="M797" s="33"/>
      <c r="N797" s="33"/>
      <c r="O797" s="33"/>
      <c r="P797" s="33"/>
      <c r="Q797" s="33"/>
      <c r="R797" s="935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>
      <c r="A798" s="224"/>
      <c r="B798" s="229"/>
      <c r="C798" s="225"/>
      <c r="D798" s="227"/>
      <c r="E798" s="228"/>
      <c r="F798" s="33"/>
      <c r="G798" s="33"/>
      <c r="H798" s="33"/>
      <c r="I798" s="33"/>
      <c r="J798" s="230"/>
      <c r="K798" s="114"/>
      <c r="L798" s="881"/>
      <c r="M798" s="33"/>
      <c r="N798" s="33"/>
      <c r="O798" s="33"/>
      <c r="P798" s="33"/>
      <c r="Q798" s="33"/>
      <c r="R798" s="935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>
      <c r="A799" s="224"/>
      <c r="B799" s="229"/>
      <c r="C799" s="225"/>
      <c r="D799" s="227"/>
      <c r="E799" s="228"/>
      <c r="F799" s="33"/>
      <c r="G799" s="33"/>
      <c r="H799" s="33"/>
      <c r="I799" s="33"/>
      <c r="J799" s="230"/>
      <c r="K799" s="114"/>
      <c r="L799" s="881"/>
      <c r="M799" s="33"/>
      <c r="N799" s="33"/>
      <c r="O799" s="33"/>
      <c r="P799" s="33"/>
      <c r="Q799" s="33"/>
      <c r="R799" s="935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>
      <c r="A800" s="224"/>
      <c r="B800" s="229"/>
      <c r="C800" s="225"/>
      <c r="D800" s="227"/>
      <c r="E800" s="228"/>
      <c r="F800" s="33"/>
      <c r="G800" s="33"/>
      <c r="H800" s="33"/>
      <c r="I800" s="33"/>
      <c r="J800" s="230"/>
      <c r="K800" s="114"/>
      <c r="L800" s="881"/>
      <c r="M800" s="33"/>
      <c r="N800" s="33"/>
      <c r="O800" s="33"/>
      <c r="P800" s="33"/>
      <c r="Q800" s="33"/>
      <c r="R800" s="935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>
      <c r="A801" s="224"/>
      <c r="B801" s="229"/>
      <c r="C801" s="225"/>
      <c r="D801" s="227"/>
      <c r="E801" s="228"/>
      <c r="F801" s="33"/>
      <c r="G801" s="33"/>
      <c r="H801" s="33"/>
      <c r="I801" s="33"/>
      <c r="J801" s="230"/>
      <c r="K801" s="114"/>
      <c r="L801" s="881"/>
      <c r="M801" s="33"/>
      <c r="N801" s="33"/>
      <c r="O801" s="33"/>
      <c r="P801" s="33"/>
      <c r="Q801" s="33"/>
      <c r="R801" s="935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>
      <c r="A802" s="224"/>
      <c r="B802" s="229"/>
      <c r="C802" s="225"/>
      <c r="D802" s="227"/>
      <c r="E802" s="228"/>
      <c r="F802" s="33"/>
      <c r="G802" s="33"/>
      <c r="H802" s="33"/>
      <c r="I802" s="33"/>
      <c r="J802" s="230"/>
      <c r="K802" s="114"/>
      <c r="L802" s="881"/>
      <c r="M802" s="33"/>
      <c r="N802" s="33"/>
      <c r="O802" s="33"/>
      <c r="P802" s="33"/>
      <c r="Q802" s="33"/>
      <c r="R802" s="935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>
      <c r="A803" s="224"/>
      <c r="B803" s="229"/>
      <c r="C803" s="225"/>
      <c r="D803" s="227"/>
      <c r="E803" s="228"/>
      <c r="F803" s="33"/>
      <c r="G803" s="33"/>
      <c r="H803" s="33"/>
      <c r="I803" s="33"/>
      <c r="J803" s="230"/>
      <c r="K803" s="114"/>
      <c r="L803" s="881"/>
      <c r="M803" s="33"/>
      <c r="N803" s="33"/>
      <c r="O803" s="33"/>
      <c r="P803" s="33"/>
      <c r="Q803" s="33"/>
      <c r="R803" s="935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>
      <c r="A804" s="224"/>
      <c r="B804" s="229"/>
      <c r="C804" s="225"/>
      <c r="D804" s="227"/>
      <c r="E804" s="228"/>
      <c r="F804" s="33"/>
      <c r="G804" s="33"/>
      <c r="H804" s="33"/>
      <c r="I804" s="33"/>
      <c r="J804" s="230"/>
      <c r="K804" s="114"/>
      <c r="L804" s="881"/>
      <c r="M804" s="33"/>
      <c r="N804" s="33"/>
      <c r="O804" s="33"/>
      <c r="P804" s="33"/>
      <c r="Q804" s="33"/>
      <c r="R804" s="935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>
      <c r="A805" s="224"/>
      <c r="B805" s="229"/>
      <c r="C805" s="225"/>
      <c r="D805" s="227"/>
      <c r="E805" s="228"/>
      <c r="F805" s="33"/>
      <c r="G805" s="33"/>
      <c r="H805" s="33"/>
      <c r="I805" s="33"/>
      <c r="J805" s="230"/>
      <c r="K805" s="114"/>
      <c r="L805" s="881"/>
      <c r="M805" s="33"/>
      <c r="N805" s="33"/>
      <c r="O805" s="33"/>
      <c r="P805" s="33"/>
      <c r="Q805" s="33"/>
      <c r="R805" s="935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>
      <c r="A806" s="224"/>
      <c r="B806" s="229"/>
      <c r="C806" s="225"/>
      <c r="D806" s="227"/>
      <c r="E806" s="228"/>
      <c r="F806" s="33"/>
      <c r="G806" s="33"/>
      <c r="H806" s="33"/>
      <c r="I806" s="33"/>
      <c r="J806" s="230"/>
      <c r="K806" s="114"/>
      <c r="L806" s="881"/>
      <c r="M806" s="33"/>
      <c r="N806" s="33"/>
      <c r="O806" s="33"/>
      <c r="P806" s="33"/>
      <c r="Q806" s="33"/>
      <c r="R806" s="935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>
      <c r="A807" s="224"/>
      <c r="B807" s="229"/>
      <c r="C807" s="225"/>
      <c r="D807" s="227"/>
      <c r="E807" s="228"/>
      <c r="F807" s="33"/>
      <c r="G807" s="33"/>
      <c r="H807" s="33"/>
      <c r="I807" s="33"/>
      <c r="J807" s="230"/>
      <c r="K807" s="114"/>
      <c r="L807" s="881"/>
      <c r="M807" s="33"/>
      <c r="N807" s="33"/>
      <c r="O807" s="33"/>
      <c r="P807" s="33"/>
      <c r="Q807" s="33"/>
      <c r="R807" s="935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>
      <c r="A808" s="224"/>
      <c r="B808" s="229"/>
      <c r="C808" s="225"/>
      <c r="D808" s="227"/>
      <c r="E808" s="228"/>
      <c r="F808" s="33"/>
      <c r="G808" s="33"/>
      <c r="H808" s="33"/>
      <c r="I808" s="33"/>
      <c r="J808" s="230"/>
      <c r="K808" s="114"/>
      <c r="L808" s="881"/>
      <c r="M808" s="33"/>
      <c r="N808" s="33"/>
      <c r="O808" s="33"/>
      <c r="P808" s="33"/>
      <c r="Q808" s="33"/>
      <c r="R808" s="935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>
      <c r="A809" s="224"/>
      <c r="B809" s="229"/>
      <c r="C809" s="225"/>
      <c r="D809" s="227"/>
      <c r="E809" s="228"/>
      <c r="F809" s="33"/>
      <c r="G809" s="33"/>
      <c r="H809" s="33"/>
      <c r="I809" s="33"/>
      <c r="J809" s="230"/>
      <c r="K809" s="114"/>
      <c r="L809" s="881"/>
      <c r="M809" s="33"/>
      <c r="N809" s="33"/>
      <c r="O809" s="33"/>
      <c r="P809" s="33"/>
      <c r="Q809" s="33"/>
      <c r="R809" s="935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>
      <c r="A810" s="224"/>
      <c r="B810" s="229"/>
      <c r="C810" s="225"/>
      <c r="D810" s="227"/>
      <c r="E810" s="228"/>
      <c r="F810" s="33"/>
      <c r="G810" s="33"/>
      <c r="H810" s="33"/>
      <c r="I810" s="33"/>
      <c r="J810" s="230"/>
      <c r="K810" s="114"/>
      <c r="L810" s="881"/>
      <c r="M810" s="33"/>
      <c r="N810" s="33"/>
      <c r="O810" s="33"/>
      <c r="P810" s="33"/>
      <c r="Q810" s="33"/>
      <c r="R810" s="935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>
      <c r="A811" s="224"/>
      <c r="B811" s="229"/>
      <c r="C811" s="225"/>
      <c r="D811" s="227"/>
      <c r="E811" s="228"/>
      <c r="F811" s="33"/>
      <c r="G811" s="33"/>
      <c r="H811" s="33"/>
      <c r="I811" s="33"/>
      <c r="J811" s="230"/>
      <c r="K811" s="114"/>
      <c r="L811" s="881"/>
      <c r="M811" s="33"/>
      <c r="N811" s="33"/>
      <c r="O811" s="33"/>
      <c r="P811" s="33"/>
      <c r="Q811" s="33"/>
      <c r="R811" s="935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>
      <c r="A812" s="224"/>
      <c r="B812" s="229"/>
      <c r="C812" s="225"/>
      <c r="D812" s="227"/>
      <c r="E812" s="228"/>
      <c r="F812" s="33"/>
      <c r="G812" s="33"/>
      <c r="H812" s="33"/>
      <c r="I812" s="33"/>
      <c r="J812" s="230"/>
      <c r="K812" s="114"/>
      <c r="L812" s="881"/>
      <c r="M812" s="33"/>
      <c r="N812" s="33"/>
      <c r="O812" s="33"/>
      <c r="P812" s="33"/>
      <c r="Q812" s="33"/>
      <c r="R812" s="935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>
      <c r="A813" s="224"/>
      <c r="B813" s="229"/>
      <c r="C813" s="225"/>
      <c r="D813" s="227"/>
      <c r="E813" s="228"/>
      <c r="F813" s="33"/>
      <c r="G813" s="33"/>
      <c r="H813" s="33"/>
      <c r="I813" s="33"/>
      <c r="J813" s="230"/>
      <c r="K813" s="114"/>
      <c r="L813" s="881"/>
      <c r="M813" s="33"/>
      <c r="N813" s="33"/>
      <c r="O813" s="33"/>
      <c r="P813" s="33"/>
      <c r="Q813" s="33"/>
      <c r="R813" s="935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>
      <c r="A814" s="224"/>
      <c r="B814" s="229"/>
      <c r="C814" s="225"/>
      <c r="D814" s="227"/>
      <c r="E814" s="228"/>
      <c r="F814" s="33"/>
      <c r="G814" s="33"/>
      <c r="H814" s="33"/>
      <c r="I814" s="33"/>
      <c r="J814" s="230"/>
      <c r="K814" s="114"/>
      <c r="L814" s="881"/>
      <c r="M814" s="33"/>
      <c r="N814" s="33"/>
      <c r="O814" s="33"/>
      <c r="P814" s="33"/>
      <c r="Q814" s="33"/>
      <c r="R814" s="935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>
      <c r="A815" s="224"/>
      <c r="B815" s="229"/>
      <c r="C815" s="225"/>
      <c r="D815" s="227"/>
      <c r="E815" s="228"/>
      <c r="F815" s="33"/>
      <c r="G815" s="33"/>
      <c r="H815" s="33"/>
      <c r="I815" s="33"/>
      <c r="J815" s="230"/>
      <c r="K815" s="114"/>
      <c r="L815" s="881"/>
      <c r="M815" s="33"/>
      <c r="N815" s="33"/>
      <c r="O815" s="33"/>
      <c r="P815" s="33"/>
      <c r="Q815" s="33"/>
      <c r="R815" s="935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>
      <c r="A816" s="224"/>
      <c r="B816" s="229"/>
      <c r="C816" s="225"/>
      <c r="D816" s="227"/>
      <c r="E816" s="228"/>
      <c r="F816" s="33"/>
      <c r="G816" s="33"/>
      <c r="H816" s="33"/>
      <c r="I816" s="33"/>
      <c r="J816" s="230"/>
      <c r="K816" s="114"/>
      <c r="L816" s="881"/>
      <c r="M816" s="33"/>
      <c r="N816" s="33"/>
      <c r="O816" s="33"/>
      <c r="P816" s="33"/>
      <c r="Q816" s="33"/>
      <c r="R816" s="935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>
      <c r="A817" s="224"/>
      <c r="B817" s="229"/>
      <c r="C817" s="225"/>
      <c r="D817" s="227"/>
      <c r="E817" s="228"/>
      <c r="F817" s="33"/>
      <c r="G817" s="33"/>
      <c r="H817" s="33"/>
      <c r="I817" s="33"/>
      <c r="J817" s="230"/>
      <c r="K817" s="114"/>
      <c r="L817" s="881"/>
      <c r="M817" s="33"/>
      <c r="N817" s="33"/>
      <c r="O817" s="33"/>
      <c r="P817" s="33"/>
      <c r="Q817" s="33"/>
      <c r="R817" s="935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>
      <c r="A818" s="224"/>
      <c r="B818" s="229"/>
      <c r="C818" s="225"/>
      <c r="D818" s="227"/>
      <c r="E818" s="228"/>
      <c r="F818" s="33"/>
      <c r="G818" s="33"/>
      <c r="H818" s="33"/>
      <c r="I818" s="33"/>
      <c r="J818" s="230"/>
      <c r="K818" s="114"/>
      <c r="L818" s="881"/>
      <c r="M818" s="33"/>
      <c r="N818" s="33"/>
      <c r="O818" s="33"/>
      <c r="P818" s="33"/>
      <c r="Q818" s="33"/>
      <c r="R818" s="935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>
      <c r="A819" s="224"/>
      <c r="B819" s="229"/>
      <c r="C819" s="225"/>
      <c r="D819" s="227"/>
      <c r="E819" s="228"/>
      <c r="F819" s="33"/>
      <c r="G819" s="33"/>
      <c r="H819" s="33"/>
      <c r="I819" s="33"/>
      <c r="J819" s="230"/>
      <c r="K819" s="114"/>
      <c r="L819" s="881"/>
      <c r="M819" s="33"/>
      <c r="N819" s="33"/>
      <c r="O819" s="33"/>
      <c r="P819" s="33"/>
      <c r="Q819" s="33"/>
      <c r="R819" s="935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>
      <c r="A820" s="224"/>
      <c r="B820" s="229"/>
      <c r="C820" s="225"/>
      <c r="D820" s="227"/>
      <c r="E820" s="228"/>
      <c r="F820" s="33"/>
      <c r="G820" s="33"/>
      <c r="H820" s="33"/>
      <c r="I820" s="33"/>
      <c r="J820" s="230"/>
      <c r="K820" s="114"/>
      <c r="L820" s="881"/>
      <c r="M820" s="33"/>
      <c r="N820" s="33"/>
      <c r="O820" s="33"/>
      <c r="P820" s="33"/>
      <c r="Q820" s="33"/>
      <c r="R820" s="935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>
      <c r="A821" s="224"/>
      <c r="B821" s="229"/>
      <c r="C821" s="225"/>
      <c r="D821" s="227"/>
      <c r="E821" s="228"/>
      <c r="F821" s="33"/>
      <c r="G821" s="33"/>
      <c r="H821" s="33"/>
      <c r="I821" s="33"/>
      <c r="J821" s="230"/>
      <c r="K821" s="114"/>
      <c r="L821" s="881"/>
      <c r="M821" s="33"/>
      <c r="N821" s="33"/>
      <c r="O821" s="33"/>
      <c r="P821" s="33"/>
      <c r="Q821" s="33"/>
      <c r="R821" s="935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>
      <c r="A822" s="224"/>
      <c r="B822" s="229"/>
      <c r="C822" s="225"/>
      <c r="D822" s="227"/>
      <c r="E822" s="228"/>
      <c r="F822" s="33"/>
      <c r="G822" s="33"/>
      <c r="H822" s="33"/>
      <c r="I822" s="33"/>
      <c r="J822" s="230"/>
      <c r="K822" s="114"/>
      <c r="L822" s="881"/>
      <c r="M822" s="33"/>
      <c r="N822" s="33"/>
      <c r="O822" s="33"/>
      <c r="P822" s="33"/>
      <c r="Q822" s="33"/>
      <c r="R822" s="935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>
      <c r="A823" s="224"/>
      <c r="B823" s="229"/>
      <c r="C823" s="225"/>
      <c r="D823" s="227"/>
      <c r="E823" s="228"/>
      <c r="F823" s="33"/>
      <c r="G823" s="33"/>
      <c r="H823" s="33"/>
      <c r="I823" s="33"/>
      <c r="J823" s="230"/>
      <c r="K823" s="114"/>
      <c r="L823" s="881"/>
      <c r="M823" s="33"/>
      <c r="N823" s="33"/>
      <c r="O823" s="33"/>
      <c r="P823" s="33"/>
      <c r="Q823" s="33"/>
      <c r="R823" s="935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>
      <c r="A824" s="224"/>
      <c r="B824" s="229"/>
      <c r="C824" s="225"/>
      <c r="D824" s="227"/>
      <c r="E824" s="228"/>
      <c r="F824" s="33"/>
      <c r="G824" s="33"/>
      <c r="H824" s="33"/>
      <c r="I824" s="33"/>
      <c r="J824" s="230"/>
      <c r="K824" s="114"/>
      <c r="L824" s="881"/>
      <c r="M824" s="33"/>
      <c r="N824" s="33"/>
      <c r="O824" s="33"/>
      <c r="P824" s="33"/>
      <c r="Q824" s="33"/>
      <c r="R824" s="935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>
      <c r="A825" s="224"/>
      <c r="B825" s="229"/>
      <c r="C825" s="225"/>
      <c r="D825" s="227"/>
      <c r="E825" s="228"/>
      <c r="F825" s="33"/>
      <c r="G825" s="33"/>
      <c r="H825" s="33"/>
      <c r="I825" s="33"/>
      <c r="J825" s="230"/>
      <c r="K825" s="114"/>
      <c r="L825" s="881"/>
      <c r="M825" s="33"/>
      <c r="N825" s="33"/>
      <c r="O825" s="33"/>
      <c r="P825" s="33"/>
      <c r="Q825" s="33"/>
      <c r="R825" s="935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>
      <c r="A826" s="224"/>
      <c r="B826" s="229"/>
      <c r="C826" s="225"/>
      <c r="D826" s="227"/>
      <c r="E826" s="228"/>
      <c r="F826" s="33"/>
      <c r="G826" s="33"/>
      <c r="H826" s="33"/>
      <c r="I826" s="33"/>
      <c r="J826" s="230"/>
      <c r="K826" s="114"/>
      <c r="L826" s="881"/>
      <c r="M826" s="33"/>
      <c r="N826" s="33"/>
      <c r="O826" s="33"/>
      <c r="P826" s="33"/>
      <c r="Q826" s="33"/>
      <c r="R826" s="935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>
      <c r="A827" s="224"/>
      <c r="B827" s="229"/>
      <c r="C827" s="225"/>
      <c r="D827" s="227"/>
      <c r="E827" s="228"/>
      <c r="F827" s="33"/>
      <c r="G827" s="33"/>
      <c r="H827" s="33"/>
      <c r="I827" s="33"/>
      <c r="J827" s="230"/>
      <c r="K827" s="114"/>
      <c r="L827" s="881"/>
      <c r="M827" s="33"/>
      <c r="N827" s="33"/>
      <c r="O827" s="33"/>
      <c r="P827" s="33"/>
      <c r="Q827" s="33"/>
      <c r="R827" s="935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>
      <c r="A828" s="224"/>
      <c r="B828" s="229"/>
      <c r="C828" s="225"/>
      <c r="D828" s="227"/>
      <c r="E828" s="228"/>
      <c r="F828" s="33"/>
      <c r="G828" s="33"/>
      <c r="H828" s="33"/>
      <c r="I828" s="33"/>
      <c r="J828" s="230"/>
      <c r="K828" s="114"/>
      <c r="L828" s="881"/>
      <c r="M828" s="33"/>
      <c r="N828" s="33"/>
      <c r="O828" s="33"/>
      <c r="P828" s="33"/>
      <c r="Q828" s="33"/>
      <c r="R828" s="935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>
      <c r="A829" s="224"/>
      <c r="B829" s="229"/>
      <c r="C829" s="225"/>
      <c r="D829" s="227"/>
      <c r="E829" s="228"/>
      <c r="F829" s="33"/>
      <c r="G829" s="33"/>
      <c r="H829" s="33"/>
      <c r="I829" s="33"/>
      <c r="J829" s="230"/>
      <c r="K829" s="114"/>
      <c r="L829" s="881"/>
      <c r="M829" s="33"/>
      <c r="N829" s="33"/>
      <c r="O829" s="33"/>
      <c r="P829" s="33"/>
      <c r="Q829" s="33"/>
      <c r="R829" s="935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>
      <c r="A830" s="224"/>
      <c r="B830" s="229"/>
      <c r="C830" s="225"/>
      <c r="D830" s="227"/>
      <c r="E830" s="228"/>
      <c r="F830" s="33"/>
      <c r="G830" s="33"/>
      <c r="H830" s="33"/>
      <c r="I830" s="33"/>
      <c r="J830" s="230"/>
      <c r="K830" s="114"/>
      <c r="L830" s="881"/>
      <c r="M830" s="33"/>
      <c r="N830" s="33"/>
      <c r="O830" s="33"/>
      <c r="P830" s="33"/>
      <c r="Q830" s="33"/>
      <c r="R830" s="935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>
      <c r="A831" s="224"/>
      <c r="B831" s="229"/>
      <c r="C831" s="225"/>
      <c r="D831" s="227"/>
      <c r="E831" s="228"/>
      <c r="F831" s="33"/>
      <c r="G831" s="33"/>
      <c r="H831" s="33"/>
      <c r="I831" s="33"/>
      <c r="J831" s="230"/>
      <c r="K831" s="114"/>
      <c r="L831" s="881"/>
      <c r="M831" s="33"/>
      <c r="N831" s="33"/>
      <c r="O831" s="33"/>
      <c r="P831" s="33"/>
      <c r="Q831" s="33"/>
      <c r="R831" s="935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>
      <c r="A832" s="224"/>
      <c r="B832" s="229"/>
      <c r="C832" s="225"/>
      <c r="D832" s="227"/>
      <c r="E832" s="228"/>
      <c r="F832" s="33"/>
      <c r="G832" s="33"/>
      <c r="H832" s="33"/>
      <c r="I832" s="33"/>
      <c r="J832" s="230"/>
      <c r="K832" s="114"/>
      <c r="L832" s="881"/>
      <c r="M832" s="33"/>
      <c r="N832" s="33"/>
      <c r="O832" s="33"/>
      <c r="P832" s="33"/>
      <c r="Q832" s="33"/>
      <c r="R832" s="935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>
      <c r="A833" s="224"/>
      <c r="B833" s="229"/>
      <c r="C833" s="225"/>
      <c r="D833" s="227"/>
      <c r="E833" s="228"/>
      <c r="F833" s="33"/>
      <c r="G833" s="33"/>
      <c r="H833" s="33"/>
      <c r="I833" s="33"/>
      <c r="J833" s="230"/>
      <c r="K833" s="114"/>
      <c r="L833" s="881"/>
      <c r="M833" s="33"/>
      <c r="N833" s="33"/>
      <c r="O833" s="33"/>
      <c r="P833" s="33"/>
      <c r="Q833" s="33"/>
      <c r="R833" s="935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>
      <c r="A834" s="224"/>
      <c r="B834" s="229"/>
      <c r="C834" s="225"/>
      <c r="D834" s="227"/>
      <c r="E834" s="228"/>
      <c r="F834" s="33"/>
      <c r="G834" s="33"/>
      <c r="H834" s="33"/>
      <c r="I834" s="33"/>
      <c r="J834" s="230"/>
      <c r="K834" s="114"/>
      <c r="L834" s="881"/>
      <c r="M834" s="33"/>
      <c r="N834" s="33"/>
      <c r="O834" s="33"/>
      <c r="P834" s="33"/>
      <c r="Q834" s="33"/>
      <c r="R834" s="935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>
      <c r="A835" s="224"/>
      <c r="B835" s="229"/>
      <c r="C835" s="225"/>
      <c r="D835" s="227"/>
      <c r="E835" s="228"/>
      <c r="F835" s="33"/>
      <c r="G835" s="33"/>
      <c r="H835" s="33"/>
      <c r="I835" s="33"/>
      <c r="J835" s="230"/>
      <c r="K835" s="114"/>
      <c r="L835" s="881"/>
      <c r="M835" s="33"/>
      <c r="N835" s="33"/>
      <c r="O835" s="33"/>
      <c r="P835" s="33"/>
      <c r="Q835" s="33"/>
      <c r="R835" s="935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>
      <c r="A836" s="224"/>
      <c r="B836" s="229"/>
      <c r="C836" s="225"/>
      <c r="D836" s="227"/>
      <c r="E836" s="228"/>
      <c r="F836" s="33"/>
      <c r="G836" s="33"/>
      <c r="H836" s="33"/>
      <c r="I836" s="33"/>
      <c r="J836" s="230"/>
      <c r="K836" s="114"/>
      <c r="L836" s="881"/>
      <c r="M836" s="33"/>
      <c r="N836" s="33"/>
      <c r="O836" s="33"/>
      <c r="P836" s="33"/>
      <c r="Q836" s="33"/>
      <c r="R836" s="935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>
      <c r="A837" s="224"/>
      <c r="B837" s="229"/>
      <c r="C837" s="225"/>
      <c r="D837" s="227"/>
      <c r="E837" s="228"/>
      <c r="F837" s="33"/>
      <c r="G837" s="33"/>
      <c r="H837" s="33"/>
      <c r="I837" s="33"/>
      <c r="J837" s="230"/>
      <c r="K837" s="114"/>
      <c r="L837" s="881"/>
      <c r="M837" s="33"/>
      <c r="N837" s="33"/>
      <c r="O837" s="33"/>
      <c r="P837" s="33"/>
      <c r="Q837" s="33"/>
      <c r="R837" s="935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>
      <c r="A838" s="224"/>
      <c r="B838" s="229"/>
      <c r="C838" s="225"/>
      <c r="D838" s="227"/>
      <c r="E838" s="228"/>
      <c r="F838" s="33"/>
      <c r="G838" s="33"/>
      <c r="H838" s="33"/>
      <c r="I838" s="33"/>
      <c r="J838" s="230"/>
      <c r="K838" s="114"/>
      <c r="L838" s="881"/>
      <c r="M838" s="33"/>
      <c r="N838" s="33"/>
      <c r="O838" s="33"/>
      <c r="P838" s="33"/>
      <c r="Q838" s="33"/>
      <c r="R838" s="935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>
      <c r="A839" s="224"/>
      <c r="B839" s="229"/>
      <c r="C839" s="225"/>
      <c r="D839" s="227"/>
      <c r="E839" s="228"/>
      <c r="F839" s="33"/>
      <c r="G839" s="33"/>
      <c r="H839" s="33"/>
      <c r="I839" s="33"/>
      <c r="J839" s="230"/>
      <c r="K839" s="114"/>
      <c r="L839" s="881"/>
      <c r="M839" s="33"/>
      <c r="N839" s="33"/>
      <c r="O839" s="33"/>
      <c r="P839" s="33"/>
      <c r="Q839" s="33"/>
      <c r="R839" s="935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>
      <c r="A840" s="224"/>
      <c r="B840" s="229"/>
      <c r="C840" s="225"/>
      <c r="D840" s="227"/>
      <c r="E840" s="228"/>
      <c r="F840" s="33"/>
      <c r="G840" s="33"/>
      <c r="H840" s="33"/>
      <c r="I840" s="33"/>
      <c r="J840" s="230"/>
      <c r="K840" s="114"/>
      <c r="L840" s="881"/>
      <c r="M840" s="33"/>
      <c r="N840" s="33"/>
      <c r="O840" s="33"/>
      <c r="P840" s="33"/>
      <c r="Q840" s="33"/>
      <c r="R840" s="935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>
      <c r="A841" s="224"/>
      <c r="B841" s="229"/>
      <c r="C841" s="225"/>
      <c r="D841" s="227"/>
      <c r="E841" s="228"/>
      <c r="F841" s="33"/>
      <c r="G841" s="33"/>
      <c r="H841" s="33"/>
      <c r="I841" s="33"/>
      <c r="J841" s="230"/>
      <c r="K841" s="114"/>
      <c r="L841" s="881"/>
      <c r="M841" s="33"/>
      <c r="N841" s="33"/>
      <c r="O841" s="33"/>
      <c r="P841" s="33"/>
      <c r="Q841" s="33"/>
      <c r="R841" s="935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>
      <c r="A842" s="224"/>
      <c r="B842" s="229"/>
      <c r="C842" s="225"/>
      <c r="D842" s="227"/>
      <c r="E842" s="228"/>
      <c r="F842" s="33"/>
      <c r="G842" s="33"/>
      <c r="H842" s="33"/>
      <c r="I842" s="33"/>
      <c r="J842" s="230"/>
      <c r="K842" s="114"/>
      <c r="L842" s="881"/>
      <c r="M842" s="33"/>
      <c r="N842" s="33"/>
      <c r="O842" s="33"/>
      <c r="P842" s="33"/>
      <c r="Q842" s="33"/>
      <c r="R842" s="935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>
      <c r="A843" s="224"/>
      <c r="B843" s="229"/>
      <c r="C843" s="225"/>
      <c r="D843" s="227"/>
      <c r="E843" s="228"/>
      <c r="F843" s="33"/>
      <c r="G843" s="33"/>
      <c r="H843" s="33"/>
      <c r="I843" s="33"/>
      <c r="J843" s="230"/>
      <c r="K843" s="114"/>
      <c r="L843" s="881"/>
      <c r="M843" s="33"/>
      <c r="N843" s="33"/>
      <c r="O843" s="33"/>
      <c r="P843" s="33"/>
      <c r="Q843" s="33"/>
      <c r="R843" s="935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>
      <c r="A844" s="224"/>
      <c r="B844" s="229"/>
      <c r="C844" s="225"/>
      <c r="D844" s="227"/>
      <c r="E844" s="228"/>
      <c r="F844" s="33"/>
      <c r="G844" s="33"/>
      <c r="H844" s="33"/>
      <c r="I844" s="33"/>
      <c r="J844" s="230"/>
      <c r="K844" s="114"/>
      <c r="L844" s="881"/>
      <c r="M844" s="33"/>
      <c r="N844" s="33"/>
      <c r="O844" s="33"/>
      <c r="P844" s="33"/>
      <c r="Q844" s="33"/>
      <c r="R844" s="935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>
      <c r="A845" s="224"/>
      <c r="B845" s="229"/>
      <c r="C845" s="225"/>
      <c r="D845" s="227"/>
      <c r="E845" s="228"/>
      <c r="F845" s="33"/>
      <c r="G845" s="33"/>
      <c r="H845" s="33"/>
      <c r="I845" s="33"/>
      <c r="J845" s="230"/>
      <c r="K845" s="114"/>
      <c r="L845" s="881"/>
      <c r="M845" s="33"/>
      <c r="N845" s="33"/>
      <c r="O845" s="33"/>
      <c r="P845" s="33"/>
      <c r="Q845" s="33"/>
      <c r="R845" s="935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>
      <c r="A846" s="224"/>
      <c r="B846" s="229"/>
      <c r="C846" s="225"/>
      <c r="D846" s="227"/>
      <c r="E846" s="228"/>
      <c r="F846" s="33"/>
      <c r="G846" s="33"/>
      <c r="H846" s="33"/>
      <c r="I846" s="33"/>
      <c r="J846" s="230"/>
      <c r="K846" s="114"/>
      <c r="L846" s="881"/>
      <c r="M846" s="33"/>
      <c r="N846" s="33"/>
      <c r="O846" s="33"/>
      <c r="P846" s="33"/>
      <c r="Q846" s="33"/>
      <c r="R846" s="935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>
      <c r="A847" s="224"/>
      <c r="B847" s="229"/>
      <c r="C847" s="225"/>
      <c r="D847" s="227"/>
      <c r="E847" s="228"/>
      <c r="F847" s="33"/>
      <c r="G847" s="33"/>
      <c r="H847" s="33"/>
      <c r="I847" s="33"/>
      <c r="J847" s="230"/>
      <c r="K847" s="114"/>
      <c r="L847" s="881"/>
      <c r="M847" s="33"/>
      <c r="N847" s="33"/>
      <c r="O847" s="33"/>
      <c r="P847" s="33"/>
      <c r="Q847" s="33"/>
      <c r="R847" s="935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>
      <c r="A848" s="224"/>
      <c r="B848" s="229"/>
      <c r="C848" s="225"/>
      <c r="D848" s="227"/>
      <c r="E848" s="228"/>
      <c r="F848" s="33"/>
      <c r="G848" s="33"/>
      <c r="H848" s="33"/>
      <c r="I848" s="33"/>
      <c r="J848" s="230"/>
      <c r="K848" s="114"/>
      <c r="L848" s="881"/>
      <c r="M848" s="33"/>
      <c r="N848" s="33"/>
      <c r="O848" s="33"/>
      <c r="P848" s="33"/>
      <c r="Q848" s="33"/>
      <c r="R848" s="935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>
      <c r="A849" s="224"/>
      <c r="B849" s="229"/>
      <c r="C849" s="225"/>
      <c r="D849" s="227"/>
      <c r="E849" s="228"/>
      <c r="F849" s="33"/>
      <c r="G849" s="33"/>
      <c r="H849" s="33"/>
      <c r="I849" s="33"/>
      <c r="J849" s="230"/>
      <c r="K849" s="114"/>
      <c r="L849" s="881"/>
      <c r="M849" s="33"/>
      <c r="N849" s="33"/>
      <c r="O849" s="33"/>
      <c r="P849" s="33"/>
      <c r="Q849" s="33"/>
      <c r="R849" s="935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>
      <c r="A850" s="224"/>
      <c r="B850" s="229"/>
      <c r="C850" s="225"/>
      <c r="D850" s="227"/>
      <c r="E850" s="228"/>
      <c r="F850" s="33"/>
      <c r="G850" s="33"/>
      <c r="H850" s="33"/>
      <c r="I850" s="33"/>
      <c r="J850" s="230"/>
      <c r="K850" s="114"/>
      <c r="L850" s="881"/>
      <c r="M850" s="33"/>
      <c r="N850" s="33"/>
      <c r="O850" s="33"/>
      <c r="P850" s="33"/>
      <c r="Q850" s="33"/>
      <c r="R850" s="935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>
      <c r="A851" s="224"/>
      <c r="B851" s="229"/>
      <c r="C851" s="225"/>
      <c r="D851" s="227"/>
      <c r="E851" s="228"/>
      <c r="F851" s="33"/>
      <c r="G851" s="33"/>
      <c r="H851" s="33"/>
      <c r="I851" s="33"/>
      <c r="J851" s="230"/>
      <c r="K851" s="114"/>
      <c r="L851" s="881"/>
      <c r="M851" s="33"/>
      <c r="N851" s="33"/>
      <c r="O851" s="33"/>
      <c r="P851" s="33"/>
      <c r="Q851" s="33"/>
      <c r="R851" s="935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>
      <c r="A852" s="224"/>
      <c r="B852" s="229"/>
      <c r="C852" s="225"/>
      <c r="D852" s="227"/>
      <c r="E852" s="228"/>
      <c r="F852" s="33"/>
      <c r="G852" s="33"/>
      <c r="H852" s="33"/>
      <c r="I852" s="33"/>
      <c r="J852" s="230"/>
      <c r="K852" s="114"/>
      <c r="L852" s="881"/>
      <c r="M852" s="33"/>
      <c r="N852" s="33"/>
      <c r="O852" s="33"/>
      <c r="P852" s="33"/>
      <c r="Q852" s="33"/>
      <c r="R852" s="935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>
      <c r="A853" s="224"/>
      <c r="B853" s="229"/>
      <c r="C853" s="225"/>
      <c r="D853" s="227"/>
      <c r="E853" s="228"/>
      <c r="F853" s="33"/>
      <c r="G853" s="33"/>
      <c r="H853" s="33"/>
      <c r="I853" s="33"/>
      <c r="J853" s="230"/>
      <c r="K853" s="114"/>
      <c r="L853" s="881"/>
      <c r="M853" s="33"/>
      <c r="N853" s="33"/>
      <c r="O853" s="33"/>
      <c r="P853" s="33"/>
      <c r="Q853" s="33"/>
      <c r="R853" s="935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>
      <c r="A854" s="224"/>
      <c r="B854" s="229"/>
      <c r="C854" s="225"/>
      <c r="D854" s="227"/>
      <c r="E854" s="228"/>
      <c r="F854" s="33"/>
      <c r="G854" s="33"/>
      <c r="H854" s="33"/>
      <c r="I854" s="33"/>
      <c r="J854" s="230"/>
      <c r="K854" s="114"/>
      <c r="L854" s="881"/>
      <c r="M854" s="33"/>
      <c r="N854" s="33"/>
      <c r="O854" s="33"/>
      <c r="P854" s="33"/>
      <c r="Q854" s="33"/>
      <c r="R854" s="935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>
      <c r="A855" s="224"/>
      <c r="B855" s="229"/>
      <c r="C855" s="225"/>
      <c r="D855" s="227"/>
      <c r="E855" s="228"/>
      <c r="F855" s="33"/>
      <c r="G855" s="33"/>
      <c r="H855" s="33"/>
      <c r="I855" s="33"/>
      <c r="J855" s="230"/>
      <c r="K855" s="114"/>
      <c r="L855" s="881"/>
      <c r="M855" s="33"/>
      <c r="N855" s="33"/>
      <c r="O855" s="33"/>
      <c r="P855" s="33"/>
      <c r="Q855" s="33"/>
      <c r="R855" s="935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>
      <c r="A856" s="224"/>
      <c r="B856" s="229"/>
      <c r="C856" s="225"/>
      <c r="D856" s="227"/>
      <c r="E856" s="228"/>
      <c r="F856" s="33"/>
      <c r="G856" s="33"/>
      <c r="H856" s="33"/>
      <c r="I856" s="33"/>
      <c r="J856" s="230"/>
      <c r="K856" s="114"/>
      <c r="L856" s="881"/>
      <c r="M856" s="33"/>
      <c r="N856" s="33"/>
      <c r="O856" s="33"/>
      <c r="P856" s="33"/>
      <c r="Q856" s="33"/>
      <c r="R856" s="935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>
      <c r="A857" s="224"/>
      <c r="B857" s="229"/>
      <c r="C857" s="225"/>
      <c r="D857" s="227"/>
      <c r="E857" s="228"/>
      <c r="F857" s="33"/>
      <c r="G857" s="33"/>
      <c r="H857" s="33"/>
      <c r="I857" s="33"/>
      <c r="J857" s="230"/>
      <c r="K857" s="114"/>
      <c r="L857" s="881"/>
      <c r="M857" s="33"/>
      <c r="N857" s="33"/>
      <c r="O857" s="33"/>
      <c r="P857" s="33"/>
      <c r="Q857" s="33"/>
      <c r="R857" s="935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>
      <c r="A858" s="224"/>
      <c r="B858" s="229"/>
      <c r="C858" s="225"/>
      <c r="D858" s="227"/>
      <c r="E858" s="228"/>
      <c r="F858" s="33"/>
      <c r="G858" s="33"/>
      <c r="H858" s="33"/>
      <c r="I858" s="33"/>
      <c r="J858" s="230"/>
      <c r="K858" s="114"/>
      <c r="L858" s="881"/>
      <c r="M858" s="33"/>
      <c r="N858" s="33"/>
      <c r="O858" s="33"/>
      <c r="P858" s="33"/>
      <c r="Q858" s="33"/>
      <c r="R858" s="935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>
      <c r="A859" s="224"/>
      <c r="B859" s="229"/>
      <c r="C859" s="225"/>
      <c r="D859" s="227"/>
      <c r="E859" s="228"/>
      <c r="F859" s="33"/>
      <c r="G859" s="33"/>
      <c r="H859" s="33"/>
      <c r="I859" s="33"/>
      <c r="J859" s="230"/>
      <c r="K859" s="114"/>
      <c r="L859" s="881"/>
      <c r="M859" s="33"/>
      <c r="N859" s="33"/>
      <c r="O859" s="33"/>
      <c r="P859" s="33"/>
      <c r="Q859" s="33"/>
      <c r="R859" s="935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>
      <c r="A860" s="224"/>
      <c r="B860" s="229"/>
      <c r="C860" s="225"/>
      <c r="D860" s="227"/>
      <c r="E860" s="228"/>
      <c r="F860" s="33"/>
      <c r="G860" s="33"/>
      <c r="H860" s="33"/>
      <c r="I860" s="33"/>
      <c r="J860" s="230"/>
      <c r="K860" s="114"/>
      <c r="L860" s="881"/>
      <c r="M860" s="33"/>
      <c r="N860" s="33"/>
      <c r="O860" s="33"/>
      <c r="P860" s="33"/>
      <c r="Q860" s="33"/>
      <c r="R860" s="935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>
      <c r="A861" s="224"/>
      <c r="B861" s="229"/>
      <c r="C861" s="225"/>
      <c r="D861" s="227"/>
      <c r="E861" s="228"/>
      <c r="F861" s="33"/>
      <c r="G861" s="33"/>
      <c r="H861" s="33"/>
      <c r="I861" s="33"/>
      <c r="J861" s="230"/>
      <c r="K861" s="114"/>
      <c r="L861" s="881"/>
      <c r="M861" s="33"/>
      <c r="N861" s="33"/>
      <c r="O861" s="33"/>
      <c r="P861" s="33"/>
      <c r="Q861" s="33"/>
      <c r="R861" s="935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>
      <c r="A862" s="224"/>
      <c r="B862" s="229"/>
      <c r="C862" s="225"/>
      <c r="D862" s="227"/>
      <c r="E862" s="228"/>
      <c r="F862" s="33"/>
      <c r="G862" s="33"/>
      <c r="H862" s="33"/>
      <c r="I862" s="33"/>
      <c r="J862" s="230"/>
      <c r="K862" s="114"/>
      <c r="L862" s="881"/>
      <c r="M862" s="33"/>
      <c r="N862" s="33"/>
      <c r="O862" s="33"/>
      <c r="P862" s="33"/>
      <c r="Q862" s="33"/>
      <c r="R862" s="935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>
      <c r="A863" s="224"/>
      <c r="B863" s="229"/>
      <c r="C863" s="225"/>
      <c r="D863" s="227"/>
      <c r="E863" s="228"/>
      <c r="F863" s="33"/>
      <c r="G863" s="33"/>
      <c r="H863" s="33"/>
      <c r="I863" s="33"/>
      <c r="J863" s="230"/>
      <c r="K863" s="114"/>
      <c r="L863" s="881"/>
      <c r="M863" s="33"/>
      <c r="N863" s="33"/>
      <c r="O863" s="33"/>
      <c r="P863" s="33"/>
      <c r="Q863" s="33"/>
      <c r="R863" s="935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>
      <c r="A864" s="224"/>
      <c r="B864" s="229"/>
      <c r="C864" s="225"/>
      <c r="D864" s="227"/>
      <c r="E864" s="228"/>
      <c r="F864" s="33"/>
      <c r="G864" s="33"/>
      <c r="H864" s="33"/>
      <c r="I864" s="33"/>
      <c r="J864" s="230"/>
      <c r="K864" s="114"/>
      <c r="L864" s="881"/>
      <c r="M864" s="33"/>
      <c r="N864" s="33"/>
      <c r="O864" s="33"/>
      <c r="P864" s="33"/>
      <c r="Q864" s="33"/>
      <c r="R864" s="935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>
      <c r="A865" s="224"/>
      <c r="B865" s="229"/>
      <c r="C865" s="225"/>
      <c r="D865" s="227"/>
      <c r="E865" s="228"/>
      <c r="F865" s="33"/>
      <c r="G865" s="33"/>
      <c r="H865" s="33"/>
      <c r="I865" s="33"/>
      <c r="J865" s="230"/>
      <c r="K865" s="114"/>
      <c r="L865" s="881"/>
      <c r="M865" s="33"/>
      <c r="N865" s="33"/>
      <c r="O865" s="33"/>
      <c r="P865" s="33"/>
      <c r="Q865" s="33"/>
      <c r="R865" s="935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>
      <c r="A866" s="224"/>
      <c r="B866" s="229"/>
      <c r="C866" s="225"/>
      <c r="D866" s="227"/>
      <c r="E866" s="228"/>
      <c r="F866" s="33"/>
      <c r="G866" s="33"/>
      <c r="H866" s="33"/>
      <c r="I866" s="33"/>
      <c r="J866" s="230"/>
      <c r="K866" s="114"/>
      <c r="L866" s="881"/>
      <c r="M866" s="33"/>
      <c r="N866" s="33"/>
      <c r="O866" s="33"/>
      <c r="P866" s="33"/>
      <c r="Q866" s="33"/>
      <c r="R866" s="935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>
      <c r="A867" s="224"/>
      <c r="B867" s="229"/>
      <c r="C867" s="225"/>
      <c r="D867" s="227"/>
      <c r="E867" s="228"/>
      <c r="F867" s="33"/>
      <c r="G867" s="33"/>
      <c r="H867" s="33"/>
      <c r="I867" s="33"/>
      <c r="J867" s="230"/>
      <c r="K867" s="114"/>
      <c r="L867" s="881"/>
      <c r="M867" s="33"/>
      <c r="N867" s="33"/>
      <c r="O867" s="33"/>
      <c r="P867" s="33"/>
      <c r="Q867" s="33"/>
      <c r="R867" s="935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>
      <c r="A868" s="224"/>
      <c r="B868" s="229"/>
      <c r="C868" s="225"/>
      <c r="D868" s="227"/>
      <c r="E868" s="228"/>
      <c r="F868" s="33"/>
      <c r="G868" s="33"/>
      <c r="H868" s="33"/>
      <c r="I868" s="33"/>
      <c r="J868" s="230"/>
      <c r="K868" s="114"/>
      <c r="L868" s="881"/>
      <c r="M868" s="33"/>
      <c r="N868" s="33"/>
      <c r="O868" s="33"/>
      <c r="P868" s="33"/>
      <c r="Q868" s="33"/>
      <c r="R868" s="935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>
      <c r="A869" s="224"/>
      <c r="B869" s="229"/>
      <c r="C869" s="225"/>
      <c r="D869" s="227"/>
      <c r="E869" s="228"/>
      <c r="F869" s="33"/>
      <c r="G869" s="33"/>
      <c r="H869" s="33"/>
      <c r="I869" s="33"/>
      <c r="J869" s="230"/>
      <c r="K869" s="114"/>
      <c r="L869" s="881"/>
      <c r="M869" s="33"/>
      <c r="N869" s="33"/>
      <c r="O869" s="33"/>
      <c r="P869" s="33"/>
      <c r="Q869" s="33"/>
      <c r="R869" s="935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>
      <c r="A870" s="224"/>
      <c r="B870" s="229"/>
      <c r="C870" s="225"/>
      <c r="D870" s="227"/>
      <c r="E870" s="228"/>
      <c r="F870" s="33"/>
      <c r="G870" s="33"/>
      <c r="H870" s="33"/>
      <c r="I870" s="33"/>
      <c r="J870" s="230"/>
      <c r="K870" s="114"/>
      <c r="L870" s="881"/>
      <c r="M870" s="33"/>
      <c r="N870" s="33"/>
      <c r="O870" s="33"/>
      <c r="P870" s="33"/>
      <c r="Q870" s="33"/>
      <c r="R870" s="935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>
      <c r="A871" s="224"/>
      <c r="B871" s="229"/>
      <c r="C871" s="225"/>
      <c r="D871" s="227"/>
      <c r="E871" s="228"/>
      <c r="F871" s="33"/>
      <c r="G871" s="33"/>
      <c r="H871" s="33"/>
      <c r="I871" s="33"/>
      <c r="J871" s="230"/>
      <c r="K871" s="114"/>
      <c r="L871" s="881"/>
      <c r="M871" s="33"/>
      <c r="N871" s="33"/>
      <c r="O871" s="33"/>
      <c r="P871" s="33"/>
      <c r="Q871" s="33"/>
      <c r="R871" s="935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>
      <c r="A872" s="224"/>
      <c r="B872" s="229"/>
      <c r="C872" s="225"/>
      <c r="D872" s="227"/>
      <c r="E872" s="228"/>
      <c r="F872" s="33"/>
      <c r="G872" s="33"/>
      <c r="H872" s="33"/>
      <c r="I872" s="33"/>
      <c r="J872" s="230"/>
      <c r="K872" s="114"/>
      <c r="L872" s="881"/>
      <c r="M872" s="33"/>
      <c r="N872" s="33"/>
      <c r="O872" s="33"/>
      <c r="P872" s="33"/>
      <c r="Q872" s="33"/>
      <c r="R872" s="935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>
      <c r="A873" s="224"/>
      <c r="B873" s="229"/>
      <c r="C873" s="225"/>
      <c r="D873" s="227"/>
      <c r="E873" s="228"/>
      <c r="F873" s="33"/>
      <c r="G873" s="33"/>
      <c r="H873" s="33"/>
      <c r="I873" s="33"/>
      <c r="J873" s="230"/>
      <c r="K873" s="114"/>
      <c r="L873" s="881"/>
      <c r="M873" s="33"/>
      <c r="N873" s="33"/>
      <c r="O873" s="33"/>
      <c r="P873" s="33"/>
      <c r="Q873" s="33"/>
      <c r="R873" s="935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>
      <c r="A874" s="224"/>
      <c r="B874" s="229"/>
      <c r="C874" s="225"/>
      <c r="D874" s="227"/>
      <c r="E874" s="228"/>
      <c r="F874" s="33"/>
      <c r="G874" s="33"/>
      <c r="H874" s="33"/>
      <c r="I874" s="33"/>
      <c r="J874" s="230"/>
      <c r="K874" s="114"/>
      <c r="L874" s="881"/>
      <c r="M874" s="33"/>
      <c r="N874" s="33"/>
      <c r="O874" s="33"/>
      <c r="P874" s="33"/>
      <c r="Q874" s="33"/>
      <c r="R874" s="935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>
      <c r="A875" s="224"/>
      <c r="B875" s="229"/>
      <c r="C875" s="225"/>
      <c r="D875" s="227"/>
      <c r="E875" s="228"/>
      <c r="F875" s="33"/>
      <c r="G875" s="33"/>
      <c r="H875" s="33"/>
      <c r="I875" s="33"/>
      <c r="J875" s="230"/>
      <c r="K875" s="114"/>
      <c r="L875" s="881"/>
      <c r="M875" s="33"/>
      <c r="N875" s="33"/>
      <c r="O875" s="33"/>
      <c r="P875" s="33"/>
      <c r="Q875" s="33"/>
      <c r="R875" s="935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>
      <c r="A876" s="224"/>
      <c r="B876" s="229"/>
      <c r="C876" s="225"/>
      <c r="D876" s="227"/>
      <c r="E876" s="228"/>
      <c r="F876" s="33"/>
      <c r="G876" s="33"/>
      <c r="H876" s="33"/>
      <c r="I876" s="33"/>
      <c r="J876" s="230"/>
      <c r="K876" s="114"/>
      <c r="L876" s="881"/>
      <c r="M876" s="33"/>
      <c r="N876" s="33"/>
      <c r="O876" s="33"/>
      <c r="P876" s="33"/>
      <c r="Q876" s="33"/>
      <c r="R876" s="935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>
      <c r="A877" s="224"/>
      <c r="B877" s="229"/>
      <c r="C877" s="225"/>
      <c r="D877" s="227"/>
      <c r="E877" s="228"/>
      <c r="F877" s="33"/>
      <c r="G877" s="33"/>
      <c r="H877" s="33"/>
      <c r="I877" s="33"/>
      <c r="J877" s="230"/>
      <c r="K877" s="114"/>
      <c r="L877" s="881"/>
      <c r="M877" s="33"/>
      <c r="N877" s="33"/>
      <c r="O877" s="33"/>
      <c r="P877" s="33"/>
      <c r="Q877" s="33"/>
      <c r="R877" s="935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>
      <c r="A878" s="224"/>
      <c r="B878" s="229"/>
      <c r="C878" s="225"/>
      <c r="D878" s="227"/>
      <c r="E878" s="228"/>
      <c r="F878" s="33"/>
      <c r="G878" s="33"/>
      <c r="H878" s="33"/>
      <c r="I878" s="33"/>
      <c r="J878" s="230"/>
      <c r="K878" s="114"/>
      <c r="L878" s="881"/>
      <c r="M878" s="33"/>
      <c r="N878" s="33"/>
      <c r="O878" s="33"/>
      <c r="P878" s="33"/>
      <c r="Q878" s="33"/>
      <c r="R878" s="935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>
      <c r="A879" s="224"/>
      <c r="B879" s="229"/>
      <c r="C879" s="225"/>
      <c r="D879" s="227"/>
      <c r="E879" s="228"/>
      <c r="F879" s="33"/>
      <c r="G879" s="33"/>
      <c r="H879" s="33"/>
      <c r="I879" s="33"/>
      <c r="J879" s="230"/>
      <c r="K879" s="114"/>
      <c r="L879" s="881"/>
      <c r="M879" s="33"/>
      <c r="N879" s="33"/>
      <c r="O879" s="33"/>
      <c r="P879" s="33"/>
      <c r="Q879" s="33"/>
      <c r="R879" s="935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>
      <c r="A880" s="224"/>
      <c r="B880" s="229"/>
      <c r="C880" s="225"/>
      <c r="D880" s="227"/>
      <c r="E880" s="228"/>
      <c r="F880" s="33"/>
      <c r="G880" s="33"/>
      <c r="H880" s="33"/>
      <c r="I880" s="33"/>
      <c r="J880" s="230"/>
      <c r="K880" s="114"/>
      <c r="L880" s="881"/>
      <c r="M880" s="33"/>
      <c r="N880" s="33"/>
      <c r="O880" s="33"/>
      <c r="P880" s="33"/>
      <c r="Q880" s="33"/>
      <c r="R880" s="935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>
      <c r="A881" s="224"/>
      <c r="B881" s="229"/>
      <c r="C881" s="225"/>
      <c r="D881" s="227"/>
      <c r="E881" s="228"/>
      <c r="F881" s="33"/>
      <c r="G881" s="33"/>
      <c r="H881" s="33"/>
      <c r="I881" s="33"/>
      <c r="J881" s="230"/>
      <c r="K881" s="114"/>
      <c r="L881" s="881"/>
      <c r="M881" s="33"/>
      <c r="N881" s="33"/>
      <c r="O881" s="33"/>
      <c r="P881" s="33"/>
      <c r="Q881" s="33"/>
      <c r="R881" s="935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>
      <c r="A882" s="224"/>
      <c r="B882" s="229"/>
      <c r="C882" s="225"/>
      <c r="D882" s="227"/>
      <c r="E882" s="228"/>
      <c r="F882" s="33"/>
      <c r="G882" s="33"/>
      <c r="H882" s="33"/>
      <c r="I882" s="33"/>
      <c r="J882" s="230"/>
      <c r="K882" s="114"/>
      <c r="L882" s="881"/>
      <c r="M882" s="33"/>
      <c r="N882" s="33"/>
      <c r="O882" s="33"/>
      <c r="P882" s="33"/>
      <c r="Q882" s="33"/>
      <c r="R882" s="935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>
      <c r="A883" s="224"/>
      <c r="B883" s="229"/>
      <c r="C883" s="225"/>
      <c r="D883" s="227"/>
      <c r="E883" s="228"/>
      <c r="F883" s="33"/>
      <c r="G883" s="33"/>
      <c r="H883" s="33"/>
      <c r="I883" s="33"/>
      <c r="J883" s="230"/>
      <c r="K883" s="114"/>
      <c r="L883" s="881"/>
      <c r="M883" s="33"/>
      <c r="N883" s="33"/>
      <c r="O883" s="33"/>
      <c r="P883" s="33"/>
      <c r="Q883" s="33"/>
      <c r="R883" s="935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>
      <c r="A884" s="224"/>
      <c r="B884" s="229"/>
      <c r="C884" s="225"/>
      <c r="D884" s="227"/>
      <c r="E884" s="228"/>
      <c r="F884" s="33"/>
      <c r="G884" s="33"/>
      <c r="H884" s="33"/>
      <c r="I884" s="33"/>
      <c r="J884" s="230"/>
      <c r="K884" s="114"/>
      <c r="L884" s="881"/>
      <c r="M884" s="33"/>
      <c r="N884" s="33"/>
      <c r="O884" s="33"/>
      <c r="P884" s="33"/>
      <c r="Q884" s="33"/>
      <c r="R884" s="935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>
      <c r="A885" s="224"/>
      <c r="B885" s="229"/>
      <c r="C885" s="225"/>
      <c r="D885" s="227"/>
      <c r="E885" s="228"/>
      <c r="F885" s="33"/>
      <c r="G885" s="33"/>
      <c r="H885" s="33"/>
      <c r="I885" s="33"/>
      <c r="J885" s="230"/>
      <c r="K885" s="114"/>
      <c r="L885" s="881"/>
      <c r="M885" s="33"/>
      <c r="N885" s="33"/>
      <c r="O885" s="33"/>
      <c r="P885" s="33"/>
      <c r="Q885" s="33"/>
      <c r="R885" s="935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>
      <c r="A886" s="224"/>
      <c r="B886" s="229"/>
      <c r="C886" s="225"/>
      <c r="D886" s="227"/>
      <c r="E886" s="228"/>
      <c r="F886" s="33"/>
      <c r="G886" s="33"/>
      <c r="H886" s="33"/>
      <c r="I886" s="33"/>
      <c r="J886" s="230"/>
      <c r="K886" s="114"/>
      <c r="L886" s="881"/>
      <c r="M886" s="33"/>
      <c r="N886" s="33"/>
      <c r="O886" s="33"/>
      <c r="P886" s="33"/>
      <c r="Q886" s="33"/>
      <c r="R886" s="935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>
      <c r="A887" s="224"/>
      <c r="B887" s="229"/>
      <c r="C887" s="225"/>
      <c r="D887" s="227"/>
      <c r="E887" s="228"/>
      <c r="F887" s="33"/>
      <c r="G887" s="33"/>
      <c r="H887" s="33"/>
      <c r="I887" s="33"/>
      <c r="J887" s="230"/>
      <c r="K887" s="114"/>
      <c r="L887" s="881"/>
      <c r="M887" s="33"/>
      <c r="N887" s="33"/>
      <c r="O887" s="33"/>
      <c r="P887" s="33"/>
      <c r="Q887" s="33"/>
      <c r="R887" s="935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>
      <c r="A888" s="224"/>
      <c r="B888" s="229"/>
      <c r="C888" s="225"/>
      <c r="D888" s="227"/>
      <c r="E888" s="228"/>
      <c r="F888" s="33"/>
      <c r="G888" s="33"/>
      <c r="H888" s="33"/>
      <c r="I888" s="33"/>
      <c r="J888" s="230"/>
      <c r="K888" s="114"/>
      <c r="L888" s="881"/>
      <c r="M888" s="33"/>
      <c r="N888" s="33"/>
      <c r="O888" s="33"/>
      <c r="P888" s="33"/>
      <c r="Q888" s="33"/>
      <c r="R888" s="935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>
      <c r="A889" s="224"/>
      <c r="B889" s="229"/>
      <c r="C889" s="225"/>
      <c r="D889" s="227"/>
      <c r="E889" s="228"/>
      <c r="F889" s="33"/>
      <c r="G889" s="33"/>
      <c r="H889" s="33"/>
      <c r="I889" s="33"/>
      <c r="J889" s="230"/>
      <c r="K889" s="114"/>
      <c r="L889" s="881"/>
      <c r="M889" s="33"/>
      <c r="N889" s="33"/>
      <c r="O889" s="33"/>
      <c r="P889" s="33"/>
      <c r="Q889" s="33"/>
      <c r="R889" s="935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>
      <c r="A890" s="224"/>
      <c r="B890" s="229"/>
      <c r="C890" s="225"/>
      <c r="D890" s="227"/>
      <c r="E890" s="228"/>
      <c r="F890" s="33"/>
      <c r="G890" s="33"/>
      <c r="H890" s="33"/>
      <c r="I890" s="33"/>
      <c r="J890" s="230"/>
      <c r="K890" s="114"/>
      <c r="L890" s="881"/>
      <c r="M890" s="33"/>
      <c r="N890" s="33"/>
      <c r="O890" s="33"/>
      <c r="P890" s="33"/>
      <c r="Q890" s="33"/>
      <c r="R890" s="935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>
      <c r="A891" s="224"/>
      <c r="B891" s="229"/>
      <c r="C891" s="225"/>
      <c r="D891" s="227"/>
      <c r="E891" s="228"/>
      <c r="F891" s="33"/>
      <c r="G891" s="33"/>
      <c r="H891" s="33"/>
      <c r="I891" s="33"/>
      <c r="J891" s="230"/>
      <c r="K891" s="114"/>
      <c r="L891" s="881"/>
      <c r="M891" s="33"/>
      <c r="N891" s="33"/>
      <c r="O891" s="33"/>
      <c r="P891" s="33"/>
      <c r="Q891" s="33"/>
      <c r="R891" s="935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>
      <c r="A892" s="224"/>
      <c r="B892" s="229"/>
      <c r="C892" s="225"/>
      <c r="D892" s="227"/>
      <c r="E892" s="228"/>
      <c r="F892" s="33"/>
      <c r="G892" s="33"/>
      <c r="H892" s="33"/>
      <c r="I892" s="33"/>
      <c r="J892" s="230"/>
      <c r="K892" s="114"/>
      <c r="L892" s="881"/>
      <c r="M892" s="33"/>
      <c r="N892" s="33"/>
      <c r="O892" s="33"/>
      <c r="P892" s="33"/>
      <c r="Q892" s="33"/>
      <c r="R892" s="935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>
      <c r="A893" s="224"/>
      <c r="B893" s="229"/>
      <c r="C893" s="225"/>
      <c r="D893" s="227"/>
      <c r="E893" s="228"/>
      <c r="F893" s="33"/>
      <c r="G893" s="33"/>
      <c r="H893" s="33"/>
      <c r="I893" s="33"/>
      <c r="J893" s="230"/>
      <c r="K893" s="114"/>
      <c r="L893" s="881"/>
      <c r="M893" s="33"/>
      <c r="N893" s="33"/>
      <c r="O893" s="33"/>
      <c r="P893" s="33"/>
      <c r="Q893" s="33"/>
      <c r="R893" s="935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>
      <c r="A894" s="224"/>
      <c r="B894" s="229"/>
      <c r="C894" s="225"/>
      <c r="D894" s="227"/>
      <c r="E894" s="228"/>
      <c r="F894" s="33"/>
      <c r="G894" s="33"/>
      <c r="H894" s="33"/>
      <c r="I894" s="33"/>
      <c r="J894" s="230"/>
      <c r="K894" s="114"/>
      <c r="L894" s="881"/>
      <c r="M894" s="33"/>
      <c r="N894" s="33"/>
      <c r="O894" s="33"/>
      <c r="P894" s="33"/>
      <c r="Q894" s="33"/>
      <c r="R894" s="935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>
      <c r="A895" s="224"/>
      <c r="B895" s="229"/>
      <c r="C895" s="225"/>
      <c r="D895" s="227"/>
      <c r="E895" s="228"/>
      <c r="F895" s="33"/>
      <c r="G895" s="33"/>
      <c r="H895" s="33"/>
      <c r="I895" s="33"/>
      <c r="J895" s="230"/>
      <c r="K895" s="114"/>
      <c r="L895" s="881"/>
      <c r="M895" s="33"/>
      <c r="N895" s="33"/>
      <c r="O895" s="33"/>
      <c r="P895" s="33"/>
      <c r="Q895" s="33"/>
      <c r="R895" s="935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>
      <c r="A896" s="224"/>
      <c r="B896" s="229"/>
      <c r="C896" s="225"/>
      <c r="D896" s="227"/>
      <c r="E896" s="228"/>
      <c r="F896" s="33"/>
      <c r="G896" s="33"/>
      <c r="H896" s="33"/>
      <c r="I896" s="33"/>
      <c r="J896" s="230"/>
      <c r="K896" s="114"/>
      <c r="L896" s="881"/>
      <c r="M896" s="33"/>
      <c r="N896" s="33"/>
      <c r="O896" s="33"/>
      <c r="P896" s="33"/>
      <c r="Q896" s="33"/>
      <c r="R896" s="935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>
      <c r="A897" s="224"/>
      <c r="B897" s="229"/>
      <c r="C897" s="225"/>
      <c r="D897" s="227"/>
      <c r="E897" s="228"/>
      <c r="F897" s="33"/>
      <c r="G897" s="33"/>
      <c r="H897" s="33"/>
      <c r="I897" s="33"/>
      <c r="J897" s="230"/>
      <c r="K897" s="114"/>
      <c r="L897" s="881"/>
      <c r="M897" s="33"/>
      <c r="N897" s="33"/>
      <c r="O897" s="33"/>
      <c r="P897" s="33"/>
      <c r="Q897" s="33"/>
      <c r="R897" s="935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>
      <c r="A898" s="224"/>
      <c r="B898" s="229"/>
      <c r="C898" s="225"/>
      <c r="D898" s="227"/>
      <c r="E898" s="228"/>
      <c r="F898" s="33"/>
      <c r="G898" s="33"/>
      <c r="H898" s="33"/>
      <c r="I898" s="33"/>
      <c r="J898" s="230"/>
      <c r="K898" s="114"/>
      <c r="L898" s="881"/>
      <c r="M898" s="33"/>
      <c r="N898" s="33"/>
      <c r="O898" s="33"/>
      <c r="P898" s="33"/>
      <c r="Q898" s="33"/>
      <c r="R898" s="935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>
      <c r="A899" s="224"/>
      <c r="B899" s="229"/>
      <c r="C899" s="225"/>
      <c r="D899" s="227"/>
      <c r="E899" s="228"/>
      <c r="F899" s="33"/>
      <c r="G899" s="33"/>
      <c r="H899" s="33"/>
      <c r="I899" s="33"/>
      <c r="J899" s="230"/>
      <c r="K899" s="114"/>
      <c r="L899" s="881"/>
      <c r="M899" s="33"/>
      <c r="N899" s="33"/>
      <c r="O899" s="33"/>
      <c r="P899" s="33"/>
      <c r="Q899" s="33"/>
      <c r="R899" s="935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>
      <c r="A900" s="224"/>
      <c r="B900" s="229"/>
      <c r="C900" s="225"/>
      <c r="D900" s="227"/>
      <c r="E900" s="228"/>
      <c r="F900" s="33"/>
      <c r="G900" s="33"/>
      <c r="H900" s="33"/>
      <c r="I900" s="33"/>
      <c r="J900" s="230"/>
      <c r="K900" s="114"/>
      <c r="L900" s="881"/>
      <c r="M900" s="33"/>
      <c r="N900" s="33"/>
      <c r="O900" s="33"/>
      <c r="P900" s="33"/>
      <c r="Q900" s="33"/>
      <c r="R900" s="935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>
      <c r="A901" s="224"/>
      <c r="B901" s="229"/>
      <c r="C901" s="225"/>
      <c r="D901" s="227"/>
      <c r="E901" s="228"/>
      <c r="F901" s="33"/>
      <c r="G901" s="33"/>
      <c r="H901" s="33"/>
      <c r="I901" s="33"/>
      <c r="J901" s="230"/>
      <c r="K901" s="114"/>
      <c r="L901" s="881"/>
      <c r="M901" s="33"/>
      <c r="N901" s="33"/>
      <c r="O901" s="33"/>
      <c r="P901" s="33"/>
      <c r="Q901" s="33"/>
      <c r="R901" s="935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>
      <c r="A902" s="224"/>
      <c r="B902" s="229"/>
      <c r="C902" s="225"/>
      <c r="D902" s="227"/>
      <c r="E902" s="228"/>
      <c r="F902" s="33"/>
      <c r="G902" s="33"/>
      <c r="H902" s="33"/>
      <c r="I902" s="33"/>
      <c r="J902" s="230"/>
      <c r="K902" s="114"/>
      <c r="L902" s="881"/>
      <c r="M902" s="33"/>
      <c r="N902" s="33"/>
      <c r="O902" s="33"/>
      <c r="P902" s="33"/>
      <c r="Q902" s="33"/>
      <c r="R902" s="935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>
      <c r="A903" s="224"/>
      <c r="B903" s="229"/>
      <c r="C903" s="225"/>
      <c r="D903" s="227"/>
      <c r="E903" s="228"/>
      <c r="F903" s="33"/>
      <c r="G903" s="33"/>
      <c r="H903" s="33"/>
      <c r="I903" s="33"/>
      <c r="J903" s="230"/>
      <c r="K903" s="114"/>
      <c r="L903" s="881"/>
      <c r="M903" s="33"/>
      <c r="N903" s="33"/>
      <c r="O903" s="33"/>
      <c r="P903" s="33"/>
      <c r="Q903" s="33"/>
      <c r="R903" s="935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>
      <c r="A904" s="224"/>
      <c r="B904" s="229"/>
      <c r="C904" s="225"/>
      <c r="D904" s="227"/>
      <c r="E904" s="228"/>
      <c r="F904" s="33"/>
      <c r="G904" s="33"/>
      <c r="H904" s="33"/>
      <c r="I904" s="33"/>
      <c r="J904" s="230"/>
      <c r="K904" s="114"/>
      <c r="L904" s="881"/>
      <c r="M904" s="33"/>
      <c r="N904" s="33"/>
      <c r="O904" s="33"/>
      <c r="P904" s="33"/>
      <c r="Q904" s="33"/>
      <c r="R904" s="935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>
      <c r="A905" s="224"/>
      <c r="B905" s="229"/>
      <c r="C905" s="225"/>
      <c r="D905" s="227"/>
      <c r="E905" s="228"/>
      <c r="F905" s="33"/>
      <c r="G905" s="33"/>
      <c r="H905" s="33"/>
      <c r="I905" s="33"/>
      <c r="J905" s="230"/>
      <c r="K905" s="114"/>
      <c r="L905" s="881"/>
      <c r="M905" s="33"/>
      <c r="N905" s="33"/>
      <c r="O905" s="33"/>
      <c r="P905" s="33"/>
      <c r="Q905" s="33"/>
      <c r="R905" s="935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>
      <c r="A906" s="224"/>
      <c r="B906" s="229"/>
      <c r="C906" s="225"/>
      <c r="D906" s="227"/>
      <c r="E906" s="228"/>
      <c r="F906" s="33"/>
      <c r="G906" s="33"/>
      <c r="H906" s="33"/>
      <c r="I906" s="33"/>
      <c r="J906" s="230"/>
      <c r="K906" s="114"/>
      <c r="L906" s="881"/>
      <c r="M906" s="33"/>
      <c r="N906" s="33"/>
      <c r="O906" s="33"/>
      <c r="P906" s="33"/>
      <c r="Q906" s="33"/>
      <c r="R906" s="935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>
      <c r="A907" s="224"/>
      <c r="B907" s="229"/>
      <c r="C907" s="225"/>
      <c r="D907" s="227"/>
      <c r="E907" s="228"/>
      <c r="F907" s="33"/>
      <c r="G907" s="33"/>
      <c r="H907" s="33"/>
      <c r="I907" s="33"/>
      <c r="J907" s="230"/>
      <c r="K907" s="114"/>
      <c r="L907" s="881"/>
      <c r="M907" s="33"/>
      <c r="N907" s="33"/>
      <c r="O907" s="33"/>
      <c r="P907" s="33"/>
      <c r="Q907" s="33"/>
      <c r="R907" s="935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>
      <c r="A908" s="224"/>
      <c r="B908" s="229"/>
      <c r="C908" s="225"/>
      <c r="D908" s="227"/>
      <c r="E908" s="228"/>
      <c r="F908" s="33"/>
      <c r="G908" s="33"/>
      <c r="H908" s="33"/>
      <c r="I908" s="33"/>
      <c r="J908" s="230"/>
      <c r="K908" s="114"/>
      <c r="L908" s="881"/>
      <c r="M908" s="33"/>
      <c r="N908" s="33"/>
      <c r="O908" s="33"/>
      <c r="P908" s="33"/>
      <c r="Q908" s="33"/>
      <c r="R908" s="935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>
      <c r="A909" s="224"/>
      <c r="B909" s="229"/>
      <c r="C909" s="225"/>
      <c r="D909" s="227"/>
      <c r="E909" s="228"/>
      <c r="F909" s="33"/>
      <c r="G909" s="33"/>
      <c r="H909" s="33"/>
      <c r="I909" s="33"/>
      <c r="J909" s="230"/>
      <c r="K909" s="114"/>
      <c r="L909" s="881"/>
      <c r="M909" s="33"/>
      <c r="N909" s="33"/>
      <c r="O909" s="33"/>
      <c r="P909" s="33"/>
      <c r="Q909" s="33"/>
      <c r="R909" s="935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>
      <c r="A910" s="224"/>
      <c r="B910" s="229"/>
      <c r="C910" s="225"/>
      <c r="D910" s="227"/>
      <c r="E910" s="228"/>
      <c r="F910" s="33"/>
      <c r="G910" s="33"/>
      <c r="H910" s="33"/>
      <c r="I910" s="33"/>
      <c r="J910" s="230"/>
      <c r="K910" s="114"/>
      <c r="L910" s="881"/>
      <c r="M910" s="33"/>
      <c r="N910" s="33"/>
      <c r="O910" s="33"/>
      <c r="P910" s="33"/>
      <c r="Q910" s="33"/>
      <c r="R910" s="935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>
      <c r="A911" s="224"/>
      <c r="B911" s="229"/>
      <c r="C911" s="225"/>
      <c r="D911" s="227"/>
      <c r="E911" s="228"/>
      <c r="F911" s="33"/>
      <c r="G911" s="33"/>
      <c r="H911" s="33"/>
      <c r="I911" s="33"/>
      <c r="J911" s="230"/>
      <c r="K911" s="114"/>
      <c r="L911" s="881"/>
      <c r="M911" s="33"/>
      <c r="N911" s="33"/>
      <c r="O911" s="33"/>
      <c r="P911" s="33"/>
      <c r="Q911" s="33"/>
      <c r="R911" s="935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>
      <c r="A912" s="224"/>
      <c r="B912" s="229"/>
      <c r="C912" s="225"/>
      <c r="D912" s="227"/>
      <c r="E912" s="228"/>
      <c r="F912" s="33"/>
      <c r="G912" s="33"/>
      <c r="H912" s="33"/>
      <c r="I912" s="33"/>
      <c r="J912" s="230"/>
      <c r="K912" s="114"/>
      <c r="L912" s="881"/>
      <c r="M912" s="33"/>
      <c r="N912" s="33"/>
      <c r="O912" s="33"/>
      <c r="P912" s="33"/>
      <c r="Q912" s="33"/>
      <c r="R912" s="935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>
      <c r="A913" s="224"/>
      <c r="B913" s="229"/>
      <c r="C913" s="225"/>
      <c r="D913" s="227"/>
      <c r="E913" s="228"/>
      <c r="F913" s="33"/>
      <c r="G913" s="33"/>
      <c r="H913" s="33"/>
      <c r="I913" s="33"/>
      <c r="J913" s="230"/>
      <c r="K913" s="114"/>
      <c r="L913" s="881"/>
      <c r="M913" s="33"/>
      <c r="N913" s="33"/>
      <c r="O913" s="33"/>
      <c r="P913" s="33"/>
      <c r="Q913" s="33"/>
      <c r="R913" s="935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>
      <c r="A914" s="224"/>
      <c r="B914" s="229"/>
      <c r="C914" s="225"/>
      <c r="D914" s="227"/>
      <c r="E914" s="228"/>
      <c r="F914" s="33"/>
      <c r="G914" s="33"/>
      <c r="H914" s="33"/>
      <c r="I914" s="33"/>
      <c r="J914" s="230"/>
      <c r="K914" s="114"/>
      <c r="L914" s="881"/>
      <c r="M914" s="33"/>
      <c r="N914" s="33"/>
      <c r="O914" s="33"/>
      <c r="P914" s="33"/>
      <c r="Q914" s="33"/>
      <c r="R914" s="935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>
      <c r="A915" s="224"/>
      <c r="B915" s="229"/>
      <c r="C915" s="225"/>
      <c r="D915" s="227"/>
      <c r="E915" s="228"/>
      <c r="F915" s="33"/>
      <c r="G915" s="33"/>
      <c r="H915" s="33"/>
      <c r="I915" s="33"/>
      <c r="J915" s="230"/>
      <c r="K915" s="114"/>
      <c r="L915" s="881"/>
      <c r="M915" s="33"/>
      <c r="N915" s="33"/>
      <c r="O915" s="33"/>
      <c r="P915" s="33"/>
      <c r="Q915" s="33"/>
      <c r="R915" s="935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>
      <c r="A916" s="224"/>
      <c r="B916" s="229"/>
      <c r="C916" s="225"/>
      <c r="D916" s="227"/>
      <c r="E916" s="228"/>
      <c r="F916" s="33"/>
      <c r="G916" s="33"/>
      <c r="H916" s="33"/>
      <c r="I916" s="33"/>
      <c r="J916" s="230"/>
      <c r="K916" s="114"/>
      <c r="L916" s="881"/>
      <c r="M916" s="33"/>
      <c r="N916" s="33"/>
      <c r="O916" s="33"/>
      <c r="P916" s="33"/>
      <c r="Q916" s="33"/>
      <c r="R916" s="935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>
      <c r="A917" s="224"/>
      <c r="B917" s="229"/>
      <c r="C917" s="225"/>
      <c r="D917" s="227"/>
      <c r="E917" s="228"/>
      <c r="F917" s="33"/>
      <c r="G917" s="33"/>
      <c r="H917" s="33"/>
      <c r="I917" s="33"/>
      <c r="J917" s="230"/>
      <c r="K917" s="114"/>
      <c r="L917" s="881"/>
      <c r="M917" s="33"/>
      <c r="N917" s="33"/>
      <c r="O917" s="33"/>
      <c r="P917" s="33"/>
      <c r="Q917" s="33"/>
      <c r="R917" s="935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>
      <c r="A918" s="224"/>
      <c r="B918" s="229"/>
      <c r="C918" s="225"/>
      <c r="D918" s="227"/>
      <c r="E918" s="228"/>
      <c r="F918" s="33"/>
      <c r="G918" s="33"/>
      <c r="H918" s="33"/>
      <c r="I918" s="33"/>
      <c r="J918" s="230"/>
      <c r="K918" s="114"/>
      <c r="L918" s="881"/>
      <c r="M918" s="33"/>
      <c r="N918" s="33"/>
      <c r="O918" s="33"/>
      <c r="P918" s="33"/>
      <c r="Q918" s="33"/>
      <c r="R918" s="935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>
      <c r="A919" s="224"/>
      <c r="B919" s="229"/>
      <c r="C919" s="225"/>
      <c r="D919" s="227"/>
      <c r="E919" s="228"/>
      <c r="F919" s="33"/>
      <c r="G919" s="33"/>
      <c r="H919" s="33"/>
      <c r="I919" s="33"/>
      <c r="J919" s="230"/>
      <c r="K919" s="114"/>
      <c r="L919" s="881"/>
      <c r="M919" s="33"/>
      <c r="N919" s="33"/>
      <c r="O919" s="33"/>
      <c r="P919" s="33"/>
      <c r="Q919" s="33"/>
      <c r="R919" s="935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>
      <c r="A920" s="224"/>
      <c r="B920" s="229"/>
      <c r="C920" s="225"/>
      <c r="D920" s="227"/>
      <c r="E920" s="228"/>
      <c r="F920" s="33"/>
      <c r="G920" s="33"/>
      <c r="H920" s="33"/>
      <c r="I920" s="33"/>
      <c r="J920" s="230"/>
      <c r="K920" s="114"/>
      <c r="L920" s="881"/>
      <c r="M920" s="33"/>
      <c r="N920" s="33"/>
      <c r="O920" s="33"/>
      <c r="P920" s="33"/>
      <c r="Q920" s="33"/>
      <c r="R920" s="935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>
      <c r="A921" s="224"/>
      <c r="B921" s="229"/>
      <c r="C921" s="225"/>
      <c r="D921" s="227"/>
      <c r="E921" s="228"/>
      <c r="F921" s="33"/>
      <c r="G921" s="33"/>
      <c r="H921" s="33"/>
      <c r="I921" s="33"/>
      <c r="J921" s="230"/>
      <c r="K921" s="114"/>
      <c r="L921" s="881"/>
      <c r="M921" s="33"/>
      <c r="N921" s="33"/>
      <c r="O921" s="33"/>
      <c r="P921" s="33"/>
      <c r="Q921" s="33"/>
      <c r="R921" s="935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>
      <c r="A922" s="224"/>
      <c r="B922" s="229"/>
      <c r="C922" s="225"/>
      <c r="D922" s="227"/>
      <c r="E922" s="228"/>
      <c r="F922" s="33"/>
      <c r="G922" s="33"/>
      <c r="H922" s="33"/>
      <c r="I922" s="33"/>
      <c r="J922" s="230"/>
      <c r="K922" s="114"/>
      <c r="L922" s="881"/>
      <c r="M922" s="33"/>
      <c r="N922" s="33"/>
      <c r="O922" s="33"/>
      <c r="P922" s="33"/>
      <c r="Q922" s="33"/>
      <c r="R922" s="935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>
      <c r="A923" s="224"/>
      <c r="B923" s="229"/>
      <c r="C923" s="225"/>
      <c r="D923" s="227"/>
      <c r="E923" s="228"/>
      <c r="F923" s="33"/>
      <c r="G923" s="33"/>
      <c r="H923" s="33"/>
      <c r="I923" s="33"/>
      <c r="J923" s="230"/>
      <c r="K923" s="114"/>
      <c r="L923" s="881"/>
      <c r="M923" s="33"/>
      <c r="N923" s="33"/>
      <c r="O923" s="33"/>
      <c r="P923" s="33"/>
      <c r="Q923" s="33"/>
      <c r="R923" s="935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>
      <c r="A924" s="224"/>
      <c r="B924" s="229"/>
      <c r="C924" s="225"/>
      <c r="D924" s="227"/>
      <c r="E924" s="228"/>
      <c r="F924" s="33"/>
      <c r="G924" s="33"/>
      <c r="H924" s="33"/>
      <c r="I924" s="33"/>
      <c r="J924" s="230"/>
      <c r="K924" s="114"/>
      <c r="L924" s="881"/>
      <c r="M924" s="33"/>
      <c r="N924" s="33"/>
      <c r="O924" s="33"/>
      <c r="P924" s="33"/>
      <c r="Q924" s="33"/>
      <c r="R924" s="935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>
      <c r="A925" s="224"/>
      <c r="B925" s="229"/>
      <c r="C925" s="225"/>
      <c r="D925" s="227"/>
      <c r="E925" s="228"/>
      <c r="F925" s="33"/>
      <c r="G925" s="33"/>
      <c r="H925" s="33"/>
      <c r="I925" s="33"/>
      <c r="J925" s="230"/>
      <c r="K925" s="114"/>
      <c r="L925" s="881"/>
      <c r="M925" s="33"/>
      <c r="N925" s="33"/>
      <c r="O925" s="33"/>
      <c r="P925" s="33"/>
      <c r="Q925" s="33"/>
      <c r="R925" s="935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>
      <c r="A926" s="224"/>
      <c r="B926" s="229"/>
      <c r="C926" s="225"/>
      <c r="D926" s="227"/>
      <c r="E926" s="228"/>
      <c r="F926" s="33"/>
      <c r="G926" s="33"/>
      <c r="H926" s="33"/>
      <c r="I926" s="33"/>
      <c r="J926" s="230"/>
      <c r="K926" s="114"/>
      <c r="L926" s="881"/>
      <c r="M926" s="33"/>
      <c r="N926" s="33"/>
      <c r="O926" s="33"/>
      <c r="P926" s="33"/>
      <c r="Q926" s="33"/>
      <c r="R926" s="935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>
      <c r="A927" s="224"/>
      <c r="B927" s="229"/>
      <c r="C927" s="225"/>
      <c r="D927" s="227"/>
      <c r="E927" s="228"/>
      <c r="F927" s="33"/>
      <c r="G927" s="33"/>
      <c r="H927" s="33"/>
      <c r="I927" s="33"/>
      <c r="J927" s="230"/>
      <c r="K927" s="114"/>
      <c r="L927" s="881"/>
      <c r="M927" s="33"/>
      <c r="N927" s="33"/>
      <c r="O927" s="33"/>
      <c r="P927" s="33"/>
      <c r="Q927" s="33"/>
      <c r="R927" s="935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>
      <c r="A928" s="224"/>
      <c r="B928" s="229"/>
      <c r="C928" s="225"/>
      <c r="D928" s="227"/>
      <c r="E928" s="228"/>
      <c r="F928" s="33"/>
      <c r="G928" s="33"/>
      <c r="H928" s="33"/>
      <c r="I928" s="33"/>
      <c r="J928" s="230"/>
      <c r="K928" s="114"/>
      <c r="L928" s="881"/>
      <c r="M928" s="33"/>
      <c r="N928" s="33"/>
      <c r="O928" s="33"/>
      <c r="P928" s="33"/>
      <c r="Q928" s="33"/>
      <c r="R928" s="935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>
      <c r="A929" s="224"/>
      <c r="B929" s="229"/>
      <c r="C929" s="225"/>
      <c r="D929" s="227"/>
      <c r="E929" s="228"/>
      <c r="F929" s="33"/>
      <c r="G929" s="33"/>
      <c r="H929" s="33"/>
      <c r="I929" s="33"/>
      <c r="J929" s="230"/>
      <c r="K929" s="114"/>
      <c r="L929" s="881"/>
      <c r="M929" s="33"/>
      <c r="N929" s="33"/>
      <c r="O929" s="33"/>
      <c r="P929" s="33"/>
      <c r="Q929" s="33"/>
      <c r="R929" s="935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>
      <c r="A930" s="224"/>
      <c r="B930" s="229"/>
      <c r="C930" s="225"/>
      <c r="D930" s="227"/>
      <c r="E930" s="228"/>
      <c r="F930" s="33"/>
      <c r="G930" s="33"/>
      <c r="H930" s="33"/>
      <c r="I930" s="33"/>
      <c r="J930" s="230"/>
      <c r="K930" s="114"/>
      <c r="L930" s="881"/>
      <c r="M930" s="33"/>
      <c r="N930" s="33"/>
      <c r="O930" s="33"/>
      <c r="P930" s="33"/>
      <c r="Q930" s="33"/>
      <c r="R930" s="935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>
      <c r="A931" s="224"/>
      <c r="B931" s="229"/>
      <c r="C931" s="225"/>
      <c r="D931" s="227"/>
      <c r="E931" s="228"/>
      <c r="F931" s="33"/>
      <c r="G931" s="33"/>
      <c r="H931" s="33"/>
      <c r="I931" s="33"/>
      <c r="J931" s="230"/>
      <c r="K931" s="114"/>
      <c r="L931" s="881"/>
      <c r="M931" s="33"/>
      <c r="N931" s="33"/>
      <c r="O931" s="33"/>
      <c r="P931" s="33"/>
      <c r="Q931" s="33"/>
      <c r="R931" s="935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>
      <c r="A932" s="224"/>
      <c r="B932" s="229"/>
      <c r="C932" s="225"/>
      <c r="D932" s="227"/>
      <c r="E932" s="228"/>
      <c r="F932" s="33"/>
      <c r="G932" s="33"/>
      <c r="H932" s="33"/>
      <c r="I932" s="33"/>
      <c r="J932" s="230"/>
      <c r="K932" s="114"/>
      <c r="L932" s="881"/>
      <c r="M932" s="33"/>
      <c r="N932" s="33"/>
      <c r="O932" s="33"/>
      <c r="P932" s="33"/>
      <c r="Q932" s="33"/>
      <c r="R932" s="935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>
      <c r="A933" s="224"/>
      <c r="B933" s="229"/>
      <c r="C933" s="225"/>
      <c r="D933" s="227"/>
      <c r="E933" s="228"/>
      <c r="F933" s="33"/>
      <c r="G933" s="33"/>
      <c r="H933" s="33"/>
      <c r="I933" s="33"/>
      <c r="J933" s="230"/>
      <c r="K933" s="114"/>
      <c r="L933" s="881"/>
      <c r="M933" s="33"/>
      <c r="N933" s="33"/>
      <c r="O933" s="33"/>
      <c r="P933" s="33"/>
      <c r="Q933" s="33"/>
      <c r="R933" s="935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>
      <c r="A934" s="224"/>
      <c r="B934" s="229"/>
      <c r="C934" s="225"/>
      <c r="D934" s="227"/>
      <c r="E934" s="228"/>
      <c r="F934" s="33"/>
      <c r="G934" s="33"/>
      <c r="H934" s="33"/>
      <c r="I934" s="33"/>
      <c r="J934" s="230"/>
      <c r="K934" s="114"/>
      <c r="L934" s="881"/>
      <c r="M934" s="33"/>
      <c r="N934" s="33"/>
      <c r="O934" s="33"/>
      <c r="P934" s="33"/>
      <c r="Q934" s="33"/>
      <c r="R934" s="935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>
      <c r="A935" s="224"/>
      <c r="B935" s="229"/>
      <c r="C935" s="225"/>
      <c r="D935" s="227"/>
      <c r="E935" s="228"/>
      <c r="F935" s="33"/>
      <c r="G935" s="33"/>
      <c r="H935" s="33"/>
      <c r="I935" s="33"/>
      <c r="J935" s="230"/>
      <c r="K935" s="114"/>
      <c r="L935" s="881"/>
      <c r="M935" s="33"/>
      <c r="N935" s="33"/>
      <c r="O935" s="33"/>
      <c r="P935" s="33"/>
      <c r="Q935" s="33"/>
      <c r="R935" s="935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>
      <c r="A936" s="224"/>
      <c r="B936" s="229"/>
      <c r="C936" s="225"/>
      <c r="D936" s="227"/>
      <c r="E936" s="228"/>
      <c r="F936" s="33"/>
      <c r="G936" s="33"/>
      <c r="H936" s="33"/>
      <c r="I936" s="33"/>
      <c r="J936" s="230"/>
      <c r="K936" s="114"/>
      <c r="L936" s="881"/>
      <c r="M936" s="33"/>
      <c r="N936" s="33"/>
      <c r="O936" s="33"/>
      <c r="P936" s="33"/>
      <c r="Q936" s="33"/>
      <c r="R936" s="935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>
      <c r="A937" s="224"/>
      <c r="B937" s="229"/>
      <c r="C937" s="225"/>
      <c r="D937" s="227"/>
      <c r="E937" s="228"/>
      <c r="F937" s="33"/>
      <c r="G937" s="33"/>
      <c r="H937" s="33"/>
      <c r="I937" s="33"/>
      <c r="J937" s="230"/>
      <c r="K937" s="114"/>
      <c r="L937" s="881"/>
      <c r="M937" s="33"/>
      <c r="N937" s="33"/>
      <c r="O937" s="33"/>
      <c r="P937" s="33"/>
      <c r="Q937" s="33"/>
      <c r="R937" s="935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>
      <c r="A938" s="224"/>
      <c r="B938" s="229"/>
      <c r="C938" s="225"/>
      <c r="D938" s="227"/>
      <c r="E938" s="228"/>
      <c r="F938" s="33"/>
      <c r="G938" s="33"/>
      <c r="H938" s="33"/>
      <c r="I938" s="33"/>
      <c r="J938" s="230"/>
      <c r="K938" s="114"/>
      <c r="L938" s="881"/>
      <c r="M938" s="33"/>
      <c r="N938" s="33"/>
      <c r="O938" s="33"/>
      <c r="P938" s="33"/>
      <c r="Q938" s="33"/>
      <c r="R938" s="935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>
      <c r="A939" s="224"/>
      <c r="B939" s="229"/>
      <c r="C939" s="225"/>
      <c r="D939" s="227"/>
      <c r="E939" s="228"/>
      <c r="F939" s="33"/>
      <c r="G939" s="33"/>
      <c r="H939" s="33"/>
      <c r="I939" s="33"/>
      <c r="J939" s="230"/>
      <c r="K939" s="114"/>
      <c r="L939" s="881"/>
      <c r="M939" s="33"/>
      <c r="N939" s="33"/>
      <c r="O939" s="33"/>
      <c r="P939" s="33"/>
      <c r="Q939" s="33"/>
      <c r="R939" s="935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>
      <c r="A940" s="224"/>
      <c r="B940" s="229"/>
      <c r="C940" s="225"/>
      <c r="D940" s="227"/>
      <c r="E940" s="228"/>
      <c r="F940" s="33"/>
      <c r="G940" s="33"/>
      <c r="H940" s="33"/>
      <c r="I940" s="33"/>
      <c r="J940" s="230"/>
      <c r="K940" s="114"/>
      <c r="L940" s="881"/>
      <c r="M940" s="33"/>
      <c r="N940" s="33"/>
      <c r="O940" s="33"/>
      <c r="P940" s="33"/>
      <c r="Q940" s="33"/>
      <c r="R940" s="935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>
      <c r="A941" s="224"/>
      <c r="B941" s="229"/>
      <c r="C941" s="225"/>
      <c r="D941" s="227"/>
      <c r="E941" s="228"/>
      <c r="F941" s="33"/>
      <c r="G941" s="33"/>
      <c r="H941" s="33"/>
      <c r="I941" s="33"/>
      <c r="J941" s="230"/>
      <c r="K941" s="114"/>
      <c r="L941" s="881"/>
      <c r="M941" s="33"/>
      <c r="N941" s="33"/>
      <c r="O941" s="33"/>
      <c r="P941" s="33"/>
      <c r="Q941" s="33"/>
      <c r="R941" s="935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>
      <c r="A942" s="224"/>
      <c r="B942" s="229"/>
      <c r="C942" s="225"/>
      <c r="D942" s="227"/>
      <c r="E942" s="228"/>
      <c r="F942" s="33"/>
      <c r="G942" s="33"/>
      <c r="H942" s="33"/>
      <c r="I942" s="33"/>
      <c r="J942" s="230"/>
      <c r="K942" s="114"/>
      <c r="L942" s="881"/>
      <c r="M942" s="33"/>
      <c r="N942" s="33"/>
      <c r="O942" s="33"/>
      <c r="P942" s="33"/>
      <c r="Q942" s="33"/>
      <c r="R942" s="935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>
      <c r="A943" s="224"/>
      <c r="B943" s="229"/>
      <c r="C943" s="225"/>
      <c r="D943" s="227"/>
      <c r="E943" s="228"/>
      <c r="F943" s="33"/>
      <c r="G943" s="33"/>
      <c r="H943" s="33"/>
      <c r="I943" s="33"/>
      <c r="J943" s="230"/>
      <c r="K943" s="114"/>
      <c r="L943" s="881"/>
      <c r="M943" s="33"/>
      <c r="N943" s="33"/>
      <c r="O943" s="33"/>
      <c r="P943" s="33"/>
      <c r="Q943" s="33"/>
      <c r="R943" s="935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>
      <c r="A944" s="224"/>
      <c r="B944" s="229"/>
      <c r="C944" s="225"/>
      <c r="D944" s="227"/>
      <c r="E944" s="228"/>
      <c r="F944" s="33"/>
      <c r="G944" s="33"/>
      <c r="H944" s="33"/>
      <c r="I944" s="33"/>
      <c r="J944" s="230"/>
      <c r="K944" s="114"/>
      <c r="L944" s="881"/>
      <c r="M944" s="33"/>
      <c r="N944" s="33"/>
      <c r="O944" s="33"/>
      <c r="P944" s="33"/>
      <c r="Q944" s="33"/>
      <c r="R944" s="935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>
      <c r="A945" s="224"/>
      <c r="B945" s="229"/>
      <c r="C945" s="225"/>
      <c r="D945" s="227"/>
      <c r="E945" s="228"/>
      <c r="F945" s="33"/>
      <c r="G945" s="33"/>
      <c r="H945" s="33"/>
      <c r="I945" s="33"/>
      <c r="J945" s="230"/>
      <c r="K945" s="114"/>
      <c r="L945" s="881"/>
      <c r="M945" s="33"/>
      <c r="N945" s="33"/>
      <c r="O945" s="33"/>
      <c r="P945" s="33"/>
      <c r="Q945" s="33"/>
      <c r="R945" s="935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>
      <c r="A946" s="224"/>
      <c r="B946" s="229"/>
      <c r="C946" s="225"/>
      <c r="D946" s="227"/>
      <c r="E946" s="228"/>
      <c r="F946" s="33"/>
      <c r="G946" s="33"/>
      <c r="H946" s="33"/>
      <c r="I946" s="33"/>
      <c r="J946" s="230"/>
      <c r="K946" s="114"/>
      <c r="L946" s="881"/>
      <c r="M946" s="33"/>
      <c r="N946" s="33"/>
      <c r="O946" s="33"/>
      <c r="P946" s="33"/>
      <c r="Q946" s="33"/>
      <c r="R946" s="935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>
      <c r="A947" s="224"/>
      <c r="B947" s="229"/>
      <c r="C947" s="225"/>
      <c r="D947" s="227"/>
      <c r="E947" s="228"/>
      <c r="F947" s="33"/>
      <c r="G947" s="33"/>
      <c r="H947" s="33"/>
      <c r="I947" s="33"/>
      <c r="J947" s="230"/>
      <c r="K947" s="114"/>
      <c r="L947" s="881"/>
      <c r="M947" s="33"/>
      <c r="N947" s="33"/>
      <c r="O947" s="33"/>
      <c r="P947" s="33"/>
      <c r="Q947" s="33"/>
      <c r="R947" s="935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>
      <c r="A948" s="224"/>
      <c r="B948" s="229"/>
      <c r="C948" s="225"/>
      <c r="D948" s="227"/>
      <c r="E948" s="228"/>
      <c r="F948" s="33"/>
      <c r="G948" s="33"/>
      <c r="H948" s="33"/>
      <c r="I948" s="33"/>
      <c r="J948" s="230"/>
      <c r="K948" s="114"/>
      <c r="L948" s="881"/>
      <c r="M948" s="33"/>
      <c r="N948" s="33"/>
      <c r="O948" s="33"/>
      <c r="P948" s="33"/>
      <c r="Q948" s="33"/>
      <c r="R948" s="935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>
      <c r="A949" s="224"/>
      <c r="B949" s="229"/>
      <c r="C949" s="225"/>
      <c r="D949" s="227"/>
      <c r="E949" s="228"/>
      <c r="F949" s="33"/>
      <c r="G949" s="33"/>
      <c r="H949" s="33"/>
      <c r="I949" s="33"/>
      <c r="J949" s="230"/>
      <c r="K949" s="114"/>
      <c r="L949" s="881"/>
      <c r="M949" s="33"/>
      <c r="N949" s="33"/>
      <c r="O949" s="33"/>
      <c r="P949" s="33"/>
      <c r="Q949" s="33"/>
      <c r="R949" s="935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>
      <c r="A950" s="224"/>
      <c r="B950" s="229"/>
      <c r="C950" s="225"/>
      <c r="D950" s="227"/>
      <c r="E950" s="228"/>
      <c r="F950" s="33"/>
      <c r="G950" s="33"/>
      <c r="H950" s="33"/>
      <c r="I950" s="33"/>
      <c r="J950" s="230"/>
      <c r="K950" s="114"/>
      <c r="L950" s="881"/>
      <c r="M950" s="33"/>
      <c r="N950" s="33"/>
      <c r="O950" s="33"/>
      <c r="P950" s="33"/>
      <c r="Q950" s="33"/>
      <c r="R950" s="935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>
      <c r="A951" s="224"/>
      <c r="B951" s="229"/>
      <c r="C951" s="225"/>
      <c r="D951" s="227"/>
      <c r="E951" s="228"/>
      <c r="F951" s="33"/>
      <c r="G951" s="33"/>
      <c r="H951" s="33"/>
      <c r="I951" s="33"/>
      <c r="J951" s="230"/>
      <c r="K951" s="114"/>
      <c r="L951" s="881"/>
      <c r="M951" s="33"/>
      <c r="N951" s="33"/>
      <c r="O951" s="33"/>
      <c r="P951" s="33"/>
      <c r="Q951" s="33"/>
      <c r="R951" s="935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>
      <c r="A952" s="224"/>
      <c r="B952" s="229"/>
      <c r="C952" s="225"/>
      <c r="D952" s="227"/>
      <c r="E952" s="228"/>
      <c r="F952" s="33"/>
      <c r="G952" s="33"/>
      <c r="H952" s="33"/>
      <c r="I952" s="33"/>
      <c r="J952" s="230"/>
      <c r="K952" s="114"/>
      <c r="L952" s="881"/>
      <c r="M952" s="33"/>
      <c r="N952" s="33"/>
      <c r="O952" s="33"/>
      <c r="P952" s="33"/>
      <c r="Q952" s="33"/>
      <c r="R952" s="935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>
      <c r="A953" s="224"/>
      <c r="B953" s="229"/>
      <c r="C953" s="225"/>
      <c r="D953" s="227"/>
      <c r="E953" s="228"/>
      <c r="F953" s="33"/>
      <c r="G953" s="33"/>
      <c r="H953" s="33"/>
      <c r="I953" s="33"/>
      <c r="J953" s="230"/>
      <c r="K953" s="114"/>
      <c r="L953" s="881"/>
      <c r="M953" s="33"/>
      <c r="N953" s="33"/>
      <c r="O953" s="33"/>
      <c r="P953" s="33"/>
      <c r="Q953" s="33"/>
      <c r="R953" s="935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>
      <c r="A954" s="224"/>
      <c r="B954" s="229"/>
      <c r="C954" s="225"/>
      <c r="D954" s="227"/>
      <c r="E954" s="228"/>
      <c r="F954" s="33"/>
      <c r="G954" s="33"/>
      <c r="H954" s="33"/>
      <c r="I954" s="33"/>
      <c r="J954" s="230"/>
      <c r="K954" s="114"/>
      <c r="L954" s="881"/>
      <c r="M954" s="33"/>
      <c r="N954" s="33"/>
      <c r="O954" s="33"/>
      <c r="P954" s="33"/>
      <c r="Q954" s="33"/>
      <c r="R954" s="935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>
      <c r="A955" s="224"/>
      <c r="B955" s="229"/>
      <c r="C955" s="225"/>
      <c r="D955" s="227"/>
      <c r="E955" s="228"/>
      <c r="F955" s="33"/>
      <c r="G955" s="33"/>
      <c r="H955" s="33"/>
      <c r="I955" s="33"/>
      <c r="J955" s="230"/>
      <c r="K955" s="114"/>
      <c r="L955" s="881"/>
      <c r="M955" s="33"/>
      <c r="N955" s="33"/>
      <c r="O955" s="33"/>
      <c r="P955" s="33"/>
      <c r="Q955" s="33"/>
      <c r="R955" s="935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>
      <c r="A956" s="224"/>
      <c r="B956" s="229"/>
      <c r="C956" s="225"/>
      <c r="D956" s="227"/>
      <c r="E956" s="228"/>
      <c r="F956" s="33"/>
      <c r="G956" s="33"/>
      <c r="H956" s="33"/>
      <c r="I956" s="33"/>
      <c r="J956" s="230"/>
      <c r="K956" s="114"/>
      <c r="L956" s="881"/>
      <c r="M956" s="33"/>
      <c r="N956" s="33"/>
      <c r="O956" s="33"/>
      <c r="P956" s="33"/>
      <c r="Q956" s="33"/>
      <c r="R956" s="935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>
      <c r="A957" s="224"/>
      <c r="B957" s="229"/>
      <c r="C957" s="225"/>
      <c r="D957" s="227"/>
      <c r="E957" s="228"/>
      <c r="F957" s="33"/>
      <c r="G957" s="33"/>
      <c r="H957" s="33"/>
      <c r="I957" s="33"/>
      <c r="J957" s="230"/>
      <c r="K957" s="114"/>
      <c r="L957" s="881"/>
      <c r="M957" s="33"/>
      <c r="N957" s="33"/>
      <c r="O957" s="33"/>
      <c r="P957" s="33"/>
      <c r="Q957" s="33"/>
      <c r="R957" s="935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</row>
  </sheetData>
  <mergeCells count="1">
    <mergeCell ref="N1:O1"/>
  </mergeCells>
  <conditionalFormatting sqref="M2:M954">
    <cfRule type="colorScale" priority="1">
      <colorScale>
        <cfvo type="formula" val="-1"/>
        <cfvo type="formula" val="0"/>
        <cfvo type="formula" val="1"/>
        <color rgb="FFFF9900"/>
        <color rgb="FFFFFFFF"/>
        <color rgb="FF93C47D"/>
      </colorScale>
    </cfRule>
  </conditionalFormatting>
  <printOptions gridLines="1" horizontalCentered="1"/>
  <pageMargins bottom="0.18897637795275593" footer="0.0" header="0.0" left="0.37795275590551186" right="0.18897637795275593" top="0.8814657783161721"/>
  <pageSetup paperSize="9" cellComments="atEnd" orientation="landscape" pageOrder="overThenDown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75"/>
    <col customWidth="1" min="4" max="4" width="13.13"/>
    <col customWidth="1" min="7" max="7" width="2.25"/>
    <col customWidth="1" min="8" max="8" width="18.63"/>
  </cols>
  <sheetData>
    <row r="1" ht="28.5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305">
        <v>43800.0</v>
      </c>
      <c r="B2" s="948" t="str">
        <f>F2</f>
        <v/>
      </c>
      <c r="C2" s="242"/>
      <c r="D2" s="242"/>
      <c r="E2" s="242"/>
      <c r="F2" s="949"/>
      <c r="G2" s="242"/>
      <c r="H2" s="244"/>
      <c r="I2" s="662"/>
    </row>
    <row r="3">
      <c r="A3" s="270"/>
      <c r="B3" s="194">
        <f>SUM(B2)</f>
        <v>0</v>
      </c>
      <c r="C3" s="18"/>
      <c r="D3" s="18"/>
      <c r="E3" s="18"/>
      <c r="F3" s="952"/>
      <c r="G3" s="18"/>
      <c r="H3" s="18"/>
      <c r="I3" s="663"/>
    </row>
    <row r="4">
      <c r="A4" s="305">
        <v>43801.0</v>
      </c>
      <c r="B4" s="948">
        <f t="shared" ref="B4:B17" si="1">F4</f>
        <v>2457.09</v>
      </c>
      <c r="C4" s="242"/>
      <c r="D4" s="242"/>
      <c r="E4" s="242"/>
      <c r="F4" s="949">
        <v>2457.09</v>
      </c>
      <c r="G4" s="242"/>
      <c r="H4" s="244" t="s">
        <v>3821</v>
      </c>
      <c r="I4" s="662"/>
    </row>
    <row r="5">
      <c r="A5" s="265"/>
      <c r="B5" s="950">
        <f t="shared" si="1"/>
        <v>2524</v>
      </c>
      <c r="F5" s="161">
        <v>2524.0</v>
      </c>
      <c r="H5" s="2" t="s">
        <v>4328</v>
      </c>
      <c r="I5" s="847"/>
    </row>
    <row r="6">
      <c r="A6" s="265"/>
      <c r="B6" s="950">
        <f t="shared" si="1"/>
        <v>3150</v>
      </c>
      <c r="F6" s="161">
        <v>3150.0</v>
      </c>
      <c r="H6" s="2" t="s">
        <v>3917</v>
      </c>
      <c r="I6" s="847"/>
    </row>
    <row r="7">
      <c r="A7" s="265"/>
      <c r="B7" s="950">
        <f t="shared" si="1"/>
        <v>3295</v>
      </c>
      <c r="F7" s="161">
        <v>3295.0</v>
      </c>
      <c r="H7" s="2" t="s">
        <v>4329</v>
      </c>
      <c r="I7" s="847"/>
    </row>
    <row r="8">
      <c r="A8" s="265"/>
      <c r="B8" s="950">
        <f t="shared" si="1"/>
        <v>311.4</v>
      </c>
      <c r="F8" s="161">
        <v>311.4</v>
      </c>
      <c r="H8" s="2" t="s">
        <v>4412</v>
      </c>
      <c r="I8" s="847"/>
    </row>
    <row r="9">
      <c r="A9" s="265"/>
      <c r="B9" s="950">
        <f t="shared" si="1"/>
        <v>990</v>
      </c>
      <c r="F9" s="161">
        <v>990.0</v>
      </c>
      <c r="H9" s="2" t="s">
        <v>4231</v>
      </c>
      <c r="I9" s="847"/>
    </row>
    <row r="10">
      <c r="A10" s="265"/>
      <c r="B10" s="950">
        <f t="shared" si="1"/>
        <v>1850</v>
      </c>
      <c r="F10" s="161">
        <v>1850.0</v>
      </c>
      <c r="H10" s="2" t="s">
        <v>3904</v>
      </c>
      <c r="I10" s="847"/>
    </row>
    <row r="11">
      <c r="A11" s="265"/>
      <c r="B11" s="950" t="str">
        <f t="shared" si="1"/>
        <v/>
      </c>
      <c r="C11" s="2">
        <v>11680.19</v>
      </c>
      <c r="F11" s="161"/>
      <c r="H11" s="2" t="s">
        <v>4413</v>
      </c>
      <c r="I11" s="847"/>
    </row>
    <row r="12">
      <c r="A12" s="265"/>
      <c r="B12" s="950">
        <f t="shared" si="1"/>
        <v>500</v>
      </c>
      <c r="F12" s="161">
        <v>500.0</v>
      </c>
      <c r="H12" s="2" t="s">
        <v>4414</v>
      </c>
      <c r="I12" s="847"/>
    </row>
    <row r="13">
      <c r="A13" s="265"/>
      <c r="B13" s="950">
        <f t="shared" si="1"/>
        <v>295</v>
      </c>
      <c r="F13" s="161">
        <v>295.0</v>
      </c>
      <c r="H13" s="2" t="s">
        <v>2708</v>
      </c>
      <c r="I13" s="847"/>
    </row>
    <row r="14">
      <c r="A14" s="265"/>
      <c r="B14" s="950">
        <f t="shared" si="1"/>
        <v>1000</v>
      </c>
      <c r="F14" s="161">
        <v>1000.0</v>
      </c>
      <c r="H14" s="2" t="s">
        <v>3421</v>
      </c>
      <c r="I14" s="951"/>
    </row>
    <row r="15">
      <c r="A15" s="265"/>
      <c r="B15" s="950">
        <f t="shared" si="1"/>
        <v>1000</v>
      </c>
      <c r="F15" s="161">
        <v>1000.0</v>
      </c>
      <c r="H15" s="2" t="s">
        <v>3818</v>
      </c>
      <c r="I15" s="951"/>
    </row>
    <row r="16">
      <c r="A16" s="265"/>
      <c r="B16" s="950" t="str">
        <f t="shared" si="1"/>
        <v/>
      </c>
      <c r="F16" s="161"/>
      <c r="I16" s="847"/>
    </row>
    <row r="17">
      <c r="A17" s="265"/>
      <c r="B17" s="950" t="str">
        <f t="shared" si="1"/>
        <v/>
      </c>
      <c r="F17" s="161"/>
      <c r="I17" s="847"/>
    </row>
    <row r="18">
      <c r="A18" s="270"/>
      <c r="B18" s="194">
        <f>SUM(B4:B17)</f>
        <v>17372.49</v>
      </c>
      <c r="C18" s="18"/>
      <c r="D18" s="18"/>
      <c r="E18" s="18"/>
      <c r="F18" s="952"/>
      <c r="G18" s="18"/>
      <c r="H18" s="18"/>
      <c r="I18" s="663"/>
    </row>
    <row r="19">
      <c r="A19" s="305">
        <v>43802.0</v>
      </c>
      <c r="B19" s="948">
        <f t="shared" ref="B19:B32" si="2">F19</f>
        <v>6300</v>
      </c>
      <c r="C19" s="242"/>
      <c r="D19" s="242"/>
      <c r="E19" s="242"/>
      <c r="F19" s="949">
        <v>6300.0</v>
      </c>
      <c r="G19" s="242"/>
      <c r="H19" s="244" t="s">
        <v>4415</v>
      </c>
      <c r="I19" s="662"/>
    </row>
    <row r="20">
      <c r="A20" s="265"/>
      <c r="B20" s="950">
        <f t="shared" si="2"/>
        <v>475</v>
      </c>
      <c r="F20" s="161">
        <v>475.0</v>
      </c>
      <c r="H20" s="2" t="s">
        <v>314</v>
      </c>
      <c r="I20" s="847"/>
    </row>
    <row r="21">
      <c r="A21" s="265"/>
      <c r="B21" s="950" t="str">
        <f t="shared" si="2"/>
        <v/>
      </c>
      <c r="C21" s="2">
        <v>13465.0</v>
      </c>
      <c r="F21" s="161"/>
      <c r="H21" s="2" t="s">
        <v>2637</v>
      </c>
      <c r="I21" s="847"/>
    </row>
    <row r="22">
      <c r="A22" s="265"/>
      <c r="B22" s="950">
        <f t="shared" si="2"/>
        <v>2550</v>
      </c>
      <c r="F22" s="161">
        <v>2550.0</v>
      </c>
      <c r="H22" s="2" t="s">
        <v>612</v>
      </c>
      <c r="I22" s="847"/>
    </row>
    <row r="23">
      <c r="A23" s="265"/>
      <c r="B23" s="950">
        <f t="shared" si="2"/>
        <v>1850</v>
      </c>
      <c r="F23" s="161">
        <v>1850.0</v>
      </c>
      <c r="H23" s="2" t="s">
        <v>3731</v>
      </c>
      <c r="I23" s="847"/>
    </row>
    <row r="24">
      <c r="A24" s="265"/>
      <c r="B24" s="950">
        <f t="shared" si="2"/>
        <v>510</v>
      </c>
      <c r="F24" s="161">
        <v>510.0</v>
      </c>
      <c r="H24" s="2" t="s">
        <v>2708</v>
      </c>
      <c r="I24" s="847"/>
    </row>
    <row r="25">
      <c r="A25" s="265"/>
      <c r="B25" s="950">
        <f t="shared" si="2"/>
        <v>163</v>
      </c>
      <c r="F25" s="161">
        <v>163.0</v>
      </c>
      <c r="H25" s="2" t="s">
        <v>345</v>
      </c>
      <c r="I25" s="847"/>
    </row>
    <row r="26">
      <c r="A26" s="265"/>
      <c r="B26" s="950">
        <f t="shared" si="2"/>
        <v>1597</v>
      </c>
      <c r="F26" s="161">
        <v>1597.0</v>
      </c>
      <c r="H26" s="2" t="s">
        <v>58</v>
      </c>
      <c r="I26" s="847"/>
    </row>
    <row r="27">
      <c r="A27" s="265"/>
      <c r="B27" s="950">
        <f t="shared" si="2"/>
        <v>2167.21</v>
      </c>
      <c r="F27" s="161">
        <v>2167.21</v>
      </c>
      <c r="H27" s="2" t="s">
        <v>4329</v>
      </c>
      <c r="I27" s="847"/>
    </row>
    <row r="28">
      <c r="A28" s="265"/>
      <c r="B28" s="950">
        <f t="shared" si="2"/>
        <v>145</v>
      </c>
      <c r="F28" s="161">
        <v>145.0</v>
      </c>
      <c r="H28" s="2" t="s">
        <v>4416</v>
      </c>
      <c r="I28" s="847"/>
    </row>
    <row r="29">
      <c r="A29" s="265"/>
      <c r="B29" s="950">
        <f t="shared" si="2"/>
        <v>190</v>
      </c>
      <c r="F29" s="161">
        <v>190.0</v>
      </c>
      <c r="H29" s="2" t="s">
        <v>1488</v>
      </c>
      <c r="I29" s="847"/>
    </row>
    <row r="30">
      <c r="A30" s="265"/>
      <c r="B30" s="950" t="str">
        <f t="shared" si="2"/>
        <v/>
      </c>
      <c r="F30" s="161"/>
      <c r="I30" s="847"/>
    </row>
    <row r="31">
      <c r="A31" s="265"/>
      <c r="B31" s="950" t="str">
        <f t="shared" si="2"/>
        <v/>
      </c>
      <c r="F31" s="161"/>
      <c r="I31" s="847"/>
    </row>
    <row r="32">
      <c r="A32" s="265"/>
      <c r="B32" s="950" t="str">
        <f t="shared" si="2"/>
        <v/>
      </c>
      <c r="F32" s="161"/>
      <c r="I32" s="847"/>
    </row>
    <row r="33">
      <c r="A33" s="270"/>
      <c r="B33" s="194">
        <f>SUM(B19:B32)</f>
        <v>15947.21</v>
      </c>
      <c r="C33" s="18"/>
      <c r="D33" s="18"/>
      <c r="E33" s="18"/>
      <c r="F33" s="952"/>
      <c r="G33" s="18"/>
      <c r="H33" s="18"/>
      <c r="I33" s="663"/>
    </row>
    <row r="34">
      <c r="A34" s="305">
        <v>43803.0</v>
      </c>
      <c r="B34" s="948">
        <f t="shared" ref="B34:B47" si="3">F34</f>
        <v>1068.62</v>
      </c>
      <c r="C34" s="242"/>
      <c r="D34" s="242"/>
      <c r="E34" s="242"/>
      <c r="F34" s="949">
        <v>1068.62</v>
      </c>
      <c r="G34" s="242"/>
      <c r="H34" s="244" t="s">
        <v>82</v>
      </c>
      <c r="I34" s="662"/>
    </row>
    <row r="35">
      <c r="A35" s="265"/>
      <c r="B35" s="950">
        <f t="shared" si="3"/>
        <v>5935</v>
      </c>
      <c r="F35" s="161">
        <v>5935.0</v>
      </c>
      <c r="H35" s="2" t="s">
        <v>2748</v>
      </c>
      <c r="I35" s="847"/>
    </row>
    <row r="36">
      <c r="A36" s="265"/>
      <c r="B36" s="950">
        <f t="shared" si="3"/>
        <v>1850</v>
      </c>
      <c r="F36" s="161">
        <v>1850.0</v>
      </c>
      <c r="H36" s="2" t="s">
        <v>3731</v>
      </c>
      <c r="I36" s="847"/>
    </row>
    <row r="37">
      <c r="A37" s="265"/>
      <c r="B37" s="950">
        <f t="shared" si="3"/>
        <v>1949.22</v>
      </c>
      <c r="F37" s="161">
        <v>1949.22</v>
      </c>
      <c r="H37" s="2" t="s">
        <v>4234</v>
      </c>
      <c r="I37" s="847"/>
    </row>
    <row r="38">
      <c r="A38" s="265"/>
      <c r="B38" s="950" t="str">
        <f t="shared" si="3"/>
        <v/>
      </c>
      <c r="D38" s="2">
        <v>7558.71</v>
      </c>
      <c r="F38" s="161"/>
      <c r="H38" s="2" t="s">
        <v>4374</v>
      </c>
      <c r="I38" s="847"/>
    </row>
    <row r="39">
      <c r="A39" s="265"/>
      <c r="B39" s="950">
        <f t="shared" si="3"/>
        <v>180</v>
      </c>
      <c r="F39" s="161">
        <v>180.0</v>
      </c>
      <c r="H39" s="2" t="s">
        <v>4417</v>
      </c>
      <c r="I39" s="847"/>
    </row>
    <row r="40">
      <c r="A40" s="265"/>
      <c r="B40" s="950">
        <f t="shared" si="3"/>
        <v>600</v>
      </c>
      <c r="F40" s="161">
        <v>600.0</v>
      </c>
      <c r="H40" s="416" t="s">
        <v>3897</v>
      </c>
      <c r="I40" s="951"/>
      <c r="K40" s="2" t="s">
        <v>4418</v>
      </c>
      <c r="L40" s="33">
        <f>SUM(F87,F188)</f>
        <v>6600</v>
      </c>
    </row>
    <row r="41">
      <c r="A41" s="265"/>
      <c r="B41" s="950" t="str">
        <f t="shared" si="3"/>
        <v/>
      </c>
      <c r="F41" s="161"/>
      <c r="I41" s="847"/>
      <c r="K41" s="2" t="s">
        <v>3045</v>
      </c>
    </row>
    <row r="42">
      <c r="A42" s="265"/>
      <c r="B42" s="950" t="str">
        <f t="shared" si="3"/>
        <v/>
      </c>
      <c r="F42" s="161"/>
      <c r="I42" s="847"/>
    </row>
    <row r="43">
      <c r="A43" s="265"/>
      <c r="B43" s="950" t="str">
        <f t="shared" si="3"/>
        <v/>
      </c>
      <c r="F43" s="852"/>
      <c r="I43" s="847"/>
    </row>
    <row r="44">
      <c r="A44" s="265"/>
      <c r="B44" s="950" t="str">
        <f t="shared" si="3"/>
        <v/>
      </c>
      <c r="F44" s="161"/>
      <c r="I44" s="847"/>
    </row>
    <row r="45">
      <c r="A45" s="265"/>
      <c r="B45" s="950" t="str">
        <f t="shared" si="3"/>
        <v/>
      </c>
      <c r="F45" s="161"/>
      <c r="I45" s="847"/>
    </row>
    <row r="46">
      <c r="A46" s="265"/>
      <c r="B46" s="950" t="str">
        <f t="shared" si="3"/>
        <v/>
      </c>
      <c r="F46" s="161"/>
      <c r="I46" s="847"/>
    </row>
    <row r="47">
      <c r="A47" s="265"/>
      <c r="B47" s="950" t="str">
        <f t="shared" si="3"/>
        <v/>
      </c>
      <c r="F47" s="161"/>
      <c r="I47" s="847"/>
    </row>
    <row r="48">
      <c r="A48" s="270"/>
      <c r="B48" s="194">
        <f>SUM(B34:B47)</f>
        <v>11582.84</v>
      </c>
      <c r="C48" s="18"/>
      <c r="D48" s="18"/>
      <c r="E48" s="18"/>
      <c r="F48" s="952"/>
      <c r="G48" s="18"/>
      <c r="H48" s="18"/>
      <c r="I48" s="663"/>
    </row>
    <row r="49">
      <c r="A49" s="305">
        <v>43804.0</v>
      </c>
      <c r="B49" s="948">
        <f t="shared" ref="B49:B62" si="4">F49</f>
        <v>2426</v>
      </c>
      <c r="C49" s="242"/>
      <c r="D49" s="242"/>
      <c r="E49" s="242"/>
      <c r="F49" s="949">
        <v>2426.0</v>
      </c>
      <c r="G49" s="242"/>
      <c r="H49" s="244" t="s">
        <v>4299</v>
      </c>
      <c r="I49" s="662"/>
    </row>
    <row r="50">
      <c r="A50" s="265"/>
      <c r="B50" s="950">
        <f t="shared" si="4"/>
        <v>2405</v>
      </c>
      <c r="F50" s="161">
        <v>2405.0</v>
      </c>
      <c r="H50" s="2" t="s">
        <v>4268</v>
      </c>
      <c r="I50" s="847"/>
    </row>
    <row r="51">
      <c r="A51" s="265"/>
      <c r="B51" s="950">
        <f t="shared" si="4"/>
        <v>1850</v>
      </c>
      <c r="F51" s="161">
        <v>1850.0</v>
      </c>
      <c r="H51" s="2" t="s">
        <v>3731</v>
      </c>
      <c r="I51" s="847"/>
    </row>
    <row r="52">
      <c r="A52" s="265"/>
      <c r="B52" s="950">
        <f t="shared" si="4"/>
        <v>3300</v>
      </c>
      <c r="D52" s="2">
        <v>32700.0</v>
      </c>
      <c r="F52" s="161">
        <v>3300.0</v>
      </c>
      <c r="H52" s="2" t="s">
        <v>4419</v>
      </c>
      <c r="I52" s="847"/>
    </row>
    <row r="53">
      <c r="A53" s="265"/>
      <c r="B53" s="950" t="str">
        <f t="shared" si="4"/>
        <v/>
      </c>
      <c r="D53" s="2">
        <v>3299.0</v>
      </c>
      <c r="F53" s="161"/>
      <c r="H53" s="2" t="s">
        <v>4420</v>
      </c>
      <c r="I53" s="847"/>
    </row>
    <row r="54">
      <c r="A54" s="265"/>
      <c r="B54" s="950">
        <f t="shared" si="4"/>
        <v>80</v>
      </c>
      <c r="F54" s="161">
        <v>80.0</v>
      </c>
      <c r="H54" s="2" t="s">
        <v>4421</v>
      </c>
      <c r="I54" s="847"/>
    </row>
    <row r="55">
      <c r="A55" s="265"/>
      <c r="B55" s="950" t="str">
        <f t="shared" si="4"/>
        <v/>
      </c>
      <c r="D55" s="2">
        <v>1056.0</v>
      </c>
      <c r="F55" s="161"/>
      <c r="H55" s="2" t="s">
        <v>4422</v>
      </c>
      <c r="I55" s="847"/>
    </row>
    <row r="56">
      <c r="A56" s="265"/>
      <c r="B56" s="950" t="str">
        <f t="shared" si="4"/>
        <v/>
      </c>
      <c r="D56" s="2">
        <v>1520.0</v>
      </c>
      <c r="F56" s="161"/>
      <c r="H56" s="2" t="s">
        <v>3950</v>
      </c>
      <c r="I56" s="847"/>
    </row>
    <row r="57">
      <c r="A57" s="265"/>
      <c r="B57" s="950" t="str">
        <f t="shared" si="4"/>
        <v/>
      </c>
      <c r="D57" s="2">
        <v>6237.0</v>
      </c>
      <c r="F57" s="161"/>
      <c r="H57" s="2" t="s">
        <v>4423</v>
      </c>
      <c r="I57" s="847"/>
    </row>
    <row r="58">
      <c r="A58" s="265"/>
      <c r="B58" s="950" t="str">
        <f t="shared" si="4"/>
        <v/>
      </c>
      <c r="F58" s="852"/>
      <c r="I58" s="847"/>
    </row>
    <row r="59">
      <c r="A59" s="265"/>
      <c r="B59" s="950" t="str">
        <f t="shared" si="4"/>
        <v/>
      </c>
      <c r="F59" s="161"/>
      <c r="I59" s="847"/>
    </row>
    <row r="60">
      <c r="A60" s="265"/>
      <c r="B60" s="950" t="str">
        <f t="shared" si="4"/>
        <v/>
      </c>
      <c r="F60" s="161"/>
      <c r="I60" s="847"/>
    </row>
    <row r="61">
      <c r="A61" s="265"/>
      <c r="B61" s="950" t="str">
        <f t="shared" si="4"/>
        <v/>
      </c>
      <c r="F61" s="161"/>
      <c r="I61" s="847"/>
    </row>
    <row r="62">
      <c r="A62" s="265"/>
      <c r="B62" s="950" t="str">
        <f t="shared" si="4"/>
        <v/>
      </c>
      <c r="F62" s="161"/>
      <c r="I62" s="847"/>
    </row>
    <row r="63">
      <c r="A63" s="270"/>
      <c r="B63" s="194">
        <f>SUM(B49:B62)</f>
        <v>10061</v>
      </c>
      <c r="C63" s="18"/>
      <c r="D63" s="18"/>
      <c r="E63" s="18"/>
      <c r="F63" s="952"/>
      <c r="G63" s="18"/>
      <c r="H63" s="18"/>
      <c r="I63" s="663"/>
    </row>
    <row r="64">
      <c r="A64" s="305">
        <v>43805.0</v>
      </c>
      <c r="B64" s="948">
        <f t="shared" ref="B64:B77" si="5">F64</f>
        <v>1900</v>
      </c>
      <c r="C64" s="242"/>
      <c r="D64" s="242"/>
      <c r="E64" s="242"/>
      <c r="F64" s="949">
        <v>1900.0</v>
      </c>
      <c r="G64" s="242"/>
      <c r="H64" s="244" t="s">
        <v>3904</v>
      </c>
      <c r="I64" s="662"/>
    </row>
    <row r="65">
      <c r="A65" s="265"/>
      <c r="B65" s="950">
        <f t="shared" si="5"/>
        <v>895</v>
      </c>
      <c r="F65" s="161">
        <v>895.0</v>
      </c>
      <c r="H65" s="2" t="s">
        <v>4156</v>
      </c>
      <c r="I65" s="847"/>
    </row>
    <row r="66">
      <c r="A66" s="265"/>
      <c r="B66" s="950">
        <f t="shared" si="5"/>
        <v>1000</v>
      </c>
      <c r="F66" s="161">
        <v>1000.0</v>
      </c>
      <c r="H66" s="2" t="s">
        <v>4038</v>
      </c>
      <c r="I66" s="951"/>
    </row>
    <row r="67">
      <c r="A67" s="265"/>
      <c r="B67" s="950" t="str">
        <f t="shared" si="5"/>
        <v/>
      </c>
      <c r="D67" s="2">
        <v>640.0</v>
      </c>
      <c r="F67" s="161"/>
      <c r="H67" s="2" t="s">
        <v>4424</v>
      </c>
      <c r="I67" s="847"/>
    </row>
    <row r="68">
      <c r="A68" s="265"/>
      <c r="B68" s="950" t="str">
        <f t="shared" si="5"/>
        <v/>
      </c>
      <c r="D68" s="2">
        <v>1500.0</v>
      </c>
      <c r="F68" s="161"/>
      <c r="H68" s="2" t="s">
        <v>4424</v>
      </c>
      <c r="I68" s="847"/>
    </row>
    <row r="69">
      <c r="A69" s="265"/>
      <c r="B69" s="950">
        <f t="shared" si="5"/>
        <v>454</v>
      </c>
      <c r="F69" s="161">
        <v>454.0</v>
      </c>
      <c r="H69" s="2" t="s">
        <v>314</v>
      </c>
      <c r="I69" s="847"/>
    </row>
    <row r="70">
      <c r="A70" s="265"/>
      <c r="B70" s="950">
        <f t="shared" si="5"/>
        <v>1700</v>
      </c>
      <c r="F70" s="161">
        <v>1700.0</v>
      </c>
      <c r="H70" s="2" t="s">
        <v>3804</v>
      </c>
      <c r="I70" s="847"/>
    </row>
    <row r="71">
      <c r="A71" s="265"/>
      <c r="B71" s="950">
        <f t="shared" si="5"/>
        <v>7000</v>
      </c>
      <c r="F71" s="161">
        <v>7000.0</v>
      </c>
      <c r="H71" s="2" t="s">
        <v>3760</v>
      </c>
      <c r="I71" s="951"/>
    </row>
    <row r="72">
      <c r="A72" s="265"/>
      <c r="B72" s="950">
        <f t="shared" si="5"/>
        <v>3000</v>
      </c>
      <c r="F72" s="161">
        <v>3000.0</v>
      </c>
      <c r="H72" s="2" t="s">
        <v>3763</v>
      </c>
      <c r="I72" s="951"/>
    </row>
    <row r="73">
      <c r="A73" s="265"/>
      <c r="B73" s="950" t="str">
        <f t="shared" si="5"/>
        <v/>
      </c>
      <c r="F73" s="161"/>
      <c r="I73" s="951"/>
    </row>
    <row r="74">
      <c r="A74" s="265"/>
      <c r="B74" s="950" t="str">
        <f t="shared" si="5"/>
        <v/>
      </c>
      <c r="F74" s="161"/>
      <c r="I74" s="847"/>
    </row>
    <row r="75">
      <c r="A75" s="265"/>
      <c r="B75" s="950" t="str">
        <f t="shared" si="5"/>
        <v/>
      </c>
      <c r="F75" s="161"/>
      <c r="I75" s="847"/>
    </row>
    <row r="76">
      <c r="A76" s="265"/>
      <c r="B76" s="950" t="str">
        <f t="shared" si="5"/>
        <v/>
      </c>
      <c r="F76" s="161"/>
      <c r="I76" s="847"/>
    </row>
    <row r="77">
      <c r="A77" s="265"/>
      <c r="B77" s="950" t="str">
        <f t="shared" si="5"/>
        <v/>
      </c>
      <c r="F77" s="161"/>
      <c r="I77" s="847"/>
    </row>
    <row r="78">
      <c r="A78" s="270"/>
      <c r="B78" s="194">
        <f>SUM(B64:B77)</f>
        <v>15949</v>
      </c>
      <c r="C78" s="18"/>
      <c r="D78" s="18"/>
      <c r="E78" s="18"/>
      <c r="F78" s="952"/>
      <c r="G78" s="18"/>
      <c r="H78" s="18"/>
      <c r="I78" s="663"/>
    </row>
    <row r="79">
      <c r="A79" s="305">
        <v>43806.0</v>
      </c>
      <c r="B79" s="948">
        <f t="shared" ref="B79:B93" si="6">F79</f>
        <v>320</v>
      </c>
      <c r="C79" s="242"/>
      <c r="D79" s="242"/>
      <c r="E79" s="242"/>
      <c r="F79" s="949">
        <v>320.0</v>
      </c>
      <c r="G79" s="242"/>
      <c r="H79" s="244" t="s">
        <v>1169</v>
      </c>
      <c r="I79" s="662"/>
    </row>
    <row r="80">
      <c r="A80" s="265"/>
      <c r="B80" s="950">
        <f t="shared" si="6"/>
        <v>716</v>
      </c>
      <c r="F80" s="161">
        <v>716.0</v>
      </c>
      <c r="H80" s="2" t="s">
        <v>227</v>
      </c>
      <c r="I80" s="847"/>
    </row>
    <row r="81">
      <c r="A81" s="265"/>
      <c r="B81" s="950">
        <f t="shared" si="6"/>
        <v>313.75</v>
      </c>
      <c r="F81" s="161">
        <v>313.75</v>
      </c>
      <c r="H81" s="2" t="s">
        <v>94</v>
      </c>
      <c r="I81" s="847"/>
    </row>
    <row r="82">
      <c r="A82" s="265"/>
      <c r="B82" s="950">
        <f t="shared" si="6"/>
        <v>867.29</v>
      </c>
      <c r="F82" s="161">
        <v>867.29</v>
      </c>
      <c r="H82" s="2" t="s">
        <v>708</v>
      </c>
      <c r="I82" s="847"/>
    </row>
    <row r="83">
      <c r="A83" s="265"/>
      <c r="B83" s="950">
        <f t="shared" si="6"/>
        <v>420</v>
      </c>
      <c r="F83" s="161">
        <v>420.0</v>
      </c>
      <c r="H83" s="2" t="s">
        <v>228</v>
      </c>
      <c r="I83" s="847"/>
    </row>
    <row r="84">
      <c r="A84" s="265"/>
      <c r="B84" s="950">
        <f t="shared" si="6"/>
        <v>6000</v>
      </c>
      <c r="F84" s="161">
        <v>6000.0</v>
      </c>
      <c r="H84" s="2" t="s">
        <v>4365</v>
      </c>
      <c r="I84" s="951"/>
    </row>
    <row r="85">
      <c r="A85" s="265"/>
      <c r="B85" s="950">
        <f t="shared" si="6"/>
        <v>10000</v>
      </c>
      <c r="F85" s="161">
        <v>10000.0</v>
      </c>
      <c r="H85" s="2" t="s">
        <v>3762</v>
      </c>
      <c r="I85" s="951"/>
    </row>
    <row r="86">
      <c r="A86" s="265"/>
      <c r="B86" s="950">
        <f t="shared" si="6"/>
        <v>500</v>
      </c>
      <c r="F86" s="161">
        <v>500.0</v>
      </c>
      <c r="H86" s="2" t="s">
        <v>4425</v>
      </c>
      <c r="I86" s="847"/>
    </row>
    <row r="87">
      <c r="A87" s="265"/>
      <c r="B87" s="950">
        <f t="shared" si="6"/>
        <v>3500</v>
      </c>
      <c r="F87" s="161">
        <v>3500.0</v>
      </c>
      <c r="H87" s="416" t="s">
        <v>4366</v>
      </c>
      <c r="I87" s="951"/>
    </row>
    <row r="88">
      <c r="A88" s="265"/>
      <c r="B88" s="950">
        <f t="shared" si="6"/>
        <v>620</v>
      </c>
      <c r="F88" s="161">
        <v>620.0</v>
      </c>
      <c r="H88" s="2" t="s">
        <v>4426</v>
      </c>
      <c r="I88" s="847"/>
    </row>
    <row r="89">
      <c r="A89" s="265"/>
      <c r="B89" s="950">
        <f t="shared" si="6"/>
        <v>6650</v>
      </c>
      <c r="F89" s="161">
        <v>6650.0</v>
      </c>
      <c r="H89" s="2" t="s">
        <v>4368</v>
      </c>
      <c r="I89" s="951"/>
    </row>
    <row r="90">
      <c r="A90" s="265"/>
      <c r="B90" s="950">
        <f t="shared" si="6"/>
        <v>5000</v>
      </c>
      <c r="F90" s="161">
        <v>5000.0</v>
      </c>
      <c r="H90" s="2" t="s">
        <v>3761</v>
      </c>
      <c r="I90" s="951"/>
    </row>
    <row r="91">
      <c r="A91" s="265"/>
      <c r="B91" s="950">
        <f t="shared" si="6"/>
        <v>5000</v>
      </c>
      <c r="F91" s="161">
        <v>5000.0</v>
      </c>
      <c r="H91" s="2" t="s">
        <v>4220</v>
      </c>
      <c r="I91" s="951"/>
    </row>
    <row r="92">
      <c r="A92" s="265"/>
      <c r="B92" s="950">
        <f t="shared" si="6"/>
        <v>180</v>
      </c>
      <c r="F92" s="161">
        <v>180.0</v>
      </c>
      <c r="H92" s="2" t="s">
        <v>85</v>
      </c>
      <c r="I92" s="847"/>
    </row>
    <row r="93">
      <c r="A93" s="265"/>
      <c r="B93" s="967">
        <f t="shared" si="6"/>
        <v>1000</v>
      </c>
      <c r="F93" s="161">
        <v>1000.0</v>
      </c>
      <c r="H93" s="2" t="s">
        <v>4163</v>
      </c>
      <c r="I93" s="951"/>
    </row>
    <row r="94">
      <c r="A94" s="270"/>
      <c r="B94" s="194">
        <f>SUM(B79:B93)</f>
        <v>41087.04</v>
      </c>
      <c r="C94" s="18"/>
      <c r="D94" s="18"/>
      <c r="E94" s="18"/>
      <c r="F94" s="952"/>
      <c r="G94" s="18"/>
      <c r="H94" s="18"/>
      <c r="I94" s="663"/>
    </row>
    <row r="95">
      <c r="A95" s="305">
        <v>43807.0</v>
      </c>
      <c r="B95" s="948" t="str">
        <f t="shared" ref="B95:B108" si="7">F95</f>
        <v/>
      </c>
      <c r="C95" s="244"/>
      <c r="D95" s="242"/>
      <c r="E95" s="242"/>
      <c r="F95" s="949"/>
      <c r="G95" s="242"/>
      <c r="H95" s="244"/>
      <c r="I95" s="662"/>
    </row>
    <row r="96">
      <c r="A96" s="265"/>
      <c r="B96" s="950" t="str">
        <f t="shared" si="7"/>
        <v/>
      </c>
      <c r="F96" s="161"/>
      <c r="I96" s="847"/>
    </row>
    <row r="97">
      <c r="A97" s="265"/>
      <c r="B97" s="950" t="str">
        <f t="shared" si="7"/>
        <v/>
      </c>
      <c r="F97" s="161"/>
      <c r="I97" s="847"/>
    </row>
    <row r="98">
      <c r="A98" s="265"/>
      <c r="B98" s="950" t="str">
        <f t="shared" si="7"/>
        <v/>
      </c>
      <c r="F98" s="161"/>
      <c r="I98" s="847"/>
    </row>
    <row r="99">
      <c r="A99" s="265"/>
      <c r="B99" s="950" t="str">
        <f t="shared" si="7"/>
        <v/>
      </c>
      <c r="F99" s="161"/>
      <c r="I99" s="847"/>
    </row>
    <row r="100">
      <c r="A100" s="265"/>
      <c r="B100" s="950" t="str">
        <f t="shared" si="7"/>
        <v/>
      </c>
      <c r="F100" s="161"/>
      <c r="I100" s="847"/>
    </row>
    <row r="101">
      <c r="A101" s="265"/>
      <c r="B101" s="950" t="str">
        <f t="shared" si="7"/>
        <v/>
      </c>
      <c r="F101" s="852"/>
      <c r="I101" s="847"/>
    </row>
    <row r="102">
      <c r="A102" s="265"/>
      <c r="B102" s="950" t="str">
        <f t="shared" si="7"/>
        <v/>
      </c>
      <c r="F102" s="161"/>
      <c r="I102" s="847"/>
    </row>
    <row r="103">
      <c r="A103" s="265"/>
      <c r="B103" s="950" t="str">
        <f t="shared" si="7"/>
        <v/>
      </c>
      <c r="F103" s="161"/>
      <c r="I103" s="847"/>
    </row>
    <row r="104">
      <c r="A104" s="265"/>
      <c r="B104" s="950" t="str">
        <f t="shared" si="7"/>
        <v/>
      </c>
      <c r="F104" s="852"/>
      <c r="I104" s="847"/>
    </row>
    <row r="105">
      <c r="A105" s="265"/>
      <c r="B105" s="950" t="str">
        <f t="shared" si="7"/>
        <v/>
      </c>
      <c r="F105" s="161"/>
      <c r="I105" s="847"/>
    </row>
    <row r="106">
      <c r="A106" s="265"/>
      <c r="B106" s="950" t="str">
        <f t="shared" si="7"/>
        <v/>
      </c>
      <c r="F106" s="161"/>
      <c r="I106" s="847"/>
    </row>
    <row r="107">
      <c r="A107" s="265"/>
      <c r="B107" s="950" t="str">
        <f t="shared" si="7"/>
        <v/>
      </c>
      <c r="F107" s="161"/>
      <c r="I107" s="847"/>
    </row>
    <row r="108">
      <c r="A108" s="265"/>
      <c r="B108" s="950" t="str">
        <f t="shared" si="7"/>
        <v/>
      </c>
      <c r="F108" s="161"/>
      <c r="I108" s="847"/>
    </row>
    <row r="109">
      <c r="A109" s="270"/>
      <c r="B109" s="194">
        <f>SUM(B95:B108)</f>
        <v>0</v>
      </c>
      <c r="C109" s="18"/>
      <c r="D109" s="18"/>
      <c r="E109" s="18"/>
      <c r="F109" s="952"/>
      <c r="G109" s="18"/>
      <c r="H109" s="18"/>
      <c r="I109" s="663"/>
    </row>
    <row r="110">
      <c r="A110" s="305">
        <v>43808.0</v>
      </c>
      <c r="B110" s="948">
        <f t="shared" ref="B110:B123" si="8">F110</f>
        <v>1547</v>
      </c>
      <c r="C110" s="242"/>
      <c r="D110" s="242"/>
      <c r="E110" s="242"/>
      <c r="F110" s="949">
        <v>1547.0</v>
      </c>
      <c r="G110" s="242"/>
      <c r="H110" s="244" t="s">
        <v>58</v>
      </c>
      <c r="I110" s="662"/>
    </row>
    <row r="111">
      <c r="A111" s="265"/>
      <c r="B111" s="950">
        <f t="shared" si="8"/>
        <v>3275</v>
      </c>
      <c r="F111" s="161">
        <v>3275.0</v>
      </c>
      <c r="H111" s="2" t="s">
        <v>4427</v>
      </c>
      <c r="I111" s="847"/>
    </row>
    <row r="112">
      <c r="A112" s="265"/>
      <c r="B112" s="950">
        <f t="shared" si="8"/>
        <v>50</v>
      </c>
      <c r="F112" s="161">
        <v>50.0</v>
      </c>
      <c r="H112" s="2" t="s">
        <v>1732</v>
      </c>
      <c r="I112" s="847"/>
    </row>
    <row r="113">
      <c r="A113" s="265"/>
      <c r="B113" s="950" t="str">
        <f t="shared" si="8"/>
        <v/>
      </c>
      <c r="F113" s="161"/>
      <c r="I113" s="847"/>
    </row>
    <row r="114">
      <c r="A114" s="265"/>
      <c r="B114" s="950">
        <f t="shared" si="8"/>
        <v>2441</v>
      </c>
      <c r="F114" s="161">
        <v>2441.0</v>
      </c>
      <c r="H114" s="2" t="s">
        <v>4230</v>
      </c>
      <c r="I114" s="847"/>
    </row>
    <row r="115">
      <c r="A115" s="265"/>
      <c r="B115" s="950">
        <f t="shared" si="8"/>
        <v>2775</v>
      </c>
      <c r="F115" s="161">
        <v>2775.0</v>
      </c>
      <c r="H115" s="2" t="s">
        <v>3731</v>
      </c>
      <c r="I115" s="847"/>
    </row>
    <row r="116">
      <c r="A116" s="265"/>
      <c r="B116" s="950">
        <f t="shared" si="8"/>
        <v>90</v>
      </c>
      <c r="F116" s="161">
        <v>90.0</v>
      </c>
      <c r="H116" s="2" t="s">
        <v>4428</v>
      </c>
      <c r="I116" s="847"/>
    </row>
    <row r="117">
      <c r="A117" s="265"/>
      <c r="B117" s="950">
        <f t="shared" si="8"/>
        <v>990</v>
      </c>
      <c r="F117" s="161">
        <v>990.0</v>
      </c>
      <c r="H117" s="2" t="s">
        <v>4231</v>
      </c>
      <c r="I117" s="847"/>
    </row>
    <row r="118">
      <c r="A118" s="265"/>
      <c r="B118" s="950">
        <f t="shared" si="8"/>
        <v>700</v>
      </c>
      <c r="F118" s="161">
        <v>700.0</v>
      </c>
      <c r="H118" s="2" t="s">
        <v>4429</v>
      </c>
      <c r="I118" s="847"/>
    </row>
    <row r="119">
      <c r="A119" s="265"/>
      <c r="B119" s="950">
        <f t="shared" si="8"/>
        <v>150</v>
      </c>
      <c r="F119" s="161">
        <v>150.0</v>
      </c>
      <c r="H119" s="2" t="s">
        <v>4430</v>
      </c>
      <c r="I119" s="847"/>
    </row>
    <row r="120">
      <c r="A120" s="265"/>
      <c r="B120" s="950" t="str">
        <f t="shared" si="8"/>
        <v/>
      </c>
      <c r="F120" s="161"/>
      <c r="I120" s="847"/>
    </row>
    <row r="121">
      <c r="A121" s="265"/>
      <c r="B121" s="950" t="str">
        <f t="shared" si="8"/>
        <v/>
      </c>
      <c r="F121" s="161"/>
      <c r="I121" s="847"/>
    </row>
    <row r="122">
      <c r="A122" s="265"/>
      <c r="B122" s="950" t="str">
        <f t="shared" si="8"/>
        <v/>
      </c>
      <c r="F122" s="161"/>
      <c r="I122" s="847"/>
    </row>
    <row r="123">
      <c r="A123" s="265"/>
      <c r="B123" s="950" t="str">
        <f t="shared" si="8"/>
        <v/>
      </c>
      <c r="F123" s="161"/>
      <c r="I123" s="847"/>
    </row>
    <row r="124">
      <c r="A124" s="270"/>
      <c r="B124" s="194">
        <f>SUM(B110:B123)</f>
        <v>12018</v>
      </c>
      <c r="C124" s="18"/>
      <c r="D124" s="18"/>
      <c r="E124" s="18"/>
      <c r="F124" s="952"/>
      <c r="G124" s="18"/>
      <c r="H124" s="18"/>
      <c r="I124" s="663"/>
    </row>
    <row r="125">
      <c r="A125" s="305">
        <v>43809.0</v>
      </c>
      <c r="B125" s="948">
        <f t="shared" ref="B125:B138" si="9">F125</f>
        <v>2320.64</v>
      </c>
      <c r="C125" s="242"/>
      <c r="D125" s="242"/>
      <c r="E125" s="242"/>
      <c r="F125" s="949">
        <v>2320.64</v>
      </c>
      <c r="G125" s="242"/>
      <c r="H125" s="244" t="s">
        <v>82</v>
      </c>
      <c r="I125" s="662"/>
    </row>
    <row r="126">
      <c r="A126" s="265"/>
      <c r="B126" s="950" t="str">
        <f t="shared" si="9"/>
        <v/>
      </c>
      <c r="C126" s="2">
        <v>7890.28</v>
      </c>
      <c r="F126" s="161"/>
      <c r="H126" s="2" t="s">
        <v>2637</v>
      </c>
      <c r="I126" s="847"/>
    </row>
    <row r="127">
      <c r="A127" s="265"/>
      <c r="B127" s="950">
        <f t="shared" si="9"/>
        <v>1988</v>
      </c>
      <c r="F127" s="161">
        <v>1988.0</v>
      </c>
      <c r="H127" s="2" t="s">
        <v>2755</v>
      </c>
      <c r="I127" s="847"/>
    </row>
    <row r="128">
      <c r="A128" s="265"/>
      <c r="B128" s="950">
        <f t="shared" si="9"/>
        <v>5225</v>
      </c>
      <c r="F128" s="161">
        <v>5225.0</v>
      </c>
      <c r="H128" s="2" t="s">
        <v>4234</v>
      </c>
      <c r="I128" s="847"/>
    </row>
    <row r="129">
      <c r="A129" s="265"/>
      <c r="B129" s="950">
        <f t="shared" si="9"/>
        <v>1850</v>
      </c>
      <c r="F129" s="161">
        <v>1850.0</v>
      </c>
      <c r="H129" s="2" t="s">
        <v>3731</v>
      </c>
      <c r="I129" s="847"/>
    </row>
    <row r="130">
      <c r="A130" s="265"/>
      <c r="B130" s="950">
        <f t="shared" si="9"/>
        <v>2651</v>
      </c>
      <c r="F130" s="161">
        <v>2651.0</v>
      </c>
      <c r="H130" s="2" t="s">
        <v>4230</v>
      </c>
      <c r="I130" s="847"/>
    </row>
    <row r="131">
      <c r="A131" s="265"/>
      <c r="B131" s="950">
        <f t="shared" si="9"/>
        <v>690</v>
      </c>
      <c r="F131" s="161">
        <v>690.0</v>
      </c>
      <c r="H131" s="2" t="s">
        <v>346</v>
      </c>
      <c r="I131" s="847"/>
    </row>
    <row r="132">
      <c r="A132" s="265"/>
      <c r="B132" s="950">
        <f t="shared" si="9"/>
        <v>1000</v>
      </c>
      <c r="F132" s="161">
        <v>1000.0</v>
      </c>
      <c r="H132" s="2" t="s">
        <v>4431</v>
      </c>
      <c r="I132" s="847"/>
    </row>
    <row r="133">
      <c r="A133" s="265"/>
      <c r="B133" s="950">
        <f t="shared" si="9"/>
        <v>200</v>
      </c>
      <c r="F133" s="161">
        <v>200.0</v>
      </c>
      <c r="H133" s="2" t="s">
        <v>1111</v>
      </c>
      <c r="I133" s="847"/>
    </row>
    <row r="134">
      <c r="A134" s="265"/>
      <c r="B134" s="950" t="str">
        <f t="shared" si="9"/>
        <v/>
      </c>
      <c r="F134" s="852"/>
      <c r="I134" s="847"/>
    </row>
    <row r="135">
      <c r="A135" s="265"/>
      <c r="B135" s="950" t="str">
        <f t="shared" si="9"/>
        <v/>
      </c>
      <c r="F135" s="161"/>
      <c r="I135" s="847"/>
    </row>
    <row r="136">
      <c r="A136" s="265"/>
      <c r="B136" s="950" t="str">
        <f t="shared" si="9"/>
        <v/>
      </c>
      <c r="F136" s="161"/>
      <c r="I136" s="847"/>
    </row>
    <row r="137">
      <c r="A137" s="265"/>
      <c r="B137" s="950" t="str">
        <f t="shared" si="9"/>
        <v/>
      </c>
      <c r="F137" s="161"/>
      <c r="I137" s="847"/>
    </row>
    <row r="138">
      <c r="A138" s="265"/>
      <c r="B138" s="950" t="str">
        <f t="shared" si="9"/>
        <v/>
      </c>
      <c r="F138" s="161"/>
      <c r="I138" s="847"/>
    </row>
    <row r="139">
      <c r="A139" s="270"/>
      <c r="B139" s="194">
        <f>SUM(B125:B138)</f>
        <v>15924.64</v>
      </c>
      <c r="C139" s="18"/>
      <c r="D139" s="18"/>
      <c r="E139" s="18"/>
      <c r="F139" s="952"/>
      <c r="G139" s="18"/>
      <c r="H139" s="18"/>
      <c r="I139" s="663"/>
    </row>
    <row r="140">
      <c r="A140" s="305">
        <v>43810.0</v>
      </c>
      <c r="B140" s="948">
        <f t="shared" ref="B140:B153" si="10">F140</f>
        <v>1941</v>
      </c>
      <c r="C140" s="242"/>
      <c r="D140" s="242"/>
      <c r="E140" s="242"/>
      <c r="F140" s="949">
        <v>1941.0</v>
      </c>
      <c r="G140" s="242"/>
      <c r="H140" s="244" t="s">
        <v>4255</v>
      </c>
      <c r="I140" s="662"/>
    </row>
    <row r="141">
      <c r="A141" s="265"/>
      <c r="B141" s="950">
        <f t="shared" si="10"/>
        <v>1850</v>
      </c>
      <c r="F141" s="161">
        <v>1850.0</v>
      </c>
      <c r="H141" s="2" t="s">
        <v>421</v>
      </c>
      <c r="I141" s="847"/>
    </row>
    <row r="142">
      <c r="A142" s="265"/>
      <c r="B142" s="950" t="str">
        <f t="shared" si="10"/>
        <v/>
      </c>
      <c r="D142" s="2">
        <v>9130.52</v>
      </c>
      <c r="F142" s="161"/>
      <c r="H142" s="2" t="s">
        <v>2819</v>
      </c>
      <c r="I142" s="847"/>
    </row>
    <row r="143">
      <c r="A143" s="265"/>
      <c r="B143" s="950">
        <f t="shared" si="10"/>
        <v>1000</v>
      </c>
      <c r="F143" s="161">
        <v>1000.0</v>
      </c>
      <c r="H143" s="416" t="s">
        <v>3752</v>
      </c>
      <c r="I143" s="951"/>
    </row>
    <row r="144">
      <c r="A144" s="265"/>
      <c r="B144" s="950">
        <f t="shared" si="10"/>
        <v>1000</v>
      </c>
      <c r="F144" s="161">
        <v>1000.0</v>
      </c>
      <c r="H144" s="2" t="s">
        <v>4132</v>
      </c>
      <c r="I144" s="951"/>
    </row>
    <row r="145">
      <c r="A145" s="265"/>
      <c r="B145" s="950" t="str">
        <f t="shared" si="10"/>
        <v/>
      </c>
      <c r="F145" s="161"/>
      <c r="I145" s="847"/>
    </row>
    <row r="146">
      <c r="A146" s="265"/>
      <c r="B146" s="950" t="str">
        <f t="shared" si="10"/>
        <v/>
      </c>
      <c r="F146" s="852"/>
      <c r="I146" s="847"/>
    </row>
    <row r="147">
      <c r="A147" s="265"/>
      <c r="B147" s="950" t="str">
        <f t="shared" si="10"/>
        <v/>
      </c>
      <c r="F147" s="161"/>
      <c r="I147" s="847"/>
    </row>
    <row r="148">
      <c r="A148" s="265"/>
      <c r="B148" s="950" t="str">
        <f t="shared" si="10"/>
        <v/>
      </c>
      <c r="F148" s="161"/>
      <c r="I148" s="847"/>
    </row>
    <row r="149">
      <c r="A149" s="265"/>
      <c r="B149" s="950" t="str">
        <f t="shared" si="10"/>
        <v/>
      </c>
      <c r="F149" s="852"/>
      <c r="I149" s="847"/>
    </row>
    <row r="150">
      <c r="A150" s="265"/>
      <c r="B150" s="950" t="str">
        <f t="shared" si="10"/>
        <v/>
      </c>
      <c r="F150" s="161"/>
      <c r="I150" s="847"/>
    </row>
    <row r="151">
      <c r="A151" s="265"/>
      <c r="B151" s="950" t="str">
        <f t="shared" si="10"/>
        <v/>
      </c>
      <c r="F151" s="161"/>
      <c r="I151" s="847"/>
    </row>
    <row r="152">
      <c r="A152" s="265"/>
      <c r="B152" s="950" t="str">
        <f t="shared" si="10"/>
        <v/>
      </c>
      <c r="F152" s="161"/>
      <c r="I152" s="847"/>
    </row>
    <row r="153">
      <c r="A153" s="265"/>
      <c r="B153" s="950" t="str">
        <f t="shared" si="10"/>
        <v/>
      </c>
      <c r="F153" s="161"/>
      <c r="I153" s="847"/>
    </row>
    <row r="154">
      <c r="A154" s="270"/>
      <c r="B154" s="194">
        <f>SUM(B140:B153)</f>
        <v>5791</v>
      </c>
      <c r="C154" s="18"/>
      <c r="D154" s="18"/>
      <c r="E154" s="18"/>
      <c r="F154" s="952"/>
      <c r="G154" s="18"/>
      <c r="H154" s="18"/>
      <c r="I154" s="663"/>
    </row>
    <row r="155">
      <c r="A155" s="305">
        <v>43811.0</v>
      </c>
      <c r="B155" s="948" t="str">
        <f t="shared" ref="B155:B168" si="11">F155</f>
        <v/>
      </c>
      <c r="C155" s="1008">
        <v>11113.54</v>
      </c>
      <c r="D155" s="322"/>
      <c r="E155" s="322"/>
      <c r="F155" s="1009"/>
      <c r="G155" s="322"/>
      <c r="H155" s="324" t="s">
        <v>4318</v>
      </c>
      <c r="I155" s="662"/>
    </row>
    <row r="156">
      <c r="A156" s="265"/>
      <c r="B156" s="950">
        <f t="shared" si="11"/>
        <v>4270</v>
      </c>
      <c r="C156" s="290"/>
      <c r="D156" s="290"/>
      <c r="E156" s="290"/>
      <c r="F156" s="1010">
        <v>4270.0</v>
      </c>
      <c r="G156" s="290"/>
      <c r="H156" s="290" t="s">
        <v>2786</v>
      </c>
      <c r="I156" s="847"/>
    </row>
    <row r="157">
      <c r="A157" s="265"/>
      <c r="B157" s="950">
        <f t="shared" si="11"/>
        <v>2550</v>
      </c>
      <c r="C157" s="290"/>
      <c r="D157" s="290"/>
      <c r="E157" s="290"/>
      <c r="F157" s="1010">
        <v>2550.0</v>
      </c>
      <c r="G157" s="290"/>
      <c r="H157" s="290" t="s">
        <v>4023</v>
      </c>
      <c r="I157" s="847"/>
    </row>
    <row r="158">
      <c r="A158" s="265"/>
      <c r="B158" s="950">
        <f t="shared" si="11"/>
        <v>1767</v>
      </c>
      <c r="F158" s="161">
        <f>145+145+1477</f>
        <v>1767</v>
      </c>
      <c r="H158" s="2" t="s">
        <v>314</v>
      </c>
      <c r="I158" s="847"/>
    </row>
    <row r="159">
      <c r="A159" s="265"/>
      <c r="B159" s="950">
        <f t="shared" si="11"/>
        <v>773.53</v>
      </c>
      <c r="F159" s="161">
        <v>773.53</v>
      </c>
      <c r="H159" s="2" t="s">
        <v>3821</v>
      </c>
      <c r="I159" s="847"/>
    </row>
    <row r="160">
      <c r="A160" s="265"/>
      <c r="B160" s="950">
        <f t="shared" si="11"/>
        <v>1242.75</v>
      </c>
      <c r="F160" s="161">
        <v>1242.75</v>
      </c>
      <c r="H160" s="2" t="s">
        <v>4230</v>
      </c>
      <c r="I160" s="847"/>
    </row>
    <row r="161">
      <c r="A161" s="265"/>
      <c r="B161" s="950">
        <f t="shared" si="11"/>
        <v>1850</v>
      </c>
      <c r="F161" s="161">
        <v>1850.0</v>
      </c>
      <c r="H161" s="2" t="s">
        <v>3904</v>
      </c>
      <c r="I161" s="847"/>
    </row>
    <row r="162">
      <c r="A162" s="265"/>
      <c r="B162" s="950" t="str">
        <f t="shared" si="11"/>
        <v/>
      </c>
      <c r="C162" s="2">
        <v>11062.4</v>
      </c>
      <c r="F162" s="161"/>
      <c r="H162" s="2" t="s">
        <v>951</v>
      </c>
      <c r="I162" s="847"/>
    </row>
    <row r="163">
      <c r="A163" s="265"/>
      <c r="B163" s="950">
        <f t="shared" si="11"/>
        <v>180</v>
      </c>
      <c r="F163" s="161">
        <v>180.0</v>
      </c>
      <c r="H163" s="2" t="s">
        <v>1729</v>
      </c>
      <c r="I163" s="847"/>
    </row>
    <row r="164">
      <c r="A164" s="265"/>
      <c r="B164" s="950">
        <f t="shared" si="11"/>
        <v>248</v>
      </c>
      <c r="F164" s="161">
        <v>248.0</v>
      </c>
      <c r="H164" s="2" t="s">
        <v>4432</v>
      </c>
      <c r="I164" s="847"/>
    </row>
    <row r="165">
      <c r="A165" s="265"/>
      <c r="B165" s="950">
        <f t="shared" si="11"/>
        <v>55</v>
      </c>
      <c r="F165" s="161">
        <v>55.0</v>
      </c>
      <c r="H165" s="2" t="s">
        <v>4433</v>
      </c>
      <c r="I165" s="847"/>
    </row>
    <row r="166">
      <c r="A166" s="265"/>
      <c r="B166" s="950" t="str">
        <f t="shared" si="11"/>
        <v/>
      </c>
      <c r="F166" s="161"/>
      <c r="I166" s="847"/>
    </row>
    <row r="167">
      <c r="A167" s="265"/>
      <c r="B167" s="950" t="str">
        <f t="shared" si="11"/>
        <v/>
      </c>
      <c r="F167" s="161"/>
      <c r="I167" s="847"/>
    </row>
    <row r="168">
      <c r="A168" s="265"/>
      <c r="B168" s="950" t="str">
        <f t="shared" si="11"/>
        <v/>
      </c>
      <c r="F168" s="161"/>
      <c r="I168" s="847"/>
    </row>
    <row r="169">
      <c r="A169" s="270"/>
      <c r="B169" s="194">
        <f>SUM(B155:B168)</f>
        <v>12936.28</v>
      </c>
      <c r="C169" s="18"/>
      <c r="D169" s="18"/>
      <c r="E169" s="18"/>
      <c r="F169" s="952"/>
      <c r="G169" s="18"/>
      <c r="H169" s="18"/>
      <c r="I169" s="663"/>
    </row>
    <row r="170">
      <c r="A170" s="305">
        <v>43812.0</v>
      </c>
      <c r="B170" s="948">
        <f t="shared" ref="B170:B183" si="12">F170</f>
        <v>1547</v>
      </c>
      <c r="C170" s="242"/>
      <c r="D170" s="242"/>
      <c r="E170" s="242"/>
      <c r="F170" s="949">
        <v>1547.0</v>
      </c>
      <c r="G170" s="242"/>
      <c r="H170" s="244" t="s">
        <v>3821</v>
      </c>
      <c r="I170" s="662"/>
    </row>
    <row r="171">
      <c r="A171" s="265"/>
      <c r="B171" s="950">
        <f t="shared" si="12"/>
        <v>4550</v>
      </c>
      <c r="F171" s="161">
        <v>4550.0</v>
      </c>
      <c r="H171" s="2" t="s">
        <v>65</v>
      </c>
      <c r="I171" s="847"/>
    </row>
    <row r="172">
      <c r="A172" s="265"/>
      <c r="B172" s="950">
        <f t="shared" si="12"/>
        <v>1850</v>
      </c>
      <c r="F172" s="161">
        <v>1850.0</v>
      </c>
      <c r="H172" s="2" t="s">
        <v>3731</v>
      </c>
      <c r="I172" s="847"/>
    </row>
    <row r="173">
      <c r="A173" s="265"/>
      <c r="B173" s="950">
        <f t="shared" si="12"/>
        <v>5250</v>
      </c>
      <c r="F173" s="161">
        <v>5250.0</v>
      </c>
      <c r="H173" s="2" t="s">
        <v>4434</v>
      </c>
      <c r="I173" s="847"/>
    </row>
    <row r="174">
      <c r="A174" s="265"/>
      <c r="B174" s="950">
        <f t="shared" si="12"/>
        <v>7000</v>
      </c>
      <c r="F174" s="161">
        <v>7000.0</v>
      </c>
      <c r="H174" s="2" t="s">
        <v>4154</v>
      </c>
      <c r="I174" s="951"/>
    </row>
    <row r="175">
      <c r="A175" s="265"/>
      <c r="B175" s="950">
        <f t="shared" si="12"/>
        <v>7000</v>
      </c>
      <c r="F175" s="161">
        <v>7000.0</v>
      </c>
      <c r="H175" s="2" t="s">
        <v>4435</v>
      </c>
      <c r="I175" s="951"/>
    </row>
    <row r="176">
      <c r="A176" s="265"/>
      <c r="B176" s="950">
        <f t="shared" si="12"/>
        <v>15000</v>
      </c>
      <c r="F176" s="161">
        <v>15000.0</v>
      </c>
      <c r="H176" s="2" t="s">
        <v>4306</v>
      </c>
      <c r="I176" s="951"/>
    </row>
    <row r="177">
      <c r="A177" s="265"/>
      <c r="B177" s="950">
        <f t="shared" si="12"/>
        <v>4000</v>
      </c>
      <c r="F177" s="161">
        <v>4000.0</v>
      </c>
      <c r="H177" s="2" t="s">
        <v>4032</v>
      </c>
      <c r="I177" s="951"/>
    </row>
    <row r="178">
      <c r="A178" s="265"/>
      <c r="B178" s="950" t="str">
        <f t="shared" si="12"/>
        <v/>
      </c>
      <c r="F178" s="161"/>
      <c r="I178" s="847"/>
    </row>
    <row r="179">
      <c r="A179" s="265"/>
      <c r="B179" s="950" t="str">
        <f t="shared" si="12"/>
        <v/>
      </c>
      <c r="F179" s="852"/>
      <c r="I179" s="847"/>
    </row>
    <row r="180">
      <c r="A180" s="265"/>
      <c r="B180" s="950" t="str">
        <f t="shared" si="12"/>
        <v/>
      </c>
      <c r="F180" s="161"/>
      <c r="I180" s="847"/>
    </row>
    <row r="181">
      <c r="A181" s="265"/>
      <c r="B181" s="950" t="str">
        <f t="shared" si="12"/>
        <v/>
      </c>
      <c r="F181" s="161"/>
      <c r="I181" s="847"/>
    </row>
    <row r="182">
      <c r="A182" s="265"/>
      <c r="B182" s="950" t="str">
        <f t="shared" si="12"/>
        <v/>
      </c>
      <c r="F182" s="161"/>
      <c r="I182" s="847"/>
    </row>
    <row r="183">
      <c r="A183" s="265"/>
      <c r="B183" s="950" t="str">
        <f t="shared" si="12"/>
        <v/>
      </c>
      <c r="F183" s="161"/>
      <c r="I183" s="847"/>
    </row>
    <row r="184">
      <c r="A184" s="270"/>
      <c r="B184" s="194">
        <f>SUM(B170:B183)</f>
        <v>46197</v>
      </c>
      <c r="C184" s="18"/>
      <c r="D184" s="18"/>
      <c r="E184" s="18"/>
      <c r="F184" s="952"/>
      <c r="G184" s="18"/>
      <c r="H184" s="18"/>
      <c r="I184" s="663"/>
    </row>
    <row r="185">
      <c r="A185" s="305">
        <v>43813.0</v>
      </c>
      <c r="B185" s="948">
        <f t="shared" ref="B185:B198" si="13">F185</f>
        <v>1880</v>
      </c>
      <c r="C185" s="242"/>
      <c r="D185" s="242"/>
      <c r="E185" s="242"/>
      <c r="F185" s="949">
        <v>1880.0</v>
      </c>
      <c r="G185" s="242"/>
      <c r="H185" s="244" t="s">
        <v>3964</v>
      </c>
      <c r="I185" s="662"/>
    </row>
    <row r="186">
      <c r="A186" s="265"/>
      <c r="B186" s="950">
        <f t="shared" si="13"/>
        <v>115</v>
      </c>
      <c r="F186" s="161">
        <v>115.0</v>
      </c>
      <c r="H186" s="2" t="s">
        <v>4436</v>
      </c>
      <c r="I186" s="847"/>
    </row>
    <row r="187">
      <c r="A187" s="265"/>
      <c r="B187" s="950">
        <f t="shared" si="13"/>
        <v>4800</v>
      </c>
      <c r="F187" s="161">
        <v>4800.0</v>
      </c>
      <c r="H187" s="2" t="s">
        <v>4153</v>
      </c>
      <c r="I187" s="951"/>
    </row>
    <row r="188">
      <c r="A188" s="265"/>
      <c r="B188" s="950">
        <f t="shared" si="13"/>
        <v>3100</v>
      </c>
      <c r="F188" s="161">
        <v>3100.0</v>
      </c>
      <c r="H188" s="416" t="s">
        <v>4061</v>
      </c>
      <c r="I188" s="951"/>
    </row>
    <row r="189">
      <c r="A189" s="265"/>
      <c r="B189" s="950">
        <f t="shared" si="13"/>
        <v>6000</v>
      </c>
      <c r="F189" s="161">
        <v>6000.0</v>
      </c>
      <c r="H189" s="2" t="s">
        <v>4152</v>
      </c>
      <c r="I189" s="951"/>
    </row>
    <row r="190">
      <c r="A190" s="265"/>
      <c r="B190" s="950">
        <f t="shared" si="13"/>
        <v>700</v>
      </c>
      <c r="F190" s="161">
        <v>700.0</v>
      </c>
      <c r="H190" s="2" t="s">
        <v>3437</v>
      </c>
      <c r="I190" s="951"/>
    </row>
    <row r="191">
      <c r="A191" s="265"/>
      <c r="B191" s="950">
        <f t="shared" si="13"/>
        <v>5000</v>
      </c>
      <c r="F191" s="161">
        <v>5000.0</v>
      </c>
      <c r="H191" s="2" t="s">
        <v>4062</v>
      </c>
      <c r="I191" s="951"/>
    </row>
    <row r="192">
      <c r="A192" s="265"/>
      <c r="B192" s="950">
        <f t="shared" si="13"/>
        <v>195</v>
      </c>
      <c r="F192" s="161">
        <v>195.0</v>
      </c>
      <c r="H192" s="2" t="s">
        <v>4437</v>
      </c>
      <c r="I192" s="847"/>
    </row>
    <row r="193">
      <c r="A193" s="265"/>
      <c r="B193" s="950">
        <f t="shared" si="13"/>
        <v>5300</v>
      </c>
      <c r="F193" s="161">
        <v>5300.0</v>
      </c>
      <c r="H193" s="2" t="s">
        <v>4438</v>
      </c>
      <c r="I193" s="1011">
        <v>1.0</v>
      </c>
    </row>
    <row r="194">
      <c r="A194" s="265"/>
      <c r="B194" s="950" t="str">
        <f t="shared" si="13"/>
        <v/>
      </c>
      <c r="F194" s="852"/>
      <c r="I194" s="847"/>
    </row>
    <row r="195">
      <c r="A195" s="265"/>
      <c r="B195" s="950" t="str">
        <f t="shared" si="13"/>
        <v/>
      </c>
      <c r="F195" s="161"/>
      <c r="I195" s="847"/>
    </row>
    <row r="196">
      <c r="A196" s="265"/>
      <c r="B196" s="950" t="str">
        <f t="shared" si="13"/>
        <v/>
      </c>
      <c r="F196" s="161"/>
      <c r="I196" s="847"/>
    </row>
    <row r="197">
      <c r="A197" s="265"/>
      <c r="B197" s="950" t="str">
        <f t="shared" si="13"/>
        <v/>
      </c>
      <c r="F197" s="161"/>
      <c r="I197" s="847"/>
    </row>
    <row r="198">
      <c r="A198" s="265"/>
      <c r="B198" s="950" t="str">
        <f t="shared" si="13"/>
        <v/>
      </c>
      <c r="F198" s="161"/>
      <c r="I198" s="847"/>
    </row>
    <row r="199">
      <c r="A199" s="270"/>
      <c r="B199" s="194">
        <f>SUM(B185:B198)</f>
        <v>27090</v>
      </c>
      <c r="C199" s="18"/>
      <c r="D199" s="18"/>
      <c r="E199" s="18"/>
      <c r="F199" s="952"/>
      <c r="G199" s="18"/>
      <c r="H199" s="18"/>
      <c r="I199" s="663"/>
    </row>
    <row r="200">
      <c r="A200" s="305">
        <v>43814.0</v>
      </c>
      <c r="B200" s="948" t="str">
        <f t="shared" ref="B200:B213" si="14">F200</f>
        <v/>
      </c>
      <c r="C200" s="242"/>
      <c r="D200" s="242"/>
      <c r="E200" s="242"/>
      <c r="F200" s="949"/>
      <c r="G200" s="242"/>
      <c r="H200" s="244"/>
      <c r="I200" s="662"/>
    </row>
    <row r="201">
      <c r="A201" s="265"/>
      <c r="B201" s="950" t="str">
        <f t="shared" si="14"/>
        <v/>
      </c>
      <c r="F201" s="161"/>
      <c r="I201" s="847"/>
    </row>
    <row r="202">
      <c r="A202" s="265"/>
      <c r="B202" s="950" t="str">
        <f t="shared" si="14"/>
        <v/>
      </c>
      <c r="F202" s="161"/>
      <c r="I202" s="847"/>
    </row>
    <row r="203">
      <c r="A203" s="265"/>
      <c r="B203" s="950" t="str">
        <f t="shared" si="14"/>
        <v/>
      </c>
      <c r="F203" s="161"/>
      <c r="I203" s="847"/>
    </row>
    <row r="204">
      <c r="A204" s="265"/>
      <c r="B204" s="950" t="str">
        <f t="shared" si="14"/>
        <v/>
      </c>
      <c r="F204" s="161"/>
      <c r="I204" s="847"/>
    </row>
    <row r="205">
      <c r="A205" s="265"/>
      <c r="B205" s="950" t="str">
        <f t="shared" si="14"/>
        <v/>
      </c>
      <c r="F205" s="161"/>
      <c r="I205" s="847"/>
    </row>
    <row r="206">
      <c r="A206" s="265"/>
      <c r="B206" s="950" t="str">
        <f t="shared" si="14"/>
        <v/>
      </c>
      <c r="F206" s="852"/>
      <c r="I206" s="847"/>
    </row>
    <row r="207">
      <c r="A207" s="265"/>
      <c r="B207" s="950" t="str">
        <f t="shared" si="14"/>
        <v/>
      </c>
      <c r="F207" s="161"/>
      <c r="I207" s="847"/>
    </row>
    <row r="208">
      <c r="A208" s="265"/>
      <c r="B208" s="950" t="str">
        <f t="shared" si="14"/>
        <v/>
      </c>
      <c r="F208" s="161"/>
      <c r="I208" s="847"/>
    </row>
    <row r="209">
      <c r="A209" s="265"/>
      <c r="B209" s="950" t="str">
        <f t="shared" si="14"/>
        <v/>
      </c>
      <c r="F209" s="852"/>
      <c r="I209" s="847"/>
    </row>
    <row r="210">
      <c r="A210" s="265"/>
      <c r="B210" s="950" t="str">
        <f t="shared" si="14"/>
        <v/>
      </c>
      <c r="F210" s="161"/>
      <c r="I210" s="847"/>
    </row>
    <row r="211">
      <c r="A211" s="265"/>
      <c r="B211" s="950" t="str">
        <f t="shared" si="14"/>
        <v/>
      </c>
      <c r="F211" s="161"/>
      <c r="I211" s="847"/>
    </row>
    <row r="212">
      <c r="A212" s="265"/>
      <c r="B212" s="950" t="str">
        <f t="shared" si="14"/>
        <v/>
      </c>
      <c r="F212" s="161"/>
      <c r="I212" s="847"/>
    </row>
    <row r="213">
      <c r="A213" s="265"/>
      <c r="B213" s="950" t="str">
        <f t="shared" si="14"/>
        <v/>
      </c>
      <c r="F213" s="161"/>
      <c r="I213" s="847"/>
    </row>
    <row r="214">
      <c r="A214" s="270"/>
      <c r="B214" s="194">
        <f>SUM(B200:B213)</f>
        <v>0</v>
      </c>
      <c r="C214" s="18"/>
      <c r="D214" s="18"/>
      <c r="E214" s="18"/>
      <c r="F214" s="952"/>
      <c r="G214" s="18"/>
      <c r="H214" s="18"/>
      <c r="I214" s="663"/>
    </row>
    <row r="215">
      <c r="A215" s="305">
        <v>43815.0</v>
      </c>
      <c r="B215" s="948">
        <f t="shared" ref="B215:B228" si="15">F215</f>
        <v>1850</v>
      </c>
      <c r="C215" s="242"/>
      <c r="D215" s="242"/>
      <c r="E215" s="242"/>
      <c r="F215" s="949">
        <v>1850.0</v>
      </c>
      <c r="G215" s="242"/>
      <c r="H215" s="244" t="s">
        <v>3731</v>
      </c>
      <c r="I215" s="662"/>
    </row>
    <row r="216">
      <c r="A216" s="265"/>
      <c r="B216" s="950">
        <f t="shared" si="15"/>
        <v>1068.62</v>
      </c>
      <c r="F216" s="161">
        <v>1068.62</v>
      </c>
      <c r="H216" s="2" t="s">
        <v>58</v>
      </c>
      <c r="I216" s="847"/>
    </row>
    <row r="217">
      <c r="A217" s="265"/>
      <c r="B217" s="950">
        <f t="shared" si="15"/>
        <v>990</v>
      </c>
      <c r="F217" s="161">
        <v>990.0</v>
      </c>
      <c r="H217" s="2" t="s">
        <v>4231</v>
      </c>
      <c r="I217" s="847"/>
    </row>
    <row r="218">
      <c r="A218" s="265"/>
      <c r="B218" s="950">
        <f t="shared" si="15"/>
        <v>240</v>
      </c>
      <c r="F218" s="161">
        <v>240.0</v>
      </c>
      <c r="H218" s="2" t="s">
        <v>345</v>
      </c>
      <c r="I218" s="847"/>
    </row>
    <row r="219">
      <c r="A219" s="265"/>
      <c r="B219" s="950">
        <f t="shared" si="15"/>
        <v>1000</v>
      </c>
      <c r="F219" s="161">
        <v>1000.0</v>
      </c>
      <c r="H219" s="2" t="s">
        <v>4310</v>
      </c>
      <c r="I219" s="951"/>
    </row>
    <row r="220">
      <c r="A220" s="265"/>
      <c r="B220" s="950">
        <f t="shared" si="15"/>
        <v>0</v>
      </c>
      <c r="D220" s="2">
        <v>11954.0</v>
      </c>
      <c r="F220" s="161">
        <v>0.0</v>
      </c>
      <c r="H220" s="2" t="s">
        <v>4229</v>
      </c>
      <c r="I220" s="847"/>
    </row>
    <row r="221">
      <c r="A221" s="265"/>
      <c r="B221" s="950">
        <f t="shared" si="15"/>
        <v>1250.6</v>
      </c>
      <c r="F221" s="161">
        <v>1250.6</v>
      </c>
      <c r="H221" s="2" t="s">
        <v>4230</v>
      </c>
      <c r="I221" s="847"/>
    </row>
    <row r="222">
      <c r="A222" s="265"/>
      <c r="B222" s="950" t="str">
        <f t="shared" si="15"/>
        <v/>
      </c>
      <c r="F222" s="161"/>
      <c r="I222" s="847"/>
    </row>
    <row r="223">
      <c r="A223" s="265"/>
      <c r="B223" s="950" t="str">
        <f t="shared" si="15"/>
        <v/>
      </c>
      <c r="F223" s="161"/>
      <c r="I223" s="847"/>
    </row>
    <row r="224">
      <c r="A224" s="265"/>
      <c r="B224" s="950" t="str">
        <f t="shared" si="15"/>
        <v/>
      </c>
      <c r="F224" s="852"/>
      <c r="I224" s="847"/>
    </row>
    <row r="225">
      <c r="A225" s="265"/>
      <c r="B225" s="950" t="str">
        <f t="shared" si="15"/>
        <v/>
      </c>
      <c r="F225" s="161"/>
      <c r="I225" s="847"/>
    </row>
    <row r="226">
      <c r="A226" s="265"/>
      <c r="B226" s="950" t="str">
        <f t="shared" si="15"/>
        <v/>
      </c>
      <c r="F226" s="161"/>
      <c r="I226" s="847"/>
    </row>
    <row r="227">
      <c r="A227" s="265"/>
      <c r="B227" s="950" t="str">
        <f t="shared" si="15"/>
        <v/>
      </c>
      <c r="F227" s="161"/>
      <c r="I227" s="847"/>
    </row>
    <row r="228">
      <c r="A228" s="265"/>
      <c r="B228" s="950" t="str">
        <f t="shared" si="15"/>
        <v/>
      </c>
      <c r="F228" s="161"/>
      <c r="I228" s="847"/>
    </row>
    <row r="229">
      <c r="A229" s="270"/>
      <c r="B229" s="194">
        <f>SUM(B215:B228)</f>
        <v>6399.22</v>
      </c>
      <c r="C229" s="18"/>
      <c r="D229" s="18"/>
      <c r="E229" s="18"/>
      <c r="F229" s="952"/>
      <c r="G229" s="18"/>
      <c r="H229" s="18"/>
      <c r="I229" s="663"/>
    </row>
    <row r="230">
      <c r="A230" s="305">
        <v>43816.0</v>
      </c>
      <c r="B230" s="948">
        <f t="shared" ref="B230:B244" si="16">F230</f>
        <v>500</v>
      </c>
      <c r="C230" s="242"/>
      <c r="D230" s="242"/>
      <c r="E230" s="242"/>
      <c r="F230" s="949">
        <v>500.0</v>
      </c>
      <c r="G230" s="242"/>
      <c r="H230" s="244" t="s">
        <v>1732</v>
      </c>
      <c r="I230" s="662"/>
    </row>
    <row r="231">
      <c r="A231" s="265"/>
      <c r="B231" s="950" t="str">
        <f t="shared" si="16"/>
        <v/>
      </c>
      <c r="C231" s="2">
        <v>10051.68</v>
      </c>
      <c r="F231" s="161"/>
      <c r="H231" s="2" t="s">
        <v>2637</v>
      </c>
      <c r="I231" s="847"/>
    </row>
    <row r="232">
      <c r="A232" s="265"/>
      <c r="B232" s="950">
        <f t="shared" si="16"/>
        <v>21.19</v>
      </c>
      <c r="F232" s="161">
        <v>21.19</v>
      </c>
      <c r="H232" s="2" t="s">
        <v>314</v>
      </c>
      <c r="I232" s="847"/>
    </row>
    <row r="233">
      <c r="A233" s="265"/>
      <c r="B233" s="950">
        <f t="shared" si="16"/>
        <v>210</v>
      </c>
      <c r="F233" s="161">
        <v>210.0</v>
      </c>
      <c r="H233" s="2" t="s">
        <v>345</v>
      </c>
      <c r="I233" s="847"/>
    </row>
    <row r="234">
      <c r="A234" s="265"/>
      <c r="B234" s="950">
        <f t="shared" si="16"/>
        <v>2000</v>
      </c>
      <c r="F234" s="161">
        <v>2000.0</v>
      </c>
      <c r="H234" s="2" t="s">
        <v>3731</v>
      </c>
      <c r="I234" s="847"/>
    </row>
    <row r="235">
      <c r="A235" s="265"/>
      <c r="B235" s="950">
        <f t="shared" si="16"/>
        <v>6648.06</v>
      </c>
      <c r="F235" s="161">
        <v>6648.06</v>
      </c>
      <c r="H235" s="2" t="s">
        <v>4439</v>
      </c>
      <c r="I235" s="847"/>
    </row>
    <row r="236">
      <c r="A236" s="265"/>
      <c r="B236" s="950">
        <f t="shared" si="16"/>
        <v>4478.21</v>
      </c>
      <c r="F236" s="161">
        <v>4478.21</v>
      </c>
      <c r="H236" s="2" t="s">
        <v>615</v>
      </c>
      <c r="I236" s="847"/>
    </row>
    <row r="237">
      <c r="A237" s="265"/>
      <c r="B237" s="950">
        <f t="shared" si="16"/>
        <v>2951</v>
      </c>
      <c r="F237" s="161">
        <v>2951.0</v>
      </c>
      <c r="H237" s="2" t="s">
        <v>4230</v>
      </c>
      <c r="I237" s="847"/>
    </row>
    <row r="238">
      <c r="A238" s="265"/>
      <c r="B238" s="950" t="str">
        <f t="shared" si="16"/>
        <v/>
      </c>
      <c r="D238" s="2">
        <v>3737.0</v>
      </c>
      <c r="F238" s="161"/>
      <c r="H238" s="2" t="s">
        <v>2285</v>
      </c>
      <c r="I238" s="847"/>
    </row>
    <row r="239">
      <c r="A239" s="265"/>
      <c r="B239" s="950">
        <f t="shared" si="16"/>
        <v>180</v>
      </c>
      <c r="F239" s="161">
        <v>180.0</v>
      </c>
      <c r="H239" s="2" t="s">
        <v>85</v>
      </c>
      <c r="I239" s="847"/>
    </row>
    <row r="240">
      <c r="A240" s="265"/>
      <c r="B240" s="950">
        <f t="shared" si="16"/>
        <v>145</v>
      </c>
      <c r="F240" s="161">
        <v>145.0</v>
      </c>
      <c r="H240" s="2" t="s">
        <v>314</v>
      </c>
      <c r="I240" s="847"/>
    </row>
    <row r="241">
      <c r="A241" s="265"/>
      <c r="B241" s="950">
        <f t="shared" si="16"/>
        <v>2720</v>
      </c>
      <c r="F241" s="161">
        <v>2720.0</v>
      </c>
      <c r="H241" s="2" t="s">
        <v>4299</v>
      </c>
      <c r="I241" s="847"/>
    </row>
    <row r="242">
      <c r="A242" s="265"/>
      <c r="B242" s="950">
        <f t="shared" si="16"/>
        <v>355</v>
      </c>
      <c r="F242" s="161">
        <v>355.0</v>
      </c>
      <c r="H242" s="2" t="s">
        <v>4440</v>
      </c>
      <c r="I242" s="847"/>
    </row>
    <row r="243">
      <c r="A243" s="265"/>
      <c r="B243" s="950">
        <f t="shared" si="16"/>
        <v>6500</v>
      </c>
      <c r="F243" s="161">
        <v>6500.0</v>
      </c>
      <c r="H243" s="2" t="s">
        <v>4441</v>
      </c>
      <c r="I243" s="847"/>
    </row>
    <row r="244">
      <c r="A244" s="265"/>
      <c r="B244" s="950">
        <f t="shared" si="16"/>
        <v>500</v>
      </c>
      <c r="F244" s="161">
        <v>500.0</v>
      </c>
      <c r="H244" s="2" t="s">
        <v>3815</v>
      </c>
      <c r="I244" s="951"/>
    </row>
    <row r="245">
      <c r="A245" s="270"/>
      <c r="B245" s="194">
        <f>SUM(B230:B244)</f>
        <v>27208.46</v>
      </c>
      <c r="C245" s="18"/>
      <c r="D245" s="18"/>
      <c r="E245" s="18"/>
      <c r="F245" s="952"/>
      <c r="G245" s="18"/>
      <c r="H245" s="18"/>
      <c r="I245" s="663"/>
    </row>
    <row r="246">
      <c r="A246" s="305">
        <v>43817.0</v>
      </c>
      <c r="B246" s="948">
        <f t="shared" ref="B246:B259" si="17">F246</f>
        <v>2000</v>
      </c>
      <c r="C246" s="242"/>
      <c r="D246" s="242"/>
      <c r="E246" s="242"/>
      <c r="F246" s="949">
        <v>2000.0</v>
      </c>
      <c r="G246" s="242"/>
      <c r="H246" s="244" t="s">
        <v>421</v>
      </c>
      <c r="I246" s="662"/>
    </row>
    <row r="247">
      <c r="A247" s="265"/>
      <c r="B247" s="950">
        <f t="shared" si="17"/>
        <v>1547.1</v>
      </c>
      <c r="F247" s="161">
        <v>1547.1</v>
      </c>
      <c r="H247" s="2" t="s">
        <v>82</v>
      </c>
      <c r="I247" s="847"/>
    </row>
    <row r="248">
      <c r="A248" s="265"/>
      <c r="B248" s="950">
        <f t="shared" si="17"/>
        <v>163</v>
      </c>
      <c r="F248" s="161">
        <v>163.0</v>
      </c>
      <c r="H248" s="2" t="s">
        <v>4442</v>
      </c>
      <c r="I248" s="847"/>
    </row>
    <row r="249">
      <c r="A249" s="265"/>
      <c r="B249" s="950">
        <f t="shared" si="17"/>
        <v>700</v>
      </c>
      <c r="F249" s="161">
        <v>700.0</v>
      </c>
      <c r="H249" s="2" t="s">
        <v>3437</v>
      </c>
      <c r="I249" s="847"/>
    </row>
    <row r="250">
      <c r="A250" s="265"/>
      <c r="B250" s="950">
        <f t="shared" si="17"/>
        <v>208</v>
      </c>
      <c r="F250" s="161">
        <v>208.0</v>
      </c>
      <c r="H250" s="2" t="s">
        <v>4157</v>
      </c>
      <c r="I250" s="847"/>
    </row>
    <row r="251">
      <c r="A251" s="265"/>
      <c r="B251" s="950" t="str">
        <f t="shared" si="17"/>
        <v/>
      </c>
      <c r="D251" s="2">
        <v>5300.0</v>
      </c>
      <c r="F251" s="161"/>
      <c r="H251" s="2" t="s">
        <v>4443</v>
      </c>
      <c r="I251" s="847"/>
    </row>
    <row r="252">
      <c r="A252" s="265"/>
      <c r="B252" s="950" t="str">
        <f t="shared" si="17"/>
        <v/>
      </c>
      <c r="D252" s="2">
        <v>7500.0</v>
      </c>
      <c r="F252" s="852"/>
      <c r="H252" s="2" t="s">
        <v>4444</v>
      </c>
      <c r="I252" s="847"/>
    </row>
    <row r="253">
      <c r="A253" s="265"/>
      <c r="B253" s="950" t="str">
        <f t="shared" si="17"/>
        <v/>
      </c>
      <c r="D253" s="2">
        <v>6300.0</v>
      </c>
      <c r="F253" s="161"/>
      <c r="H253" s="2" t="s">
        <v>582</v>
      </c>
      <c r="I253" s="847"/>
    </row>
    <row r="254">
      <c r="A254" s="265"/>
      <c r="B254" s="950" t="str">
        <f t="shared" si="17"/>
        <v/>
      </c>
      <c r="D254" s="2">
        <v>6783.55</v>
      </c>
      <c r="F254" s="161"/>
      <c r="H254" s="2" t="s">
        <v>3257</v>
      </c>
      <c r="I254" s="847"/>
    </row>
    <row r="255">
      <c r="A255" s="265"/>
      <c r="B255" s="950" t="str">
        <f t="shared" si="17"/>
        <v/>
      </c>
      <c r="D255" s="2">
        <v>10291.72</v>
      </c>
      <c r="F255" s="852"/>
      <c r="H255" s="2" t="s">
        <v>4445</v>
      </c>
      <c r="I255" s="847"/>
    </row>
    <row r="256">
      <c r="A256" s="265"/>
      <c r="B256" s="950" t="str">
        <f t="shared" si="17"/>
        <v/>
      </c>
      <c r="C256" s="2">
        <v>9200.0</v>
      </c>
      <c r="F256" s="161"/>
      <c r="H256" s="2" t="s">
        <v>4446</v>
      </c>
      <c r="I256" s="847"/>
    </row>
    <row r="257">
      <c r="A257" s="265"/>
      <c r="B257" s="950">
        <f t="shared" si="17"/>
        <v>500</v>
      </c>
      <c r="F257" s="161">
        <v>500.0</v>
      </c>
      <c r="H257" s="2" t="s">
        <v>4447</v>
      </c>
      <c r="I257" s="847"/>
    </row>
    <row r="258">
      <c r="A258" s="265"/>
      <c r="B258" s="950">
        <f t="shared" si="17"/>
        <v>1350</v>
      </c>
      <c r="F258" s="161">
        <v>1350.0</v>
      </c>
      <c r="H258" s="2" t="s">
        <v>2923</v>
      </c>
      <c r="I258" s="847"/>
    </row>
    <row r="259">
      <c r="A259" s="265"/>
      <c r="B259" s="950" t="str">
        <f t="shared" si="17"/>
        <v/>
      </c>
      <c r="F259" s="161"/>
      <c r="I259" s="847"/>
    </row>
    <row r="260">
      <c r="A260" s="270"/>
      <c r="B260" s="194">
        <f>SUM(B246:B259)</f>
        <v>6468.1</v>
      </c>
      <c r="C260" s="18"/>
      <c r="D260" s="18"/>
      <c r="E260" s="18"/>
      <c r="F260" s="952"/>
      <c r="G260" s="18"/>
      <c r="H260" s="18"/>
      <c r="I260" s="663"/>
    </row>
    <row r="261">
      <c r="A261" s="305">
        <v>43818.0</v>
      </c>
      <c r="B261" s="948">
        <f t="shared" ref="B261:B274" si="18">F261</f>
        <v>2000</v>
      </c>
      <c r="C261" s="242"/>
      <c r="D261" s="242"/>
      <c r="E261" s="242"/>
      <c r="F261" s="949">
        <v>2000.0</v>
      </c>
      <c r="G261" s="242"/>
      <c r="H261" s="244" t="s">
        <v>421</v>
      </c>
      <c r="I261" s="662"/>
    </row>
    <row r="262">
      <c r="A262" s="265"/>
      <c r="B262" s="950">
        <f t="shared" si="18"/>
        <v>90</v>
      </c>
      <c r="F262" s="161">
        <v>90.0</v>
      </c>
      <c r="H262" s="2" t="s">
        <v>708</v>
      </c>
      <c r="I262" s="847"/>
    </row>
    <row r="263">
      <c r="A263" s="265"/>
      <c r="B263" s="950">
        <f t="shared" si="18"/>
        <v>325</v>
      </c>
      <c r="F263" s="161">
        <v>325.0</v>
      </c>
      <c r="H263" s="2" t="s">
        <v>228</v>
      </c>
      <c r="I263" s="847"/>
    </row>
    <row r="264">
      <c r="A264" s="265"/>
      <c r="B264" s="950" t="str">
        <f t="shared" si="18"/>
        <v/>
      </c>
      <c r="C264" s="2">
        <v>13286.36</v>
      </c>
      <c r="F264" s="161"/>
      <c r="H264" s="2" t="s">
        <v>84</v>
      </c>
      <c r="I264" s="847"/>
    </row>
    <row r="265">
      <c r="A265" s="265"/>
      <c r="B265" s="950">
        <f t="shared" si="18"/>
        <v>219</v>
      </c>
      <c r="F265" s="161">
        <v>219.0</v>
      </c>
      <c r="H265" s="2" t="s">
        <v>227</v>
      </c>
      <c r="I265" s="847"/>
    </row>
    <row r="266">
      <c r="A266" s="265"/>
      <c r="B266" s="950">
        <f t="shared" si="18"/>
        <v>370</v>
      </c>
      <c r="F266" s="161">
        <v>370.0</v>
      </c>
      <c r="H266" s="2" t="s">
        <v>94</v>
      </c>
      <c r="I266" s="847"/>
    </row>
    <row r="267">
      <c r="A267" s="265"/>
      <c r="B267" s="950">
        <f t="shared" si="18"/>
        <v>3547</v>
      </c>
      <c r="F267" s="161">
        <v>3547.0</v>
      </c>
      <c r="H267" s="2" t="s">
        <v>4230</v>
      </c>
      <c r="I267" s="847"/>
    </row>
    <row r="268">
      <c r="A268" s="265"/>
      <c r="B268" s="950">
        <f t="shared" si="18"/>
        <v>340</v>
      </c>
      <c r="F268" s="161">
        <v>340.0</v>
      </c>
      <c r="H268" s="2" t="s">
        <v>1732</v>
      </c>
      <c r="I268" s="847"/>
    </row>
    <row r="269">
      <c r="A269" s="265"/>
      <c r="B269" s="950">
        <f t="shared" si="18"/>
        <v>398</v>
      </c>
      <c r="F269" s="161">
        <v>398.0</v>
      </c>
      <c r="H269" s="2" t="s">
        <v>4448</v>
      </c>
      <c r="I269" s="847"/>
    </row>
    <row r="270">
      <c r="A270" s="265"/>
      <c r="B270" s="950" t="str">
        <f t="shared" si="18"/>
        <v/>
      </c>
      <c r="D270" s="2">
        <v>14520.0</v>
      </c>
      <c r="F270" s="852"/>
      <c r="H270" s="2" t="s">
        <v>3496</v>
      </c>
      <c r="I270" s="847"/>
    </row>
    <row r="271">
      <c r="A271" s="265"/>
      <c r="B271" s="950">
        <f t="shared" si="18"/>
        <v>3000</v>
      </c>
      <c r="F271" s="161">
        <v>3000.0</v>
      </c>
      <c r="H271" s="2" t="s">
        <v>3851</v>
      </c>
      <c r="I271" s="847"/>
    </row>
    <row r="272">
      <c r="A272" s="265"/>
      <c r="B272" s="950">
        <f t="shared" si="18"/>
        <v>600</v>
      </c>
      <c r="F272" s="161">
        <v>600.0</v>
      </c>
      <c r="H272" s="416" t="s">
        <v>4449</v>
      </c>
      <c r="I272" s="951"/>
    </row>
    <row r="273">
      <c r="A273" s="265"/>
      <c r="B273" s="950" t="str">
        <f t="shared" si="18"/>
        <v/>
      </c>
      <c r="F273" s="161"/>
      <c r="I273" s="847"/>
    </row>
    <row r="274">
      <c r="A274" s="265"/>
      <c r="B274" s="950" t="str">
        <f t="shared" si="18"/>
        <v/>
      </c>
      <c r="F274" s="161"/>
      <c r="I274" s="847"/>
    </row>
    <row r="275">
      <c r="A275" s="270"/>
      <c r="B275" s="194">
        <f>SUM(B261:B274)</f>
        <v>10889</v>
      </c>
      <c r="C275" s="18"/>
      <c r="D275" s="18"/>
      <c r="E275" s="18"/>
      <c r="F275" s="952"/>
      <c r="G275" s="18"/>
      <c r="H275" s="18"/>
      <c r="I275" s="663"/>
    </row>
    <row r="276">
      <c r="A276" s="305">
        <v>43819.0</v>
      </c>
      <c r="B276" s="948">
        <f t="shared" ref="B276:B289" si="19">F276</f>
        <v>2785.44</v>
      </c>
      <c r="C276" s="242"/>
      <c r="D276" s="242"/>
      <c r="E276" s="242"/>
      <c r="F276" s="949">
        <v>2785.44</v>
      </c>
      <c r="G276" s="242"/>
      <c r="H276" s="244" t="s">
        <v>82</v>
      </c>
      <c r="I276" s="662"/>
    </row>
    <row r="277">
      <c r="A277" s="265"/>
      <c r="B277" s="950">
        <f t="shared" si="19"/>
        <v>2000</v>
      </c>
      <c r="F277" s="161">
        <v>2000.0</v>
      </c>
      <c r="H277" s="2" t="s">
        <v>421</v>
      </c>
      <c r="I277" s="847"/>
    </row>
    <row r="278">
      <c r="A278" s="265"/>
      <c r="B278" s="950">
        <f t="shared" si="19"/>
        <v>0</v>
      </c>
      <c r="F278" s="161">
        <v>0.0</v>
      </c>
      <c r="H278" s="2" t="s">
        <v>114</v>
      </c>
      <c r="I278" s="847"/>
    </row>
    <row r="279">
      <c r="A279" s="265"/>
      <c r="B279" s="950">
        <f t="shared" si="19"/>
        <v>3150</v>
      </c>
      <c r="F279" s="161">
        <v>3150.0</v>
      </c>
      <c r="H279" s="2" t="s">
        <v>3784</v>
      </c>
      <c r="I279" s="847"/>
    </row>
    <row r="280">
      <c r="A280" s="265"/>
      <c r="B280" s="950">
        <f t="shared" si="19"/>
        <v>1737</v>
      </c>
      <c r="F280" s="161">
        <v>1737.0</v>
      </c>
      <c r="H280" s="2" t="s">
        <v>4255</v>
      </c>
      <c r="I280" s="847"/>
    </row>
    <row r="281">
      <c r="A281" s="265"/>
      <c r="B281" s="950">
        <f t="shared" si="19"/>
        <v>2280</v>
      </c>
      <c r="F281" s="161">
        <v>2280.0</v>
      </c>
      <c r="H281" s="2" t="s">
        <v>275</v>
      </c>
      <c r="I281" s="847"/>
    </row>
    <row r="282">
      <c r="A282" s="265"/>
      <c r="B282" s="950">
        <f t="shared" si="19"/>
        <v>1800</v>
      </c>
      <c r="F282" s="161">
        <v>1800.0</v>
      </c>
      <c r="H282" s="2" t="s">
        <v>4450</v>
      </c>
      <c r="I282" s="847"/>
    </row>
    <row r="283">
      <c r="A283" s="265"/>
      <c r="B283" s="950">
        <f t="shared" si="19"/>
        <v>6000</v>
      </c>
      <c r="F283" s="161">
        <v>6000.0</v>
      </c>
      <c r="H283" s="2" t="s">
        <v>4405</v>
      </c>
      <c r="I283" s="951"/>
    </row>
    <row r="284">
      <c r="A284" s="265"/>
      <c r="B284" s="950">
        <f t="shared" si="19"/>
        <v>9600</v>
      </c>
      <c r="F284" s="161">
        <v>9600.0</v>
      </c>
      <c r="H284" s="2" t="s">
        <v>4379</v>
      </c>
      <c r="I284" s="951"/>
    </row>
    <row r="285">
      <c r="A285" s="265"/>
      <c r="B285" s="950">
        <f t="shared" si="19"/>
        <v>4000</v>
      </c>
      <c r="F285" s="161">
        <v>4000.0</v>
      </c>
      <c r="H285" s="2" t="s">
        <v>4032</v>
      </c>
      <c r="I285" s="951"/>
    </row>
    <row r="286">
      <c r="A286" s="265"/>
      <c r="B286" s="950">
        <f t="shared" si="19"/>
        <v>120</v>
      </c>
      <c r="F286" s="161">
        <v>120.0</v>
      </c>
      <c r="H286" s="2" t="s">
        <v>85</v>
      </c>
      <c r="I286" s="847"/>
    </row>
    <row r="287">
      <c r="A287" s="265"/>
      <c r="B287" s="950">
        <f t="shared" si="19"/>
        <v>1770</v>
      </c>
      <c r="F287" s="161">
        <v>1770.0</v>
      </c>
      <c r="H287" s="2" t="s">
        <v>4451</v>
      </c>
      <c r="I287" s="847"/>
    </row>
    <row r="288">
      <c r="A288" s="265"/>
      <c r="B288" s="950" t="str">
        <f t="shared" si="19"/>
        <v/>
      </c>
      <c r="F288" s="161"/>
      <c r="I288" s="847"/>
    </row>
    <row r="289">
      <c r="A289" s="265"/>
      <c r="B289" s="950" t="str">
        <f t="shared" si="19"/>
        <v/>
      </c>
      <c r="F289" s="161"/>
      <c r="I289" s="847"/>
    </row>
    <row r="290">
      <c r="A290" s="270"/>
      <c r="B290" s="967">
        <f>SUM(B276:B289)</f>
        <v>35242.44</v>
      </c>
      <c r="F290" s="852"/>
      <c r="I290" s="847"/>
    </row>
    <row r="291">
      <c r="A291" s="1012">
        <v>43820.0</v>
      </c>
      <c r="B291" s="1013">
        <f t="shared" ref="B291:B305" si="20">F291</f>
        <v>773.54</v>
      </c>
      <c r="C291" s="242"/>
      <c r="D291" s="242"/>
      <c r="E291" s="242"/>
      <c r="F291" s="949">
        <v>773.54</v>
      </c>
      <c r="G291" s="242"/>
      <c r="H291" s="244" t="s">
        <v>3821</v>
      </c>
      <c r="I291" s="662"/>
    </row>
    <row r="292">
      <c r="A292" s="611"/>
      <c r="B292" s="1014">
        <f t="shared" si="20"/>
        <v>4955</v>
      </c>
      <c r="F292" s="161">
        <v>4955.0</v>
      </c>
      <c r="H292" s="2" t="s">
        <v>4138</v>
      </c>
      <c r="I292" s="847"/>
    </row>
    <row r="293">
      <c r="A293" s="611"/>
      <c r="B293" s="1014">
        <f t="shared" si="20"/>
        <v>183</v>
      </c>
      <c r="F293" s="161">
        <v>183.0</v>
      </c>
      <c r="H293" s="2" t="s">
        <v>4204</v>
      </c>
      <c r="I293" s="847"/>
    </row>
    <row r="294">
      <c r="A294" s="611"/>
      <c r="B294" s="1014">
        <f t="shared" si="20"/>
        <v>7000</v>
      </c>
      <c r="F294" s="161">
        <v>7000.0</v>
      </c>
      <c r="H294" s="2" t="s">
        <v>4452</v>
      </c>
      <c r="I294" s="847"/>
    </row>
    <row r="295">
      <c r="A295" s="611"/>
      <c r="B295" s="1014">
        <f t="shared" si="20"/>
        <v>10000</v>
      </c>
      <c r="F295" s="161">
        <v>10000.0</v>
      </c>
      <c r="H295" s="2" t="s">
        <v>4453</v>
      </c>
      <c r="I295" s="847"/>
    </row>
    <row r="296">
      <c r="A296" s="611"/>
      <c r="B296" s="1014">
        <f t="shared" si="20"/>
        <v>7600</v>
      </c>
      <c r="F296" s="161">
        <v>7600.0</v>
      </c>
      <c r="H296" s="416" t="s">
        <v>4454</v>
      </c>
      <c r="I296" s="847"/>
    </row>
    <row r="297">
      <c r="A297" s="611"/>
      <c r="B297" s="1014">
        <f t="shared" si="20"/>
        <v>6000</v>
      </c>
      <c r="F297" s="161">
        <v>6000.0</v>
      </c>
      <c r="H297" s="2" t="s">
        <v>4455</v>
      </c>
      <c r="I297" s="847"/>
    </row>
    <row r="298">
      <c r="A298" s="611"/>
      <c r="B298" s="1014">
        <f t="shared" si="20"/>
        <v>3800</v>
      </c>
      <c r="F298" s="161">
        <v>3800.0</v>
      </c>
      <c r="H298" s="2" t="s">
        <v>4153</v>
      </c>
      <c r="I298" s="847"/>
    </row>
    <row r="299">
      <c r="A299" s="611"/>
      <c r="B299" s="1014">
        <f t="shared" si="20"/>
        <v>500</v>
      </c>
      <c r="F299" s="161">
        <v>500.0</v>
      </c>
      <c r="H299" s="2" t="s">
        <v>4030</v>
      </c>
      <c r="I299" s="847"/>
    </row>
    <row r="300">
      <c r="A300" s="611"/>
      <c r="B300" s="1014" t="str">
        <f t="shared" si="20"/>
        <v/>
      </c>
      <c r="F300" s="161"/>
      <c r="I300" s="847"/>
    </row>
    <row r="301">
      <c r="A301" s="611"/>
      <c r="B301" s="1014" t="str">
        <f t="shared" si="20"/>
        <v/>
      </c>
      <c r="F301" s="161"/>
      <c r="I301" s="847"/>
    </row>
    <row r="302">
      <c r="A302" s="611"/>
      <c r="B302" s="1014" t="str">
        <f t="shared" si="20"/>
        <v/>
      </c>
      <c r="F302" s="161"/>
      <c r="I302" s="847"/>
    </row>
    <row r="303">
      <c r="A303" s="611"/>
      <c r="B303" s="1014" t="str">
        <f t="shared" si="20"/>
        <v/>
      </c>
      <c r="F303" s="161"/>
      <c r="I303" s="847"/>
    </row>
    <row r="304">
      <c r="A304" s="611"/>
      <c r="B304" s="1014" t="str">
        <f t="shared" si="20"/>
        <v/>
      </c>
      <c r="F304" s="161"/>
      <c r="I304" s="847"/>
    </row>
    <row r="305">
      <c r="A305" s="611"/>
      <c r="B305" s="1014" t="str">
        <f t="shared" si="20"/>
        <v/>
      </c>
      <c r="F305" s="161"/>
      <c r="I305" s="847"/>
    </row>
    <row r="306">
      <c r="A306" s="613"/>
      <c r="B306" s="1015">
        <f>SUM(B291:B305)</f>
        <v>40811.54</v>
      </c>
      <c r="F306" s="161"/>
      <c r="I306" s="663"/>
    </row>
    <row r="307">
      <c r="A307" s="1012">
        <v>43821.0</v>
      </c>
      <c r="B307" s="1013" t="str">
        <f>F307</f>
        <v/>
      </c>
      <c r="C307" s="242"/>
      <c r="D307" s="242"/>
      <c r="E307" s="242"/>
      <c r="F307" s="949"/>
      <c r="G307" s="242"/>
      <c r="H307" s="244"/>
      <c r="I307" s="662"/>
    </row>
    <row r="308">
      <c r="A308" s="613"/>
      <c r="B308" s="1015">
        <f>SUM(B307)</f>
        <v>0</v>
      </c>
      <c r="C308" s="18"/>
      <c r="D308" s="293"/>
      <c r="E308" s="18"/>
      <c r="F308" s="952"/>
      <c r="G308" s="18"/>
      <c r="H308" s="293"/>
      <c r="I308" s="663"/>
    </row>
    <row r="309">
      <c r="A309" s="1012">
        <v>43822.0</v>
      </c>
      <c r="B309" s="1014">
        <f t="shared" ref="B309:B323" si="21">F309</f>
        <v>1000</v>
      </c>
      <c r="F309" s="161">
        <v>1000.0</v>
      </c>
      <c r="H309" s="2" t="s">
        <v>3731</v>
      </c>
      <c r="I309" s="662"/>
    </row>
    <row r="310">
      <c r="A310" s="611"/>
      <c r="B310" s="1014">
        <f t="shared" si="21"/>
        <v>1454</v>
      </c>
      <c r="F310" s="161">
        <v>1454.0</v>
      </c>
      <c r="H310" s="2" t="s">
        <v>4234</v>
      </c>
      <c r="I310" s="847"/>
    </row>
    <row r="311">
      <c r="A311" s="611"/>
      <c r="B311" s="1014">
        <f t="shared" si="21"/>
        <v>233</v>
      </c>
      <c r="F311" s="161">
        <v>233.0</v>
      </c>
      <c r="H311" s="2" t="s">
        <v>345</v>
      </c>
      <c r="I311" s="847"/>
    </row>
    <row r="312">
      <c r="A312" s="611"/>
      <c r="B312" s="1014">
        <f t="shared" si="21"/>
        <v>2666</v>
      </c>
      <c r="F312" s="161">
        <v>2666.0</v>
      </c>
      <c r="H312" s="2" t="s">
        <v>4230</v>
      </c>
      <c r="I312" s="847"/>
    </row>
    <row r="313">
      <c r="A313" s="611"/>
      <c r="B313" s="1014">
        <f t="shared" si="21"/>
        <v>990</v>
      </c>
      <c r="F313" s="161">
        <v>990.0</v>
      </c>
      <c r="H313" s="2" t="s">
        <v>4231</v>
      </c>
      <c r="I313" s="847"/>
    </row>
    <row r="314">
      <c r="A314" s="611"/>
      <c r="B314" s="1014">
        <f t="shared" si="21"/>
        <v>642</v>
      </c>
      <c r="F314" s="161">
        <v>642.0</v>
      </c>
      <c r="H314" s="2" t="s">
        <v>314</v>
      </c>
      <c r="I314" s="847"/>
    </row>
    <row r="315">
      <c r="A315" s="611"/>
      <c r="B315" s="1014" t="str">
        <f t="shared" si="21"/>
        <v/>
      </c>
      <c r="D315" s="2">
        <v>11689.6</v>
      </c>
      <c r="F315" s="852"/>
      <c r="H315" s="2" t="s">
        <v>4239</v>
      </c>
      <c r="I315" s="847"/>
    </row>
    <row r="316">
      <c r="A316" s="611"/>
      <c r="B316" s="1014">
        <f t="shared" si="21"/>
        <v>150</v>
      </c>
      <c r="F316" s="161">
        <v>150.0</v>
      </c>
      <c r="H316" s="2" t="s">
        <v>4456</v>
      </c>
      <c r="I316" s="847"/>
    </row>
    <row r="317">
      <c r="A317" s="611"/>
      <c r="B317" s="1014" t="str">
        <f t="shared" si="21"/>
        <v/>
      </c>
      <c r="F317" s="161"/>
      <c r="I317" s="847"/>
    </row>
    <row r="318">
      <c r="A318" s="611"/>
      <c r="B318" s="1014" t="str">
        <f t="shared" si="21"/>
        <v/>
      </c>
      <c r="F318" s="161"/>
      <c r="I318" s="847"/>
    </row>
    <row r="319">
      <c r="A319" s="611"/>
      <c r="B319" s="1014" t="str">
        <f t="shared" si="21"/>
        <v/>
      </c>
      <c r="F319" s="161"/>
      <c r="I319" s="847"/>
    </row>
    <row r="320">
      <c r="A320" s="611"/>
      <c r="B320" s="1014" t="str">
        <f t="shared" si="21"/>
        <v/>
      </c>
      <c r="F320" s="161"/>
      <c r="I320" s="847"/>
    </row>
    <row r="321">
      <c r="A321" s="611"/>
      <c r="B321" s="1014" t="str">
        <f t="shared" si="21"/>
        <v/>
      </c>
      <c r="F321" s="161"/>
      <c r="I321" s="847"/>
    </row>
    <row r="322">
      <c r="A322" s="611"/>
      <c r="B322" s="1014" t="str">
        <f t="shared" si="21"/>
        <v/>
      </c>
      <c r="F322" s="161"/>
      <c r="I322" s="847"/>
    </row>
    <row r="323">
      <c r="A323" s="611"/>
      <c r="B323" s="1014" t="str">
        <f t="shared" si="21"/>
        <v/>
      </c>
      <c r="F323" s="161"/>
      <c r="I323" s="847"/>
    </row>
    <row r="324">
      <c r="A324" s="613"/>
      <c r="B324" s="1015">
        <f>SUM(B309:B323)</f>
        <v>7135</v>
      </c>
      <c r="C324" s="18"/>
      <c r="D324" s="293"/>
      <c r="E324" s="18"/>
      <c r="F324" s="952"/>
      <c r="G324" s="18"/>
      <c r="H324" s="293"/>
      <c r="I324" s="663"/>
    </row>
    <row r="325">
      <c r="A325" s="1012">
        <v>43823.0</v>
      </c>
      <c r="B325" s="1013" t="str">
        <f t="shared" ref="B325:B339" si="22">F325</f>
        <v/>
      </c>
      <c r="C325" s="244">
        <v>11632.99</v>
      </c>
      <c r="D325" s="242"/>
      <c r="E325" s="242"/>
      <c r="F325" s="949"/>
      <c r="G325" s="242"/>
      <c r="H325" s="244" t="s">
        <v>2637</v>
      </c>
      <c r="I325" s="662"/>
    </row>
    <row r="326">
      <c r="A326" s="611"/>
      <c r="B326" s="1014">
        <f t="shared" si="22"/>
        <v>2000</v>
      </c>
      <c r="F326" s="161">
        <v>2000.0</v>
      </c>
      <c r="H326" s="2" t="s">
        <v>3904</v>
      </c>
      <c r="I326" s="847"/>
    </row>
    <row r="327">
      <c r="A327" s="611"/>
      <c r="B327" s="1014">
        <f t="shared" si="22"/>
        <v>138.2</v>
      </c>
      <c r="F327" s="161">
        <v>138.2</v>
      </c>
      <c r="H327" s="2" t="s">
        <v>612</v>
      </c>
      <c r="I327" s="847"/>
    </row>
    <row r="328">
      <c r="A328" s="611"/>
      <c r="B328" s="1014">
        <f t="shared" si="22"/>
        <v>2035.32</v>
      </c>
      <c r="F328" s="161">
        <f>1884.43+150.89</f>
        <v>2035.32</v>
      </c>
      <c r="H328" s="2" t="s">
        <v>314</v>
      </c>
      <c r="I328" s="847"/>
    </row>
    <row r="329">
      <c r="A329" s="611"/>
      <c r="B329" s="1014">
        <f t="shared" si="22"/>
        <v>397.4</v>
      </c>
      <c r="F329" s="161">
        <v>397.4</v>
      </c>
      <c r="H329" s="2" t="s">
        <v>4457</v>
      </c>
      <c r="I329" s="847"/>
    </row>
    <row r="330">
      <c r="A330" s="611"/>
      <c r="B330" s="1014">
        <f t="shared" si="22"/>
        <v>4000</v>
      </c>
      <c r="F330" s="161">
        <v>4000.0</v>
      </c>
      <c r="H330" s="2" t="s">
        <v>3980</v>
      </c>
      <c r="I330" s="847"/>
    </row>
    <row r="331">
      <c r="A331" s="611"/>
      <c r="B331" s="1014">
        <f t="shared" si="22"/>
        <v>1000</v>
      </c>
      <c r="F331" s="161">
        <v>1000.0</v>
      </c>
      <c r="H331" s="2" t="s">
        <v>4038</v>
      </c>
      <c r="I331" s="951"/>
    </row>
    <row r="332">
      <c r="A332" s="611"/>
      <c r="B332" s="1014" t="str">
        <f t="shared" si="22"/>
        <v/>
      </c>
      <c r="F332" s="161"/>
      <c r="I332" s="847"/>
    </row>
    <row r="333">
      <c r="A333" s="611"/>
      <c r="B333" s="1014" t="str">
        <f t="shared" si="22"/>
        <v/>
      </c>
      <c r="F333" s="161"/>
      <c r="I333" s="847"/>
    </row>
    <row r="334">
      <c r="A334" s="611"/>
      <c r="B334" s="1014" t="str">
        <f t="shared" si="22"/>
        <v/>
      </c>
      <c r="F334" s="161"/>
      <c r="I334" s="847"/>
    </row>
    <row r="335">
      <c r="A335" s="611"/>
      <c r="B335" s="1014" t="str">
        <f t="shared" si="22"/>
        <v/>
      </c>
      <c r="F335" s="161"/>
      <c r="I335" s="847"/>
    </row>
    <row r="336">
      <c r="A336" s="611"/>
      <c r="B336" s="1014" t="str">
        <f t="shared" si="22"/>
        <v/>
      </c>
      <c r="F336" s="161"/>
      <c r="I336" s="847"/>
    </row>
    <row r="337">
      <c r="A337" s="611"/>
      <c r="B337" s="1014" t="str">
        <f t="shared" si="22"/>
        <v/>
      </c>
      <c r="F337" s="161"/>
      <c r="I337" s="847"/>
    </row>
    <row r="338">
      <c r="A338" s="611"/>
      <c r="B338" s="1014" t="str">
        <f t="shared" si="22"/>
        <v/>
      </c>
      <c r="F338" s="161"/>
      <c r="I338" s="847"/>
    </row>
    <row r="339">
      <c r="A339" s="611"/>
      <c r="B339" s="1014" t="str">
        <f t="shared" si="22"/>
        <v/>
      </c>
      <c r="F339" s="161"/>
      <c r="I339" s="847"/>
    </row>
    <row r="340">
      <c r="A340" s="613"/>
      <c r="B340" s="1015">
        <f>SUM(B325:B339)</f>
        <v>9570.92</v>
      </c>
      <c r="C340" s="18"/>
      <c r="D340" s="293"/>
      <c r="E340" s="18"/>
      <c r="F340" s="952"/>
      <c r="G340" s="18"/>
      <c r="H340" s="293"/>
      <c r="I340" s="663"/>
    </row>
    <row r="341">
      <c r="A341" s="1012">
        <v>43824.0</v>
      </c>
      <c r="B341" s="1013" t="str">
        <f t="shared" ref="B341:B355" si="23">F341</f>
        <v/>
      </c>
      <c r="C341" s="242"/>
      <c r="D341" s="242"/>
      <c r="E341" s="242"/>
      <c r="F341" s="949"/>
      <c r="G341" s="242"/>
      <c r="H341" s="244"/>
      <c r="I341" s="662"/>
    </row>
    <row r="342">
      <c r="A342" s="611"/>
      <c r="B342" s="1014" t="str">
        <f t="shared" si="23"/>
        <v/>
      </c>
      <c r="F342" s="161"/>
      <c r="I342" s="847"/>
    </row>
    <row r="343">
      <c r="A343" s="611"/>
      <c r="B343" s="1014" t="str">
        <f t="shared" si="23"/>
        <v/>
      </c>
      <c r="F343" s="161"/>
      <c r="I343" s="847"/>
    </row>
    <row r="344">
      <c r="A344" s="611"/>
      <c r="B344" s="1014" t="str">
        <f t="shared" si="23"/>
        <v/>
      </c>
      <c r="F344" s="161"/>
      <c r="I344" s="847"/>
    </row>
    <row r="345">
      <c r="A345" s="611"/>
      <c r="B345" s="1014" t="str">
        <f t="shared" si="23"/>
        <v/>
      </c>
      <c r="F345" s="161"/>
      <c r="I345" s="847"/>
    </row>
    <row r="346">
      <c r="A346" s="611"/>
      <c r="B346" s="1014" t="str">
        <f t="shared" si="23"/>
        <v/>
      </c>
      <c r="F346" s="161"/>
      <c r="I346" s="847"/>
    </row>
    <row r="347">
      <c r="A347" s="611"/>
      <c r="B347" s="1014" t="str">
        <f t="shared" si="23"/>
        <v/>
      </c>
      <c r="F347" s="161"/>
      <c r="I347" s="847"/>
    </row>
    <row r="348">
      <c r="A348" s="611"/>
      <c r="B348" s="1014" t="str">
        <f t="shared" si="23"/>
        <v/>
      </c>
      <c r="F348" s="161"/>
      <c r="I348" s="847"/>
    </row>
    <row r="349">
      <c r="A349" s="611"/>
      <c r="B349" s="1014" t="str">
        <f t="shared" si="23"/>
        <v/>
      </c>
      <c r="F349" s="161"/>
      <c r="I349" s="847"/>
    </row>
    <row r="350">
      <c r="A350" s="611"/>
      <c r="B350" s="1014" t="str">
        <f t="shared" si="23"/>
        <v/>
      </c>
      <c r="F350" s="161"/>
      <c r="I350" s="847"/>
    </row>
    <row r="351">
      <c r="A351" s="611"/>
      <c r="B351" s="1014" t="str">
        <f t="shared" si="23"/>
        <v/>
      </c>
      <c r="F351" s="161"/>
      <c r="I351" s="847"/>
    </row>
    <row r="352">
      <c r="A352" s="611"/>
      <c r="B352" s="1014" t="str">
        <f t="shared" si="23"/>
        <v/>
      </c>
      <c r="F352" s="161"/>
      <c r="I352" s="847"/>
    </row>
    <row r="353">
      <c r="A353" s="611"/>
      <c r="B353" s="1014" t="str">
        <f t="shared" si="23"/>
        <v/>
      </c>
      <c r="F353" s="161"/>
      <c r="I353" s="847"/>
    </row>
    <row r="354">
      <c r="A354" s="611"/>
      <c r="B354" s="1014" t="str">
        <f t="shared" si="23"/>
        <v/>
      </c>
      <c r="F354" s="161"/>
      <c r="I354" s="847"/>
    </row>
    <row r="355">
      <c r="A355" s="611"/>
      <c r="B355" s="1014" t="str">
        <f t="shared" si="23"/>
        <v/>
      </c>
      <c r="F355" s="161"/>
      <c r="I355" s="847"/>
    </row>
    <row r="356">
      <c r="A356" s="613"/>
      <c r="B356" s="1015">
        <f>SUM(B341:B355)</f>
        <v>0</v>
      </c>
      <c r="C356" s="18"/>
      <c r="D356" s="293"/>
      <c r="E356" s="18"/>
      <c r="F356" s="952"/>
      <c r="G356" s="18"/>
      <c r="H356" s="293"/>
      <c r="I356" s="663"/>
    </row>
    <row r="357">
      <c r="A357" s="1012">
        <v>43825.0</v>
      </c>
      <c r="B357" s="1013">
        <f t="shared" ref="B357:B371" si="24">F357</f>
        <v>700</v>
      </c>
      <c r="C357" s="242"/>
      <c r="D357" s="242"/>
      <c r="E357" s="242"/>
      <c r="F357" s="949">
        <v>700.0</v>
      </c>
      <c r="G357" s="242"/>
      <c r="H357" s="244" t="s">
        <v>4429</v>
      </c>
      <c r="I357" s="662"/>
    </row>
    <row r="358">
      <c r="A358" s="611"/>
      <c r="B358" s="1014" t="str">
        <f t="shared" si="24"/>
        <v/>
      </c>
      <c r="D358" s="2">
        <v>9500.0</v>
      </c>
      <c r="F358" s="161"/>
      <c r="H358" s="2" t="s">
        <v>4458</v>
      </c>
      <c r="I358" s="847"/>
    </row>
    <row r="359">
      <c r="A359" s="611"/>
      <c r="B359" s="1014" t="str">
        <f t="shared" si="24"/>
        <v/>
      </c>
      <c r="D359" s="2">
        <v>6300.0</v>
      </c>
      <c r="F359" s="161"/>
      <c r="H359" s="2" t="s">
        <v>4096</v>
      </c>
      <c r="I359" s="847"/>
    </row>
    <row r="360">
      <c r="A360" s="611"/>
      <c r="B360" s="1014">
        <f t="shared" si="24"/>
        <v>2000</v>
      </c>
      <c r="F360" s="161">
        <v>2000.0</v>
      </c>
      <c r="H360" s="2" t="s">
        <v>3731</v>
      </c>
      <c r="I360" s="847"/>
    </row>
    <row r="361">
      <c r="A361" s="611"/>
      <c r="B361" s="1014">
        <f t="shared" si="24"/>
        <v>773.54</v>
      </c>
      <c r="F361" s="161">
        <v>773.54</v>
      </c>
      <c r="H361" s="2" t="s">
        <v>58</v>
      </c>
      <c r="I361" s="847"/>
    </row>
    <row r="362">
      <c r="A362" s="611"/>
      <c r="B362" s="1014">
        <f t="shared" si="24"/>
        <v>2079</v>
      </c>
      <c r="F362" s="161">
        <v>2079.0</v>
      </c>
      <c r="H362" s="2" t="s">
        <v>4234</v>
      </c>
      <c r="I362" s="847"/>
    </row>
    <row r="363">
      <c r="A363" s="611"/>
      <c r="B363" s="1014">
        <f t="shared" si="24"/>
        <v>1600</v>
      </c>
      <c r="F363" s="161">
        <v>1600.0</v>
      </c>
      <c r="H363" s="2" t="s">
        <v>612</v>
      </c>
      <c r="I363" s="847"/>
    </row>
    <row r="364">
      <c r="A364" s="611"/>
      <c r="B364" s="1014">
        <f t="shared" si="24"/>
        <v>820</v>
      </c>
      <c r="F364" s="161">
        <v>820.0</v>
      </c>
      <c r="H364" s="2" t="s">
        <v>4459</v>
      </c>
      <c r="I364" s="847"/>
    </row>
    <row r="365">
      <c r="A365" s="611"/>
      <c r="B365" s="1014" t="str">
        <f t="shared" si="24"/>
        <v/>
      </c>
      <c r="F365" s="161"/>
      <c r="I365" s="847"/>
    </row>
    <row r="366">
      <c r="A366" s="611"/>
      <c r="B366" s="1014" t="str">
        <f t="shared" si="24"/>
        <v/>
      </c>
      <c r="F366" s="161"/>
      <c r="I366" s="847"/>
    </row>
    <row r="367">
      <c r="A367" s="611"/>
      <c r="B367" s="1014" t="str">
        <f t="shared" si="24"/>
        <v/>
      </c>
      <c r="F367" s="161"/>
      <c r="I367" s="847"/>
    </row>
    <row r="368">
      <c r="A368" s="611"/>
      <c r="B368" s="1014" t="str">
        <f t="shared" si="24"/>
        <v/>
      </c>
      <c r="F368" s="161"/>
      <c r="I368" s="847"/>
    </row>
    <row r="369">
      <c r="A369" s="611"/>
      <c r="B369" s="1014" t="str">
        <f t="shared" si="24"/>
        <v/>
      </c>
      <c r="F369" s="161"/>
      <c r="I369" s="847"/>
    </row>
    <row r="370">
      <c r="A370" s="611"/>
      <c r="B370" s="1014" t="str">
        <f t="shared" si="24"/>
        <v/>
      </c>
      <c r="F370" s="161"/>
      <c r="I370" s="847"/>
    </row>
    <row r="371">
      <c r="A371" s="611"/>
      <c r="B371" s="1014" t="str">
        <f t="shared" si="24"/>
        <v/>
      </c>
      <c r="F371" s="161"/>
      <c r="I371" s="847"/>
    </row>
    <row r="372">
      <c r="A372" s="613"/>
      <c r="B372" s="1015">
        <f>SUM(B357:B371)</f>
        <v>7972.54</v>
      </c>
      <c r="C372" s="18"/>
      <c r="D372" s="293"/>
      <c r="E372" s="18"/>
      <c r="F372" s="952"/>
      <c r="G372" s="18"/>
      <c r="H372" s="293"/>
      <c r="I372" s="663"/>
    </row>
    <row r="373">
      <c r="A373" s="1012">
        <v>43826.0</v>
      </c>
      <c r="B373" s="1013">
        <f t="shared" ref="B373:B388" si="25">F373</f>
        <v>1547.1</v>
      </c>
      <c r="C373" s="242"/>
      <c r="D373" s="242"/>
      <c r="E373" s="242"/>
      <c r="F373" s="949">
        <v>1547.1</v>
      </c>
      <c r="G373" s="242"/>
      <c r="H373" s="244" t="s">
        <v>3821</v>
      </c>
      <c r="I373" s="662"/>
    </row>
    <row r="374">
      <c r="A374" s="611"/>
      <c r="B374" s="1014">
        <f t="shared" si="25"/>
        <v>43</v>
      </c>
      <c r="F374" s="161">
        <v>43.0</v>
      </c>
      <c r="H374" s="2" t="s">
        <v>4460</v>
      </c>
      <c r="I374" s="847"/>
    </row>
    <row r="375">
      <c r="A375" s="611"/>
      <c r="B375" s="1014">
        <f t="shared" si="25"/>
        <v>1780</v>
      </c>
      <c r="F375" s="161">
        <v>1780.0</v>
      </c>
      <c r="H375" s="2" t="s">
        <v>4284</v>
      </c>
      <c r="I375" s="847"/>
    </row>
    <row r="376">
      <c r="A376" s="611"/>
      <c r="B376" s="1014">
        <f t="shared" si="25"/>
        <v>360</v>
      </c>
      <c r="F376" s="161">
        <v>360.0</v>
      </c>
      <c r="H376" s="2" t="s">
        <v>4461</v>
      </c>
      <c r="I376" s="847"/>
    </row>
    <row r="377">
      <c r="A377" s="611"/>
      <c r="B377" s="1014">
        <f t="shared" si="25"/>
        <v>1000</v>
      </c>
      <c r="F377" s="161">
        <v>1000.0</v>
      </c>
      <c r="H377" s="2" t="s">
        <v>3904</v>
      </c>
      <c r="I377" s="847"/>
    </row>
    <row r="378">
      <c r="A378" s="611"/>
      <c r="B378" s="1014">
        <f t="shared" si="25"/>
        <v>1200</v>
      </c>
      <c r="F378" s="161">
        <v>1200.0</v>
      </c>
      <c r="H378" s="2" t="s">
        <v>4299</v>
      </c>
      <c r="I378" s="847"/>
    </row>
    <row r="379">
      <c r="A379" s="611"/>
      <c r="B379" s="1014">
        <f t="shared" si="25"/>
        <v>1140</v>
      </c>
      <c r="F379" s="161">
        <v>1140.0</v>
      </c>
      <c r="H379" s="2" t="s">
        <v>4080</v>
      </c>
      <c r="I379" s="847"/>
    </row>
    <row r="380">
      <c r="A380" s="611"/>
      <c r="B380" s="1014">
        <f t="shared" si="25"/>
        <v>14000</v>
      </c>
      <c r="F380" s="161">
        <v>14000.0</v>
      </c>
      <c r="H380" s="2" t="s">
        <v>4462</v>
      </c>
      <c r="I380" s="1016"/>
    </row>
    <row r="381">
      <c r="A381" s="611"/>
      <c r="B381" s="1014">
        <f t="shared" si="25"/>
        <v>12000</v>
      </c>
      <c r="F381" s="161">
        <v>12000.0</v>
      </c>
      <c r="H381" s="2" t="s">
        <v>4463</v>
      </c>
      <c r="I381" s="1016"/>
    </row>
    <row r="382">
      <c r="A382" s="611"/>
      <c r="B382" s="1014">
        <f t="shared" si="25"/>
        <v>10000</v>
      </c>
      <c r="F382" s="161">
        <v>10000.0</v>
      </c>
      <c r="H382" s="2" t="s">
        <v>4464</v>
      </c>
      <c r="I382" s="1016"/>
    </row>
    <row r="383">
      <c r="A383" s="611"/>
      <c r="B383" s="1014">
        <f t="shared" si="25"/>
        <v>5000</v>
      </c>
      <c r="F383" s="161">
        <v>5000.0</v>
      </c>
      <c r="H383" s="2" t="s">
        <v>4465</v>
      </c>
      <c r="I383" s="1016"/>
    </row>
    <row r="384">
      <c r="A384" s="611"/>
      <c r="B384" s="1014">
        <f t="shared" si="25"/>
        <v>9600</v>
      </c>
      <c r="F384" s="161">
        <v>9600.0</v>
      </c>
      <c r="H384" s="2" t="s">
        <v>4466</v>
      </c>
      <c r="I384" s="1016"/>
    </row>
    <row r="385">
      <c r="A385" s="611"/>
      <c r="B385" s="1014">
        <f t="shared" si="25"/>
        <v>8400</v>
      </c>
      <c r="F385" s="161">
        <v>8400.0</v>
      </c>
      <c r="H385" s="2" t="s">
        <v>4467</v>
      </c>
      <c r="I385" s="1016"/>
    </row>
    <row r="386">
      <c r="A386" s="611"/>
      <c r="B386" s="1014">
        <f t="shared" si="25"/>
        <v>4000</v>
      </c>
      <c r="F386" s="161">
        <v>4000.0</v>
      </c>
      <c r="H386" s="2" t="s">
        <v>4402</v>
      </c>
      <c r="I386" s="1016"/>
    </row>
    <row r="387">
      <c r="A387" s="611"/>
      <c r="B387" s="1014">
        <f t="shared" si="25"/>
        <v>8200</v>
      </c>
      <c r="F387" s="161">
        <v>8200.0</v>
      </c>
      <c r="H387" s="416" t="s">
        <v>4468</v>
      </c>
      <c r="I387" s="1016"/>
    </row>
    <row r="388">
      <c r="A388" s="611"/>
      <c r="B388" s="1014">
        <f t="shared" si="25"/>
        <v>3150</v>
      </c>
      <c r="F388" s="161">
        <v>3150.0</v>
      </c>
      <c r="H388" s="2" t="s">
        <v>4120</v>
      </c>
      <c r="I388" s="1016"/>
    </row>
    <row r="389">
      <c r="A389" s="611"/>
      <c r="B389" s="1017"/>
      <c r="D389" s="2"/>
      <c r="F389" s="852"/>
      <c r="H389" s="2"/>
      <c r="I389" s="847"/>
    </row>
    <row r="390">
      <c r="A390" s="613"/>
      <c r="B390" s="1015">
        <f>SUM(B373:B388)</f>
        <v>81420.1</v>
      </c>
      <c r="C390" s="18"/>
      <c r="D390" s="293"/>
      <c r="E390" s="18"/>
      <c r="F390" s="952"/>
      <c r="G390" s="18"/>
      <c r="H390" s="293"/>
      <c r="I390" s="663"/>
    </row>
    <row r="391">
      <c r="A391" s="1012">
        <v>43827.0</v>
      </c>
      <c r="B391" s="1013">
        <f t="shared" ref="B391:B405" si="26">F391</f>
        <v>145</v>
      </c>
      <c r="C391" s="242"/>
      <c r="D391" s="242"/>
      <c r="E391" s="242"/>
      <c r="F391" s="949">
        <v>145.0</v>
      </c>
      <c r="G391" s="242"/>
      <c r="H391" s="244" t="s">
        <v>708</v>
      </c>
      <c r="I391" s="662"/>
    </row>
    <row r="392">
      <c r="A392" s="611"/>
      <c r="B392" s="1014">
        <f t="shared" si="26"/>
        <v>5483</v>
      </c>
      <c r="F392" s="161">
        <v>5483.0</v>
      </c>
      <c r="H392" s="2" t="s">
        <v>787</v>
      </c>
      <c r="I392" s="847"/>
    </row>
    <row r="393">
      <c r="A393" s="611"/>
      <c r="B393" s="1014">
        <f t="shared" si="26"/>
        <v>3250</v>
      </c>
      <c r="F393" s="161">
        <v>3250.0</v>
      </c>
      <c r="H393" s="2" t="s">
        <v>4469</v>
      </c>
      <c r="I393" s="847"/>
    </row>
    <row r="394">
      <c r="A394" s="611"/>
      <c r="B394" s="1014" t="str">
        <f t="shared" si="26"/>
        <v/>
      </c>
      <c r="F394" s="161"/>
      <c r="I394" s="847"/>
    </row>
    <row r="395">
      <c r="A395" s="611"/>
      <c r="B395" s="1014" t="str">
        <f t="shared" si="26"/>
        <v/>
      </c>
      <c r="F395" s="161"/>
      <c r="I395" s="847"/>
    </row>
    <row r="396">
      <c r="A396" s="611"/>
      <c r="B396" s="1014" t="str">
        <f t="shared" si="26"/>
        <v/>
      </c>
      <c r="F396" s="161"/>
      <c r="I396" s="847"/>
    </row>
    <row r="397">
      <c r="A397" s="611"/>
      <c r="B397" s="1014" t="str">
        <f t="shared" si="26"/>
        <v/>
      </c>
      <c r="F397" s="161"/>
      <c r="I397" s="847"/>
    </row>
    <row r="398">
      <c r="A398" s="611"/>
      <c r="B398" s="1014" t="str">
        <f t="shared" si="26"/>
        <v/>
      </c>
      <c r="F398" s="161"/>
      <c r="I398" s="847"/>
    </row>
    <row r="399">
      <c r="A399" s="611"/>
      <c r="B399" s="1014" t="str">
        <f t="shared" si="26"/>
        <v/>
      </c>
      <c r="F399" s="161"/>
      <c r="I399" s="847"/>
    </row>
    <row r="400">
      <c r="A400" s="611"/>
      <c r="B400" s="1014" t="str">
        <f t="shared" si="26"/>
        <v/>
      </c>
      <c r="F400" s="161"/>
      <c r="I400" s="847"/>
    </row>
    <row r="401">
      <c r="A401" s="611"/>
      <c r="B401" s="1014" t="str">
        <f t="shared" si="26"/>
        <v/>
      </c>
      <c r="F401" s="161"/>
      <c r="I401" s="847"/>
    </row>
    <row r="402">
      <c r="A402" s="611"/>
      <c r="B402" s="1014" t="str">
        <f t="shared" si="26"/>
        <v/>
      </c>
      <c r="F402" s="161"/>
      <c r="I402" s="847"/>
    </row>
    <row r="403">
      <c r="A403" s="611"/>
      <c r="B403" s="1014" t="str">
        <f t="shared" si="26"/>
        <v/>
      </c>
      <c r="F403" s="161"/>
      <c r="I403" s="847"/>
    </row>
    <row r="404">
      <c r="A404" s="611"/>
      <c r="B404" s="1014" t="str">
        <f t="shared" si="26"/>
        <v/>
      </c>
      <c r="F404" s="161"/>
      <c r="I404" s="847"/>
    </row>
    <row r="405">
      <c r="A405" s="611"/>
      <c r="B405" s="1014" t="str">
        <f t="shared" si="26"/>
        <v/>
      </c>
      <c r="F405" s="161"/>
      <c r="I405" s="847"/>
    </row>
    <row r="406">
      <c r="A406" s="613"/>
      <c r="B406" s="1015">
        <f>SUM(B391:B405)</f>
        <v>8878</v>
      </c>
      <c r="C406" s="18"/>
      <c r="D406" s="293"/>
      <c r="E406" s="18"/>
      <c r="F406" s="952"/>
      <c r="G406" s="18"/>
      <c r="H406" s="293"/>
      <c r="I406" s="663"/>
    </row>
    <row r="407">
      <c r="A407" s="1012">
        <v>43828.0</v>
      </c>
      <c r="B407" s="1013" t="str">
        <f t="shared" ref="B407:B421" si="27">F407</f>
        <v/>
      </c>
      <c r="C407" s="242"/>
      <c r="D407" s="242"/>
      <c r="E407" s="242"/>
      <c r="F407" s="949"/>
      <c r="G407" s="242"/>
      <c r="H407" s="244"/>
      <c r="I407" s="662"/>
    </row>
    <row r="408">
      <c r="A408" s="611"/>
      <c r="B408" s="1014" t="str">
        <f t="shared" si="27"/>
        <v/>
      </c>
      <c r="F408" s="161"/>
      <c r="I408" s="847"/>
    </row>
    <row r="409">
      <c r="A409" s="611"/>
      <c r="B409" s="1014" t="str">
        <f t="shared" si="27"/>
        <v/>
      </c>
      <c r="F409" s="161"/>
      <c r="I409" s="847"/>
    </row>
    <row r="410">
      <c r="A410" s="611"/>
      <c r="B410" s="1014" t="str">
        <f t="shared" si="27"/>
        <v/>
      </c>
      <c r="F410" s="161"/>
      <c r="I410" s="847"/>
    </row>
    <row r="411">
      <c r="A411" s="611"/>
      <c r="B411" s="1014" t="str">
        <f t="shared" si="27"/>
        <v/>
      </c>
      <c r="F411" s="161"/>
      <c r="I411" s="847"/>
    </row>
    <row r="412">
      <c r="A412" s="611"/>
      <c r="B412" s="1014" t="str">
        <f t="shared" si="27"/>
        <v/>
      </c>
      <c r="F412" s="161"/>
      <c r="I412" s="847"/>
    </row>
    <row r="413">
      <c r="A413" s="611"/>
      <c r="B413" s="1014" t="str">
        <f t="shared" si="27"/>
        <v/>
      </c>
      <c r="F413" s="161"/>
      <c r="I413" s="847"/>
    </row>
    <row r="414">
      <c r="A414" s="611"/>
      <c r="B414" s="1014" t="str">
        <f t="shared" si="27"/>
        <v/>
      </c>
      <c r="F414" s="161"/>
      <c r="I414" s="847"/>
    </row>
    <row r="415">
      <c r="A415" s="611"/>
      <c r="B415" s="1014" t="str">
        <f t="shared" si="27"/>
        <v/>
      </c>
      <c r="F415" s="161"/>
      <c r="I415" s="847"/>
    </row>
    <row r="416">
      <c r="A416" s="611"/>
      <c r="B416" s="1014" t="str">
        <f t="shared" si="27"/>
        <v/>
      </c>
      <c r="F416" s="161"/>
      <c r="I416" s="847"/>
    </row>
    <row r="417">
      <c r="A417" s="611"/>
      <c r="B417" s="1014" t="str">
        <f t="shared" si="27"/>
        <v/>
      </c>
      <c r="F417" s="161"/>
      <c r="I417" s="847"/>
    </row>
    <row r="418">
      <c r="A418" s="611"/>
      <c r="B418" s="1014" t="str">
        <f t="shared" si="27"/>
        <v/>
      </c>
      <c r="F418" s="161"/>
      <c r="I418" s="847"/>
    </row>
    <row r="419">
      <c r="A419" s="611"/>
      <c r="B419" s="1014" t="str">
        <f t="shared" si="27"/>
        <v/>
      </c>
      <c r="F419" s="161"/>
      <c r="I419" s="847"/>
    </row>
    <row r="420">
      <c r="A420" s="611"/>
      <c r="B420" s="1014" t="str">
        <f t="shared" si="27"/>
        <v/>
      </c>
      <c r="F420" s="161"/>
      <c r="I420" s="847"/>
    </row>
    <row r="421">
      <c r="A421" s="611"/>
      <c r="B421" s="1014" t="str">
        <f t="shared" si="27"/>
        <v/>
      </c>
      <c r="F421" s="161"/>
      <c r="I421" s="847"/>
    </row>
    <row r="422">
      <c r="A422" s="613"/>
      <c r="B422" s="1015">
        <f>SUM(B407:B421)</f>
        <v>0</v>
      </c>
      <c r="C422" s="18"/>
      <c r="D422" s="293"/>
      <c r="E422" s="18"/>
      <c r="F422" s="952"/>
      <c r="G422" s="18"/>
      <c r="H422" s="293"/>
      <c r="I422" s="663"/>
    </row>
    <row r="423">
      <c r="A423" s="1012">
        <v>43829.0</v>
      </c>
      <c r="B423" s="1013">
        <f t="shared" ref="B423:B437" si="28">F423</f>
        <v>930</v>
      </c>
      <c r="C423" s="242"/>
      <c r="D423" s="242"/>
      <c r="E423" s="242"/>
      <c r="F423" s="949">
        <v>930.0</v>
      </c>
      <c r="G423" s="242"/>
      <c r="H423" s="244" t="s">
        <v>4253</v>
      </c>
      <c r="I423" s="662"/>
    </row>
    <row r="424">
      <c r="A424" s="611"/>
      <c r="B424" s="1014">
        <f t="shared" si="28"/>
        <v>1547</v>
      </c>
      <c r="F424" s="161">
        <v>1547.0</v>
      </c>
      <c r="H424" s="2" t="s">
        <v>82</v>
      </c>
      <c r="I424" s="847"/>
    </row>
    <row r="425">
      <c r="A425" s="611"/>
      <c r="B425" s="1014">
        <f t="shared" si="28"/>
        <v>1254</v>
      </c>
      <c r="F425" s="161">
        <v>1254.0</v>
      </c>
      <c r="H425" s="2" t="s">
        <v>4255</v>
      </c>
      <c r="I425" s="847"/>
    </row>
    <row r="426">
      <c r="A426" s="611"/>
      <c r="B426" s="1014">
        <f t="shared" si="28"/>
        <v>2000</v>
      </c>
      <c r="F426" s="161">
        <v>2000.0</v>
      </c>
      <c r="H426" s="2" t="s">
        <v>87</v>
      </c>
      <c r="I426" s="847"/>
    </row>
    <row r="427">
      <c r="A427" s="611"/>
      <c r="B427" s="1014">
        <f t="shared" si="28"/>
        <v>1026</v>
      </c>
      <c r="F427" s="161">
        <v>1026.0</v>
      </c>
      <c r="H427" s="2" t="s">
        <v>4258</v>
      </c>
      <c r="I427" s="847"/>
    </row>
    <row r="428">
      <c r="A428" s="611"/>
      <c r="B428" s="1014" t="str">
        <f t="shared" si="28"/>
        <v/>
      </c>
      <c r="D428" s="2">
        <v>4107.87</v>
      </c>
      <c r="F428" s="161"/>
      <c r="H428" s="2" t="s">
        <v>4239</v>
      </c>
      <c r="I428" s="847"/>
    </row>
    <row r="429">
      <c r="A429" s="611"/>
      <c r="B429" s="1014" t="str">
        <f t="shared" si="28"/>
        <v/>
      </c>
      <c r="F429" s="161"/>
      <c r="I429" s="847"/>
    </row>
    <row r="430">
      <c r="A430" s="611"/>
      <c r="B430" s="1014" t="str">
        <f t="shared" si="28"/>
        <v/>
      </c>
      <c r="F430" s="161"/>
      <c r="I430" s="847"/>
    </row>
    <row r="431">
      <c r="A431" s="611"/>
      <c r="B431" s="1014" t="str">
        <f t="shared" si="28"/>
        <v/>
      </c>
      <c r="F431" s="161"/>
      <c r="I431" s="847"/>
    </row>
    <row r="432">
      <c r="A432" s="611"/>
      <c r="B432" s="1014" t="str">
        <f t="shared" si="28"/>
        <v/>
      </c>
      <c r="F432" s="161"/>
      <c r="I432" s="847"/>
    </row>
    <row r="433">
      <c r="A433" s="611"/>
      <c r="B433" s="1014" t="str">
        <f t="shared" si="28"/>
        <v/>
      </c>
      <c r="F433" s="161"/>
      <c r="I433" s="847"/>
    </row>
    <row r="434">
      <c r="A434" s="611"/>
      <c r="B434" s="1014" t="str">
        <f t="shared" si="28"/>
        <v/>
      </c>
      <c r="F434" s="161"/>
      <c r="I434" s="847"/>
    </row>
    <row r="435">
      <c r="A435" s="611"/>
      <c r="B435" s="1014" t="str">
        <f t="shared" si="28"/>
        <v/>
      </c>
      <c r="F435" s="161"/>
      <c r="I435" s="847"/>
    </row>
    <row r="436">
      <c r="A436" s="611"/>
      <c r="B436" s="1014" t="str">
        <f t="shared" si="28"/>
        <v/>
      </c>
      <c r="F436" s="161"/>
      <c r="I436" s="847"/>
    </row>
    <row r="437">
      <c r="A437" s="611"/>
      <c r="B437" s="1014" t="str">
        <f t="shared" si="28"/>
        <v/>
      </c>
      <c r="F437" s="161"/>
      <c r="I437" s="847"/>
    </row>
    <row r="438">
      <c r="A438" s="613"/>
      <c r="B438" s="1015">
        <f>SUM(B423:B437)</f>
        <v>6757</v>
      </c>
      <c r="C438" s="18"/>
      <c r="D438" s="293"/>
      <c r="E438" s="18"/>
      <c r="F438" s="952"/>
      <c r="G438" s="18"/>
      <c r="H438" s="293"/>
      <c r="I438" s="663"/>
    </row>
    <row r="439">
      <c r="A439" s="1012">
        <v>43830.0</v>
      </c>
      <c r="B439" s="1013" t="str">
        <f t="shared" ref="B439:B453" si="29">F439</f>
        <v/>
      </c>
      <c r="C439" s="242"/>
      <c r="D439" s="244">
        <v>32658.0</v>
      </c>
      <c r="E439" s="242"/>
      <c r="F439" s="949"/>
      <c r="G439" s="242"/>
      <c r="H439" s="244" t="s">
        <v>4470</v>
      </c>
      <c r="I439" s="662"/>
    </row>
    <row r="440">
      <c r="A440" s="611"/>
      <c r="B440" s="1014">
        <f t="shared" si="29"/>
        <v>2000</v>
      </c>
      <c r="F440" s="161">
        <v>2000.0</v>
      </c>
      <c r="H440" s="2" t="s">
        <v>4471</v>
      </c>
      <c r="I440" s="818"/>
    </row>
    <row r="441">
      <c r="A441" s="611"/>
      <c r="B441" s="1014" t="str">
        <f t="shared" si="29"/>
        <v/>
      </c>
      <c r="F441" s="161"/>
      <c r="I441" s="847"/>
    </row>
    <row r="442">
      <c r="A442" s="611"/>
      <c r="B442" s="1014" t="str">
        <f t="shared" si="29"/>
        <v/>
      </c>
      <c r="F442" s="161"/>
      <c r="I442" s="847"/>
    </row>
    <row r="443">
      <c r="A443" s="611"/>
      <c r="B443" s="1014" t="str">
        <f t="shared" si="29"/>
        <v/>
      </c>
      <c r="F443" s="161"/>
      <c r="I443" s="847"/>
    </row>
    <row r="444">
      <c r="A444" s="611"/>
      <c r="B444" s="1014" t="str">
        <f t="shared" si="29"/>
        <v/>
      </c>
      <c r="F444" s="161"/>
      <c r="I444" s="847"/>
    </row>
    <row r="445">
      <c r="A445" s="611"/>
      <c r="B445" s="1014" t="str">
        <f t="shared" si="29"/>
        <v/>
      </c>
      <c r="F445" s="161"/>
      <c r="I445" s="847"/>
    </row>
    <row r="446">
      <c r="A446" s="611"/>
      <c r="B446" s="1014" t="str">
        <f t="shared" si="29"/>
        <v/>
      </c>
      <c r="F446" s="161"/>
      <c r="I446" s="847"/>
    </row>
    <row r="447">
      <c r="A447" s="611"/>
      <c r="B447" s="1014" t="str">
        <f t="shared" si="29"/>
        <v/>
      </c>
      <c r="F447" s="161"/>
      <c r="I447" s="847"/>
    </row>
    <row r="448">
      <c r="A448" s="611"/>
      <c r="B448" s="1014" t="str">
        <f t="shared" si="29"/>
        <v/>
      </c>
      <c r="F448" s="161"/>
      <c r="I448" s="847"/>
    </row>
    <row r="449">
      <c r="A449" s="611"/>
      <c r="B449" s="1014" t="str">
        <f t="shared" si="29"/>
        <v/>
      </c>
      <c r="F449" s="161"/>
      <c r="I449" s="847"/>
    </row>
    <row r="450">
      <c r="A450" s="611"/>
      <c r="B450" s="1014" t="str">
        <f t="shared" si="29"/>
        <v/>
      </c>
      <c r="F450" s="161"/>
      <c r="I450" s="847"/>
    </row>
    <row r="451">
      <c r="A451" s="611"/>
      <c r="B451" s="1014" t="str">
        <f t="shared" si="29"/>
        <v/>
      </c>
      <c r="F451" s="161"/>
      <c r="I451" s="847"/>
    </row>
    <row r="452">
      <c r="A452" s="611"/>
      <c r="B452" s="1014" t="str">
        <f t="shared" si="29"/>
        <v/>
      </c>
      <c r="F452" s="161"/>
      <c r="I452" s="847"/>
    </row>
    <row r="453">
      <c r="A453" s="611"/>
      <c r="B453" s="1014" t="str">
        <f t="shared" si="29"/>
        <v/>
      </c>
      <c r="F453" s="161"/>
      <c r="I453" s="847"/>
    </row>
    <row r="454">
      <c r="A454" s="613"/>
      <c r="B454" s="1015">
        <f>SUM(B439:B453)</f>
        <v>2000</v>
      </c>
      <c r="C454" s="18"/>
      <c r="D454" s="293"/>
      <c r="E454" s="18"/>
      <c r="F454" s="952"/>
      <c r="G454" s="18"/>
      <c r="H454" s="293"/>
      <c r="I454" s="663"/>
    </row>
    <row r="455">
      <c r="A455" s="5"/>
      <c r="B455" s="950"/>
      <c r="F455" s="852"/>
    </row>
    <row r="456">
      <c r="A456" s="5"/>
      <c r="B456" s="950"/>
      <c r="F456" s="852"/>
    </row>
    <row r="457">
      <c r="A457" s="5"/>
      <c r="B457" s="950"/>
      <c r="F457" s="852"/>
    </row>
    <row r="458">
      <c r="A458" s="5"/>
      <c r="B458" s="950"/>
      <c r="F458" s="852"/>
    </row>
    <row r="459">
      <c r="A459" s="5"/>
      <c r="B459" s="950"/>
      <c r="F459" s="852"/>
    </row>
    <row r="460">
      <c r="A460" s="5"/>
      <c r="B460" s="950"/>
      <c r="F460" s="852"/>
    </row>
    <row r="461">
      <c r="A461" s="5"/>
      <c r="B461" s="950"/>
      <c r="F461" s="852"/>
    </row>
    <row r="462">
      <c r="A462" s="5"/>
      <c r="B462" s="950"/>
      <c r="F462" s="852"/>
    </row>
    <row r="463">
      <c r="A463" s="5"/>
      <c r="B463" s="950"/>
      <c r="F463" s="852"/>
    </row>
    <row r="464">
      <c r="A464" s="5"/>
      <c r="B464" s="950"/>
      <c r="F464" s="852"/>
    </row>
    <row r="465">
      <c r="A465" s="5"/>
      <c r="B465" s="950"/>
      <c r="F465" s="852"/>
    </row>
    <row r="466">
      <c r="A466" s="5"/>
      <c r="B466" s="950"/>
      <c r="F466" s="852"/>
    </row>
    <row r="467">
      <c r="A467" s="5"/>
      <c r="B467" s="950"/>
      <c r="F467" s="852"/>
    </row>
    <row r="468">
      <c r="A468" s="5"/>
      <c r="B468" s="950"/>
      <c r="F468" s="852"/>
    </row>
    <row r="469">
      <c r="A469" s="5"/>
      <c r="B469" s="950"/>
      <c r="F469" s="852"/>
    </row>
    <row r="470">
      <c r="A470" s="5"/>
      <c r="B470" s="950"/>
      <c r="F470" s="852"/>
    </row>
    <row r="471">
      <c r="A471" s="5"/>
      <c r="B471" s="950"/>
      <c r="F471" s="852"/>
    </row>
    <row r="472">
      <c r="A472" s="5"/>
      <c r="B472" s="950"/>
      <c r="F472" s="852"/>
    </row>
    <row r="473">
      <c r="A473" s="5"/>
      <c r="B473" s="950"/>
      <c r="F473" s="852"/>
    </row>
    <row r="474">
      <c r="A474" s="5"/>
      <c r="B474" s="950"/>
      <c r="F474" s="852"/>
    </row>
    <row r="475">
      <c r="A475" s="5"/>
      <c r="B475" s="950"/>
      <c r="F475" s="852"/>
    </row>
    <row r="476">
      <c r="A476" s="5"/>
      <c r="B476" s="950"/>
      <c r="F476" s="852"/>
    </row>
    <row r="477">
      <c r="A477" s="5"/>
      <c r="B477" s="950"/>
      <c r="F477" s="852"/>
    </row>
    <row r="478">
      <c r="A478" s="5"/>
      <c r="B478" s="950"/>
      <c r="F478" s="852"/>
    </row>
    <row r="479">
      <c r="A479" s="5"/>
      <c r="B479" s="950"/>
      <c r="F479" s="852"/>
    </row>
    <row r="480">
      <c r="A480" s="5"/>
      <c r="B480" s="950"/>
      <c r="F480" s="852"/>
    </row>
    <row r="481">
      <c r="A481" s="5"/>
      <c r="B481" s="950"/>
      <c r="F481" s="852"/>
    </row>
    <row r="482">
      <c r="A482" s="5"/>
      <c r="B482" s="950"/>
      <c r="F482" s="852"/>
    </row>
    <row r="483">
      <c r="A483" s="5"/>
      <c r="B483" s="950"/>
      <c r="F483" s="852"/>
    </row>
    <row r="484">
      <c r="A484" s="5"/>
      <c r="B484" s="950"/>
      <c r="F484" s="852"/>
    </row>
    <row r="485">
      <c r="A485" s="5"/>
      <c r="B485" s="950"/>
      <c r="F485" s="852"/>
    </row>
    <row r="486">
      <c r="A486" s="5"/>
      <c r="B486" s="950"/>
      <c r="F486" s="852"/>
    </row>
    <row r="487">
      <c r="A487" s="5"/>
      <c r="B487" s="950"/>
      <c r="F487" s="852"/>
    </row>
    <row r="488">
      <c r="A488" s="5"/>
      <c r="B488" s="950"/>
      <c r="F488" s="852"/>
    </row>
    <row r="489">
      <c r="A489" s="5"/>
      <c r="B489" s="950"/>
      <c r="F489" s="852"/>
    </row>
    <row r="490">
      <c r="A490" s="5"/>
      <c r="B490" s="950"/>
      <c r="F490" s="852"/>
    </row>
    <row r="491">
      <c r="A491" s="5"/>
      <c r="B491" s="950"/>
      <c r="F491" s="852"/>
    </row>
    <row r="492">
      <c r="A492" s="5"/>
      <c r="B492" s="950"/>
      <c r="F492" s="852"/>
    </row>
    <row r="493">
      <c r="A493" s="5"/>
      <c r="B493" s="950"/>
      <c r="F493" s="852"/>
    </row>
    <row r="494">
      <c r="A494" s="5"/>
      <c r="B494" s="950"/>
      <c r="F494" s="852"/>
    </row>
    <row r="495">
      <c r="A495" s="5"/>
      <c r="B495" s="950"/>
      <c r="F495" s="852"/>
    </row>
    <row r="496">
      <c r="A496" s="5"/>
      <c r="B496" s="950"/>
      <c r="F496" s="852"/>
    </row>
    <row r="497">
      <c r="A497" s="5"/>
      <c r="B497" s="950"/>
      <c r="F497" s="852"/>
    </row>
    <row r="498">
      <c r="A498" s="5"/>
      <c r="B498" s="950"/>
      <c r="F498" s="852"/>
    </row>
    <row r="499">
      <c r="A499" s="5"/>
      <c r="B499" s="950"/>
      <c r="F499" s="852"/>
    </row>
    <row r="500">
      <c r="A500" s="5"/>
      <c r="B500" s="950"/>
      <c r="F500" s="852"/>
    </row>
    <row r="501">
      <c r="A501" s="5"/>
      <c r="B501" s="950"/>
      <c r="F501" s="852"/>
    </row>
    <row r="502">
      <c r="A502" s="5"/>
      <c r="B502" s="950"/>
      <c r="F502" s="852"/>
    </row>
    <row r="503">
      <c r="A503" s="5"/>
      <c r="B503" s="950"/>
      <c r="F503" s="852"/>
    </row>
    <row r="504">
      <c r="A504" s="5"/>
      <c r="B504" s="950"/>
      <c r="F504" s="852"/>
    </row>
    <row r="505">
      <c r="A505" s="5"/>
      <c r="B505" s="950"/>
      <c r="F505" s="852"/>
    </row>
    <row r="506">
      <c r="A506" s="5"/>
      <c r="B506" s="950"/>
      <c r="F506" s="852"/>
    </row>
    <row r="507">
      <c r="A507" s="5"/>
      <c r="B507" s="950"/>
      <c r="F507" s="852"/>
    </row>
    <row r="508">
      <c r="A508" s="5"/>
      <c r="B508" s="950"/>
      <c r="F508" s="852"/>
    </row>
    <row r="509">
      <c r="A509" s="5"/>
      <c r="B509" s="950"/>
      <c r="F509" s="852"/>
    </row>
    <row r="510">
      <c r="A510" s="5"/>
      <c r="B510" s="950"/>
      <c r="F510" s="852"/>
    </row>
    <row r="511">
      <c r="A511" s="5"/>
      <c r="B511" s="950"/>
      <c r="F511" s="852"/>
    </row>
    <row r="512">
      <c r="A512" s="5"/>
      <c r="B512" s="950"/>
      <c r="F512" s="852"/>
    </row>
    <row r="513">
      <c r="A513" s="5"/>
      <c r="B513" s="950"/>
      <c r="F513" s="852"/>
    </row>
    <row r="514">
      <c r="A514" s="5"/>
      <c r="B514" s="950"/>
      <c r="F514" s="852"/>
    </row>
    <row r="515">
      <c r="A515" s="5"/>
      <c r="B515" s="950"/>
      <c r="F515" s="852"/>
    </row>
    <row r="516">
      <c r="A516" s="5"/>
      <c r="B516" s="950"/>
      <c r="F516" s="852"/>
    </row>
    <row r="517">
      <c r="A517" s="5"/>
      <c r="B517" s="950"/>
      <c r="F517" s="852"/>
    </row>
    <row r="518">
      <c r="A518" s="5"/>
      <c r="B518" s="950"/>
      <c r="F518" s="852"/>
    </row>
    <row r="519">
      <c r="A519" s="5"/>
      <c r="B519" s="950"/>
      <c r="F519" s="852"/>
    </row>
    <row r="520">
      <c r="A520" s="5"/>
      <c r="B520" s="950"/>
      <c r="F520" s="852"/>
    </row>
    <row r="521">
      <c r="A521" s="5"/>
      <c r="B521" s="950"/>
      <c r="F521" s="852"/>
    </row>
    <row r="522">
      <c r="A522" s="5"/>
      <c r="B522" s="950"/>
      <c r="F522" s="852"/>
    </row>
    <row r="523">
      <c r="A523" s="5"/>
      <c r="B523" s="950"/>
      <c r="F523" s="852"/>
    </row>
    <row r="524">
      <c r="A524" s="5"/>
      <c r="B524" s="950"/>
      <c r="F524" s="852"/>
    </row>
    <row r="525">
      <c r="A525" s="5"/>
      <c r="B525" s="950"/>
      <c r="F525" s="852"/>
    </row>
    <row r="526">
      <c r="A526" s="5"/>
      <c r="B526" s="950"/>
      <c r="F526" s="852"/>
    </row>
    <row r="527">
      <c r="A527" s="5"/>
      <c r="B527" s="950"/>
      <c r="F527" s="852"/>
    </row>
    <row r="528">
      <c r="A528" s="5"/>
      <c r="B528" s="950"/>
      <c r="F528" s="852"/>
    </row>
    <row r="529">
      <c r="A529" s="5"/>
      <c r="B529" s="950"/>
      <c r="F529" s="852"/>
    </row>
    <row r="530">
      <c r="A530" s="5"/>
      <c r="B530" s="950"/>
      <c r="F530" s="852"/>
    </row>
    <row r="531">
      <c r="A531" s="5"/>
      <c r="B531" s="950"/>
      <c r="F531" s="852"/>
    </row>
    <row r="532">
      <c r="A532" s="5"/>
      <c r="B532" s="950"/>
      <c r="F532" s="852"/>
    </row>
    <row r="533">
      <c r="A533" s="5"/>
      <c r="B533" s="950"/>
      <c r="F533" s="852"/>
    </row>
    <row r="534">
      <c r="A534" s="5"/>
      <c r="B534" s="950"/>
      <c r="F534" s="852"/>
    </row>
    <row r="535">
      <c r="A535" s="5"/>
      <c r="B535" s="950"/>
      <c r="F535" s="852"/>
    </row>
    <row r="536">
      <c r="A536" s="5"/>
      <c r="B536" s="950"/>
      <c r="F536" s="852"/>
    </row>
    <row r="537">
      <c r="A537" s="5"/>
      <c r="B537" s="950"/>
      <c r="F537" s="852"/>
    </row>
    <row r="538">
      <c r="A538" s="5"/>
      <c r="B538" s="950"/>
      <c r="F538" s="852"/>
    </row>
    <row r="539">
      <c r="A539" s="5"/>
      <c r="B539" s="950"/>
      <c r="F539" s="852"/>
    </row>
    <row r="540">
      <c r="A540" s="5"/>
      <c r="B540" s="950"/>
      <c r="F540" s="852"/>
    </row>
    <row r="541">
      <c r="A541" s="5"/>
      <c r="B541" s="950"/>
      <c r="F541" s="852"/>
    </row>
    <row r="542">
      <c r="A542" s="5"/>
      <c r="B542" s="950"/>
      <c r="F542" s="852"/>
    </row>
    <row r="543">
      <c r="A543" s="5"/>
      <c r="B543" s="950"/>
      <c r="F543" s="852"/>
    </row>
    <row r="544">
      <c r="A544" s="5"/>
      <c r="B544" s="950"/>
      <c r="F544" s="852"/>
    </row>
    <row r="545">
      <c r="A545" s="5"/>
      <c r="B545" s="950"/>
      <c r="F545" s="852"/>
    </row>
    <row r="546">
      <c r="A546" s="5"/>
      <c r="B546" s="950"/>
      <c r="F546" s="852"/>
    </row>
    <row r="547">
      <c r="A547" s="5"/>
      <c r="B547" s="950"/>
      <c r="F547" s="852"/>
    </row>
    <row r="548">
      <c r="A548" s="5"/>
      <c r="B548" s="950"/>
      <c r="F548" s="852"/>
    </row>
    <row r="549">
      <c r="A549" s="5"/>
      <c r="B549" s="950"/>
      <c r="F549" s="852"/>
    </row>
    <row r="550">
      <c r="A550" s="5"/>
      <c r="B550" s="950"/>
      <c r="F550" s="852"/>
    </row>
    <row r="551">
      <c r="A551" s="5"/>
      <c r="B551" s="950"/>
      <c r="F551" s="852"/>
    </row>
    <row r="552">
      <c r="A552" s="5"/>
      <c r="B552" s="950"/>
      <c r="F552" s="852"/>
    </row>
    <row r="553">
      <c r="A553" s="5"/>
      <c r="B553" s="950"/>
      <c r="F553" s="852"/>
    </row>
    <row r="554">
      <c r="A554" s="5"/>
      <c r="B554" s="950"/>
      <c r="F554" s="852"/>
    </row>
    <row r="555">
      <c r="A555" s="5"/>
      <c r="B555" s="950"/>
      <c r="F555" s="852"/>
    </row>
    <row r="556">
      <c r="A556" s="5"/>
      <c r="B556" s="950"/>
      <c r="F556" s="852"/>
    </row>
    <row r="557">
      <c r="A557" s="5"/>
      <c r="B557" s="950"/>
      <c r="F557" s="852"/>
    </row>
    <row r="558">
      <c r="A558" s="5"/>
      <c r="B558" s="950"/>
      <c r="F558" s="852"/>
    </row>
    <row r="559">
      <c r="A559" s="5"/>
      <c r="B559" s="950"/>
      <c r="F559" s="852"/>
    </row>
    <row r="560">
      <c r="A560" s="5"/>
      <c r="B560" s="950"/>
      <c r="F560" s="852"/>
    </row>
    <row r="561">
      <c r="A561" s="5"/>
      <c r="B561" s="950"/>
      <c r="F561" s="852"/>
    </row>
    <row r="562">
      <c r="A562" s="5"/>
      <c r="B562" s="950"/>
      <c r="F562" s="852"/>
    </row>
    <row r="563">
      <c r="A563" s="5"/>
      <c r="B563" s="950"/>
      <c r="F563" s="852"/>
    </row>
    <row r="564">
      <c r="A564" s="5"/>
      <c r="B564" s="950"/>
      <c r="F564" s="852"/>
    </row>
    <row r="565">
      <c r="A565" s="5"/>
      <c r="B565" s="950"/>
      <c r="F565" s="852"/>
    </row>
    <row r="566">
      <c r="A566" s="5"/>
      <c r="B566" s="950"/>
      <c r="F566" s="852"/>
    </row>
    <row r="567">
      <c r="A567" s="5"/>
      <c r="B567" s="950"/>
      <c r="F567" s="852"/>
    </row>
    <row r="568">
      <c r="A568" s="5"/>
      <c r="B568" s="950"/>
      <c r="F568" s="852"/>
    </row>
    <row r="569">
      <c r="A569" s="5"/>
      <c r="B569" s="950"/>
      <c r="F569" s="852"/>
    </row>
    <row r="570">
      <c r="A570" s="5"/>
      <c r="B570" s="950"/>
      <c r="F570" s="852"/>
    </row>
    <row r="571">
      <c r="A571" s="5"/>
      <c r="B571" s="950"/>
      <c r="F571" s="852"/>
    </row>
    <row r="572">
      <c r="A572" s="5"/>
      <c r="B572" s="950"/>
      <c r="F572" s="852"/>
    </row>
    <row r="573">
      <c r="A573" s="5"/>
      <c r="B573" s="950"/>
      <c r="F573" s="852"/>
    </row>
    <row r="574">
      <c r="A574" s="5"/>
      <c r="B574" s="950"/>
      <c r="F574" s="852"/>
    </row>
    <row r="575">
      <c r="A575" s="5"/>
      <c r="B575" s="950"/>
      <c r="F575" s="852"/>
    </row>
    <row r="576">
      <c r="A576" s="5"/>
      <c r="B576" s="950"/>
      <c r="F576" s="852"/>
    </row>
    <row r="577">
      <c r="A577" s="5"/>
      <c r="B577" s="950"/>
      <c r="F577" s="852"/>
    </row>
    <row r="578">
      <c r="A578" s="5"/>
      <c r="B578" s="950"/>
      <c r="F578" s="852"/>
    </row>
    <row r="579">
      <c r="A579" s="5"/>
      <c r="B579" s="950"/>
      <c r="F579" s="852"/>
    </row>
    <row r="580">
      <c r="A580" s="5"/>
      <c r="B580" s="950"/>
      <c r="F580" s="852"/>
    </row>
    <row r="581">
      <c r="A581" s="5"/>
      <c r="B581" s="950"/>
      <c r="F581" s="852"/>
    </row>
    <row r="582">
      <c r="A582" s="5"/>
      <c r="B582" s="950"/>
      <c r="F582" s="852"/>
    </row>
    <row r="583">
      <c r="A583" s="5"/>
      <c r="B583" s="950"/>
      <c r="F583" s="852"/>
    </row>
    <row r="584">
      <c r="A584" s="5"/>
      <c r="B584" s="950"/>
      <c r="F584" s="852"/>
    </row>
    <row r="585">
      <c r="A585" s="5"/>
      <c r="B585" s="950"/>
      <c r="F585" s="852"/>
    </row>
    <row r="586">
      <c r="A586" s="5"/>
      <c r="B586" s="950"/>
      <c r="F586" s="852"/>
    </row>
    <row r="587">
      <c r="A587" s="5"/>
      <c r="B587" s="950"/>
      <c r="F587" s="852"/>
    </row>
    <row r="588">
      <c r="A588" s="5"/>
      <c r="B588" s="950"/>
      <c r="F588" s="852"/>
    </row>
    <row r="589">
      <c r="A589" s="5"/>
      <c r="B589" s="950"/>
      <c r="F589" s="852"/>
    </row>
    <row r="590">
      <c r="A590" s="5"/>
      <c r="B590" s="950"/>
      <c r="F590" s="852"/>
    </row>
    <row r="591">
      <c r="A591" s="5"/>
      <c r="B591" s="950"/>
      <c r="F591" s="852"/>
    </row>
    <row r="592">
      <c r="A592" s="5"/>
      <c r="B592" s="950"/>
      <c r="F592" s="852"/>
    </row>
    <row r="593">
      <c r="A593" s="5"/>
      <c r="B593" s="950"/>
      <c r="F593" s="852"/>
    </row>
    <row r="594">
      <c r="A594" s="5"/>
      <c r="B594" s="950"/>
      <c r="F594" s="852"/>
    </row>
    <row r="595">
      <c r="A595" s="5"/>
      <c r="B595" s="950"/>
      <c r="F595" s="852"/>
    </row>
    <row r="596">
      <c r="A596" s="5"/>
      <c r="B596" s="950"/>
      <c r="F596" s="852"/>
    </row>
    <row r="597">
      <c r="A597" s="5"/>
      <c r="B597" s="950"/>
      <c r="F597" s="852"/>
    </row>
    <row r="598">
      <c r="A598" s="5"/>
      <c r="B598" s="950"/>
      <c r="F598" s="852"/>
    </row>
    <row r="599">
      <c r="A599" s="5"/>
      <c r="B599" s="950"/>
      <c r="F599" s="852"/>
    </row>
    <row r="600">
      <c r="A600" s="5"/>
      <c r="B600" s="950"/>
      <c r="F600" s="852"/>
    </row>
    <row r="601">
      <c r="A601" s="5"/>
      <c r="B601" s="950"/>
      <c r="F601" s="852"/>
    </row>
    <row r="602">
      <c r="A602" s="5"/>
      <c r="B602" s="950"/>
      <c r="F602" s="852"/>
    </row>
    <row r="603">
      <c r="A603" s="5"/>
      <c r="B603" s="950"/>
      <c r="F603" s="852"/>
    </row>
    <row r="604">
      <c r="A604" s="5"/>
      <c r="B604" s="950"/>
      <c r="F604" s="852"/>
    </row>
    <row r="605">
      <c r="A605" s="5"/>
      <c r="B605" s="950"/>
      <c r="F605" s="852"/>
    </row>
    <row r="606">
      <c r="A606" s="5"/>
      <c r="B606" s="950"/>
      <c r="F606" s="852"/>
    </row>
    <row r="607">
      <c r="A607" s="5"/>
      <c r="B607" s="950"/>
      <c r="F607" s="852"/>
    </row>
    <row r="608">
      <c r="A608" s="5"/>
      <c r="B608" s="950"/>
      <c r="F608" s="852"/>
    </row>
    <row r="609">
      <c r="A609" s="5"/>
      <c r="B609" s="950"/>
      <c r="F609" s="852"/>
    </row>
    <row r="610">
      <c r="A610" s="5"/>
      <c r="B610" s="950"/>
      <c r="F610" s="852"/>
    </row>
    <row r="611">
      <c r="A611" s="5"/>
      <c r="B611" s="950"/>
      <c r="F611" s="852"/>
    </row>
    <row r="612">
      <c r="A612" s="5"/>
      <c r="B612" s="950"/>
      <c r="F612" s="852"/>
    </row>
    <row r="613">
      <c r="A613" s="5"/>
      <c r="B613" s="950"/>
      <c r="F613" s="852"/>
    </row>
    <row r="614">
      <c r="A614" s="5"/>
      <c r="B614" s="950"/>
      <c r="F614" s="852"/>
    </row>
    <row r="615">
      <c r="A615" s="5"/>
      <c r="B615" s="950"/>
      <c r="F615" s="852"/>
    </row>
    <row r="616">
      <c r="A616" s="5"/>
      <c r="B616" s="950"/>
      <c r="F616" s="852"/>
    </row>
    <row r="617">
      <c r="A617" s="5"/>
      <c r="B617" s="950"/>
      <c r="F617" s="852"/>
    </row>
    <row r="618">
      <c r="A618" s="5"/>
      <c r="B618" s="950"/>
      <c r="F618" s="852"/>
    </row>
    <row r="619">
      <c r="A619" s="5"/>
      <c r="B619" s="950"/>
      <c r="F619" s="852"/>
    </row>
    <row r="620">
      <c r="A620" s="5"/>
      <c r="B620" s="950"/>
      <c r="F620" s="852"/>
    </row>
    <row r="621">
      <c r="A621" s="5"/>
      <c r="B621" s="950"/>
      <c r="F621" s="852"/>
    </row>
    <row r="622">
      <c r="A622" s="5"/>
      <c r="B622" s="950"/>
      <c r="F622" s="852"/>
    </row>
    <row r="623">
      <c r="A623" s="5"/>
      <c r="B623" s="950"/>
      <c r="F623" s="852"/>
    </row>
    <row r="624">
      <c r="A624" s="5"/>
      <c r="B624" s="950"/>
      <c r="F624" s="852"/>
    </row>
    <row r="625">
      <c r="A625" s="5"/>
      <c r="B625" s="950"/>
      <c r="F625" s="852"/>
    </row>
    <row r="626">
      <c r="A626" s="5"/>
      <c r="B626" s="950"/>
      <c r="F626" s="852"/>
    </row>
    <row r="627">
      <c r="A627" s="5"/>
      <c r="B627" s="950"/>
      <c r="F627" s="852"/>
    </row>
    <row r="628">
      <c r="A628" s="5"/>
      <c r="B628" s="950"/>
      <c r="F628" s="852"/>
    </row>
    <row r="629">
      <c r="A629" s="5"/>
      <c r="B629" s="950"/>
      <c r="F629" s="852"/>
    </row>
    <row r="630">
      <c r="A630" s="5"/>
      <c r="B630" s="950"/>
      <c r="F630" s="852"/>
    </row>
    <row r="631">
      <c r="A631" s="5"/>
      <c r="B631" s="950"/>
      <c r="F631" s="852"/>
    </row>
    <row r="632">
      <c r="A632" s="5"/>
      <c r="B632" s="950"/>
      <c r="F632" s="852"/>
    </row>
    <row r="633">
      <c r="A633" s="5"/>
      <c r="B633" s="950"/>
      <c r="F633" s="852"/>
    </row>
    <row r="634">
      <c r="A634" s="5"/>
      <c r="B634" s="950"/>
      <c r="F634" s="852"/>
    </row>
    <row r="635">
      <c r="A635" s="5"/>
      <c r="B635" s="950"/>
      <c r="F635" s="852"/>
    </row>
    <row r="636">
      <c r="A636" s="5"/>
      <c r="B636" s="950"/>
      <c r="F636" s="852"/>
    </row>
    <row r="637">
      <c r="A637" s="5"/>
      <c r="B637" s="950"/>
      <c r="F637" s="852"/>
    </row>
    <row r="638">
      <c r="A638" s="5"/>
      <c r="B638" s="950"/>
      <c r="F638" s="852"/>
    </row>
    <row r="639">
      <c r="A639" s="5"/>
      <c r="B639" s="950"/>
      <c r="F639" s="852"/>
    </row>
    <row r="640">
      <c r="A640" s="5"/>
      <c r="B640" s="950"/>
      <c r="F640" s="852"/>
    </row>
    <row r="641">
      <c r="A641" s="5"/>
      <c r="B641" s="950"/>
      <c r="F641" s="852"/>
    </row>
    <row r="642">
      <c r="A642" s="5"/>
      <c r="B642" s="950"/>
      <c r="F642" s="852"/>
    </row>
    <row r="643">
      <c r="A643" s="5"/>
      <c r="B643" s="950"/>
      <c r="F643" s="852"/>
    </row>
    <row r="644">
      <c r="A644" s="5"/>
      <c r="B644" s="950"/>
      <c r="F644" s="852"/>
    </row>
    <row r="645">
      <c r="A645" s="5"/>
      <c r="B645" s="950"/>
      <c r="F645" s="852"/>
    </row>
    <row r="646">
      <c r="A646" s="5"/>
      <c r="B646" s="950"/>
      <c r="F646" s="852"/>
    </row>
    <row r="647">
      <c r="A647" s="5"/>
      <c r="B647" s="950"/>
      <c r="F647" s="852"/>
    </row>
    <row r="648">
      <c r="A648" s="5"/>
      <c r="B648" s="950"/>
      <c r="F648" s="852"/>
    </row>
    <row r="649">
      <c r="A649" s="5"/>
      <c r="B649" s="950"/>
      <c r="F649" s="852"/>
    </row>
    <row r="650">
      <c r="A650" s="5"/>
      <c r="B650" s="950"/>
      <c r="F650" s="852"/>
    </row>
    <row r="651">
      <c r="A651" s="5"/>
      <c r="B651" s="950"/>
      <c r="F651" s="852"/>
    </row>
    <row r="652">
      <c r="A652" s="5"/>
      <c r="B652" s="950"/>
      <c r="F652" s="852"/>
    </row>
    <row r="653">
      <c r="A653" s="5"/>
      <c r="B653" s="950"/>
      <c r="F653" s="852"/>
    </row>
    <row r="654">
      <c r="A654" s="5"/>
      <c r="B654" s="950"/>
      <c r="F654" s="852"/>
    </row>
    <row r="655">
      <c r="A655" s="5"/>
      <c r="B655" s="950"/>
      <c r="F655" s="852"/>
    </row>
    <row r="656">
      <c r="A656" s="5"/>
      <c r="B656" s="950"/>
      <c r="F656" s="852"/>
    </row>
    <row r="657">
      <c r="A657" s="5"/>
      <c r="B657" s="950"/>
      <c r="F657" s="852"/>
    </row>
    <row r="658">
      <c r="A658" s="5"/>
      <c r="B658" s="950"/>
      <c r="F658" s="852"/>
    </row>
    <row r="659">
      <c r="A659" s="5"/>
      <c r="B659" s="950"/>
      <c r="F659" s="852"/>
    </row>
    <row r="660">
      <c r="A660" s="5"/>
      <c r="B660" s="950"/>
      <c r="F660" s="852"/>
    </row>
    <row r="661">
      <c r="A661" s="5"/>
      <c r="B661" s="950"/>
      <c r="F661" s="852"/>
    </row>
    <row r="662">
      <c r="A662" s="5"/>
      <c r="B662" s="950"/>
      <c r="F662" s="852"/>
    </row>
    <row r="663">
      <c r="A663" s="5"/>
      <c r="B663" s="950"/>
      <c r="F663" s="852"/>
    </row>
    <row r="664">
      <c r="A664" s="5"/>
      <c r="B664" s="950"/>
      <c r="F664" s="852"/>
    </row>
    <row r="665">
      <c r="A665" s="5"/>
      <c r="B665" s="950"/>
      <c r="F665" s="852"/>
    </row>
    <row r="666">
      <c r="A666" s="5"/>
      <c r="B666" s="950"/>
      <c r="F666" s="852"/>
    </row>
    <row r="667">
      <c r="A667" s="5"/>
      <c r="B667" s="950"/>
      <c r="F667" s="852"/>
    </row>
    <row r="668">
      <c r="A668" s="5"/>
      <c r="B668" s="950"/>
      <c r="F668" s="852"/>
    </row>
    <row r="669">
      <c r="A669" s="5"/>
      <c r="B669" s="950"/>
      <c r="F669" s="852"/>
    </row>
    <row r="670">
      <c r="A670" s="5"/>
      <c r="B670" s="950"/>
      <c r="F670" s="852"/>
    </row>
    <row r="671">
      <c r="A671" s="5"/>
      <c r="B671" s="950"/>
      <c r="F671" s="852"/>
    </row>
    <row r="672">
      <c r="A672" s="5"/>
      <c r="B672" s="950"/>
      <c r="F672" s="852"/>
    </row>
    <row r="673">
      <c r="A673" s="5"/>
      <c r="B673" s="950"/>
      <c r="F673" s="852"/>
    </row>
    <row r="674">
      <c r="A674" s="5"/>
      <c r="B674" s="950"/>
      <c r="F674" s="852"/>
    </row>
    <row r="675">
      <c r="A675" s="5"/>
      <c r="B675" s="950"/>
      <c r="F675" s="852"/>
    </row>
    <row r="676">
      <c r="A676" s="5"/>
      <c r="B676" s="950"/>
      <c r="F676" s="852"/>
    </row>
    <row r="677">
      <c r="A677" s="5"/>
      <c r="B677" s="950"/>
      <c r="F677" s="852"/>
    </row>
    <row r="678">
      <c r="A678" s="5"/>
      <c r="B678" s="950"/>
      <c r="F678" s="852"/>
    </row>
    <row r="679">
      <c r="A679" s="5"/>
      <c r="B679" s="950"/>
      <c r="F679" s="852"/>
    </row>
    <row r="680">
      <c r="A680" s="5"/>
      <c r="B680" s="950"/>
      <c r="F680" s="852"/>
    </row>
    <row r="681">
      <c r="A681" s="5"/>
      <c r="B681" s="950"/>
      <c r="F681" s="852"/>
    </row>
    <row r="682">
      <c r="A682" s="5"/>
      <c r="B682" s="950"/>
      <c r="F682" s="852"/>
    </row>
    <row r="683">
      <c r="A683" s="5"/>
      <c r="B683" s="950"/>
      <c r="F683" s="852"/>
    </row>
    <row r="684">
      <c r="A684" s="5"/>
      <c r="B684" s="950"/>
      <c r="F684" s="852"/>
    </row>
    <row r="685">
      <c r="A685" s="5"/>
      <c r="B685" s="950"/>
      <c r="F685" s="852"/>
    </row>
    <row r="686">
      <c r="A686" s="5"/>
      <c r="B686" s="950"/>
      <c r="F686" s="852"/>
    </row>
    <row r="687">
      <c r="A687" s="5"/>
      <c r="B687" s="950"/>
      <c r="F687" s="852"/>
    </row>
    <row r="688">
      <c r="A688" s="5"/>
      <c r="B688" s="950"/>
      <c r="F688" s="852"/>
    </row>
    <row r="689">
      <c r="A689" s="5"/>
      <c r="B689" s="950"/>
      <c r="F689" s="852"/>
    </row>
    <row r="690">
      <c r="A690" s="5"/>
      <c r="B690" s="950"/>
      <c r="F690" s="852"/>
    </row>
    <row r="691">
      <c r="A691" s="5"/>
      <c r="B691" s="950"/>
      <c r="F691" s="852"/>
    </row>
    <row r="692">
      <c r="A692" s="5"/>
      <c r="B692" s="950"/>
      <c r="F692" s="852"/>
    </row>
    <row r="693">
      <c r="A693" s="5"/>
      <c r="B693" s="950"/>
      <c r="F693" s="852"/>
    </row>
    <row r="694">
      <c r="A694" s="5"/>
      <c r="B694" s="950"/>
      <c r="F694" s="852"/>
    </row>
    <row r="695">
      <c r="A695" s="5"/>
      <c r="B695" s="950"/>
      <c r="F695" s="852"/>
    </row>
    <row r="696">
      <c r="A696" s="5"/>
      <c r="B696" s="950"/>
      <c r="F696" s="852"/>
    </row>
    <row r="697">
      <c r="A697" s="5"/>
      <c r="B697" s="950"/>
      <c r="F697" s="852"/>
    </row>
    <row r="698">
      <c r="A698" s="5"/>
      <c r="B698" s="950"/>
      <c r="F698" s="852"/>
    </row>
    <row r="699">
      <c r="A699" s="5"/>
      <c r="B699" s="950"/>
      <c r="F699" s="852"/>
    </row>
    <row r="700">
      <c r="A700" s="5"/>
      <c r="B700" s="950"/>
      <c r="F700" s="852"/>
    </row>
    <row r="701">
      <c r="A701" s="5"/>
      <c r="B701" s="950"/>
      <c r="F701" s="852"/>
    </row>
    <row r="702">
      <c r="A702" s="5"/>
      <c r="B702" s="950"/>
      <c r="F702" s="852"/>
    </row>
    <row r="703">
      <c r="A703" s="5"/>
      <c r="B703" s="950"/>
      <c r="F703" s="852"/>
    </row>
    <row r="704">
      <c r="A704" s="5"/>
      <c r="B704" s="950"/>
      <c r="F704" s="852"/>
    </row>
    <row r="705">
      <c r="A705" s="5"/>
      <c r="B705" s="950"/>
      <c r="F705" s="852"/>
    </row>
    <row r="706">
      <c r="A706" s="5"/>
      <c r="B706" s="950"/>
      <c r="F706" s="852"/>
    </row>
    <row r="707">
      <c r="A707" s="5"/>
      <c r="B707" s="950"/>
      <c r="F707" s="852"/>
    </row>
    <row r="708">
      <c r="A708" s="5"/>
      <c r="B708" s="950"/>
      <c r="F708" s="852"/>
    </row>
    <row r="709">
      <c r="A709" s="5"/>
      <c r="B709" s="950"/>
      <c r="F709" s="852"/>
    </row>
    <row r="710">
      <c r="A710" s="5"/>
      <c r="B710" s="950"/>
      <c r="F710" s="852"/>
    </row>
    <row r="711">
      <c r="A711" s="5"/>
      <c r="B711" s="950"/>
      <c r="F711" s="852"/>
    </row>
    <row r="712">
      <c r="A712" s="5"/>
      <c r="B712" s="950"/>
      <c r="F712" s="852"/>
    </row>
    <row r="713">
      <c r="A713" s="5"/>
      <c r="B713" s="950"/>
      <c r="F713" s="852"/>
    </row>
    <row r="714">
      <c r="A714" s="5"/>
      <c r="B714" s="950"/>
      <c r="F714" s="852"/>
    </row>
    <row r="715">
      <c r="A715" s="5"/>
      <c r="B715" s="950"/>
      <c r="F715" s="852"/>
    </row>
    <row r="716">
      <c r="A716" s="5"/>
      <c r="B716" s="950"/>
      <c r="F716" s="852"/>
    </row>
    <row r="717">
      <c r="A717" s="5"/>
      <c r="B717" s="950"/>
      <c r="F717" s="852"/>
    </row>
    <row r="718">
      <c r="A718" s="5"/>
      <c r="B718" s="950"/>
      <c r="F718" s="852"/>
    </row>
    <row r="719">
      <c r="A719" s="5"/>
      <c r="B719" s="950"/>
      <c r="F719" s="852"/>
    </row>
    <row r="720">
      <c r="A720" s="5"/>
      <c r="B720" s="950"/>
      <c r="F720" s="852"/>
    </row>
    <row r="721">
      <c r="A721" s="5"/>
      <c r="B721" s="950"/>
      <c r="F721" s="852"/>
    </row>
    <row r="722">
      <c r="A722" s="5"/>
      <c r="B722" s="950"/>
      <c r="F722" s="852"/>
    </row>
    <row r="723">
      <c r="A723" s="5"/>
      <c r="B723" s="950"/>
      <c r="F723" s="852"/>
    </row>
    <row r="724">
      <c r="A724" s="5"/>
      <c r="B724" s="950"/>
      <c r="F724" s="852"/>
    </row>
    <row r="725">
      <c r="A725" s="5"/>
      <c r="B725" s="950"/>
      <c r="F725" s="852"/>
    </row>
    <row r="726">
      <c r="A726" s="5"/>
      <c r="B726" s="950"/>
      <c r="F726" s="852"/>
    </row>
    <row r="727">
      <c r="A727" s="5"/>
      <c r="B727" s="950"/>
      <c r="F727" s="852"/>
    </row>
    <row r="728">
      <c r="A728" s="5"/>
      <c r="B728" s="950"/>
      <c r="F728" s="852"/>
    </row>
    <row r="729">
      <c r="A729" s="5"/>
      <c r="B729" s="950"/>
      <c r="F729" s="852"/>
    </row>
    <row r="730">
      <c r="A730" s="5"/>
      <c r="B730" s="950"/>
      <c r="F730" s="852"/>
    </row>
    <row r="731">
      <c r="A731" s="5"/>
      <c r="B731" s="950"/>
      <c r="F731" s="852"/>
    </row>
    <row r="732">
      <c r="A732" s="5"/>
      <c r="B732" s="950"/>
      <c r="F732" s="852"/>
    </row>
    <row r="733">
      <c r="A733" s="5"/>
      <c r="B733" s="950"/>
      <c r="F733" s="852"/>
    </row>
    <row r="734">
      <c r="A734" s="5"/>
      <c r="B734" s="950"/>
      <c r="F734" s="852"/>
    </row>
    <row r="735">
      <c r="A735" s="5"/>
      <c r="B735" s="950"/>
      <c r="F735" s="852"/>
    </row>
    <row r="736">
      <c r="A736" s="5"/>
      <c r="B736" s="950"/>
      <c r="F736" s="852"/>
    </row>
    <row r="737">
      <c r="A737" s="5"/>
      <c r="B737" s="950"/>
      <c r="F737" s="852"/>
    </row>
    <row r="738">
      <c r="A738" s="5"/>
      <c r="B738" s="950"/>
      <c r="F738" s="852"/>
    </row>
    <row r="739">
      <c r="A739" s="5"/>
      <c r="B739" s="950"/>
      <c r="F739" s="852"/>
    </row>
    <row r="740">
      <c r="A740" s="5"/>
      <c r="B740" s="950"/>
      <c r="F740" s="852"/>
    </row>
    <row r="741">
      <c r="A741" s="5"/>
      <c r="B741" s="950"/>
      <c r="F741" s="852"/>
    </row>
    <row r="742">
      <c r="A742" s="5"/>
      <c r="B742" s="950"/>
      <c r="F742" s="852"/>
    </row>
    <row r="743">
      <c r="A743" s="5"/>
      <c r="B743" s="950"/>
      <c r="F743" s="852"/>
    </row>
    <row r="744">
      <c r="A744" s="5"/>
      <c r="B744" s="950"/>
      <c r="F744" s="852"/>
    </row>
    <row r="745">
      <c r="A745" s="5"/>
      <c r="B745" s="950"/>
      <c r="F745" s="852"/>
    </row>
    <row r="746">
      <c r="A746" s="5"/>
      <c r="B746" s="950"/>
      <c r="F746" s="852"/>
    </row>
    <row r="747">
      <c r="A747" s="5"/>
      <c r="B747" s="950"/>
      <c r="F747" s="852"/>
    </row>
    <row r="748">
      <c r="A748" s="5"/>
      <c r="B748" s="950"/>
      <c r="F748" s="852"/>
    </row>
    <row r="749">
      <c r="A749" s="5"/>
      <c r="B749" s="950"/>
      <c r="F749" s="852"/>
    </row>
    <row r="750">
      <c r="A750" s="5"/>
      <c r="B750" s="950"/>
      <c r="F750" s="852"/>
    </row>
    <row r="751">
      <c r="A751" s="5"/>
      <c r="B751" s="950"/>
      <c r="F751" s="852"/>
    </row>
    <row r="752">
      <c r="A752" s="5"/>
      <c r="B752" s="950"/>
      <c r="F752" s="852"/>
    </row>
    <row r="753">
      <c r="A753" s="5"/>
      <c r="B753" s="950"/>
      <c r="F753" s="852"/>
    </row>
    <row r="754">
      <c r="A754" s="5"/>
      <c r="B754" s="950"/>
      <c r="F754" s="852"/>
    </row>
    <row r="755">
      <c r="A755" s="5"/>
      <c r="B755" s="950"/>
      <c r="F755" s="852"/>
    </row>
    <row r="756">
      <c r="A756" s="5"/>
      <c r="B756" s="950"/>
      <c r="F756" s="852"/>
    </row>
    <row r="757">
      <c r="A757" s="5"/>
      <c r="B757" s="950"/>
      <c r="F757" s="852"/>
    </row>
    <row r="758">
      <c r="A758" s="5"/>
      <c r="B758" s="950"/>
      <c r="F758" s="852"/>
    </row>
    <row r="759">
      <c r="A759" s="5"/>
      <c r="B759" s="950"/>
      <c r="F759" s="852"/>
    </row>
    <row r="760">
      <c r="A760" s="5"/>
      <c r="B760" s="950"/>
      <c r="F760" s="852"/>
    </row>
    <row r="761">
      <c r="A761" s="5"/>
      <c r="B761" s="950"/>
      <c r="F761" s="852"/>
    </row>
    <row r="762">
      <c r="A762" s="5"/>
      <c r="B762" s="950"/>
      <c r="F762" s="852"/>
    </row>
    <row r="763">
      <c r="A763" s="5"/>
      <c r="B763" s="950"/>
      <c r="F763" s="852"/>
    </row>
    <row r="764">
      <c r="A764" s="5"/>
      <c r="B764" s="950"/>
      <c r="F764" s="852"/>
    </row>
    <row r="765">
      <c r="A765" s="5"/>
      <c r="B765" s="950"/>
      <c r="F765" s="852"/>
    </row>
    <row r="766">
      <c r="A766" s="5"/>
      <c r="B766" s="950"/>
      <c r="F766" s="852"/>
    </row>
    <row r="767">
      <c r="A767" s="5"/>
      <c r="B767" s="950"/>
      <c r="F767" s="852"/>
    </row>
    <row r="768">
      <c r="A768" s="5"/>
      <c r="B768" s="950"/>
      <c r="F768" s="852"/>
    </row>
    <row r="769">
      <c r="A769" s="5"/>
      <c r="B769" s="950"/>
      <c r="F769" s="852"/>
    </row>
    <row r="770">
      <c r="A770" s="5"/>
      <c r="B770" s="950"/>
      <c r="F770" s="852"/>
    </row>
    <row r="771">
      <c r="A771" s="5"/>
      <c r="B771" s="950"/>
      <c r="F771" s="852"/>
    </row>
    <row r="772">
      <c r="A772" s="5"/>
      <c r="B772" s="950"/>
      <c r="F772" s="852"/>
    </row>
    <row r="773">
      <c r="A773" s="5"/>
      <c r="B773" s="950"/>
      <c r="F773" s="852"/>
    </row>
    <row r="774">
      <c r="A774" s="5"/>
      <c r="B774" s="950"/>
      <c r="F774" s="852"/>
    </row>
    <row r="775">
      <c r="A775" s="5"/>
      <c r="B775" s="950"/>
      <c r="F775" s="852"/>
    </row>
    <row r="776">
      <c r="A776" s="5"/>
      <c r="B776" s="950"/>
      <c r="F776" s="852"/>
    </row>
    <row r="777">
      <c r="A777" s="5"/>
      <c r="B777" s="950"/>
      <c r="F777" s="852"/>
    </row>
    <row r="778">
      <c r="A778" s="5"/>
      <c r="B778" s="950"/>
      <c r="F778" s="852"/>
    </row>
    <row r="779">
      <c r="A779" s="5"/>
      <c r="B779" s="950"/>
      <c r="F779" s="852"/>
    </row>
    <row r="780">
      <c r="A780" s="5"/>
      <c r="B780" s="950"/>
      <c r="F780" s="852"/>
    </row>
    <row r="781">
      <c r="A781" s="5"/>
      <c r="B781" s="950"/>
      <c r="F781" s="852"/>
    </row>
    <row r="782">
      <c r="A782" s="5"/>
      <c r="B782" s="950"/>
      <c r="F782" s="852"/>
    </row>
    <row r="783">
      <c r="A783" s="5"/>
      <c r="B783" s="950"/>
      <c r="F783" s="852"/>
    </row>
    <row r="784">
      <c r="A784" s="5"/>
      <c r="B784" s="950"/>
      <c r="F784" s="852"/>
    </row>
    <row r="785">
      <c r="A785" s="5"/>
      <c r="B785" s="950"/>
      <c r="F785" s="852"/>
    </row>
    <row r="786">
      <c r="A786" s="5"/>
      <c r="B786" s="950"/>
      <c r="F786" s="852"/>
    </row>
    <row r="787">
      <c r="A787" s="5"/>
      <c r="B787" s="950"/>
      <c r="F787" s="852"/>
    </row>
    <row r="788">
      <c r="A788" s="5"/>
      <c r="B788" s="950"/>
      <c r="F788" s="852"/>
    </row>
    <row r="789">
      <c r="A789" s="5"/>
      <c r="B789" s="950"/>
      <c r="F789" s="852"/>
    </row>
    <row r="790">
      <c r="A790" s="5"/>
      <c r="B790" s="950"/>
      <c r="F790" s="852"/>
    </row>
    <row r="791">
      <c r="A791" s="5"/>
      <c r="B791" s="950"/>
      <c r="F791" s="852"/>
    </row>
    <row r="792">
      <c r="A792" s="5"/>
      <c r="B792" s="950"/>
      <c r="F792" s="852"/>
    </row>
    <row r="793">
      <c r="A793" s="5"/>
      <c r="B793" s="950"/>
      <c r="F793" s="852"/>
    </row>
    <row r="794">
      <c r="A794" s="5"/>
      <c r="B794" s="950"/>
      <c r="F794" s="852"/>
    </row>
    <row r="795">
      <c r="A795" s="5"/>
      <c r="B795" s="950"/>
      <c r="F795" s="852"/>
    </row>
    <row r="796">
      <c r="A796" s="5"/>
      <c r="B796" s="950"/>
      <c r="F796" s="852"/>
    </row>
    <row r="797">
      <c r="A797" s="5"/>
      <c r="B797" s="950"/>
      <c r="F797" s="852"/>
    </row>
    <row r="798">
      <c r="A798" s="5"/>
      <c r="B798" s="950"/>
      <c r="F798" s="852"/>
    </row>
    <row r="799">
      <c r="A799" s="5"/>
      <c r="B799" s="950"/>
      <c r="F799" s="852"/>
    </row>
    <row r="800">
      <c r="A800" s="5"/>
      <c r="B800" s="950"/>
      <c r="F800" s="852"/>
    </row>
    <row r="801">
      <c r="A801" s="5"/>
      <c r="B801" s="950"/>
      <c r="F801" s="852"/>
    </row>
    <row r="802">
      <c r="A802" s="5"/>
      <c r="B802" s="950"/>
      <c r="F802" s="852"/>
    </row>
    <row r="803">
      <c r="A803" s="5"/>
      <c r="B803" s="950"/>
      <c r="F803" s="852"/>
    </row>
    <row r="804">
      <c r="A804" s="5"/>
      <c r="B804" s="950"/>
      <c r="F804" s="852"/>
    </row>
    <row r="805">
      <c r="A805" s="5"/>
      <c r="B805" s="950"/>
      <c r="F805" s="852"/>
    </row>
    <row r="806">
      <c r="A806" s="5"/>
      <c r="B806" s="950"/>
      <c r="F806" s="852"/>
    </row>
    <row r="807">
      <c r="A807" s="5"/>
      <c r="B807" s="950"/>
      <c r="F807" s="852"/>
    </row>
    <row r="808">
      <c r="A808" s="5"/>
      <c r="B808" s="950"/>
      <c r="F808" s="852"/>
    </row>
    <row r="809">
      <c r="A809" s="5"/>
      <c r="B809" s="950"/>
      <c r="F809" s="852"/>
    </row>
    <row r="810">
      <c r="A810" s="5"/>
      <c r="B810" s="950"/>
      <c r="F810" s="852"/>
    </row>
    <row r="811">
      <c r="A811" s="5"/>
      <c r="B811" s="950"/>
      <c r="F811" s="852"/>
    </row>
    <row r="812">
      <c r="A812" s="5"/>
      <c r="B812" s="950"/>
      <c r="F812" s="852"/>
    </row>
    <row r="813">
      <c r="A813" s="5"/>
      <c r="B813" s="950"/>
      <c r="F813" s="852"/>
    </row>
    <row r="814">
      <c r="A814" s="5"/>
      <c r="B814" s="950"/>
      <c r="F814" s="852"/>
    </row>
    <row r="815">
      <c r="A815" s="5"/>
      <c r="B815" s="950"/>
      <c r="F815" s="852"/>
    </row>
    <row r="816">
      <c r="A816" s="5"/>
      <c r="B816" s="950"/>
      <c r="F816" s="852"/>
    </row>
    <row r="817">
      <c r="A817" s="5"/>
      <c r="B817" s="950"/>
      <c r="F817" s="852"/>
    </row>
    <row r="818">
      <c r="A818" s="5"/>
      <c r="B818" s="950"/>
      <c r="F818" s="852"/>
    </row>
    <row r="819">
      <c r="A819" s="5"/>
      <c r="B819" s="950"/>
      <c r="F819" s="852"/>
    </row>
    <row r="820">
      <c r="A820" s="5"/>
      <c r="B820" s="950"/>
      <c r="F820" s="852"/>
    </row>
    <row r="821">
      <c r="A821" s="5"/>
      <c r="B821" s="950"/>
      <c r="F821" s="852"/>
    </row>
    <row r="822">
      <c r="A822" s="5"/>
      <c r="B822" s="950"/>
      <c r="F822" s="852"/>
    </row>
    <row r="823">
      <c r="A823" s="5"/>
      <c r="B823" s="950"/>
      <c r="F823" s="852"/>
    </row>
    <row r="824">
      <c r="A824" s="5"/>
      <c r="B824" s="950"/>
      <c r="F824" s="852"/>
    </row>
    <row r="825">
      <c r="A825" s="5"/>
      <c r="B825" s="950"/>
      <c r="F825" s="852"/>
    </row>
    <row r="826">
      <c r="A826" s="5"/>
      <c r="B826" s="950"/>
      <c r="F826" s="852"/>
    </row>
    <row r="827">
      <c r="A827" s="5"/>
      <c r="B827" s="950"/>
      <c r="F827" s="852"/>
    </row>
    <row r="828">
      <c r="A828" s="5"/>
      <c r="B828" s="950"/>
      <c r="F828" s="852"/>
    </row>
    <row r="829">
      <c r="A829" s="5"/>
      <c r="B829" s="950"/>
      <c r="F829" s="852"/>
    </row>
    <row r="830">
      <c r="A830" s="5"/>
      <c r="B830" s="950"/>
      <c r="F830" s="852"/>
    </row>
    <row r="831">
      <c r="A831" s="5"/>
      <c r="B831" s="950"/>
      <c r="F831" s="852"/>
    </row>
    <row r="832">
      <c r="A832" s="5"/>
      <c r="B832" s="950"/>
      <c r="F832" s="852"/>
    </row>
    <row r="833">
      <c r="A833" s="5"/>
      <c r="B833" s="950"/>
      <c r="F833" s="852"/>
    </row>
    <row r="834">
      <c r="A834" s="5"/>
      <c r="B834" s="950"/>
      <c r="F834" s="852"/>
    </row>
    <row r="835">
      <c r="A835" s="5"/>
      <c r="B835" s="950"/>
      <c r="F835" s="852"/>
    </row>
    <row r="836">
      <c r="A836" s="5"/>
      <c r="B836" s="950"/>
      <c r="F836" s="852"/>
    </row>
    <row r="837">
      <c r="A837" s="5"/>
      <c r="B837" s="950"/>
      <c r="F837" s="852"/>
    </row>
    <row r="838">
      <c r="A838" s="5"/>
      <c r="B838" s="950"/>
      <c r="F838" s="852"/>
    </row>
    <row r="839">
      <c r="A839" s="5"/>
      <c r="B839" s="950"/>
      <c r="F839" s="852"/>
    </row>
    <row r="840">
      <c r="A840" s="5"/>
      <c r="B840" s="950"/>
      <c r="F840" s="852"/>
    </row>
    <row r="841">
      <c r="A841" s="5"/>
      <c r="B841" s="950"/>
      <c r="F841" s="852"/>
    </row>
    <row r="842">
      <c r="A842" s="5"/>
      <c r="B842" s="950"/>
      <c r="F842" s="852"/>
    </row>
    <row r="843">
      <c r="A843" s="5"/>
      <c r="B843" s="950"/>
      <c r="F843" s="852"/>
    </row>
    <row r="844">
      <c r="A844" s="5"/>
      <c r="B844" s="950"/>
      <c r="F844" s="852"/>
    </row>
    <row r="845">
      <c r="A845" s="5"/>
      <c r="B845" s="950"/>
      <c r="F845" s="852"/>
    </row>
    <row r="846">
      <c r="A846" s="5"/>
      <c r="B846" s="950"/>
      <c r="F846" s="852"/>
    </row>
    <row r="847">
      <c r="A847" s="5"/>
      <c r="B847" s="950"/>
      <c r="F847" s="852"/>
    </row>
    <row r="848">
      <c r="A848" s="5"/>
      <c r="B848" s="950"/>
      <c r="F848" s="852"/>
    </row>
    <row r="849">
      <c r="A849" s="5"/>
      <c r="B849" s="950"/>
      <c r="F849" s="852"/>
    </row>
    <row r="850">
      <c r="A850" s="5"/>
      <c r="B850" s="950"/>
      <c r="F850" s="852"/>
    </row>
    <row r="851">
      <c r="A851" s="5"/>
      <c r="B851" s="950"/>
      <c r="F851" s="852"/>
    </row>
    <row r="852">
      <c r="A852" s="5"/>
      <c r="B852" s="950"/>
      <c r="F852" s="852"/>
    </row>
    <row r="853">
      <c r="A853" s="5"/>
      <c r="B853" s="950"/>
      <c r="F853" s="852"/>
    </row>
    <row r="854">
      <c r="A854" s="5"/>
      <c r="B854" s="950"/>
      <c r="F854" s="852"/>
    </row>
    <row r="855">
      <c r="A855" s="5"/>
      <c r="B855" s="950"/>
      <c r="F855" s="852"/>
    </row>
    <row r="856">
      <c r="A856" s="5"/>
      <c r="B856" s="950"/>
      <c r="F856" s="852"/>
    </row>
    <row r="857">
      <c r="A857" s="5"/>
      <c r="B857" s="950"/>
      <c r="F857" s="852"/>
    </row>
    <row r="858">
      <c r="A858" s="5"/>
      <c r="B858" s="950"/>
      <c r="F858" s="852"/>
    </row>
    <row r="859">
      <c r="A859" s="5"/>
      <c r="B859" s="950"/>
      <c r="F859" s="852"/>
    </row>
    <row r="860">
      <c r="A860" s="5"/>
      <c r="B860" s="950"/>
      <c r="F860" s="852"/>
    </row>
    <row r="861">
      <c r="A861" s="5"/>
      <c r="B861" s="950"/>
      <c r="F861" s="852"/>
    </row>
    <row r="862">
      <c r="A862" s="5"/>
      <c r="B862" s="950"/>
      <c r="F862" s="852"/>
    </row>
    <row r="863">
      <c r="A863" s="5"/>
      <c r="B863" s="950"/>
      <c r="F863" s="852"/>
    </row>
    <row r="864">
      <c r="A864" s="5"/>
      <c r="B864" s="950"/>
      <c r="F864" s="852"/>
    </row>
    <row r="865">
      <c r="A865" s="5"/>
      <c r="B865" s="950"/>
      <c r="F865" s="852"/>
    </row>
    <row r="866">
      <c r="A866" s="5"/>
      <c r="B866" s="950"/>
      <c r="F866" s="852"/>
    </row>
    <row r="867">
      <c r="A867" s="5"/>
      <c r="B867" s="950"/>
      <c r="F867" s="852"/>
    </row>
    <row r="868">
      <c r="A868" s="5"/>
      <c r="B868" s="950"/>
      <c r="F868" s="852"/>
    </row>
    <row r="869">
      <c r="A869" s="5"/>
      <c r="B869" s="950"/>
      <c r="F869" s="852"/>
    </row>
    <row r="870">
      <c r="A870" s="5"/>
      <c r="B870" s="950"/>
      <c r="F870" s="852"/>
    </row>
    <row r="871">
      <c r="A871" s="5"/>
      <c r="B871" s="950"/>
      <c r="F871" s="852"/>
    </row>
    <row r="872">
      <c r="A872" s="5"/>
      <c r="B872" s="950"/>
      <c r="F872" s="852"/>
    </row>
    <row r="873">
      <c r="A873" s="5"/>
      <c r="B873" s="950"/>
      <c r="F873" s="852"/>
    </row>
    <row r="874">
      <c r="A874" s="5"/>
      <c r="B874" s="950"/>
      <c r="F874" s="852"/>
    </row>
    <row r="875">
      <c r="A875" s="5"/>
      <c r="B875" s="950"/>
      <c r="F875" s="852"/>
    </row>
    <row r="876">
      <c r="A876" s="5"/>
      <c r="B876" s="950"/>
      <c r="F876" s="852"/>
    </row>
    <row r="877">
      <c r="A877" s="5"/>
      <c r="B877" s="950"/>
      <c r="F877" s="852"/>
    </row>
    <row r="878">
      <c r="A878" s="5"/>
      <c r="B878" s="950"/>
      <c r="F878" s="852"/>
    </row>
  </sheetData>
  <mergeCells count="32">
    <mergeCell ref="G1:H1"/>
    <mergeCell ref="A2:A3"/>
    <mergeCell ref="A4:A18"/>
    <mergeCell ref="A19:A33"/>
    <mergeCell ref="A34:A48"/>
    <mergeCell ref="A49:A63"/>
    <mergeCell ref="A64:A78"/>
    <mergeCell ref="A79:A94"/>
    <mergeCell ref="A95:A109"/>
    <mergeCell ref="A110:A124"/>
    <mergeCell ref="A125:A139"/>
    <mergeCell ref="A140:A154"/>
    <mergeCell ref="A155:A169"/>
    <mergeCell ref="A170:A184"/>
    <mergeCell ref="A185:A199"/>
    <mergeCell ref="A200:A214"/>
    <mergeCell ref="A215:A229"/>
    <mergeCell ref="A230:A245"/>
    <mergeCell ref="A246:A260"/>
    <mergeCell ref="A261:A275"/>
    <mergeCell ref="A276:A290"/>
    <mergeCell ref="A391:A406"/>
    <mergeCell ref="A407:A422"/>
    <mergeCell ref="A423:A438"/>
    <mergeCell ref="A439:A454"/>
    <mergeCell ref="A291:A306"/>
    <mergeCell ref="A307:A308"/>
    <mergeCell ref="A309:A324"/>
    <mergeCell ref="A325:A340"/>
    <mergeCell ref="A341:A356"/>
    <mergeCell ref="A357:A372"/>
    <mergeCell ref="A373:A390"/>
  </mergeCells>
  <printOptions gridLines="1" horizontalCentered="1"/>
  <pageMargins bottom="0.37795275590551186" footer="0.0" header="0.0" left="0.0" right="0.0" top="0.35433070866141736"/>
  <pageSetup paperSize="9" cellComments="atEnd" orientation="portrait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75"/>
    <col customWidth="1" min="4" max="4" width="13.13"/>
    <col customWidth="1" min="7" max="7" width="2.25"/>
    <col customWidth="1" min="8" max="8" width="18.63"/>
  </cols>
  <sheetData>
    <row r="1" ht="28.5" customHeight="1">
      <c r="A1" s="231"/>
      <c r="B1" s="945" t="s">
        <v>3714</v>
      </c>
      <c r="C1" s="407" t="s">
        <v>53</v>
      </c>
      <c r="D1" s="946" t="s">
        <v>2858</v>
      </c>
      <c r="E1" s="411" t="s">
        <v>55</v>
      </c>
      <c r="F1" s="947" t="s">
        <v>56</v>
      </c>
      <c r="G1" s="833" t="s">
        <v>2781</v>
      </c>
      <c r="H1" s="637"/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305">
        <v>43770.0</v>
      </c>
      <c r="B2" s="948">
        <f t="shared" ref="B2:B15" si="1">F2</f>
        <v>803.41</v>
      </c>
      <c r="C2" s="242"/>
      <c r="D2" s="242"/>
      <c r="E2" s="242"/>
      <c r="F2" s="949">
        <v>803.41</v>
      </c>
      <c r="G2" s="242"/>
      <c r="H2" s="244" t="s">
        <v>314</v>
      </c>
      <c r="I2" s="662"/>
    </row>
    <row r="3">
      <c r="A3" s="265"/>
      <c r="B3" s="950">
        <f t="shared" si="1"/>
        <v>4818</v>
      </c>
      <c r="F3" s="161">
        <v>4818.0</v>
      </c>
      <c r="H3" s="2" t="s">
        <v>4299</v>
      </c>
      <c r="I3" s="847"/>
    </row>
    <row r="4">
      <c r="A4" s="265"/>
      <c r="B4" s="950">
        <f t="shared" si="1"/>
        <v>1278</v>
      </c>
      <c r="F4" s="161">
        <v>1278.0</v>
      </c>
      <c r="H4" s="2" t="s">
        <v>4472</v>
      </c>
      <c r="I4" s="847"/>
    </row>
    <row r="5">
      <c r="A5" s="265"/>
      <c r="B5" s="950">
        <f t="shared" si="1"/>
        <v>1679.07</v>
      </c>
      <c r="F5" s="161">
        <v>1679.07</v>
      </c>
      <c r="H5" s="2" t="s">
        <v>3821</v>
      </c>
      <c r="I5" s="847"/>
    </row>
    <row r="6">
      <c r="A6" s="265"/>
      <c r="B6" s="950">
        <f t="shared" si="1"/>
        <v>3000</v>
      </c>
      <c r="F6" s="161">
        <v>3000.0</v>
      </c>
      <c r="H6" s="2" t="s">
        <v>4120</v>
      </c>
      <c r="I6" s="847"/>
    </row>
    <row r="7">
      <c r="A7" s="265"/>
      <c r="B7" s="950">
        <f t="shared" si="1"/>
        <v>750</v>
      </c>
      <c r="F7" s="161">
        <v>750.0</v>
      </c>
      <c r="H7" s="2" t="s">
        <v>346</v>
      </c>
      <c r="I7" s="847"/>
    </row>
    <row r="8">
      <c r="A8" s="265"/>
      <c r="B8" s="950" t="str">
        <f t="shared" si="1"/>
        <v/>
      </c>
      <c r="D8" s="2">
        <v>2175.35</v>
      </c>
      <c r="F8" s="852"/>
      <c r="H8" s="2" t="s">
        <v>4473</v>
      </c>
      <c r="I8" s="847"/>
    </row>
    <row r="9">
      <c r="A9" s="265"/>
      <c r="B9" s="950">
        <f t="shared" si="1"/>
        <v>500</v>
      </c>
      <c r="F9" s="161">
        <v>500.0</v>
      </c>
      <c r="H9" s="2" t="s">
        <v>3887</v>
      </c>
      <c r="I9" s="818"/>
    </row>
    <row r="10">
      <c r="A10" s="265"/>
      <c r="B10" s="950">
        <f t="shared" si="1"/>
        <v>1500</v>
      </c>
      <c r="C10" s="2"/>
      <c r="F10" s="161">
        <v>1500.0</v>
      </c>
      <c r="H10" s="2" t="s">
        <v>4474</v>
      </c>
      <c r="I10" s="847"/>
    </row>
    <row r="11">
      <c r="A11" s="265"/>
      <c r="B11" s="950" t="str">
        <f t="shared" si="1"/>
        <v/>
      </c>
      <c r="C11" s="2">
        <v>12462.37</v>
      </c>
      <c r="F11" s="852"/>
      <c r="H11" s="2" t="s">
        <v>951</v>
      </c>
      <c r="I11" s="847"/>
    </row>
    <row r="12">
      <c r="A12" s="265"/>
      <c r="B12" s="950">
        <f t="shared" si="1"/>
        <v>112</v>
      </c>
      <c r="C12" s="2"/>
      <c r="F12" s="161">
        <v>112.0</v>
      </c>
      <c r="H12" s="2" t="s">
        <v>3324</v>
      </c>
      <c r="I12" s="847"/>
    </row>
    <row r="13">
      <c r="A13" s="265"/>
      <c r="B13" s="950">
        <f t="shared" si="1"/>
        <v>3100</v>
      </c>
      <c r="C13" s="2"/>
      <c r="F13" s="161">
        <v>3100.0</v>
      </c>
      <c r="H13" s="416" t="s">
        <v>4262</v>
      </c>
      <c r="I13" s="818"/>
    </row>
    <row r="14">
      <c r="A14" s="265"/>
      <c r="B14" s="950">
        <f t="shared" si="1"/>
        <v>4000</v>
      </c>
      <c r="C14" s="2"/>
      <c r="F14" s="161">
        <v>4000.0</v>
      </c>
      <c r="H14" s="2" t="s">
        <v>4032</v>
      </c>
      <c r="I14" s="818"/>
      <c r="K14" s="2" t="s">
        <v>4418</v>
      </c>
      <c r="L14" s="33">
        <f>SUM(F94,F13,F180,F249,F309)</f>
        <v>16000</v>
      </c>
    </row>
    <row r="15">
      <c r="A15" s="265"/>
      <c r="B15" s="950">
        <f t="shared" si="1"/>
        <v>1000</v>
      </c>
      <c r="C15" s="2"/>
      <c r="F15" s="161">
        <v>1000.0</v>
      </c>
      <c r="H15" s="2" t="s">
        <v>3818</v>
      </c>
      <c r="I15" s="818"/>
      <c r="K15" s="2" t="s">
        <v>3045</v>
      </c>
      <c r="L15" s="33">
        <f>SUM(F47,F70,F143,F197,F227,F242,F289)</f>
        <v>3260</v>
      </c>
    </row>
    <row r="16">
      <c r="A16" s="270"/>
      <c r="B16" s="194">
        <f>SUM(B2:B15)</f>
        <v>22540.48</v>
      </c>
      <c r="C16" s="18"/>
      <c r="D16" s="18"/>
      <c r="E16" s="18"/>
      <c r="F16" s="952"/>
      <c r="G16" s="18"/>
      <c r="H16" s="18"/>
      <c r="I16" s="663"/>
      <c r="L16" s="33">
        <f>SUM(L14:L15)</f>
        <v>19260</v>
      </c>
    </row>
    <row r="17">
      <c r="A17" s="305">
        <v>43771.0</v>
      </c>
      <c r="B17" s="948">
        <f t="shared" ref="B17:B26" si="2">F17</f>
        <v>360</v>
      </c>
      <c r="C17" s="242"/>
      <c r="D17" s="242"/>
      <c r="E17" s="242"/>
      <c r="F17" s="949">
        <v>360.0</v>
      </c>
      <c r="G17" s="242"/>
      <c r="H17" s="244" t="s">
        <v>1729</v>
      </c>
      <c r="I17" s="662"/>
    </row>
    <row r="18">
      <c r="A18" s="265"/>
      <c r="B18" s="950" t="str">
        <f t="shared" si="2"/>
        <v/>
      </c>
      <c r="C18" s="2">
        <v>4910.79</v>
      </c>
      <c r="F18" s="852"/>
      <c r="H18" s="2" t="s">
        <v>2637</v>
      </c>
      <c r="I18" s="847"/>
    </row>
    <row r="19">
      <c r="A19" s="265"/>
      <c r="B19" s="950">
        <f t="shared" si="2"/>
        <v>290</v>
      </c>
      <c r="F19" s="161">
        <v>290.0</v>
      </c>
      <c r="H19" s="2" t="s">
        <v>314</v>
      </c>
      <c r="I19" s="847"/>
    </row>
    <row r="20">
      <c r="A20" s="265"/>
      <c r="B20" s="950">
        <f t="shared" si="2"/>
        <v>7000</v>
      </c>
      <c r="F20" s="161">
        <v>7000.0</v>
      </c>
      <c r="H20" s="2" t="s">
        <v>4452</v>
      </c>
      <c r="I20" s="818"/>
    </row>
    <row r="21">
      <c r="A21" s="265"/>
      <c r="B21" s="950">
        <f t="shared" si="2"/>
        <v>700</v>
      </c>
      <c r="F21" s="161">
        <v>700.0</v>
      </c>
      <c r="H21" s="2" t="s">
        <v>3437</v>
      </c>
      <c r="I21" s="818"/>
    </row>
    <row r="22">
      <c r="A22" s="265"/>
      <c r="B22" s="950">
        <f t="shared" si="2"/>
        <v>5000</v>
      </c>
      <c r="F22" s="161">
        <v>5000.0</v>
      </c>
      <c r="H22" s="2" t="s">
        <v>4475</v>
      </c>
      <c r="I22" s="818"/>
    </row>
    <row r="23">
      <c r="A23" s="265"/>
      <c r="B23" s="950">
        <f t="shared" si="2"/>
        <v>5500</v>
      </c>
      <c r="F23" s="161">
        <v>5500.0</v>
      </c>
      <c r="H23" s="2" t="s">
        <v>4476</v>
      </c>
      <c r="I23" s="818"/>
    </row>
    <row r="24">
      <c r="A24" s="265"/>
      <c r="B24" s="950">
        <f t="shared" si="2"/>
        <v>4300</v>
      </c>
      <c r="F24" s="161">
        <v>4300.0</v>
      </c>
      <c r="H24" s="2" t="s">
        <v>4003</v>
      </c>
      <c r="I24" s="818"/>
    </row>
    <row r="25">
      <c r="A25" s="265"/>
      <c r="B25" s="950">
        <f t="shared" si="2"/>
        <v>6500</v>
      </c>
      <c r="F25" s="161">
        <v>6500.0</v>
      </c>
      <c r="H25" s="2" t="s">
        <v>4477</v>
      </c>
      <c r="I25" s="818"/>
    </row>
    <row r="26">
      <c r="A26" s="265"/>
      <c r="B26" s="950">
        <f t="shared" si="2"/>
        <v>4900</v>
      </c>
      <c r="F26" s="161">
        <v>4900.0</v>
      </c>
      <c r="H26" s="2" t="s">
        <v>4478</v>
      </c>
      <c r="I26" s="818"/>
    </row>
    <row r="27">
      <c r="A27" s="270"/>
      <c r="B27" s="194">
        <f>SUM(B17:B26)</f>
        <v>34550</v>
      </c>
      <c r="C27" s="18"/>
      <c r="D27" s="18"/>
      <c r="E27" s="18"/>
      <c r="F27" s="952"/>
      <c r="G27" s="18"/>
      <c r="H27" s="18"/>
      <c r="I27" s="663"/>
    </row>
    <row r="28">
      <c r="A28" s="305">
        <v>43772.0</v>
      </c>
      <c r="B28" s="948" t="str">
        <f>F28</f>
        <v/>
      </c>
      <c r="C28" s="242"/>
      <c r="D28" s="242"/>
      <c r="E28" s="242"/>
      <c r="F28" s="1018"/>
      <c r="G28" s="242"/>
      <c r="H28" s="242"/>
      <c r="I28" s="662"/>
    </row>
    <row r="29">
      <c r="A29" s="270"/>
      <c r="B29" s="194">
        <f>SUM(B28)</f>
        <v>0</v>
      </c>
      <c r="C29" s="18"/>
      <c r="D29" s="18"/>
      <c r="E29" s="18"/>
      <c r="F29" s="952"/>
      <c r="G29" s="18"/>
      <c r="H29" s="18"/>
      <c r="I29" s="663"/>
    </row>
    <row r="30">
      <c r="A30" s="305">
        <v>43773.0</v>
      </c>
      <c r="B30" s="948">
        <f t="shared" ref="B30:B38" si="3">F30</f>
        <v>1538.62</v>
      </c>
      <c r="C30" s="242"/>
      <c r="D30" s="242"/>
      <c r="E30" s="242"/>
      <c r="F30" s="949">
        <v>1538.62</v>
      </c>
      <c r="G30" s="242"/>
      <c r="H30" s="244" t="s">
        <v>3821</v>
      </c>
      <c r="I30" s="662"/>
    </row>
    <row r="31">
      <c r="A31" s="265"/>
      <c r="B31" s="950">
        <f t="shared" si="3"/>
        <v>2572</v>
      </c>
      <c r="F31" s="161">
        <v>2572.0</v>
      </c>
      <c r="H31" s="2" t="s">
        <v>4299</v>
      </c>
      <c r="I31" s="847"/>
    </row>
    <row r="32">
      <c r="A32" s="265"/>
      <c r="B32" s="950">
        <f t="shared" si="3"/>
        <v>945</v>
      </c>
      <c r="F32" s="161">
        <v>945.0</v>
      </c>
      <c r="H32" s="2" t="s">
        <v>4231</v>
      </c>
      <c r="I32" s="847"/>
    </row>
    <row r="33">
      <c r="A33" s="265"/>
      <c r="B33" s="950" t="str">
        <f t="shared" si="3"/>
        <v/>
      </c>
      <c r="F33" s="852"/>
      <c r="I33" s="847"/>
    </row>
    <row r="34">
      <c r="A34" s="265"/>
      <c r="B34" s="950" t="str">
        <f t="shared" si="3"/>
        <v/>
      </c>
      <c r="F34" s="852"/>
      <c r="I34" s="847"/>
    </row>
    <row r="35">
      <c r="A35" s="265"/>
      <c r="B35" s="950" t="str">
        <f t="shared" si="3"/>
        <v/>
      </c>
      <c r="F35" s="852"/>
      <c r="I35" s="847"/>
    </row>
    <row r="36">
      <c r="A36" s="265"/>
      <c r="B36" s="950" t="str">
        <f t="shared" si="3"/>
        <v/>
      </c>
      <c r="F36" s="852"/>
      <c r="I36" s="847"/>
    </row>
    <row r="37">
      <c r="A37" s="265"/>
      <c r="B37" s="950" t="str">
        <f t="shared" si="3"/>
        <v/>
      </c>
      <c r="F37" s="852"/>
      <c r="I37" s="847"/>
    </row>
    <row r="38">
      <c r="A38" s="265"/>
      <c r="B38" s="950" t="str">
        <f t="shared" si="3"/>
        <v/>
      </c>
      <c r="F38" s="852"/>
      <c r="I38" s="847"/>
    </row>
    <row r="39">
      <c r="A39" s="270"/>
      <c r="B39" s="194">
        <f>SUM(B30:B38)</f>
        <v>5055.62</v>
      </c>
      <c r="C39" s="18"/>
      <c r="D39" s="18"/>
      <c r="E39" s="18"/>
      <c r="F39" s="952"/>
      <c r="G39" s="18"/>
      <c r="H39" s="18"/>
      <c r="I39" s="663"/>
    </row>
    <row r="40">
      <c r="A40" s="305">
        <v>43774.0</v>
      </c>
      <c r="B40" s="948" t="str">
        <f t="shared" ref="B40:B48" si="4">F40</f>
        <v/>
      </c>
      <c r="C40" s="242"/>
      <c r="D40" s="242"/>
      <c r="E40" s="244"/>
      <c r="F40" s="949"/>
      <c r="G40" s="242"/>
      <c r="H40" s="244"/>
      <c r="I40" s="662"/>
    </row>
    <row r="41">
      <c r="A41" s="265"/>
      <c r="B41" s="950">
        <f t="shared" si="4"/>
        <v>1764.78</v>
      </c>
      <c r="F41" s="161">
        <v>1764.78</v>
      </c>
      <c r="H41" s="2" t="s">
        <v>58</v>
      </c>
      <c r="I41" s="847"/>
    </row>
    <row r="42">
      <c r="A42" s="265"/>
      <c r="B42" s="950">
        <f t="shared" si="4"/>
        <v>3814</v>
      </c>
      <c r="F42" s="161">
        <v>3814.0</v>
      </c>
      <c r="H42" s="2" t="s">
        <v>4230</v>
      </c>
      <c r="I42" s="847"/>
    </row>
    <row r="43">
      <c r="A43" s="265"/>
      <c r="B43" s="950">
        <f t="shared" si="4"/>
        <v>7338.17</v>
      </c>
      <c r="F43" s="161">
        <v>7338.17</v>
      </c>
      <c r="H43" s="2" t="s">
        <v>2748</v>
      </c>
      <c r="I43" s="847"/>
    </row>
    <row r="44">
      <c r="A44" s="265"/>
      <c r="B44" s="950">
        <f t="shared" si="4"/>
        <v>498</v>
      </c>
      <c r="F44" s="161">
        <v>498.0</v>
      </c>
      <c r="H44" s="2" t="s">
        <v>4209</v>
      </c>
      <c r="I44" s="847"/>
    </row>
    <row r="45">
      <c r="A45" s="265"/>
      <c r="B45" s="950">
        <f t="shared" si="4"/>
        <v>500</v>
      </c>
      <c r="F45" s="161">
        <v>500.0</v>
      </c>
      <c r="H45" s="2" t="s">
        <v>4479</v>
      </c>
      <c r="I45" s="847"/>
    </row>
    <row r="46">
      <c r="A46" s="265"/>
      <c r="B46" s="950">
        <f t="shared" si="4"/>
        <v>1850</v>
      </c>
      <c r="F46" s="161">
        <v>1850.0</v>
      </c>
      <c r="H46" s="2" t="s">
        <v>421</v>
      </c>
      <c r="I46" s="847"/>
    </row>
    <row r="47">
      <c r="A47" s="265"/>
      <c r="B47" s="950">
        <f t="shared" si="4"/>
        <v>500</v>
      </c>
      <c r="F47" s="161">
        <v>500.0</v>
      </c>
      <c r="H47" s="416" t="s">
        <v>4240</v>
      </c>
      <c r="I47" s="951"/>
    </row>
    <row r="48">
      <c r="A48" s="265"/>
      <c r="B48" s="950" t="str">
        <f t="shared" si="4"/>
        <v/>
      </c>
      <c r="F48" s="852"/>
      <c r="I48" s="847"/>
    </row>
    <row r="49">
      <c r="A49" s="270"/>
      <c r="B49" s="194">
        <f>SUM(B40:B48)</f>
        <v>16264.95</v>
      </c>
      <c r="C49" s="18"/>
      <c r="D49" s="18"/>
      <c r="E49" s="18"/>
      <c r="F49" s="952"/>
      <c r="G49" s="18"/>
      <c r="H49" s="18"/>
      <c r="I49" s="663"/>
    </row>
    <row r="50">
      <c r="A50" s="305">
        <v>43775.0</v>
      </c>
      <c r="B50" s="948">
        <f t="shared" ref="B50:B60" si="5">F50</f>
        <v>1850</v>
      </c>
      <c r="C50" s="242"/>
      <c r="D50" s="242"/>
      <c r="E50" s="242"/>
      <c r="F50" s="949">
        <v>1850.0</v>
      </c>
      <c r="G50" s="242"/>
      <c r="H50" s="244" t="s">
        <v>3731</v>
      </c>
      <c r="I50" s="662"/>
    </row>
    <row r="51">
      <c r="A51" s="265"/>
      <c r="B51" s="950">
        <f t="shared" si="5"/>
        <v>285</v>
      </c>
      <c r="F51" s="161">
        <v>285.0</v>
      </c>
      <c r="H51" s="2" t="s">
        <v>4361</v>
      </c>
      <c r="I51" s="847"/>
    </row>
    <row r="52">
      <c r="A52" s="265"/>
      <c r="B52" s="950">
        <f t="shared" si="5"/>
        <v>2626.58</v>
      </c>
      <c r="F52" s="161">
        <v>2626.58</v>
      </c>
      <c r="H52" s="2" t="s">
        <v>4234</v>
      </c>
      <c r="I52" s="847"/>
    </row>
    <row r="53">
      <c r="A53" s="265"/>
      <c r="B53" s="950">
        <f t="shared" si="5"/>
        <v>2410.44</v>
      </c>
      <c r="F53" s="161">
        <v>2410.44</v>
      </c>
      <c r="H53" s="2" t="s">
        <v>3433</v>
      </c>
      <c r="I53" s="847"/>
    </row>
    <row r="54">
      <c r="A54" s="265"/>
      <c r="B54" s="950">
        <f t="shared" si="5"/>
        <v>154</v>
      </c>
      <c r="F54" s="161">
        <v>154.0</v>
      </c>
      <c r="H54" s="2" t="s">
        <v>4279</v>
      </c>
      <c r="I54" s="847"/>
    </row>
    <row r="55">
      <c r="A55" s="265"/>
      <c r="B55" s="950">
        <f t="shared" si="5"/>
        <v>124.5</v>
      </c>
      <c r="F55" s="161">
        <v>124.5</v>
      </c>
      <c r="H55" s="2" t="s">
        <v>3433</v>
      </c>
      <c r="I55" s="847"/>
    </row>
    <row r="56">
      <c r="A56" s="265"/>
      <c r="B56" s="950">
        <f t="shared" si="5"/>
        <v>1679.07</v>
      </c>
      <c r="F56" s="161">
        <v>1679.07</v>
      </c>
      <c r="H56" s="2" t="s">
        <v>58</v>
      </c>
      <c r="I56" s="847"/>
    </row>
    <row r="57">
      <c r="A57" s="265"/>
      <c r="B57" s="950" t="str">
        <f t="shared" si="5"/>
        <v/>
      </c>
      <c r="C57" s="2">
        <v>4186.83</v>
      </c>
      <c r="F57" s="852"/>
      <c r="H57" s="2" t="s">
        <v>2637</v>
      </c>
      <c r="I57" s="847"/>
    </row>
    <row r="58">
      <c r="A58" s="265"/>
      <c r="B58" s="950">
        <f t="shared" si="5"/>
        <v>2000</v>
      </c>
      <c r="F58" s="161">
        <v>2000.0</v>
      </c>
      <c r="H58" s="2" t="s">
        <v>3893</v>
      </c>
      <c r="I58" s="818"/>
    </row>
    <row r="59">
      <c r="A59" s="265"/>
      <c r="B59" s="950" t="str">
        <f t="shared" si="5"/>
        <v/>
      </c>
      <c r="F59" s="161"/>
      <c r="H59" s="2"/>
      <c r="I59" s="847"/>
    </row>
    <row r="60">
      <c r="A60" s="265"/>
      <c r="B60" s="950" t="str">
        <f t="shared" si="5"/>
        <v/>
      </c>
      <c r="F60" s="161"/>
      <c r="H60" s="2"/>
      <c r="I60" s="847"/>
    </row>
    <row r="61">
      <c r="A61" s="270"/>
      <c r="B61" s="194">
        <f>SUM(B50:B60)</f>
        <v>11129.59</v>
      </c>
      <c r="C61" s="18"/>
      <c r="D61" s="18"/>
      <c r="E61" s="18"/>
      <c r="F61" s="952"/>
      <c r="G61" s="18"/>
      <c r="H61" s="18"/>
      <c r="I61" s="663"/>
    </row>
    <row r="62">
      <c r="A62" s="305">
        <v>43776.0</v>
      </c>
      <c r="B62" s="948">
        <f t="shared" ref="B62:B69" si="6">F62</f>
        <v>1764.78</v>
      </c>
      <c r="C62" s="242"/>
      <c r="D62" s="242"/>
      <c r="E62" s="242"/>
      <c r="F62" s="949">
        <v>1764.78</v>
      </c>
      <c r="G62" s="242"/>
      <c r="H62" s="244" t="s">
        <v>82</v>
      </c>
      <c r="I62" s="662"/>
    </row>
    <row r="63">
      <c r="A63" s="265"/>
      <c r="B63" s="950">
        <f t="shared" si="6"/>
        <v>2734</v>
      </c>
      <c r="F63" s="161">
        <v>2734.0</v>
      </c>
      <c r="H63" s="2" t="s">
        <v>4480</v>
      </c>
      <c r="I63" s="847"/>
    </row>
    <row r="64">
      <c r="A64" s="265"/>
      <c r="B64" s="950">
        <f t="shared" si="6"/>
        <v>0</v>
      </c>
      <c r="D64" s="2">
        <v>9589.0</v>
      </c>
      <c r="F64" s="161">
        <v>0.0</v>
      </c>
      <c r="H64" s="2" t="s">
        <v>615</v>
      </c>
      <c r="I64" s="847"/>
    </row>
    <row r="65">
      <c r="A65" s="265"/>
      <c r="B65" s="950">
        <f t="shared" si="6"/>
        <v>2410.44</v>
      </c>
      <c r="F65" s="161">
        <v>2410.44</v>
      </c>
      <c r="H65" s="2" t="s">
        <v>3433</v>
      </c>
      <c r="I65" s="847"/>
    </row>
    <row r="66">
      <c r="A66" s="265"/>
      <c r="B66" s="950">
        <f t="shared" si="6"/>
        <v>1850</v>
      </c>
      <c r="F66" s="161">
        <v>1850.0</v>
      </c>
      <c r="H66" s="2" t="s">
        <v>3731</v>
      </c>
      <c r="I66" s="847"/>
    </row>
    <row r="67">
      <c r="A67" s="265"/>
      <c r="B67" s="950" t="str">
        <f t="shared" si="6"/>
        <v/>
      </c>
      <c r="D67" s="2">
        <v>746.0</v>
      </c>
      <c r="F67" s="161"/>
      <c r="H67" s="2" t="s">
        <v>4481</v>
      </c>
      <c r="I67" s="847"/>
    </row>
    <row r="68">
      <c r="A68" s="265"/>
      <c r="B68" s="950" t="str">
        <f t="shared" si="6"/>
        <v/>
      </c>
      <c r="D68" s="2">
        <v>2229.0</v>
      </c>
      <c r="F68" s="161"/>
      <c r="H68" s="2" t="s">
        <v>4481</v>
      </c>
      <c r="I68" s="847"/>
    </row>
    <row r="69">
      <c r="A69" s="265"/>
      <c r="B69" s="950" t="str">
        <f t="shared" si="6"/>
        <v/>
      </c>
      <c r="C69" s="2">
        <v>9589.36</v>
      </c>
      <c r="F69" s="852"/>
      <c r="H69" s="2" t="s">
        <v>615</v>
      </c>
      <c r="I69" s="847"/>
    </row>
    <row r="70">
      <c r="A70" s="265"/>
      <c r="B70" s="950"/>
      <c r="F70" s="161">
        <v>600.0</v>
      </c>
      <c r="H70" s="416" t="s">
        <v>4240</v>
      </c>
      <c r="I70" s="951"/>
    </row>
    <row r="71">
      <c r="A71" s="265"/>
      <c r="B71" s="950"/>
      <c r="F71" s="161">
        <v>200.0</v>
      </c>
      <c r="H71" s="2" t="s">
        <v>4482</v>
      </c>
      <c r="I71" s="951"/>
    </row>
    <row r="72">
      <c r="A72" s="265"/>
      <c r="B72" s="950">
        <f>F72</f>
        <v>200</v>
      </c>
      <c r="F72" s="161">
        <v>200.0</v>
      </c>
      <c r="H72" s="2" t="s">
        <v>4310</v>
      </c>
      <c r="I72" s="951"/>
    </row>
    <row r="73">
      <c r="A73" s="270"/>
      <c r="B73" s="194">
        <f>SUM(B62:B72)</f>
        <v>8959.22</v>
      </c>
      <c r="C73" s="18"/>
      <c r="D73" s="18"/>
      <c r="E73" s="18"/>
      <c r="F73" s="952"/>
      <c r="G73" s="18"/>
      <c r="H73" s="18"/>
      <c r="I73" s="663"/>
    </row>
    <row r="74">
      <c r="A74" s="305">
        <v>43777.0</v>
      </c>
      <c r="B74" s="948">
        <f t="shared" ref="B74:B86" si="7">F74</f>
        <v>1850</v>
      </c>
      <c r="C74" s="242"/>
      <c r="D74" s="242"/>
      <c r="E74" s="242"/>
      <c r="F74" s="949">
        <v>1850.0</v>
      </c>
      <c r="G74" s="242"/>
      <c r="H74" s="244" t="s">
        <v>3731</v>
      </c>
      <c r="I74" s="662"/>
    </row>
    <row r="75">
      <c r="A75" s="265"/>
      <c r="B75" s="950">
        <f t="shared" si="7"/>
        <v>384.92</v>
      </c>
      <c r="F75" s="161">
        <v>384.92</v>
      </c>
      <c r="H75" s="2" t="s">
        <v>3433</v>
      </c>
      <c r="I75" s="847"/>
    </row>
    <row r="76">
      <c r="A76" s="265"/>
      <c r="B76" s="950">
        <f t="shared" si="7"/>
        <v>49.11</v>
      </c>
      <c r="F76" s="161">
        <v>49.11</v>
      </c>
      <c r="H76" s="2" t="s">
        <v>314</v>
      </c>
      <c r="I76" s="847"/>
    </row>
    <row r="77">
      <c r="A77" s="265"/>
      <c r="B77" s="950">
        <f t="shared" si="7"/>
        <v>270</v>
      </c>
      <c r="F77" s="161">
        <v>270.0</v>
      </c>
      <c r="H77" s="2" t="s">
        <v>1732</v>
      </c>
      <c r="I77" s="847"/>
    </row>
    <row r="78">
      <c r="A78" s="265"/>
      <c r="B78" s="950" t="str">
        <f t="shared" si="7"/>
        <v/>
      </c>
      <c r="C78" s="2">
        <v>5550.27</v>
      </c>
      <c r="F78" s="852"/>
      <c r="H78" s="2" t="s">
        <v>2637</v>
      </c>
      <c r="I78" s="847"/>
    </row>
    <row r="79">
      <c r="A79" s="265"/>
      <c r="B79" s="950">
        <f t="shared" si="7"/>
        <v>2670</v>
      </c>
      <c r="F79" s="161">
        <v>2670.0</v>
      </c>
      <c r="H79" s="2" t="s">
        <v>612</v>
      </c>
      <c r="I79" s="847"/>
    </row>
    <row r="80">
      <c r="A80" s="265"/>
      <c r="B80" s="950">
        <f t="shared" si="7"/>
        <v>2178</v>
      </c>
      <c r="F80" s="161">
        <v>2178.0</v>
      </c>
      <c r="H80" s="2" t="s">
        <v>4483</v>
      </c>
      <c r="I80" s="847"/>
    </row>
    <row r="81">
      <c r="A81" s="265"/>
      <c r="B81" s="950">
        <f t="shared" si="7"/>
        <v>9801</v>
      </c>
      <c r="F81" s="161">
        <v>9801.0</v>
      </c>
      <c r="H81" s="2" t="s">
        <v>4483</v>
      </c>
      <c r="I81" s="847"/>
    </row>
    <row r="82">
      <c r="A82" s="265"/>
      <c r="B82" s="950">
        <f t="shared" si="7"/>
        <v>40000</v>
      </c>
      <c r="F82" s="161">
        <v>40000.0</v>
      </c>
      <c r="H82" s="2" t="s">
        <v>3033</v>
      </c>
      <c r="I82" s="847"/>
    </row>
    <row r="83">
      <c r="A83" s="265"/>
      <c r="B83" s="950">
        <f t="shared" si="7"/>
        <v>30.31</v>
      </c>
      <c r="F83" s="161">
        <v>30.31</v>
      </c>
      <c r="H83" s="2" t="s">
        <v>4484</v>
      </c>
      <c r="I83" s="847"/>
    </row>
    <row r="84">
      <c r="A84" s="265"/>
      <c r="B84" s="950">
        <f t="shared" si="7"/>
        <v>4000</v>
      </c>
      <c r="F84" s="161">
        <v>4000.0</v>
      </c>
      <c r="H84" s="2" t="s">
        <v>764</v>
      </c>
      <c r="I84" s="951"/>
    </row>
    <row r="85">
      <c r="A85" s="265"/>
      <c r="B85" s="950">
        <f t="shared" si="7"/>
        <v>7000</v>
      </c>
      <c r="F85" s="161">
        <v>7000.0</v>
      </c>
      <c r="H85" s="2" t="s">
        <v>2787</v>
      </c>
      <c r="I85" s="951"/>
    </row>
    <row r="86">
      <c r="A86" s="265"/>
      <c r="B86" s="950">
        <f t="shared" si="7"/>
        <v>4000</v>
      </c>
      <c r="F86" s="161">
        <v>4000.0</v>
      </c>
      <c r="H86" s="2" t="s">
        <v>3818</v>
      </c>
      <c r="I86" s="1011" t="s">
        <v>4485</v>
      </c>
    </row>
    <row r="87">
      <c r="A87" s="265"/>
      <c r="B87" s="950"/>
      <c r="D87" s="2"/>
      <c r="F87" s="161">
        <v>800.0</v>
      </c>
      <c r="H87" s="2" t="s">
        <v>4424</v>
      </c>
      <c r="I87" s="847"/>
    </row>
    <row r="88">
      <c r="A88" s="265"/>
      <c r="B88" s="950"/>
      <c r="D88" s="2"/>
      <c r="F88" s="161">
        <v>1000.0</v>
      </c>
      <c r="H88" s="2" t="s">
        <v>4424</v>
      </c>
      <c r="I88" s="847"/>
    </row>
    <row r="89">
      <c r="A89" s="265"/>
      <c r="B89" s="950"/>
      <c r="D89" s="2"/>
      <c r="F89" s="161"/>
      <c r="H89" s="2"/>
      <c r="I89" s="847"/>
    </row>
    <row r="90">
      <c r="A90" s="265"/>
      <c r="B90" s="950" t="str">
        <f>F90</f>
        <v/>
      </c>
      <c r="D90" s="2">
        <v>3872.0</v>
      </c>
      <c r="F90" s="161"/>
      <c r="H90" s="2" t="s">
        <v>4424</v>
      </c>
      <c r="I90" s="847"/>
    </row>
    <row r="91">
      <c r="A91" s="270"/>
      <c r="B91" s="194">
        <f>SUM(B74:B90)</f>
        <v>72233.34</v>
      </c>
      <c r="C91" s="18"/>
      <c r="D91" s="18"/>
      <c r="E91" s="18"/>
      <c r="F91" s="952"/>
      <c r="G91" s="18"/>
      <c r="H91" s="18"/>
      <c r="I91" s="663"/>
    </row>
    <row r="92">
      <c r="A92" s="305">
        <v>43778.0</v>
      </c>
      <c r="B92" s="948">
        <f t="shared" ref="B92:B99" si="8">F92</f>
        <v>7600</v>
      </c>
      <c r="C92" s="242"/>
      <c r="D92" s="242"/>
      <c r="E92" s="242"/>
      <c r="F92" s="949">
        <v>7600.0</v>
      </c>
      <c r="G92" s="242"/>
      <c r="H92" s="244" t="s">
        <v>4403</v>
      </c>
      <c r="I92" s="1019"/>
    </row>
    <row r="93">
      <c r="A93" s="265"/>
      <c r="B93" s="950">
        <f t="shared" si="8"/>
        <v>4600</v>
      </c>
      <c r="F93" s="161">
        <v>4600.0</v>
      </c>
      <c r="H93" s="2" t="s">
        <v>4486</v>
      </c>
      <c r="I93" s="1011"/>
    </row>
    <row r="94">
      <c r="A94" s="265"/>
      <c r="B94" s="950">
        <f t="shared" si="8"/>
        <v>3000</v>
      </c>
      <c r="F94" s="161">
        <v>3000.0</v>
      </c>
      <c r="H94" s="416" t="s">
        <v>4487</v>
      </c>
      <c r="I94" s="1011"/>
    </row>
    <row r="95">
      <c r="A95" s="265"/>
      <c r="B95" s="950">
        <f t="shared" si="8"/>
        <v>4800</v>
      </c>
      <c r="F95" s="161">
        <v>4800.0</v>
      </c>
      <c r="H95" s="2" t="s">
        <v>4475</v>
      </c>
      <c r="I95" s="1011"/>
    </row>
    <row r="96">
      <c r="A96" s="265"/>
      <c r="B96" s="950">
        <f t="shared" si="8"/>
        <v>6000</v>
      </c>
      <c r="F96" s="161">
        <v>6000.0</v>
      </c>
      <c r="H96" s="2" t="s">
        <v>4405</v>
      </c>
      <c r="I96" s="1011"/>
    </row>
    <row r="97">
      <c r="A97" s="265"/>
      <c r="B97" s="950">
        <f t="shared" si="8"/>
        <v>4600</v>
      </c>
      <c r="F97" s="161">
        <v>4600.0</v>
      </c>
      <c r="H97" s="2" t="s">
        <v>4488</v>
      </c>
      <c r="I97" s="951"/>
    </row>
    <row r="98">
      <c r="A98" s="265"/>
      <c r="B98" s="950">
        <f t="shared" si="8"/>
        <v>769.31</v>
      </c>
      <c r="F98" s="161">
        <v>769.31</v>
      </c>
      <c r="H98" s="2" t="s">
        <v>58</v>
      </c>
      <c r="I98" s="847"/>
    </row>
    <row r="99">
      <c r="A99" s="265"/>
      <c r="B99" s="950">
        <f t="shared" si="8"/>
        <v>700</v>
      </c>
      <c r="F99" s="161">
        <v>700.0</v>
      </c>
      <c r="H99" s="2" t="s">
        <v>3437</v>
      </c>
      <c r="I99" s="951"/>
    </row>
    <row r="100">
      <c r="A100" s="265"/>
      <c r="B100" s="950"/>
      <c r="F100" s="161">
        <v>127.75</v>
      </c>
      <c r="H100" s="2" t="s">
        <v>314</v>
      </c>
      <c r="I100" s="847"/>
    </row>
    <row r="101">
      <c r="A101" s="265"/>
      <c r="B101" s="950"/>
      <c r="D101" s="2">
        <v>440.0</v>
      </c>
      <c r="F101" s="852"/>
      <c r="H101" s="2" t="s">
        <v>1732</v>
      </c>
      <c r="I101" s="847"/>
    </row>
    <row r="102">
      <c r="A102" s="265"/>
      <c r="B102" s="950" t="str">
        <f>F102</f>
        <v/>
      </c>
      <c r="F102" s="852"/>
      <c r="I102" s="847"/>
    </row>
    <row r="103">
      <c r="A103" s="270"/>
      <c r="B103" s="194">
        <f>SUM(B92:B102)</f>
        <v>32069.31</v>
      </c>
      <c r="C103" s="18"/>
      <c r="D103" s="18"/>
      <c r="E103" s="18"/>
      <c r="F103" s="952"/>
      <c r="G103" s="18"/>
      <c r="H103" s="18"/>
      <c r="I103" s="663"/>
    </row>
    <row r="104">
      <c r="A104" s="305">
        <v>43779.0</v>
      </c>
      <c r="B104" s="948" t="str">
        <f>F104</f>
        <v/>
      </c>
      <c r="C104" s="242"/>
      <c r="D104" s="242"/>
      <c r="E104" s="242"/>
      <c r="F104" s="1018"/>
      <c r="G104" s="242"/>
      <c r="H104" s="242"/>
      <c r="I104" s="662"/>
    </row>
    <row r="105">
      <c r="A105" s="270"/>
      <c r="B105" s="194">
        <f>SUM(B104)</f>
        <v>0</v>
      </c>
      <c r="C105" s="18"/>
      <c r="D105" s="18"/>
      <c r="E105" s="18"/>
      <c r="F105" s="952"/>
      <c r="G105" s="18"/>
      <c r="H105" s="18"/>
      <c r="I105" s="663"/>
    </row>
    <row r="106">
      <c r="A106" s="305">
        <v>43780.0</v>
      </c>
      <c r="B106" s="948">
        <f t="shared" ref="B106:B114" si="9">F106</f>
        <v>900</v>
      </c>
      <c r="C106" s="242"/>
      <c r="D106" s="242"/>
      <c r="E106" s="242"/>
      <c r="F106" s="949">
        <v>900.0</v>
      </c>
      <c r="G106" s="242"/>
      <c r="H106" s="244" t="s">
        <v>612</v>
      </c>
      <c r="I106" s="662"/>
    </row>
    <row r="107">
      <c r="A107" s="265"/>
      <c r="B107" s="950">
        <f t="shared" si="9"/>
        <v>1850</v>
      </c>
      <c r="F107" s="161">
        <v>1850.0</v>
      </c>
      <c r="H107" s="2" t="s">
        <v>3731</v>
      </c>
      <c r="I107" s="847"/>
    </row>
    <row r="108">
      <c r="A108" s="265"/>
      <c r="B108" s="950">
        <f t="shared" si="9"/>
        <v>2362.6</v>
      </c>
      <c r="F108" s="161">
        <v>2362.6</v>
      </c>
      <c r="H108" s="2" t="s">
        <v>58</v>
      </c>
      <c r="I108" s="847"/>
    </row>
    <row r="109">
      <c r="A109" s="265"/>
      <c r="B109" s="950">
        <f t="shared" si="9"/>
        <v>94.38</v>
      </c>
      <c r="F109" s="161">
        <v>94.38</v>
      </c>
      <c r="H109" s="2" t="s">
        <v>314</v>
      </c>
      <c r="I109" s="847"/>
    </row>
    <row r="110">
      <c r="A110" s="265"/>
      <c r="B110" s="950" t="str">
        <f t="shared" si="9"/>
        <v/>
      </c>
      <c r="F110" s="852"/>
      <c r="I110" s="847"/>
    </row>
    <row r="111">
      <c r="A111" s="265"/>
      <c r="B111" s="950" t="str">
        <f t="shared" si="9"/>
        <v/>
      </c>
      <c r="F111" s="852"/>
      <c r="I111" s="847"/>
    </row>
    <row r="112">
      <c r="A112" s="265"/>
      <c r="B112" s="950" t="str">
        <f t="shared" si="9"/>
        <v/>
      </c>
      <c r="F112" s="852"/>
      <c r="I112" s="847"/>
    </row>
    <row r="113">
      <c r="A113" s="265"/>
      <c r="B113" s="950" t="str">
        <f t="shared" si="9"/>
        <v/>
      </c>
      <c r="F113" s="852"/>
      <c r="I113" s="847"/>
    </row>
    <row r="114">
      <c r="A114" s="265"/>
      <c r="B114" s="950" t="str">
        <f t="shared" si="9"/>
        <v/>
      </c>
      <c r="F114" s="852"/>
      <c r="I114" s="847"/>
    </row>
    <row r="115">
      <c r="A115" s="270"/>
      <c r="B115" s="194">
        <f>SUM(B106:B114)</f>
        <v>5206.98</v>
      </c>
      <c r="C115" s="18"/>
      <c r="D115" s="18"/>
      <c r="E115" s="18"/>
      <c r="F115" s="952"/>
      <c r="G115" s="18"/>
      <c r="H115" s="18"/>
      <c r="I115" s="663"/>
    </row>
    <row r="116">
      <c r="A116" s="305">
        <v>43781.0</v>
      </c>
      <c r="B116" s="948">
        <f t="shared" ref="B116:B130" si="10">F116</f>
        <v>3147</v>
      </c>
      <c r="C116" s="242"/>
      <c r="D116" s="242"/>
      <c r="E116" s="242"/>
      <c r="F116" s="949">
        <v>3147.0</v>
      </c>
      <c r="G116" s="242"/>
      <c r="H116" s="244" t="s">
        <v>4230</v>
      </c>
      <c r="I116" s="662"/>
    </row>
    <row r="117">
      <c r="A117" s="265"/>
      <c r="B117" s="950">
        <f t="shared" si="10"/>
        <v>1700</v>
      </c>
      <c r="F117" s="161">
        <v>1700.0</v>
      </c>
      <c r="H117" s="2" t="s">
        <v>4230</v>
      </c>
      <c r="I117" s="847"/>
    </row>
    <row r="118">
      <c r="A118" s="265"/>
      <c r="B118" s="950">
        <f t="shared" si="10"/>
        <v>1850</v>
      </c>
      <c r="F118" s="161">
        <v>1850.0</v>
      </c>
      <c r="H118" s="2" t="s">
        <v>3731</v>
      </c>
      <c r="I118" s="847"/>
    </row>
    <row r="119">
      <c r="A119" s="265"/>
      <c r="B119" s="950">
        <f t="shared" si="10"/>
        <v>769.31</v>
      </c>
      <c r="F119" s="161">
        <v>769.31</v>
      </c>
      <c r="H119" s="2" t="s">
        <v>58</v>
      </c>
      <c r="I119" s="847"/>
    </row>
    <row r="120">
      <c r="A120" s="265"/>
      <c r="B120" s="950" t="str">
        <f t="shared" si="10"/>
        <v/>
      </c>
      <c r="C120" s="2">
        <v>4640.0</v>
      </c>
      <c r="F120" s="161"/>
      <c r="H120" s="2" t="s">
        <v>2637</v>
      </c>
      <c r="I120" s="847"/>
    </row>
    <row r="121">
      <c r="A121" s="265"/>
      <c r="B121" s="950" t="str">
        <f t="shared" si="10"/>
        <v/>
      </c>
      <c r="E121" s="2">
        <v>6476.0</v>
      </c>
      <c r="F121" s="852"/>
      <c r="H121" s="2" t="s">
        <v>4039</v>
      </c>
      <c r="I121" s="847"/>
    </row>
    <row r="122">
      <c r="A122" s="265"/>
      <c r="B122" s="950">
        <f t="shared" si="10"/>
        <v>95.8</v>
      </c>
      <c r="F122" s="161">
        <v>95.8</v>
      </c>
      <c r="H122" s="2" t="s">
        <v>345</v>
      </c>
      <c r="I122" s="847"/>
    </row>
    <row r="123">
      <c r="A123" s="265"/>
      <c r="B123" s="950">
        <f t="shared" si="10"/>
        <v>2280</v>
      </c>
      <c r="F123" s="161">
        <v>2280.0</v>
      </c>
      <c r="H123" s="2" t="s">
        <v>4489</v>
      </c>
      <c r="I123" s="847"/>
    </row>
    <row r="124">
      <c r="A124" s="265"/>
      <c r="B124" s="950">
        <f t="shared" si="10"/>
        <v>199.81</v>
      </c>
      <c r="F124" s="161">
        <v>199.81</v>
      </c>
      <c r="H124" s="2" t="s">
        <v>314</v>
      </c>
      <c r="I124" s="847"/>
    </row>
    <row r="125">
      <c r="A125" s="265"/>
      <c r="B125" s="950">
        <f t="shared" si="10"/>
        <v>180</v>
      </c>
      <c r="F125" s="161">
        <v>180.0</v>
      </c>
      <c r="H125" s="2" t="s">
        <v>1729</v>
      </c>
      <c r="I125" s="847"/>
    </row>
    <row r="126">
      <c r="A126" s="265"/>
      <c r="B126" s="950">
        <f t="shared" si="10"/>
        <v>10000</v>
      </c>
      <c r="F126" s="161">
        <v>10000.0</v>
      </c>
      <c r="H126" s="2" t="s">
        <v>4490</v>
      </c>
      <c r="I126" s="951"/>
    </row>
    <row r="127">
      <c r="A127" s="265"/>
      <c r="B127" s="950">
        <f t="shared" si="10"/>
        <v>240</v>
      </c>
      <c r="F127" s="161">
        <v>240.0</v>
      </c>
      <c r="H127" s="2" t="s">
        <v>4491</v>
      </c>
      <c r="I127" s="951"/>
    </row>
    <row r="128">
      <c r="A128" s="265"/>
      <c r="B128" s="950">
        <f t="shared" si="10"/>
        <v>514</v>
      </c>
      <c r="F128" s="161">
        <v>514.0</v>
      </c>
      <c r="H128" s="2" t="s">
        <v>4492</v>
      </c>
      <c r="I128" s="847"/>
    </row>
    <row r="129">
      <c r="A129" s="265"/>
      <c r="B129" s="950" t="str">
        <f t="shared" si="10"/>
        <v/>
      </c>
      <c r="D129" s="2">
        <v>816.0</v>
      </c>
      <c r="F129" s="161"/>
      <c r="H129" s="2" t="s">
        <v>4493</v>
      </c>
      <c r="I129" s="847"/>
    </row>
    <row r="130">
      <c r="A130" s="265"/>
      <c r="B130" s="950">
        <f t="shared" si="10"/>
        <v>500</v>
      </c>
      <c r="F130" s="161">
        <v>500.0</v>
      </c>
      <c r="H130" s="2" t="s">
        <v>633</v>
      </c>
      <c r="I130" s="847"/>
    </row>
    <row r="131">
      <c r="A131" s="270"/>
      <c r="B131" s="194">
        <f>SUM(B116:B130)</f>
        <v>21475.92</v>
      </c>
      <c r="C131" s="18"/>
      <c r="D131" s="18"/>
      <c r="E131" s="18"/>
      <c r="F131" s="952"/>
      <c r="G131" s="18"/>
      <c r="H131" s="18"/>
      <c r="I131" s="663"/>
    </row>
    <row r="132">
      <c r="A132" s="305">
        <v>43782.0</v>
      </c>
      <c r="B132" s="948">
        <f t="shared" ref="B132:B143" si="11">F132</f>
        <v>130</v>
      </c>
      <c r="C132" s="242"/>
      <c r="D132" s="242"/>
      <c r="E132" s="242"/>
      <c r="F132" s="949">
        <v>130.0</v>
      </c>
      <c r="G132" s="242"/>
      <c r="H132" s="244" t="s">
        <v>4494</v>
      </c>
      <c r="I132" s="662"/>
    </row>
    <row r="133">
      <c r="A133" s="265"/>
      <c r="B133" s="950">
        <f t="shared" si="11"/>
        <v>570.98</v>
      </c>
      <c r="F133" s="161">
        <v>570.98</v>
      </c>
      <c r="H133" s="2" t="s">
        <v>314</v>
      </c>
      <c r="I133" s="847"/>
    </row>
    <row r="134">
      <c r="A134" s="265"/>
      <c r="B134" s="950">
        <f t="shared" si="11"/>
        <v>1850</v>
      </c>
      <c r="F134" s="161">
        <v>1850.0</v>
      </c>
      <c r="H134" s="2" t="s">
        <v>3731</v>
      </c>
      <c r="I134" s="847"/>
    </row>
    <row r="135">
      <c r="A135" s="265"/>
      <c r="B135" s="950">
        <f t="shared" si="11"/>
        <v>50</v>
      </c>
      <c r="F135" s="161">
        <v>50.0</v>
      </c>
      <c r="H135" s="2" t="s">
        <v>314</v>
      </c>
      <c r="I135" s="847"/>
    </row>
    <row r="136">
      <c r="A136" s="265"/>
      <c r="B136" s="950">
        <f t="shared" si="11"/>
        <v>769.31</v>
      </c>
      <c r="F136" s="161">
        <v>769.31</v>
      </c>
      <c r="H136" s="2" t="s">
        <v>58</v>
      </c>
      <c r="I136" s="847"/>
    </row>
    <row r="137">
      <c r="A137" s="265"/>
      <c r="B137" s="950">
        <f t="shared" si="11"/>
        <v>4190</v>
      </c>
      <c r="F137" s="161">
        <v>4190.0</v>
      </c>
      <c r="H137" s="2" t="s">
        <v>4299</v>
      </c>
      <c r="I137" s="847"/>
    </row>
    <row r="138">
      <c r="A138" s="265"/>
      <c r="B138" s="950" t="str">
        <f t="shared" si="11"/>
        <v/>
      </c>
      <c r="D138" s="2">
        <v>3663.0</v>
      </c>
      <c r="F138" s="852"/>
      <c r="H138" s="2" t="s">
        <v>3326</v>
      </c>
      <c r="I138" s="847"/>
    </row>
    <row r="139">
      <c r="A139" s="265"/>
      <c r="B139" s="950" t="str">
        <f t="shared" si="11"/>
        <v/>
      </c>
      <c r="D139" s="2">
        <v>12595.7</v>
      </c>
      <c r="F139" s="852"/>
      <c r="H139" s="2" t="s">
        <v>4495</v>
      </c>
      <c r="I139" s="847"/>
    </row>
    <row r="140">
      <c r="A140" s="265"/>
      <c r="B140" s="950">
        <f t="shared" si="11"/>
        <v>199</v>
      </c>
      <c r="F140" s="161">
        <v>199.0</v>
      </c>
      <c r="H140" s="2" t="s">
        <v>314</v>
      </c>
      <c r="I140" s="963" t="s">
        <v>3930</v>
      </c>
    </row>
    <row r="141">
      <c r="A141" s="265"/>
      <c r="B141" s="950">
        <f t="shared" si="11"/>
        <v>91.3</v>
      </c>
      <c r="F141" s="161">
        <v>91.3</v>
      </c>
      <c r="H141" s="2" t="s">
        <v>314</v>
      </c>
      <c r="I141" s="963" t="s">
        <v>2899</v>
      </c>
    </row>
    <row r="142">
      <c r="A142" s="265"/>
      <c r="B142" s="950">
        <f t="shared" si="11"/>
        <v>140</v>
      </c>
      <c r="F142" s="161">
        <v>140.0</v>
      </c>
      <c r="H142" s="2" t="s">
        <v>4496</v>
      </c>
      <c r="I142" s="963"/>
    </row>
    <row r="143">
      <c r="A143" s="265"/>
      <c r="B143" s="950">
        <f t="shared" si="11"/>
        <v>860</v>
      </c>
      <c r="F143" s="161">
        <v>860.0</v>
      </c>
      <c r="H143" s="416" t="s">
        <v>4240</v>
      </c>
      <c r="I143" s="1011"/>
    </row>
    <row r="144">
      <c r="A144" s="270"/>
      <c r="B144" s="194">
        <f>SUM(B132:B143)</f>
        <v>8850.59</v>
      </c>
      <c r="C144" s="18"/>
      <c r="D144" s="18"/>
      <c r="E144" s="18"/>
      <c r="F144" s="952"/>
      <c r="G144" s="18"/>
      <c r="H144" s="18"/>
      <c r="I144" s="663"/>
    </row>
    <row r="145">
      <c r="A145" s="305">
        <v>43783.0</v>
      </c>
      <c r="B145" s="948">
        <f t="shared" ref="B145:B155" si="12">F145</f>
        <v>4801</v>
      </c>
      <c r="C145" s="242"/>
      <c r="D145" s="242"/>
      <c r="E145" s="242"/>
      <c r="F145" s="949">
        <v>4801.0</v>
      </c>
      <c r="G145" s="242"/>
      <c r="H145" s="244" t="s">
        <v>4299</v>
      </c>
      <c r="I145" s="662"/>
    </row>
    <row r="146">
      <c r="A146" s="265"/>
      <c r="B146" s="950">
        <f t="shared" si="12"/>
        <v>1734.27</v>
      </c>
      <c r="F146" s="161">
        <v>1734.27</v>
      </c>
      <c r="H146" s="2" t="s">
        <v>3821</v>
      </c>
      <c r="I146" s="847"/>
    </row>
    <row r="147">
      <c r="A147" s="265"/>
      <c r="B147" s="950">
        <f t="shared" si="12"/>
        <v>1850</v>
      </c>
      <c r="F147" s="161">
        <v>1850.0</v>
      </c>
      <c r="H147" s="2" t="s">
        <v>3904</v>
      </c>
      <c r="I147" s="847"/>
    </row>
    <row r="148">
      <c r="A148" s="265"/>
      <c r="B148" s="950">
        <f t="shared" si="12"/>
        <v>480</v>
      </c>
      <c r="F148" s="161">
        <v>480.0</v>
      </c>
      <c r="H148" s="2" t="s">
        <v>346</v>
      </c>
      <c r="I148" s="847"/>
    </row>
    <row r="149">
      <c r="A149" s="265"/>
      <c r="B149" s="950">
        <f t="shared" si="12"/>
        <v>3285</v>
      </c>
      <c r="F149" s="161">
        <v>3285.0</v>
      </c>
      <c r="H149" s="2" t="s">
        <v>3917</v>
      </c>
      <c r="I149" s="847"/>
    </row>
    <row r="150">
      <c r="A150" s="265"/>
      <c r="B150" s="950">
        <f t="shared" si="12"/>
        <v>700</v>
      </c>
      <c r="F150" s="161">
        <v>700.0</v>
      </c>
      <c r="H150" s="2" t="s">
        <v>4497</v>
      </c>
      <c r="I150" s="1016"/>
    </row>
    <row r="151">
      <c r="A151" s="265"/>
      <c r="B151" s="950" t="str">
        <f t="shared" si="12"/>
        <v/>
      </c>
      <c r="D151" s="2">
        <v>6742.0</v>
      </c>
      <c r="F151" s="852"/>
      <c r="H151" s="2" t="s">
        <v>188</v>
      </c>
      <c r="I151" s="847"/>
    </row>
    <row r="152">
      <c r="A152" s="265"/>
      <c r="B152" s="950">
        <f t="shared" si="12"/>
        <v>250</v>
      </c>
      <c r="F152" s="161">
        <v>250.0</v>
      </c>
      <c r="H152" s="2" t="s">
        <v>4498</v>
      </c>
      <c r="I152" s="847"/>
    </row>
    <row r="153">
      <c r="A153" s="265"/>
      <c r="B153" s="950">
        <f t="shared" si="12"/>
        <v>136</v>
      </c>
      <c r="F153" s="161">
        <v>136.0</v>
      </c>
      <c r="H153" s="2" t="s">
        <v>4499</v>
      </c>
      <c r="I153" s="847"/>
    </row>
    <row r="154">
      <c r="A154" s="265"/>
      <c r="B154" s="950" t="str">
        <f t="shared" si="12"/>
        <v/>
      </c>
      <c r="D154" s="2">
        <v>2280.0</v>
      </c>
      <c r="F154" s="161"/>
      <c r="H154" s="2" t="s">
        <v>4500</v>
      </c>
      <c r="I154" s="847"/>
    </row>
    <row r="155">
      <c r="A155" s="265"/>
      <c r="B155" s="950" t="str">
        <f t="shared" si="12"/>
        <v/>
      </c>
      <c r="D155" s="2">
        <v>1600.0</v>
      </c>
      <c r="F155" s="161"/>
      <c r="H155" s="2" t="s">
        <v>4501</v>
      </c>
      <c r="I155" s="847"/>
    </row>
    <row r="156">
      <c r="A156" s="265"/>
      <c r="B156" s="950"/>
      <c r="D156" s="2"/>
      <c r="F156" s="161">
        <v>75.0</v>
      </c>
      <c r="H156" s="2" t="s">
        <v>4502</v>
      </c>
      <c r="I156" s="847"/>
    </row>
    <row r="157">
      <c r="A157" s="265"/>
      <c r="B157" s="950"/>
      <c r="D157" s="2"/>
      <c r="F157" s="161"/>
      <c r="H157" s="2"/>
      <c r="I157" s="847"/>
    </row>
    <row r="158">
      <c r="A158" s="265"/>
      <c r="B158" s="950"/>
      <c r="D158" s="2"/>
      <c r="F158" s="161"/>
      <c r="H158" s="2"/>
      <c r="I158" s="847"/>
    </row>
    <row r="159">
      <c r="A159" s="270"/>
      <c r="B159" s="194">
        <f>SUM(B145:B155)</f>
        <v>13236.27</v>
      </c>
      <c r="C159" s="18"/>
      <c r="D159" s="18"/>
      <c r="E159" s="18"/>
      <c r="F159" s="952"/>
      <c r="G159" s="18"/>
      <c r="H159" s="18"/>
      <c r="I159" s="663"/>
    </row>
    <row r="160">
      <c r="A160" s="305">
        <v>43784.0</v>
      </c>
      <c r="B160" s="948">
        <f t="shared" ref="B160:B173" si="13">F160</f>
        <v>1538.62</v>
      </c>
      <c r="C160" s="242"/>
      <c r="D160" s="242"/>
      <c r="E160" s="242"/>
      <c r="F160" s="949">
        <v>1538.62</v>
      </c>
      <c r="G160" s="242"/>
      <c r="H160" s="244" t="s">
        <v>3821</v>
      </c>
      <c r="I160" s="662"/>
    </row>
    <row r="161">
      <c r="A161" s="265"/>
      <c r="B161" s="950">
        <f t="shared" si="13"/>
        <v>1850</v>
      </c>
      <c r="F161" s="161">
        <v>1850.0</v>
      </c>
      <c r="H161" s="2" t="s">
        <v>3904</v>
      </c>
      <c r="I161" s="847"/>
    </row>
    <row r="162">
      <c r="A162" s="265"/>
      <c r="B162" s="950" t="str">
        <f t="shared" si="13"/>
        <v/>
      </c>
      <c r="D162" s="2">
        <v>11700.0</v>
      </c>
      <c r="F162" s="852"/>
      <c r="H162" s="2" t="s">
        <v>4194</v>
      </c>
      <c r="I162" s="847"/>
    </row>
    <row r="163">
      <c r="A163" s="265"/>
      <c r="B163" s="950">
        <f t="shared" si="13"/>
        <v>224</v>
      </c>
      <c r="F163" s="161">
        <v>224.0</v>
      </c>
      <c r="H163" s="2" t="s">
        <v>4503</v>
      </c>
      <c r="I163" s="847"/>
    </row>
    <row r="164">
      <c r="A164" s="265"/>
      <c r="B164" s="950">
        <f t="shared" si="13"/>
        <v>275</v>
      </c>
      <c r="F164" s="161">
        <v>275.0</v>
      </c>
      <c r="H164" s="2" t="s">
        <v>4504</v>
      </c>
      <c r="I164" s="847"/>
    </row>
    <row r="165">
      <c r="A165" s="265"/>
      <c r="B165" s="950">
        <f t="shared" si="13"/>
        <v>85</v>
      </c>
      <c r="F165" s="161">
        <v>85.0</v>
      </c>
      <c r="H165" s="2" t="s">
        <v>4505</v>
      </c>
      <c r="I165" s="847"/>
    </row>
    <row r="166">
      <c r="A166" s="265"/>
      <c r="B166" s="950">
        <f t="shared" si="13"/>
        <v>108.33</v>
      </c>
      <c r="F166" s="161">
        <v>108.33</v>
      </c>
      <c r="H166" s="2" t="s">
        <v>2899</v>
      </c>
      <c r="I166" s="847"/>
    </row>
    <row r="167">
      <c r="A167" s="265"/>
      <c r="B167" s="950" t="str">
        <f t="shared" si="13"/>
        <v/>
      </c>
      <c r="D167" s="2">
        <v>9500.0</v>
      </c>
      <c r="F167" s="852"/>
      <c r="H167" s="2" t="s">
        <v>196</v>
      </c>
      <c r="I167" s="847"/>
    </row>
    <row r="168">
      <c r="A168" s="265"/>
      <c r="B168" s="950">
        <f t="shared" si="13"/>
        <v>10000</v>
      </c>
      <c r="F168" s="161">
        <v>10000.0</v>
      </c>
      <c r="H168" s="2" t="s">
        <v>4506</v>
      </c>
      <c r="I168" s="1016"/>
    </row>
    <row r="169">
      <c r="A169" s="265"/>
      <c r="B169" s="950">
        <f t="shared" si="13"/>
        <v>5000</v>
      </c>
      <c r="F169" s="161">
        <v>5000.0</v>
      </c>
      <c r="H169" s="2" t="s">
        <v>4507</v>
      </c>
      <c r="I169" s="1016"/>
    </row>
    <row r="170">
      <c r="A170" s="265"/>
      <c r="B170" s="950">
        <f t="shared" si="13"/>
        <v>4000</v>
      </c>
      <c r="F170" s="161">
        <v>4000.0</v>
      </c>
      <c r="H170" s="2" t="s">
        <v>4001</v>
      </c>
      <c r="I170" s="963"/>
    </row>
    <row r="171">
      <c r="A171" s="265"/>
      <c r="B171" s="950">
        <f t="shared" si="13"/>
        <v>4800</v>
      </c>
      <c r="F171" s="161">
        <v>4800.0</v>
      </c>
      <c r="H171" s="2" t="s">
        <v>4486</v>
      </c>
      <c r="I171" s="963"/>
    </row>
    <row r="172">
      <c r="A172" s="265"/>
      <c r="B172" s="950">
        <f t="shared" si="13"/>
        <v>5000</v>
      </c>
      <c r="F172" s="161">
        <v>5000.0</v>
      </c>
      <c r="H172" s="2" t="s">
        <v>4002</v>
      </c>
      <c r="I172" s="963"/>
    </row>
    <row r="173">
      <c r="A173" s="265"/>
      <c r="B173" s="950">
        <f t="shared" si="13"/>
        <v>528</v>
      </c>
      <c r="F173" s="161">
        <v>528.0</v>
      </c>
      <c r="H173" s="2" t="s">
        <v>2708</v>
      </c>
      <c r="I173" s="847"/>
    </row>
    <row r="174">
      <c r="A174" s="265"/>
      <c r="B174" s="967"/>
      <c r="F174" s="852"/>
      <c r="I174" s="847"/>
    </row>
    <row r="175">
      <c r="A175" s="265"/>
      <c r="B175" s="967"/>
      <c r="F175" s="852"/>
      <c r="I175" s="847"/>
    </row>
    <row r="176">
      <c r="A176" s="270"/>
      <c r="B176" s="194">
        <f>SUM(B160:B173)</f>
        <v>33408.95</v>
      </c>
      <c r="C176" s="18"/>
      <c r="D176" s="18"/>
      <c r="E176" s="18"/>
      <c r="F176" s="952"/>
      <c r="G176" s="18"/>
      <c r="H176" s="18"/>
      <c r="I176" s="663"/>
    </row>
    <row r="177">
      <c r="A177" s="305">
        <v>43785.0</v>
      </c>
      <c r="B177" s="948">
        <f t="shared" ref="B177:B185" si="14">F177</f>
        <v>96</v>
      </c>
      <c r="C177" s="242"/>
      <c r="D177" s="242"/>
      <c r="E177" s="242"/>
      <c r="F177" s="949">
        <v>96.0</v>
      </c>
      <c r="G177" s="242"/>
      <c r="H177" s="244" t="s">
        <v>4508</v>
      </c>
      <c r="I177" s="662"/>
    </row>
    <row r="178">
      <c r="A178" s="265"/>
      <c r="B178" s="950">
        <f t="shared" si="14"/>
        <v>7000</v>
      </c>
      <c r="F178" s="161">
        <v>7000.0</v>
      </c>
      <c r="H178" s="2" t="s">
        <v>2787</v>
      </c>
      <c r="I178" s="951"/>
    </row>
    <row r="179">
      <c r="A179" s="265"/>
      <c r="B179" s="950">
        <f t="shared" si="14"/>
        <v>6000</v>
      </c>
      <c r="F179" s="161">
        <v>6000.0</v>
      </c>
      <c r="H179" s="2" t="s">
        <v>3845</v>
      </c>
      <c r="I179" s="951"/>
    </row>
    <row r="180">
      <c r="A180" s="265"/>
      <c r="B180" s="950">
        <f t="shared" si="14"/>
        <v>3000</v>
      </c>
      <c r="F180" s="161">
        <v>3000.0</v>
      </c>
      <c r="H180" s="416" t="s">
        <v>3897</v>
      </c>
      <c r="I180" s="951"/>
    </row>
    <row r="181">
      <c r="A181" s="265"/>
      <c r="B181" s="950">
        <f t="shared" si="14"/>
        <v>5600</v>
      </c>
      <c r="F181" s="161">
        <v>5600.0</v>
      </c>
      <c r="H181" s="2" t="s">
        <v>3493</v>
      </c>
      <c r="I181" s="951"/>
    </row>
    <row r="182">
      <c r="A182" s="265"/>
      <c r="B182" s="950">
        <f t="shared" si="14"/>
        <v>65</v>
      </c>
      <c r="F182" s="161">
        <v>65.0</v>
      </c>
      <c r="H182" s="2" t="s">
        <v>4505</v>
      </c>
      <c r="I182" s="847"/>
    </row>
    <row r="183">
      <c r="A183" s="265"/>
      <c r="B183" s="950">
        <f t="shared" si="14"/>
        <v>2841.22</v>
      </c>
      <c r="F183" s="161">
        <v>2841.22</v>
      </c>
      <c r="H183" s="2" t="s">
        <v>3821</v>
      </c>
      <c r="I183" s="847"/>
    </row>
    <row r="184">
      <c r="A184" s="265"/>
      <c r="B184" s="950">
        <f t="shared" si="14"/>
        <v>4313.93</v>
      </c>
      <c r="F184" s="161">
        <v>4313.93</v>
      </c>
      <c r="H184" s="2" t="s">
        <v>3964</v>
      </c>
      <c r="I184" s="847"/>
    </row>
    <row r="185">
      <c r="A185" s="265"/>
      <c r="B185" s="950" t="str">
        <f t="shared" si="14"/>
        <v/>
      </c>
      <c r="F185" s="852"/>
      <c r="I185" s="847"/>
    </row>
    <row r="186">
      <c r="A186" s="270"/>
      <c r="B186" s="194">
        <f>SUM(B177:B185)</f>
        <v>28916.15</v>
      </c>
      <c r="C186" s="18"/>
      <c r="D186" s="18"/>
      <c r="E186" s="18"/>
      <c r="F186" s="952"/>
      <c r="G186" s="18"/>
      <c r="H186" s="18"/>
      <c r="I186" s="663"/>
    </row>
    <row r="187">
      <c r="A187" s="305">
        <v>43786.0</v>
      </c>
      <c r="B187" s="948" t="str">
        <f>F187</f>
        <v/>
      </c>
      <c r="C187" s="242"/>
      <c r="D187" s="242"/>
      <c r="E187" s="242"/>
      <c r="F187" s="1018"/>
      <c r="G187" s="242"/>
      <c r="H187" s="242"/>
      <c r="I187" s="662"/>
    </row>
    <row r="188">
      <c r="A188" s="270"/>
      <c r="B188" s="194">
        <f>SUM(B187)</f>
        <v>0</v>
      </c>
      <c r="C188" s="18"/>
      <c r="D188" s="18"/>
      <c r="E188" s="18"/>
      <c r="F188" s="952"/>
      <c r="G188" s="18"/>
      <c r="H188" s="18"/>
      <c r="I188" s="663"/>
    </row>
    <row r="189">
      <c r="A189" s="305">
        <v>43787.0</v>
      </c>
      <c r="B189" s="948" t="str">
        <f>F189</f>
        <v/>
      </c>
      <c r="C189" s="242"/>
      <c r="D189" s="242"/>
      <c r="E189" s="242"/>
      <c r="F189" s="949"/>
      <c r="G189" s="242"/>
      <c r="H189" s="244"/>
      <c r="I189" s="662"/>
    </row>
    <row r="190">
      <c r="A190" s="270"/>
      <c r="B190" s="194">
        <f>SUM(B189)</f>
        <v>0</v>
      </c>
      <c r="C190" s="18"/>
      <c r="D190" s="18"/>
      <c r="E190" s="18"/>
      <c r="F190" s="952"/>
      <c r="G190" s="18"/>
      <c r="H190" s="18"/>
      <c r="I190" s="663"/>
    </row>
    <row r="191">
      <c r="A191" s="305">
        <v>43788.0</v>
      </c>
      <c r="B191" s="948">
        <f t="shared" ref="B191:B199" si="15">F191</f>
        <v>160</v>
      </c>
      <c r="C191" s="242"/>
      <c r="D191" s="242"/>
      <c r="E191" s="242"/>
      <c r="F191" s="949">
        <v>160.0</v>
      </c>
      <c r="G191" s="242"/>
      <c r="H191" s="244" t="s">
        <v>4509</v>
      </c>
      <c r="I191" s="662"/>
    </row>
    <row r="192">
      <c r="A192" s="265"/>
      <c r="B192" s="950">
        <f t="shared" si="15"/>
        <v>1538.62</v>
      </c>
      <c r="F192" s="161">
        <v>1538.62</v>
      </c>
      <c r="H192" s="2" t="s">
        <v>3821</v>
      </c>
      <c r="I192" s="847"/>
    </row>
    <row r="193">
      <c r="A193" s="265"/>
      <c r="B193" s="950">
        <f t="shared" si="15"/>
        <v>311.13</v>
      </c>
      <c r="F193" s="161">
        <v>311.13</v>
      </c>
      <c r="H193" s="2" t="s">
        <v>314</v>
      </c>
      <c r="I193" s="847"/>
    </row>
    <row r="194">
      <c r="A194" s="265"/>
      <c r="B194" s="950">
        <f t="shared" si="15"/>
        <v>3500</v>
      </c>
      <c r="E194" s="35">
        <f>4927.19-F194</f>
        <v>1427.19</v>
      </c>
      <c r="F194" s="161">
        <v>3500.0</v>
      </c>
      <c r="H194" s="2" t="s">
        <v>4299</v>
      </c>
      <c r="I194" s="847"/>
    </row>
    <row r="195">
      <c r="A195" s="265"/>
      <c r="B195" s="950">
        <f t="shared" si="15"/>
        <v>960</v>
      </c>
      <c r="F195" s="161">
        <v>960.0</v>
      </c>
      <c r="H195" s="2" t="s">
        <v>4231</v>
      </c>
      <c r="I195" s="847"/>
    </row>
    <row r="196">
      <c r="A196" s="265"/>
      <c r="B196" s="950">
        <f t="shared" si="15"/>
        <v>65</v>
      </c>
      <c r="F196" s="161">
        <v>65.0</v>
      </c>
      <c r="H196" s="2" t="s">
        <v>4510</v>
      </c>
      <c r="I196" s="847"/>
    </row>
    <row r="197">
      <c r="A197" s="265"/>
      <c r="B197" s="950">
        <f t="shared" si="15"/>
        <v>500</v>
      </c>
      <c r="F197" s="161">
        <v>500.0</v>
      </c>
      <c r="H197" s="416" t="s">
        <v>4240</v>
      </c>
      <c r="I197" s="1016"/>
    </row>
    <row r="198">
      <c r="A198" s="265"/>
      <c r="B198" s="950" t="str">
        <f t="shared" si="15"/>
        <v/>
      </c>
      <c r="C198" s="2">
        <v>12626.0</v>
      </c>
      <c r="F198" s="852"/>
      <c r="H198" s="2" t="s">
        <v>4511</v>
      </c>
      <c r="I198" s="847"/>
    </row>
    <row r="199">
      <c r="A199" s="265"/>
      <c r="B199" s="950" t="str">
        <f t="shared" si="15"/>
        <v/>
      </c>
      <c r="F199" s="852"/>
      <c r="I199" s="847"/>
    </row>
    <row r="200">
      <c r="A200" s="270"/>
      <c r="B200" s="194">
        <f>SUM(B191:B199)</f>
        <v>7034.75</v>
      </c>
      <c r="C200" s="18"/>
      <c r="D200" s="18"/>
      <c r="E200" s="18"/>
      <c r="F200" s="952"/>
      <c r="G200" s="18"/>
      <c r="H200" s="18"/>
      <c r="I200" s="663"/>
    </row>
    <row r="201">
      <c r="A201" s="305">
        <v>43789.0</v>
      </c>
      <c r="B201" s="948">
        <f t="shared" ref="B201:B215" si="16">F201</f>
        <v>2550</v>
      </c>
      <c r="C201" s="242"/>
      <c r="D201" s="242"/>
      <c r="E201" s="242"/>
      <c r="F201" s="949">
        <v>2550.0</v>
      </c>
      <c r="G201" s="242"/>
      <c r="H201" s="244" t="s">
        <v>76</v>
      </c>
      <c r="I201" s="662"/>
    </row>
    <row r="202">
      <c r="A202" s="265"/>
      <c r="B202" s="950">
        <f t="shared" si="16"/>
        <v>154</v>
      </c>
      <c r="F202" s="161">
        <v>154.0</v>
      </c>
      <c r="H202" s="2" t="s">
        <v>227</v>
      </c>
      <c r="I202" s="847"/>
    </row>
    <row r="203">
      <c r="A203" s="265"/>
      <c r="B203" s="950">
        <f t="shared" si="16"/>
        <v>86.82</v>
      </c>
      <c r="F203" s="161">
        <v>86.82</v>
      </c>
      <c r="H203" s="2" t="s">
        <v>708</v>
      </c>
      <c r="I203" s="847"/>
    </row>
    <row r="204">
      <c r="A204" s="265"/>
      <c r="B204" s="950">
        <f t="shared" si="16"/>
        <v>59</v>
      </c>
      <c r="F204" s="161">
        <v>59.0</v>
      </c>
      <c r="H204" s="2" t="s">
        <v>708</v>
      </c>
      <c r="I204" s="847"/>
    </row>
    <row r="205">
      <c r="A205" s="265"/>
      <c r="B205" s="950">
        <f t="shared" si="16"/>
        <v>1400</v>
      </c>
      <c r="F205" s="161">
        <v>1400.0</v>
      </c>
      <c r="H205" s="2" t="s">
        <v>4255</v>
      </c>
      <c r="I205" s="847"/>
    </row>
    <row r="206">
      <c r="A206" s="265"/>
      <c r="B206" s="950" t="str">
        <f t="shared" si="16"/>
        <v/>
      </c>
      <c r="C206" s="2">
        <v>7435.68</v>
      </c>
      <c r="F206" s="852"/>
      <c r="H206" s="2" t="s">
        <v>71</v>
      </c>
      <c r="I206" s="847"/>
    </row>
    <row r="207">
      <c r="A207" s="265"/>
      <c r="B207" s="950" t="str">
        <f t="shared" si="16"/>
        <v/>
      </c>
      <c r="C207" s="2">
        <v>9641.86</v>
      </c>
      <c r="F207" s="852"/>
      <c r="H207" s="2" t="s">
        <v>4512</v>
      </c>
      <c r="I207" s="847"/>
    </row>
    <row r="208">
      <c r="A208" s="265"/>
      <c r="B208" s="950">
        <f t="shared" si="16"/>
        <v>2775</v>
      </c>
      <c r="F208" s="161">
        <v>2775.0</v>
      </c>
      <c r="H208" s="2" t="s">
        <v>421</v>
      </c>
      <c r="I208" s="847"/>
    </row>
    <row r="209">
      <c r="A209" s="265"/>
      <c r="B209" s="950" t="str">
        <f t="shared" si="16"/>
        <v/>
      </c>
      <c r="D209" s="2">
        <v>9054.66</v>
      </c>
      <c r="F209" s="852"/>
      <c r="H209" s="2" t="s">
        <v>4239</v>
      </c>
      <c r="I209" s="847"/>
    </row>
    <row r="210">
      <c r="A210" s="265"/>
      <c r="B210" s="950">
        <f t="shared" si="16"/>
        <v>700</v>
      </c>
      <c r="F210" s="161">
        <v>700.0</v>
      </c>
      <c r="H210" s="2" t="s">
        <v>3437</v>
      </c>
      <c r="I210" s="847"/>
    </row>
    <row r="211">
      <c r="A211" s="265"/>
      <c r="B211" s="950" t="str">
        <f t="shared" si="16"/>
        <v/>
      </c>
      <c r="D211" s="2">
        <v>14520.0</v>
      </c>
      <c r="F211" s="852"/>
      <c r="H211" s="2" t="s">
        <v>3496</v>
      </c>
      <c r="I211" s="847"/>
    </row>
    <row r="212">
      <c r="A212" s="265"/>
      <c r="B212" s="950">
        <f t="shared" si="16"/>
        <v>1470</v>
      </c>
      <c r="D212" s="2"/>
      <c r="F212" s="161">
        <v>1470.0</v>
      </c>
      <c r="H212" s="2" t="s">
        <v>4235</v>
      </c>
      <c r="I212" s="847"/>
    </row>
    <row r="213">
      <c r="A213" s="265"/>
      <c r="B213" s="950">
        <f t="shared" si="16"/>
        <v>2775</v>
      </c>
      <c r="D213" s="2"/>
      <c r="F213" s="161">
        <v>2775.0</v>
      </c>
      <c r="H213" s="2" t="s">
        <v>3904</v>
      </c>
      <c r="I213" s="847"/>
    </row>
    <row r="214">
      <c r="A214" s="265"/>
      <c r="B214" s="950">
        <f t="shared" si="16"/>
        <v>100</v>
      </c>
      <c r="D214" s="2"/>
      <c r="F214" s="161">
        <v>100.0</v>
      </c>
      <c r="H214" s="2" t="s">
        <v>708</v>
      </c>
      <c r="I214" s="847"/>
    </row>
    <row r="215">
      <c r="A215" s="265"/>
      <c r="B215" s="950" t="str">
        <f t="shared" si="16"/>
        <v/>
      </c>
      <c r="D215" s="2"/>
      <c r="F215" s="852"/>
      <c r="H215" s="2"/>
      <c r="I215" s="847"/>
    </row>
    <row r="216">
      <c r="A216" s="270"/>
      <c r="B216" s="194">
        <f>SUM(B201:B215)</f>
        <v>12069.82</v>
      </c>
      <c r="C216" s="18"/>
      <c r="D216" s="18"/>
      <c r="E216" s="18"/>
      <c r="F216" s="952"/>
      <c r="G216" s="18"/>
      <c r="H216" s="18"/>
      <c r="I216" s="663"/>
    </row>
    <row r="217">
      <c r="A217" s="305">
        <v>43790.0</v>
      </c>
      <c r="B217" s="948">
        <f t="shared" ref="B217:B224" si="17">F217</f>
        <v>773.54</v>
      </c>
      <c r="C217" s="242"/>
      <c r="D217" s="242"/>
      <c r="E217" s="242"/>
      <c r="F217" s="949">
        <v>773.54</v>
      </c>
      <c r="G217" s="242"/>
      <c r="H217" s="244" t="s">
        <v>3821</v>
      </c>
      <c r="I217" s="662"/>
    </row>
    <row r="218">
      <c r="A218" s="265"/>
      <c r="B218" s="950" t="str">
        <f t="shared" si="17"/>
        <v/>
      </c>
      <c r="D218" s="2">
        <v>10162.0</v>
      </c>
      <c r="F218" s="852"/>
      <c r="H218" s="2" t="s">
        <v>4513</v>
      </c>
      <c r="I218" s="847"/>
    </row>
    <row r="219">
      <c r="A219" s="265"/>
      <c r="B219" s="950">
        <f t="shared" si="17"/>
        <v>1340</v>
      </c>
      <c r="F219" s="161">
        <v>1340.0</v>
      </c>
      <c r="H219" s="2" t="s">
        <v>4138</v>
      </c>
      <c r="I219" s="963" t="s">
        <v>4514</v>
      </c>
      <c r="K219" s="2" t="s">
        <v>4515</v>
      </c>
    </row>
    <row r="220">
      <c r="A220" s="265"/>
      <c r="B220" s="950">
        <f t="shared" si="17"/>
        <v>1718</v>
      </c>
      <c r="F220" s="161">
        <v>1718.0</v>
      </c>
      <c r="H220" s="2" t="s">
        <v>4329</v>
      </c>
      <c r="I220" s="847"/>
    </row>
    <row r="221">
      <c r="A221" s="265"/>
      <c r="B221" s="950">
        <f t="shared" si="17"/>
        <v>2775</v>
      </c>
      <c r="F221" s="161">
        <v>2775.0</v>
      </c>
      <c r="H221" s="2" t="s">
        <v>3904</v>
      </c>
      <c r="I221" s="847"/>
    </row>
    <row r="222">
      <c r="A222" s="265"/>
      <c r="B222" s="950" t="str">
        <f t="shared" si="17"/>
        <v/>
      </c>
      <c r="F222" s="852"/>
      <c r="I222" s="847"/>
    </row>
    <row r="223">
      <c r="A223" s="265"/>
      <c r="B223" s="950" t="str">
        <f t="shared" si="17"/>
        <v/>
      </c>
      <c r="D223" s="2">
        <v>4855.39</v>
      </c>
      <c r="F223" s="852"/>
      <c r="H223" s="2" t="s">
        <v>4516</v>
      </c>
      <c r="I223" s="847"/>
    </row>
    <row r="224">
      <c r="A224" s="265"/>
      <c r="B224" s="950">
        <f t="shared" si="17"/>
        <v>3150</v>
      </c>
      <c r="F224" s="161">
        <v>3150.0</v>
      </c>
      <c r="H224" s="2" t="s">
        <v>3917</v>
      </c>
      <c r="I224" s="847"/>
    </row>
    <row r="225">
      <c r="A225" s="265"/>
      <c r="B225" s="950"/>
      <c r="D225" s="2">
        <v>5000.0</v>
      </c>
      <c r="F225" s="161"/>
      <c r="H225" s="2" t="s">
        <v>4517</v>
      </c>
      <c r="I225" s="847"/>
    </row>
    <row r="226">
      <c r="A226" s="265"/>
      <c r="B226" s="950"/>
      <c r="F226" s="161">
        <v>500.0</v>
      </c>
      <c r="H226" s="2" t="s">
        <v>4031</v>
      </c>
      <c r="I226" s="818"/>
    </row>
    <row r="227">
      <c r="A227" s="265"/>
      <c r="B227" s="950">
        <f>F227</f>
        <v>100</v>
      </c>
      <c r="F227" s="161">
        <v>100.0</v>
      </c>
      <c r="H227" s="416" t="s">
        <v>3992</v>
      </c>
      <c r="I227" s="818"/>
    </row>
    <row r="228">
      <c r="A228" s="270"/>
      <c r="B228" s="194">
        <f>SUM(B217:B227)</f>
        <v>9856.54</v>
      </c>
      <c r="C228" s="18"/>
      <c r="D228" s="18"/>
      <c r="E228" s="18"/>
      <c r="F228" s="952"/>
      <c r="G228" s="18"/>
      <c r="H228" s="18"/>
      <c r="I228" s="663"/>
    </row>
    <row r="229">
      <c r="A229" s="305">
        <v>43791.0</v>
      </c>
      <c r="B229" s="948">
        <f t="shared" ref="B229:B242" si="18">F229</f>
        <v>2010</v>
      </c>
      <c r="C229" s="242"/>
      <c r="D229" s="242"/>
      <c r="E229" s="242"/>
      <c r="F229" s="949">
        <v>2010.0</v>
      </c>
      <c r="G229" s="242"/>
      <c r="H229" s="244" t="s">
        <v>4329</v>
      </c>
      <c r="I229" s="662"/>
    </row>
    <row r="230">
      <c r="A230" s="265"/>
      <c r="B230" s="950">
        <f t="shared" si="18"/>
        <v>2568.48</v>
      </c>
      <c r="F230" s="161">
        <v>2568.48</v>
      </c>
      <c r="H230" s="2" t="s">
        <v>3821</v>
      </c>
      <c r="I230" s="847"/>
    </row>
    <row r="231">
      <c r="A231" s="265"/>
      <c r="B231" s="950">
        <f t="shared" si="18"/>
        <v>2775</v>
      </c>
      <c r="F231" s="161">
        <v>2775.0</v>
      </c>
      <c r="H231" s="2" t="s">
        <v>4518</v>
      </c>
      <c r="I231" s="847"/>
    </row>
    <row r="232">
      <c r="A232" s="265"/>
      <c r="B232" s="950">
        <f t="shared" si="18"/>
        <v>4231.48</v>
      </c>
      <c r="F232" s="161">
        <v>4231.48</v>
      </c>
      <c r="H232" s="2" t="s">
        <v>615</v>
      </c>
      <c r="I232" s="847"/>
    </row>
    <row r="233">
      <c r="A233" s="265"/>
      <c r="B233" s="950">
        <f t="shared" si="18"/>
        <v>8503</v>
      </c>
      <c r="F233" s="161">
        <v>8503.0</v>
      </c>
      <c r="H233" s="2" t="s">
        <v>4519</v>
      </c>
      <c r="I233" s="847"/>
    </row>
    <row r="234">
      <c r="A234" s="265"/>
      <c r="B234" s="950" t="str">
        <f t="shared" si="18"/>
        <v/>
      </c>
      <c r="D234" s="2">
        <v>4719.0</v>
      </c>
      <c r="F234" s="852"/>
      <c r="H234" s="2" t="s">
        <v>4520</v>
      </c>
      <c r="I234" s="847"/>
    </row>
    <row r="235">
      <c r="A235" s="265"/>
      <c r="B235" s="950">
        <f t="shared" si="18"/>
        <v>6000</v>
      </c>
      <c r="F235" s="161">
        <v>6000.0</v>
      </c>
      <c r="H235" s="2" t="s">
        <v>4152</v>
      </c>
      <c r="I235" s="951"/>
    </row>
    <row r="236">
      <c r="A236" s="265"/>
      <c r="B236" s="950" t="str">
        <f t="shared" si="18"/>
        <v/>
      </c>
      <c r="D236" s="2">
        <v>2292.0</v>
      </c>
      <c r="F236" s="852"/>
      <c r="H236" s="2" t="s">
        <v>1531</v>
      </c>
      <c r="I236" s="847"/>
    </row>
    <row r="237">
      <c r="A237" s="265"/>
      <c r="B237" s="950">
        <f t="shared" si="18"/>
        <v>180</v>
      </c>
      <c r="F237" s="161">
        <v>180.0</v>
      </c>
      <c r="H237" s="2" t="s">
        <v>1729</v>
      </c>
      <c r="I237" s="847"/>
    </row>
    <row r="238">
      <c r="A238" s="265"/>
      <c r="B238" s="950">
        <f t="shared" si="18"/>
        <v>9600</v>
      </c>
      <c r="F238" s="161">
        <v>9600.0</v>
      </c>
      <c r="H238" s="2" t="s">
        <v>4379</v>
      </c>
      <c r="I238" s="951"/>
    </row>
    <row r="239">
      <c r="A239" s="265"/>
      <c r="B239" s="950">
        <f t="shared" si="18"/>
        <v>1000</v>
      </c>
      <c r="F239" s="161">
        <v>1000.0</v>
      </c>
      <c r="H239" s="2" t="s">
        <v>4038</v>
      </c>
      <c r="I239" s="951"/>
    </row>
    <row r="240">
      <c r="A240" s="265"/>
      <c r="B240" s="950">
        <f t="shared" si="18"/>
        <v>4000</v>
      </c>
      <c r="F240" s="161">
        <v>4000.0</v>
      </c>
      <c r="H240" s="2" t="s">
        <v>4032</v>
      </c>
      <c r="I240" s="951"/>
    </row>
    <row r="241">
      <c r="A241" s="265"/>
      <c r="B241" s="950">
        <f t="shared" si="18"/>
        <v>1750</v>
      </c>
      <c r="F241" s="161">
        <v>1750.0</v>
      </c>
      <c r="H241" s="2" t="s">
        <v>3493</v>
      </c>
      <c r="I241" s="951"/>
    </row>
    <row r="242">
      <c r="A242" s="265"/>
      <c r="B242" s="950">
        <f t="shared" si="18"/>
        <v>200</v>
      </c>
      <c r="F242" s="161">
        <v>200.0</v>
      </c>
      <c r="H242" s="416" t="s">
        <v>3992</v>
      </c>
      <c r="I242" s="951"/>
    </row>
    <row r="243">
      <c r="A243" s="265"/>
      <c r="B243" s="1020" t="s">
        <v>1385</v>
      </c>
      <c r="F243" s="161"/>
      <c r="H243" s="2"/>
      <c r="I243" s="847"/>
    </row>
    <row r="244">
      <c r="A244" s="265"/>
      <c r="B244" s="950"/>
      <c r="F244" s="161"/>
      <c r="H244" s="2"/>
      <c r="I244" s="847"/>
    </row>
    <row r="245">
      <c r="A245" s="270"/>
      <c r="B245" s="194">
        <f>SUM(B229:B244)</f>
        <v>42817.96</v>
      </c>
      <c r="C245" s="18"/>
      <c r="D245" s="18"/>
      <c r="E245" s="18"/>
      <c r="F245" s="952"/>
      <c r="G245" s="18"/>
      <c r="H245" s="18"/>
      <c r="I245" s="663"/>
    </row>
    <row r="246">
      <c r="A246" s="305">
        <v>43792.0</v>
      </c>
      <c r="B246" s="948">
        <f t="shared" ref="B246:B254" si="19">F246</f>
        <v>5592</v>
      </c>
      <c r="C246" s="242"/>
      <c r="D246" s="242"/>
      <c r="E246" s="242"/>
      <c r="F246" s="949">
        <v>5592.0</v>
      </c>
      <c r="G246" s="242"/>
      <c r="H246" s="244" t="s">
        <v>4376</v>
      </c>
      <c r="I246" s="662"/>
    </row>
    <row r="247">
      <c r="A247" s="265"/>
      <c r="B247" s="950">
        <f t="shared" si="19"/>
        <v>38</v>
      </c>
      <c r="F247" s="161">
        <v>38.0</v>
      </c>
      <c r="H247" s="2" t="s">
        <v>2839</v>
      </c>
      <c r="I247" s="847"/>
    </row>
    <row r="248">
      <c r="A248" s="265"/>
      <c r="B248" s="950">
        <f t="shared" si="19"/>
        <v>4500</v>
      </c>
      <c r="F248" s="161">
        <v>4500.0</v>
      </c>
      <c r="H248" s="2" t="s">
        <v>4062</v>
      </c>
      <c r="I248" s="951"/>
    </row>
    <row r="249">
      <c r="A249" s="265"/>
      <c r="B249" s="950">
        <f t="shared" si="19"/>
        <v>3300</v>
      </c>
      <c r="F249" s="852">
        <f>4100-800</f>
        <v>3300</v>
      </c>
      <c r="H249" s="416" t="s">
        <v>4061</v>
      </c>
      <c r="I249" s="951"/>
    </row>
    <row r="250">
      <c r="A250" s="265"/>
      <c r="B250" s="950">
        <f t="shared" si="19"/>
        <v>7000</v>
      </c>
      <c r="F250" s="161">
        <v>7000.0</v>
      </c>
      <c r="H250" s="2" t="s">
        <v>4336</v>
      </c>
      <c r="I250" s="951"/>
    </row>
    <row r="251">
      <c r="A251" s="265"/>
      <c r="B251" s="950">
        <f t="shared" si="19"/>
        <v>4800</v>
      </c>
      <c r="F251" s="161">
        <v>4800.0</v>
      </c>
      <c r="H251" s="2" t="s">
        <v>4153</v>
      </c>
      <c r="I251" s="951"/>
    </row>
    <row r="252">
      <c r="A252" s="265"/>
      <c r="B252" s="950">
        <f t="shared" si="19"/>
        <v>700</v>
      </c>
      <c r="F252" s="161">
        <v>700.0</v>
      </c>
      <c r="H252" s="2" t="s">
        <v>3437</v>
      </c>
      <c r="I252" s="847"/>
    </row>
    <row r="253">
      <c r="A253" s="265"/>
      <c r="B253" s="950">
        <f t="shared" si="19"/>
        <v>98.3</v>
      </c>
      <c r="F253" s="161">
        <v>98.3</v>
      </c>
      <c r="H253" s="2" t="s">
        <v>4134</v>
      </c>
      <c r="I253" s="847"/>
    </row>
    <row r="254">
      <c r="A254" s="265"/>
      <c r="B254" s="950">
        <f t="shared" si="19"/>
        <v>1000</v>
      </c>
      <c r="F254" s="161">
        <v>1000.0</v>
      </c>
      <c r="H254" s="2" t="s">
        <v>4038</v>
      </c>
      <c r="I254" s="951"/>
    </row>
    <row r="255">
      <c r="A255" s="270"/>
      <c r="B255" s="194">
        <f>SUM(B246:B254)</f>
        <v>27028.3</v>
      </c>
      <c r="C255" s="18"/>
      <c r="D255" s="18"/>
      <c r="E255" s="18"/>
      <c r="F255" s="952"/>
      <c r="G255" s="18"/>
      <c r="H255" s="18"/>
      <c r="I255" s="663"/>
    </row>
    <row r="256">
      <c r="A256" s="305">
        <v>43793.0</v>
      </c>
      <c r="B256" s="948" t="str">
        <f>F256</f>
        <v/>
      </c>
      <c r="C256" s="242"/>
      <c r="D256" s="242"/>
      <c r="E256" s="242"/>
      <c r="F256" s="1018"/>
      <c r="G256" s="242"/>
      <c r="H256" s="242"/>
      <c r="I256" s="662"/>
    </row>
    <row r="257">
      <c r="A257" s="270"/>
      <c r="B257" s="194">
        <f>SUM(B256)</f>
        <v>0</v>
      </c>
      <c r="C257" s="18"/>
      <c r="D257" s="18"/>
      <c r="E257" s="18"/>
      <c r="F257" s="952"/>
      <c r="G257" s="18"/>
      <c r="H257" s="18"/>
      <c r="I257" s="663"/>
    </row>
    <row r="258">
      <c r="A258" s="305">
        <v>43794.0</v>
      </c>
      <c r="B258" s="948">
        <f t="shared" ref="B258:B266" si="20">F258</f>
        <v>1850</v>
      </c>
      <c r="C258" s="242"/>
      <c r="D258" s="242"/>
      <c r="E258" s="242"/>
      <c r="F258" s="949">
        <v>1850.0</v>
      </c>
      <c r="G258" s="242"/>
      <c r="H258" s="244" t="s">
        <v>3731</v>
      </c>
      <c r="I258" s="662"/>
    </row>
    <row r="259">
      <c r="A259" s="265"/>
      <c r="B259" s="950">
        <f t="shared" si="20"/>
        <v>1547.1</v>
      </c>
      <c r="F259" s="161">
        <v>1547.1</v>
      </c>
      <c r="H259" s="2" t="s">
        <v>58</v>
      </c>
      <c r="I259" s="847"/>
    </row>
    <row r="260">
      <c r="A260" s="265"/>
      <c r="B260" s="950">
        <f t="shared" si="20"/>
        <v>3127.15</v>
      </c>
      <c r="F260" s="161">
        <v>3127.15</v>
      </c>
      <c r="H260" s="2" t="s">
        <v>4234</v>
      </c>
      <c r="I260" s="847"/>
    </row>
    <row r="261">
      <c r="A261" s="265"/>
      <c r="B261" s="950">
        <f t="shared" si="20"/>
        <v>1360.21</v>
      </c>
      <c r="F261" s="161">
        <v>1360.21</v>
      </c>
      <c r="H261" s="2" t="s">
        <v>4230</v>
      </c>
      <c r="I261" s="847"/>
    </row>
    <row r="262">
      <c r="A262" s="265"/>
      <c r="B262" s="950" t="str">
        <f t="shared" si="20"/>
        <v/>
      </c>
      <c r="D262" s="2">
        <v>3203.0</v>
      </c>
      <c r="F262" s="161"/>
      <c r="H262" s="2" t="s">
        <v>2285</v>
      </c>
      <c r="I262" s="847"/>
    </row>
    <row r="263">
      <c r="A263" s="265"/>
      <c r="B263" s="950" t="str">
        <f t="shared" si="20"/>
        <v/>
      </c>
      <c r="F263" s="852"/>
      <c r="I263" s="847"/>
    </row>
    <row r="264">
      <c r="A264" s="265"/>
      <c r="B264" s="950" t="str">
        <f t="shared" si="20"/>
        <v/>
      </c>
      <c r="F264" s="852"/>
      <c r="I264" s="847"/>
    </row>
    <row r="265">
      <c r="A265" s="265"/>
      <c r="B265" s="950" t="str">
        <f t="shared" si="20"/>
        <v/>
      </c>
      <c r="F265" s="852"/>
      <c r="I265" s="847"/>
    </row>
    <row r="266">
      <c r="A266" s="265"/>
      <c r="B266" s="950" t="str">
        <f t="shared" si="20"/>
        <v/>
      </c>
      <c r="F266" s="852"/>
      <c r="I266" s="847"/>
    </row>
    <row r="267">
      <c r="A267" s="270"/>
      <c r="B267" s="194">
        <f>SUM(B258:B266)</f>
        <v>7884.46</v>
      </c>
      <c r="C267" s="18"/>
      <c r="D267" s="18"/>
      <c r="E267" s="18"/>
      <c r="F267" s="952"/>
      <c r="G267" s="18"/>
      <c r="H267" s="18"/>
      <c r="I267" s="663"/>
    </row>
    <row r="268">
      <c r="A268" s="305">
        <v>43795.0</v>
      </c>
      <c r="B268" s="948" t="str">
        <f t="shared" ref="B268:B276" si="21">F268</f>
        <v/>
      </c>
      <c r="C268" s="242"/>
      <c r="D268" s="242"/>
      <c r="E268" s="244"/>
      <c r="F268" s="1018"/>
      <c r="G268" s="242"/>
      <c r="H268" s="244"/>
      <c r="I268" s="662"/>
    </row>
    <row r="269">
      <c r="A269" s="265"/>
      <c r="B269" s="950">
        <f t="shared" si="21"/>
        <v>2436.52</v>
      </c>
      <c r="F269" s="161">
        <v>2436.52</v>
      </c>
      <c r="H269" s="2" t="s">
        <v>4234</v>
      </c>
      <c r="I269" s="847"/>
    </row>
    <row r="270">
      <c r="A270" s="265"/>
      <c r="B270" s="950" t="str">
        <f t="shared" si="21"/>
        <v/>
      </c>
      <c r="C270" s="2">
        <v>3469.92</v>
      </c>
      <c r="F270" s="852"/>
      <c r="H270" s="2" t="s">
        <v>2637</v>
      </c>
      <c r="I270" s="847"/>
    </row>
    <row r="271">
      <c r="A271" s="265"/>
      <c r="B271" s="950">
        <f t="shared" si="21"/>
        <v>1850</v>
      </c>
      <c r="F271" s="161">
        <v>1850.0</v>
      </c>
      <c r="H271" s="2" t="s">
        <v>3731</v>
      </c>
      <c r="I271" s="847"/>
    </row>
    <row r="272">
      <c r="A272" s="265"/>
      <c r="B272" s="950" t="str">
        <f t="shared" si="21"/>
        <v/>
      </c>
      <c r="C272" s="2">
        <v>14284.61</v>
      </c>
      <c r="F272" s="852"/>
      <c r="H272" s="2" t="s">
        <v>951</v>
      </c>
      <c r="I272" s="847"/>
    </row>
    <row r="273">
      <c r="A273" s="265"/>
      <c r="B273" s="950">
        <f t="shared" si="21"/>
        <v>2898.57</v>
      </c>
      <c r="F273" s="161">
        <v>2898.57</v>
      </c>
      <c r="H273" s="2" t="s">
        <v>4230</v>
      </c>
      <c r="I273" s="847"/>
    </row>
    <row r="274">
      <c r="A274" s="265"/>
      <c r="B274" s="950" t="str">
        <f t="shared" si="21"/>
        <v/>
      </c>
      <c r="D274" s="2">
        <v>3971.0</v>
      </c>
      <c r="F274" s="852"/>
      <c r="H274" s="2" t="s">
        <v>1531</v>
      </c>
      <c r="I274" s="847"/>
    </row>
    <row r="275">
      <c r="A275" s="265"/>
      <c r="B275" s="950" t="str">
        <f t="shared" si="21"/>
        <v/>
      </c>
      <c r="F275" s="852"/>
      <c r="I275" s="847"/>
    </row>
    <row r="276">
      <c r="A276" s="265"/>
      <c r="B276" s="950" t="str">
        <f t="shared" si="21"/>
        <v/>
      </c>
      <c r="F276" s="852"/>
      <c r="I276" s="847"/>
    </row>
    <row r="277">
      <c r="A277" s="270"/>
      <c r="B277" s="194">
        <f>SUM(B268:B276)</f>
        <v>7185.09</v>
      </c>
      <c r="C277" s="18"/>
      <c r="D277" s="18"/>
      <c r="E277" s="18"/>
      <c r="F277" s="952"/>
      <c r="G277" s="18"/>
      <c r="H277" s="18"/>
      <c r="I277" s="663"/>
    </row>
    <row r="278">
      <c r="A278" s="305">
        <v>43796.0</v>
      </c>
      <c r="B278" s="948">
        <f t="shared" ref="B278:B289" si="22">F278</f>
        <v>2978</v>
      </c>
      <c r="C278" s="242"/>
      <c r="D278" s="242"/>
      <c r="E278" s="242"/>
      <c r="F278" s="949">
        <v>2978.0</v>
      </c>
      <c r="G278" s="242"/>
      <c r="H278" s="244" t="s">
        <v>4299</v>
      </c>
      <c r="I278" s="662"/>
    </row>
    <row r="279">
      <c r="A279" s="265"/>
      <c r="B279" s="950">
        <f t="shared" si="22"/>
        <v>2457.09</v>
      </c>
      <c r="F279" s="161">
        <v>2457.09</v>
      </c>
      <c r="H279" s="2" t="s">
        <v>3821</v>
      </c>
      <c r="I279" s="847"/>
    </row>
    <row r="280">
      <c r="A280" s="265"/>
      <c r="B280" s="950">
        <f t="shared" si="22"/>
        <v>920</v>
      </c>
      <c r="F280" s="161">
        <v>920.0</v>
      </c>
      <c r="H280" s="2" t="s">
        <v>4231</v>
      </c>
      <c r="I280" s="847"/>
    </row>
    <row r="281">
      <c r="A281" s="265"/>
      <c r="B281" s="950">
        <f t="shared" si="22"/>
        <v>1850</v>
      </c>
      <c r="F281" s="161">
        <v>1850.0</v>
      </c>
      <c r="H281" s="2" t="s">
        <v>3904</v>
      </c>
      <c r="I281" s="847"/>
    </row>
    <row r="282">
      <c r="A282" s="265"/>
      <c r="B282" s="950">
        <f t="shared" si="22"/>
        <v>700</v>
      </c>
      <c r="F282" s="161">
        <v>700.0</v>
      </c>
      <c r="H282" s="2" t="s">
        <v>3437</v>
      </c>
      <c r="I282" s="847"/>
    </row>
    <row r="283">
      <c r="A283" s="265"/>
      <c r="B283" s="950">
        <f t="shared" si="22"/>
        <v>1000</v>
      </c>
      <c r="F283" s="161">
        <v>1000.0</v>
      </c>
      <c r="H283" s="2" t="s">
        <v>2758</v>
      </c>
      <c r="I283" s="847"/>
    </row>
    <row r="284">
      <c r="A284" s="265"/>
      <c r="B284" s="950">
        <f t="shared" si="22"/>
        <v>58</v>
      </c>
      <c r="F284" s="161">
        <v>58.0</v>
      </c>
      <c r="H284" s="2" t="s">
        <v>2517</v>
      </c>
      <c r="I284" s="847"/>
    </row>
    <row r="285">
      <c r="A285" s="265"/>
      <c r="B285" s="950">
        <f t="shared" si="22"/>
        <v>100</v>
      </c>
      <c r="F285" s="161">
        <v>100.0</v>
      </c>
      <c r="H285" s="2" t="s">
        <v>3209</v>
      </c>
      <c r="I285" s="1016"/>
    </row>
    <row r="286">
      <c r="A286" s="265"/>
      <c r="B286" s="950">
        <f t="shared" si="22"/>
        <v>180</v>
      </c>
      <c r="F286" s="161">
        <v>180.0</v>
      </c>
      <c r="H286" s="2" t="s">
        <v>1729</v>
      </c>
      <c r="I286" s="847"/>
    </row>
    <row r="287">
      <c r="A287" s="265"/>
      <c r="B287" s="950">
        <f t="shared" si="22"/>
        <v>500</v>
      </c>
      <c r="F287" s="161">
        <v>500.0</v>
      </c>
      <c r="H287" s="2" t="s">
        <v>4482</v>
      </c>
      <c r="I287" s="1016"/>
    </row>
    <row r="288">
      <c r="A288" s="265"/>
      <c r="B288" s="950">
        <f t="shared" si="22"/>
        <v>400</v>
      </c>
      <c r="F288" s="161">
        <v>400.0</v>
      </c>
      <c r="H288" s="2" t="s">
        <v>4521</v>
      </c>
      <c r="I288" s="1016"/>
    </row>
    <row r="289">
      <c r="A289" s="265"/>
      <c r="B289" s="950">
        <f t="shared" si="22"/>
        <v>500</v>
      </c>
      <c r="F289" s="161">
        <v>500.0</v>
      </c>
      <c r="H289" s="416" t="s">
        <v>4240</v>
      </c>
      <c r="I289" s="1016"/>
    </row>
    <row r="290">
      <c r="A290" s="270"/>
      <c r="B290" s="194">
        <f>SUM(B278:B289)</f>
        <v>11643.09</v>
      </c>
      <c r="C290" s="18"/>
      <c r="D290" s="18"/>
      <c r="E290" s="18"/>
      <c r="F290" s="952"/>
      <c r="G290" s="18"/>
      <c r="H290" s="18"/>
      <c r="I290" s="663"/>
    </row>
    <row r="291">
      <c r="A291" s="305">
        <v>43797.0</v>
      </c>
      <c r="B291" s="948">
        <f t="shared" ref="B291:B305" si="23">F291</f>
        <v>1745</v>
      </c>
      <c r="C291" s="242"/>
      <c r="D291" s="242"/>
      <c r="E291" s="242"/>
      <c r="F291" s="949">
        <v>1745.0</v>
      </c>
      <c r="G291" s="242"/>
      <c r="H291" s="244" t="s">
        <v>4522</v>
      </c>
      <c r="I291" s="662"/>
    </row>
    <row r="292">
      <c r="A292" s="265"/>
      <c r="B292" s="950">
        <f t="shared" si="23"/>
        <v>9425.95</v>
      </c>
      <c r="F292" s="161">
        <v>9425.95</v>
      </c>
      <c r="H292" s="2" t="s">
        <v>4513</v>
      </c>
      <c r="I292" s="847"/>
    </row>
    <row r="293">
      <c r="A293" s="265"/>
      <c r="B293" s="950">
        <f t="shared" si="23"/>
        <v>1700</v>
      </c>
      <c r="F293" s="161">
        <v>1700.0</v>
      </c>
      <c r="H293" s="2" t="s">
        <v>4299</v>
      </c>
      <c r="I293" s="847"/>
    </row>
    <row r="294">
      <c r="A294" s="265"/>
      <c r="B294" s="950">
        <f t="shared" si="23"/>
        <v>80</v>
      </c>
      <c r="F294" s="161">
        <v>80.0</v>
      </c>
      <c r="H294" s="2" t="s">
        <v>4523</v>
      </c>
      <c r="I294" s="847"/>
    </row>
    <row r="295">
      <c r="A295" s="265"/>
      <c r="B295" s="950">
        <f t="shared" si="23"/>
        <v>270</v>
      </c>
      <c r="F295" s="161">
        <v>270.0</v>
      </c>
      <c r="H295" s="2" t="s">
        <v>512</v>
      </c>
      <c r="I295" s="847"/>
    </row>
    <row r="296">
      <c r="A296" s="265"/>
      <c r="B296" s="950">
        <f t="shared" si="23"/>
        <v>3250</v>
      </c>
      <c r="F296" s="161">
        <v>3250.0</v>
      </c>
      <c r="H296" s="2" t="s">
        <v>615</v>
      </c>
      <c r="I296" s="847"/>
    </row>
    <row r="297">
      <c r="A297" s="265"/>
      <c r="B297" s="950">
        <f t="shared" si="23"/>
        <v>2975</v>
      </c>
      <c r="F297" s="161">
        <v>2975.0</v>
      </c>
      <c r="H297" s="2" t="s">
        <v>4524</v>
      </c>
      <c r="I297" s="847"/>
    </row>
    <row r="298">
      <c r="A298" s="265"/>
      <c r="B298" s="950">
        <f t="shared" si="23"/>
        <v>1850</v>
      </c>
      <c r="F298" s="161">
        <v>1850.0</v>
      </c>
      <c r="H298" s="2" t="s">
        <v>3904</v>
      </c>
      <c r="I298" s="847"/>
    </row>
    <row r="299">
      <c r="A299" s="265"/>
      <c r="B299" s="950">
        <f t="shared" si="23"/>
        <v>462.27</v>
      </c>
      <c r="F299" s="161">
        <v>462.27</v>
      </c>
      <c r="H299" s="2" t="s">
        <v>314</v>
      </c>
      <c r="I299" s="847"/>
    </row>
    <row r="300">
      <c r="A300" s="265"/>
      <c r="B300" s="950">
        <f t="shared" si="23"/>
        <v>2568.48</v>
      </c>
      <c r="F300" s="161">
        <v>2568.48</v>
      </c>
      <c r="H300" s="2" t="s">
        <v>3821</v>
      </c>
      <c r="I300" s="847"/>
    </row>
    <row r="301">
      <c r="A301" s="265"/>
      <c r="B301" s="950" t="str">
        <f t="shared" si="23"/>
        <v/>
      </c>
      <c r="D301" s="2">
        <v>50000.0</v>
      </c>
      <c r="F301" s="852"/>
      <c r="H301" s="2" t="s">
        <v>3033</v>
      </c>
      <c r="I301" s="847"/>
    </row>
    <row r="302">
      <c r="A302" s="265"/>
      <c r="B302" s="950">
        <f t="shared" si="23"/>
        <v>3000</v>
      </c>
      <c r="F302" s="161">
        <v>3000.0</v>
      </c>
      <c r="H302" s="2" t="s">
        <v>4038</v>
      </c>
      <c r="I302" s="1016"/>
    </row>
    <row r="303">
      <c r="A303" s="265"/>
      <c r="B303" s="950">
        <f t="shared" si="23"/>
        <v>1370</v>
      </c>
      <c r="F303" s="161">
        <v>1370.0</v>
      </c>
      <c r="H303" s="2" t="s">
        <v>4235</v>
      </c>
      <c r="I303" s="1021"/>
    </row>
    <row r="304">
      <c r="A304" s="265"/>
      <c r="B304" s="950">
        <f t="shared" si="23"/>
        <v>64.2</v>
      </c>
      <c r="F304" s="161">
        <v>64.2</v>
      </c>
      <c r="H304" s="2" t="s">
        <v>314</v>
      </c>
      <c r="I304" s="1021"/>
    </row>
    <row r="305">
      <c r="A305" s="265"/>
      <c r="B305" s="950" t="str">
        <f t="shared" si="23"/>
        <v/>
      </c>
      <c r="F305" s="161"/>
      <c r="H305" s="2"/>
      <c r="I305" s="1021"/>
    </row>
    <row r="306">
      <c r="A306" s="270"/>
      <c r="B306" s="194">
        <f>SUM(B291:B302)</f>
        <v>27326.7</v>
      </c>
      <c r="C306" s="18"/>
      <c r="D306" s="18"/>
      <c r="E306" s="18"/>
      <c r="F306" s="952"/>
      <c r="G306" s="18"/>
      <c r="H306" s="18"/>
      <c r="I306" s="1022"/>
    </row>
    <row r="307">
      <c r="A307" s="305">
        <v>43798.0</v>
      </c>
      <c r="B307" s="948">
        <f t="shared" ref="B307:B315" si="24">F307</f>
        <v>2305.53</v>
      </c>
      <c r="C307" s="242"/>
      <c r="D307" s="242"/>
      <c r="E307" s="242"/>
      <c r="F307" s="949">
        <v>2305.53</v>
      </c>
      <c r="G307" s="242"/>
      <c r="H307" s="244" t="s">
        <v>3821</v>
      </c>
      <c r="I307" s="662"/>
    </row>
    <row r="308">
      <c r="A308" s="265"/>
      <c r="B308" s="950">
        <f t="shared" si="24"/>
        <v>1850</v>
      </c>
      <c r="F308" s="161">
        <v>1850.0</v>
      </c>
      <c r="H308" s="2" t="s">
        <v>3904</v>
      </c>
      <c r="I308" s="847"/>
    </row>
    <row r="309">
      <c r="A309" s="265"/>
      <c r="B309" s="950">
        <f t="shared" si="24"/>
        <v>3600</v>
      </c>
      <c r="F309" s="161">
        <v>3600.0</v>
      </c>
      <c r="H309" s="416" t="s">
        <v>4061</v>
      </c>
      <c r="I309" s="1011"/>
    </row>
    <row r="310">
      <c r="A310" s="265"/>
      <c r="B310" s="950">
        <f t="shared" si="24"/>
        <v>4000</v>
      </c>
      <c r="F310" s="161">
        <v>4000.0</v>
      </c>
      <c r="H310" s="2" t="s">
        <v>4247</v>
      </c>
      <c r="I310" s="1011"/>
    </row>
    <row r="311">
      <c r="A311" s="265"/>
      <c r="B311" s="950" t="str">
        <f t="shared" si="24"/>
        <v/>
      </c>
      <c r="F311" s="852"/>
      <c r="I311" s="847"/>
    </row>
    <row r="312">
      <c r="A312" s="265"/>
      <c r="B312" s="950" t="str">
        <f t="shared" si="24"/>
        <v/>
      </c>
      <c r="F312" s="852"/>
      <c r="I312" s="847"/>
    </row>
    <row r="313">
      <c r="A313" s="265"/>
      <c r="B313" s="950" t="str">
        <f t="shared" si="24"/>
        <v/>
      </c>
      <c r="F313" s="852"/>
      <c r="I313" s="847"/>
    </row>
    <row r="314">
      <c r="A314" s="265"/>
      <c r="B314" s="950" t="str">
        <f t="shared" si="24"/>
        <v/>
      </c>
      <c r="F314" s="852"/>
      <c r="I314" s="847"/>
    </row>
    <row r="315">
      <c r="A315" s="265"/>
      <c r="B315" s="950" t="str">
        <f t="shared" si="24"/>
        <v/>
      </c>
      <c r="F315" s="852"/>
      <c r="I315" s="847"/>
      <c r="J315" s="269"/>
    </row>
    <row r="316">
      <c r="A316" s="270"/>
      <c r="B316" s="194">
        <f>SUM(B307:B315)</f>
        <v>11755.53</v>
      </c>
      <c r="C316" s="18"/>
      <c r="D316" s="18"/>
      <c r="E316" s="18"/>
      <c r="F316" s="952"/>
      <c r="G316" s="18"/>
      <c r="H316" s="18"/>
      <c r="I316" s="663"/>
      <c r="J316" s="269"/>
    </row>
    <row r="317">
      <c r="A317" s="305">
        <v>43799.0</v>
      </c>
      <c r="B317" s="948">
        <f t="shared" ref="B317:B325" si="25">F317</f>
        <v>5100</v>
      </c>
      <c r="C317" s="242"/>
      <c r="D317" s="242"/>
      <c r="E317" s="242"/>
      <c r="F317" s="949">
        <v>5100.0</v>
      </c>
      <c r="G317" s="242"/>
      <c r="H317" s="244" t="s">
        <v>4153</v>
      </c>
      <c r="I317" s="1019"/>
      <c r="J317" s="254"/>
    </row>
    <row r="318">
      <c r="A318" s="265"/>
      <c r="B318" s="950">
        <f t="shared" si="25"/>
        <v>7000</v>
      </c>
      <c r="F318" s="161">
        <v>7000.0</v>
      </c>
      <c r="H318" s="2" t="s">
        <v>4154</v>
      </c>
      <c r="I318" s="1011"/>
      <c r="J318" s="269"/>
    </row>
    <row r="319">
      <c r="A319" s="265"/>
      <c r="B319" s="950">
        <f t="shared" si="25"/>
        <v>6000</v>
      </c>
      <c r="F319" s="161">
        <v>6000.0</v>
      </c>
      <c r="H319" s="2" t="s">
        <v>4152</v>
      </c>
      <c r="I319" s="1011"/>
      <c r="J319" s="254"/>
    </row>
    <row r="320">
      <c r="A320" s="265"/>
      <c r="B320" s="950">
        <f t="shared" si="25"/>
        <v>4500</v>
      </c>
      <c r="F320" s="161">
        <v>4500.0</v>
      </c>
      <c r="H320" s="2" t="s">
        <v>4062</v>
      </c>
      <c r="I320" s="1011"/>
      <c r="J320" s="254"/>
    </row>
    <row r="321">
      <c r="A321" s="265"/>
      <c r="B321" s="950">
        <f t="shared" si="25"/>
        <v>180</v>
      </c>
      <c r="F321" s="161">
        <v>180.0</v>
      </c>
      <c r="H321" s="2" t="s">
        <v>85</v>
      </c>
      <c r="I321" s="847"/>
      <c r="J321" s="269"/>
    </row>
    <row r="322">
      <c r="A322" s="265"/>
      <c r="B322" s="950">
        <f t="shared" si="25"/>
        <v>7000</v>
      </c>
      <c r="F322" s="161">
        <v>7000.0</v>
      </c>
      <c r="H322" s="2" t="s">
        <v>4438</v>
      </c>
      <c r="I322" s="951"/>
      <c r="J322" s="254"/>
    </row>
    <row r="323">
      <c r="A323" s="265"/>
      <c r="B323" s="950" t="str">
        <f t="shared" si="25"/>
        <v/>
      </c>
      <c r="F323" s="852"/>
      <c r="I323" s="847"/>
      <c r="J323" s="269"/>
    </row>
    <row r="324">
      <c r="A324" s="265"/>
      <c r="B324" s="950" t="str">
        <f t="shared" si="25"/>
        <v/>
      </c>
      <c r="F324" s="852"/>
      <c r="I324" s="847"/>
    </row>
    <row r="325">
      <c r="A325" s="265"/>
      <c r="B325" s="950" t="str">
        <f t="shared" si="25"/>
        <v/>
      </c>
      <c r="F325" s="852"/>
      <c r="I325" s="847"/>
    </row>
    <row r="326">
      <c r="A326" s="270"/>
      <c r="B326" s="194">
        <f>SUM(B317:B325)</f>
        <v>29780</v>
      </c>
      <c r="C326" s="18"/>
      <c r="D326" s="18"/>
      <c r="E326" s="18"/>
      <c r="F326" s="952"/>
      <c r="G326" s="18"/>
      <c r="H326" s="18"/>
      <c r="I326" s="663"/>
    </row>
    <row r="327">
      <c r="A327" s="305">
        <v>43800.0</v>
      </c>
      <c r="B327" s="948" t="str">
        <f>F327</f>
        <v/>
      </c>
      <c r="C327" s="242"/>
      <c r="D327" s="242"/>
      <c r="E327" s="242"/>
      <c r="F327" s="1018"/>
      <c r="G327" s="242"/>
      <c r="H327" s="242"/>
      <c r="I327" s="662"/>
    </row>
    <row r="328">
      <c r="A328" s="270"/>
      <c r="B328" s="194">
        <f>SUM(B327)</f>
        <v>0</v>
      </c>
      <c r="C328" s="18"/>
      <c r="D328" s="18"/>
      <c r="E328" s="18"/>
      <c r="F328" s="952"/>
      <c r="G328" s="18"/>
      <c r="H328" s="18"/>
      <c r="I328" s="663"/>
    </row>
    <row r="329">
      <c r="A329" s="5"/>
      <c r="B329" s="950"/>
      <c r="F329" s="852"/>
    </row>
    <row r="330">
      <c r="A330" s="5"/>
      <c r="B330" s="950"/>
      <c r="F330" s="852"/>
    </row>
    <row r="331">
      <c r="A331" s="5"/>
      <c r="B331" s="950"/>
      <c r="F331" s="852"/>
    </row>
    <row r="332">
      <c r="A332" s="5"/>
      <c r="B332" s="950"/>
      <c r="F332" s="852"/>
    </row>
    <row r="333">
      <c r="A333" s="5"/>
      <c r="B333" s="950"/>
      <c r="F333" s="852"/>
    </row>
    <row r="334">
      <c r="A334" s="5"/>
      <c r="B334" s="950"/>
      <c r="F334" s="852"/>
    </row>
    <row r="335">
      <c r="A335" s="5"/>
      <c r="B335" s="950"/>
      <c r="F335" s="852"/>
    </row>
    <row r="336">
      <c r="A336" s="5"/>
      <c r="B336" s="950"/>
      <c r="F336" s="852"/>
    </row>
    <row r="337">
      <c r="A337" s="5"/>
      <c r="B337" s="950"/>
      <c r="F337" s="852"/>
    </row>
    <row r="338">
      <c r="A338" s="5"/>
      <c r="B338" s="950"/>
      <c r="F338" s="852"/>
    </row>
    <row r="339">
      <c r="A339" s="5"/>
      <c r="B339" s="950"/>
      <c r="F339" s="852"/>
    </row>
    <row r="340">
      <c r="A340" s="5"/>
      <c r="B340" s="950"/>
      <c r="F340" s="852"/>
    </row>
    <row r="341">
      <c r="A341" s="5"/>
      <c r="B341" s="950"/>
      <c r="F341" s="852"/>
    </row>
    <row r="342">
      <c r="A342" s="5"/>
      <c r="B342" s="950"/>
      <c r="F342" s="852"/>
    </row>
    <row r="343">
      <c r="A343" s="5"/>
      <c r="B343" s="950"/>
      <c r="F343" s="852"/>
    </row>
    <row r="344">
      <c r="A344" s="5"/>
      <c r="B344" s="950"/>
      <c r="F344" s="852"/>
    </row>
    <row r="345">
      <c r="A345" s="5"/>
      <c r="B345" s="950"/>
      <c r="F345" s="852"/>
    </row>
    <row r="346">
      <c r="A346" s="5"/>
      <c r="B346" s="950"/>
      <c r="F346" s="852"/>
    </row>
    <row r="347">
      <c r="A347" s="5"/>
      <c r="B347" s="950"/>
      <c r="F347" s="852"/>
    </row>
    <row r="348">
      <c r="A348" s="5"/>
      <c r="B348" s="950"/>
      <c r="F348" s="852"/>
    </row>
    <row r="349">
      <c r="A349" s="5"/>
      <c r="B349" s="950"/>
      <c r="F349" s="852"/>
    </row>
    <row r="350">
      <c r="A350" s="5"/>
      <c r="B350" s="950"/>
      <c r="F350" s="852"/>
    </row>
    <row r="351">
      <c r="A351" s="5"/>
      <c r="B351" s="950"/>
      <c r="F351" s="852"/>
    </row>
    <row r="352">
      <c r="A352" s="5"/>
      <c r="B352" s="950"/>
      <c r="F352" s="852"/>
    </row>
    <row r="353">
      <c r="A353" s="5"/>
      <c r="B353" s="950"/>
      <c r="F353" s="852"/>
    </row>
    <row r="354">
      <c r="A354" s="5"/>
      <c r="B354" s="950"/>
      <c r="F354" s="852"/>
    </row>
    <row r="355">
      <c r="A355" s="5"/>
      <c r="B355" s="950"/>
      <c r="F355" s="852"/>
    </row>
    <row r="356">
      <c r="A356" s="5"/>
      <c r="B356" s="950"/>
      <c r="F356" s="852"/>
    </row>
    <row r="357">
      <c r="A357" s="5"/>
      <c r="B357" s="950"/>
      <c r="F357" s="852"/>
    </row>
    <row r="358">
      <c r="A358" s="5"/>
      <c r="B358" s="950"/>
      <c r="F358" s="852"/>
    </row>
    <row r="359">
      <c r="A359" s="5"/>
      <c r="B359" s="950"/>
      <c r="F359" s="852"/>
    </row>
    <row r="360">
      <c r="A360" s="5"/>
      <c r="B360" s="950"/>
      <c r="F360" s="852"/>
    </row>
    <row r="361">
      <c r="A361" s="5"/>
      <c r="B361" s="950"/>
      <c r="F361" s="852"/>
    </row>
    <row r="362">
      <c r="A362" s="5"/>
      <c r="B362" s="950"/>
      <c r="F362" s="852"/>
    </row>
    <row r="363">
      <c r="A363" s="5"/>
      <c r="B363" s="950"/>
      <c r="F363" s="852"/>
    </row>
    <row r="364">
      <c r="A364" s="5"/>
      <c r="B364" s="950"/>
      <c r="F364" s="852"/>
    </row>
    <row r="365">
      <c r="A365" s="5"/>
      <c r="B365" s="950"/>
      <c r="F365" s="852"/>
    </row>
    <row r="366">
      <c r="A366" s="5"/>
      <c r="B366" s="950"/>
      <c r="F366" s="852"/>
    </row>
    <row r="367">
      <c r="A367" s="5"/>
      <c r="B367" s="950"/>
      <c r="F367" s="852"/>
    </row>
    <row r="368">
      <c r="A368" s="5"/>
      <c r="B368" s="950"/>
      <c r="F368" s="852"/>
    </row>
    <row r="369">
      <c r="A369" s="5"/>
      <c r="B369" s="950"/>
      <c r="F369" s="852"/>
    </row>
    <row r="370">
      <c r="A370" s="5"/>
      <c r="B370" s="950"/>
      <c r="F370" s="852"/>
    </row>
    <row r="371">
      <c r="A371" s="5"/>
      <c r="B371" s="950"/>
      <c r="F371" s="852"/>
    </row>
    <row r="372">
      <c r="A372" s="5"/>
      <c r="B372" s="950"/>
      <c r="F372" s="852"/>
    </row>
    <row r="373">
      <c r="A373" s="5"/>
      <c r="B373" s="950"/>
      <c r="F373" s="852"/>
    </row>
    <row r="374">
      <c r="A374" s="5"/>
      <c r="B374" s="950"/>
      <c r="F374" s="852"/>
    </row>
    <row r="375">
      <c r="A375" s="5"/>
      <c r="B375" s="950"/>
      <c r="F375" s="852"/>
    </row>
    <row r="376">
      <c r="A376" s="5"/>
      <c r="B376" s="950"/>
      <c r="F376" s="852"/>
    </row>
    <row r="377">
      <c r="A377" s="5"/>
      <c r="B377" s="950"/>
      <c r="F377" s="852"/>
    </row>
    <row r="378">
      <c r="A378" s="5"/>
      <c r="B378" s="950"/>
      <c r="F378" s="852"/>
    </row>
    <row r="379">
      <c r="A379" s="5"/>
      <c r="B379" s="950"/>
      <c r="F379" s="852"/>
    </row>
    <row r="380">
      <c r="A380" s="5"/>
      <c r="B380" s="950"/>
      <c r="F380" s="852"/>
    </row>
    <row r="381">
      <c r="A381" s="5"/>
      <c r="B381" s="950"/>
      <c r="F381" s="852"/>
    </row>
    <row r="382">
      <c r="A382" s="5"/>
      <c r="B382" s="950"/>
      <c r="F382" s="852"/>
    </row>
    <row r="383">
      <c r="A383" s="5"/>
      <c r="B383" s="950"/>
      <c r="F383" s="852"/>
    </row>
    <row r="384">
      <c r="A384" s="5"/>
      <c r="B384" s="950"/>
      <c r="F384" s="852"/>
    </row>
    <row r="385">
      <c r="A385" s="5"/>
      <c r="B385" s="950"/>
      <c r="F385" s="852"/>
    </row>
    <row r="386">
      <c r="A386" s="5"/>
      <c r="B386" s="950"/>
      <c r="F386" s="852"/>
    </row>
    <row r="387">
      <c r="A387" s="5"/>
      <c r="B387" s="950"/>
      <c r="F387" s="852"/>
    </row>
    <row r="388">
      <c r="A388" s="5"/>
      <c r="B388" s="950"/>
      <c r="F388" s="852"/>
    </row>
    <row r="389">
      <c r="A389" s="5"/>
      <c r="B389" s="950"/>
      <c r="F389" s="852"/>
    </row>
    <row r="390">
      <c r="A390" s="5"/>
      <c r="B390" s="950"/>
      <c r="F390" s="852"/>
    </row>
    <row r="391">
      <c r="A391" s="5"/>
      <c r="B391" s="950"/>
      <c r="F391" s="852"/>
    </row>
    <row r="392">
      <c r="A392" s="5"/>
      <c r="B392" s="950"/>
      <c r="F392" s="852"/>
    </row>
    <row r="393">
      <c r="A393" s="5"/>
      <c r="B393" s="950"/>
      <c r="F393" s="852"/>
    </row>
    <row r="394">
      <c r="A394" s="5"/>
      <c r="B394" s="950"/>
      <c r="F394" s="852"/>
    </row>
    <row r="395">
      <c r="A395" s="5"/>
      <c r="B395" s="950"/>
      <c r="F395" s="852"/>
    </row>
    <row r="396">
      <c r="A396" s="5"/>
      <c r="B396" s="950"/>
      <c r="F396" s="852"/>
    </row>
    <row r="397">
      <c r="A397" s="5"/>
      <c r="B397" s="950"/>
      <c r="F397" s="852"/>
    </row>
    <row r="398">
      <c r="A398" s="5"/>
      <c r="B398" s="950"/>
      <c r="F398" s="852"/>
    </row>
    <row r="399">
      <c r="A399" s="5"/>
      <c r="B399" s="950"/>
      <c r="F399" s="852"/>
    </row>
    <row r="400">
      <c r="A400" s="5"/>
      <c r="B400" s="950"/>
      <c r="F400" s="852"/>
    </row>
    <row r="401">
      <c r="A401" s="5"/>
      <c r="B401" s="950"/>
      <c r="F401" s="852"/>
    </row>
    <row r="402">
      <c r="A402" s="5"/>
      <c r="B402" s="950"/>
      <c r="F402" s="852"/>
    </row>
    <row r="403">
      <c r="A403" s="5"/>
      <c r="B403" s="950"/>
      <c r="F403" s="852"/>
    </row>
    <row r="404">
      <c r="A404" s="5"/>
      <c r="B404" s="950"/>
      <c r="F404" s="852"/>
    </row>
    <row r="405">
      <c r="A405" s="5"/>
      <c r="B405" s="950"/>
      <c r="F405" s="852"/>
    </row>
    <row r="406">
      <c r="A406" s="5"/>
      <c r="B406" s="950"/>
      <c r="F406" s="852"/>
    </row>
    <row r="407">
      <c r="A407" s="5"/>
      <c r="B407" s="950"/>
      <c r="F407" s="852"/>
    </row>
    <row r="408">
      <c r="A408" s="5"/>
      <c r="B408" s="950"/>
      <c r="F408" s="852"/>
    </row>
    <row r="409">
      <c r="A409" s="5"/>
      <c r="B409" s="950"/>
      <c r="F409" s="852"/>
    </row>
    <row r="410">
      <c r="A410" s="5"/>
      <c r="B410" s="950"/>
      <c r="F410" s="852"/>
    </row>
    <row r="411">
      <c r="A411" s="5"/>
      <c r="B411" s="950"/>
      <c r="F411" s="852"/>
    </row>
    <row r="412">
      <c r="A412" s="5"/>
      <c r="B412" s="950"/>
      <c r="F412" s="852"/>
    </row>
    <row r="413">
      <c r="A413" s="5"/>
      <c r="B413" s="950"/>
      <c r="F413" s="852"/>
    </row>
    <row r="414">
      <c r="A414" s="5"/>
      <c r="B414" s="950"/>
      <c r="F414" s="852"/>
    </row>
    <row r="415">
      <c r="A415" s="5"/>
      <c r="B415" s="950"/>
      <c r="F415" s="852"/>
    </row>
    <row r="416">
      <c r="A416" s="5"/>
      <c r="B416" s="950"/>
      <c r="F416" s="852"/>
    </row>
    <row r="417">
      <c r="A417" s="5"/>
      <c r="B417" s="950"/>
      <c r="F417" s="852"/>
    </row>
    <row r="418">
      <c r="A418" s="5"/>
      <c r="B418" s="950"/>
      <c r="F418" s="852"/>
    </row>
    <row r="419">
      <c r="A419" s="5"/>
      <c r="B419" s="950"/>
      <c r="F419" s="852"/>
    </row>
    <row r="420">
      <c r="A420" s="5"/>
      <c r="B420" s="950"/>
      <c r="F420" s="852"/>
    </row>
    <row r="421">
      <c r="A421" s="5"/>
      <c r="B421" s="950"/>
      <c r="F421" s="852"/>
    </row>
    <row r="422">
      <c r="A422" s="5"/>
      <c r="B422" s="950"/>
      <c r="F422" s="852"/>
    </row>
    <row r="423">
      <c r="A423" s="5"/>
      <c r="B423" s="950"/>
      <c r="F423" s="852"/>
    </row>
    <row r="424">
      <c r="A424" s="5"/>
      <c r="B424" s="950"/>
      <c r="F424" s="852"/>
    </row>
    <row r="425">
      <c r="A425" s="5"/>
      <c r="B425" s="950"/>
      <c r="F425" s="852"/>
    </row>
    <row r="426">
      <c r="A426" s="5"/>
      <c r="B426" s="950"/>
      <c r="F426" s="852"/>
    </row>
    <row r="427">
      <c r="A427" s="5"/>
      <c r="B427" s="950"/>
      <c r="F427" s="852"/>
    </row>
    <row r="428">
      <c r="A428" s="5"/>
      <c r="B428" s="950"/>
      <c r="F428" s="852"/>
    </row>
    <row r="429">
      <c r="A429" s="5"/>
      <c r="B429" s="950"/>
      <c r="F429" s="852"/>
    </row>
    <row r="430">
      <c r="A430" s="5"/>
      <c r="B430" s="950"/>
      <c r="F430" s="852"/>
    </row>
    <row r="431">
      <c r="A431" s="5"/>
      <c r="B431" s="950"/>
      <c r="F431" s="852"/>
    </row>
    <row r="432">
      <c r="A432" s="5"/>
      <c r="B432" s="950"/>
      <c r="F432" s="852"/>
    </row>
    <row r="433">
      <c r="A433" s="5"/>
      <c r="B433" s="950"/>
      <c r="F433" s="852"/>
    </row>
    <row r="434">
      <c r="A434" s="5"/>
      <c r="B434" s="950"/>
      <c r="F434" s="852"/>
    </row>
    <row r="435">
      <c r="A435" s="5"/>
      <c r="B435" s="950"/>
      <c r="F435" s="852"/>
    </row>
    <row r="436">
      <c r="A436" s="5"/>
      <c r="B436" s="950"/>
      <c r="F436" s="852"/>
    </row>
    <row r="437">
      <c r="A437" s="5"/>
      <c r="B437" s="950"/>
      <c r="F437" s="852"/>
    </row>
    <row r="438">
      <c r="A438" s="5"/>
      <c r="B438" s="950"/>
      <c r="F438" s="852"/>
    </row>
    <row r="439">
      <c r="A439" s="5"/>
      <c r="B439" s="950"/>
      <c r="F439" s="852"/>
    </row>
    <row r="440">
      <c r="A440" s="5"/>
      <c r="B440" s="950"/>
      <c r="F440" s="852"/>
    </row>
    <row r="441">
      <c r="A441" s="5"/>
      <c r="B441" s="950"/>
      <c r="F441" s="852"/>
    </row>
    <row r="442">
      <c r="A442" s="5"/>
      <c r="B442" s="950"/>
      <c r="F442" s="852"/>
    </row>
    <row r="443">
      <c r="A443" s="5"/>
      <c r="B443" s="950"/>
      <c r="F443" s="852"/>
    </row>
    <row r="444">
      <c r="A444" s="5"/>
      <c r="B444" s="950"/>
      <c r="F444" s="852"/>
    </row>
    <row r="445">
      <c r="A445" s="5"/>
      <c r="B445" s="950"/>
      <c r="F445" s="852"/>
    </row>
    <row r="446">
      <c r="A446" s="5"/>
      <c r="B446" s="950"/>
      <c r="F446" s="852"/>
    </row>
    <row r="447">
      <c r="A447" s="5"/>
      <c r="B447" s="950"/>
      <c r="F447" s="852"/>
    </row>
    <row r="448">
      <c r="A448" s="5"/>
      <c r="B448" s="950"/>
      <c r="F448" s="852"/>
    </row>
    <row r="449">
      <c r="A449" s="5"/>
      <c r="B449" s="950"/>
      <c r="F449" s="852"/>
    </row>
    <row r="450">
      <c r="A450" s="5"/>
      <c r="B450" s="950"/>
      <c r="F450" s="852"/>
    </row>
    <row r="451">
      <c r="A451" s="5"/>
      <c r="B451" s="950"/>
      <c r="F451" s="852"/>
    </row>
    <row r="452">
      <c r="A452" s="5"/>
      <c r="B452" s="950"/>
      <c r="F452" s="852"/>
    </row>
    <row r="453">
      <c r="A453" s="5"/>
      <c r="B453" s="950"/>
      <c r="F453" s="852"/>
    </row>
    <row r="454">
      <c r="A454" s="5"/>
      <c r="B454" s="950"/>
      <c r="F454" s="852"/>
    </row>
    <row r="455">
      <c r="A455" s="5"/>
      <c r="B455" s="950"/>
      <c r="F455" s="852"/>
    </row>
    <row r="456">
      <c r="A456" s="5"/>
      <c r="B456" s="950"/>
      <c r="F456" s="852"/>
    </row>
    <row r="457">
      <c r="A457" s="5"/>
      <c r="B457" s="950"/>
      <c r="F457" s="852"/>
    </row>
    <row r="458">
      <c r="A458" s="5"/>
      <c r="B458" s="950"/>
      <c r="F458" s="852"/>
    </row>
    <row r="459">
      <c r="A459" s="5"/>
      <c r="B459" s="950"/>
      <c r="F459" s="852"/>
    </row>
    <row r="460">
      <c r="A460" s="5"/>
      <c r="B460" s="950"/>
      <c r="F460" s="852"/>
    </row>
    <row r="461">
      <c r="A461" s="5"/>
      <c r="B461" s="950"/>
      <c r="F461" s="852"/>
    </row>
    <row r="462">
      <c r="A462" s="5"/>
      <c r="B462" s="950"/>
      <c r="F462" s="852"/>
    </row>
    <row r="463">
      <c r="A463" s="5"/>
      <c r="B463" s="950"/>
      <c r="F463" s="852"/>
    </row>
    <row r="464">
      <c r="A464" s="5"/>
      <c r="B464" s="950"/>
      <c r="F464" s="852"/>
    </row>
    <row r="465">
      <c r="A465" s="5"/>
      <c r="B465" s="950"/>
      <c r="F465" s="852"/>
    </row>
    <row r="466">
      <c r="A466" s="5"/>
      <c r="B466" s="950"/>
      <c r="F466" s="852"/>
    </row>
    <row r="467">
      <c r="A467" s="5"/>
      <c r="B467" s="950"/>
      <c r="F467" s="852"/>
    </row>
    <row r="468">
      <c r="A468" s="5"/>
      <c r="B468" s="950"/>
      <c r="F468" s="852"/>
    </row>
    <row r="469">
      <c r="A469" s="5"/>
      <c r="B469" s="950"/>
      <c r="F469" s="852"/>
    </row>
    <row r="470">
      <c r="A470" s="5"/>
      <c r="B470" s="950"/>
      <c r="F470" s="852"/>
    </row>
    <row r="471">
      <c r="A471" s="5"/>
      <c r="B471" s="950"/>
      <c r="F471" s="852"/>
    </row>
    <row r="472">
      <c r="A472" s="5"/>
      <c r="B472" s="950"/>
      <c r="F472" s="852"/>
    </row>
    <row r="473">
      <c r="A473" s="5"/>
      <c r="B473" s="950"/>
      <c r="F473" s="852"/>
    </row>
    <row r="474">
      <c r="A474" s="5"/>
      <c r="B474" s="950"/>
      <c r="F474" s="852"/>
    </row>
    <row r="475">
      <c r="A475" s="5"/>
      <c r="B475" s="950"/>
      <c r="F475" s="852"/>
    </row>
    <row r="476">
      <c r="A476" s="5"/>
      <c r="B476" s="950"/>
      <c r="F476" s="852"/>
    </row>
    <row r="477">
      <c r="A477" s="5"/>
      <c r="B477" s="950"/>
      <c r="F477" s="852"/>
    </row>
    <row r="478">
      <c r="A478" s="5"/>
      <c r="B478" s="950"/>
      <c r="F478" s="852"/>
    </row>
    <row r="479">
      <c r="A479" s="5"/>
      <c r="B479" s="950"/>
      <c r="F479" s="852"/>
    </row>
    <row r="480">
      <c r="A480" s="5"/>
      <c r="B480" s="950"/>
      <c r="F480" s="852"/>
    </row>
    <row r="481">
      <c r="A481" s="5"/>
      <c r="B481" s="950"/>
      <c r="F481" s="852"/>
    </row>
    <row r="482">
      <c r="A482" s="5"/>
      <c r="B482" s="950"/>
      <c r="F482" s="852"/>
    </row>
    <row r="483">
      <c r="A483" s="5"/>
      <c r="B483" s="950"/>
      <c r="F483" s="852"/>
    </row>
    <row r="484">
      <c r="A484" s="5"/>
      <c r="B484" s="950"/>
      <c r="F484" s="852"/>
    </row>
    <row r="485">
      <c r="A485" s="5"/>
      <c r="B485" s="950"/>
      <c r="F485" s="852"/>
    </row>
    <row r="486">
      <c r="A486" s="5"/>
      <c r="B486" s="950"/>
      <c r="F486" s="852"/>
    </row>
    <row r="487">
      <c r="A487" s="5"/>
      <c r="B487" s="950"/>
      <c r="F487" s="852"/>
    </row>
    <row r="488">
      <c r="A488" s="5"/>
      <c r="B488" s="950"/>
      <c r="F488" s="852"/>
    </row>
    <row r="489">
      <c r="A489" s="5"/>
      <c r="B489" s="950"/>
      <c r="F489" s="852"/>
    </row>
    <row r="490">
      <c r="A490" s="5"/>
      <c r="B490" s="950"/>
      <c r="F490" s="852"/>
    </row>
    <row r="491">
      <c r="A491" s="5"/>
      <c r="B491" s="950"/>
      <c r="F491" s="852"/>
    </row>
    <row r="492">
      <c r="A492" s="5"/>
      <c r="B492" s="950"/>
      <c r="F492" s="852"/>
    </row>
    <row r="493">
      <c r="A493" s="5"/>
      <c r="B493" s="950"/>
      <c r="F493" s="852"/>
    </row>
    <row r="494">
      <c r="A494" s="5"/>
      <c r="B494" s="950"/>
      <c r="F494" s="852"/>
    </row>
    <row r="495">
      <c r="A495" s="5"/>
      <c r="B495" s="950"/>
      <c r="F495" s="852"/>
    </row>
    <row r="496">
      <c r="A496" s="5"/>
      <c r="B496" s="950"/>
      <c r="F496" s="852"/>
    </row>
    <row r="497">
      <c r="A497" s="5"/>
      <c r="B497" s="950"/>
      <c r="F497" s="852"/>
    </row>
    <row r="498">
      <c r="A498" s="5"/>
      <c r="B498" s="950"/>
      <c r="F498" s="852"/>
    </row>
    <row r="499">
      <c r="A499" s="5"/>
      <c r="B499" s="950"/>
      <c r="F499" s="852"/>
    </row>
    <row r="500">
      <c r="A500" s="5"/>
      <c r="B500" s="950"/>
      <c r="F500" s="852"/>
    </row>
    <row r="501">
      <c r="A501" s="5"/>
      <c r="B501" s="950"/>
      <c r="F501" s="852"/>
    </row>
    <row r="502">
      <c r="A502" s="5"/>
      <c r="B502" s="950"/>
      <c r="F502" s="852"/>
    </row>
    <row r="503">
      <c r="A503" s="5"/>
      <c r="B503" s="950"/>
      <c r="F503" s="852"/>
    </row>
    <row r="504">
      <c r="A504" s="5"/>
      <c r="B504" s="950"/>
      <c r="F504" s="852"/>
    </row>
    <row r="505">
      <c r="A505" s="5"/>
      <c r="B505" s="950"/>
      <c r="F505" s="852"/>
    </row>
    <row r="506">
      <c r="A506" s="5"/>
      <c r="B506" s="950"/>
      <c r="F506" s="852"/>
    </row>
    <row r="507">
      <c r="A507" s="5"/>
      <c r="B507" s="950"/>
      <c r="F507" s="852"/>
    </row>
    <row r="508">
      <c r="A508" s="5"/>
      <c r="B508" s="950"/>
      <c r="F508" s="852"/>
    </row>
    <row r="509">
      <c r="A509" s="5"/>
      <c r="B509" s="950"/>
      <c r="F509" s="852"/>
    </row>
    <row r="510">
      <c r="A510" s="5"/>
      <c r="B510" s="950"/>
      <c r="F510" s="852"/>
    </row>
    <row r="511">
      <c r="A511" s="5"/>
      <c r="B511" s="950"/>
      <c r="F511" s="852"/>
    </row>
    <row r="512">
      <c r="A512" s="5"/>
      <c r="B512" s="950"/>
      <c r="F512" s="852"/>
    </row>
    <row r="513">
      <c r="A513" s="5"/>
      <c r="B513" s="950"/>
      <c r="F513" s="852"/>
    </row>
    <row r="514">
      <c r="A514" s="5"/>
      <c r="B514" s="950"/>
      <c r="F514" s="852"/>
    </row>
    <row r="515">
      <c r="A515" s="5"/>
      <c r="B515" s="950"/>
      <c r="F515" s="852"/>
    </row>
    <row r="516">
      <c r="A516" s="5"/>
      <c r="B516" s="950"/>
      <c r="F516" s="852"/>
    </row>
    <row r="517">
      <c r="A517" s="5"/>
      <c r="B517" s="950"/>
      <c r="F517" s="852"/>
    </row>
    <row r="518">
      <c r="A518" s="5"/>
      <c r="B518" s="950"/>
      <c r="F518" s="852"/>
    </row>
    <row r="519">
      <c r="A519" s="5"/>
      <c r="B519" s="950"/>
      <c r="F519" s="852"/>
    </row>
    <row r="520">
      <c r="A520" s="5"/>
      <c r="B520" s="950"/>
      <c r="F520" s="852"/>
    </row>
    <row r="521">
      <c r="A521" s="5"/>
      <c r="B521" s="950"/>
      <c r="F521" s="852"/>
    </row>
    <row r="522">
      <c r="A522" s="5"/>
      <c r="B522" s="950"/>
      <c r="F522" s="852"/>
    </row>
    <row r="523">
      <c r="A523" s="5"/>
      <c r="B523" s="950"/>
      <c r="F523" s="852"/>
    </row>
    <row r="524">
      <c r="A524" s="5"/>
      <c r="B524" s="950"/>
      <c r="F524" s="852"/>
    </row>
    <row r="525">
      <c r="A525" s="5"/>
      <c r="B525" s="950"/>
      <c r="F525" s="852"/>
    </row>
    <row r="526">
      <c r="A526" s="5"/>
      <c r="B526" s="950"/>
      <c r="F526" s="852"/>
    </row>
    <row r="527">
      <c r="A527" s="5"/>
      <c r="B527" s="950"/>
      <c r="F527" s="852"/>
    </row>
    <row r="528">
      <c r="A528" s="5"/>
      <c r="B528" s="950"/>
      <c r="F528" s="852"/>
    </row>
    <row r="529">
      <c r="A529" s="5"/>
      <c r="B529" s="950"/>
      <c r="F529" s="852"/>
    </row>
    <row r="530">
      <c r="A530" s="5"/>
      <c r="B530" s="950"/>
      <c r="F530" s="852"/>
    </row>
    <row r="531">
      <c r="A531" s="5"/>
      <c r="B531" s="950"/>
      <c r="F531" s="852"/>
    </row>
    <row r="532">
      <c r="A532" s="5"/>
      <c r="B532" s="950"/>
      <c r="F532" s="852"/>
    </row>
    <row r="533">
      <c r="A533" s="5"/>
      <c r="B533" s="950"/>
      <c r="F533" s="852"/>
    </row>
    <row r="534">
      <c r="A534" s="5"/>
      <c r="B534" s="950"/>
      <c r="F534" s="852"/>
    </row>
    <row r="535">
      <c r="A535" s="5"/>
      <c r="B535" s="950"/>
      <c r="F535" s="852"/>
    </row>
    <row r="536">
      <c r="A536" s="5"/>
      <c r="B536" s="950"/>
      <c r="F536" s="852"/>
    </row>
    <row r="537">
      <c r="A537" s="5"/>
      <c r="B537" s="950"/>
      <c r="F537" s="852"/>
    </row>
    <row r="538">
      <c r="A538" s="5"/>
      <c r="B538" s="950"/>
      <c r="F538" s="852"/>
    </row>
    <row r="539">
      <c r="A539" s="5"/>
      <c r="B539" s="950"/>
      <c r="F539" s="852"/>
    </row>
    <row r="540">
      <c r="A540" s="5"/>
      <c r="B540" s="950"/>
      <c r="F540" s="852"/>
    </row>
    <row r="541">
      <c r="A541" s="5"/>
      <c r="B541" s="950"/>
      <c r="F541" s="852"/>
    </row>
    <row r="542">
      <c r="A542" s="5"/>
      <c r="B542" s="950"/>
      <c r="F542" s="852"/>
    </row>
    <row r="543">
      <c r="A543" s="5"/>
      <c r="B543" s="950"/>
      <c r="F543" s="852"/>
    </row>
    <row r="544">
      <c r="A544" s="5"/>
      <c r="B544" s="950"/>
      <c r="F544" s="852"/>
    </row>
    <row r="545">
      <c r="A545" s="5"/>
      <c r="B545" s="950"/>
      <c r="F545" s="852"/>
    </row>
    <row r="546">
      <c r="A546" s="5"/>
      <c r="B546" s="950"/>
      <c r="F546" s="852"/>
    </row>
    <row r="547">
      <c r="A547" s="5"/>
      <c r="B547" s="950"/>
      <c r="F547" s="852"/>
    </row>
    <row r="548">
      <c r="A548" s="5"/>
      <c r="B548" s="950"/>
      <c r="F548" s="852"/>
    </row>
    <row r="549">
      <c r="A549" s="5"/>
      <c r="B549" s="950"/>
      <c r="F549" s="852"/>
    </row>
    <row r="550">
      <c r="A550" s="5"/>
      <c r="B550" s="950"/>
      <c r="F550" s="852"/>
    </row>
    <row r="551">
      <c r="A551" s="5"/>
      <c r="B551" s="950"/>
      <c r="F551" s="852"/>
    </row>
    <row r="552">
      <c r="A552" s="5"/>
      <c r="B552" s="950"/>
      <c r="F552" s="852"/>
    </row>
    <row r="553">
      <c r="A553" s="5"/>
      <c r="B553" s="950"/>
      <c r="F553" s="852"/>
    </row>
    <row r="554">
      <c r="A554" s="5"/>
      <c r="B554" s="950"/>
      <c r="F554" s="852"/>
    </row>
    <row r="555">
      <c r="A555" s="5"/>
      <c r="B555" s="950"/>
      <c r="F555" s="852"/>
    </row>
    <row r="556">
      <c r="A556" s="5"/>
      <c r="B556" s="950"/>
      <c r="F556" s="852"/>
    </row>
    <row r="557">
      <c r="A557" s="5"/>
      <c r="B557" s="950"/>
      <c r="F557" s="852"/>
    </row>
    <row r="558">
      <c r="A558" s="5"/>
      <c r="B558" s="950"/>
      <c r="F558" s="852"/>
    </row>
    <row r="559">
      <c r="A559" s="5"/>
      <c r="B559" s="950"/>
      <c r="F559" s="852"/>
    </row>
    <row r="560">
      <c r="A560" s="5"/>
      <c r="B560" s="950"/>
      <c r="F560" s="852"/>
    </row>
    <row r="561">
      <c r="A561" s="5"/>
      <c r="B561" s="950"/>
      <c r="F561" s="852"/>
    </row>
    <row r="562">
      <c r="A562" s="5"/>
      <c r="B562" s="950"/>
      <c r="F562" s="852"/>
    </row>
    <row r="563">
      <c r="A563" s="5"/>
      <c r="B563" s="950"/>
      <c r="F563" s="852"/>
    </row>
    <row r="564">
      <c r="A564" s="5"/>
      <c r="B564" s="950"/>
      <c r="F564" s="852"/>
    </row>
    <row r="565">
      <c r="A565" s="5"/>
      <c r="B565" s="950"/>
      <c r="F565" s="852"/>
    </row>
    <row r="566">
      <c r="A566" s="5"/>
      <c r="B566" s="950"/>
      <c r="F566" s="852"/>
    </row>
    <row r="567">
      <c r="A567" s="5"/>
      <c r="B567" s="950"/>
      <c r="F567" s="852"/>
    </row>
    <row r="568">
      <c r="A568" s="5"/>
      <c r="B568" s="950"/>
      <c r="F568" s="852"/>
    </row>
    <row r="569">
      <c r="A569" s="5"/>
      <c r="B569" s="950"/>
      <c r="F569" s="852"/>
    </row>
    <row r="570">
      <c r="A570" s="5"/>
      <c r="B570" s="950"/>
      <c r="F570" s="852"/>
    </row>
    <row r="571">
      <c r="A571" s="5"/>
      <c r="B571" s="950"/>
      <c r="F571" s="852"/>
    </row>
    <row r="572">
      <c r="A572" s="5"/>
      <c r="B572" s="950"/>
      <c r="F572" s="852"/>
    </row>
    <row r="573">
      <c r="A573" s="5"/>
      <c r="B573" s="950"/>
      <c r="F573" s="852"/>
    </row>
    <row r="574">
      <c r="A574" s="5"/>
      <c r="B574" s="950"/>
      <c r="F574" s="852"/>
    </row>
    <row r="575">
      <c r="A575" s="5"/>
      <c r="B575" s="950"/>
      <c r="F575" s="852"/>
    </row>
    <row r="576">
      <c r="A576" s="5"/>
      <c r="B576" s="950"/>
      <c r="F576" s="852"/>
    </row>
    <row r="577">
      <c r="A577" s="5"/>
      <c r="B577" s="950"/>
      <c r="F577" s="852"/>
    </row>
    <row r="578">
      <c r="A578" s="5"/>
      <c r="B578" s="950"/>
      <c r="F578" s="852"/>
    </row>
    <row r="579">
      <c r="A579" s="5"/>
      <c r="B579" s="950"/>
      <c r="F579" s="852"/>
    </row>
    <row r="580">
      <c r="A580" s="5"/>
      <c r="B580" s="950"/>
      <c r="F580" s="852"/>
    </row>
    <row r="581">
      <c r="A581" s="5"/>
      <c r="B581" s="950"/>
      <c r="F581" s="852"/>
    </row>
    <row r="582">
      <c r="A582" s="5"/>
      <c r="B582" s="950"/>
      <c r="F582" s="852"/>
    </row>
    <row r="583">
      <c r="A583" s="5"/>
      <c r="B583" s="950"/>
      <c r="F583" s="852"/>
    </row>
    <row r="584">
      <c r="A584" s="5"/>
      <c r="B584" s="950"/>
      <c r="F584" s="852"/>
    </row>
    <row r="585">
      <c r="A585" s="5"/>
      <c r="B585" s="950"/>
      <c r="F585" s="852"/>
    </row>
    <row r="586">
      <c r="A586" s="5"/>
      <c r="B586" s="950"/>
      <c r="F586" s="852"/>
    </row>
    <row r="587">
      <c r="A587" s="5"/>
      <c r="B587" s="950"/>
      <c r="F587" s="852"/>
    </row>
    <row r="588">
      <c r="A588" s="5"/>
      <c r="B588" s="950"/>
      <c r="F588" s="852"/>
    </row>
    <row r="589">
      <c r="A589" s="5"/>
      <c r="B589" s="950"/>
      <c r="F589" s="852"/>
    </row>
    <row r="590">
      <c r="A590" s="5"/>
      <c r="B590" s="950"/>
      <c r="F590" s="852"/>
    </row>
    <row r="591">
      <c r="A591" s="5"/>
      <c r="B591" s="950"/>
      <c r="F591" s="852"/>
    </row>
    <row r="592">
      <c r="A592" s="5"/>
      <c r="B592" s="950"/>
      <c r="F592" s="852"/>
    </row>
    <row r="593">
      <c r="A593" s="5"/>
      <c r="B593" s="950"/>
      <c r="F593" s="852"/>
    </row>
    <row r="594">
      <c r="A594" s="5"/>
      <c r="B594" s="950"/>
      <c r="F594" s="852"/>
    </row>
    <row r="595">
      <c r="A595" s="5"/>
      <c r="B595" s="950"/>
      <c r="F595" s="852"/>
    </row>
    <row r="596">
      <c r="A596" s="5"/>
      <c r="B596" s="950"/>
      <c r="F596" s="852"/>
    </row>
    <row r="597">
      <c r="A597" s="5"/>
      <c r="B597" s="950"/>
      <c r="F597" s="852"/>
    </row>
    <row r="598">
      <c r="A598" s="5"/>
      <c r="B598" s="950"/>
      <c r="F598" s="852"/>
    </row>
    <row r="599">
      <c r="A599" s="5"/>
      <c r="B599" s="950"/>
      <c r="F599" s="852"/>
    </row>
    <row r="600">
      <c r="A600" s="5"/>
      <c r="B600" s="950"/>
      <c r="F600" s="852"/>
    </row>
    <row r="601">
      <c r="A601" s="5"/>
      <c r="B601" s="950"/>
      <c r="F601" s="852"/>
    </row>
    <row r="602">
      <c r="A602" s="5"/>
      <c r="B602" s="950"/>
      <c r="F602" s="852"/>
    </row>
    <row r="603">
      <c r="A603" s="5"/>
      <c r="B603" s="950"/>
      <c r="F603" s="852"/>
    </row>
    <row r="604">
      <c r="A604" s="5"/>
      <c r="B604" s="950"/>
      <c r="F604" s="852"/>
    </row>
    <row r="605">
      <c r="A605" s="5"/>
      <c r="B605" s="950"/>
      <c r="F605" s="852"/>
    </row>
    <row r="606">
      <c r="A606" s="5"/>
      <c r="B606" s="950"/>
      <c r="F606" s="852"/>
    </row>
    <row r="607">
      <c r="A607" s="5"/>
      <c r="B607" s="950"/>
      <c r="F607" s="852"/>
    </row>
    <row r="608">
      <c r="A608" s="5"/>
      <c r="B608" s="950"/>
      <c r="F608" s="852"/>
    </row>
    <row r="609">
      <c r="A609" s="5"/>
      <c r="B609" s="950"/>
      <c r="F609" s="852"/>
    </row>
    <row r="610">
      <c r="A610" s="5"/>
      <c r="B610" s="950"/>
      <c r="F610" s="852"/>
    </row>
    <row r="611">
      <c r="A611" s="5"/>
      <c r="B611" s="950"/>
      <c r="F611" s="852"/>
    </row>
    <row r="612">
      <c r="A612" s="5"/>
      <c r="B612" s="950"/>
      <c r="F612" s="852"/>
    </row>
    <row r="613">
      <c r="A613" s="5"/>
      <c r="B613" s="950"/>
      <c r="F613" s="852"/>
    </row>
    <row r="614">
      <c r="A614" s="5"/>
      <c r="B614" s="950"/>
      <c r="F614" s="852"/>
    </row>
    <row r="615">
      <c r="A615" s="5"/>
      <c r="B615" s="950"/>
      <c r="F615" s="852"/>
    </row>
    <row r="616">
      <c r="A616" s="5"/>
      <c r="B616" s="950"/>
      <c r="F616" s="852"/>
    </row>
    <row r="617">
      <c r="A617" s="5"/>
      <c r="B617" s="950"/>
      <c r="F617" s="852"/>
    </row>
    <row r="618">
      <c r="A618" s="5"/>
      <c r="B618" s="950"/>
      <c r="F618" s="852"/>
    </row>
    <row r="619">
      <c r="A619" s="5"/>
      <c r="B619" s="950"/>
      <c r="F619" s="852"/>
    </row>
    <row r="620">
      <c r="A620" s="5"/>
      <c r="B620" s="950"/>
      <c r="F620" s="852"/>
    </row>
    <row r="621">
      <c r="A621" s="5"/>
      <c r="B621" s="950"/>
      <c r="F621" s="852"/>
    </row>
    <row r="622">
      <c r="A622" s="5"/>
      <c r="B622" s="950"/>
      <c r="F622" s="852"/>
    </row>
    <row r="623">
      <c r="A623" s="5"/>
      <c r="B623" s="950"/>
      <c r="F623" s="852"/>
    </row>
    <row r="624">
      <c r="A624" s="5"/>
      <c r="B624" s="950"/>
      <c r="F624" s="852"/>
    </row>
    <row r="625">
      <c r="A625" s="5"/>
      <c r="B625" s="950"/>
      <c r="F625" s="852"/>
    </row>
    <row r="626">
      <c r="A626" s="5"/>
      <c r="B626" s="950"/>
      <c r="F626" s="852"/>
    </row>
    <row r="627">
      <c r="A627" s="5"/>
      <c r="B627" s="950"/>
      <c r="F627" s="852"/>
    </row>
    <row r="628">
      <c r="A628" s="5"/>
      <c r="B628" s="950"/>
      <c r="F628" s="852"/>
    </row>
    <row r="629">
      <c r="A629" s="5"/>
      <c r="B629" s="950"/>
      <c r="F629" s="852"/>
    </row>
    <row r="630">
      <c r="A630" s="5"/>
      <c r="B630" s="950"/>
      <c r="F630" s="852"/>
    </row>
    <row r="631">
      <c r="A631" s="5"/>
      <c r="B631" s="950"/>
      <c r="F631" s="852"/>
    </row>
    <row r="632">
      <c r="A632" s="5"/>
      <c r="B632" s="950"/>
      <c r="F632" s="852"/>
    </row>
    <row r="633">
      <c r="A633" s="5"/>
      <c r="B633" s="950"/>
      <c r="F633" s="852"/>
    </row>
    <row r="634">
      <c r="A634" s="5"/>
      <c r="B634" s="950"/>
      <c r="F634" s="852"/>
    </row>
    <row r="635">
      <c r="A635" s="5"/>
      <c r="B635" s="950"/>
      <c r="F635" s="852"/>
    </row>
    <row r="636">
      <c r="A636" s="5"/>
      <c r="B636" s="950"/>
      <c r="F636" s="852"/>
    </row>
    <row r="637">
      <c r="A637" s="5"/>
      <c r="B637" s="950"/>
      <c r="F637" s="852"/>
    </row>
    <row r="638">
      <c r="A638" s="5"/>
      <c r="B638" s="950"/>
      <c r="F638" s="852"/>
    </row>
    <row r="639">
      <c r="A639" s="5"/>
      <c r="B639" s="950"/>
      <c r="F639" s="852"/>
    </row>
    <row r="640">
      <c r="A640" s="5"/>
      <c r="B640" s="950"/>
      <c r="F640" s="852"/>
    </row>
    <row r="641">
      <c r="A641" s="5"/>
      <c r="B641" s="950"/>
      <c r="F641" s="852"/>
    </row>
    <row r="642">
      <c r="A642" s="5"/>
      <c r="B642" s="950"/>
      <c r="F642" s="852"/>
    </row>
    <row r="643">
      <c r="A643" s="5"/>
      <c r="B643" s="950"/>
      <c r="F643" s="852"/>
    </row>
    <row r="644">
      <c r="A644" s="5"/>
      <c r="B644" s="950"/>
      <c r="F644" s="852"/>
    </row>
    <row r="645">
      <c r="A645" s="5"/>
      <c r="B645" s="950"/>
      <c r="F645" s="852"/>
    </row>
    <row r="646">
      <c r="A646" s="5"/>
      <c r="B646" s="950"/>
      <c r="F646" s="852"/>
    </row>
    <row r="647">
      <c r="A647" s="5"/>
      <c r="B647" s="950"/>
      <c r="F647" s="852"/>
    </row>
    <row r="648">
      <c r="A648" s="5"/>
      <c r="B648" s="950"/>
      <c r="F648" s="852"/>
    </row>
    <row r="649">
      <c r="A649" s="5"/>
      <c r="B649" s="950"/>
      <c r="F649" s="852"/>
    </row>
    <row r="650">
      <c r="A650" s="5"/>
      <c r="B650" s="950"/>
      <c r="F650" s="852"/>
    </row>
    <row r="651">
      <c r="A651" s="5"/>
      <c r="B651" s="950"/>
      <c r="F651" s="852"/>
    </row>
    <row r="652">
      <c r="A652" s="5"/>
      <c r="B652" s="950"/>
      <c r="F652" s="852"/>
    </row>
    <row r="653">
      <c r="A653" s="5"/>
      <c r="B653" s="950"/>
      <c r="F653" s="852"/>
    </row>
    <row r="654">
      <c r="A654" s="5"/>
      <c r="B654" s="950"/>
      <c r="F654" s="852"/>
    </row>
    <row r="655">
      <c r="A655" s="5"/>
      <c r="B655" s="950"/>
      <c r="F655" s="852"/>
    </row>
    <row r="656">
      <c r="A656" s="5"/>
      <c r="B656" s="950"/>
      <c r="F656" s="852"/>
    </row>
    <row r="657">
      <c r="A657" s="5"/>
      <c r="B657" s="950"/>
      <c r="F657" s="852"/>
    </row>
    <row r="658">
      <c r="A658" s="5"/>
      <c r="B658" s="950"/>
      <c r="F658" s="852"/>
    </row>
    <row r="659">
      <c r="A659" s="5"/>
      <c r="B659" s="950"/>
      <c r="F659" s="852"/>
    </row>
    <row r="660">
      <c r="A660" s="5"/>
      <c r="B660" s="950"/>
      <c r="F660" s="852"/>
    </row>
    <row r="661">
      <c r="A661" s="5"/>
      <c r="B661" s="950"/>
      <c r="F661" s="852"/>
    </row>
    <row r="662">
      <c r="A662" s="5"/>
      <c r="B662" s="950"/>
      <c r="F662" s="852"/>
    </row>
    <row r="663">
      <c r="A663" s="5"/>
      <c r="B663" s="950"/>
      <c r="F663" s="852"/>
    </row>
    <row r="664">
      <c r="A664" s="5"/>
      <c r="B664" s="950"/>
      <c r="F664" s="852"/>
    </row>
    <row r="665">
      <c r="A665" s="5"/>
      <c r="B665" s="950"/>
      <c r="F665" s="852"/>
    </row>
    <row r="666">
      <c r="A666" s="5"/>
      <c r="B666" s="950"/>
      <c r="F666" s="852"/>
    </row>
    <row r="667">
      <c r="A667" s="5"/>
      <c r="B667" s="950"/>
      <c r="F667" s="852"/>
    </row>
    <row r="668">
      <c r="A668" s="5"/>
      <c r="B668" s="950"/>
      <c r="F668" s="852"/>
    </row>
    <row r="669">
      <c r="A669" s="5"/>
      <c r="B669" s="950"/>
      <c r="F669" s="852"/>
    </row>
    <row r="670">
      <c r="A670" s="5"/>
      <c r="B670" s="950"/>
      <c r="F670" s="852"/>
    </row>
    <row r="671">
      <c r="A671" s="5"/>
      <c r="B671" s="950"/>
      <c r="F671" s="852"/>
    </row>
    <row r="672">
      <c r="A672" s="5"/>
      <c r="B672" s="950"/>
      <c r="F672" s="852"/>
    </row>
    <row r="673">
      <c r="A673" s="5"/>
      <c r="B673" s="950"/>
      <c r="F673" s="852"/>
    </row>
    <row r="674">
      <c r="A674" s="5"/>
      <c r="B674" s="950"/>
      <c r="F674" s="852"/>
    </row>
    <row r="675">
      <c r="A675" s="5"/>
      <c r="B675" s="950"/>
      <c r="F675" s="852"/>
    </row>
    <row r="676">
      <c r="A676" s="5"/>
      <c r="B676" s="950"/>
      <c r="F676" s="852"/>
    </row>
    <row r="677">
      <c r="A677" s="5"/>
      <c r="B677" s="950"/>
      <c r="F677" s="852"/>
    </row>
    <row r="678">
      <c r="A678" s="5"/>
      <c r="B678" s="950"/>
      <c r="F678" s="852"/>
    </row>
    <row r="679">
      <c r="A679" s="5"/>
      <c r="B679" s="950"/>
      <c r="F679" s="852"/>
    </row>
    <row r="680">
      <c r="A680" s="5"/>
      <c r="B680" s="950"/>
      <c r="F680" s="852"/>
    </row>
    <row r="681">
      <c r="A681" s="5"/>
      <c r="B681" s="950"/>
      <c r="F681" s="852"/>
    </row>
    <row r="682">
      <c r="A682" s="5"/>
      <c r="B682" s="950"/>
      <c r="F682" s="852"/>
    </row>
    <row r="683">
      <c r="A683" s="5"/>
      <c r="B683" s="950"/>
      <c r="F683" s="852"/>
    </row>
    <row r="684">
      <c r="A684" s="5"/>
      <c r="B684" s="950"/>
      <c r="F684" s="852"/>
    </row>
    <row r="685">
      <c r="A685" s="5"/>
      <c r="B685" s="950"/>
      <c r="F685" s="852"/>
    </row>
    <row r="686">
      <c r="A686" s="5"/>
      <c r="B686" s="950"/>
      <c r="F686" s="852"/>
    </row>
    <row r="687">
      <c r="A687" s="5"/>
      <c r="B687" s="950"/>
      <c r="F687" s="852"/>
    </row>
    <row r="688">
      <c r="A688" s="5"/>
      <c r="B688" s="950"/>
      <c r="F688" s="852"/>
    </row>
    <row r="689">
      <c r="A689" s="5"/>
      <c r="B689" s="950"/>
      <c r="F689" s="852"/>
    </row>
    <row r="690">
      <c r="A690" s="5"/>
      <c r="B690" s="950"/>
      <c r="F690" s="852"/>
    </row>
    <row r="691">
      <c r="A691" s="5"/>
      <c r="B691" s="950"/>
      <c r="F691" s="852"/>
    </row>
    <row r="692">
      <c r="A692" s="5"/>
      <c r="B692" s="950"/>
      <c r="F692" s="852"/>
    </row>
    <row r="693">
      <c r="A693" s="5"/>
      <c r="B693" s="950"/>
      <c r="F693" s="852"/>
    </row>
    <row r="694">
      <c r="A694" s="5"/>
      <c r="B694" s="950"/>
      <c r="F694" s="852"/>
    </row>
    <row r="695">
      <c r="A695" s="5"/>
      <c r="B695" s="950"/>
      <c r="F695" s="852"/>
    </row>
    <row r="696">
      <c r="A696" s="5"/>
      <c r="B696" s="950"/>
      <c r="F696" s="852"/>
    </row>
    <row r="697">
      <c r="A697" s="5"/>
      <c r="B697" s="950"/>
      <c r="F697" s="852"/>
    </row>
    <row r="698">
      <c r="A698" s="5"/>
      <c r="B698" s="950"/>
      <c r="F698" s="852"/>
    </row>
    <row r="699">
      <c r="A699" s="5"/>
      <c r="B699" s="950"/>
      <c r="F699" s="852"/>
    </row>
    <row r="700">
      <c r="A700" s="5"/>
      <c r="B700" s="950"/>
      <c r="F700" s="852"/>
    </row>
    <row r="701">
      <c r="A701" s="5"/>
      <c r="B701" s="950"/>
      <c r="F701" s="852"/>
    </row>
    <row r="702">
      <c r="A702" s="5"/>
      <c r="B702" s="950"/>
      <c r="F702" s="852"/>
    </row>
    <row r="703">
      <c r="A703" s="5"/>
      <c r="B703" s="950"/>
      <c r="F703" s="852"/>
    </row>
    <row r="704">
      <c r="A704" s="5"/>
      <c r="B704" s="950"/>
      <c r="F704" s="852"/>
    </row>
    <row r="705">
      <c r="A705" s="5"/>
      <c r="B705" s="950"/>
      <c r="F705" s="852"/>
    </row>
    <row r="706">
      <c r="A706" s="5"/>
      <c r="B706" s="950"/>
      <c r="F706" s="852"/>
    </row>
    <row r="707">
      <c r="A707" s="5"/>
      <c r="B707" s="950"/>
      <c r="F707" s="852"/>
    </row>
    <row r="708">
      <c r="A708" s="5"/>
      <c r="B708" s="950"/>
      <c r="F708" s="852"/>
    </row>
    <row r="709">
      <c r="A709" s="5"/>
      <c r="B709" s="950"/>
      <c r="F709" s="852"/>
    </row>
    <row r="710">
      <c r="A710" s="5"/>
      <c r="B710" s="950"/>
      <c r="F710" s="852"/>
    </row>
    <row r="711">
      <c r="A711" s="5"/>
      <c r="B711" s="950"/>
      <c r="F711" s="852"/>
    </row>
    <row r="712">
      <c r="A712" s="5"/>
      <c r="B712" s="950"/>
      <c r="F712" s="852"/>
    </row>
    <row r="713">
      <c r="A713" s="5"/>
      <c r="B713" s="950"/>
      <c r="F713" s="852"/>
    </row>
    <row r="714">
      <c r="A714" s="5"/>
      <c r="B714" s="950"/>
      <c r="F714" s="852"/>
    </row>
    <row r="715">
      <c r="A715" s="5"/>
      <c r="B715" s="950"/>
      <c r="F715" s="852"/>
    </row>
    <row r="716">
      <c r="A716" s="5"/>
      <c r="B716" s="950"/>
      <c r="F716" s="852"/>
    </row>
    <row r="717">
      <c r="A717" s="5"/>
      <c r="B717" s="950"/>
      <c r="F717" s="852"/>
    </row>
    <row r="718">
      <c r="A718" s="5"/>
      <c r="B718" s="950"/>
      <c r="F718" s="852"/>
    </row>
    <row r="719">
      <c r="A719" s="5"/>
      <c r="B719" s="950"/>
      <c r="F719" s="852"/>
    </row>
    <row r="720">
      <c r="A720" s="5"/>
      <c r="B720" s="950"/>
      <c r="F720" s="852"/>
    </row>
    <row r="721">
      <c r="A721" s="5"/>
      <c r="B721" s="950"/>
      <c r="F721" s="852"/>
    </row>
    <row r="722">
      <c r="A722" s="5"/>
      <c r="B722" s="950"/>
      <c r="F722" s="852"/>
    </row>
    <row r="723">
      <c r="A723" s="5"/>
      <c r="B723" s="950"/>
      <c r="F723" s="852"/>
    </row>
    <row r="724">
      <c r="A724" s="5"/>
      <c r="B724" s="950"/>
      <c r="F724" s="852"/>
    </row>
    <row r="725">
      <c r="A725" s="5"/>
      <c r="B725" s="950"/>
      <c r="F725" s="852"/>
    </row>
    <row r="726">
      <c r="A726" s="5"/>
      <c r="B726" s="950"/>
      <c r="F726" s="852"/>
    </row>
    <row r="727">
      <c r="A727" s="5"/>
      <c r="B727" s="950"/>
      <c r="F727" s="852"/>
    </row>
    <row r="728">
      <c r="A728" s="5"/>
      <c r="B728" s="950"/>
      <c r="F728" s="852"/>
    </row>
    <row r="729">
      <c r="A729" s="5"/>
      <c r="B729" s="950"/>
      <c r="F729" s="852"/>
    </row>
    <row r="730">
      <c r="A730" s="5"/>
      <c r="B730" s="950"/>
      <c r="F730" s="852"/>
    </row>
    <row r="731">
      <c r="A731" s="5"/>
      <c r="B731" s="950"/>
      <c r="F731" s="852"/>
    </row>
    <row r="732">
      <c r="A732" s="5"/>
      <c r="B732" s="950"/>
      <c r="F732" s="852"/>
    </row>
    <row r="733">
      <c r="A733" s="5"/>
      <c r="B733" s="950"/>
      <c r="F733" s="852"/>
    </row>
    <row r="734">
      <c r="A734" s="5"/>
      <c r="B734" s="950"/>
      <c r="F734" s="852"/>
    </row>
    <row r="735">
      <c r="A735" s="5"/>
      <c r="B735" s="950"/>
      <c r="F735" s="852"/>
    </row>
    <row r="736">
      <c r="A736" s="5"/>
      <c r="B736" s="950"/>
      <c r="F736" s="852"/>
    </row>
    <row r="737">
      <c r="A737" s="5"/>
      <c r="B737" s="950"/>
      <c r="F737" s="852"/>
    </row>
    <row r="738">
      <c r="A738" s="5"/>
      <c r="B738" s="950"/>
      <c r="F738" s="852"/>
    </row>
    <row r="739">
      <c r="A739" s="5"/>
      <c r="B739" s="950"/>
      <c r="F739" s="852"/>
    </row>
    <row r="740">
      <c r="A740" s="5"/>
      <c r="B740" s="950"/>
      <c r="F740" s="852"/>
    </row>
    <row r="741">
      <c r="A741" s="5"/>
      <c r="B741" s="950"/>
      <c r="F741" s="852"/>
    </row>
    <row r="742">
      <c r="A742" s="5"/>
      <c r="B742" s="950"/>
      <c r="F742" s="852"/>
    </row>
    <row r="743">
      <c r="A743" s="5"/>
      <c r="B743" s="950"/>
      <c r="F743" s="852"/>
    </row>
    <row r="744">
      <c r="A744" s="5"/>
      <c r="B744" s="950"/>
      <c r="F744" s="852"/>
    </row>
    <row r="745">
      <c r="A745" s="5"/>
      <c r="B745" s="950"/>
      <c r="F745" s="852"/>
    </row>
    <row r="746">
      <c r="A746" s="5"/>
      <c r="B746" s="950"/>
      <c r="F746" s="852"/>
    </row>
    <row r="747">
      <c r="A747" s="5"/>
      <c r="B747" s="950"/>
      <c r="F747" s="852"/>
    </row>
    <row r="748">
      <c r="A748" s="5"/>
      <c r="B748" s="950"/>
      <c r="F748" s="852"/>
    </row>
    <row r="749">
      <c r="A749" s="5"/>
      <c r="B749" s="950"/>
      <c r="F749" s="852"/>
    </row>
    <row r="750">
      <c r="A750" s="5"/>
      <c r="B750" s="950"/>
      <c r="F750" s="852"/>
    </row>
    <row r="751">
      <c r="A751" s="5"/>
      <c r="B751" s="950"/>
      <c r="F751" s="852"/>
    </row>
    <row r="752">
      <c r="A752" s="5"/>
      <c r="B752" s="950"/>
      <c r="F752" s="852"/>
    </row>
    <row r="753">
      <c r="A753" s="5"/>
      <c r="B753" s="950"/>
      <c r="F753" s="852"/>
    </row>
    <row r="754">
      <c r="A754" s="5"/>
      <c r="B754" s="950"/>
      <c r="F754" s="852"/>
    </row>
    <row r="755">
      <c r="A755" s="5"/>
      <c r="B755" s="950"/>
      <c r="F755" s="852"/>
    </row>
    <row r="756">
      <c r="A756" s="5"/>
      <c r="B756" s="950"/>
      <c r="F756" s="852"/>
    </row>
    <row r="757">
      <c r="A757" s="5"/>
      <c r="B757" s="950"/>
      <c r="F757" s="852"/>
    </row>
    <row r="758">
      <c r="A758" s="5"/>
      <c r="B758" s="950"/>
      <c r="F758" s="852"/>
    </row>
    <row r="759">
      <c r="A759" s="5"/>
      <c r="B759" s="950"/>
      <c r="F759" s="852"/>
    </row>
    <row r="760">
      <c r="A760" s="5"/>
      <c r="B760" s="950"/>
      <c r="F760" s="852"/>
    </row>
    <row r="761">
      <c r="A761" s="5"/>
      <c r="B761" s="950"/>
      <c r="F761" s="852"/>
    </row>
    <row r="762">
      <c r="A762" s="5"/>
      <c r="B762" s="950"/>
      <c r="F762" s="852"/>
    </row>
    <row r="763">
      <c r="A763" s="5"/>
      <c r="B763" s="950"/>
      <c r="F763" s="852"/>
    </row>
    <row r="764">
      <c r="A764" s="5"/>
      <c r="B764" s="950"/>
      <c r="F764" s="852"/>
    </row>
    <row r="765">
      <c r="A765" s="5"/>
      <c r="B765" s="950"/>
      <c r="F765" s="852"/>
    </row>
    <row r="766">
      <c r="A766" s="5"/>
      <c r="B766" s="950"/>
      <c r="F766" s="852"/>
    </row>
    <row r="767">
      <c r="A767" s="5"/>
      <c r="B767" s="950"/>
      <c r="F767" s="852"/>
    </row>
    <row r="768">
      <c r="A768" s="5"/>
      <c r="B768" s="950"/>
      <c r="F768" s="852"/>
    </row>
    <row r="769">
      <c r="A769" s="5"/>
      <c r="B769" s="950"/>
      <c r="F769" s="852"/>
    </row>
    <row r="770">
      <c r="A770" s="5"/>
      <c r="B770" s="950"/>
      <c r="F770" s="852"/>
    </row>
    <row r="771">
      <c r="A771" s="5"/>
      <c r="B771" s="950"/>
      <c r="F771" s="852"/>
    </row>
    <row r="772">
      <c r="A772" s="5"/>
      <c r="B772" s="950"/>
      <c r="F772" s="852"/>
    </row>
    <row r="773">
      <c r="A773" s="5"/>
      <c r="B773" s="950"/>
      <c r="F773" s="852"/>
    </row>
    <row r="774">
      <c r="A774" s="5"/>
      <c r="B774" s="950"/>
      <c r="F774" s="852"/>
    </row>
    <row r="775">
      <c r="A775" s="5"/>
      <c r="B775" s="950"/>
      <c r="F775" s="852"/>
    </row>
    <row r="776">
      <c r="A776" s="5"/>
      <c r="B776" s="950"/>
      <c r="F776" s="852"/>
    </row>
    <row r="777">
      <c r="A777" s="5"/>
      <c r="B777" s="950"/>
      <c r="F777" s="852"/>
    </row>
    <row r="778">
      <c r="A778" s="5"/>
      <c r="B778" s="950"/>
      <c r="F778" s="852"/>
    </row>
    <row r="779">
      <c r="A779" s="5"/>
      <c r="B779" s="950"/>
      <c r="F779" s="852"/>
    </row>
    <row r="780">
      <c r="A780" s="5"/>
      <c r="B780" s="950"/>
      <c r="F780" s="852"/>
    </row>
    <row r="781">
      <c r="A781" s="5"/>
      <c r="B781" s="950"/>
      <c r="F781" s="852"/>
    </row>
    <row r="782">
      <c r="A782" s="5"/>
      <c r="B782" s="950"/>
      <c r="F782" s="852"/>
    </row>
    <row r="783">
      <c r="A783" s="5"/>
      <c r="B783" s="950"/>
      <c r="F783" s="852"/>
    </row>
    <row r="784">
      <c r="A784" s="5"/>
      <c r="B784" s="950"/>
      <c r="F784" s="852"/>
    </row>
    <row r="785">
      <c r="A785" s="5"/>
      <c r="B785" s="950"/>
      <c r="F785" s="852"/>
    </row>
    <row r="786">
      <c r="A786" s="5"/>
      <c r="B786" s="950"/>
      <c r="F786" s="852"/>
    </row>
    <row r="787">
      <c r="A787" s="5"/>
      <c r="B787" s="950"/>
      <c r="F787" s="852"/>
    </row>
    <row r="788">
      <c r="A788" s="5"/>
      <c r="B788" s="950"/>
      <c r="F788" s="852"/>
    </row>
    <row r="789">
      <c r="A789" s="5"/>
      <c r="B789" s="950"/>
      <c r="F789" s="852"/>
    </row>
    <row r="790">
      <c r="A790" s="5"/>
      <c r="B790" s="950"/>
      <c r="F790" s="852"/>
    </row>
    <row r="791">
      <c r="A791" s="5"/>
      <c r="B791" s="950"/>
      <c r="F791" s="852"/>
    </row>
    <row r="792">
      <c r="A792" s="5"/>
      <c r="B792" s="950"/>
      <c r="F792" s="852"/>
    </row>
    <row r="793">
      <c r="A793" s="5"/>
      <c r="B793" s="950"/>
      <c r="F793" s="852"/>
    </row>
    <row r="794">
      <c r="A794" s="5"/>
      <c r="B794" s="950"/>
      <c r="F794" s="852"/>
    </row>
    <row r="795">
      <c r="A795" s="5"/>
      <c r="B795" s="950"/>
      <c r="F795" s="852"/>
    </row>
    <row r="796">
      <c r="A796" s="5"/>
      <c r="B796" s="950"/>
      <c r="F796" s="852"/>
    </row>
    <row r="797">
      <c r="A797" s="5"/>
      <c r="B797" s="950"/>
      <c r="F797" s="852"/>
    </row>
    <row r="798">
      <c r="A798" s="5"/>
      <c r="B798" s="950"/>
      <c r="F798" s="852"/>
    </row>
    <row r="799">
      <c r="A799" s="5"/>
      <c r="B799" s="950"/>
      <c r="F799" s="852"/>
    </row>
    <row r="800">
      <c r="A800" s="5"/>
      <c r="B800" s="950"/>
      <c r="F800" s="852"/>
    </row>
    <row r="801">
      <c r="A801" s="5"/>
      <c r="B801" s="950"/>
      <c r="F801" s="852"/>
    </row>
    <row r="802">
      <c r="A802" s="5"/>
      <c r="B802" s="950"/>
      <c r="F802" s="852"/>
    </row>
    <row r="803">
      <c r="A803" s="5"/>
      <c r="B803" s="950"/>
      <c r="F803" s="852"/>
    </row>
    <row r="804">
      <c r="A804" s="5"/>
      <c r="B804" s="950"/>
      <c r="F804" s="852"/>
    </row>
    <row r="805">
      <c r="A805" s="5"/>
      <c r="B805" s="950"/>
      <c r="F805" s="852"/>
    </row>
    <row r="806">
      <c r="A806" s="5"/>
      <c r="B806" s="950"/>
      <c r="F806" s="852"/>
    </row>
    <row r="807">
      <c r="A807" s="5"/>
      <c r="B807" s="950"/>
      <c r="F807" s="852"/>
    </row>
    <row r="808">
      <c r="A808" s="5"/>
      <c r="B808" s="950"/>
      <c r="F808" s="852"/>
    </row>
    <row r="809">
      <c r="A809" s="5"/>
      <c r="B809" s="950"/>
      <c r="F809" s="852"/>
    </row>
    <row r="810">
      <c r="A810" s="5"/>
      <c r="B810" s="950"/>
      <c r="F810" s="852"/>
    </row>
    <row r="811">
      <c r="A811" s="5"/>
      <c r="B811" s="950"/>
      <c r="F811" s="852"/>
    </row>
    <row r="812">
      <c r="A812" s="5"/>
      <c r="B812" s="950"/>
      <c r="F812" s="852"/>
    </row>
    <row r="813">
      <c r="A813" s="5"/>
      <c r="B813" s="950"/>
      <c r="F813" s="852"/>
    </row>
    <row r="814">
      <c r="A814" s="5"/>
      <c r="B814" s="950"/>
      <c r="F814" s="852"/>
    </row>
    <row r="815">
      <c r="A815" s="5"/>
      <c r="B815" s="950"/>
      <c r="F815" s="852"/>
    </row>
    <row r="816">
      <c r="A816" s="5"/>
      <c r="B816" s="950"/>
      <c r="F816" s="852"/>
    </row>
    <row r="817">
      <c r="A817" s="5"/>
      <c r="B817" s="950"/>
      <c r="F817" s="852"/>
    </row>
    <row r="818">
      <c r="A818" s="5"/>
      <c r="B818" s="950"/>
      <c r="F818" s="852"/>
    </row>
    <row r="819">
      <c r="A819" s="5"/>
      <c r="B819" s="950"/>
      <c r="F819" s="852"/>
    </row>
    <row r="820">
      <c r="A820" s="5"/>
      <c r="B820" s="950"/>
      <c r="F820" s="852"/>
    </row>
    <row r="821">
      <c r="A821" s="5"/>
      <c r="B821" s="950"/>
      <c r="F821" s="852"/>
    </row>
    <row r="822">
      <c r="A822" s="5"/>
      <c r="B822" s="950"/>
      <c r="F822" s="852"/>
    </row>
    <row r="823">
      <c r="A823" s="5"/>
      <c r="B823" s="950"/>
      <c r="F823" s="852"/>
    </row>
    <row r="824">
      <c r="A824" s="5"/>
      <c r="B824" s="950"/>
      <c r="F824" s="852"/>
    </row>
    <row r="825">
      <c r="A825" s="5"/>
      <c r="B825" s="950"/>
      <c r="F825" s="852"/>
    </row>
    <row r="826">
      <c r="A826" s="5"/>
      <c r="B826" s="950"/>
      <c r="F826" s="852"/>
    </row>
    <row r="827">
      <c r="A827" s="5"/>
      <c r="B827" s="950"/>
      <c r="F827" s="852"/>
    </row>
    <row r="828">
      <c r="A828" s="5"/>
      <c r="B828" s="950"/>
      <c r="F828" s="852"/>
    </row>
    <row r="829">
      <c r="A829" s="5"/>
      <c r="B829" s="950"/>
      <c r="F829" s="852"/>
    </row>
    <row r="830">
      <c r="A830" s="5"/>
      <c r="B830" s="950"/>
      <c r="F830" s="852"/>
    </row>
    <row r="831">
      <c r="A831" s="5"/>
      <c r="B831" s="950"/>
      <c r="F831" s="852"/>
    </row>
    <row r="832">
      <c r="A832" s="5"/>
      <c r="B832" s="950"/>
      <c r="F832" s="852"/>
    </row>
    <row r="833">
      <c r="A833" s="5"/>
      <c r="B833" s="950"/>
      <c r="F833" s="852"/>
    </row>
    <row r="834">
      <c r="A834" s="5"/>
      <c r="B834" s="950"/>
      <c r="F834" s="852"/>
    </row>
    <row r="835">
      <c r="A835" s="5"/>
      <c r="B835" s="950"/>
      <c r="F835" s="852"/>
    </row>
    <row r="836">
      <c r="A836" s="5"/>
      <c r="B836" s="950"/>
      <c r="F836" s="852"/>
    </row>
    <row r="837">
      <c r="A837" s="5"/>
      <c r="B837" s="950"/>
      <c r="F837" s="852"/>
    </row>
    <row r="838">
      <c r="A838" s="5"/>
      <c r="B838" s="950"/>
      <c r="F838" s="852"/>
    </row>
    <row r="839">
      <c r="A839" s="5"/>
      <c r="B839" s="950"/>
      <c r="F839" s="852"/>
    </row>
    <row r="840">
      <c r="A840" s="5"/>
      <c r="B840" s="950"/>
      <c r="F840" s="852"/>
    </row>
    <row r="841">
      <c r="A841" s="5"/>
      <c r="B841" s="950"/>
      <c r="F841" s="852"/>
    </row>
    <row r="842">
      <c r="A842" s="5"/>
      <c r="B842" s="950"/>
      <c r="F842" s="852"/>
    </row>
    <row r="843">
      <c r="A843" s="5"/>
      <c r="B843" s="950"/>
      <c r="F843" s="852"/>
    </row>
    <row r="844">
      <c r="A844" s="5"/>
      <c r="B844" s="950"/>
      <c r="F844" s="852"/>
    </row>
    <row r="845">
      <c r="A845" s="5"/>
      <c r="B845" s="950"/>
      <c r="F845" s="852"/>
    </row>
    <row r="846">
      <c r="A846" s="5"/>
      <c r="B846" s="950"/>
      <c r="F846" s="852"/>
    </row>
    <row r="847">
      <c r="A847" s="5"/>
      <c r="B847" s="950"/>
      <c r="F847" s="852"/>
    </row>
    <row r="848">
      <c r="A848" s="5"/>
      <c r="B848" s="950"/>
      <c r="F848" s="852"/>
    </row>
    <row r="849">
      <c r="A849" s="5"/>
      <c r="B849" s="950"/>
      <c r="F849" s="852"/>
    </row>
    <row r="850">
      <c r="A850" s="5"/>
      <c r="B850" s="950"/>
      <c r="F850" s="852"/>
    </row>
    <row r="851">
      <c r="A851" s="5"/>
      <c r="B851" s="950"/>
      <c r="F851" s="852"/>
    </row>
    <row r="852">
      <c r="A852" s="5"/>
      <c r="B852" s="950"/>
      <c r="F852" s="852"/>
    </row>
    <row r="853">
      <c r="A853" s="5"/>
      <c r="B853" s="950"/>
      <c r="F853" s="852"/>
    </row>
    <row r="854">
      <c r="A854" s="5"/>
      <c r="B854" s="950"/>
      <c r="F854" s="852"/>
    </row>
    <row r="855">
      <c r="A855" s="5"/>
      <c r="B855" s="950"/>
      <c r="F855" s="852"/>
    </row>
    <row r="856">
      <c r="A856" s="5"/>
      <c r="B856" s="950"/>
      <c r="F856" s="852"/>
    </row>
    <row r="857">
      <c r="A857" s="5"/>
      <c r="B857" s="950"/>
      <c r="F857" s="852"/>
    </row>
    <row r="858">
      <c r="A858" s="5"/>
      <c r="B858" s="950"/>
      <c r="F858" s="852"/>
    </row>
    <row r="859">
      <c r="A859" s="5"/>
      <c r="B859" s="950"/>
      <c r="F859" s="852"/>
    </row>
    <row r="860">
      <c r="A860" s="5"/>
      <c r="B860" s="950"/>
      <c r="F860" s="852"/>
    </row>
    <row r="861">
      <c r="A861" s="5"/>
      <c r="B861" s="950"/>
      <c r="F861" s="852"/>
    </row>
    <row r="862">
      <c r="A862" s="5"/>
      <c r="B862" s="950"/>
      <c r="F862" s="852"/>
    </row>
    <row r="863">
      <c r="A863" s="5"/>
      <c r="B863" s="950"/>
      <c r="F863" s="852"/>
    </row>
    <row r="864">
      <c r="A864" s="5"/>
      <c r="B864" s="950"/>
      <c r="F864" s="852"/>
    </row>
    <row r="865">
      <c r="A865" s="5"/>
      <c r="B865" s="950"/>
      <c r="F865" s="852"/>
    </row>
    <row r="866">
      <c r="A866" s="5"/>
      <c r="B866" s="950"/>
      <c r="F866" s="852"/>
    </row>
    <row r="867">
      <c r="A867" s="5"/>
      <c r="B867" s="950"/>
      <c r="F867" s="852"/>
    </row>
    <row r="868">
      <c r="A868" s="5"/>
      <c r="B868" s="950"/>
      <c r="F868" s="852"/>
    </row>
    <row r="869">
      <c r="A869" s="5"/>
      <c r="B869" s="950"/>
      <c r="F869" s="852"/>
    </row>
    <row r="870">
      <c r="A870" s="5"/>
      <c r="B870" s="950"/>
      <c r="F870" s="852"/>
    </row>
    <row r="871">
      <c r="A871" s="5"/>
      <c r="B871" s="950"/>
      <c r="F871" s="852"/>
    </row>
    <row r="872">
      <c r="A872" s="5"/>
      <c r="B872" s="950"/>
      <c r="F872" s="852"/>
    </row>
    <row r="873">
      <c r="A873" s="5"/>
      <c r="B873" s="950"/>
      <c r="F873" s="852"/>
    </row>
    <row r="874">
      <c r="A874" s="5"/>
      <c r="B874" s="950"/>
      <c r="F874" s="852"/>
    </row>
    <row r="875">
      <c r="A875" s="5"/>
      <c r="B875" s="950"/>
      <c r="F875" s="852"/>
    </row>
    <row r="876">
      <c r="A876" s="5"/>
      <c r="B876" s="950"/>
      <c r="F876" s="852"/>
    </row>
    <row r="877">
      <c r="A877" s="5"/>
      <c r="B877" s="950"/>
      <c r="F877" s="852"/>
    </row>
    <row r="878">
      <c r="A878" s="5"/>
      <c r="B878" s="950"/>
      <c r="F878" s="852"/>
    </row>
    <row r="879">
      <c r="A879" s="5"/>
      <c r="B879" s="950"/>
      <c r="F879" s="852"/>
    </row>
    <row r="880">
      <c r="A880" s="5"/>
      <c r="B880" s="950"/>
      <c r="F880" s="852"/>
    </row>
    <row r="881">
      <c r="A881" s="5"/>
      <c r="B881" s="950"/>
      <c r="F881" s="852"/>
    </row>
    <row r="882">
      <c r="A882" s="5"/>
      <c r="B882" s="950"/>
      <c r="F882" s="852"/>
    </row>
    <row r="883">
      <c r="A883" s="5"/>
      <c r="B883" s="950"/>
      <c r="F883" s="852"/>
    </row>
    <row r="884">
      <c r="A884" s="5"/>
      <c r="B884" s="950"/>
      <c r="F884" s="852"/>
    </row>
    <row r="885">
      <c r="A885" s="5"/>
      <c r="B885" s="950"/>
      <c r="F885" s="852"/>
    </row>
    <row r="886">
      <c r="A886" s="5"/>
      <c r="B886" s="950"/>
      <c r="F886" s="852"/>
    </row>
    <row r="887">
      <c r="A887" s="5"/>
      <c r="B887" s="950"/>
      <c r="F887" s="852"/>
    </row>
    <row r="888">
      <c r="A888" s="5"/>
      <c r="B888" s="950"/>
      <c r="F888" s="852"/>
    </row>
    <row r="889">
      <c r="A889" s="5"/>
      <c r="B889" s="950"/>
      <c r="F889" s="852"/>
    </row>
    <row r="890">
      <c r="A890" s="5"/>
      <c r="B890" s="950"/>
      <c r="F890" s="852"/>
    </row>
    <row r="891">
      <c r="A891" s="5"/>
      <c r="B891" s="950"/>
      <c r="F891" s="852"/>
    </row>
    <row r="892">
      <c r="A892" s="5"/>
      <c r="B892" s="950"/>
      <c r="F892" s="852"/>
    </row>
    <row r="893">
      <c r="A893" s="5"/>
      <c r="B893" s="950"/>
      <c r="F893" s="852"/>
    </row>
    <row r="894">
      <c r="A894" s="5"/>
      <c r="B894" s="950"/>
      <c r="F894" s="852"/>
    </row>
    <row r="895">
      <c r="A895" s="5"/>
      <c r="B895" s="950"/>
      <c r="F895" s="852"/>
    </row>
    <row r="896">
      <c r="A896" s="5"/>
      <c r="B896" s="950"/>
      <c r="F896" s="852"/>
    </row>
    <row r="897">
      <c r="A897" s="5"/>
      <c r="B897" s="950"/>
      <c r="F897" s="852"/>
    </row>
    <row r="898">
      <c r="A898" s="5"/>
      <c r="B898" s="950"/>
      <c r="F898" s="852"/>
    </row>
    <row r="899">
      <c r="A899" s="5"/>
      <c r="B899" s="950"/>
      <c r="F899" s="852"/>
    </row>
    <row r="900">
      <c r="A900" s="5"/>
      <c r="B900" s="950"/>
      <c r="F900" s="852"/>
    </row>
    <row r="901">
      <c r="A901" s="5"/>
      <c r="B901" s="950"/>
      <c r="F901" s="852"/>
    </row>
    <row r="902">
      <c r="A902" s="5"/>
      <c r="B902" s="950"/>
      <c r="F902" s="852"/>
    </row>
    <row r="903">
      <c r="A903" s="5"/>
      <c r="B903" s="950"/>
      <c r="F903" s="852"/>
    </row>
    <row r="904">
      <c r="A904" s="5"/>
      <c r="B904" s="950"/>
      <c r="F904" s="852"/>
    </row>
    <row r="905">
      <c r="A905" s="5"/>
      <c r="B905" s="950"/>
      <c r="F905" s="852"/>
    </row>
    <row r="906">
      <c r="A906" s="5"/>
      <c r="B906" s="950"/>
      <c r="F906" s="852"/>
    </row>
    <row r="907">
      <c r="A907" s="5"/>
      <c r="B907" s="950"/>
      <c r="F907" s="852"/>
    </row>
    <row r="908">
      <c r="A908" s="5"/>
      <c r="B908" s="950"/>
      <c r="F908" s="852"/>
    </row>
    <row r="909">
      <c r="A909" s="5"/>
      <c r="B909" s="950"/>
      <c r="F909" s="852"/>
    </row>
    <row r="910">
      <c r="A910" s="5"/>
      <c r="B910" s="950"/>
      <c r="F910" s="852"/>
    </row>
  </sheetData>
  <mergeCells count="32">
    <mergeCell ref="G1:H1"/>
    <mergeCell ref="A2:A16"/>
    <mergeCell ref="A17:A27"/>
    <mergeCell ref="A28:A29"/>
    <mergeCell ref="A30:A39"/>
    <mergeCell ref="A40:A49"/>
    <mergeCell ref="A50:A61"/>
    <mergeCell ref="A62:A73"/>
    <mergeCell ref="A74:A91"/>
    <mergeCell ref="A92:A103"/>
    <mergeCell ref="A104:A105"/>
    <mergeCell ref="A106:A115"/>
    <mergeCell ref="A116:A131"/>
    <mergeCell ref="A132:A144"/>
    <mergeCell ref="A145:A159"/>
    <mergeCell ref="A160:A176"/>
    <mergeCell ref="A177:A186"/>
    <mergeCell ref="A187:A188"/>
    <mergeCell ref="A189:A190"/>
    <mergeCell ref="A191:A200"/>
    <mergeCell ref="A201:A216"/>
    <mergeCell ref="A291:A306"/>
    <mergeCell ref="A307:A316"/>
    <mergeCell ref="A317:A326"/>
    <mergeCell ref="A327:A328"/>
    <mergeCell ref="A217:A228"/>
    <mergeCell ref="A229:A245"/>
    <mergeCell ref="A246:A255"/>
    <mergeCell ref="A256:A257"/>
    <mergeCell ref="A258:A267"/>
    <mergeCell ref="A268:A277"/>
    <mergeCell ref="A278:A290"/>
  </mergeCells>
  <printOptions gridLines="1" horizontalCentered="1"/>
  <pageMargins bottom="0.37795275590551186" footer="0.0" header="0.0" left="0.0" right="0.0" top="0.35433070866141736"/>
  <pageSetup paperSize="9" cellComments="atEnd" orientation="portrait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2.88"/>
    <col customWidth="1" min="6" max="6" width="16.13"/>
    <col customWidth="1" min="7" max="7" width="4.0"/>
    <col customWidth="1" min="8" max="8" width="20.88"/>
    <col customWidth="1" min="9" max="9" width="18.75"/>
  </cols>
  <sheetData>
    <row r="1">
      <c r="A1" s="231"/>
      <c r="B1" s="945" t="s">
        <v>3714</v>
      </c>
      <c r="C1" s="407" t="s">
        <v>53</v>
      </c>
      <c r="D1" s="407" t="s">
        <v>2858</v>
      </c>
      <c r="E1" s="411" t="s">
        <v>55</v>
      </c>
      <c r="F1" s="409" t="s">
        <v>56</v>
      </c>
      <c r="G1" s="407"/>
      <c r="H1" s="411" t="s">
        <v>2781</v>
      </c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1023">
        <v>43739.0</v>
      </c>
      <c r="B2" s="1024">
        <f t="shared" ref="B2:B10" si="1">F2</f>
        <v>1433.67</v>
      </c>
      <c r="C2" s="984"/>
      <c r="D2" s="984"/>
      <c r="E2" s="242"/>
      <c r="F2" s="1025">
        <v>1433.67</v>
      </c>
      <c r="G2" s="1026"/>
      <c r="H2" s="244" t="s">
        <v>58</v>
      </c>
      <c r="I2" s="662"/>
    </row>
    <row r="3">
      <c r="A3" s="611"/>
      <c r="B3" s="1027">
        <f t="shared" si="1"/>
        <v>4190</v>
      </c>
      <c r="C3" s="826"/>
      <c r="D3" s="826"/>
      <c r="F3" s="1028">
        <v>4190.0</v>
      </c>
      <c r="G3" s="1029"/>
      <c r="H3" s="2" t="s">
        <v>4299</v>
      </c>
      <c r="I3" s="847"/>
    </row>
    <row r="4">
      <c r="A4" s="611"/>
      <c r="B4" s="1027">
        <f t="shared" si="1"/>
        <v>1251.79</v>
      </c>
      <c r="C4" s="826"/>
      <c r="D4" s="826"/>
      <c r="F4" s="1028">
        <v>1251.79</v>
      </c>
      <c r="G4" s="1029"/>
      <c r="H4" s="2" t="s">
        <v>314</v>
      </c>
      <c r="I4" s="847"/>
    </row>
    <row r="5">
      <c r="A5" s="611"/>
      <c r="B5" s="1027">
        <f t="shared" si="1"/>
        <v>127</v>
      </c>
      <c r="C5" s="1029"/>
      <c r="D5" s="826"/>
      <c r="F5" s="1028">
        <v>127.0</v>
      </c>
      <c r="G5" s="1029"/>
      <c r="H5" s="2" t="s">
        <v>4525</v>
      </c>
      <c r="I5" s="847"/>
    </row>
    <row r="6">
      <c r="A6" s="611"/>
      <c r="B6" s="1027" t="str">
        <f t="shared" si="1"/>
        <v/>
      </c>
      <c r="C6" s="1029">
        <v>13436.35</v>
      </c>
      <c r="D6" s="826"/>
      <c r="F6" s="1028"/>
      <c r="G6" s="1029"/>
      <c r="H6" s="2" t="s">
        <v>2637</v>
      </c>
      <c r="I6" s="847"/>
    </row>
    <row r="7">
      <c r="A7" s="611"/>
      <c r="B7" s="1027" t="str">
        <f t="shared" si="1"/>
        <v/>
      </c>
      <c r="C7" s="826"/>
      <c r="D7" s="1029"/>
      <c r="F7" s="1028"/>
      <c r="I7" s="847"/>
    </row>
    <row r="8">
      <c r="A8" s="611"/>
      <c r="B8" s="1027" t="str">
        <f t="shared" si="1"/>
        <v/>
      </c>
      <c r="C8" s="826"/>
      <c r="D8" s="826"/>
      <c r="F8" s="1030"/>
      <c r="G8" s="826"/>
      <c r="I8" s="847"/>
    </row>
    <row r="9">
      <c r="A9" s="611"/>
      <c r="B9" s="1027" t="str">
        <f t="shared" si="1"/>
        <v/>
      </c>
      <c r="C9" s="826"/>
      <c r="D9" s="826"/>
      <c r="F9" s="1030"/>
      <c r="G9" s="826"/>
      <c r="I9" s="847"/>
    </row>
    <row r="10">
      <c r="A10" s="611"/>
      <c r="B10" s="1027" t="str">
        <f t="shared" si="1"/>
        <v/>
      </c>
      <c r="C10" s="826"/>
      <c r="D10" s="826"/>
      <c r="F10" s="1030"/>
      <c r="G10" s="826"/>
      <c r="I10" s="847"/>
    </row>
    <row r="11">
      <c r="A11" s="613"/>
      <c r="B11" s="1031">
        <f>SUM(B2:B10)</f>
        <v>7002.46</v>
      </c>
      <c r="C11" s="1032"/>
      <c r="D11" s="1032"/>
      <c r="E11" s="18"/>
      <c r="F11" s="1033"/>
      <c r="G11" s="1032"/>
      <c r="H11" s="18"/>
      <c r="I11" s="663"/>
    </row>
    <row r="12">
      <c r="A12" s="1023">
        <v>43740.0</v>
      </c>
      <c r="B12" s="1024">
        <f t="shared" ref="B12:B20" si="2">F12</f>
        <v>2045.96</v>
      </c>
      <c r="C12" s="984"/>
      <c r="D12" s="984"/>
      <c r="E12" s="242"/>
      <c r="F12" s="1025">
        <v>2045.96</v>
      </c>
      <c r="G12" s="1026"/>
      <c r="H12" s="244" t="s">
        <v>314</v>
      </c>
      <c r="I12" s="662"/>
    </row>
    <row r="13">
      <c r="A13" s="611"/>
      <c r="B13" s="1027" t="str">
        <f t="shared" si="2"/>
        <v/>
      </c>
      <c r="C13" s="826"/>
      <c r="D13" s="826"/>
      <c r="F13" s="1028"/>
      <c r="G13" s="1029"/>
      <c r="I13" s="847"/>
    </row>
    <row r="14">
      <c r="A14" s="611"/>
      <c r="B14" s="1027" t="str">
        <f t="shared" si="2"/>
        <v/>
      </c>
      <c r="C14" s="826"/>
      <c r="D14" s="826"/>
      <c r="F14" s="1028"/>
      <c r="G14" s="1029"/>
      <c r="I14" s="847"/>
    </row>
    <row r="15">
      <c r="A15" s="611"/>
      <c r="B15" s="1027" t="str">
        <f t="shared" si="2"/>
        <v/>
      </c>
      <c r="C15" s="1029"/>
      <c r="D15" s="826"/>
      <c r="F15" s="1028"/>
      <c r="G15" s="1029"/>
      <c r="I15" s="847"/>
    </row>
    <row r="16">
      <c r="A16" s="611"/>
      <c r="B16" s="1027" t="str">
        <f t="shared" si="2"/>
        <v/>
      </c>
      <c r="C16" s="1029"/>
      <c r="D16" s="826"/>
      <c r="F16" s="1028"/>
      <c r="G16" s="1029"/>
      <c r="I16" s="847"/>
    </row>
    <row r="17">
      <c r="A17" s="611"/>
      <c r="B17" s="1027" t="str">
        <f t="shared" si="2"/>
        <v/>
      </c>
      <c r="C17" s="826"/>
      <c r="D17" s="1029"/>
      <c r="F17" s="1028"/>
      <c r="I17" s="847"/>
    </row>
    <row r="18">
      <c r="A18" s="611"/>
      <c r="B18" s="1027" t="str">
        <f t="shared" si="2"/>
        <v/>
      </c>
      <c r="C18" s="826"/>
      <c r="D18" s="826"/>
      <c r="F18" s="1030"/>
      <c r="G18" s="826"/>
      <c r="I18" s="847"/>
    </row>
    <row r="19">
      <c r="A19" s="611"/>
      <c r="B19" s="1027" t="str">
        <f t="shared" si="2"/>
        <v/>
      </c>
      <c r="C19" s="826"/>
      <c r="D19" s="826"/>
      <c r="F19" s="1030"/>
      <c r="G19" s="826"/>
      <c r="I19" s="847"/>
    </row>
    <row r="20">
      <c r="A20" s="611"/>
      <c r="B20" s="1027" t="str">
        <f t="shared" si="2"/>
        <v/>
      </c>
      <c r="C20" s="826"/>
      <c r="D20" s="826"/>
      <c r="F20" s="1030"/>
      <c r="G20" s="826"/>
      <c r="I20" s="847"/>
    </row>
    <row r="21">
      <c r="A21" s="613"/>
      <c r="B21" s="1031">
        <f>SUM(B12:B20)</f>
        <v>2045.96</v>
      </c>
      <c r="C21" s="1032"/>
      <c r="D21" s="1032"/>
      <c r="E21" s="18"/>
      <c r="F21" s="1033"/>
      <c r="G21" s="1032"/>
      <c r="H21" s="18"/>
      <c r="I21" s="663"/>
    </row>
    <row r="22">
      <c r="A22" s="1023">
        <v>43741.0</v>
      </c>
      <c r="B22" s="1024">
        <f t="shared" ref="B22:B29" si="3">F22</f>
        <v>2975.55</v>
      </c>
      <c r="C22" s="984"/>
      <c r="D22" s="984"/>
      <c r="E22" s="242"/>
      <c r="F22" s="1025">
        <v>2975.55</v>
      </c>
      <c r="G22" s="1026"/>
      <c r="H22" s="244" t="s">
        <v>4524</v>
      </c>
      <c r="I22" s="662"/>
    </row>
    <row r="23">
      <c r="A23" s="611"/>
      <c r="B23" s="1027">
        <f t="shared" si="3"/>
        <v>4060</v>
      </c>
      <c r="C23" s="826"/>
      <c r="D23" s="826"/>
      <c r="F23" s="1028">
        <v>4060.0</v>
      </c>
      <c r="G23" s="1029"/>
      <c r="H23" s="2" t="s">
        <v>4175</v>
      </c>
      <c r="I23" s="847"/>
    </row>
    <row r="24">
      <c r="A24" s="611"/>
      <c r="B24" s="1027">
        <f t="shared" si="3"/>
        <v>4100</v>
      </c>
      <c r="C24" s="826"/>
      <c r="D24" s="826"/>
      <c r="F24" s="1028">
        <v>4100.0</v>
      </c>
      <c r="G24" s="1029"/>
      <c r="H24" s="2" t="s">
        <v>4043</v>
      </c>
      <c r="I24" s="847"/>
    </row>
    <row r="25">
      <c r="A25" s="611"/>
      <c r="B25" s="1027">
        <f t="shared" si="3"/>
        <v>132.9</v>
      </c>
      <c r="C25" s="1029"/>
      <c r="D25" s="826"/>
      <c r="F25" s="1028">
        <v>132.9</v>
      </c>
      <c r="G25" s="1029"/>
      <c r="H25" s="2" t="s">
        <v>4526</v>
      </c>
      <c r="I25" s="847"/>
    </row>
    <row r="26">
      <c r="A26" s="611"/>
      <c r="B26" s="1027">
        <f t="shared" si="3"/>
        <v>1656.2</v>
      </c>
      <c r="C26" s="1029"/>
      <c r="D26" s="826"/>
      <c r="F26" s="1028">
        <v>1656.2</v>
      </c>
      <c r="G26" s="1029"/>
      <c r="H26" s="2" t="s">
        <v>4087</v>
      </c>
      <c r="I26" s="847"/>
    </row>
    <row r="27">
      <c r="A27" s="611"/>
      <c r="B27" s="1027">
        <f t="shared" si="3"/>
        <v>2887</v>
      </c>
      <c r="C27" s="826"/>
      <c r="D27" s="1029"/>
      <c r="F27" s="1028">
        <v>2887.0</v>
      </c>
      <c r="H27" s="2" t="s">
        <v>4342</v>
      </c>
      <c r="I27" s="847"/>
    </row>
    <row r="28">
      <c r="A28" s="611"/>
      <c r="B28" s="1027">
        <f t="shared" si="3"/>
        <v>2602.78</v>
      </c>
      <c r="C28" s="826"/>
      <c r="D28" s="826"/>
      <c r="F28" s="1028">
        <v>2602.78</v>
      </c>
      <c r="G28" s="826"/>
      <c r="H28" s="2" t="s">
        <v>3821</v>
      </c>
      <c r="I28" s="847"/>
    </row>
    <row r="29">
      <c r="A29" s="611"/>
      <c r="B29" s="1027">
        <f t="shared" si="3"/>
        <v>500</v>
      </c>
      <c r="C29" s="826"/>
      <c r="D29" s="826"/>
      <c r="F29" s="1028">
        <v>500.0</v>
      </c>
      <c r="G29" s="826"/>
      <c r="H29" s="2" t="s">
        <v>4333</v>
      </c>
      <c r="I29" s="951"/>
    </row>
    <row r="30">
      <c r="A30" s="611"/>
      <c r="B30" s="1027"/>
      <c r="C30" s="826"/>
      <c r="D30" s="826"/>
      <c r="F30" s="1028">
        <v>175.0</v>
      </c>
      <c r="G30" s="826"/>
      <c r="H30" s="2" t="s">
        <v>314</v>
      </c>
      <c r="I30" s="847"/>
    </row>
    <row r="31">
      <c r="A31" s="611"/>
      <c r="B31" s="1027"/>
      <c r="C31" s="826"/>
      <c r="D31" s="826"/>
      <c r="F31" s="1028"/>
      <c r="G31" s="826"/>
      <c r="H31" s="2"/>
      <c r="I31" s="847"/>
    </row>
    <row r="32">
      <c r="A32" s="611"/>
      <c r="B32" s="1027">
        <f>F32</f>
        <v>3573</v>
      </c>
      <c r="C32" s="826"/>
      <c r="D32" s="826"/>
      <c r="F32" s="1028">
        <f>4723-1150</f>
        <v>3573</v>
      </c>
      <c r="G32" s="826"/>
      <c r="H32" s="2" t="s">
        <v>2727</v>
      </c>
      <c r="I32" s="847"/>
    </row>
    <row r="33">
      <c r="A33" s="613"/>
      <c r="B33" s="1031">
        <f>SUM(B22:B32)</f>
        <v>22487.43</v>
      </c>
      <c r="C33" s="1032"/>
      <c r="D33" s="1032"/>
      <c r="E33" s="18"/>
      <c r="F33" s="1033"/>
      <c r="G33" s="1032"/>
      <c r="H33" s="18"/>
      <c r="I33" s="663"/>
    </row>
    <row r="34">
      <c r="A34" s="1023">
        <v>43742.0</v>
      </c>
      <c r="B34" s="1024">
        <f t="shared" ref="B34:B44" si="4">F34</f>
        <v>1900</v>
      </c>
      <c r="C34" s="984"/>
      <c r="D34" s="984"/>
      <c r="E34" s="242"/>
      <c r="F34" s="1025">
        <v>1900.0</v>
      </c>
      <c r="G34" s="1026"/>
      <c r="H34" s="244" t="s">
        <v>4527</v>
      </c>
      <c r="I34" s="662"/>
    </row>
    <row r="35">
      <c r="A35" s="611"/>
      <c r="B35" s="1027">
        <f t="shared" si="4"/>
        <v>165</v>
      </c>
      <c r="C35" s="826"/>
      <c r="D35" s="826"/>
      <c r="F35" s="1028">
        <v>165.0</v>
      </c>
      <c r="G35" s="1029"/>
      <c r="H35" s="2" t="s">
        <v>94</v>
      </c>
      <c r="I35" s="847"/>
    </row>
    <row r="36">
      <c r="A36" s="611"/>
      <c r="B36" s="1027">
        <f t="shared" si="4"/>
        <v>803.96</v>
      </c>
      <c r="C36" s="826"/>
      <c r="D36" s="826"/>
      <c r="F36" s="1028">
        <v>803.96</v>
      </c>
      <c r="G36" s="1029"/>
      <c r="H36" s="2" t="s">
        <v>708</v>
      </c>
      <c r="I36" s="847"/>
    </row>
    <row r="37">
      <c r="A37" s="611"/>
      <c r="B37" s="1027">
        <f t="shared" si="4"/>
        <v>6300</v>
      </c>
      <c r="C37" s="1029"/>
      <c r="D37" s="826"/>
      <c r="F37" s="1028">
        <v>6300.0</v>
      </c>
      <c r="G37" s="1029"/>
      <c r="H37" s="2" t="s">
        <v>4528</v>
      </c>
      <c r="I37" s="847"/>
    </row>
    <row r="38">
      <c r="A38" s="611"/>
      <c r="B38" s="1027">
        <f t="shared" si="4"/>
        <v>1953.17</v>
      </c>
      <c r="C38" s="1029"/>
      <c r="D38" s="826"/>
      <c r="F38" s="1028">
        <v>1953.17</v>
      </c>
      <c r="G38" s="1029"/>
      <c r="H38" s="2" t="s">
        <v>82</v>
      </c>
      <c r="I38" s="847"/>
    </row>
    <row r="39">
      <c r="A39" s="611"/>
      <c r="B39" s="1027">
        <f t="shared" si="4"/>
        <v>2500</v>
      </c>
      <c r="C39" s="826"/>
      <c r="D39" s="1029"/>
      <c r="F39" s="1028">
        <v>2500.0</v>
      </c>
      <c r="H39" s="2" t="s">
        <v>4480</v>
      </c>
      <c r="I39" s="847"/>
    </row>
    <row r="40">
      <c r="A40" s="611"/>
      <c r="B40" s="1027">
        <f t="shared" si="4"/>
        <v>0</v>
      </c>
      <c r="C40" s="826"/>
      <c r="D40" s="1029">
        <v>20000.0</v>
      </c>
      <c r="F40" s="1028">
        <v>0.0</v>
      </c>
      <c r="G40" s="826"/>
      <c r="H40" s="2" t="s">
        <v>3033</v>
      </c>
      <c r="I40" s="847"/>
    </row>
    <row r="41">
      <c r="A41" s="611"/>
      <c r="B41" s="1027">
        <f t="shared" si="4"/>
        <v>4800</v>
      </c>
      <c r="C41" s="826"/>
      <c r="D41" s="826"/>
      <c r="F41" s="1028">
        <v>4800.0</v>
      </c>
      <c r="G41" s="826"/>
      <c r="H41" s="2" t="s">
        <v>4529</v>
      </c>
      <c r="I41" s="951"/>
      <c r="K41" s="2" t="s">
        <v>4418</v>
      </c>
      <c r="L41" s="826">
        <f>SUM(F48,F114,F190,F257)</f>
        <v>12400</v>
      </c>
    </row>
    <row r="42">
      <c r="A42" s="611"/>
      <c r="B42" s="1027">
        <f t="shared" si="4"/>
        <v>2000</v>
      </c>
      <c r="C42" s="826"/>
      <c r="D42" s="826"/>
      <c r="F42" s="1028">
        <v>2000.0</v>
      </c>
      <c r="G42" s="826"/>
      <c r="H42" s="416" t="s">
        <v>3992</v>
      </c>
      <c r="I42" s="951"/>
      <c r="K42" s="2" t="s">
        <v>3045</v>
      </c>
      <c r="L42" s="826">
        <f>SUM(F42,F89,F169,F224,F292)</f>
        <v>5000</v>
      </c>
    </row>
    <row r="43">
      <c r="A43" s="611"/>
      <c r="B43" s="1027">
        <f t="shared" si="4"/>
        <v>6000</v>
      </c>
      <c r="C43" s="826"/>
      <c r="D43" s="826"/>
      <c r="F43" s="1028">
        <v>6000.0</v>
      </c>
      <c r="G43" s="826"/>
      <c r="H43" s="2" t="s">
        <v>4152</v>
      </c>
      <c r="I43" s="951"/>
      <c r="L43" s="826">
        <f>SUM(L41:L42)</f>
        <v>17400</v>
      </c>
    </row>
    <row r="44">
      <c r="A44" s="611"/>
      <c r="B44" s="1027">
        <f t="shared" si="4"/>
        <v>4000</v>
      </c>
      <c r="C44" s="826"/>
      <c r="D44" s="826"/>
      <c r="F44" s="1028">
        <v>4000.0</v>
      </c>
      <c r="G44" s="826"/>
      <c r="H44" s="2" t="s">
        <v>4032</v>
      </c>
      <c r="I44" s="951"/>
    </row>
    <row r="45">
      <c r="A45" s="613"/>
      <c r="B45" s="1031">
        <f>SUM(B34:B44)</f>
        <v>30422.13</v>
      </c>
      <c r="C45" s="1032"/>
      <c r="D45" s="1032"/>
      <c r="E45" s="18"/>
      <c r="F45" s="1033"/>
      <c r="G45" s="1032"/>
      <c r="H45" s="18"/>
      <c r="I45" s="663"/>
    </row>
    <row r="46">
      <c r="A46" s="1023">
        <v>43743.0</v>
      </c>
      <c r="B46" s="1024">
        <f t="shared" ref="B46:B54" si="5">F46</f>
        <v>7000</v>
      </c>
      <c r="C46" s="984"/>
      <c r="D46" s="984"/>
      <c r="E46" s="242"/>
      <c r="F46" s="1025">
        <v>7000.0</v>
      </c>
      <c r="G46" s="1026"/>
      <c r="H46" s="244" t="s">
        <v>4154</v>
      </c>
      <c r="I46" s="1034"/>
    </row>
    <row r="47">
      <c r="A47" s="611"/>
      <c r="B47" s="1027">
        <f t="shared" si="5"/>
        <v>5000</v>
      </c>
      <c r="C47" s="826"/>
      <c r="D47" s="826"/>
      <c r="F47" s="1028">
        <v>5000.0</v>
      </c>
      <c r="G47" s="1029"/>
      <c r="H47" s="2" t="s">
        <v>4530</v>
      </c>
      <c r="I47" s="951"/>
    </row>
    <row r="48">
      <c r="A48" s="611"/>
      <c r="B48" s="1027">
        <f t="shared" si="5"/>
        <v>2100</v>
      </c>
      <c r="C48" s="826"/>
      <c r="D48" s="826"/>
      <c r="F48" s="1028">
        <v>2100.0</v>
      </c>
      <c r="G48" s="1029"/>
      <c r="H48" s="416" t="s">
        <v>4061</v>
      </c>
      <c r="I48" s="951"/>
    </row>
    <row r="49">
      <c r="A49" s="611"/>
      <c r="B49" s="1027">
        <f t="shared" si="5"/>
        <v>1320</v>
      </c>
      <c r="C49" s="1029"/>
      <c r="D49" s="826"/>
      <c r="F49" s="1028">
        <v>1320.0</v>
      </c>
      <c r="G49" s="1029"/>
      <c r="H49" s="2" t="s">
        <v>4531</v>
      </c>
      <c r="I49" s="847"/>
    </row>
    <row r="50">
      <c r="A50" s="611"/>
      <c r="B50" s="1027">
        <f t="shared" si="5"/>
        <v>12000</v>
      </c>
      <c r="C50" s="1029"/>
      <c r="D50" s="826"/>
      <c r="F50" s="1028">
        <v>12000.0</v>
      </c>
      <c r="G50" s="1029"/>
      <c r="H50" s="2" t="s">
        <v>4532</v>
      </c>
      <c r="I50" s="951"/>
    </row>
    <row r="51">
      <c r="A51" s="611"/>
      <c r="B51" s="1027" t="str">
        <f t="shared" si="5"/>
        <v/>
      </c>
      <c r="C51" s="826"/>
      <c r="D51" s="1029"/>
      <c r="F51" s="1028"/>
      <c r="I51" s="847"/>
    </row>
    <row r="52">
      <c r="A52" s="611"/>
      <c r="B52" s="1027" t="str">
        <f t="shared" si="5"/>
        <v/>
      </c>
      <c r="C52" s="826"/>
      <c r="D52" s="826"/>
      <c r="F52" s="1030"/>
      <c r="G52" s="826"/>
      <c r="I52" s="847"/>
    </row>
    <row r="53">
      <c r="A53" s="611"/>
      <c r="B53" s="1027" t="str">
        <f t="shared" si="5"/>
        <v/>
      </c>
      <c r="C53" s="826"/>
      <c r="D53" s="826"/>
      <c r="F53" s="1030"/>
      <c r="G53" s="826"/>
      <c r="I53" s="847"/>
    </row>
    <row r="54">
      <c r="A54" s="611"/>
      <c r="B54" s="1027" t="str">
        <f t="shared" si="5"/>
        <v/>
      </c>
      <c r="C54" s="826"/>
      <c r="D54" s="826"/>
      <c r="F54" s="1030"/>
      <c r="G54" s="826"/>
      <c r="I54" s="847"/>
    </row>
    <row r="55">
      <c r="A55" s="613"/>
      <c r="B55" s="1031">
        <f>SUM(B46:B54)</f>
        <v>27420</v>
      </c>
      <c r="C55" s="1032"/>
      <c r="D55" s="1032"/>
      <c r="E55" s="18"/>
      <c r="F55" s="1033"/>
      <c r="G55" s="1032"/>
      <c r="H55" s="18"/>
      <c r="I55" s="663"/>
    </row>
    <row r="56">
      <c r="A56" s="1023">
        <v>43744.0</v>
      </c>
      <c r="B56" s="1024" t="str">
        <f>F56</f>
        <v/>
      </c>
      <c r="C56" s="984"/>
      <c r="D56" s="984"/>
      <c r="E56" s="242"/>
      <c r="F56" s="1025"/>
      <c r="G56" s="1026"/>
      <c r="H56" s="244"/>
      <c r="I56" s="662"/>
    </row>
    <row r="57">
      <c r="A57" s="613"/>
      <c r="B57" s="1035">
        <f>SUM(B56)</f>
        <v>0</v>
      </c>
      <c r="C57" s="1032"/>
      <c r="D57" s="1032"/>
      <c r="E57" s="18"/>
      <c r="F57" s="1033"/>
      <c r="G57" s="1032"/>
      <c r="H57" s="18"/>
      <c r="I57" s="663"/>
    </row>
    <row r="58">
      <c r="A58" s="1023">
        <v>43745.0</v>
      </c>
      <c r="B58" s="1024">
        <f t="shared" ref="B58:B68" si="6">F58</f>
        <v>2102</v>
      </c>
      <c r="C58" s="984"/>
      <c r="D58" s="984"/>
      <c r="E58" s="242"/>
      <c r="F58" s="1025">
        <v>2102.0</v>
      </c>
      <c r="G58" s="1026"/>
      <c r="H58" s="244" t="s">
        <v>4299</v>
      </c>
      <c r="I58" s="662"/>
    </row>
    <row r="59">
      <c r="A59" s="611"/>
      <c r="B59" s="1027">
        <f t="shared" si="6"/>
        <v>930</v>
      </c>
      <c r="C59" s="826"/>
      <c r="D59" s="826"/>
      <c r="F59" s="1028">
        <v>930.0</v>
      </c>
      <c r="G59" s="1029"/>
      <c r="H59" s="2" t="s">
        <v>4533</v>
      </c>
      <c r="I59" s="847"/>
    </row>
    <row r="60">
      <c r="A60" s="611"/>
      <c r="B60" s="1027">
        <f t="shared" si="6"/>
        <v>2028.95</v>
      </c>
      <c r="C60" s="826"/>
      <c r="D60" s="826"/>
      <c r="F60" s="1028">
        <v>2028.95</v>
      </c>
      <c r="G60" s="1029"/>
      <c r="H60" s="2" t="s">
        <v>3034</v>
      </c>
      <c r="I60" s="847"/>
    </row>
    <row r="61">
      <c r="A61" s="611"/>
      <c r="B61" s="1027">
        <f t="shared" si="6"/>
        <v>2595.146</v>
      </c>
      <c r="C61" s="1029"/>
      <c r="D61" s="826"/>
      <c r="F61" s="1028">
        <v>2595.146</v>
      </c>
      <c r="G61" s="1029"/>
      <c r="H61" s="2" t="s">
        <v>58</v>
      </c>
      <c r="I61" s="847"/>
    </row>
    <row r="62">
      <c r="A62" s="611"/>
      <c r="B62" s="1027">
        <f t="shared" si="6"/>
        <v>240.65</v>
      </c>
      <c r="C62" s="1029"/>
      <c r="D62" s="826"/>
      <c r="F62" s="1028">
        <v>240.65</v>
      </c>
      <c r="G62" s="1029"/>
      <c r="H62" s="2" t="s">
        <v>3034</v>
      </c>
      <c r="I62" s="847"/>
    </row>
    <row r="63">
      <c r="A63" s="611"/>
      <c r="B63" s="1027" t="str">
        <f t="shared" si="6"/>
        <v/>
      </c>
      <c r="C63" s="1029">
        <v>14027.44</v>
      </c>
      <c r="D63" s="1029"/>
      <c r="F63" s="1028"/>
      <c r="H63" s="2" t="s">
        <v>2637</v>
      </c>
      <c r="I63" s="847"/>
    </row>
    <row r="64">
      <c r="A64" s="611"/>
      <c r="B64" s="1027">
        <f t="shared" si="6"/>
        <v>400</v>
      </c>
      <c r="C64" s="826"/>
      <c r="D64" s="826"/>
      <c r="F64" s="1028">
        <v>400.0</v>
      </c>
      <c r="G64" s="826"/>
      <c r="H64" s="2" t="s">
        <v>4534</v>
      </c>
      <c r="I64" s="847"/>
    </row>
    <row r="65">
      <c r="A65" s="611"/>
      <c r="B65" s="1027">
        <f t="shared" si="6"/>
        <v>500</v>
      </c>
      <c r="C65" s="826"/>
      <c r="D65" s="1029"/>
      <c r="F65" s="1028">
        <v>500.0</v>
      </c>
      <c r="G65" s="826"/>
      <c r="H65" s="2" t="s">
        <v>4535</v>
      </c>
      <c r="I65" s="951"/>
    </row>
    <row r="66">
      <c r="A66" s="611"/>
      <c r="B66" s="1027">
        <f t="shared" si="6"/>
        <v>100</v>
      </c>
      <c r="C66" s="826"/>
      <c r="D66" s="1029"/>
      <c r="F66" s="1028">
        <v>100.0</v>
      </c>
      <c r="G66" s="826"/>
      <c r="H66" s="2" t="s">
        <v>3421</v>
      </c>
      <c r="I66" s="951"/>
    </row>
    <row r="67">
      <c r="A67" s="611"/>
      <c r="B67" s="1027" t="str">
        <f t="shared" si="6"/>
        <v/>
      </c>
      <c r="C67" s="826"/>
      <c r="D67" s="1029">
        <v>2120.51</v>
      </c>
      <c r="F67" s="1030"/>
      <c r="G67" s="826"/>
      <c r="H67" s="2" t="s">
        <v>4536</v>
      </c>
      <c r="I67" s="847"/>
    </row>
    <row r="68">
      <c r="A68" s="611"/>
      <c r="B68" s="1027">
        <f t="shared" si="6"/>
        <v>360</v>
      </c>
      <c r="C68" s="826"/>
      <c r="D68" s="826"/>
      <c r="F68" s="1028">
        <v>360.0</v>
      </c>
      <c r="G68" s="826"/>
      <c r="H68" s="2" t="s">
        <v>4537</v>
      </c>
      <c r="I68" s="847"/>
    </row>
    <row r="69">
      <c r="A69" s="613"/>
      <c r="B69" s="1035">
        <f>SUM(B58:B68)</f>
        <v>9256.746</v>
      </c>
      <c r="C69" s="1032"/>
      <c r="D69" s="1032"/>
      <c r="E69" s="18"/>
      <c r="F69" s="1033"/>
      <c r="G69" s="1032"/>
      <c r="H69" s="18"/>
      <c r="I69" s="663"/>
    </row>
    <row r="70">
      <c r="A70" s="1023">
        <v>43746.0</v>
      </c>
      <c r="B70" s="1024">
        <f t="shared" ref="B70:B81" si="7">F70</f>
        <v>4100</v>
      </c>
      <c r="C70" s="984"/>
      <c r="D70" s="984"/>
      <c r="E70" s="242"/>
      <c r="F70" s="1025">
        <v>4100.0</v>
      </c>
      <c r="G70" s="1026"/>
      <c r="H70" s="244" t="s">
        <v>65</v>
      </c>
      <c r="I70" s="662"/>
    </row>
    <row r="71">
      <c r="A71" s="611"/>
      <c r="B71" s="1027">
        <f t="shared" si="7"/>
        <v>1297.4</v>
      </c>
      <c r="C71" s="826"/>
      <c r="D71" s="826"/>
      <c r="F71" s="1028">
        <v>1297.4</v>
      </c>
      <c r="G71" s="1029"/>
      <c r="H71" s="2" t="s">
        <v>314</v>
      </c>
      <c r="I71" s="847"/>
    </row>
    <row r="72">
      <c r="A72" s="611"/>
      <c r="B72" s="1027">
        <f t="shared" si="7"/>
        <v>3120</v>
      </c>
      <c r="C72" s="826"/>
      <c r="D72" s="826"/>
      <c r="F72" s="1028">
        <v>3120.0</v>
      </c>
      <c r="G72" s="1029"/>
      <c r="H72" s="2" t="s">
        <v>3917</v>
      </c>
      <c r="I72" s="847"/>
    </row>
    <row r="73">
      <c r="A73" s="611"/>
      <c r="B73" s="1027">
        <f t="shared" si="7"/>
        <v>854.79</v>
      </c>
      <c r="C73" s="1029"/>
      <c r="D73" s="826"/>
      <c r="F73" s="1028">
        <v>854.79</v>
      </c>
      <c r="G73" s="1029"/>
      <c r="H73" s="2" t="s">
        <v>58</v>
      </c>
      <c r="I73" s="847"/>
    </row>
    <row r="74">
      <c r="A74" s="611"/>
      <c r="B74" s="1027">
        <f t="shared" si="7"/>
        <v>308</v>
      </c>
      <c r="C74" s="1029"/>
      <c r="D74" s="826"/>
      <c r="F74" s="1028">
        <v>308.0</v>
      </c>
      <c r="G74" s="1029"/>
      <c r="H74" s="2" t="s">
        <v>345</v>
      </c>
      <c r="I74" s="847"/>
    </row>
    <row r="75">
      <c r="A75" s="611"/>
      <c r="B75" s="1027">
        <f t="shared" si="7"/>
        <v>2107</v>
      </c>
      <c r="C75" s="826"/>
      <c r="D75" s="1029"/>
      <c r="F75" s="1028">
        <v>2107.0</v>
      </c>
      <c r="H75" s="2" t="s">
        <v>4299</v>
      </c>
      <c r="I75" s="847"/>
    </row>
    <row r="76">
      <c r="A76" s="611"/>
      <c r="B76" s="1027">
        <f t="shared" si="7"/>
        <v>523.36</v>
      </c>
      <c r="C76" s="826"/>
      <c r="D76" s="826"/>
      <c r="F76" s="1028">
        <v>523.36</v>
      </c>
      <c r="G76" s="826"/>
      <c r="H76" s="2" t="s">
        <v>314</v>
      </c>
      <c r="I76" s="847"/>
    </row>
    <row r="77">
      <c r="A77" s="611"/>
      <c r="B77" s="1027">
        <f t="shared" si="7"/>
        <v>700</v>
      </c>
      <c r="C77" s="826"/>
      <c r="D77" s="826"/>
      <c r="F77" s="1028">
        <v>700.0</v>
      </c>
      <c r="G77" s="826"/>
      <c r="H77" s="2" t="s">
        <v>3437</v>
      </c>
      <c r="I77" s="847"/>
    </row>
    <row r="78">
      <c r="A78" s="611"/>
      <c r="B78" s="1027">
        <f t="shared" si="7"/>
        <v>1000</v>
      </c>
      <c r="C78" s="826"/>
      <c r="D78" s="826"/>
      <c r="F78" s="1028">
        <v>1000.0</v>
      </c>
      <c r="G78" s="826"/>
      <c r="H78" s="2" t="s">
        <v>3807</v>
      </c>
      <c r="I78" s="951"/>
    </row>
    <row r="79">
      <c r="A79" s="611"/>
      <c r="B79" s="1027" t="str">
        <f t="shared" si="7"/>
        <v/>
      </c>
      <c r="C79" s="826"/>
      <c r="D79" s="1029">
        <v>2438.78</v>
      </c>
      <c r="F79" s="1030"/>
      <c r="G79" s="826"/>
      <c r="H79" s="2" t="s">
        <v>4538</v>
      </c>
      <c r="I79" s="847"/>
    </row>
    <row r="80">
      <c r="A80" s="611"/>
      <c r="B80" s="1027">
        <f t="shared" si="7"/>
        <v>1750</v>
      </c>
      <c r="C80" s="826"/>
      <c r="D80" s="1029"/>
      <c r="F80" s="1028">
        <v>1750.0</v>
      </c>
      <c r="G80" s="826"/>
      <c r="H80" s="2" t="s">
        <v>4539</v>
      </c>
      <c r="I80" s="951"/>
    </row>
    <row r="81">
      <c r="A81" s="611"/>
      <c r="B81" s="1027">
        <f t="shared" si="7"/>
        <v>400</v>
      </c>
      <c r="C81" s="826"/>
      <c r="D81" s="1029"/>
      <c r="F81" s="1028">
        <v>400.0</v>
      </c>
      <c r="G81" s="826"/>
      <c r="H81" s="2" t="s">
        <v>4540</v>
      </c>
      <c r="I81" s="951"/>
    </row>
    <row r="82">
      <c r="A82" s="613"/>
      <c r="B82" s="1031">
        <f>SUM(B70:B81)</f>
        <v>16160.55</v>
      </c>
      <c r="C82" s="1032"/>
      <c r="D82" s="1032"/>
      <c r="E82" s="18"/>
      <c r="F82" s="1033"/>
      <c r="G82" s="1032"/>
      <c r="H82" s="18"/>
      <c r="I82" s="663"/>
    </row>
    <row r="83">
      <c r="A83" s="1023">
        <v>43747.0</v>
      </c>
      <c r="B83" s="1024">
        <f t="shared" ref="B83:B91" si="8">F83</f>
        <v>1015.8</v>
      </c>
      <c r="C83" s="984"/>
      <c r="D83" s="984"/>
      <c r="E83" s="242"/>
      <c r="F83" s="1025">
        <v>1015.8</v>
      </c>
      <c r="G83" s="1026"/>
      <c r="H83" s="244" t="s">
        <v>314</v>
      </c>
      <c r="I83" s="662"/>
    </row>
    <row r="84">
      <c r="A84" s="611"/>
      <c r="B84" s="1027">
        <f t="shared" si="8"/>
        <v>1734.27</v>
      </c>
      <c r="C84" s="826"/>
      <c r="D84" s="826"/>
      <c r="F84" s="1028">
        <v>1734.27</v>
      </c>
      <c r="G84" s="1029"/>
      <c r="H84" s="2" t="s">
        <v>58</v>
      </c>
      <c r="I84" s="847"/>
    </row>
    <row r="85">
      <c r="A85" s="611"/>
      <c r="B85" s="1027">
        <f t="shared" si="8"/>
        <v>160</v>
      </c>
      <c r="C85" s="826"/>
      <c r="D85" s="826"/>
      <c r="F85" s="1028">
        <v>160.0</v>
      </c>
      <c r="G85" s="1029"/>
      <c r="H85" s="2" t="s">
        <v>1732</v>
      </c>
      <c r="I85" s="847"/>
    </row>
    <row r="86">
      <c r="A86" s="611"/>
      <c r="B86" s="1027" t="str">
        <f t="shared" si="8"/>
        <v/>
      </c>
      <c r="C86" s="1029">
        <v>6485.0</v>
      </c>
      <c r="D86" s="826"/>
      <c r="F86" s="1028"/>
      <c r="G86" s="1029"/>
      <c r="H86" s="2" t="s">
        <v>4280</v>
      </c>
      <c r="I86" s="847"/>
    </row>
    <row r="87">
      <c r="A87" s="611"/>
      <c r="B87" s="1027" t="str">
        <f t="shared" si="8"/>
        <v/>
      </c>
      <c r="C87" s="1029">
        <v>9122.0</v>
      </c>
      <c r="D87" s="826"/>
      <c r="F87" s="1028"/>
      <c r="G87" s="1029"/>
      <c r="H87" s="2" t="s">
        <v>4280</v>
      </c>
      <c r="I87" s="847"/>
    </row>
    <row r="88">
      <c r="A88" s="611"/>
      <c r="B88" s="1027">
        <f t="shared" si="8"/>
        <v>140</v>
      </c>
      <c r="C88" s="826"/>
      <c r="D88" s="1029"/>
      <c r="F88" s="1028">
        <v>140.0</v>
      </c>
      <c r="H88" s="2" t="s">
        <v>4541</v>
      </c>
      <c r="I88" s="847"/>
    </row>
    <row r="89">
      <c r="A89" s="611"/>
      <c r="B89" s="1027">
        <f t="shared" si="8"/>
        <v>500</v>
      </c>
      <c r="C89" s="826"/>
      <c r="D89" s="826"/>
      <c r="F89" s="1028">
        <v>500.0</v>
      </c>
      <c r="G89" s="826"/>
      <c r="H89" s="416" t="s">
        <v>3992</v>
      </c>
      <c r="I89" s="951"/>
    </row>
    <row r="90">
      <c r="A90" s="611"/>
      <c r="B90" s="1027">
        <f t="shared" si="8"/>
        <v>400</v>
      </c>
      <c r="C90" s="826"/>
      <c r="D90" s="826"/>
      <c r="F90" s="1028">
        <v>400.0</v>
      </c>
      <c r="G90" s="826"/>
      <c r="H90" s="2" t="s">
        <v>4540</v>
      </c>
      <c r="I90" s="951"/>
    </row>
    <row r="91">
      <c r="A91" s="611"/>
      <c r="B91" s="1027">
        <f t="shared" si="8"/>
        <v>4102</v>
      </c>
      <c r="C91" s="826"/>
      <c r="D91" s="826"/>
      <c r="F91" s="1028">
        <v>4102.0</v>
      </c>
      <c r="G91" s="826"/>
      <c r="H91" s="2" t="s">
        <v>4542</v>
      </c>
      <c r="I91" s="847"/>
    </row>
    <row r="92">
      <c r="A92" s="613"/>
      <c r="B92" s="1031">
        <f>SUM(B83:B91)</f>
        <v>8052.07</v>
      </c>
      <c r="C92" s="1032"/>
      <c r="D92" s="1032"/>
      <c r="E92" s="18"/>
      <c r="F92" s="1033"/>
      <c r="G92" s="1032"/>
      <c r="H92" s="18"/>
      <c r="I92" s="663"/>
    </row>
    <row r="93">
      <c r="A93" s="1023">
        <v>43748.0</v>
      </c>
      <c r="B93" s="1024">
        <f t="shared" ref="B93:B101" si="9">F93</f>
        <v>87</v>
      </c>
      <c r="C93" s="984"/>
      <c r="D93" s="984"/>
      <c r="E93" s="242"/>
      <c r="F93" s="1025">
        <v>87.0</v>
      </c>
      <c r="G93" s="1026"/>
      <c r="H93" s="244" t="s">
        <v>4543</v>
      </c>
      <c r="I93" s="662"/>
    </row>
    <row r="94">
      <c r="A94" s="611"/>
      <c r="B94" s="1027">
        <f t="shared" si="9"/>
        <v>5856</v>
      </c>
      <c r="C94" s="826"/>
      <c r="D94" s="826"/>
      <c r="F94" s="1028">
        <v>5856.0</v>
      </c>
      <c r="G94" s="1029"/>
      <c r="H94" s="2" t="s">
        <v>4544</v>
      </c>
      <c r="I94" s="847"/>
    </row>
    <row r="95">
      <c r="A95" s="611"/>
      <c r="B95" s="1027">
        <f t="shared" si="9"/>
        <v>2518</v>
      </c>
      <c r="C95" s="826"/>
      <c r="D95" s="826"/>
      <c r="F95" s="1028">
        <v>2518.0</v>
      </c>
      <c r="G95" s="1029"/>
      <c r="H95" s="2" t="s">
        <v>4157</v>
      </c>
      <c r="I95" s="847"/>
    </row>
    <row r="96">
      <c r="A96" s="611"/>
      <c r="B96" s="1027">
        <f t="shared" si="9"/>
        <v>854.79</v>
      </c>
      <c r="C96" s="1029"/>
      <c r="D96" s="826"/>
      <c r="F96" s="1028">
        <v>854.79</v>
      </c>
      <c r="G96" s="1029"/>
      <c r="H96" s="2" t="s">
        <v>3821</v>
      </c>
      <c r="I96" s="847"/>
    </row>
    <row r="97">
      <c r="A97" s="611"/>
      <c r="B97" s="1027">
        <f t="shared" si="9"/>
        <v>1407</v>
      </c>
      <c r="C97" s="1029"/>
      <c r="D97" s="826"/>
      <c r="F97" s="1028">
        <v>1407.0</v>
      </c>
      <c r="G97" s="1029"/>
      <c r="H97" s="2" t="s">
        <v>4328</v>
      </c>
      <c r="I97" s="847"/>
    </row>
    <row r="98">
      <c r="A98" s="611"/>
      <c r="B98" s="1027" t="str">
        <f t="shared" si="9"/>
        <v/>
      </c>
      <c r="C98" s="1029">
        <v>14835.97</v>
      </c>
      <c r="D98" s="1029"/>
      <c r="F98" s="1028"/>
      <c r="H98" s="2" t="s">
        <v>4545</v>
      </c>
      <c r="I98" s="847"/>
    </row>
    <row r="99">
      <c r="A99" s="611"/>
      <c r="B99" s="1027">
        <f t="shared" si="9"/>
        <v>1000</v>
      </c>
      <c r="C99" s="826"/>
      <c r="D99" s="826"/>
      <c r="F99" s="1028">
        <v>1000.0</v>
      </c>
      <c r="G99" s="826"/>
      <c r="H99" s="2" t="s">
        <v>4278</v>
      </c>
      <c r="I99" s="847"/>
    </row>
    <row r="100">
      <c r="A100" s="611"/>
      <c r="B100" s="1027" t="str">
        <f t="shared" si="9"/>
        <v/>
      </c>
      <c r="C100" s="826"/>
      <c r="D100" s="826"/>
      <c r="F100" s="1030"/>
      <c r="G100" s="826"/>
      <c r="I100" s="847"/>
    </row>
    <row r="101">
      <c r="A101" s="611"/>
      <c r="B101" s="1027" t="str">
        <f t="shared" si="9"/>
        <v/>
      </c>
      <c r="C101" s="826"/>
      <c r="D101" s="826"/>
      <c r="F101" s="1030"/>
      <c r="G101" s="826"/>
      <c r="H101" s="2" t="s">
        <v>4194</v>
      </c>
      <c r="I101" s="847"/>
    </row>
    <row r="102">
      <c r="A102" s="613"/>
      <c r="B102" s="1031">
        <f>SUM(B93:B101)</f>
        <v>11722.79</v>
      </c>
      <c r="C102" s="1032"/>
      <c r="D102" s="1032"/>
      <c r="E102" s="18"/>
      <c r="F102" s="1033"/>
      <c r="G102" s="1032"/>
      <c r="H102" s="18"/>
      <c r="I102" s="663"/>
    </row>
    <row r="103">
      <c r="A103" s="1023">
        <v>43749.0</v>
      </c>
      <c r="B103" s="1024">
        <f t="shared" ref="B103:B111" si="10">F103</f>
        <v>4188.97</v>
      </c>
      <c r="C103" s="984"/>
      <c r="D103" s="984"/>
      <c r="E103" s="242"/>
      <c r="F103" s="1025">
        <v>4188.97</v>
      </c>
      <c r="G103" s="1026"/>
      <c r="H103" s="244" t="s">
        <v>3821</v>
      </c>
      <c r="I103" s="662"/>
    </row>
    <row r="104">
      <c r="A104" s="611"/>
      <c r="B104" s="1027">
        <f t="shared" si="10"/>
        <v>990</v>
      </c>
      <c r="C104" s="826"/>
      <c r="D104" s="826"/>
      <c r="F104" s="1028">
        <v>990.0</v>
      </c>
      <c r="G104" s="1029"/>
      <c r="H104" s="2" t="s">
        <v>4157</v>
      </c>
      <c r="I104" s="847"/>
    </row>
    <row r="105">
      <c r="A105" s="611"/>
      <c r="B105" s="1027">
        <f t="shared" si="10"/>
        <v>9200</v>
      </c>
      <c r="C105" s="826"/>
      <c r="D105" s="826"/>
      <c r="F105" s="1028">
        <v>9200.0</v>
      </c>
      <c r="G105" s="1029"/>
      <c r="H105" s="2" t="s">
        <v>4379</v>
      </c>
      <c r="I105" s="951"/>
    </row>
    <row r="106">
      <c r="A106" s="611"/>
      <c r="B106" s="1027">
        <f t="shared" si="10"/>
        <v>10000</v>
      </c>
      <c r="C106" s="1029"/>
      <c r="D106" s="826"/>
      <c r="F106" s="1028">
        <v>10000.0</v>
      </c>
      <c r="G106" s="1029"/>
      <c r="H106" s="2" t="s">
        <v>4038</v>
      </c>
      <c r="I106" s="951"/>
    </row>
    <row r="107">
      <c r="A107" s="611"/>
      <c r="B107" s="1027">
        <f t="shared" si="10"/>
        <v>6000</v>
      </c>
      <c r="C107" s="1029"/>
      <c r="D107" s="826"/>
      <c r="F107" s="1028">
        <v>6000.0</v>
      </c>
      <c r="G107" s="1029"/>
      <c r="H107" s="2" t="s">
        <v>4154</v>
      </c>
      <c r="I107" s="951"/>
    </row>
    <row r="108">
      <c r="A108" s="611"/>
      <c r="B108" s="1027">
        <f t="shared" si="10"/>
        <v>4000</v>
      </c>
      <c r="C108" s="826"/>
      <c r="D108" s="1029"/>
      <c r="F108" s="1028">
        <v>4000.0</v>
      </c>
      <c r="H108" s="2" t="s">
        <v>4032</v>
      </c>
      <c r="I108" s="951"/>
    </row>
    <row r="109">
      <c r="A109" s="611"/>
      <c r="B109" s="1027">
        <f t="shared" si="10"/>
        <v>300</v>
      </c>
      <c r="C109" s="826"/>
      <c r="D109" s="826"/>
      <c r="F109" s="1028">
        <v>300.0</v>
      </c>
      <c r="G109" s="826"/>
      <c r="H109" s="2" t="s">
        <v>4546</v>
      </c>
      <c r="I109" s="847"/>
    </row>
    <row r="110">
      <c r="A110" s="611"/>
      <c r="B110" s="1027">
        <f t="shared" si="10"/>
        <v>130</v>
      </c>
      <c r="C110" s="826"/>
      <c r="D110" s="826"/>
      <c r="F110" s="1028">
        <v>130.0</v>
      </c>
      <c r="G110" s="826"/>
      <c r="H110" s="2" t="s">
        <v>4523</v>
      </c>
      <c r="I110" s="847"/>
    </row>
    <row r="111">
      <c r="A111" s="611"/>
      <c r="B111" s="1027" t="str">
        <f t="shared" si="10"/>
        <v/>
      </c>
      <c r="C111" s="826"/>
      <c r="D111" s="826"/>
      <c r="F111" s="1030"/>
      <c r="G111" s="826"/>
      <c r="I111" s="847"/>
    </row>
    <row r="112">
      <c r="A112" s="613"/>
      <c r="B112" s="1031">
        <f>SUM(B103:B111)</f>
        <v>34808.97</v>
      </c>
      <c r="C112" s="1032"/>
      <c r="D112" s="1032"/>
      <c r="E112" s="18"/>
      <c r="F112" s="1033"/>
      <c r="G112" s="1032"/>
      <c r="I112" s="663"/>
    </row>
    <row r="113">
      <c r="A113" s="1023">
        <v>43750.0</v>
      </c>
      <c r="B113" s="1024">
        <f t="shared" ref="B113:B121" si="11">F113</f>
        <v>4796.07</v>
      </c>
      <c r="C113" s="984"/>
      <c r="D113" s="984"/>
      <c r="E113" s="242"/>
      <c r="F113" s="1025">
        <v>4796.07</v>
      </c>
      <c r="G113" s="1026"/>
      <c r="H113" s="244" t="s">
        <v>4376</v>
      </c>
      <c r="I113" s="958"/>
    </row>
    <row r="114">
      <c r="A114" s="611"/>
      <c r="B114" s="1027">
        <f t="shared" si="11"/>
        <v>3600</v>
      </c>
      <c r="C114" s="826"/>
      <c r="D114" s="826"/>
      <c r="F114" s="1028">
        <v>3600.0</v>
      </c>
      <c r="G114" s="1029"/>
      <c r="H114" s="416" t="s">
        <v>4262</v>
      </c>
      <c r="I114" s="1011">
        <v>-500.0</v>
      </c>
    </row>
    <row r="115">
      <c r="A115" s="611"/>
      <c r="B115" s="1027">
        <f t="shared" si="11"/>
        <v>4500</v>
      </c>
      <c r="C115" s="826"/>
      <c r="D115" s="826"/>
      <c r="F115" s="1028">
        <v>4500.0</v>
      </c>
      <c r="G115" s="1029"/>
      <c r="H115" s="2" t="s">
        <v>4245</v>
      </c>
      <c r="I115" s="1011">
        <v>-500.0</v>
      </c>
    </row>
    <row r="116">
      <c r="A116" s="611"/>
      <c r="B116" s="1027">
        <f t="shared" si="11"/>
        <v>6000</v>
      </c>
      <c r="C116" s="1029"/>
      <c r="D116" s="826"/>
      <c r="F116" s="1028">
        <v>6000.0</v>
      </c>
      <c r="G116" s="1029"/>
      <c r="H116" s="2" t="s">
        <v>4152</v>
      </c>
      <c r="I116" s="1011"/>
    </row>
    <row r="117">
      <c r="A117" s="611"/>
      <c r="B117" s="1027">
        <f t="shared" si="11"/>
        <v>4700</v>
      </c>
      <c r="C117" s="1029"/>
      <c r="D117" s="826"/>
      <c r="F117" s="1028">
        <v>4700.0</v>
      </c>
      <c r="G117" s="1029"/>
      <c r="H117" s="2" t="s">
        <v>4153</v>
      </c>
      <c r="I117" s="1011">
        <v>-180.0</v>
      </c>
    </row>
    <row r="118">
      <c r="A118" s="611"/>
      <c r="B118" s="1027">
        <f t="shared" si="11"/>
        <v>3850</v>
      </c>
      <c r="C118" s="826"/>
      <c r="D118" s="1029"/>
      <c r="F118" s="1028">
        <v>3850.0</v>
      </c>
      <c r="H118" s="2" t="s">
        <v>4315</v>
      </c>
      <c r="I118" s="1011"/>
    </row>
    <row r="119">
      <c r="A119" s="611"/>
      <c r="B119" s="1027">
        <f t="shared" si="11"/>
        <v>424.77</v>
      </c>
      <c r="C119" s="826"/>
      <c r="D119" s="826"/>
      <c r="F119" s="1028">
        <v>424.77</v>
      </c>
      <c r="G119" s="826"/>
      <c r="H119" s="2" t="s">
        <v>4087</v>
      </c>
      <c r="I119" s="847"/>
    </row>
    <row r="120">
      <c r="A120" s="611"/>
      <c r="B120" s="1027">
        <f t="shared" si="11"/>
        <v>6300</v>
      </c>
      <c r="C120" s="826"/>
      <c r="D120" s="826"/>
      <c r="F120" s="1028">
        <v>6300.0</v>
      </c>
      <c r="G120" s="826"/>
      <c r="H120" s="2" t="s">
        <v>4547</v>
      </c>
      <c r="I120" s="847"/>
    </row>
    <row r="121">
      <c r="A121" s="611"/>
      <c r="B121" s="1027">
        <f t="shared" si="11"/>
        <v>1320</v>
      </c>
      <c r="C121" s="826"/>
      <c r="D121" s="826"/>
      <c r="F121" s="1028">
        <v>1320.0</v>
      </c>
      <c r="G121" s="826"/>
      <c r="H121" s="2" t="s">
        <v>4548</v>
      </c>
      <c r="I121" s="847"/>
    </row>
    <row r="122">
      <c r="A122" s="613"/>
      <c r="B122" s="1031">
        <f>SUM(B113:B121)</f>
        <v>35490.84</v>
      </c>
      <c r="C122" s="1032"/>
      <c r="D122" s="1032"/>
      <c r="E122" s="18"/>
      <c r="F122" s="1033"/>
      <c r="G122" s="1032"/>
      <c r="H122" s="18"/>
      <c r="I122" s="663"/>
    </row>
    <row r="123">
      <c r="A123" s="1023">
        <v>43751.0</v>
      </c>
      <c r="B123" s="1024" t="str">
        <f>F123</f>
        <v/>
      </c>
      <c r="C123" s="984"/>
      <c r="D123" s="984"/>
      <c r="E123" s="242"/>
      <c r="F123" s="1025"/>
      <c r="G123" s="1026"/>
      <c r="H123" s="244"/>
      <c r="I123" s="662"/>
    </row>
    <row r="124">
      <c r="A124" s="613"/>
      <c r="B124" s="1031">
        <f>SUM(B123)</f>
        <v>0</v>
      </c>
      <c r="C124" s="1032"/>
      <c r="D124" s="1032"/>
      <c r="E124" s="18"/>
      <c r="F124" s="1033"/>
      <c r="G124" s="1032"/>
      <c r="H124" s="18"/>
      <c r="I124" s="663"/>
    </row>
    <row r="125">
      <c r="A125" s="1023">
        <v>43752.0</v>
      </c>
      <c r="B125" s="1024" t="str">
        <f t="shared" ref="B125:B133" si="12">F125</f>
        <v/>
      </c>
      <c r="C125" s="984"/>
      <c r="D125" s="984"/>
      <c r="E125" s="242"/>
      <c r="F125" s="1025"/>
      <c r="G125" s="1026"/>
      <c r="H125" s="244"/>
      <c r="I125" s="662"/>
    </row>
    <row r="126">
      <c r="A126" s="611"/>
      <c r="B126" s="1027" t="str">
        <f t="shared" si="12"/>
        <v/>
      </c>
      <c r="C126" s="826"/>
      <c r="D126" s="826"/>
      <c r="F126" s="1028"/>
      <c r="G126" s="1029"/>
      <c r="I126" s="847"/>
    </row>
    <row r="127">
      <c r="A127" s="611"/>
      <c r="B127" s="1027" t="str">
        <f t="shared" si="12"/>
        <v/>
      </c>
      <c r="C127" s="826"/>
      <c r="D127" s="826"/>
      <c r="F127" s="1028"/>
      <c r="G127" s="1029"/>
      <c r="I127" s="847"/>
    </row>
    <row r="128">
      <c r="A128" s="611"/>
      <c r="B128" s="1027" t="str">
        <f t="shared" si="12"/>
        <v/>
      </c>
      <c r="C128" s="1029"/>
      <c r="D128" s="826"/>
      <c r="F128" s="1028"/>
      <c r="G128" s="1029"/>
      <c r="I128" s="847"/>
    </row>
    <row r="129">
      <c r="A129" s="611"/>
      <c r="B129" s="1027" t="str">
        <f t="shared" si="12"/>
        <v/>
      </c>
      <c r="C129" s="1029"/>
      <c r="D129" s="826"/>
      <c r="F129" s="1028"/>
      <c r="G129" s="1029"/>
      <c r="I129" s="847"/>
    </row>
    <row r="130">
      <c r="A130" s="611"/>
      <c r="B130" s="1027" t="str">
        <f t="shared" si="12"/>
        <v/>
      </c>
      <c r="C130" s="826"/>
      <c r="D130" s="1029"/>
      <c r="F130" s="1028"/>
      <c r="I130" s="847"/>
    </row>
    <row r="131">
      <c r="A131" s="611"/>
      <c r="B131" s="1027" t="str">
        <f t="shared" si="12"/>
        <v/>
      </c>
      <c r="C131" s="826"/>
      <c r="D131" s="826"/>
      <c r="F131" s="1030"/>
      <c r="G131" s="826"/>
      <c r="I131" s="847"/>
    </row>
    <row r="132">
      <c r="A132" s="611"/>
      <c r="B132" s="1027" t="str">
        <f t="shared" si="12"/>
        <v/>
      </c>
      <c r="C132" s="826"/>
      <c r="D132" s="826"/>
      <c r="F132" s="1030"/>
      <c r="G132" s="826"/>
      <c r="I132" s="847"/>
    </row>
    <row r="133">
      <c r="A133" s="611"/>
      <c r="B133" s="1027" t="str">
        <f t="shared" si="12"/>
        <v/>
      </c>
      <c r="C133" s="826"/>
      <c r="D133" s="826"/>
      <c r="F133" s="1030"/>
      <c r="G133" s="826"/>
      <c r="I133" s="847"/>
    </row>
    <row r="134">
      <c r="A134" s="613"/>
      <c r="B134" s="1031">
        <f>SUM(B125:B133)</f>
        <v>0</v>
      </c>
      <c r="C134" s="1032"/>
      <c r="D134" s="1032"/>
      <c r="E134" s="18"/>
      <c r="F134" s="1033"/>
      <c r="G134" s="1032"/>
      <c r="H134" s="18"/>
      <c r="I134" s="663"/>
    </row>
    <row r="135">
      <c r="A135" s="1023">
        <v>43753.0</v>
      </c>
      <c r="B135" s="1024">
        <f t="shared" ref="B135:B144" si="13">F135</f>
        <v>440</v>
      </c>
      <c r="C135" s="984"/>
      <c r="D135" s="984"/>
      <c r="E135" s="242"/>
      <c r="F135" s="1025">
        <v>440.0</v>
      </c>
      <c r="G135" s="1026"/>
      <c r="H135" s="244" t="s">
        <v>3880</v>
      </c>
      <c r="I135" s="662"/>
    </row>
    <row r="136">
      <c r="A136" s="611"/>
      <c r="B136" s="1027">
        <f t="shared" si="13"/>
        <v>700</v>
      </c>
      <c r="C136" s="826"/>
      <c r="D136" s="826"/>
      <c r="F136" s="1028">
        <v>700.0</v>
      </c>
      <c r="G136" s="1029"/>
      <c r="H136" s="2" t="s">
        <v>4310</v>
      </c>
      <c r="I136" s="847"/>
    </row>
    <row r="137">
      <c r="A137" s="611"/>
      <c r="B137" s="1027">
        <f t="shared" si="13"/>
        <v>325.5</v>
      </c>
      <c r="C137" s="826"/>
      <c r="D137" s="826"/>
      <c r="F137" s="1028">
        <v>325.5</v>
      </c>
      <c r="G137" s="1029"/>
      <c r="H137" s="2" t="s">
        <v>1732</v>
      </c>
      <c r="I137" s="847"/>
    </row>
    <row r="138">
      <c r="A138" s="611"/>
      <c r="B138" s="1027">
        <f t="shared" si="13"/>
        <v>1668.8</v>
      </c>
      <c r="C138" s="1029"/>
      <c r="D138" s="826"/>
      <c r="F138" s="1028">
        <v>1668.8</v>
      </c>
      <c r="G138" s="1029"/>
      <c r="H138" s="2" t="s">
        <v>314</v>
      </c>
      <c r="I138" s="847"/>
    </row>
    <row r="139">
      <c r="A139" s="611"/>
      <c r="B139" s="1027" t="str">
        <f t="shared" si="13"/>
        <v/>
      </c>
      <c r="C139" s="1029"/>
      <c r="D139" s="1029">
        <v>3676.0</v>
      </c>
      <c r="F139" s="1028"/>
      <c r="G139" s="1029"/>
      <c r="H139" s="2" t="s">
        <v>4239</v>
      </c>
      <c r="I139" s="847"/>
    </row>
    <row r="140">
      <c r="A140" s="611"/>
      <c r="B140" s="1027">
        <f t="shared" si="13"/>
        <v>2795</v>
      </c>
      <c r="C140" s="826"/>
      <c r="D140" s="1029"/>
      <c r="F140" s="1028">
        <v>2795.0</v>
      </c>
      <c r="H140" s="2" t="s">
        <v>4099</v>
      </c>
      <c r="I140" s="847"/>
    </row>
    <row r="141">
      <c r="A141" s="611"/>
      <c r="B141" s="1027">
        <f t="shared" si="13"/>
        <v>1960</v>
      </c>
      <c r="C141" s="826"/>
      <c r="D141" s="1029"/>
      <c r="F141" s="1028">
        <v>1960.0</v>
      </c>
      <c r="H141" s="2" t="s">
        <v>4299</v>
      </c>
      <c r="I141" s="847"/>
    </row>
    <row r="142">
      <c r="A142" s="611"/>
      <c r="B142" s="1027">
        <f t="shared" si="13"/>
        <v>1000</v>
      </c>
      <c r="C142" s="826"/>
      <c r="D142" s="826"/>
      <c r="F142" s="1028">
        <v>1000.0</v>
      </c>
      <c r="G142" s="826"/>
      <c r="H142" s="2" t="s">
        <v>4549</v>
      </c>
      <c r="I142" s="847"/>
    </row>
    <row r="143">
      <c r="A143" s="611"/>
      <c r="B143" s="1027">
        <f t="shared" si="13"/>
        <v>700</v>
      </c>
      <c r="C143" s="826"/>
      <c r="D143" s="826"/>
      <c r="F143" s="1028">
        <v>700.0</v>
      </c>
      <c r="G143" s="826"/>
      <c r="H143" s="2" t="s">
        <v>4497</v>
      </c>
      <c r="I143" s="847"/>
    </row>
    <row r="144">
      <c r="A144" s="611"/>
      <c r="B144" s="1027" t="str">
        <f t="shared" si="13"/>
        <v/>
      </c>
      <c r="C144" s="826"/>
      <c r="D144" s="1029">
        <v>1922.06</v>
      </c>
      <c r="F144" s="1030"/>
      <c r="G144" s="826"/>
      <c r="H144" s="2" t="s">
        <v>4200</v>
      </c>
      <c r="I144" s="847"/>
    </row>
    <row r="145">
      <c r="A145" s="613"/>
      <c r="B145" s="1031">
        <f>SUM(B135:B144)</f>
        <v>9589.3</v>
      </c>
      <c r="C145" s="1032"/>
      <c r="D145" s="1032"/>
      <c r="E145" s="18"/>
      <c r="F145" s="1033"/>
      <c r="G145" s="1032"/>
      <c r="H145" s="18"/>
      <c r="I145" s="663"/>
    </row>
    <row r="146">
      <c r="A146" s="1023">
        <v>43754.0</v>
      </c>
      <c r="B146" s="1024">
        <f t="shared" ref="B146:B160" si="14">F146</f>
        <v>1164.36</v>
      </c>
      <c r="C146" s="984"/>
      <c r="D146" s="984"/>
      <c r="E146" s="242"/>
      <c r="F146" s="1025">
        <v>1164.36</v>
      </c>
      <c r="G146" s="1026"/>
      <c r="H146" s="244" t="s">
        <v>314</v>
      </c>
      <c r="I146" s="662"/>
    </row>
    <row r="147">
      <c r="A147" s="611"/>
      <c r="B147" s="1027">
        <f t="shared" si="14"/>
        <v>2400</v>
      </c>
      <c r="C147" s="826"/>
      <c r="D147" s="826"/>
      <c r="F147" s="1028">
        <v>2400.0</v>
      </c>
      <c r="G147" s="1029"/>
      <c r="H147" s="2" t="s">
        <v>612</v>
      </c>
      <c r="I147" s="847"/>
    </row>
    <row r="148">
      <c r="A148" s="611"/>
      <c r="B148" s="1027">
        <f t="shared" si="14"/>
        <v>930</v>
      </c>
      <c r="C148" s="826"/>
      <c r="D148" s="826"/>
      <c r="F148" s="1028">
        <v>930.0</v>
      </c>
      <c r="G148" s="1029"/>
      <c r="H148" s="2" t="s">
        <v>4231</v>
      </c>
      <c r="I148" s="847"/>
    </row>
    <row r="149">
      <c r="A149" s="611"/>
      <c r="B149" s="1027">
        <f t="shared" si="14"/>
        <v>1679.07</v>
      </c>
      <c r="C149" s="1029"/>
      <c r="D149" s="826"/>
      <c r="F149" s="1028">
        <v>1679.07</v>
      </c>
      <c r="G149" s="1029"/>
      <c r="H149" s="2" t="s">
        <v>58</v>
      </c>
      <c r="I149" s="847"/>
    </row>
    <row r="150">
      <c r="A150" s="611"/>
      <c r="B150" s="1027">
        <f t="shared" si="14"/>
        <v>4629.95</v>
      </c>
      <c r="C150" s="1029"/>
      <c r="D150" s="826"/>
      <c r="F150" s="1028">
        <v>4629.95</v>
      </c>
      <c r="G150" s="1029"/>
      <c r="H150" s="2" t="s">
        <v>4299</v>
      </c>
      <c r="I150" s="847"/>
    </row>
    <row r="151">
      <c r="A151" s="611"/>
      <c r="B151" s="1027">
        <f t="shared" si="14"/>
        <v>3000</v>
      </c>
      <c r="C151" s="826"/>
      <c r="D151" s="1029"/>
      <c r="F151" s="1028">
        <v>3000.0</v>
      </c>
      <c r="H151" s="2" t="s">
        <v>4550</v>
      </c>
      <c r="I151" s="847"/>
    </row>
    <row r="152">
      <c r="A152" s="611"/>
      <c r="B152" s="1027">
        <f t="shared" si="14"/>
        <v>210</v>
      </c>
      <c r="C152" s="826"/>
      <c r="D152" s="1029"/>
      <c r="F152" s="1028">
        <v>210.0</v>
      </c>
      <c r="G152" s="826"/>
      <c r="H152" s="2" t="s">
        <v>1732</v>
      </c>
      <c r="I152" s="847"/>
    </row>
    <row r="153">
      <c r="A153" s="611"/>
      <c r="B153" s="1027">
        <f t="shared" si="14"/>
        <v>4580.89</v>
      </c>
      <c r="C153" s="826"/>
      <c r="D153" s="1029"/>
      <c r="F153" s="1028">
        <v>4580.89</v>
      </c>
      <c r="G153" s="826"/>
      <c r="H153" s="2" t="s">
        <v>3326</v>
      </c>
      <c r="I153" s="847"/>
    </row>
    <row r="154">
      <c r="A154" s="611"/>
      <c r="B154" s="1027">
        <f t="shared" si="14"/>
        <v>15</v>
      </c>
      <c r="C154" s="826"/>
      <c r="D154" s="1029"/>
      <c r="F154" s="1028">
        <v>15.0</v>
      </c>
      <c r="H154" s="2" t="s">
        <v>4551</v>
      </c>
      <c r="I154" s="847"/>
    </row>
    <row r="155">
      <c r="A155" s="611"/>
      <c r="B155" s="1027" t="str">
        <f t="shared" si="14"/>
        <v/>
      </c>
      <c r="C155" s="826"/>
      <c r="D155" s="1029">
        <v>14520.0</v>
      </c>
      <c r="F155" s="1030"/>
      <c r="H155" s="2" t="s">
        <v>2354</v>
      </c>
      <c r="I155" s="847"/>
    </row>
    <row r="156">
      <c r="A156" s="611"/>
      <c r="B156" s="1027" t="str">
        <f t="shared" si="14"/>
        <v/>
      </c>
      <c r="C156" s="826"/>
      <c r="D156" s="1029">
        <v>7222.9</v>
      </c>
      <c r="F156" s="1030"/>
      <c r="H156" s="2" t="s">
        <v>4513</v>
      </c>
      <c r="I156" s="847"/>
    </row>
    <row r="157">
      <c r="A157" s="611"/>
      <c r="B157" s="1027" t="str">
        <f t="shared" si="14"/>
        <v/>
      </c>
      <c r="C157" s="826"/>
      <c r="D157" s="1029">
        <v>4968.0</v>
      </c>
      <c r="F157" s="1030"/>
      <c r="H157" s="2" t="s">
        <v>194</v>
      </c>
      <c r="I157" s="847"/>
    </row>
    <row r="158">
      <c r="A158" s="611"/>
      <c r="B158" s="1027" t="str">
        <f t="shared" si="14"/>
        <v/>
      </c>
      <c r="C158" s="826"/>
      <c r="D158" s="1029">
        <v>5000.0</v>
      </c>
      <c r="F158" s="1030"/>
      <c r="G158" s="826"/>
      <c r="H158" s="2" t="s">
        <v>4552</v>
      </c>
      <c r="I158" s="847"/>
    </row>
    <row r="159">
      <c r="A159" s="611"/>
      <c r="B159" s="1027">
        <f t="shared" si="14"/>
        <v>1000</v>
      </c>
      <c r="C159" s="826"/>
      <c r="D159" s="826"/>
      <c r="F159" s="1028">
        <v>1000.0</v>
      </c>
      <c r="G159" s="826"/>
      <c r="H159" s="2" t="s">
        <v>4038</v>
      </c>
      <c r="I159" s="818"/>
    </row>
    <row r="160">
      <c r="A160" s="611"/>
      <c r="B160" s="1027">
        <f t="shared" si="14"/>
        <v>1910</v>
      </c>
      <c r="C160" s="826"/>
      <c r="D160" s="826"/>
      <c r="F160" s="1028">
        <v>1910.0</v>
      </c>
      <c r="G160" s="826"/>
      <c r="H160" s="2" t="s">
        <v>2349</v>
      </c>
      <c r="I160" s="847"/>
    </row>
    <row r="161">
      <c r="A161" s="613"/>
      <c r="B161" s="1031">
        <f>SUM(B146:B160)</f>
        <v>21519.27</v>
      </c>
      <c r="C161" s="1032"/>
      <c r="D161" s="1032"/>
      <c r="E161" s="18"/>
      <c r="F161" s="1033"/>
      <c r="G161" s="1032"/>
      <c r="H161" s="18"/>
      <c r="I161" s="663"/>
    </row>
    <row r="162">
      <c r="A162" s="1023">
        <v>43755.0</v>
      </c>
      <c r="B162" s="1024">
        <f t="shared" ref="B162:B172" si="15">F162</f>
        <v>1615.13</v>
      </c>
      <c r="C162" s="984"/>
      <c r="D162" s="984"/>
      <c r="E162" s="242"/>
      <c r="F162" s="1025">
        <v>1615.13</v>
      </c>
      <c r="G162" s="1026"/>
      <c r="H162" s="244" t="s">
        <v>58</v>
      </c>
      <c r="I162" s="662"/>
    </row>
    <row r="163">
      <c r="A163" s="611"/>
      <c r="B163" s="1027">
        <f t="shared" si="15"/>
        <v>2436.52</v>
      </c>
      <c r="C163" s="826"/>
      <c r="D163" s="826"/>
      <c r="F163" s="1028">
        <v>2436.52</v>
      </c>
      <c r="G163" s="1029"/>
      <c r="H163" s="2" t="s">
        <v>4299</v>
      </c>
      <c r="I163" s="847"/>
    </row>
    <row r="164">
      <c r="A164" s="611"/>
      <c r="B164" s="1027">
        <f t="shared" si="15"/>
        <v>7353.15</v>
      </c>
      <c r="C164" s="826"/>
      <c r="D164" s="826"/>
      <c r="F164" s="1028">
        <v>7353.15</v>
      </c>
      <c r="G164" s="1029"/>
      <c r="H164" s="2" t="s">
        <v>615</v>
      </c>
      <c r="I164" s="847"/>
    </row>
    <row r="165">
      <c r="A165" s="611"/>
      <c r="B165" s="1027">
        <f t="shared" si="15"/>
        <v>4100</v>
      </c>
      <c r="C165" s="1029"/>
      <c r="D165" s="826"/>
      <c r="F165" s="1028">
        <v>4100.0</v>
      </c>
      <c r="G165" s="1029"/>
      <c r="H165" s="2" t="s">
        <v>65</v>
      </c>
      <c r="I165" s="847"/>
    </row>
    <row r="166">
      <c r="A166" s="611"/>
      <c r="B166" s="1027">
        <f t="shared" si="15"/>
        <v>2546.39</v>
      </c>
      <c r="C166" s="1029"/>
      <c r="D166" s="826"/>
      <c r="F166" s="1028">
        <v>2546.39</v>
      </c>
      <c r="G166" s="1029"/>
      <c r="H166" s="2" t="s">
        <v>314</v>
      </c>
      <c r="I166" s="847"/>
    </row>
    <row r="167">
      <c r="A167" s="611"/>
      <c r="B167" s="1027" t="str">
        <f t="shared" si="15"/>
        <v/>
      </c>
      <c r="C167" s="1029">
        <v>9704.16</v>
      </c>
      <c r="D167" s="1029"/>
      <c r="F167" s="1028"/>
      <c r="H167" s="2" t="s">
        <v>2637</v>
      </c>
      <c r="I167" s="847"/>
    </row>
    <row r="168">
      <c r="A168" s="611"/>
      <c r="B168" s="1027">
        <f t="shared" si="15"/>
        <v>4000</v>
      </c>
      <c r="C168" s="826"/>
      <c r="D168" s="826"/>
      <c r="F168" s="1028">
        <v>4000.0</v>
      </c>
      <c r="G168" s="826"/>
      <c r="H168" s="2" t="s">
        <v>4553</v>
      </c>
      <c r="I168" s="847"/>
    </row>
    <row r="169">
      <c r="A169" s="611"/>
      <c r="B169" s="1027">
        <f t="shared" si="15"/>
        <v>1000</v>
      </c>
      <c r="C169" s="826"/>
      <c r="D169" s="826"/>
      <c r="F169" s="1028">
        <v>1000.0</v>
      </c>
      <c r="G169" s="826"/>
      <c r="H169" s="416" t="s">
        <v>4240</v>
      </c>
      <c r="I169" s="951"/>
    </row>
    <row r="170">
      <c r="A170" s="611"/>
      <c r="B170" s="1027">
        <f t="shared" si="15"/>
        <v>500</v>
      </c>
      <c r="C170" s="826"/>
      <c r="D170" s="826"/>
      <c r="F170" s="1028">
        <v>500.0</v>
      </c>
      <c r="G170" s="826"/>
      <c r="H170" s="2" t="s">
        <v>4482</v>
      </c>
      <c r="I170" s="951"/>
    </row>
    <row r="171">
      <c r="A171" s="611"/>
      <c r="B171" s="1027">
        <f t="shared" si="15"/>
        <v>313</v>
      </c>
      <c r="C171" s="826"/>
      <c r="D171" s="826"/>
      <c r="F171" s="1028">
        <v>313.0</v>
      </c>
      <c r="G171" s="826"/>
      <c r="H171" s="2" t="s">
        <v>4554</v>
      </c>
      <c r="I171" s="847"/>
    </row>
    <row r="172">
      <c r="A172" s="611"/>
      <c r="B172" s="1027" t="str">
        <f t="shared" si="15"/>
        <v/>
      </c>
      <c r="C172" s="826"/>
      <c r="D172" s="826"/>
      <c r="F172" s="1030"/>
      <c r="G172" s="826"/>
      <c r="I172" s="847"/>
    </row>
    <row r="173">
      <c r="A173" s="613"/>
      <c r="B173" s="1031">
        <f>SUM(B162:B172)</f>
        <v>23864.19</v>
      </c>
      <c r="C173" s="1032"/>
      <c r="D173" s="1032"/>
      <c r="E173" s="18"/>
      <c r="F173" s="1033"/>
      <c r="G173" s="1032"/>
      <c r="H173" s="18"/>
      <c r="I173" s="663"/>
    </row>
    <row r="174">
      <c r="A174" s="1023">
        <v>43756.0</v>
      </c>
      <c r="B174" s="1024">
        <f t="shared" ref="B174:B182" si="16">F174</f>
        <v>1709</v>
      </c>
      <c r="C174" s="984"/>
      <c r="D174" s="984"/>
      <c r="E174" s="242"/>
      <c r="F174" s="1025">
        <v>1709.0</v>
      </c>
      <c r="G174" s="1026"/>
      <c r="H174" s="244" t="s">
        <v>58</v>
      </c>
      <c r="I174" s="662"/>
    </row>
    <row r="175">
      <c r="A175" s="611"/>
      <c r="B175" s="1027">
        <f t="shared" si="16"/>
        <v>144.58</v>
      </c>
      <c r="C175" s="826"/>
      <c r="D175" s="826"/>
      <c r="F175" s="1028">
        <v>144.58</v>
      </c>
      <c r="G175" s="1029"/>
      <c r="H175" s="2" t="s">
        <v>314</v>
      </c>
      <c r="I175" s="847"/>
    </row>
    <row r="176">
      <c r="A176" s="611"/>
      <c r="B176" s="1027">
        <f t="shared" si="16"/>
        <v>112.83</v>
      </c>
      <c r="C176" s="826"/>
      <c r="D176" s="826"/>
      <c r="F176" s="1028">
        <v>112.83</v>
      </c>
      <c r="G176" s="1029"/>
      <c r="H176" s="2" t="s">
        <v>314</v>
      </c>
      <c r="I176" s="847"/>
    </row>
    <row r="177">
      <c r="A177" s="611"/>
      <c r="B177" s="1027">
        <f t="shared" si="16"/>
        <v>6000</v>
      </c>
      <c r="C177" s="1029"/>
      <c r="D177" s="826"/>
      <c r="F177" s="1028">
        <v>6000.0</v>
      </c>
      <c r="G177" s="1029"/>
      <c r="H177" s="2" t="s">
        <v>4152</v>
      </c>
      <c r="I177" s="951"/>
    </row>
    <row r="178">
      <c r="A178" s="611"/>
      <c r="B178" s="1027">
        <f t="shared" si="16"/>
        <v>105</v>
      </c>
      <c r="C178" s="1029"/>
      <c r="D178" s="826"/>
      <c r="F178" s="1028">
        <v>105.0</v>
      </c>
      <c r="G178" s="1029"/>
      <c r="H178" s="2" t="s">
        <v>3518</v>
      </c>
      <c r="I178" s="847"/>
    </row>
    <row r="179">
      <c r="A179" s="611"/>
      <c r="B179" s="1027">
        <f t="shared" si="16"/>
        <v>4000</v>
      </c>
      <c r="C179" s="826"/>
      <c r="D179" s="1029"/>
      <c r="F179" s="1028">
        <v>4000.0</v>
      </c>
      <c r="H179" s="2" t="s">
        <v>4032</v>
      </c>
      <c r="I179" s="951"/>
    </row>
    <row r="180">
      <c r="A180" s="611"/>
      <c r="B180" s="1027">
        <f t="shared" si="16"/>
        <v>4500</v>
      </c>
      <c r="C180" s="826"/>
      <c r="D180" s="826"/>
      <c r="F180" s="1028">
        <v>4500.0</v>
      </c>
      <c r="G180" s="826"/>
      <c r="H180" s="2" t="s">
        <v>4555</v>
      </c>
      <c r="I180" s="951"/>
    </row>
    <row r="181">
      <c r="A181" s="611"/>
      <c r="B181" s="1027" t="str">
        <f t="shared" si="16"/>
        <v/>
      </c>
      <c r="C181" s="826"/>
      <c r="D181" s="826"/>
      <c r="F181" s="1030"/>
      <c r="G181" s="826"/>
      <c r="I181" s="847"/>
    </row>
    <row r="182">
      <c r="A182" s="611"/>
      <c r="B182" s="1027" t="str">
        <f t="shared" si="16"/>
        <v/>
      </c>
      <c r="C182" s="826"/>
      <c r="D182" s="826"/>
      <c r="F182" s="1030"/>
      <c r="G182" s="826"/>
      <c r="I182" s="847"/>
    </row>
    <row r="183">
      <c r="A183" s="613"/>
      <c r="B183" s="1031">
        <f>SUM(B174:B182)</f>
        <v>16571.41</v>
      </c>
      <c r="C183" s="1032"/>
      <c r="D183" s="1032"/>
      <c r="E183" s="18"/>
      <c r="F183" s="1033"/>
      <c r="G183" s="1032"/>
      <c r="H183" s="18"/>
      <c r="I183" s="663"/>
    </row>
    <row r="184">
      <c r="A184" s="1023">
        <v>43757.0</v>
      </c>
      <c r="B184" s="1024">
        <f t="shared" ref="B184:B191" si="17">F184</f>
        <v>1709.59</v>
      </c>
      <c r="C184" s="984"/>
      <c r="D184" s="984"/>
      <c r="E184" s="242"/>
      <c r="F184" s="1025">
        <v>1709.59</v>
      </c>
      <c r="G184" s="1026"/>
      <c r="H184" s="244" t="s">
        <v>82</v>
      </c>
      <c r="I184" s="662"/>
    </row>
    <row r="185">
      <c r="A185" s="611"/>
      <c r="B185" s="1027">
        <f t="shared" si="17"/>
        <v>576.21</v>
      </c>
      <c r="C185" s="826"/>
      <c r="D185" s="826"/>
      <c r="F185" s="1028">
        <v>576.21</v>
      </c>
      <c r="G185" s="1029"/>
      <c r="H185" s="2" t="s">
        <v>708</v>
      </c>
      <c r="I185" s="847"/>
    </row>
    <row r="186">
      <c r="A186" s="611"/>
      <c r="B186" s="1027">
        <f t="shared" si="17"/>
        <v>1000</v>
      </c>
      <c r="C186" s="826"/>
      <c r="D186" s="826"/>
      <c r="F186" s="1028">
        <v>1000.0</v>
      </c>
      <c r="G186" s="1029"/>
      <c r="H186" s="2" t="s">
        <v>4556</v>
      </c>
      <c r="I186" s="847"/>
    </row>
    <row r="187">
      <c r="A187" s="611"/>
      <c r="B187" s="1027">
        <f t="shared" si="17"/>
        <v>7000</v>
      </c>
      <c r="C187" s="1029"/>
      <c r="D187" s="826"/>
      <c r="F187" s="1028">
        <v>7000.0</v>
      </c>
      <c r="G187" s="1029"/>
      <c r="H187" s="2" t="s">
        <v>4154</v>
      </c>
      <c r="I187" s="951"/>
    </row>
    <row r="188">
      <c r="A188" s="611"/>
      <c r="B188" s="1027">
        <f t="shared" si="17"/>
        <v>1320</v>
      </c>
      <c r="C188" s="1029"/>
      <c r="D188" s="826"/>
      <c r="F188" s="1028">
        <v>1320.0</v>
      </c>
      <c r="G188" s="1029"/>
      <c r="H188" s="2" t="s">
        <v>4557</v>
      </c>
      <c r="I188" s="847"/>
    </row>
    <row r="189">
      <c r="A189" s="611"/>
      <c r="B189" s="1027">
        <f t="shared" si="17"/>
        <v>420</v>
      </c>
      <c r="C189" s="826"/>
      <c r="D189" s="1029"/>
      <c r="F189" s="1028">
        <v>420.0</v>
      </c>
      <c r="H189" s="2" t="s">
        <v>228</v>
      </c>
      <c r="I189" s="847"/>
    </row>
    <row r="190">
      <c r="A190" s="611"/>
      <c r="B190" s="1027">
        <f t="shared" si="17"/>
        <v>3100</v>
      </c>
      <c r="C190" s="826"/>
      <c r="D190" s="826"/>
      <c r="F190" s="1028">
        <v>3100.0</v>
      </c>
      <c r="G190" s="826"/>
      <c r="H190" s="416" t="s">
        <v>4061</v>
      </c>
      <c r="I190" s="951"/>
    </row>
    <row r="191">
      <c r="A191" s="611"/>
      <c r="B191" s="1027">
        <f t="shared" si="17"/>
        <v>4500</v>
      </c>
      <c r="C191" s="826"/>
      <c r="D191" s="826"/>
      <c r="F191" s="1028">
        <v>4500.0</v>
      </c>
      <c r="G191" s="826"/>
      <c r="H191" s="2" t="s">
        <v>4062</v>
      </c>
      <c r="I191" s="951"/>
    </row>
    <row r="192">
      <c r="A192" s="611"/>
      <c r="B192" s="1036">
        <v>2100.0</v>
      </c>
      <c r="C192" s="826"/>
      <c r="D192" s="826"/>
      <c r="F192" s="1028">
        <v>2100.0</v>
      </c>
      <c r="G192" s="826"/>
      <c r="H192" s="2" t="s">
        <v>3493</v>
      </c>
      <c r="I192" s="951"/>
    </row>
    <row r="193">
      <c r="A193" s="611"/>
      <c r="B193" s="1027">
        <f>F193</f>
        <v>3900</v>
      </c>
      <c r="C193" s="826"/>
      <c r="D193" s="826"/>
      <c r="F193" s="1028">
        <v>3900.0</v>
      </c>
      <c r="G193" s="826"/>
      <c r="H193" s="2" t="s">
        <v>4153</v>
      </c>
      <c r="I193" s="951"/>
    </row>
    <row r="194">
      <c r="A194" s="613"/>
      <c r="B194" s="1031">
        <f>SUM(B184:B193)</f>
        <v>25625.8</v>
      </c>
      <c r="C194" s="1032"/>
      <c r="D194" s="1032"/>
      <c r="E194" s="18"/>
      <c r="F194" s="1037"/>
      <c r="G194" s="1032"/>
      <c r="H194" s="293"/>
      <c r="I194" s="663"/>
    </row>
    <row r="195">
      <c r="A195" s="1023">
        <v>43758.0</v>
      </c>
      <c r="B195" s="1024" t="str">
        <f>F195</f>
        <v/>
      </c>
      <c r="C195" s="984"/>
      <c r="D195" s="984"/>
      <c r="E195" s="242"/>
      <c r="F195" s="1025"/>
      <c r="G195" s="1026"/>
      <c r="H195" s="244"/>
      <c r="I195" s="662"/>
    </row>
    <row r="196">
      <c r="A196" s="613"/>
      <c r="B196" s="1031">
        <f>SUM(B195)</f>
        <v>0</v>
      </c>
      <c r="C196" s="1032"/>
      <c r="D196" s="1032"/>
      <c r="E196" s="18"/>
      <c r="F196" s="1033"/>
      <c r="G196" s="1032"/>
      <c r="H196" s="18"/>
      <c r="I196" s="663"/>
    </row>
    <row r="197">
      <c r="A197" s="1023">
        <v>43759.0</v>
      </c>
      <c r="B197" s="1024">
        <f t="shared" ref="B197:B205" si="18">F197</f>
        <v>1747.72</v>
      </c>
      <c r="C197" s="984"/>
      <c r="D197" s="984"/>
      <c r="E197" s="242"/>
      <c r="F197" s="1025">
        <v>1747.72</v>
      </c>
      <c r="G197" s="1026"/>
      <c r="H197" s="244" t="s">
        <v>314</v>
      </c>
      <c r="I197" s="662"/>
    </row>
    <row r="198">
      <c r="A198" s="611"/>
      <c r="B198" s="1027">
        <f t="shared" si="18"/>
        <v>124.48</v>
      </c>
      <c r="C198" s="826"/>
      <c r="D198" s="826"/>
      <c r="F198" s="1028">
        <v>124.48</v>
      </c>
      <c r="G198" s="1029"/>
      <c r="H198" s="2" t="s">
        <v>314</v>
      </c>
      <c r="I198" s="847"/>
    </row>
    <row r="199">
      <c r="A199" s="611"/>
      <c r="B199" s="1027">
        <f t="shared" si="18"/>
        <v>2789</v>
      </c>
      <c r="C199" s="826"/>
      <c r="D199" s="826"/>
      <c r="F199" s="1028">
        <v>2789.0</v>
      </c>
      <c r="G199" s="1029"/>
      <c r="H199" s="2" t="s">
        <v>4299</v>
      </c>
      <c r="I199" s="847"/>
    </row>
    <row r="200">
      <c r="A200" s="611"/>
      <c r="B200" s="1027">
        <f t="shared" si="18"/>
        <v>2795</v>
      </c>
      <c r="C200" s="1029"/>
      <c r="D200" s="826"/>
      <c r="F200" s="1028">
        <v>2795.0</v>
      </c>
      <c r="G200" s="1029"/>
      <c r="H200" s="2" t="s">
        <v>65</v>
      </c>
      <c r="I200" s="847"/>
    </row>
    <row r="201">
      <c r="A201" s="611"/>
      <c r="B201" s="1027">
        <f t="shared" si="18"/>
        <v>930</v>
      </c>
      <c r="C201" s="1029"/>
      <c r="D201" s="826"/>
      <c r="F201" s="1028">
        <v>930.0</v>
      </c>
      <c r="G201" s="1029"/>
      <c r="H201" s="2" t="s">
        <v>4231</v>
      </c>
      <c r="I201" s="847"/>
    </row>
    <row r="202">
      <c r="A202" s="611"/>
      <c r="B202" s="1027" t="str">
        <f t="shared" si="18"/>
        <v/>
      </c>
      <c r="C202" s="826"/>
      <c r="D202" s="1029">
        <v>4000.0</v>
      </c>
      <c r="F202" s="1028"/>
      <c r="H202" s="2" t="s">
        <v>4558</v>
      </c>
      <c r="I202" s="847"/>
    </row>
    <row r="203">
      <c r="A203" s="611"/>
      <c r="B203" s="1027" t="str">
        <f t="shared" si="18"/>
        <v/>
      </c>
      <c r="C203" s="826"/>
      <c r="D203" s="1029">
        <v>360.0</v>
      </c>
      <c r="F203" s="1030"/>
      <c r="G203" s="826"/>
      <c r="H203" s="2" t="s">
        <v>4559</v>
      </c>
      <c r="I203" s="847"/>
    </row>
    <row r="204">
      <c r="A204" s="611"/>
      <c r="B204" s="1027" t="str">
        <f t="shared" si="18"/>
        <v/>
      </c>
      <c r="C204" s="826"/>
      <c r="D204" s="826"/>
      <c r="F204" s="1030"/>
      <c r="G204" s="826"/>
      <c r="I204" s="847"/>
    </row>
    <row r="205">
      <c r="A205" s="611"/>
      <c r="B205" s="1027" t="str">
        <f t="shared" si="18"/>
        <v/>
      </c>
      <c r="C205" s="826"/>
      <c r="D205" s="826"/>
      <c r="F205" s="1030"/>
      <c r="G205" s="826"/>
      <c r="I205" s="847"/>
    </row>
    <row r="206">
      <c r="A206" s="613"/>
      <c r="B206" s="1031">
        <f>SUM(B197:B205)</f>
        <v>8386.2</v>
      </c>
      <c r="C206" s="1032"/>
      <c r="D206" s="1032"/>
      <c r="E206" s="18"/>
      <c r="F206" s="1033"/>
      <c r="G206" s="1032"/>
      <c r="H206" s="18"/>
      <c r="I206" s="663"/>
    </row>
    <row r="207">
      <c r="A207" s="1023">
        <v>43760.0</v>
      </c>
      <c r="B207" s="1024" t="str">
        <f t="shared" ref="B207:B216" si="19">F207</f>
        <v/>
      </c>
      <c r="C207" s="1026">
        <v>7385.78</v>
      </c>
      <c r="D207" s="984"/>
      <c r="E207" s="242"/>
      <c r="F207" s="1025"/>
      <c r="G207" s="1026"/>
      <c r="H207" s="244" t="s">
        <v>2637</v>
      </c>
      <c r="I207" s="662"/>
    </row>
    <row r="208">
      <c r="A208" s="611"/>
      <c r="B208" s="1027">
        <f t="shared" si="19"/>
        <v>1166.7</v>
      </c>
      <c r="C208" s="826"/>
      <c r="D208" s="826"/>
      <c r="F208" s="1028">
        <v>1166.7</v>
      </c>
      <c r="G208" s="1029"/>
      <c r="H208" s="2" t="s">
        <v>314</v>
      </c>
      <c r="I208" s="847"/>
    </row>
    <row r="209">
      <c r="A209" s="611"/>
      <c r="B209" s="1027">
        <f t="shared" si="19"/>
        <v>3330.18</v>
      </c>
      <c r="C209" s="826"/>
      <c r="D209" s="826"/>
      <c r="F209" s="1028">
        <v>3330.18</v>
      </c>
      <c r="G209" s="1029"/>
      <c r="H209" s="2" t="s">
        <v>58</v>
      </c>
      <c r="I209" s="847"/>
    </row>
    <row r="210">
      <c r="A210" s="611"/>
      <c r="B210" s="1027">
        <f t="shared" si="19"/>
        <v>1080</v>
      </c>
      <c r="C210" s="1029"/>
      <c r="D210" s="826"/>
      <c r="F210" s="1028">
        <v>1080.0</v>
      </c>
      <c r="G210" s="1029"/>
      <c r="H210" s="2" t="s">
        <v>2673</v>
      </c>
      <c r="I210" s="847"/>
    </row>
    <row r="211">
      <c r="A211" s="611"/>
      <c r="B211" s="1027">
        <f t="shared" si="19"/>
        <v>2410</v>
      </c>
      <c r="C211" s="1029"/>
      <c r="D211" s="826"/>
      <c r="F211" s="1028">
        <v>2410.0</v>
      </c>
      <c r="G211" s="1029"/>
      <c r="H211" s="2" t="s">
        <v>4299</v>
      </c>
      <c r="I211" s="847"/>
    </row>
    <row r="212">
      <c r="A212" s="611"/>
      <c r="B212" s="1027" t="str">
        <f t="shared" si="19"/>
        <v/>
      </c>
      <c r="C212" s="826"/>
      <c r="D212" s="1029">
        <v>10531.84</v>
      </c>
      <c r="F212" s="1028"/>
      <c r="H212" s="2" t="s">
        <v>4560</v>
      </c>
      <c r="I212" s="847"/>
    </row>
    <row r="213">
      <c r="A213" s="611"/>
      <c r="B213" s="1027" t="str">
        <f t="shared" si="19"/>
        <v/>
      </c>
      <c r="C213" s="826"/>
      <c r="D213" s="1029">
        <v>6982.84</v>
      </c>
      <c r="F213" s="1030"/>
      <c r="G213" s="826"/>
      <c r="H213" s="2" t="s">
        <v>4561</v>
      </c>
      <c r="I213" s="847"/>
    </row>
    <row r="214">
      <c r="A214" s="611"/>
      <c r="B214" s="1027">
        <f t="shared" si="19"/>
        <v>35.45</v>
      </c>
      <c r="C214" s="826"/>
      <c r="D214" s="826"/>
      <c r="F214" s="1028">
        <v>35.45</v>
      </c>
      <c r="G214" s="826"/>
      <c r="H214" s="2" t="s">
        <v>314</v>
      </c>
      <c r="I214" s="847"/>
    </row>
    <row r="215">
      <c r="A215" s="611"/>
      <c r="B215" s="1027">
        <f t="shared" si="19"/>
        <v>41</v>
      </c>
      <c r="C215" s="826"/>
      <c r="D215" s="826"/>
      <c r="F215" s="1028">
        <v>41.0</v>
      </c>
      <c r="G215" s="826"/>
      <c r="H215" s="2" t="s">
        <v>4562</v>
      </c>
      <c r="I215" s="847"/>
    </row>
    <row r="216">
      <c r="A216" s="611"/>
      <c r="B216" s="1027">
        <f t="shared" si="19"/>
        <v>145</v>
      </c>
      <c r="C216" s="826"/>
      <c r="D216" s="826"/>
      <c r="F216" s="1028">
        <v>145.0</v>
      </c>
      <c r="G216" s="826"/>
      <c r="H216" s="2" t="s">
        <v>314</v>
      </c>
      <c r="I216" s="847"/>
    </row>
    <row r="217">
      <c r="A217" s="613"/>
      <c r="B217" s="1031">
        <f>SUM(B207:B216)</f>
        <v>8208.33</v>
      </c>
      <c r="C217" s="1032"/>
      <c r="D217" s="1032"/>
      <c r="E217" s="18"/>
      <c r="F217" s="1033"/>
      <c r="G217" s="1032"/>
      <c r="H217" s="18"/>
      <c r="I217" s="663"/>
    </row>
    <row r="218">
      <c r="A218" s="1023">
        <v>43761.0</v>
      </c>
      <c r="B218" s="1024">
        <f t="shared" ref="B218:B226" si="20">F218</f>
        <v>90</v>
      </c>
      <c r="C218" s="984"/>
      <c r="D218" s="984"/>
      <c r="E218" s="242"/>
      <c r="F218" s="1025">
        <v>90.0</v>
      </c>
      <c r="G218" s="1026"/>
      <c r="H218" s="244" t="s">
        <v>4563</v>
      </c>
      <c r="I218" s="662"/>
    </row>
    <row r="219">
      <c r="A219" s="611"/>
      <c r="B219" s="1027">
        <f t="shared" si="20"/>
        <v>812</v>
      </c>
      <c r="C219" s="826"/>
      <c r="D219" s="826"/>
      <c r="F219" s="1028">
        <v>812.0</v>
      </c>
      <c r="G219" s="1029"/>
      <c r="H219" s="2" t="s">
        <v>58</v>
      </c>
      <c r="I219" s="847"/>
    </row>
    <row r="220">
      <c r="A220" s="611"/>
      <c r="B220" s="1027">
        <f t="shared" si="20"/>
        <v>4102</v>
      </c>
      <c r="C220" s="826"/>
      <c r="D220" s="826"/>
      <c r="F220" s="1028">
        <v>4102.0</v>
      </c>
      <c r="G220" s="1029"/>
      <c r="H220" s="2" t="s">
        <v>65</v>
      </c>
      <c r="I220" s="847"/>
    </row>
    <row r="221">
      <c r="A221" s="611"/>
      <c r="B221" s="1027" t="str">
        <f t="shared" si="20"/>
        <v/>
      </c>
      <c r="C221" s="1029">
        <v>9338.0</v>
      </c>
      <c r="D221" s="826"/>
      <c r="F221" s="1028"/>
      <c r="G221" s="1029"/>
      <c r="H221" s="2" t="s">
        <v>4511</v>
      </c>
      <c r="I221" s="847"/>
    </row>
    <row r="222">
      <c r="A222" s="611"/>
      <c r="B222" s="1027">
        <f t="shared" si="20"/>
        <v>700</v>
      </c>
      <c r="C222" s="1029"/>
      <c r="D222" s="826"/>
      <c r="F222" s="1028">
        <v>700.0</v>
      </c>
      <c r="G222" s="1029"/>
      <c r="H222" s="2" t="s">
        <v>3437</v>
      </c>
      <c r="I222" s="847"/>
    </row>
    <row r="223">
      <c r="A223" s="611"/>
      <c r="B223" s="1027">
        <f t="shared" si="20"/>
        <v>1359.35</v>
      </c>
      <c r="C223" s="826"/>
      <c r="D223" s="1029"/>
      <c r="F223" s="1028">
        <v>1359.35</v>
      </c>
      <c r="H223" s="2" t="s">
        <v>4157</v>
      </c>
      <c r="I223" s="847"/>
    </row>
    <row r="224">
      <c r="A224" s="611"/>
      <c r="B224" s="1027">
        <f t="shared" si="20"/>
        <v>500</v>
      </c>
      <c r="C224" s="826"/>
      <c r="D224" s="826"/>
      <c r="F224" s="1028">
        <v>500.0</v>
      </c>
      <c r="G224" s="826"/>
      <c r="H224" s="416" t="s">
        <v>4240</v>
      </c>
      <c r="I224" s="951"/>
    </row>
    <row r="225">
      <c r="A225" s="611"/>
      <c r="B225" s="1027" t="str">
        <f t="shared" si="20"/>
        <v/>
      </c>
      <c r="C225" s="826"/>
      <c r="D225" s="1029">
        <v>6653.08</v>
      </c>
      <c r="F225" s="1030"/>
      <c r="G225" s="826"/>
      <c r="H225" s="2" t="s">
        <v>188</v>
      </c>
      <c r="I225" s="847"/>
    </row>
    <row r="226">
      <c r="A226" s="611"/>
      <c r="B226" s="1027" t="str">
        <f t="shared" si="20"/>
        <v/>
      </c>
      <c r="C226" s="826"/>
      <c r="D226" s="826"/>
      <c r="F226" s="1030"/>
      <c r="G226" s="826"/>
      <c r="I226" s="847"/>
    </row>
    <row r="227">
      <c r="A227" s="613"/>
      <c r="B227" s="1031">
        <f>SUM(B218:B226)</f>
        <v>7563.35</v>
      </c>
      <c r="C227" s="1032"/>
      <c r="D227" s="1032"/>
      <c r="E227" s="18"/>
      <c r="F227" s="1033"/>
      <c r="G227" s="1032"/>
      <c r="H227" s="18"/>
      <c r="I227" s="663"/>
    </row>
    <row r="228">
      <c r="A228" s="1023">
        <v>43762.0</v>
      </c>
      <c r="B228" s="1024">
        <f t="shared" ref="B228:B237" si="21">F228</f>
        <v>7280</v>
      </c>
      <c r="C228" s="984"/>
      <c r="D228" s="984"/>
      <c r="E228" s="242"/>
      <c r="F228" s="1025">
        <v>7280.0</v>
      </c>
      <c r="G228" s="1026"/>
      <c r="H228" s="244" t="s">
        <v>615</v>
      </c>
      <c r="I228" s="662"/>
    </row>
    <row r="229">
      <c r="A229" s="611"/>
      <c r="B229" s="1027" t="str">
        <f t="shared" si="21"/>
        <v/>
      </c>
      <c r="C229" s="826"/>
      <c r="D229" s="826"/>
      <c r="E229" s="2">
        <v>7947.0</v>
      </c>
      <c r="F229" s="1028"/>
      <c r="G229" s="1029"/>
      <c r="H229" s="2" t="s">
        <v>4564</v>
      </c>
      <c r="I229" s="847"/>
    </row>
    <row r="230">
      <c r="A230" s="611"/>
      <c r="B230" s="1027">
        <f t="shared" si="21"/>
        <v>6796.39</v>
      </c>
      <c r="C230" s="826"/>
      <c r="D230" s="826"/>
      <c r="F230" s="1028">
        <v>6796.39</v>
      </c>
      <c r="G230" s="1029"/>
      <c r="H230" s="2" t="s">
        <v>4565</v>
      </c>
      <c r="I230" s="847"/>
    </row>
    <row r="231">
      <c r="A231" s="611"/>
      <c r="B231" s="1027" t="str">
        <f t="shared" si="21"/>
        <v>715.50</v>
      </c>
      <c r="C231" s="1029"/>
      <c r="D231" s="826"/>
      <c r="F231" s="1028" t="s">
        <v>4566</v>
      </c>
      <c r="G231" s="1029"/>
      <c r="H231" s="2" t="s">
        <v>4157</v>
      </c>
      <c r="I231" s="847"/>
    </row>
    <row r="232">
      <c r="A232" s="611"/>
      <c r="B232" s="1027">
        <f t="shared" si="21"/>
        <v>2320</v>
      </c>
      <c r="C232" s="1029"/>
      <c r="D232" s="826"/>
      <c r="F232" s="1028">
        <v>2320.0</v>
      </c>
      <c r="G232" s="1029"/>
      <c r="H232" s="2" t="s">
        <v>4567</v>
      </c>
      <c r="I232" s="847"/>
    </row>
    <row r="233">
      <c r="A233" s="611"/>
      <c r="B233" s="1027">
        <f t="shared" si="21"/>
        <v>2843</v>
      </c>
      <c r="C233" s="826"/>
      <c r="D233" s="1029"/>
      <c r="F233" s="1028">
        <v>2843.0</v>
      </c>
      <c r="H233" s="2" t="s">
        <v>4234</v>
      </c>
      <c r="I233" s="847"/>
    </row>
    <row r="234">
      <c r="A234" s="611"/>
      <c r="B234" s="1027">
        <f t="shared" si="21"/>
        <v>70</v>
      </c>
      <c r="C234" s="826"/>
      <c r="D234" s="826"/>
      <c r="F234" s="1028">
        <v>70.0</v>
      </c>
      <c r="G234" s="826"/>
      <c r="H234" s="2" t="s">
        <v>4568</v>
      </c>
      <c r="I234" s="847"/>
    </row>
    <row r="235">
      <c r="A235" s="611"/>
      <c r="B235" s="1027">
        <f t="shared" si="21"/>
        <v>1816.66</v>
      </c>
      <c r="C235" s="826"/>
      <c r="D235" s="826"/>
      <c r="F235" s="1028">
        <v>1816.66</v>
      </c>
      <c r="G235" s="826"/>
      <c r="H235" s="2" t="s">
        <v>3821</v>
      </c>
      <c r="I235" s="847"/>
    </row>
    <row r="236">
      <c r="A236" s="611"/>
      <c r="B236" s="1027">
        <f t="shared" si="21"/>
        <v>280</v>
      </c>
      <c r="C236" s="826"/>
      <c r="D236" s="826"/>
      <c r="F236" s="1028">
        <v>280.0</v>
      </c>
      <c r="G236" s="826"/>
      <c r="H236" s="2" t="s">
        <v>4569</v>
      </c>
      <c r="I236" s="847"/>
    </row>
    <row r="237">
      <c r="A237" s="611"/>
      <c r="B237" s="1027">
        <f t="shared" si="21"/>
        <v>1000</v>
      </c>
      <c r="C237" s="826"/>
      <c r="D237" s="826"/>
      <c r="F237" s="1028">
        <v>1000.0</v>
      </c>
      <c r="G237" s="826"/>
      <c r="H237" s="2" t="s">
        <v>4310</v>
      </c>
      <c r="I237" s="951"/>
    </row>
    <row r="238">
      <c r="A238" s="613"/>
      <c r="B238" s="1031">
        <f>SUM(B228:B237)</f>
        <v>22406.05</v>
      </c>
      <c r="C238" s="1032"/>
      <c r="D238" s="1032"/>
      <c r="E238" s="18"/>
      <c r="F238" s="1033"/>
      <c r="G238" s="1032"/>
      <c r="H238" s="18"/>
      <c r="I238" s="663"/>
    </row>
    <row r="239">
      <c r="A239" s="1023">
        <v>43763.0</v>
      </c>
      <c r="B239" s="1024">
        <f t="shared" ref="B239:B251" si="22">F239</f>
        <v>1850</v>
      </c>
      <c r="C239" s="984"/>
      <c r="D239" s="984"/>
      <c r="E239" s="242"/>
      <c r="F239" s="1025">
        <v>1850.0</v>
      </c>
      <c r="G239" s="1026"/>
      <c r="H239" s="244" t="s">
        <v>3731</v>
      </c>
      <c r="I239" s="662"/>
    </row>
    <row r="240">
      <c r="A240" s="611"/>
      <c r="B240" s="1027">
        <f t="shared" si="22"/>
        <v>71.47</v>
      </c>
      <c r="C240" s="826"/>
      <c r="D240" s="826"/>
      <c r="F240" s="1028">
        <v>71.47</v>
      </c>
      <c r="G240" s="1029"/>
      <c r="H240" s="2" t="s">
        <v>4157</v>
      </c>
      <c r="I240" s="847"/>
    </row>
    <row r="241">
      <c r="A241" s="611"/>
      <c r="B241" s="1027">
        <f t="shared" si="22"/>
        <v>6300</v>
      </c>
      <c r="C241" s="826"/>
      <c r="D241" s="826"/>
      <c r="F241" s="1028">
        <v>6300.0</v>
      </c>
      <c r="G241" s="1029"/>
      <c r="H241" s="2" t="s">
        <v>4547</v>
      </c>
      <c r="I241" s="847"/>
    </row>
    <row r="242">
      <c r="A242" s="611"/>
      <c r="B242" s="1027">
        <f t="shared" si="22"/>
        <v>812.04</v>
      </c>
      <c r="C242" s="1029"/>
      <c r="D242" s="826"/>
      <c r="F242" s="1028">
        <v>812.04</v>
      </c>
      <c r="G242" s="1029"/>
      <c r="H242" s="2" t="s">
        <v>3821</v>
      </c>
      <c r="I242" s="847"/>
    </row>
    <row r="243">
      <c r="A243" s="611"/>
      <c r="B243" s="1027">
        <f t="shared" si="22"/>
        <v>110.13</v>
      </c>
      <c r="C243" s="1029"/>
      <c r="D243" s="826"/>
      <c r="F243" s="1028">
        <v>110.13</v>
      </c>
      <c r="G243" s="1029"/>
      <c r="H243" s="2" t="s">
        <v>4570</v>
      </c>
      <c r="I243" s="847"/>
    </row>
    <row r="244">
      <c r="A244" s="611"/>
      <c r="B244" s="1027">
        <f t="shared" si="22"/>
        <v>3120</v>
      </c>
      <c r="C244" s="826"/>
      <c r="D244" s="1029"/>
      <c r="F244" s="1028">
        <v>3120.0</v>
      </c>
      <c r="H244" s="2" t="s">
        <v>3917</v>
      </c>
      <c r="I244" s="847"/>
    </row>
    <row r="245">
      <c r="A245" s="611"/>
      <c r="B245" s="1027">
        <f t="shared" si="22"/>
        <v>3800</v>
      </c>
      <c r="C245" s="826"/>
      <c r="D245" s="826"/>
      <c r="F245" s="1028">
        <v>3800.0</v>
      </c>
      <c r="G245" s="826"/>
      <c r="H245" s="2" t="s">
        <v>4571</v>
      </c>
      <c r="I245" s="612"/>
    </row>
    <row r="246">
      <c r="A246" s="611"/>
      <c r="B246" s="1027">
        <f t="shared" si="22"/>
        <v>5000</v>
      </c>
      <c r="C246" s="826"/>
      <c r="D246" s="826"/>
      <c r="F246" s="1028">
        <v>5000.0</v>
      </c>
      <c r="G246" s="826"/>
      <c r="H246" s="2" t="s">
        <v>4062</v>
      </c>
      <c r="I246" s="612"/>
    </row>
    <row r="247">
      <c r="A247" s="611"/>
      <c r="B247" s="1027">
        <f t="shared" si="22"/>
        <v>4000</v>
      </c>
      <c r="C247" s="826"/>
      <c r="D247" s="826"/>
      <c r="F247" s="1028">
        <v>4000.0</v>
      </c>
      <c r="G247" s="826"/>
      <c r="H247" s="2" t="s">
        <v>4032</v>
      </c>
      <c r="I247" s="612"/>
    </row>
    <row r="248">
      <c r="A248" s="611"/>
      <c r="B248" s="1027">
        <f t="shared" si="22"/>
        <v>2000</v>
      </c>
      <c r="C248" s="826"/>
      <c r="D248" s="826"/>
      <c r="F248" s="1028">
        <v>2000.0</v>
      </c>
      <c r="G248" s="826"/>
      <c r="H248" s="2" t="s">
        <v>4038</v>
      </c>
      <c r="I248" s="612"/>
    </row>
    <row r="249">
      <c r="A249" s="611"/>
      <c r="B249" s="1027" t="str">
        <f t="shared" si="22"/>
        <v/>
      </c>
      <c r="C249" s="826"/>
      <c r="D249" s="826"/>
      <c r="F249" s="1028"/>
      <c r="G249" s="826"/>
      <c r="H249" s="2"/>
      <c r="I249" s="847"/>
    </row>
    <row r="250">
      <c r="A250" s="611"/>
      <c r="B250" s="1027" t="str">
        <f t="shared" si="22"/>
        <v/>
      </c>
      <c r="C250" s="826"/>
      <c r="D250" s="826"/>
      <c r="F250" s="1028"/>
      <c r="G250" s="826"/>
      <c r="H250" s="2"/>
      <c r="I250" s="847"/>
    </row>
    <row r="251">
      <c r="A251" s="611"/>
      <c r="B251" s="1027" t="str">
        <f t="shared" si="22"/>
        <v/>
      </c>
      <c r="C251" s="826"/>
      <c r="D251" s="826"/>
      <c r="F251" s="1028"/>
      <c r="G251" s="826"/>
      <c r="H251" s="2"/>
      <c r="I251" s="847"/>
    </row>
    <row r="252">
      <c r="A252" s="613"/>
      <c r="B252" s="1031">
        <f>SUM(B239:B251)</f>
        <v>27063.64</v>
      </c>
      <c r="C252" s="1032"/>
      <c r="D252" s="1032"/>
      <c r="E252" s="18"/>
      <c r="F252" s="1033"/>
      <c r="G252" s="1032"/>
      <c r="H252" s="18"/>
      <c r="I252" s="663"/>
    </row>
    <row r="253">
      <c r="A253" s="1023">
        <v>43764.0</v>
      </c>
      <c r="B253" s="1024" t="str">
        <f t="shared" ref="B253:B261" si="23">F253</f>
        <v/>
      </c>
      <c r="C253" s="984"/>
      <c r="D253" s="984"/>
      <c r="E253" s="242"/>
      <c r="F253" s="1025"/>
      <c r="G253" s="1026"/>
      <c r="H253" s="244"/>
      <c r="I253" s="662"/>
    </row>
    <row r="254">
      <c r="A254" s="611"/>
      <c r="B254" s="1027">
        <f t="shared" si="23"/>
        <v>212.39</v>
      </c>
      <c r="C254" s="826"/>
      <c r="D254" s="826"/>
      <c r="F254" s="1028">
        <v>212.39</v>
      </c>
      <c r="G254" s="1029"/>
      <c r="H254" s="2" t="s">
        <v>708</v>
      </c>
      <c r="I254" s="847"/>
    </row>
    <row r="255">
      <c r="A255" s="611"/>
      <c r="B255" s="1027">
        <f t="shared" si="23"/>
        <v>7000</v>
      </c>
      <c r="C255" s="826"/>
      <c r="D255" s="826"/>
      <c r="F255" s="1028">
        <v>7000.0</v>
      </c>
      <c r="G255" s="1029"/>
      <c r="H255" s="2" t="s">
        <v>4154</v>
      </c>
      <c r="I255" s="951"/>
    </row>
    <row r="256">
      <c r="A256" s="611"/>
      <c r="B256" s="1027">
        <f t="shared" si="23"/>
        <v>6000</v>
      </c>
      <c r="C256" s="1029"/>
      <c r="D256" s="826"/>
      <c r="F256" s="1028">
        <v>6000.0</v>
      </c>
      <c r="G256" s="1029"/>
      <c r="H256" s="2" t="s">
        <v>4152</v>
      </c>
      <c r="I256" s="951"/>
    </row>
    <row r="257">
      <c r="A257" s="611"/>
      <c r="B257" s="1027">
        <f t="shared" si="23"/>
        <v>3600</v>
      </c>
      <c r="C257" s="1029"/>
      <c r="D257" s="826"/>
      <c r="F257" s="1028">
        <v>3600.0</v>
      </c>
      <c r="G257" s="1029"/>
      <c r="H257" s="416" t="s">
        <v>4262</v>
      </c>
      <c r="I257" s="951"/>
    </row>
    <row r="258">
      <c r="A258" s="611"/>
      <c r="B258" s="1027">
        <f t="shared" si="23"/>
        <v>9600</v>
      </c>
      <c r="C258" s="826"/>
      <c r="D258" s="1029"/>
      <c r="F258" s="1028">
        <v>9600.0</v>
      </c>
      <c r="H258" s="2" t="s">
        <v>4379</v>
      </c>
      <c r="I258" s="951"/>
    </row>
    <row r="259">
      <c r="A259" s="611"/>
      <c r="B259" s="1027">
        <f t="shared" si="23"/>
        <v>5250</v>
      </c>
      <c r="C259" s="826"/>
      <c r="D259" s="826"/>
      <c r="F259" s="1028">
        <v>5250.0</v>
      </c>
      <c r="G259" s="826"/>
      <c r="H259" s="2" t="s">
        <v>3493</v>
      </c>
      <c r="I259" s="951"/>
    </row>
    <row r="260">
      <c r="A260" s="611"/>
      <c r="B260" s="1027">
        <f t="shared" si="23"/>
        <v>20000</v>
      </c>
      <c r="C260" s="826"/>
      <c r="D260" s="826"/>
      <c r="F260" s="1028">
        <v>20000.0</v>
      </c>
      <c r="G260" s="826"/>
      <c r="H260" s="2" t="s">
        <v>3033</v>
      </c>
      <c r="I260" s="847"/>
    </row>
    <row r="261">
      <c r="A261" s="611"/>
      <c r="B261" s="1027">
        <f t="shared" si="23"/>
        <v>1320</v>
      </c>
      <c r="C261" s="826"/>
      <c r="D261" s="826"/>
      <c r="F261" s="1028">
        <v>1320.0</v>
      </c>
      <c r="G261" s="826"/>
      <c r="H261" s="2" t="s">
        <v>4572</v>
      </c>
      <c r="I261" s="847"/>
    </row>
    <row r="262">
      <c r="A262" s="613"/>
      <c r="B262" s="1031">
        <f>SUM(B253:B261)</f>
        <v>52982.39</v>
      </c>
      <c r="C262" s="1032"/>
      <c r="D262" s="1032"/>
      <c r="E262" s="18"/>
      <c r="F262" s="1033"/>
      <c r="G262" s="1032"/>
      <c r="H262" s="18"/>
      <c r="I262" s="663"/>
    </row>
    <row r="263">
      <c r="A263" s="1023">
        <v>43765.0</v>
      </c>
      <c r="B263" s="1024" t="str">
        <f>F263</f>
        <v/>
      </c>
      <c r="C263" s="984"/>
      <c r="D263" s="984"/>
      <c r="E263" s="242"/>
      <c r="F263" s="1025"/>
      <c r="G263" s="1026"/>
      <c r="H263" s="244"/>
      <c r="I263" s="662"/>
    </row>
    <row r="264">
      <c r="A264" s="613"/>
      <c r="B264" s="1031">
        <f>SUM(B263)</f>
        <v>0</v>
      </c>
      <c r="C264" s="1032"/>
      <c r="D264" s="1032"/>
      <c r="E264" s="18"/>
      <c r="F264" s="1033"/>
      <c r="G264" s="1032"/>
      <c r="H264" s="18"/>
      <c r="I264" s="663"/>
    </row>
    <row r="265">
      <c r="A265" s="1023">
        <v>43766.0</v>
      </c>
      <c r="B265" s="1024">
        <f t="shared" ref="B265:B273" si="24">F265</f>
        <v>1850</v>
      </c>
      <c r="C265" s="984"/>
      <c r="D265" s="984"/>
      <c r="E265" s="242"/>
      <c r="F265" s="1025">
        <v>1850.0</v>
      </c>
      <c r="G265" s="1026"/>
      <c r="H265" s="244" t="s">
        <v>3731</v>
      </c>
      <c r="I265" s="662"/>
    </row>
    <row r="266">
      <c r="A266" s="611"/>
      <c r="B266" s="1027">
        <f t="shared" si="24"/>
        <v>2757</v>
      </c>
      <c r="C266" s="826"/>
      <c r="D266" s="826"/>
      <c r="F266" s="1028">
        <v>2757.0</v>
      </c>
      <c r="G266" s="1029"/>
      <c r="H266" s="2" t="s">
        <v>4299</v>
      </c>
      <c r="I266" s="847"/>
    </row>
    <row r="267">
      <c r="A267" s="611"/>
      <c r="B267" s="1027">
        <f t="shared" si="24"/>
        <v>180</v>
      </c>
      <c r="C267" s="826"/>
      <c r="D267" s="826"/>
      <c r="F267" s="1028">
        <v>180.0</v>
      </c>
      <c r="G267" s="1029"/>
      <c r="H267" s="2" t="s">
        <v>1729</v>
      </c>
      <c r="I267" s="847"/>
    </row>
    <row r="268">
      <c r="A268" s="611"/>
      <c r="B268" s="1027">
        <f t="shared" si="24"/>
        <v>2682.96</v>
      </c>
      <c r="C268" s="1029"/>
      <c r="D268" s="826"/>
      <c r="F268" s="1028">
        <v>2682.96</v>
      </c>
      <c r="G268" s="1029"/>
      <c r="H268" s="2" t="s">
        <v>3821</v>
      </c>
      <c r="I268" s="847"/>
    </row>
    <row r="269">
      <c r="A269" s="611"/>
      <c r="B269" s="1027">
        <f t="shared" si="24"/>
        <v>870</v>
      </c>
      <c r="C269" s="1029"/>
      <c r="D269" s="826"/>
      <c r="F269" s="1028">
        <v>870.0</v>
      </c>
      <c r="G269" s="1029"/>
      <c r="H269" s="2" t="s">
        <v>4231</v>
      </c>
      <c r="I269" s="847"/>
    </row>
    <row r="270">
      <c r="A270" s="611"/>
      <c r="B270" s="1027">
        <f t="shared" si="24"/>
        <v>3660</v>
      </c>
      <c r="C270" s="826"/>
      <c r="D270" s="1029"/>
      <c r="F270" s="1028">
        <v>3660.0</v>
      </c>
      <c r="H270" s="2" t="s">
        <v>612</v>
      </c>
      <c r="I270" s="847"/>
    </row>
    <row r="271">
      <c r="A271" s="611"/>
      <c r="B271" s="1027">
        <f t="shared" si="24"/>
        <v>241.88</v>
      </c>
      <c r="C271" s="826"/>
      <c r="D271" s="826"/>
      <c r="F271" s="1028">
        <v>241.88</v>
      </c>
      <c r="G271" s="826"/>
      <c r="H271" s="2" t="s">
        <v>4573</v>
      </c>
      <c r="I271" s="847"/>
    </row>
    <row r="272">
      <c r="A272" s="611"/>
      <c r="B272" s="1027">
        <f t="shared" si="24"/>
        <v>700</v>
      </c>
      <c r="C272" s="826"/>
      <c r="D272" s="826"/>
      <c r="F272" s="1028">
        <v>700.0</v>
      </c>
      <c r="G272" s="826"/>
      <c r="H272" s="2" t="s">
        <v>3437</v>
      </c>
      <c r="I272" s="951"/>
    </row>
    <row r="273">
      <c r="A273" s="611"/>
      <c r="B273" s="1027">
        <f t="shared" si="24"/>
        <v>1320</v>
      </c>
      <c r="C273" s="826"/>
      <c r="D273" s="826"/>
      <c r="F273" s="1028">
        <v>1320.0</v>
      </c>
      <c r="G273" s="826"/>
      <c r="H273" s="2" t="s">
        <v>2923</v>
      </c>
      <c r="I273" s="847"/>
    </row>
    <row r="274">
      <c r="A274" s="613"/>
      <c r="B274" s="1031">
        <f>SUM(B265:B273)</f>
        <v>14261.84</v>
      </c>
      <c r="C274" s="1032"/>
      <c r="D274" s="1032"/>
      <c r="E274" s="18"/>
      <c r="F274" s="1033"/>
      <c r="G274" s="1032"/>
      <c r="H274" s="18"/>
      <c r="I274" s="663"/>
    </row>
    <row r="275">
      <c r="A275" s="1023">
        <v>43767.0</v>
      </c>
      <c r="B275" s="1024">
        <f t="shared" ref="B275:B286" si="25">F275</f>
        <v>2768</v>
      </c>
      <c r="C275" s="984"/>
      <c r="D275" s="984"/>
      <c r="E275" s="242"/>
      <c r="F275" s="1025">
        <v>2768.0</v>
      </c>
      <c r="G275" s="1026"/>
      <c r="H275" s="244" t="s">
        <v>4376</v>
      </c>
      <c r="I275" s="662"/>
    </row>
    <row r="276">
      <c r="A276" s="611"/>
      <c r="B276" s="1027">
        <f t="shared" si="25"/>
        <v>750.27</v>
      </c>
      <c r="C276" s="826"/>
      <c r="D276" s="826"/>
      <c r="F276" s="1028">
        <v>750.27</v>
      </c>
      <c r="G276" s="1029"/>
      <c r="H276" s="2" t="s">
        <v>314</v>
      </c>
      <c r="I276" s="847"/>
    </row>
    <row r="277">
      <c r="A277" s="611"/>
      <c r="B277" s="1027">
        <f t="shared" si="25"/>
        <v>1679.07</v>
      </c>
      <c r="C277" s="826"/>
      <c r="D277" s="826"/>
      <c r="F277" s="1028">
        <v>1679.07</v>
      </c>
      <c r="G277" s="1029"/>
      <c r="H277" s="2" t="s">
        <v>58</v>
      </c>
      <c r="I277" s="847"/>
    </row>
    <row r="278">
      <c r="A278" s="611"/>
      <c r="B278" s="1027">
        <f t="shared" si="25"/>
        <v>2707.25</v>
      </c>
      <c r="C278" s="1029"/>
      <c r="D278" s="826"/>
      <c r="F278" s="1028">
        <v>2707.25</v>
      </c>
      <c r="G278" s="1029"/>
      <c r="H278" s="2" t="s">
        <v>4299</v>
      </c>
      <c r="I278" s="847"/>
    </row>
    <row r="279">
      <c r="A279" s="611"/>
      <c r="B279" s="1027">
        <f t="shared" si="25"/>
        <v>1850</v>
      </c>
      <c r="C279" s="1029"/>
      <c r="D279" s="826"/>
      <c r="F279" s="1028">
        <v>1850.0</v>
      </c>
      <c r="G279" s="1029"/>
      <c r="H279" s="2" t="s">
        <v>3731</v>
      </c>
      <c r="I279" s="847"/>
    </row>
    <row r="280">
      <c r="A280" s="611"/>
      <c r="B280" s="1027">
        <f t="shared" si="25"/>
        <v>4526.97</v>
      </c>
      <c r="C280" s="826"/>
      <c r="D280" s="1029"/>
      <c r="F280" s="1028">
        <v>4526.97</v>
      </c>
      <c r="H280" s="2" t="s">
        <v>2748</v>
      </c>
      <c r="I280" s="847"/>
    </row>
    <row r="281">
      <c r="A281" s="611"/>
      <c r="B281" s="1027">
        <f t="shared" si="25"/>
        <v>210</v>
      </c>
      <c r="C281" s="826"/>
      <c r="D281" s="826"/>
      <c r="F281" s="1028">
        <v>210.0</v>
      </c>
      <c r="G281" s="826"/>
      <c r="H281" s="2" t="s">
        <v>1732</v>
      </c>
      <c r="I281" s="847"/>
    </row>
    <row r="282">
      <c r="A282" s="611"/>
      <c r="B282" s="1027">
        <f t="shared" si="25"/>
        <v>6500</v>
      </c>
      <c r="C282" s="826"/>
      <c r="D282" s="826"/>
      <c r="F282" s="1028">
        <v>6500.0</v>
      </c>
      <c r="G282" s="826"/>
      <c r="H282" s="2" t="s">
        <v>4574</v>
      </c>
      <c r="I282" s="847"/>
    </row>
    <row r="283">
      <c r="A283" s="611"/>
      <c r="B283" s="1027" t="str">
        <f t="shared" si="25"/>
        <v/>
      </c>
      <c r="C283" s="1029">
        <v>6802.99</v>
      </c>
      <c r="D283" s="826"/>
      <c r="F283" s="1030"/>
      <c r="G283" s="826"/>
      <c r="I283" s="847"/>
    </row>
    <row r="284">
      <c r="A284" s="611"/>
      <c r="B284" s="1027">
        <f t="shared" si="25"/>
        <v>240</v>
      </c>
      <c r="C284" s="1029"/>
      <c r="D284" s="826"/>
      <c r="F284" s="1028">
        <v>240.0</v>
      </c>
      <c r="G284" s="826"/>
      <c r="H284" s="2" t="s">
        <v>346</v>
      </c>
      <c r="I284" s="847"/>
    </row>
    <row r="285">
      <c r="A285" s="611"/>
      <c r="B285" s="1027">
        <f t="shared" si="25"/>
        <v>4000</v>
      </c>
      <c r="C285" s="1029"/>
      <c r="D285" s="826"/>
      <c r="F285" s="1028">
        <v>4000.0</v>
      </c>
      <c r="G285" s="826"/>
      <c r="H285" s="2" t="s">
        <v>4575</v>
      </c>
      <c r="I285" s="951"/>
    </row>
    <row r="286">
      <c r="A286" s="611"/>
      <c r="B286" s="1027" t="str">
        <f t="shared" si="25"/>
        <v/>
      </c>
      <c r="C286" s="1029"/>
      <c r="D286" s="826"/>
      <c r="F286" s="1030"/>
      <c r="G286" s="826"/>
      <c r="I286" s="847"/>
    </row>
    <row r="287">
      <c r="A287" s="613"/>
      <c r="B287" s="1031">
        <f>SUM(B275:B286)</f>
        <v>25231.56</v>
      </c>
      <c r="C287" s="1032"/>
      <c r="D287" s="1032"/>
      <c r="E287" s="18"/>
      <c r="F287" s="1033"/>
      <c r="G287" s="1032"/>
      <c r="H287" s="18"/>
      <c r="I287" s="663"/>
    </row>
    <row r="288">
      <c r="A288" s="1023">
        <v>43768.0</v>
      </c>
      <c r="B288" s="1024" t="str">
        <f t="shared" ref="B288:B296" si="26">F288</f>
        <v/>
      </c>
      <c r="C288" s="984"/>
      <c r="D288" s="984"/>
      <c r="E288" s="244"/>
      <c r="F288" s="1025"/>
      <c r="G288" s="1026"/>
      <c r="H288" s="244"/>
      <c r="I288" s="662"/>
    </row>
    <row r="289">
      <c r="A289" s="611"/>
      <c r="B289" s="1027">
        <f t="shared" si="26"/>
        <v>1538.62</v>
      </c>
      <c r="C289" s="826"/>
      <c r="D289" s="826"/>
      <c r="F289" s="1028">
        <v>1538.62</v>
      </c>
      <c r="G289" s="1029"/>
      <c r="H289" s="2" t="s">
        <v>82</v>
      </c>
      <c r="I289" s="847"/>
    </row>
    <row r="290">
      <c r="A290" s="611"/>
      <c r="B290" s="1027">
        <f t="shared" si="26"/>
        <v>2622</v>
      </c>
      <c r="C290" s="826"/>
      <c r="D290" s="826"/>
      <c r="F290" s="1028">
        <v>2622.0</v>
      </c>
      <c r="G290" s="1029"/>
      <c r="H290" s="2" t="s">
        <v>4299</v>
      </c>
      <c r="I290" s="847"/>
    </row>
    <row r="291">
      <c r="A291" s="611"/>
      <c r="B291" s="1027">
        <f t="shared" si="26"/>
        <v>2036.23</v>
      </c>
      <c r="C291" s="1029"/>
      <c r="D291" s="826"/>
      <c r="F291" s="1028">
        <v>2036.23</v>
      </c>
      <c r="G291" s="1029"/>
      <c r="H291" s="2" t="s">
        <v>314</v>
      </c>
      <c r="I291" s="847"/>
    </row>
    <row r="292">
      <c r="A292" s="611"/>
      <c r="B292" s="1027">
        <f t="shared" si="26"/>
        <v>1000</v>
      </c>
      <c r="C292" s="1029"/>
      <c r="D292" s="826"/>
      <c r="F292" s="1028">
        <v>1000.0</v>
      </c>
      <c r="G292" s="1029"/>
      <c r="H292" s="416" t="s">
        <v>4240</v>
      </c>
      <c r="I292" s="951"/>
    </row>
    <row r="293">
      <c r="A293" s="611"/>
      <c r="B293" s="1027" t="str">
        <f t="shared" si="26"/>
        <v/>
      </c>
      <c r="C293" s="826"/>
      <c r="D293" s="1029"/>
      <c r="F293" s="1028"/>
      <c r="I293" s="847"/>
    </row>
    <row r="294">
      <c r="A294" s="611"/>
      <c r="B294" s="1027" t="str">
        <f t="shared" si="26"/>
        <v/>
      </c>
      <c r="C294" s="826"/>
      <c r="D294" s="826"/>
      <c r="F294" s="1030"/>
      <c r="G294" s="826"/>
      <c r="I294" s="847"/>
    </row>
    <row r="295">
      <c r="A295" s="611"/>
      <c r="B295" s="1027" t="str">
        <f t="shared" si="26"/>
        <v/>
      </c>
      <c r="C295" s="826"/>
      <c r="D295" s="826"/>
      <c r="F295" s="1030"/>
      <c r="G295" s="826"/>
      <c r="I295" s="847"/>
    </row>
    <row r="296">
      <c r="A296" s="611"/>
      <c r="B296" s="1027" t="str">
        <f t="shared" si="26"/>
        <v/>
      </c>
      <c r="C296" s="826"/>
      <c r="D296" s="826"/>
      <c r="F296" s="1030"/>
      <c r="G296" s="826"/>
      <c r="I296" s="847"/>
    </row>
    <row r="297">
      <c r="A297" s="613"/>
      <c r="B297" s="1031">
        <f>SUM(B288:B296)</f>
        <v>7196.85</v>
      </c>
      <c r="C297" s="1032"/>
      <c r="D297" s="1032"/>
      <c r="E297" s="18"/>
      <c r="F297" s="1033"/>
      <c r="G297" s="1032"/>
      <c r="H297" s="18"/>
      <c r="I297" s="663"/>
    </row>
    <row r="298">
      <c r="A298" s="1023">
        <v>43769.0</v>
      </c>
      <c r="B298" s="1024">
        <f t="shared" ref="B298:B306" si="27">F298</f>
        <v>7290</v>
      </c>
      <c r="C298" s="984"/>
      <c r="D298" s="984"/>
      <c r="E298" s="242"/>
      <c r="F298" s="1025">
        <v>7290.0</v>
      </c>
      <c r="G298" s="1026"/>
      <c r="H298" s="244" t="s">
        <v>3964</v>
      </c>
      <c r="I298" s="662"/>
    </row>
    <row r="299">
      <c r="A299" s="611"/>
      <c r="B299" s="1027">
        <f t="shared" si="27"/>
        <v>1538.62</v>
      </c>
      <c r="C299" s="826"/>
      <c r="D299" s="826"/>
      <c r="F299" s="1028">
        <v>1538.62</v>
      </c>
      <c r="G299" s="1029"/>
      <c r="H299" s="2" t="s">
        <v>3821</v>
      </c>
      <c r="I299" s="847"/>
    </row>
    <row r="300">
      <c r="A300" s="611"/>
      <c r="B300" s="1027">
        <f t="shared" si="27"/>
        <v>1850</v>
      </c>
      <c r="C300" s="826"/>
      <c r="D300" s="826"/>
      <c r="F300" s="1028">
        <v>1850.0</v>
      </c>
      <c r="G300" s="1029"/>
      <c r="H300" s="2" t="s">
        <v>3731</v>
      </c>
      <c r="I300" s="847"/>
    </row>
    <row r="301">
      <c r="A301" s="611"/>
      <c r="B301" s="1027">
        <f t="shared" si="27"/>
        <v>2730</v>
      </c>
      <c r="C301" s="1029"/>
      <c r="D301" s="826"/>
      <c r="F301" s="1028">
        <v>2730.0</v>
      </c>
      <c r="G301" s="1029"/>
      <c r="H301" s="2" t="s">
        <v>4576</v>
      </c>
      <c r="I301" s="847"/>
    </row>
    <row r="302">
      <c r="A302" s="611"/>
      <c r="B302" s="1027">
        <f t="shared" si="27"/>
        <v>500</v>
      </c>
      <c r="C302" s="1029"/>
      <c r="D302" s="826"/>
      <c r="F302" s="1028">
        <v>500.0</v>
      </c>
      <c r="G302" s="1029"/>
      <c r="H302" s="2" t="s">
        <v>4324</v>
      </c>
      <c r="I302" s="951"/>
    </row>
    <row r="303">
      <c r="A303" s="611"/>
      <c r="B303" s="1027">
        <f t="shared" si="27"/>
        <v>500</v>
      </c>
      <c r="C303" s="826"/>
      <c r="D303" s="1029"/>
      <c r="F303" s="1028">
        <v>500.0</v>
      </c>
      <c r="H303" s="2" t="s">
        <v>4333</v>
      </c>
      <c r="I303" s="951"/>
    </row>
    <row r="304">
      <c r="A304" s="611"/>
      <c r="B304" s="1027">
        <f t="shared" si="27"/>
        <v>1980</v>
      </c>
      <c r="C304" s="826"/>
      <c r="D304" s="826"/>
      <c r="F304" s="1028">
        <v>1980.0</v>
      </c>
      <c r="G304" s="826"/>
      <c r="H304" s="2" t="s">
        <v>150</v>
      </c>
      <c r="I304" s="847"/>
    </row>
    <row r="305">
      <c r="A305" s="611"/>
      <c r="B305" s="1027" t="str">
        <f t="shared" si="27"/>
        <v/>
      </c>
      <c r="C305" s="1029">
        <v>4575.0</v>
      </c>
      <c r="D305" s="1029" t="s">
        <v>4577</v>
      </c>
      <c r="F305" s="1030"/>
      <c r="G305" s="826"/>
      <c r="H305" s="2" t="s">
        <v>4280</v>
      </c>
      <c r="I305" s="847"/>
    </row>
    <row r="306">
      <c r="A306" s="611"/>
      <c r="B306" s="1027" t="str">
        <f t="shared" si="27"/>
        <v/>
      </c>
      <c r="C306" s="826"/>
      <c r="D306" s="826"/>
      <c r="F306" s="1030"/>
      <c r="G306" s="826"/>
      <c r="I306" s="847"/>
    </row>
    <row r="307">
      <c r="A307" s="613"/>
      <c r="B307" s="1031">
        <f>SUM(B298:B306)</f>
        <v>16388.62</v>
      </c>
      <c r="C307" s="1032"/>
      <c r="D307" s="1032"/>
      <c r="E307" s="18"/>
      <c r="F307" s="1033"/>
      <c r="G307" s="1032"/>
      <c r="H307" s="18"/>
      <c r="I307" s="663"/>
    </row>
    <row r="308">
      <c r="A308" s="826"/>
      <c r="B308" s="1038"/>
      <c r="C308" s="826"/>
      <c r="D308" s="826"/>
      <c r="F308" s="1030"/>
      <c r="G308" s="826"/>
      <c r="I308" s="847"/>
    </row>
    <row r="309">
      <c r="A309" s="826"/>
      <c r="B309" s="1038"/>
      <c r="C309" s="826"/>
      <c r="D309" s="826"/>
      <c r="F309" s="1030"/>
      <c r="G309" s="826"/>
      <c r="I309" s="847"/>
    </row>
    <row r="310">
      <c r="A310" s="826"/>
      <c r="B310" s="1038"/>
      <c r="C310" s="826"/>
      <c r="D310" s="826"/>
      <c r="F310" s="1030"/>
      <c r="G310" s="826"/>
      <c r="I310" s="847"/>
    </row>
    <row r="311">
      <c r="A311" s="826"/>
      <c r="B311" s="1038"/>
      <c r="C311" s="826"/>
      <c r="D311" s="826"/>
      <c r="F311" s="1030"/>
      <c r="G311" s="826"/>
      <c r="I311" s="847"/>
    </row>
    <row r="312">
      <c r="A312" s="826"/>
      <c r="B312" s="1038"/>
      <c r="C312" s="826"/>
      <c r="D312" s="826"/>
      <c r="F312" s="1030"/>
      <c r="G312" s="826"/>
      <c r="I312" s="847"/>
    </row>
    <row r="313">
      <c r="A313" s="826"/>
      <c r="B313" s="1038"/>
      <c r="C313" s="826"/>
      <c r="D313" s="826"/>
      <c r="F313" s="1030"/>
      <c r="G313" s="826"/>
      <c r="I313" s="847"/>
    </row>
    <row r="314">
      <c r="A314" s="826"/>
      <c r="B314" s="1038"/>
      <c r="C314" s="826"/>
      <c r="D314" s="826"/>
      <c r="F314" s="1030"/>
      <c r="G314" s="826"/>
      <c r="I314" s="847"/>
    </row>
    <row r="315">
      <c r="A315" s="826"/>
      <c r="B315" s="1038"/>
      <c r="C315" s="826"/>
      <c r="D315" s="826"/>
      <c r="F315" s="1030"/>
      <c r="G315" s="826"/>
      <c r="I315" s="847"/>
    </row>
    <row r="316">
      <c r="A316" s="826"/>
      <c r="B316" s="1038"/>
      <c r="C316" s="826"/>
      <c r="D316" s="826"/>
      <c r="F316" s="1030"/>
      <c r="G316" s="826"/>
      <c r="I316" s="847"/>
    </row>
    <row r="317">
      <c r="A317" s="826"/>
      <c r="B317" s="1038"/>
      <c r="C317" s="826"/>
      <c r="D317" s="826"/>
      <c r="F317" s="1030"/>
      <c r="G317" s="826"/>
      <c r="I317" s="847"/>
    </row>
    <row r="318">
      <c r="A318" s="826"/>
      <c r="B318" s="1038"/>
      <c r="C318" s="826"/>
      <c r="D318" s="826"/>
      <c r="F318" s="1030"/>
      <c r="G318" s="826"/>
      <c r="I318" s="847"/>
    </row>
    <row r="319">
      <c r="A319" s="826"/>
      <c r="B319" s="1038"/>
      <c r="C319" s="826"/>
      <c r="D319" s="826"/>
      <c r="F319" s="1030"/>
      <c r="G319" s="826"/>
      <c r="I319" s="847"/>
    </row>
    <row r="320">
      <c r="A320" s="826"/>
      <c r="B320" s="1038"/>
      <c r="C320" s="826"/>
      <c r="D320" s="826"/>
      <c r="F320" s="1030"/>
      <c r="G320" s="826"/>
      <c r="I320" s="847"/>
    </row>
    <row r="321">
      <c r="A321" s="826"/>
      <c r="B321" s="1038"/>
      <c r="C321" s="826"/>
      <c r="D321" s="826"/>
      <c r="F321" s="1030"/>
      <c r="G321" s="826"/>
      <c r="I321" s="847"/>
    </row>
    <row r="322">
      <c r="A322" s="826"/>
      <c r="B322" s="1038"/>
      <c r="C322" s="826"/>
      <c r="D322" s="826"/>
      <c r="F322" s="1030"/>
      <c r="G322" s="826"/>
      <c r="I322" s="847"/>
    </row>
    <row r="323">
      <c r="A323" s="826"/>
      <c r="B323" s="1038"/>
      <c r="C323" s="826"/>
      <c r="D323" s="826"/>
      <c r="F323" s="1030"/>
      <c r="G323" s="826"/>
      <c r="I323" s="847"/>
    </row>
    <row r="324">
      <c r="A324" s="826"/>
      <c r="B324" s="1038"/>
      <c r="C324" s="826"/>
      <c r="D324" s="826"/>
      <c r="F324" s="1030"/>
      <c r="G324" s="826"/>
      <c r="I324" s="847"/>
    </row>
    <row r="325">
      <c r="A325" s="826"/>
      <c r="B325" s="1038"/>
      <c r="C325" s="826"/>
      <c r="D325" s="826"/>
      <c r="F325" s="1030"/>
      <c r="G325" s="826"/>
      <c r="I325" s="847"/>
    </row>
    <row r="326">
      <c r="A326" s="826"/>
      <c r="B326" s="1038"/>
      <c r="C326" s="826"/>
      <c r="D326" s="826"/>
      <c r="F326" s="1030"/>
      <c r="G326" s="826"/>
      <c r="I326" s="847"/>
    </row>
    <row r="327">
      <c r="A327" s="826"/>
      <c r="B327" s="1038"/>
      <c r="C327" s="826"/>
      <c r="D327" s="826"/>
      <c r="F327" s="1030"/>
      <c r="G327" s="826"/>
      <c r="I327" s="847"/>
    </row>
    <row r="328">
      <c r="A328" s="826"/>
      <c r="B328" s="1038"/>
      <c r="C328" s="826"/>
      <c r="D328" s="826"/>
      <c r="F328" s="1030"/>
      <c r="G328" s="826"/>
      <c r="I328" s="847"/>
    </row>
    <row r="329">
      <c r="A329" s="826"/>
      <c r="B329" s="1038"/>
      <c r="C329" s="826"/>
      <c r="D329" s="826"/>
      <c r="F329" s="1030"/>
      <c r="G329" s="826"/>
      <c r="I329" s="847"/>
    </row>
    <row r="330">
      <c r="A330" s="826"/>
      <c r="B330" s="1038"/>
      <c r="C330" s="826"/>
      <c r="D330" s="826"/>
      <c r="F330" s="1030"/>
      <c r="G330" s="826"/>
      <c r="I330" s="847"/>
    </row>
    <row r="331">
      <c r="A331" s="826"/>
      <c r="B331" s="1038"/>
      <c r="C331" s="826"/>
      <c r="D331" s="826"/>
      <c r="F331" s="1030"/>
      <c r="G331" s="826"/>
      <c r="I331" s="847"/>
    </row>
    <row r="332">
      <c r="A332" s="826"/>
      <c r="B332" s="1038"/>
      <c r="C332" s="826"/>
      <c r="D332" s="826"/>
      <c r="F332" s="1030"/>
      <c r="G332" s="826"/>
      <c r="I332" s="847"/>
    </row>
    <row r="333">
      <c r="A333" s="826"/>
      <c r="B333" s="1038"/>
      <c r="C333" s="826"/>
      <c r="D333" s="826"/>
      <c r="F333" s="1030"/>
      <c r="G333" s="826"/>
      <c r="I333" s="847"/>
    </row>
    <row r="334">
      <c r="A334" s="826"/>
      <c r="B334" s="1038"/>
      <c r="C334" s="826"/>
      <c r="D334" s="826"/>
      <c r="F334" s="1030"/>
      <c r="G334" s="826"/>
      <c r="I334" s="847"/>
    </row>
    <row r="335">
      <c r="A335" s="826"/>
      <c r="B335" s="1038"/>
      <c r="C335" s="826"/>
      <c r="D335" s="826"/>
      <c r="F335" s="1030"/>
      <c r="G335" s="826"/>
      <c r="I335" s="847"/>
    </row>
    <row r="336">
      <c r="A336" s="826"/>
      <c r="B336" s="1038"/>
      <c r="C336" s="826"/>
      <c r="D336" s="826"/>
      <c r="F336" s="1030"/>
      <c r="G336" s="826"/>
      <c r="I336" s="847"/>
    </row>
    <row r="337">
      <c r="A337" s="826"/>
      <c r="B337" s="1038"/>
      <c r="C337" s="826"/>
      <c r="D337" s="826"/>
      <c r="F337" s="1030"/>
      <c r="G337" s="826"/>
      <c r="I337" s="847"/>
    </row>
    <row r="338">
      <c r="A338" s="826"/>
      <c r="B338" s="1038"/>
      <c r="C338" s="826"/>
      <c r="D338" s="826"/>
      <c r="F338" s="1030"/>
      <c r="G338" s="826"/>
      <c r="I338" s="847"/>
    </row>
    <row r="339">
      <c r="A339" s="826"/>
      <c r="B339" s="1038"/>
      <c r="C339" s="826"/>
      <c r="D339" s="826"/>
      <c r="F339" s="1030"/>
      <c r="G339" s="826"/>
      <c r="I339" s="847"/>
    </row>
    <row r="340">
      <c r="A340" s="826"/>
      <c r="B340" s="1038"/>
      <c r="C340" s="826"/>
      <c r="D340" s="826"/>
      <c r="F340" s="1030"/>
      <c r="G340" s="826"/>
      <c r="I340" s="847"/>
    </row>
    <row r="341">
      <c r="A341" s="826"/>
      <c r="B341" s="1038"/>
      <c r="C341" s="826"/>
      <c r="D341" s="826"/>
      <c r="F341" s="1030"/>
      <c r="G341" s="826"/>
      <c r="I341" s="847"/>
    </row>
    <row r="342">
      <c r="A342" s="826"/>
      <c r="B342" s="1038"/>
      <c r="C342" s="826"/>
      <c r="D342" s="826"/>
      <c r="F342" s="1030"/>
      <c r="G342" s="826"/>
      <c r="I342" s="847"/>
    </row>
    <row r="343">
      <c r="A343" s="826"/>
      <c r="B343" s="1038"/>
      <c r="C343" s="826"/>
      <c r="D343" s="826"/>
      <c r="F343" s="1030"/>
      <c r="G343" s="826"/>
      <c r="I343" s="847"/>
    </row>
    <row r="344">
      <c r="A344" s="826"/>
      <c r="B344" s="1038"/>
      <c r="C344" s="826"/>
      <c r="D344" s="826"/>
      <c r="F344" s="1030"/>
      <c r="G344" s="826"/>
      <c r="I344" s="847"/>
    </row>
    <row r="345">
      <c r="A345" s="826"/>
      <c r="B345" s="1038"/>
      <c r="C345" s="826"/>
      <c r="D345" s="826"/>
      <c r="F345" s="1030"/>
      <c r="G345" s="826"/>
      <c r="I345" s="847"/>
    </row>
    <row r="346">
      <c r="A346" s="826"/>
      <c r="B346" s="1038"/>
      <c r="C346" s="826"/>
      <c r="D346" s="826"/>
      <c r="F346" s="1030"/>
      <c r="G346" s="826"/>
      <c r="I346" s="847"/>
    </row>
    <row r="347">
      <c r="A347" s="826"/>
      <c r="B347" s="1038"/>
      <c r="C347" s="826"/>
      <c r="D347" s="826"/>
      <c r="F347" s="1030"/>
      <c r="G347" s="826"/>
      <c r="I347" s="847"/>
    </row>
    <row r="348">
      <c r="A348" s="826"/>
      <c r="B348" s="1038"/>
      <c r="C348" s="826"/>
      <c r="D348" s="826"/>
      <c r="F348" s="1030"/>
      <c r="G348" s="826"/>
      <c r="I348" s="847"/>
    </row>
    <row r="349">
      <c r="A349" s="826"/>
      <c r="B349" s="1038"/>
      <c r="C349" s="826"/>
      <c r="D349" s="826"/>
      <c r="F349" s="1030"/>
      <c r="G349" s="826"/>
      <c r="I349" s="847"/>
    </row>
    <row r="350">
      <c r="A350" s="826"/>
      <c r="B350" s="1038"/>
      <c r="C350" s="826"/>
      <c r="D350" s="826"/>
      <c r="F350" s="1030"/>
      <c r="G350" s="826"/>
      <c r="I350" s="847"/>
    </row>
    <row r="351">
      <c r="A351" s="826"/>
      <c r="B351" s="1038"/>
      <c r="C351" s="826"/>
      <c r="D351" s="826"/>
      <c r="F351" s="1030"/>
      <c r="G351" s="826"/>
      <c r="I351" s="847"/>
    </row>
    <row r="352">
      <c r="A352" s="826"/>
      <c r="B352" s="1038"/>
      <c r="C352" s="826"/>
      <c r="D352" s="826"/>
      <c r="F352" s="1030"/>
      <c r="G352" s="826"/>
      <c r="I352" s="847"/>
    </row>
    <row r="353">
      <c r="A353" s="826"/>
      <c r="B353" s="1038"/>
      <c r="C353" s="826"/>
      <c r="D353" s="826"/>
      <c r="F353" s="1030"/>
      <c r="G353" s="826"/>
      <c r="I353" s="847"/>
    </row>
    <row r="354">
      <c r="A354" s="826"/>
      <c r="B354" s="1038"/>
      <c r="C354" s="826"/>
      <c r="D354" s="826"/>
      <c r="F354" s="1030"/>
      <c r="G354" s="826"/>
      <c r="I354" s="847"/>
    </row>
    <row r="355">
      <c r="A355" s="826"/>
      <c r="B355" s="1038"/>
      <c r="C355" s="826"/>
      <c r="D355" s="826"/>
      <c r="F355" s="1030"/>
      <c r="G355" s="826"/>
      <c r="I355" s="847"/>
    </row>
    <row r="356">
      <c r="A356" s="826"/>
      <c r="B356" s="1038"/>
      <c r="C356" s="826"/>
      <c r="D356" s="826"/>
      <c r="F356" s="1030"/>
      <c r="G356" s="826"/>
      <c r="I356" s="847"/>
    </row>
    <row r="357">
      <c r="A357" s="826"/>
      <c r="B357" s="1038"/>
      <c r="C357" s="826"/>
      <c r="D357" s="826"/>
      <c r="F357" s="1030"/>
      <c r="G357" s="826"/>
      <c r="I357" s="847"/>
    </row>
    <row r="358">
      <c r="A358" s="826"/>
      <c r="B358" s="1038"/>
      <c r="C358" s="826"/>
      <c r="D358" s="826"/>
      <c r="F358" s="1030"/>
      <c r="G358" s="826"/>
      <c r="I358" s="847"/>
    </row>
    <row r="359">
      <c r="A359" s="826"/>
      <c r="B359" s="1038"/>
      <c r="C359" s="826"/>
      <c r="D359" s="826"/>
      <c r="F359" s="1030"/>
      <c r="G359" s="826"/>
      <c r="I359" s="847"/>
    </row>
    <row r="360">
      <c r="A360" s="826"/>
      <c r="B360" s="1038"/>
      <c r="C360" s="826"/>
      <c r="D360" s="826"/>
      <c r="F360" s="1030"/>
      <c r="G360" s="826"/>
      <c r="I360" s="847"/>
    </row>
    <row r="361">
      <c r="A361" s="826"/>
      <c r="B361" s="1038"/>
      <c r="C361" s="826"/>
      <c r="D361" s="826"/>
      <c r="F361" s="1030"/>
      <c r="G361" s="826"/>
      <c r="I361" s="847"/>
    </row>
    <row r="362">
      <c r="A362" s="826"/>
      <c r="B362" s="1038"/>
      <c r="C362" s="826"/>
      <c r="D362" s="826"/>
      <c r="F362" s="1030"/>
      <c r="G362" s="826"/>
      <c r="I362" s="847"/>
    </row>
    <row r="363">
      <c r="A363" s="826"/>
      <c r="B363" s="1038"/>
      <c r="C363" s="826"/>
      <c r="D363" s="826"/>
      <c r="F363" s="1030"/>
      <c r="G363" s="826"/>
      <c r="I363" s="847"/>
    </row>
    <row r="364">
      <c r="A364" s="826"/>
      <c r="B364" s="1038"/>
      <c r="C364" s="826"/>
      <c r="D364" s="826"/>
      <c r="F364" s="1030"/>
      <c r="G364" s="826"/>
      <c r="I364" s="847"/>
    </row>
    <row r="365">
      <c r="A365" s="826"/>
      <c r="B365" s="1038"/>
      <c r="C365" s="826"/>
      <c r="D365" s="826"/>
      <c r="F365" s="1030"/>
      <c r="G365" s="826"/>
      <c r="I365" s="847"/>
    </row>
    <row r="366">
      <c r="A366" s="826"/>
      <c r="B366" s="1038"/>
      <c r="C366" s="826"/>
      <c r="D366" s="826"/>
      <c r="F366" s="1030"/>
      <c r="G366" s="826"/>
      <c r="I366" s="847"/>
    </row>
    <row r="367">
      <c r="A367" s="826"/>
      <c r="B367" s="1038"/>
      <c r="C367" s="826"/>
      <c r="D367" s="826"/>
      <c r="F367" s="1030"/>
      <c r="G367" s="826"/>
      <c r="I367" s="847"/>
    </row>
    <row r="368">
      <c r="A368" s="826"/>
      <c r="B368" s="1038"/>
      <c r="C368" s="826"/>
      <c r="D368" s="826"/>
      <c r="F368" s="1030"/>
      <c r="G368" s="826"/>
      <c r="I368" s="847"/>
    </row>
    <row r="369">
      <c r="A369" s="826"/>
      <c r="B369" s="1038"/>
      <c r="C369" s="826"/>
      <c r="D369" s="826"/>
      <c r="F369" s="1030"/>
      <c r="G369" s="826"/>
      <c r="I369" s="847"/>
    </row>
    <row r="370">
      <c r="A370" s="826"/>
      <c r="B370" s="1038"/>
      <c r="C370" s="826"/>
      <c r="D370" s="826"/>
      <c r="F370" s="1030"/>
      <c r="G370" s="826"/>
      <c r="I370" s="847"/>
    </row>
    <row r="371">
      <c r="A371" s="826"/>
      <c r="B371" s="1038"/>
      <c r="C371" s="826"/>
      <c r="D371" s="826"/>
      <c r="F371" s="1030"/>
      <c r="G371" s="826"/>
      <c r="I371" s="847"/>
    </row>
    <row r="372">
      <c r="A372" s="826"/>
      <c r="B372" s="1038"/>
      <c r="C372" s="826"/>
      <c r="D372" s="826"/>
      <c r="F372" s="1030"/>
      <c r="G372" s="826"/>
      <c r="I372" s="847"/>
    </row>
    <row r="373">
      <c r="A373" s="826"/>
      <c r="B373" s="1038"/>
      <c r="C373" s="826"/>
      <c r="D373" s="826"/>
      <c r="F373" s="1030"/>
      <c r="G373" s="826"/>
      <c r="I373" s="847"/>
    </row>
    <row r="374">
      <c r="A374" s="826"/>
      <c r="B374" s="1038"/>
      <c r="C374" s="826"/>
      <c r="D374" s="826"/>
      <c r="F374" s="1030"/>
      <c r="G374" s="826"/>
      <c r="I374" s="847"/>
    </row>
    <row r="375">
      <c r="A375" s="826"/>
      <c r="B375" s="1038"/>
      <c r="C375" s="826"/>
      <c r="D375" s="826"/>
      <c r="F375" s="1030"/>
      <c r="G375" s="826"/>
      <c r="I375" s="847"/>
    </row>
    <row r="376">
      <c r="A376" s="826"/>
      <c r="B376" s="1038"/>
      <c r="C376" s="826"/>
      <c r="D376" s="826"/>
      <c r="F376" s="1030"/>
      <c r="G376" s="826"/>
      <c r="I376" s="847"/>
    </row>
    <row r="377">
      <c r="A377" s="826"/>
      <c r="B377" s="1038"/>
      <c r="C377" s="826"/>
      <c r="D377" s="826"/>
      <c r="F377" s="1030"/>
      <c r="G377" s="826"/>
      <c r="I377" s="847"/>
    </row>
    <row r="378">
      <c r="A378" s="826"/>
      <c r="B378" s="1038"/>
      <c r="C378" s="826"/>
      <c r="D378" s="826"/>
      <c r="F378" s="1030"/>
      <c r="G378" s="826"/>
      <c r="I378" s="847"/>
    </row>
    <row r="379">
      <c r="A379" s="826"/>
      <c r="B379" s="1038"/>
      <c r="C379" s="826"/>
      <c r="D379" s="826"/>
      <c r="F379" s="1030"/>
      <c r="G379" s="826"/>
      <c r="I379" s="847"/>
    </row>
    <row r="380">
      <c r="A380" s="826"/>
      <c r="B380" s="1038"/>
      <c r="C380" s="826"/>
      <c r="D380" s="826"/>
      <c r="F380" s="1030"/>
      <c r="G380" s="826"/>
      <c r="I380" s="847"/>
    </row>
    <row r="381">
      <c r="A381" s="826"/>
      <c r="B381" s="1038"/>
      <c r="C381" s="826"/>
      <c r="D381" s="826"/>
      <c r="F381" s="1030"/>
      <c r="G381" s="826"/>
      <c r="I381" s="847"/>
    </row>
    <row r="382">
      <c r="A382" s="826"/>
      <c r="B382" s="1038"/>
      <c r="C382" s="826"/>
      <c r="D382" s="826"/>
      <c r="F382" s="1030"/>
      <c r="G382" s="826"/>
      <c r="I382" s="847"/>
    </row>
    <row r="383">
      <c r="A383" s="826"/>
      <c r="B383" s="1038"/>
      <c r="C383" s="826"/>
      <c r="D383" s="826"/>
      <c r="F383" s="1030"/>
      <c r="G383" s="826"/>
      <c r="I383" s="847"/>
    </row>
    <row r="384">
      <c r="A384" s="826"/>
      <c r="B384" s="1038"/>
      <c r="C384" s="826"/>
      <c r="D384" s="826"/>
      <c r="F384" s="1030"/>
      <c r="G384" s="826"/>
      <c r="I384" s="847"/>
    </row>
    <row r="385">
      <c r="A385" s="826"/>
      <c r="B385" s="1038"/>
      <c r="C385" s="826"/>
      <c r="D385" s="826"/>
      <c r="F385" s="1030"/>
      <c r="G385" s="826"/>
      <c r="I385" s="847"/>
    </row>
    <row r="386">
      <c r="A386" s="826"/>
      <c r="B386" s="1038"/>
      <c r="C386" s="826"/>
      <c r="D386" s="826"/>
      <c r="F386" s="1030"/>
      <c r="G386" s="826"/>
      <c r="I386" s="847"/>
    </row>
    <row r="387">
      <c r="A387" s="826"/>
      <c r="B387" s="1038"/>
      <c r="C387" s="826"/>
      <c r="D387" s="826"/>
      <c r="F387" s="1030"/>
      <c r="G387" s="826"/>
      <c r="I387" s="847"/>
    </row>
    <row r="388">
      <c r="A388" s="826"/>
      <c r="B388" s="1038"/>
      <c r="C388" s="826"/>
      <c r="D388" s="826"/>
      <c r="F388" s="1030"/>
      <c r="G388" s="826"/>
      <c r="I388" s="847"/>
    </row>
    <row r="389">
      <c r="A389" s="826"/>
      <c r="B389" s="1038"/>
      <c r="C389" s="826"/>
      <c r="D389" s="826"/>
      <c r="F389" s="1030"/>
      <c r="G389" s="826"/>
      <c r="I389" s="847"/>
    </row>
    <row r="390">
      <c r="A390" s="826"/>
      <c r="B390" s="1038"/>
      <c r="C390" s="826"/>
      <c r="D390" s="826"/>
      <c r="F390" s="1030"/>
      <c r="G390" s="826"/>
      <c r="I390" s="847"/>
    </row>
    <row r="391">
      <c r="A391" s="826"/>
      <c r="B391" s="1038"/>
      <c r="C391" s="826"/>
      <c r="D391" s="826"/>
      <c r="F391" s="1030"/>
      <c r="G391" s="826"/>
      <c r="I391" s="847"/>
    </row>
    <row r="392">
      <c r="A392" s="826"/>
      <c r="B392" s="1038"/>
      <c r="C392" s="826"/>
      <c r="D392" s="826"/>
      <c r="F392" s="1030"/>
      <c r="G392" s="826"/>
      <c r="I392" s="847"/>
    </row>
    <row r="393">
      <c r="A393" s="826"/>
      <c r="B393" s="1038"/>
      <c r="C393" s="826"/>
      <c r="D393" s="826"/>
      <c r="F393" s="1030"/>
      <c r="G393" s="826"/>
      <c r="I393" s="847"/>
    </row>
    <row r="394">
      <c r="A394" s="826"/>
      <c r="B394" s="1038"/>
      <c r="C394" s="826"/>
      <c r="D394" s="826"/>
      <c r="F394" s="1030"/>
      <c r="G394" s="826"/>
      <c r="I394" s="847"/>
    </row>
    <row r="395">
      <c r="A395" s="826"/>
      <c r="B395" s="1038"/>
      <c r="C395" s="826"/>
      <c r="D395" s="826"/>
      <c r="F395" s="1030"/>
      <c r="G395" s="826"/>
      <c r="I395" s="847"/>
    </row>
    <row r="396">
      <c r="A396" s="826"/>
      <c r="B396" s="1038"/>
      <c r="C396" s="826"/>
      <c r="D396" s="826"/>
      <c r="F396" s="1030"/>
      <c r="G396" s="826"/>
      <c r="I396" s="847"/>
    </row>
    <row r="397">
      <c r="A397" s="826"/>
      <c r="B397" s="1038"/>
      <c r="C397" s="826"/>
      <c r="D397" s="826"/>
      <c r="F397" s="1030"/>
      <c r="G397" s="826"/>
      <c r="I397" s="847"/>
    </row>
    <row r="398">
      <c r="A398" s="826"/>
      <c r="B398" s="1038"/>
      <c r="C398" s="826"/>
      <c r="D398" s="826"/>
      <c r="F398" s="1030"/>
      <c r="G398" s="826"/>
      <c r="I398" s="847"/>
    </row>
    <row r="399">
      <c r="A399" s="826"/>
      <c r="B399" s="1038"/>
      <c r="C399" s="826"/>
      <c r="D399" s="826"/>
      <c r="F399" s="1030"/>
      <c r="G399" s="826"/>
      <c r="I399" s="847"/>
    </row>
    <row r="400">
      <c r="A400" s="826"/>
      <c r="B400" s="1038"/>
      <c r="C400" s="826"/>
      <c r="D400" s="826"/>
      <c r="F400" s="1030"/>
      <c r="G400" s="826"/>
      <c r="I400" s="847"/>
    </row>
    <row r="401">
      <c r="A401" s="826"/>
      <c r="B401" s="1038"/>
      <c r="C401" s="826"/>
      <c r="D401" s="826"/>
      <c r="F401" s="1030"/>
      <c r="G401" s="826"/>
      <c r="I401" s="847"/>
    </row>
    <row r="402">
      <c r="A402" s="826"/>
      <c r="B402" s="1038"/>
      <c r="C402" s="826"/>
      <c r="D402" s="826"/>
      <c r="F402" s="1030"/>
      <c r="G402" s="826"/>
      <c r="I402" s="847"/>
    </row>
    <row r="403">
      <c r="A403" s="826"/>
      <c r="B403" s="1038"/>
      <c r="C403" s="826"/>
      <c r="D403" s="826"/>
      <c r="F403" s="1030"/>
      <c r="G403" s="826"/>
      <c r="I403" s="847"/>
    </row>
    <row r="404">
      <c r="A404" s="826"/>
      <c r="B404" s="1038"/>
      <c r="C404" s="826"/>
      <c r="D404" s="826"/>
      <c r="F404" s="1030"/>
      <c r="G404" s="826"/>
      <c r="I404" s="847"/>
    </row>
    <row r="405">
      <c r="A405" s="826"/>
      <c r="B405" s="1038"/>
      <c r="C405" s="826"/>
      <c r="D405" s="826"/>
      <c r="F405" s="1030"/>
      <c r="G405" s="826"/>
      <c r="I405" s="847"/>
    </row>
    <row r="406">
      <c r="A406" s="826"/>
      <c r="B406" s="1038"/>
      <c r="C406" s="826"/>
      <c r="D406" s="826"/>
      <c r="F406" s="1030"/>
      <c r="G406" s="826"/>
      <c r="I406" s="847"/>
    </row>
    <row r="407">
      <c r="A407" s="826"/>
      <c r="B407" s="1038"/>
      <c r="C407" s="826"/>
      <c r="D407" s="826"/>
      <c r="F407" s="1030"/>
      <c r="G407" s="826"/>
      <c r="I407" s="847"/>
    </row>
    <row r="408">
      <c r="A408" s="826"/>
      <c r="B408" s="1038"/>
      <c r="C408" s="826"/>
      <c r="D408" s="826"/>
      <c r="F408" s="1030"/>
      <c r="G408" s="826"/>
      <c r="I408" s="847"/>
    </row>
    <row r="409">
      <c r="A409" s="826"/>
      <c r="B409" s="1038"/>
      <c r="C409" s="826"/>
      <c r="D409" s="826"/>
      <c r="F409" s="1030"/>
      <c r="G409" s="826"/>
      <c r="I409" s="847"/>
    </row>
    <row r="410">
      <c r="A410" s="826"/>
      <c r="B410" s="1038"/>
      <c r="C410" s="826"/>
      <c r="D410" s="826"/>
      <c r="F410" s="1030"/>
      <c r="G410" s="826"/>
      <c r="I410" s="847"/>
    </row>
    <row r="411">
      <c r="A411" s="826"/>
      <c r="B411" s="1038"/>
      <c r="C411" s="826"/>
      <c r="D411" s="826"/>
      <c r="F411" s="1030"/>
      <c r="G411" s="826"/>
      <c r="I411" s="847"/>
    </row>
    <row r="412">
      <c r="A412" s="826"/>
      <c r="B412" s="1038"/>
      <c r="C412" s="826"/>
      <c r="D412" s="826"/>
      <c r="F412" s="1030"/>
      <c r="G412" s="826"/>
      <c r="I412" s="847"/>
    </row>
    <row r="413">
      <c r="A413" s="826"/>
      <c r="B413" s="1038"/>
      <c r="C413" s="826"/>
      <c r="D413" s="826"/>
      <c r="F413" s="1030"/>
      <c r="G413" s="826"/>
      <c r="I413" s="847"/>
    </row>
    <row r="414">
      <c r="A414" s="826"/>
      <c r="B414" s="1038"/>
      <c r="C414" s="826"/>
      <c r="D414" s="826"/>
      <c r="F414" s="1030"/>
      <c r="G414" s="826"/>
      <c r="I414" s="847"/>
    </row>
    <row r="415">
      <c r="A415" s="826"/>
      <c r="B415" s="1038"/>
      <c r="C415" s="826"/>
      <c r="D415" s="826"/>
      <c r="F415" s="1030"/>
      <c r="G415" s="826"/>
      <c r="I415" s="847"/>
    </row>
    <row r="416">
      <c r="A416" s="826"/>
      <c r="B416" s="1038"/>
      <c r="C416" s="826"/>
      <c r="D416" s="826"/>
      <c r="F416" s="1030"/>
      <c r="G416" s="826"/>
      <c r="I416" s="847"/>
    </row>
    <row r="417">
      <c r="A417" s="826"/>
      <c r="B417" s="1038"/>
      <c r="C417" s="826"/>
      <c r="D417" s="826"/>
      <c r="F417" s="1030"/>
      <c r="G417" s="826"/>
      <c r="I417" s="847"/>
    </row>
    <row r="418">
      <c r="A418" s="826"/>
      <c r="B418" s="1038"/>
      <c r="C418" s="826"/>
      <c r="D418" s="826"/>
      <c r="F418" s="1030"/>
      <c r="G418" s="826"/>
      <c r="I418" s="847"/>
    </row>
    <row r="419">
      <c r="A419" s="826"/>
      <c r="B419" s="1038"/>
      <c r="C419" s="826"/>
      <c r="D419" s="826"/>
      <c r="F419" s="1030"/>
      <c r="G419" s="826"/>
      <c r="I419" s="847"/>
    </row>
    <row r="420">
      <c r="A420" s="826"/>
      <c r="B420" s="1038"/>
      <c r="C420" s="826"/>
      <c r="D420" s="826"/>
      <c r="F420" s="1030"/>
      <c r="G420" s="826"/>
      <c r="I420" s="847"/>
    </row>
    <row r="421">
      <c r="A421" s="826"/>
      <c r="B421" s="1038"/>
      <c r="C421" s="826"/>
      <c r="D421" s="826"/>
      <c r="F421" s="1030"/>
      <c r="G421" s="826"/>
      <c r="I421" s="847"/>
    </row>
    <row r="422">
      <c r="A422" s="826"/>
      <c r="B422" s="1038"/>
      <c r="C422" s="826"/>
      <c r="D422" s="826"/>
      <c r="F422" s="1030"/>
      <c r="G422" s="826"/>
      <c r="I422" s="847"/>
    </row>
    <row r="423">
      <c r="A423" s="826"/>
      <c r="B423" s="1038"/>
      <c r="C423" s="826"/>
      <c r="D423" s="826"/>
      <c r="F423" s="1030"/>
      <c r="G423" s="826"/>
      <c r="I423" s="847"/>
    </row>
    <row r="424">
      <c r="A424" s="826"/>
      <c r="B424" s="1038"/>
      <c r="C424" s="826"/>
      <c r="D424" s="826"/>
      <c r="F424" s="1030"/>
      <c r="G424" s="826"/>
      <c r="I424" s="847"/>
    </row>
    <row r="425">
      <c r="A425" s="826"/>
      <c r="B425" s="1038"/>
      <c r="C425" s="826"/>
      <c r="D425" s="826"/>
      <c r="F425" s="1030"/>
      <c r="G425" s="826"/>
      <c r="I425" s="847"/>
    </row>
    <row r="426">
      <c r="A426" s="826"/>
      <c r="B426" s="1038"/>
      <c r="C426" s="826"/>
      <c r="D426" s="826"/>
      <c r="F426" s="1030"/>
      <c r="G426" s="826"/>
      <c r="I426" s="847"/>
    </row>
    <row r="427">
      <c r="A427" s="826"/>
      <c r="B427" s="1038"/>
      <c r="C427" s="826"/>
      <c r="D427" s="826"/>
      <c r="F427" s="1030"/>
      <c r="G427" s="826"/>
      <c r="I427" s="847"/>
    </row>
    <row r="428">
      <c r="A428" s="826"/>
      <c r="B428" s="1038"/>
      <c r="C428" s="826"/>
      <c r="D428" s="826"/>
      <c r="F428" s="1030"/>
      <c r="G428" s="826"/>
      <c r="I428" s="847"/>
    </row>
    <row r="429">
      <c r="A429" s="826"/>
      <c r="B429" s="1038"/>
      <c r="C429" s="826"/>
      <c r="D429" s="826"/>
      <c r="F429" s="1030"/>
      <c r="G429" s="826"/>
      <c r="I429" s="847"/>
    </row>
    <row r="430">
      <c r="A430" s="826"/>
      <c r="B430" s="1038"/>
      <c r="C430" s="826"/>
      <c r="D430" s="826"/>
      <c r="F430" s="1030"/>
      <c r="G430" s="826"/>
      <c r="I430" s="847"/>
    </row>
    <row r="431">
      <c r="A431" s="826"/>
      <c r="B431" s="1038"/>
      <c r="C431" s="826"/>
      <c r="D431" s="826"/>
      <c r="F431" s="1030"/>
      <c r="G431" s="826"/>
      <c r="I431" s="847"/>
    </row>
    <row r="432">
      <c r="A432" s="826"/>
      <c r="B432" s="1038"/>
      <c r="C432" s="826"/>
      <c r="D432" s="826"/>
      <c r="F432" s="1030"/>
      <c r="G432" s="826"/>
      <c r="I432" s="847"/>
    </row>
    <row r="433">
      <c r="A433" s="826"/>
      <c r="B433" s="1038"/>
      <c r="C433" s="826"/>
      <c r="D433" s="826"/>
      <c r="F433" s="1030"/>
      <c r="G433" s="826"/>
      <c r="I433" s="847"/>
    </row>
    <row r="434">
      <c r="A434" s="826"/>
      <c r="B434" s="1038"/>
      <c r="C434" s="826"/>
      <c r="D434" s="826"/>
      <c r="F434" s="1030"/>
      <c r="G434" s="826"/>
      <c r="I434" s="847"/>
    </row>
    <row r="435">
      <c r="A435" s="826"/>
      <c r="B435" s="1038"/>
      <c r="C435" s="826"/>
      <c r="D435" s="826"/>
      <c r="F435" s="1030"/>
      <c r="G435" s="826"/>
      <c r="I435" s="847"/>
    </row>
    <row r="436">
      <c r="A436" s="826"/>
      <c r="B436" s="1038"/>
      <c r="C436" s="826"/>
      <c r="D436" s="826"/>
      <c r="F436" s="1030"/>
      <c r="G436" s="826"/>
      <c r="I436" s="847"/>
    </row>
    <row r="437">
      <c r="A437" s="826"/>
      <c r="B437" s="1038"/>
      <c r="C437" s="826"/>
      <c r="D437" s="826"/>
      <c r="F437" s="1030"/>
      <c r="G437" s="826"/>
      <c r="I437" s="847"/>
    </row>
    <row r="438">
      <c r="A438" s="826"/>
      <c r="B438" s="1038"/>
      <c r="C438" s="826"/>
      <c r="D438" s="826"/>
      <c r="F438" s="1030"/>
      <c r="G438" s="826"/>
      <c r="I438" s="847"/>
    </row>
    <row r="439">
      <c r="A439" s="826"/>
      <c r="B439" s="1038"/>
      <c r="C439" s="826"/>
      <c r="D439" s="826"/>
      <c r="F439" s="1030"/>
      <c r="G439" s="826"/>
      <c r="I439" s="847"/>
    </row>
    <row r="440">
      <c r="A440" s="826"/>
      <c r="B440" s="1038"/>
      <c r="C440" s="826"/>
      <c r="D440" s="826"/>
      <c r="F440" s="1030"/>
      <c r="G440" s="826"/>
      <c r="I440" s="847"/>
    </row>
    <row r="441">
      <c r="A441" s="826"/>
      <c r="B441" s="1038"/>
      <c r="C441" s="826"/>
      <c r="D441" s="826"/>
      <c r="F441" s="1030"/>
      <c r="G441" s="826"/>
      <c r="I441" s="847"/>
    </row>
    <row r="442">
      <c r="A442" s="826"/>
      <c r="B442" s="1038"/>
      <c r="C442" s="826"/>
      <c r="D442" s="826"/>
      <c r="F442" s="1030"/>
      <c r="G442" s="826"/>
      <c r="I442" s="847"/>
    </row>
    <row r="443">
      <c r="A443" s="826"/>
      <c r="B443" s="1038"/>
      <c r="C443" s="826"/>
      <c r="D443" s="826"/>
      <c r="F443" s="1030"/>
      <c r="G443" s="826"/>
      <c r="I443" s="847"/>
    </row>
    <row r="444">
      <c r="A444" s="826"/>
      <c r="B444" s="1038"/>
      <c r="C444" s="826"/>
      <c r="D444" s="826"/>
      <c r="F444" s="1030"/>
      <c r="G444" s="826"/>
      <c r="I444" s="847"/>
    </row>
    <row r="445">
      <c r="A445" s="826"/>
      <c r="B445" s="1038"/>
      <c r="C445" s="826"/>
      <c r="D445" s="826"/>
      <c r="F445" s="1030"/>
      <c r="G445" s="826"/>
      <c r="I445" s="847"/>
    </row>
    <row r="446">
      <c r="A446" s="826"/>
      <c r="B446" s="1038"/>
      <c r="C446" s="826"/>
      <c r="D446" s="826"/>
      <c r="F446" s="1030"/>
      <c r="G446" s="826"/>
      <c r="I446" s="847"/>
    </row>
    <row r="447">
      <c r="A447" s="826"/>
      <c r="B447" s="1038"/>
      <c r="C447" s="826"/>
      <c r="D447" s="826"/>
      <c r="F447" s="1030"/>
      <c r="G447" s="826"/>
      <c r="I447" s="847"/>
    </row>
    <row r="448">
      <c r="A448" s="826"/>
      <c r="B448" s="1038"/>
      <c r="C448" s="826"/>
      <c r="D448" s="826"/>
      <c r="F448" s="1030"/>
      <c r="G448" s="826"/>
      <c r="I448" s="847"/>
    </row>
    <row r="449">
      <c r="A449" s="826"/>
      <c r="B449" s="1038"/>
      <c r="C449" s="826"/>
      <c r="D449" s="826"/>
      <c r="F449" s="1030"/>
      <c r="G449" s="826"/>
      <c r="I449" s="847"/>
    </row>
    <row r="450">
      <c r="A450" s="826"/>
      <c r="B450" s="1038"/>
      <c r="C450" s="826"/>
      <c r="D450" s="826"/>
      <c r="F450" s="1030"/>
      <c r="G450" s="826"/>
      <c r="I450" s="847"/>
    </row>
    <row r="451">
      <c r="A451" s="826"/>
      <c r="B451" s="1038"/>
      <c r="C451" s="826"/>
      <c r="D451" s="826"/>
      <c r="F451" s="1030"/>
      <c r="G451" s="826"/>
      <c r="I451" s="847"/>
    </row>
    <row r="452">
      <c r="A452" s="826"/>
      <c r="B452" s="1038"/>
      <c r="C452" s="826"/>
      <c r="D452" s="826"/>
      <c r="F452" s="1030"/>
      <c r="G452" s="826"/>
      <c r="I452" s="847"/>
    </row>
    <row r="453">
      <c r="A453" s="826"/>
      <c r="B453" s="1038"/>
      <c r="C453" s="826"/>
      <c r="D453" s="826"/>
      <c r="F453" s="1030"/>
      <c r="G453" s="826"/>
      <c r="I453" s="847"/>
    </row>
    <row r="454">
      <c r="A454" s="826"/>
      <c r="B454" s="1038"/>
      <c r="C454" s="826"/>
      <c r="D454" s="826"/>
      <c r="F454" s="1030"/>
      <c r="G454" s="826"/>
      <c r="I454" s="847"/>
    </row>
    <row r="455">
      <c r="A455" s="826"/>
      <c r="B455" s="1038"/>
      <c r="C455" s="826"/>
      <c r="D455" s="826"/>
      <c r="F455" s="1030"/>
      <c r="G455" s="826"/>
      <c r="I455" s="847"/>
    </row>
    <row r="456">
      <c r="A456" s="826"/>
      <c r="B456" s="1038"/>
      <c r="C456" s="826"/>
      <c r="D456" s="826"/>
      <c r="F456" s="1030"/>
      <c r="G456" s="826"/>
      <c r="I456" s="847"/>
    </row>
    <row r="457">
      <c r="A457" s="826"/>
      <c r="B457" s="1038"/>
      <c r="C457" s="826"/>
      <c r="D457" s="826"/>
      <c r="F457" s="1030"/>
      <c r="G457" s="826"/>
      <c r="I457" s="847"/>
    </row>
    <row r="458">
      <c r="A458" s="826"/>
      <c r="B458" s="1038"/>
      <c r="C458" s="826"/>
      <c r="D458" s="826"/>
      <c r="F458" s="1030"/>
      <c r="G458" s="826"/>
      <c r="I458" s="847"/>
    </row>
    <row r="459">
      <c r="A459" s="826"/>
      <c r="B459" s="1038"/>
      <c r="C459" s="826"/>
      <c r="D459" s="826"/>
      <c r="F459" s="1030"/>
      <c r="G459" s="826"/>
      <c r="I459" s="847"/>
    </row>
    <row r="460">
      <c r="A460" s="826"/>
      <c r="B460" s="1038"/>
      <c r="C460" s="826"/>
      <c r="D460" s="826"/>
      <c r="F460" s="1030"/>
      <c r="G460" s="826"/>
      <c r="I460" s="847"/>
    </row>
    <row r="461">
      <c r="A461" s="826"/>
      <c r="B461" s="1038"/>
      <c r="C461" s="826"/>
      <c r="D461" s="826"/>
      <c r="F461" s="1030"/>
      <c r="G461" s="826"/>
      <c r="I461" s="847"/>
    </row>
    <row r="462">
      <c r="A462" s="826"/>
      <c r="B462" s="1038"/>
      <c r="C462" s="826"/>
      <c r="D462" s="826"/>
      <c r="F462" s="1030"/>
      <c r="G462" s="826"/>
      <c r="I462" s="847"/>
    </row>
    <row r="463">
      <c r="A463" s="826"/>
      <c r="B463" s="1038"/>
      <c r="C463" s="826"/>
      <c r="D463" s="826"/>
      <c r="F463" s="1030"/>
      <c r="G463" s="826"/>
      <c r="I463" s="847"/>
    </row>
    <row r="464">
      <c r="A464" s="826"/>
      <c r="B464" s="1038"/>
      <c r="C464" s="826"/>
      <c r="D464" s="826"/>
      <c r="F464" s="1030"/>
      <c r="G464" s="826"/>
      <c r="I464" s="847"/>
    </row>
    <row r="465">
      <c r="A465" s="826"/>
      <c r="B465" s="1038"/>
      <c r="C465" s="826"/>
      <c r="D465" s="826"/>
      <c r="F465" s="1030"/>
      <c r="G465" s="826"/>
      <c r="I465" s="847"/>
    </row>
    <row r="466">
      <c r="A466" s="826"/>
      <c r="B466" s="1038"/>
      <c r="C466" s="826"/>
      <c r="D466" s="826"/>
      <c r="F466" s="1030"/>
      <c r="G466" s="826"/>
      <c r="I466" s="847"/>
    </row>
    <row r="467">
      <c r="A467" s="826"/>
      <c r="B467" s="1038"/>
      <c r="C467" s="826"/>
      <c r="D467" s="826"/>
      <c r="F467" s="1030"/>
      <c r="G467" s="826"/>
      <c r="I467" s="847"/>
    </row>
    <row r="468">
      <c r="A468" s="826"/>
      <c r="B468" s="1038"/>
      <c r="C468" s="826"/>
      <c r="D468" s="826"/>
      <c r="F468" s="1030"/>
      <c r="G468" s="826"/>
      <c r="I468" s="847"/>
    </row>
    <row r="469">
      <c r="A469" s="826"/>
      <c r="B469" s="1038"/>
      <c r="C469" s="826"/>
      <c r="D469" s="826"/>
      <c r="F469" s="1030"/>
      <c r="G469" s="826"/>
      <c r="I469" s="847"/>
    </row>
    <row r="470">
      <c r="A470" s="826"/>
      <c r="B470" s="1038"/>
      <c r="C470" s="826"/>
      <c r="D470" s="826"/>
      <c r="F470" s="1030"/>
      <c r="G470" s="826"/>
      <c r="I470" s="847"/>
    </row>
    <row r="471">
      <c r="A471" s="826"/>
      <c r="B471" s="1038"/>
      <c r="C471" s="826"/>
      <c r="D471" s="826"/>
      <c r="F471" s="1030"/>
      <c r="G471" s="826"/>
      <c r="I471" s="847"/>
    </row>
    <row r="472">
      <c r="A472" s="826"/>
      <c r="B472" s="1038"/>
      <c r="C472" s="826"/>
      <c r="D472" s="826"/>
      <c r="F472" s="1030"/>
      <c r="G472" s="826"/>
      <c r="I472" s="847"/>
    </row>
    <row r="473">
      <c r="A473" s="826"/>
      <c r="B473" s="1038"/>
      <c r="C473" s="826"/>
      <c r="D473" s="826"/>
      <c r="F473" s="1030"/>
      <c r="G473" s="826"/>
      <c r="I473" s="847"/>
    </row>
    <row r="474">
      <c r="A474" s="826"/>
      <c r="B474" s="1038"/>
      <c r="C474" s="826"/>
      <c r="D474" s="826"/>
      <c r="F474" s="1030"/>
      <c r="G474" s="826"/>
      <c r="I474" s="847"/>
    </row>
    <row r="475">
      <c r="A475" s="826"/>
      <c r="B475" s="1038"/>
      <c r="C475" s="826"/>
      <c r="D475" s="826"/>
      <c r="F475" s="1030"/>
      <c r="G475" s="826"/>
      <c r="I475" s="847"/>
    </row>
    <row r="476">
      <c r="A476" s="826"/>
      <c r="B476" s="1038"/>
      <c r="C476" s="826"/>
      <c r="D476" s="826"/>
      <c r="F476" s="1030"/>
      <c r="G476" s="826"/>
      <c r="I476" s="847"/>
    </row>
    <row r="477">
      <c r="A477" s="826"/>
      <c r="B477" s="1038"/>
      <c r="C477" s="826"/>
      <c r="D477" s="826"/>
      <c r="F477" s="1030"/>
      <c r="G477" s="826"/>
      <c r="I477" s="847"/>
    </row>
    <row r="478">
      <c r="A478" s="826"/>
      <c r="B478" s="1038"/>
      <c r="C478" s="826"/>
      <c r="D478" s="826"/>
      <c r="F478" s="1030"/>
      <c r="G478" s="826"/>
      <c r="I478" s="847"/>
    </row>
    <row r="479">
      <c r="A479" s="826"/>
      <c r="B479" s="1038"/>
      <c r="C479" s="826"/>
      <c r="D479" s="826"/>
      <c r="F479" s="1030"/>
      <c r="G479" s="826"/>
      <c r="I479" s="847"/>
    </row>
    <row r="480">
      <c r="A480" s="826"/>
      <c r="B480" s="1038"/>
      <c r="C480" s="826"/>
      <c r="D480" s="826"/>
      <c r="F480" s="1030"/>
      <c r="G480" s="826"/>
      <c r="I480" s="847"/>
    </row>
    <row r="481">
      <c r="A481" s="826"/>
      <c r="B481" s="1038"/>
      <c r="C481" s="826"/>
      <c r="D481" s="826"/>
      <c r="F481" s="1030"/>
      <c r="G481" s="826"/>
      <c r="I481" s="847"/>
    </row>
    <row r="482">
      <c r="A482" s="826"/>
      <c r="B482" s="1038"/>
      <c r="C482" s="826"/>
      <c r="D482" s="826"/>
      <c r="F482" s="1030"/>
      <c r="G482" s="826"/>
      <c r="I482" s="847"/>
    </row>
    <row r="483">
      <c r="A483" s="826"/>
      <c r="B483" s="1038"/>
      <c r="C483" s="826"/>
      <c r="D483" s="826"/>
      <c r="F483" s="1030"/>
      <c r="G483" s="826"/>
      <c r="I483" s="847"/>
    </row>
    <row r="484">
      <c r="A484" s="826"/>
      <c r="B484" s="1038"/>
      <c r="C484" s="826"/>
      <c r="D484" s="826"/>
      <c r="F484" s="1030"/>
      <c r="G484" s="826"/>
      <c r="I484" s="847"/>
    </row>
    <row r="485">
      <c r="A485" s="826"/>
      <c r="B485" s="1038"/>
      <c r="C485" s="826"/>
      <c r="D485" s="826"/>
      <c r="F485" s="1030"/>
      <c r="G485" s="826"/>
      <c r="I485" s="847"/>
    </row>
    <row r="486">
      <c r="A486" s="826"/>
      <c r="B486" s="1038"/>
      <c r="C486" s="826"/>
      <c r="D486" s="826"/>
      <c r="F486" s="1030"/>
      <c r="G486" s="826"/>
      <c r="I486" s="847"/>
    </row>
    <row r="487">
      <c r="A487" s="826"/>
      <c r="B487" s="1038"/>
      <c r="C487" s="826"/>
      <c r="D487" s="826"/>
      <c r="F487" s="1030"/>
      <c r="G487" s="826"/>
      <c r="I487" s="847"/>
    </row>
    <row r="488">
      <c r="A488" s="826"/>
      <c r="B488" s="1038"/>
      <c r="C488" s="826"/>
      <c r="D488" s="826"/>
      <c r="F488" s="1030"/>
      <c r="G488" s="826"/>
      <c r="I488" s="847"/>
    </row>
    <row r="489">
      <c r="A489" s="826"/>
      <c r="B489" s="1038"/>
      <c r="C489" s="826"/>
      <c r="D489" s="826"/>
      <c r="F489" s="1030"/>
      <c r="G489" s="826"/>
      <c r="I489" s="847"/>
    </row>
    <row r="490">
      <c r="A490" s="826"/>
      <c r="B490" s="1038"/>
      <c r="C490" s="826"/>
      <c r="D490" s="826"/>
      <c r="F490" s="1030"/>
      <c r="G490" s="826"/>
      <c r="I490" s="847"/>
    </row>
    <row r="491">
      <c r="A491" s="826"/>
      <c r="B491" s="1038"/>
      <c r="C491" s="826"/>
      <c r="D491" s="826"/>
      <c r="F491" s="1030"/>
      <c r="G491" s="826"/>
      <c r="I491" s="847"/>
    </row>
    <row r="492">
      <c r="A492" s="826"/>
      <c r="B492" s="1038"/>
      <c r="C492" s="826"/>
      <c r="D492" s="826"/>
      <c r="F492" s="1030"/>
      <c r="G492" s="826"/>
      <c r="I492" s="847"/>
    </row>
    <row r="493">
      <c r="A493" s="826"/>
      <c r="B493" s="1038"/>
      <c r="C493" s="826"/>
      <c r="D493" s="826"/>
      <c r="F493" s="1030"/>
      <c r="G493" s="826"/>
      <c r="I493" s="847"/>
    </row>
    <row r="494">
      <c r="A494" s="826"/>
      <c r="B494" s="1038"/>
      <c r="C494" s="826"/>
      <c r="D494" s="826"/>
      <c r="F494" s="1030"/>
      <c r="G494" s="826"/>
      <c r="I494" s="847"/>
    </row>
    <row r="495">
      <c r="A495" s="826"/>
      <c r="B495" s="1038"/>
      <c r="C495" s="826"/>
      <c r="D495" s="826"/>
      <c r="F495" s="1030"/>
      <c r="G495" s="826"/>
      <c r="I495" s="847"/>
    </row>
    <row r="496">
      <c r="A496" s="826"/>
      <c r="B496" s="1038"/>
      <c r="C496" s="826"/>
      <c r="D496" s="826"/>
      <c r="F496" s="1030"/>
      <c r="G496" s="826"/>
      <c r="I496" s="847"/>
    </row>
    <row r="497">
      <c r="A497" s="826"/>
      <c r="B497" s="1038"/>
      <c r="C497" s="826"/>
      <c r="D497" s="826"/>
      <c r="F497" s="1030"/>
      <c r="G497" s="826"/>
      <c r="I497" s="847"/>
    </row>
    <row r="498">
      <c r="A498" s="826"/>
      <c r="B498" s="1038"/>
      <c r="C498" s="826"/>
      <c r="D498" s="826"/>
      <c r="F498" s="1030"/>
      <c r="G498" s="826"/>
      <c r="I498" s="847"/>
    </row>
    <row r="499">
      <c r="A499" s="826"/>
      <c r="B499" s="1038"/>
      <c r="C499" s="826"/>
      <c r="D499" s="826"/>
      <c r="F499" s="1030"/>
      <c r="G499" s="826"/>
      <c r="I499" s="847"/>
    </row>
    <row r="500">
      <c r="A500" s="826"/>
      <c r="B500" s="1038"/>
      <c r="C500" s="826"/>
      <c r="D500" s="826"/>
      <c r="F500" s="1030"/>
      <c r="G500" s="826"/>
      <c r="I500" s="847"/>
    </row>
    <row r="501">
      <c r="A501" s="826"/>
      <c r="B501" s="1038"/>
      <c r="C501" s="826"/>
      <c r="D501" s="826"/>
      <c r="F501" s="1030"/>
      <c r="G501" s="826"/>
      <c r="I501" s="847"/>
    </row>
    <row r="502">
      <c r="A502" s="826"/>
      <c r="B502" s="1038"/>
      <c r="C502" s="826"/>
      <c r="D502" s="826"/>
      <c r="F502" s="1030"/>
      <c r="G502" s="826"/>
      <c r="I502" s="847"/>
    </row>
    <row r="503">
      <c r="A503" s="826"/>
      <c r="B503" s="1038"/>
      <c r="C503" s="826"/>
      <c r="D503" s="826"/>
      <c r="F503" s="1030"/>
      <c r="G503" s="826"/>
      <c r="I503" s="847"/>
    </row>
    <row r="504">
      <c r="A504" s="826"/>
      <c r="B504" s="1038"/>
      <c r="C504" s="826"/>
      <c r="D504" s="826"/>
      <c r="F504" s="1030"/>
      <c r="G504" s="826"/>
      <c r="I504" s="847"/>
    </row>
    <row r="505">
      <c r="A505" s="826"/>
      <c r="B505" s="1038"/>
      <c r="C505" s="826"/>
      <c r="D505" s="826"/>
      <c r="F505" s="1030"/>
      <c r="G505" s="826"/>
      <c r="I505" s="847"/>
    </row>
    <row r="506">
      <c r="A506" s="826"/>
      <c r="B506" s="1038"/>
      <c r="C506" s="826"/>
      <c r="D506" s="826"/>
      <c r="F506" s="1030"/>
      <c r="G506" s="826"/>
      <c r="I506" s="847"/>
    </row>
    <row r="507">
      <c r="A507" s="826"/>
      <c r="B507" s="1038"/>
      <c r="C507" s="826"/>
      <c r="D507" s="826"/>
      <c r="F507" s="1030"/>
      <c r="G507" s="826"/>
      <c r="I507" s="847"/>
    </row>
    <row r="508">
      <c r="A508" s="826"/>
      <c r="B508" s="1038"/>
      <c r="C508" s="826"/>
      <c r="D508" s="826"/>
      <c r="F508" s="1030"/>
      <c r="G508" s="826"/>
      <c r="I508" s="847"/>
    </row>
    <row r="509">
      <c r="A509" s="826"/>
      <c r="B509" s="1038"/>
      <c r="C509" s="826"/>
      <c r="D509" s="826"/>
      <c r="F509" s="1030"/>
      <c r="G509" s="826"/>
      <c r="I509" s="847"/>
    </row>
    <row r="510">
      <c r="A510" s="826"/>
      <c r="B510" s="1038"/>
      <c r="C510" s="826"/>
      <c r="D510" s="826"/>
      <c r="F510" s="1030"/>
      <c r="G510" s="826"/>
      <c r="I510" s="847"/>
    </row>
    <row r="511">
      <c r="A511" s="826"/>
      <c r="B511" s="1038"/>
      <c r="C511" s="826"/>
      <c r="D511" s="826"/>
      <c r="F511" s="1030"/>
      <c r="G511" s="826"/>
      <c r="I511" s="847"/>
    </row>
    <row r="512">
      <c r="A512" s="826"/>
      <c r="B512" s="1038"/>
      <c r="C512" s="826"/>
      <c r="D512" s="826"/>
      <c r="F512" s="1030"/>
      <c r="G512" s="826"/>
      <c r="I512" s="847"/>
    </row>
    <row r="513">
      <c r="A513" s="826"/>
      <c r="B513" s="1038"/>
      <c r="C513" s="826"/>
      <c r="D513" s="826"/>
      <c r="F513" s="1030"/>
      <c r="G513" s="826"/>
      <c r="I513" s="847"/>
    </row>
    <row r="514">
      <c r="A514" s="826"/>
      <c r="B514" s="1038"/>
      <c r="C514" s="826"/>
      <c r="D514" s="826"/>
      <c r="F514" s="1030"/>
      <c r="G514" s="826"/>
      <c r="I514" s="847"/>
    </row>
    <row r="515">
      <c r="A515" s="826"/>
      <c r="B515" s="1038"/>
      <c r="C515" s="826"/>
      <c r="D515" s="826"/>
      <c r="F515" s="1030"/>
      <c r="G515" s="826"/>
      <c r="I515" s="847"/>
    </row>
    <row r="516">
      <c r="A516" s="826"/>
      <c r="B516" s="1038"/>
      <c r="C516" s="826"/>
      <c r="D516" s="826"/>
      <c r="F516" s="1030"/>
      <c r="G516" s="826"/>
      <c r="I516" s="847"/>
    </row>
    <row r="517">
      <c r="A517" s="826"/>
      <c r="B517" s="1038"/>
      <c r="C517" s="826"/>
      <c r="D517" s="826"/>
      <c r="F517" s="1030"/>
      <c r="G517" s="826"/>
      <c r="I517" s="847"/>
    </row>
    <row r="518">
      <c r="A518" s="826"/>
      <c r="B518" s="1038"/>
      <c r="C518" s="826"/>
      <c r="D518" s="826"/>
      <c r="F518" s="1030"/>
      <c r="G518" s="826"/>
      <c r="I518" s="847"/>
    </row>
    <row r="519">
      <c r="A519" s="826"/>
      <c r="B519" s="1038"/>
      <c r="C519" s="826"/>
      <c r="D519" s="826"/>
      <c r="F519" s="1030"/>
      <c r="G519" s="826"/>
      <c r="I519" s="847"/>
    </row>
    <row r="520">
      <c r="A520" s="826"/>
      <c r="B520" s="1038"/>
      <c r="C520" s="826"/>
      <c r="D520" s="826"/>
      <c r="F520" s="1030"/>
      <c r="G520" s="826"/>
      <c r="I520" s="847"/>
    </row>
    <row r="521">
      <c r="A521" s="826"/>
      <c r="B521" s="1038"/>
      <c r="C521" s="826"/>
      <c r="D521" s="826"/>
      <c r="F521" s="1030"/>
      <c r="G521" s="826"/>
      <c r="I521" s="847"/>
    </row>
    <row r="522">
      <c r="A522" s="826"/>
      <c r="B522" s="1038"/>
      <c r="C522" s="826"/>
      <c r="D522" s="826"/>
      <c r="F522" s="1030"/>
      <c r="G522" s="826"/>
      <c r="I522" s="847"/>
    </row>
    <row r="523">
      <c r="A523" s="826"/>
      <c r="B523" s="1038"/>
      <c r="C523" s="826"/>
      <c r="D523" s="826"/>
      <c r="F523" s="1030"/>
      <c r="G523" s="826"/>
      <c r="I523" s="847"/>
    </row>
    <row r="524">
      <c r="A524" s="826"/>
      <c r="B524" s="1038"/>
      <c r="C524" s="826"/>
      <c r="D524" s="826"/>
      <c r="F524" s="1030"/>
      <c r="G524" s="826"/>
      <c r="I524" s="847"/>
    </row>
    <row r="525">
      <c r="A525" s="826"/>
      <c r="B525" s="1038"/>
      <c r="C525" s="826"/>
      <c r="D525" s="826"/>
      <c r="F525" s="1030"/>
      <c r="G525" s="826"/>
      <c r="I525" s="847"/>
    </row>
    <row r="526">
      <c r="A526" s="826"/>
      <c r="B526" s="1038"/>
      <c r="C526" s="826"/>
      <c r="D526" s="826"/>
      <c r="F526" s="1030"/>
      <c r="G526" s="826"/>
      <c r="I526" s="847"/>
    </row>
    <row r="527">
      <c r="A527" s="826"/>
      <c r="B527" s="1038"/>
      <c r="C527" s="826"/>
      <c r="D527" s="826"/>
      <c r="F527" s="1030"/>
      <c r="G527" s="826"/>
      <c r="I527" s="847"/>
    </row>
    <row r="528">
      <c r="A528" s="826"/>
      <c r="B528" s="1038"/>
      <c r="C528" s="826"/>
      <c r="D528" s="826"/>
      <c r="F528" s="1030"/>
      <c r="G528" s="826"/>
      <c r="I528" s="847"/>
    </row>
    <row r="529">
      <c r="A529" s="826"/>
      <c r="B529" s="1038"/>
      <c r="C529" s="826"/>
      <c r="D529" s="826"/>
      <c r="F529" s="1030"/>
      <c r="G529" s="826"/>
      <c r="I529" s="847"/>
    </row>
    <row r="530">
      <c r="A530" s="826"/>
      <c r="B530" s="1038"/>
      <c r="C530" s="826"/>
      <c r="D530" s="826"/>
      <c r="F530" s="1030"/>
      <c r="G530" s="826"/>
      <c r="I530" s="847"/>
    </row>
    <row r="531">
      <c r="A531" s="826"/>
      <c r="B531" s="1038"/>
      <c r="C531" s="826"/>
      <c r="D531" s="826"/>
      <c r="F531" s="1030"/>
      <c r="G531" s="826"/>
      <c r="I531" s="847"/>
    </row>
    <row r="532">
      <c r="A532" s="826"/>
      <c r="B532" s="1038"/>
      <c r="C532" s="826"/>
      <c r="D532" s="826"/>
      <c r="F532" s="1030"/>
      <c r="G532" s="826"/>
      <c r="I532" s="847"/>
    </row>
    <row r="533">
      <c r="A533" s="826"/>
      <c r="B533" s="1038"/>
      <c r="C533" s="826"/>
      <c r="D533" s="826"/>
      <c r="F533" s="1030"/>
      <c r="G533" s="826"/>
      <c r="I533" s="847"/>
    </row>
    <row r="534">
      <c r="A534" s="826"/>
      <c r="B534" s="1038"/>
      <c r="C534" s="826"/>
      <c r="D534" s="826"/>
      <c r="F534" s="1030"/>
      <c r="G534" s="826"/>
      <c r="I534" s="847"/>
    </row>
    <row r="535">
      <c r="A535" s="826"/>
      <c r="B535" s="1038"/>
      <c r="C535" s="826"/>
      <c r="D535" s="826"/>
      <c r="F535" s="1030"/>
      <c r="G535" s="826"/>
      <c r="I535" s="847"/>
    </row>
    <row r="536">
      <c r="A536" s="826"/>
      <c r="B536" s="1038"/>
      <c r="C536" s="826"/>
      <c r="D536" s="826"/>
      <c r="F536" s="1030"/>
      <c r="G536" s="826"/>
      <c r="I536" s="847"/>
    </row>
    <row r="537">
      <c r="A537" s="826"/>
      <c r="B537" s="1038"/>
      <c r="C537" s="826"/>
      <c r="D537" s="826"/>
      <c r="F537" s="1030"/>
      <c r="G537" s="826"/>
      <c r="I537" s="847"/>
    </row>
    <row r="538">
      <c r="A538" s="826"/>
      <c r="B538" s="1038"/>
      <c r="C538" s="826"/>
      <c r="D538" s="826"/>
      <c r="F538" s="1030"/>
      <c r="G538" s="826"/>
      <c r="I538" s="847"/>
    </row>
    <row r="539">
      <c r="A539" s="826"/>
      <c r="B539" s="1038"/>
      <c r="C539" s="826"/>
      <c r="D539" s="826"/>
      <c r="F539" s="1030"/>
      <c r="G539" s="826"/>
      <c r="I539" s="847"/>
    </row>
    <row r="540">
      <c r="A540" s="826"/>
      <c r="B540" s="1038"/>
      <c r="C540" s="826"/>
      <c r="D540" s="826"/>
      <c r="F540" s="1030"/>
      <c r="G540" s="826"/>
      <c r="I540" s="847"/>
    </row>
    <row r="541">
      <c r="A541" s="826"/>
      <c r="B541" s="1038"/>
      <c r="C541" s="826"/>
      <c r="D541" s="826"/>
      <c r="F541" s="1030"/>
      <c r="G541" s="826"/>
      <c r="I541" s="847"/>
    </row>
    <row r="542">
      <c r="A542" s="826"/>
      <c r="B542" s="1038"/>
      <c r="C542" s="826"/>
      <c r="D542" s="826"/>
      <c r="F542" s="1030"/>
      <c r="G542" s="826"/>
      <c r="I542" s="847"/>
    </row>
    <row r="543">
      <c r="A543" s="826"/>
      <c r="B543" s="1038"/>
      <c r="C543" s="826"/>
      <c r="D543" s="826"/>
      <c r="F543" s="1030"/>
      <c r="G543" s="826"/>
      <c r="I543" s="847"/>
    </row>
    <row r="544">
      <c r="A544" s="826"/>
      <c r="B544" s="1038"/>
      <c r="C544" s="826"/>
      <c r="D544" s="826"/>
      <c r="F544" s="1030"/>
      <c r="G544" s="826"/>
      <c r="I544" s="847"/>
    </row>
    <row r="545">
      <c r="A545" s="826"/>
      <c r="B545" s="1038"/>
      <c r="C545" s="826"/>
      <c r="D545" s="826"/>
      <c r="F545" s="1030"/>
      <c r="G545" s="826"/>
      <c r="I545" s="847"/>
    </row>
    <row r="546">
      <c r="A546" s="826"/>
      <c r="B546" s="1038"/>
      <c r="C546" s="826"/>
      <c r="D546" s="826"/>
      <c r="F546" s="1030"/>
      <c r="G546" s="826"/>
      <c r="I546" s="847"/>
    </row>
    <row r="547">
      <c r="A547" s="826"/>
      <c r="B547" s="1038"/>
      <c r="C547" s="826"/>
      <c r="D547" s="826"/>
      <c r="F547" s="1030"/>
      <c r="G547" s="826"/>
      <c r="I547" s="847"/>
    </row>
    <row r="548">
      <c r="A548" s="826"/>
      <c r="B548" s="1038"/>
      <c r="C548" s="826"/>
      <c r="D548" s="826"/>
      <c r="F548" s="1030"/>
      <c r="G548" s="826"/>
      <c r="I548" s="847"/>
    </row>
    <row r="549">
      <c r="A549" s="826"/>
      <c r="B549" s="1038"/>
      <c r="C549" s="826"/>
      <c r="D549" s="826"/>
      <c r="F549" s="1030"/>
      <c r="G549" s="826"/>
      <c r="I549" s="847"/>
    </row>
    <row r="550">
      <c r="A550" s="826"/>
      <c r="B550" s="1038"/>
      <c r="C550" s="826"/>
      <c r="D550" s="826"/>
      <c r="F550" s="1030"/>
      <c r="G550" s="826"/>
      <c r="I550" s="847"/>
    </row>
    <row r="551">
      <c r="A551" s="826"/>
      <c r="B551" s="1038"/>
      <c r="C551" s="826"/>
      <c r="D551" s="826"/>
      <c r="F551" s="1030"/>
      <c r="G551" s="826"/>
      <c r="I551" s="847"/>
    </row>
    <row r="552">
      <c r="A552" s="826"/>
      <c r="B552" s="1038"/>
      <c r="C552" s="826"/>
      <c r="D552" s="826"/>
      <c r="F552" s="1030"/>
      <c r="G552" s="826"/>
      <c r="I552" s="847"/>
    </row>
    <row r="553">
      <c r="A553" s="826"/>
      <c r="B553" s="1038"/>
      <c r="C553" s="826"/>
      <c r="D553" s="826"/>
      <c r="F553" s="1030"/>
      <c r="G553" s="826"/>
      <c r="I553" s="847"/>
    </row>
    <row r="554">
      <c r="A554" s="826"/>
      <c r="B554" s="1038"/>
      <c r="C554" s="826"/>
      <c r="D554" s="826"/>
      <c r="F554" s="1030"/>
      <c r="G554" s="826"/>
      <c r="I554" s="847"/>
    </row>
    <row r="555">
      <c r="A555" s="826"/>
      <c r="B555" s="1038"/>
      <c r="C555" s="826"/>
      <c r="D555" s="826"/>
      <c r="F555" s="1030"/>
      <c r="G555" s="826"/>
      <c r="I555" s="847"/>
    </row>
    <row r="556">
      <c r="A556" s="826"/>
      <c r="B556" s="1038"/>
      <c r="C556" s="826"/>
      <c r="D556" s="826"/>
      <c r="F556" s="1030"/>
      <c r="G556" s="826"/>
      <c r="I556" s="847"/>
    </row>
    <row r="557">
      <c r="A557" s="826"/>
      <c r="B557" s="1038"/>
      <c r="C557" s="826"/>
      <c r="D557" s="826"/>
      <c r="F557" s="1030"/>
      <c r="G557" s="826"/>
      <c r="I557" s="847"/>
    </row>
    <row r="558">
      <c r="A558" s="826"/>
      <c r="B558" s="1038"/>
      <c r="C558" s="826"/>
      <c r="D558" s="826"/>
      <c r="F558" s="1030"/>
      <c r="G558" s="826"/>
      <c r="I558" s="847"/>
    </row>
    <row r="559">
      <c r="A559" s="826"/>
      <c r="B559" s="1038"/>
      <c r="C559" s="826"/>
      <c r="D559" s="826"/>
      <c r="F559" s="1030"/>
      <c r="G559" s="826"/>
      <c r="I559" s="847"/>
    </row>
    <row r="560">
      <c r="A560" s="826"/>
      <c r="B560" s="1038"/>
      <c r="C560" s="826"/>
      <c r="D560" s="826"/>
      <c r="F560" s="1030"/>
      <c r="G560" s="826"/>
      <c r="I560" s="847"/>
    </row>
    <row r="561">
      <c r="A561" s="826"/>
      <c r="B561" s="1038"/>
      <c r="C561" s="826"/>
      <c r="D561" s="826"/>
      <c r="F561" s="1030"/>
      <c r="G561" s="826"/>
      <c r="I561" s="847"/>
    </row>
    <row r="562">
      <c r="A562" s="826"/>
      <c r="B562" s="1038"/>
      <c r="C562" s="826"/>
      <c r="D562" s="826"/>
      <c r="F562" s="1030"/>
      <c r="G562" s="826"/>
      <c r="I562" s="847"/>
    </row>
    <row r="563">
      <c r="A563" s="826"/>
      <c r="B563" s="1038"/>
      <c r="C563" s="826"/>
      <c r="D563" s="826"/>
      <c r="F563" s="1030"/>
      <c r="G563" s="826"/>
      <c r="I563" s="847"/>
    </row>
    <row r="564">
      <c r="A564" s="826"/>
      <c r="B564" s="1038"/>
      <c r="C564" s="826"/>
      <c r="D564" s="826"/>
      <c r="F564" s="1030"/>
      <c r="G564" s="826"/>
      <c r="I564" s="847"/>
    </row>
    <row r="565">
      <c r="A565" s="826"/>
      <c r="B565" s="1038"/>
      <c r="C565" s="826"/>
      <c r="D565" s="826"/>
      <c r="F565" s="1030"/>
      <c r="G565" s="826"/>
      <c r="I565" s="847"/>
    </row>
    <row r="566">
      <c r="A566" s="826"/>
      <c r="B566" s="1038"/>
      <c r="C566" s="826"/>
      <c r="D566" s="826"/>
      <c r="F566" s="1030"/>
      <c r="G566" s="826"/>
      <c r="I566" s="847"/>
    </row>
    <row r="567">
      <c r="A567" s="826"/>
      <c r="B567" s="1038"/>
      <c r="C567" s="826"/>
      <c r="D567" s="826"/>
      <c r="F567" s="1030"/>
      <c r="G567" s="826"/>
      <c r="I567" s="847"/>
    </row>
    <row r="568">
      <c r="A568" s="826"/>
      <c r="B568" s="1038"/>
      <c r="C568" s="826"/>
      <c r="D568" s="826"/>
      <c r="F568" s="1030"/>
      <c r="G568" s="826"/>
      <c r="I568" s="847"/>
    </row>
    <row r="569">
      <c r="A569" s="826"/>
      <c r="B569" s="1038"/>
      <c r="C569" s="826"/>
      <c r="D569" s="826"/>
      <c r="F569" s="1030"/>
      <c r="G569" s="826"/>
      <c r="I569" s="847"/>
    </row>
    <row r="570">
      <c r="A570" s="826"/>
      <c r="B570" s="1038"/>
      <c r="C570" s="826"/>
      <c r="D570" s="826"/>
      <c r="F570" s="1030"/>
      <c r="G570" s="826"/>
      <c r="I570" s="847"/>
    </row>
    <row r="571">
      <c r="A571" s="826"/>
      <c r="B571" s="1038"/>
      <c r="C571" s="826"/>
      <c r="D571" s="826"/>
      <c r="F571" s="1030"/>
      <c r="G571" s="826"/>
      <c r="I571" s="847"/>
    </row>
    <row r="572">
      <c r="A572" s="826"/>
      <c r="B572" s="1038"/>
      <c r="C572" s="826"/>
      <c r="D572" s="826"/>
      <c r="F572" s="1030"/>
      <c r="G572" s="826"/>
      <c r="I572" s="847"/>
    </row>
    <row r="573">
      <c r="A573" s="826"/>
      <c r="B573" s="1038"/>
      <c r="C573" s="826"/>
      <c r="D573" s="826"/>
      <c r="F573" s="1030"/>
      <c r="G573" s="826"/>
      <c r="I573" s="847"/>
    </row>
    <row r="574">
      <c r="A574" s="826"/>
      <c r="B574" s="1038"/>
      <c r="C574" s="826"/>
      <c r="D574" s="826"/>
      <c r="F574" s="1030"/>
      <c r="G574" s="826"/>
      <c r="I574" s="847"/>
    </row>
    <row r="575">
      <c r="A575" s="826"/>
      <c r="B575" s="1038"/>
      <c r="C575" s="826"/>
      <c r="D575" s="826"/>
      <c r="F575" s="1030"/>
      <c r="G575" s="826"/>
      <c r="I575" s="847"/>
    </row>
    <row r="576">
      <c r="A576" s="826"/>
      <c r="B576" s="1038"/>
      <c r="C576" s="826"/>
      <c r="D576" s="826"/>
      <c r="F576" s="1030"/>
      <c r="G576" s="826"/>
      <c r="I576" s="847"/>
    </row>
    <row r="577">
      <c r="A577" s="826"/>
      <c r="B577" s="1038"/>
      <c r="C577" s="826"/>
      <c r="D577" s="826"/>
      <c r="F577" s="1030"/>
      <c r="G577" s="826"/>
      <c r="I577" s="847"/>
    </row>
    <row r="578">
      <c r="A578" s="826"/>
      <c r="B578" s="1038"/>
      <c r="C578" s="826"/>
      <c r="D578" s="826"/>
      <c r="F578" s="1030"/>
      <c r="G578" s="826"/>
      <c r="I578" s="847"/>
    </row>
    <row r="579">
      <c r="A579" s="826"/>
      <c r="B579" s="1038"/>
      <c r="C579" s="826"/>
      <c r="D579" s="826"/>
      <c r="F579" s="1030"/>
      <c r="G579" s="826"/>
      <c r="I579" s="847"/>
    </row>
    <row r="580">
      <c r="A580" s="826"/>
      <c r="B580" s="1038"/>
      <c r="C580" s="826"/>
      <c r="D580" s="826"/>
      <c r="F580" s="1030"/>
      <c r="G580" s="826"/>
      <c r="I580" s="847"/>
    </row>
    <row r="581">
      <c r="A581" s="826"/>
      <c r="B581" s="1038"/>
      <c r="C581" s="826"/>
      <c r="D581" s="826"/>
      <c r="F581" s="1030"/>
      <c r="G581" s="826"/>
      <c r="I581" s="847"/>
    </row>
    <row r="582">
      <c r="A582" s="826"/>
      <c r="B582" s="1038"/>
      <c r="C582" s="826"/>
      <c r="D582" s="826"/>
      <c r="F582" s="1030"/>
      <c r="G582" s="826"/>
      <c r="I582" s="847"/>
    </row>
    <row r="583">
      <c r="A583" s="826"/>
      <c r="B583" s="1038"/>
      <c r="C583" s="826"/>
      <c r="D583" s="826"/>
      <c r="F583" s="1030"/>
      <c r="G583" s="826"/>
      <c r="I583" s="847"/>
    </row>
    <row r="584">
      <c r="A584" s="826"/>
      <c r="B584" s="1038"/>
      <c r="C584" s="826"/>
      <c r="D584" s="826"/>
      <c r="F584" s="1030"/>
      <c r="G584" s="826"/>
      <c r="I584" s="847"/>
    </row>
    <row r="585">
      <c r="A585" s="826"/>
      <c r="B585" s="1038"/>
      <c r="C585" s="826"/>
      <c r="D585" s="826"/>
      <c r="F585" s="1030"/>
      <c r="G585" s="826"/>
      <c r="I585" s="847"/>
    </row>
    <row r="586">
      <c r="A586" s="826"/>
      <c r="B586" s="1038"/>
      <c r="C586" s="826"/>
      <c r="D586" s="826"/>
      <c r="F586" s="1030"/>
      <c r="G586" s="826"/>
      <c r="I586" s="847"/>
    </row>
    <row r="587">
      <c r="A587" s="826"/>
      <c r="B587" s="1038"/>
      <c r="C587" s="826"/>
      <c r="D587" s="826"/>
      <c r="F587" s="1030"/>
      <c r="G587" s="826"/>
      <c r="I587" s="847"/>
    </row>
    <row r="588">
      <c r="A588" s="826"/>
      <c r="B588" s="1038"/>
      <c r="C588" s="826"/>
      <c r="D588" s="826"/>
      <c r="F588" s="1030"/>
      <c r="G588" s="826"/>
      <c r="I588" s="847"/>
    </row>
    <row r="589">
      <c r="A589" s="826"/>
      <c r="B589" s="1038"/>
      <c r="C589" s="826"/>
      <c r="D589" s="826"/>
      <c r="F589" s="1030"/>
      <c r="G589" s="826"/>
      <c r="I589" s="847"/>
    </row>
    <row r="590">
      <c r="A590" s="826"/>
      <c r="B590" s="1038"/>
      <c r="C590" s="826"/>
      <c r="D590" s="826"/>
      <c r="F590" s="1030"/>
      <c r="G590" s="826"/>
      <c r="I590" s="847"/>
    </row>
    <row r="591">
      <c r="A591" s="826"/>
      <c r="B591" s="1038"/>
      <c r="C591" s="826"/>
      <c r="D591" s="826"/>
      <c r="F591" s="1030"/>
      <c r="G591" s="826"/>
      <c r="I591" s="847"/>
    </row>
    <row r="592">
      <c r="A592" s="826"/>
      <c r="B592" s="1038"/>
      <c r="C592" s="826"/>
      <c r="D592" s="826"/>
      <c r="F592" s="1030"/>
      <c r="G592" s="826"/>
      <c r="I592" s="847"/>
    </row>
    <row r="593">
      <c r="A593" s="826"/>
      <c r="B593" s="1038"/>
      <c r="C593" s="826"/>
      <c r="D593" s="826"/>
      <c r="F593" s="1030"/>
      <c r="G593" s="826"/>
      <c r="I593" s="847"/>
    </row>
    <row r="594">
      <c r="A594" s="826"/>
      <c r="B594" s="1038"/>
      <c r="C594" s="826"/>
      <c r="D594" s="826"/>
      <c r="F594" s="1030"/>
      <c r="G594" s="826"/>
      <c r="I594" s="847"/>
    </row>
    <row r="595">
      <c r="A595" s="826"/>
      <c r="B595" s="1038"/>
      <c r="C595" s="826"/>
      <c r="D595" s="826"/>
      <c r="F595" s="1030"/>
      <c r="G595" s="826"/>
      <c r="I595" s="847"/>
    </row>
    <row r="596">
      <c r="A596" s="826"/>
      <c r="B596" s="1038"/>
      <c r="C596" s="826"/>
      <c r="D596" s="826"/>
      <c r="F596" s="1030"/>
      <c r="G596" s="826"/>
      <c r="I596" s="847"/>
    </row>
    <row r="597">
      <c r="A597" s="826"/>
      <c r="B597" s="1038"/>
      <c r="C597" s="826"/>
      <c r="D597" s="826"/>
      <c r="F597" s="1030"/>
      <c r="G597" s="826"/>
      <c r="I597" s="847"/>
    </row>
    <row r="598">
      <c r="A598" s="826"/>
      <c r="B598" s="1038"/>
      <c r="C598" s="826"/>
      <c r="D598" s="826"/>
      <c r="F598" s="1030"/>
      <c r="G598" s="826"/>
      <c r="I598" s="847"/>
    </row>
    <row r="599">
      <c r="A599" s="826"/>
      <c r="B599" s="1038"/>
      <c r="C599" s="826"/>
      <c r="D599" s="826"/>
      <c r="F599" s="1030"/>
      <c r="G599" s="826"/>
      <c r="I599" s="847"/>
    </row>
    <row r="600">
      <c r="A600" s="826"/>
      <c r="B600" s="1038"/>
      <c r="C600" s="826"/>
      <c r="D600" s="826"/>
      <c r="F600" s="1030"/>
      <c r="G600" s="826"/>
      <c r="I600" s="847"/>
    </row>
    <row r="601">
      <c r="A601" s="826"/>
      <c r="B601" s="1038"/>
      <c r="C601" s="826"/>
      <c r="D601" s="826"/>
      <c r="F601" s="1030"/>
      <c r="G601" s="826"/>
      <c r="I601" s="847"/>
    </row>
    <row r="602">
      <c r="A602" s="826"/>
      <c r="B602" s="1038"/>
      <c r="C602" s="826"/>
      <c r="D602" s="826"/>
      <c r="F602" s="1030"/>
      <c r="G602" s="826"/>
      <c r="I602" s="847"/>
    </row>
    <row r="603">
      <c r="A603" s="826"/>
      <c r="B603" s="1038"/>
      <c r="C603" s="826"/>
      <c r="D603" s="826"/>
      <c r="F603" s="1030"/>
      <c r="G603" s="826"/>
      <c r="I603" s="847"/>
    </row>
    <row r="604">
      <c r="A604" s="826"/>
      <c r="B604" s="1038"/>
      <c r="C604" s="826"/>
      <c r="D604" s="826"/>
      <c r="F604" s="1030"/>
      <c r="G604" s="826"/>
      <c r="I604" s="847"/>
    </row>
    <row r="605">
      <c r="A605" s="826"/>
      <c r="B605" s="1038"/>
      <c r="C605" s="826"/>
      <c r="D605" s="826"/>
      <c r="F605" s="1030"/>
      <c r="G605" s="826"/>
      <c r="I605" s="847"/>
    </row>
    <row r="606">
      <c r="A606" s="826"/>
      <c r="B606" s="1038"/>
      <c r="C606" s="826"/>
      <c r="D606" s="826"/>
      <c r="F606" s="1030"/>
      <c r="G606" s="826"/>
      <c r="I606" s="847"/>
    </row>
    <row r="607">
      <c r="A607" s="826"/>
      <c r="B607" s="1038"/>
      <c r="C607" s="826"/>
      <c r="D607" s="826"/>
      <c r="F607" s="1030"/>
      <c r="G607" s="826"/>
      <c r="I607" s="847"/>
    </row>
    <row r="608">
      <c r="A608" s="826"/>
      <c r="B608" s="1038"/>
      <c r="C608" s="826"/>
      <c r="D608" s="826"/>
      <c r="F608" s="1030"/>
      <c r="G608" s="826"/>
      <c r="I608" s="847"/>
    </row>
    <row r="609">
      <c r="A609" s="826"/>
      <c r="B609" s="1038"/>
      <c r="C609" s="826"/>
      <c r="D609" s="826"/>
      <c r="F609" s="1030"/>
      <c r="G609" s="826"/>
      <c r="I609" s="847"/>
    </row>
    <row r="610">
      <c r="A610" s="826"/>
      <c r="B610" s="1038"/>
      <c r="C610" s="826"/>
      <c r="D610" s="826"/>
      <c r="F610" s="1030"/>
      <c r="G610" s="826"/>
      <c r="I610" s="847"/>
    </row>
    <row r="611">
      <c r="A611" s="826"/>
      <c r="B611" s="1038"/>
      <c r="C611" s="826"/>
      <c r="D611" s="826"/>
      <c r="F611" s="1030"/>
      <c r="G611" s="826"/>
      <c r="I611" s="847"/>
    </row>
    <row r="612">
      <c r="A612" s="826"/>
      <c r="B612" s="1038"/>
      <c r="C612" s="826"/>
      <c r="D612" s="826"/>
      <c r="F612" s="1030"/>
      <c r="G612" s="826"/>
      <c r="I612" s="847"/>
    </row>
    <row r="613">
      <c r="A613" s="826"/>
      <c r="B613" s="1038"/>
      <c r="C613" s="826"/>
      <c r="D613" s="826"/>
      <c r="F613" s="1030"/>
      <c r="G613" s="826"/>
      <c r="I613" s="847"/>
    </row>
    <row r="614">
      <c r="A614" s="826"/>
      <c r="B614" s="1038"/>
      <c r="C614" s="826"/>
      <c r="D614" s="826"/>
      <c r="F614" s="1030"/>
      <c r="G614" s="826"/>
      <c r="I614" s="847"/>
    </row>
    <row r="615">
      <c r="A615" s="826"/>
      <c r="B615" s="1038"/>
      <c r="C615" s="826"/>
      <c r="D615" s="826"/>
      <c r="F615" s="1030"/>
      <c r="G615" s="826"/>
      <c r="I615" s="847"/>
    </row>
    <row r="616">
      <c r="A616" s="826"/>
      <c r="B616" s="1038"/>
      <c r="C616" s="826"/>
      <c r="D616" s="826"/>
      <c r="F616" s="1030"/>
      <c r="G616" s="826"/>
      <c r="I616" s="847"/>
    </row>
    <row r="617">
      <c r="A617" s="826"/>
      <c r="B617" s="1038"/>
      <c r="C617" s="826"/>
      <c r="D617" s="826"/>
      <c r="F617" s="1030"/>
      <c r="G617" s="826"/>
      <c r="I617" s="847"/>
    </row>
    <row r="618">
      <c r="A618" s="826"/>
      <c r="B618" s="1038"/>
      <c r="C618" s="826"/>
      <c r="D618" s="826"/>
      <c r="F618" s="1030"/>
      <c r="G618" s="826"/>
      <c r="I618" s="847"/>
    </row>
    <row r="619">
      <c r="A619" s="826"/>
      <c r="B619" s="1038"/>
      <c r="C619" s="826"/>
      <c r="D619" s="826"/>
      <c r="F619" s="1030"/>
      <c r="G619" s="826"/>
      <c r="I619" s="847"/>
    </row>
    <row r="620">
      <c r="A620" s="826"/>
      <c r="B620" s="1038"/>
      <c r="C620" s="826"/>
      <c r="D620" s="826"/>
      <c r="F620" s="1030"/>
      <c r="G620" s="826"/>
      <c r="I620" s="847"/>
    </row>
    <row r="621">
      <c r="A621" s="826"/>
      <c r="B621" s="1038"/>
      <c r="C621" s="826"/>
      <c r="D621" s="826"/>
      <c r="F621" s="1030"/>
      <c r="G621" s="826"/>
      <c r="I621" s="847"/>
    </row>
    <row r="622">
      <c r="A622" s="826"/>
      <c r="B622" s="1038"/>
      <c r="C622" s="826"/>
      <c r="D622" s="826"/>
      <c r="F622" s="1030"/>
      <c r="G622" s="826"/>
      <c r="I622" s="847"/>
    </row>
    <row r="623">
      <c r="A623" s="826"/>
      <c r="B623" s="1038"/>
      <c r="C623" s="826"/>
      <c r="D623" s="826"/>
      <c r="F623" s="1030"/>
      <c r="G623" s="826"/>
      <c r="I623" s="847"/>
    </row>
    <row r="624">
      <c r="A624" s="826"/>
      <c r="B624" s="1038"/>
      <c r="C624" s="826"/>
      <c r="D624" s="826"/>
      <c r="F624" s="1030"/>
      <c r="G624" s="826"/>
      <c r="I624" s="847"/>
    </row>
    <row r="625">
      <c r="A625" s="826"/>
      <c r="B625" s="1038"/>
      <c r="C625" s="826"/>
      <c r="D625" s="826"/>
      <c r="F625" s="1030"/>
      <c r="G625" s="826"/>
      <c r="I625" s="847"/>
    </row>
    <row r="626">
      <c r="A626" s="826"/>
      <c r="B626" s="1038"/>
      <c r="C626" s="826"/>
      <c r="D626" s="826"/>
      <c r="F626" s="1030"/>
      <c r="G626" s="826"/>
      <c r="I626" s="847"/>
    </row>
    <row r="627">
      <c r="A627" s="826"/>
      <c r="B627" s="1038"/>
      <c r="C627" s="826"/>
      <c r="D627" s="826"/>
      <c r="F627" s="1030"/>
      <c r="G627" s="826"/>
      <c r="I627" s="847"/>
    </row>
    <row r="628">
      <c r="A628" s="826"/>
      <c r="B628" s="1038"/>
      <c r="C628" s="826"/>
      <c r="D628" s="826"/>
      <c r="F628" s="1030"/>
      <c r="G628" s="826"/>
      <c r="I628" s="847"/>
    </row>
    <row r="629">
      <c r="A629" s="826"/>
      <c r="B629" s="1038"/>
      <c r="C629" s="826"/>
      <c r="D629" s="826"/>
      <c r="F629" s="1030"/>
      <c r="G629" s="826"/>
      <c r="I629" s="847"/>
    </row>
    <row r="630">
      <c r="A630" s="826"/>
      <c r="B630" s="1038"/>
      <c r="C630" s="826"/>
      <c r="D630" s="826"/>
      <c r="F630" s="1030"/>
      <c r="G630" s="826"/>
      <c r="I630" s="847"/>
    </row>
    <row r="631">
      <c r="A631" s="826"/>
      <c r="B631" s="1038"/>
      <c r="C631" s="826"/>
      <c r="D631" s="826"/>
      <c r="F631" s="1030"/>
      <c r="G631" s="826"/>
      <c r="I631" s="847"/>
    </row>
    <row r="632">
      <c r="A632" s="826"/>
      <c r="B632" s="1038"/>
      <c r="C632" s="826"/>
      <c r="D632" s="826"/>
      <c r="F632" s="1030"/>
      <c r="G632" s="826"/>
      <c r="I632" s="847"/>
    </row>
    <row r="633">
      <c r="A633" s="826"/>
      <c r="B633" s="1038"/>
      <c r="C633" s="826"/>
      <c r="D633" s="826"/>
      <c r="F633" s="1030"/>
      <c r="G633" s="826"/>
      <c r="I633" s="847"/>
    </row>
    <row r="634">
      <c r="A634" s="826"/>
      <c r="B634" s="1038"/>
      <c r="C634" s="826"/>
      <c r="D634" s="826"/>
      <c r="F634" s="1030"/>
      <c r="G634" s="826"/>
      <c r="I634" s="847"/>
    </row>
    <row r="635">
      <c r="A635" s="826"/>
      <c r="B635" s="1038"/>
      <c r="C635" s="826"/>
      <c r="D635" s="826"/>
      <c r="F635" s="1030"/>
      <c r="G635" s="826"/>
      <c r="I635" s="847"/>
    </row>
    <row r="636">
      <c r="A636" s="826"/>
      <c r="B636" s="1038"/>
      <c r="C636" s="826"/>
      <c r="D636" s="826"/>
      <c r="F636" s="1030"/>
      <c r="G636" s="826"/>
      <c r="I636" s="847"/>
    </row>
    <row r="637">
      <c r="A637" s="826"/>
      <c r="B637" s="1038"/>
      <c r="C637" s="826"/>
      <c r="D637" s="826"/>
      <c r="F637" s="1030"/>
      <c r="G637" s="826"/>
      <c r="I637" s="847"/>
    </row>
    <row r="638">
      <c r="A638" s="826"/>
      <c r="B638" s="1038"/>
      <c r="C638" s="826"/>
      <c r="D638" s="826"/>
      <c r="F638" s="1030"/>
      <c r="G638" s="826"/>
      <c r="I638" s="847"/>
    </row>
    <row r="639">
      <c r="A639" s="826"/>
      <c r="B639" s="1038"/>
      <c r="C639" s="826"/>
      <c r="D639" s="826"/>
      <c r="F639" s="1030"/>
      <c r="G639" s="826"/>
      <c r="I639" s="847"/>
    </row>
    <row r="640">
      <c r="A640" s="826"/>
      <c r="B640" s="1038"/>
      <c r="C640" s="826"/>
      <c r="D640" s="826"/>
      <c r="F640" s="1030"/>
      <c r="G640" s="826"/>
      <c r="I640" s="847"/>
    </row>
    <row r="641">
      <c r="A641" s="826"/>
      <c r="B641" s="1038"/>
      <c r="C641" s="826"/>
      <c r="D641" s="826"/>
      <c r="F641" s="1030"/>
      <c r="G641" s="826"/>
      <c r="I641" s="847"/>
    </row>
    <row r="642">
      <c r="A642" s="826"/>
      <c r="B642" s="1038"/>
      <c r="C642" s="826"/>
      <c r="D642" s="826"/>
      <c r="F642" s="1030"/>
      <c r="G642" s="826"/>
      <c r="I642" s="847"/>
    </row>
    <row r="643">
      <c r="A643" s="826"/>
      <c r="B643" s="1038"/>
      <c r="C643" s="826"/>
      <c r="D643" s="826"/>
      <c r="F643" s="1030"/>
      <c r="G643" s="826"/>
      <c r="I643" s="847"/>
    </row>
    <row r="644">
      <c r="A644" s="826"/>
      <c r="B644" s="1038"/>
      <c r="C644" s="826"/>
      <c r="D644" s="826"/>
      <c r="F644" s="1030"/>
      <c r="G644" s="826"/>
      <c r="I644" s="847"/>
    </row>
    <row r="645">
      <c r="A645" s="826"/>
      <c r="B645" s="1038"/>
      <c r="C645" s="826"/>
      <c r="D645" s="826"/>
      <c r="F645" s="1030"/>
      <c r="G645" s="826"/>
      <c r="I645" s="847"/>
    </row>
    <row r="646">
      <c r="A646" s="826"/>
      <c r="B646" s="1038"/>
      <c r="C646" s="826"/>
      <c r="D646" s="826"/>
      <c r="F646" s="1030"/>
      <c r="G646" s="826"/>
      <c r="I646" s="847"/>
    </row>
  </sheetData>
  <mergeCells count="31">
    <mergeCell ref="A2:A11"/>
    <mergeCell ref="A12:A21"/>
    <mergeCell ref="A22:A33"/>
    <mergeCell ref="A34:A45"/>
    <mergeCell ref="A46:A55"/>
    <mergeCell ref="A56:A57"/>
    <mergeCell ref="A58:A69"/>
    <mergeCell ref="A70:A82"/>
    <mergeCell ref="A83:A92"/>
    <mergeCell ref="A93:A102"/>
    <mergeCell ref="A103:A112"/>
    <mergeCell ref="A113:A122"/>
    <mergeCell ref="A123:A124"/>
    <mergeCell ref="A125:A134"/>
    <mergeCell ref="A135:A145"/>
    <mergeCell ref="A146:A161"/>
    <mergeCell ref="A162:A173"/>
    <mergeCell ref="A174:A183"/>
    <mergeCell ref="A184:A194"/>
    <mergeCell ref="A195:A196"/>
    <mergeCell ref="A197:A206"/>
    <mergeCell ref="A275:A287"/>
    <mergeCell ref="A288:A297"/>
    <mergeCell ref="A298:A307"/>
    <mergeCell ref="A207:A217"/>
    <mergeCell ref="A218:A227"/>
    <mergeCell ref="A228:A238"/>
    <mergeCell ref="A239:A252"/>
    <mergeCell ref="A253:A262"/>
    <mergeCell ref="A263:A264"/>
    <mergeCell ref="A265:A274"/>
  </mergeCells>
  <printOptions gridLines="1" horizontalCentered="1"/>
  <pageMargins bottom="0.18897637795275593" footer="0.0" header="0.0" left="0.18897637795275593" right="0.18897637795275593" top="0.37795275590551186"/>
  <pageSetup paperSize="9" cellComments="atEnd" orientation="portrait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2.88"/>
    <col customWidth="1" min="6" max="6" width="16.13"/>
    <col customWidth="1" min="7" max="7" width="4.0"/>
    <col customWidth="1" min="8" max="8" width="20.88"/>
    <col customWidth="1" min="9" max="9" width="18.75"/>
  </cols>
  <sheetData>
    <row r="1">
      <c r="A1" s="231"/>
      <c r="B1" s="945" t="s">
        <v>3714</v>
      </c>
      <c r="C1" s="407" t="s">
        <v>53</v>
      </c>
      <c r="D1" s="407" t="s">
        <v>2858</v>
      </c>
      <c r="E1" s="411" t="s">
        <v>55</v>
      </c>
      <c r="F1" s="409" t="s">
        <v>56</v>
      </c>
      <c r="G1" s="407"/>
      <c r="H1" s="411" t="s">
        <v>2781</v>
      </c>
      <c r="I1" s="411" t="s">
        <v>2782</v>
      </c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/>
      <c r="W1" s="982"/>
      <c r="X1" s="982"/>
      <c r="Y1" s="982"/>
      <c r="Z1" s="982"/>
      <c r="AA1" s="982"/>
      <c r="AB1" s="982"/>
    </row>
    <row r="2">
      <c r="A2" s="1039">
        <v>43710.0</v>
      </c>
      <c r="B2" s="1040">
        <f t="shared" ref="B2:B7" si="1">F2</f>
        <v>460</v>
      </c>
      <c r="C2" s="984"/>
      <c r="D2" s="984"/>
      <c r="E2" s="242"/>
      <c r="F2" s="1025">
        <v>460.0</v>
      </c>
      <c r="G2" s="1026"/>
      <c r="H2" s="244" t="s">
        <v>3954</v>
      </c>
      <c r="I2" s="662"/>
    </row>
    <row r="3">
      <c r="A3" s="265"/>
      <c r="B3" s="1038">
        <f t="shared" si="1"/>
        <v>1798.85</v>
      </c>
      <c r="C3" s="826"/>
      <c r="D3" s="826"/>
      <c r="F3" s="1028">
        <v>1798.85</v>
      </c>
      <c r="G3" s="1029"/>
      <c r="H3" s="2" t="s">
        <v>4157</v>
      </c>
      <c r="I3" s="847"/>
    </row>
    <row r="4">
      <c r="A4" s="265"/>
      <c r="B4" s="1038">
        <f t="shared" si="1"/>
        <v>2806.46</v>
      </c>
      <c r="C4" s="826"/>
      <c r="D4" s="826"/>
      <c r="F4" s="1028">
        <v>2806.46</v>
      </c>
      <c r="G4" s="1029"/>
      <c r="H4" s="2" t="s">
        <v>3821</v>
      </c>
      <c r="I4" s="847"/>
    </row>
    <row r="5">
      <c r="A5" s="265"/>
      <c r="B5" s="1038">
        <f t="shared" si="1"/>
        <v>3220.01</v>
      </c>
      <c r="C5" s="1029"/>
      <c r="D5" s="826"/>
      <c r="F5" s="1028">
        <v>3220.01</v>
      </c>
      <c r="G5" s="1029"/>
      <c r="H5" s="2" t="s">
        <v>4023</v>
      </c>
      <c r="I5" s="847"/>
    </row>
    <row r="6">
      <c r="A6" s="265"/>
      <c r="B6" s="1038">
        <f t="shared" si="1"/>
        <v>3006.13</v>
      </c>
      <c r="C6" s="826"/>
      <c r="D6" s="826"/>
      <c r="F6" s="1028">
        <v>3006.13</v>
      </c>
      <c r="G6" s="1029"/>
      <c r="H6" s="2" t="s">
        <v>3899</v>
      </c>
      <c r="I6" s="847"/>
    </row>
    <row r="7">
      <c r="A7" s="265"/>
      <c r="B7" s="1038">
        <f t="shared" si="1"/>
        <v>825</v>
      </c>
      <c r="C7" s="826"/>
      <c r="D7" s="826"/>
      <c r="F7" s="1028">
        <v>825.0</v>
      </c>
      <c r="H7" s="2" t="s">
        <v>4578</v>
      </c>
      <c r="I7" s="847"/>
    </row>
    <row r="8">
      <c r="A8" s="265"/>
      <c r="B8" s="1041">
        <v>0.0</v>
      </c>
      <c r="C8" s="826"/>
      <c r="D8" s="826"/>
      <c r="F8" s="1028">
        <v>3000.0</v>
      </c>
      <c r="G8" s="1029"/>
      <c r="H8" s="2" t="s">
        <v>43</v>
      </c>
      <c r="I8" s="963" t="s">
        <v>3818</v>
      </c>
    </row>
    <row r="9">
      <c r="A9" s="270"/>
      <c r="B9" s="1042">
        <f>SUM(B2:B8)</f>
        <v>12116.45</v>
      </c>
      <c r="C9" s="1032"/>
      <c r="D9" s="1032"/>
      <c r="E9" s="293"/>
      <c r="F9" s="1037"/>
      <c r="G9" s="1043"/>
      <c r="H9" s="293"/>
      <c r="I9" s="663"/>
    </row>
    <row r="10">
      <c r="A10" s="1039">
        <v>43711.0</v>
      </c>
      <c r="B10" s="1038">
        <f t="shared" ref="B10:B18" si="2">F10</f>
        <v>2270.79</v>
      </c>
      <c r="C10" s="826"/>
      <c r="D10" s="826"/>
      <c r="F10" s="1028">
        <v>2270.79</v>
      </c>
      <c r="G10" s="1029"/>
      <c r="H10" s="2" t="s">
        <v>3821</v>
      </c>
      <c r="I10" s="847"/>
    </row>
    <row r="11">
      <c r="A11" s="265"/>
      <c r="B11" s="1038">
        <f t="shared" si="2"/>
        <v>7520</v>
      </c>
      <c r="C11" s="826"/>
      <c r="D11" s="826"/>
      <c r="F11" s="1028">
        <v>7520.0</v>
      </c>
      <c r="G11" s="1029"/>
      <c r="H11" s="2" t="s">
        <v>615</v>
      </c>
      <c r="I11" s="847"/>
    </row>
    <row r="12">
      <c r="A12" s="265"/>
      <c r="B12" s="1038">
        <f t="shared" si="2"/>
        <v>878.3</v>
      </c>
      <c r="C12" s="826"/>
      <c r="D12" s="826"/>
      <c r="F12" s="1028">
        <v>878.3</v>
      </c>
      <c r="G12" s="1029"/>
      <c r="H12" s="2" t="s">
        <v>4157</v>
      </c>
      <c r="I12" s="847"/>
    </row>
    <row r="13">
      <c r="A13" s="265"/>
      <c r="B13" s="1038">
        <f t="shared" si="2"/>
        <v>400</v>
      </c>
      <c r="C13" s="1029"/>
      <c r="D13" s="826"/>
      <c r="F13" s="1028">
        <v>400.0</v>
      </c>
      <c r="G13" s="1029"/>
      <c r="H13" s="2" t="s">
        <v>4579</v>
      </c>
      <c r="I13" s="847"/>
    </row>
    <row r="14">
      <c r="A14" s="265"/>
      <c r="B14" s="1038">
        <f t="shared" si="2"/>
        <v>5995</v>
      </c>
      <c r="C14" s="826"/>
      <c r="D14" s="826"/>
      <c r="F14" s="1028">
        <v>5995.0</v>
      </c>
      <c r="H14" s="2" t="s">
        <v>4099</v>
      </c>
      <c r="I14" s="847"/>
    </row>
    <row r="15">
      <c r="A15" s="265"/>
      <c r="B15" s="1038">
        <f t="shared" si="2"/>
        <v>0</v>
      </c>
      <c r="C15" s="1029">
        <v>9541.5</v>
      </c>
      <c r="D15" s="826"/>
      <c r="F15" s="1028">
        <v>0.0</v>
      </c>
      <c r="G15" s="1029"/>
      <c r="H15" s="2" t="s">
        <v>2637</v>
      </c>
      <c r="I15" s="847"/>
    </row>
    <row r="16">
      <c r="A16" s="265"/>
      <c r="B16" s="1038">
        <f t="shared" si="2"/>
        <v>395</v>
      </c>
      <c r="C16" s="826"/>
      <c r="D16" s="826"/>
      <c r="F16" s="1028">
        <v>395.0</v>
      </c>
      <c r="G16" s="1029"/>
      <c r="H16" s="2" t="s">
        <v>4580</v>
      </c>
      <c r="I16" s="847"/>
    </row>
    <row r="17">
      <c r="A17" s="265"/>
      <c r="B17" s="1038">
        <f t="shared" si="2"/>
        <v>800</v>
      </c>
      <c r="C17" s="826"/>
      <c r="D17" s="826"/>
      <c r="F17" s="1028">
        <v>800.0</v>
      </c>
      <c r="G17" s="1029"/>
      <c r="H17" s="2" t="s">
        <v>4581</v>
      </c>
      <c r="I17" s="847"/>
    </row>
    <row r="18">
      <c r="A18" s="265"/>
      <c r="B18" s="1038">
        <f t="shared" si="2"/>
        <v>300</v>
      </c>
      <c r="C18" s="826"/>
      <c r="D18" s="826"/>
      <c r="E18" s="2"/>
      <c r="F18" s="1028">
        <v>300.0</v>
      </c>
      <c r="G18" s="1029"/>
      <c r="H18" s="2" t="s">
        <v>1729</v>
      </c>
      <c r="I18" s="847"/>
    </row>
    <row r="19">
      <c r="A19" s="270"/>
      <c r="B19" s="1044">
        <f>SUM(B10:B18)</f>
        <v>18559.09</v>
      </c>
      <c r="C19" s="826"/>
      <c r="D19" s="826"/>
      <c r="E19" s="2"/>
      <c r="F19" s="1028"/>
      <c r="G19" s="1029"/>
      <c r="I19" s="847"/>
    </row>
    <row r="20">
      <c r="A20" s="1023">
        <v>43712.0</v>
      </c>
      <c r="B20" s="1045">
        <f t="shared" ref="B20:B33" si="3">F20</f>
        <v>969.58</v>
      </c>
      <c r="C20" s="984"/>
      <c r="D20" s="984"/>
      <c r="E20" s="242"/>
      <c r="F20" s="1025">
        <v>969.58</v>
      </c>
      <c r="G20" s="1026"/>
      <c r="H20" s="244" t="s">
        <v>314</v>
      </c>
      <c r="I20" s="662"/>
    </row>
    <row r="21">
      <c r="A21" s="611"/>
      <c r="B21" s="1036">
        <f t="shared" si="3"/>
        <v>1462.61</v>
      </c>
      <c r="C21" s="826"/>
      <c r="D21" s="826"/>
      <c r="F21" s="1028">
        <v>1462.61</v>
      </c>
      <c r="G21" s="1029"/>
      <c r="H21" s="2" t="s">
        <v>58</v>
      </c>
      <c r="I21" s="847"/>
    </row>
    <row r="22">
      <c r="A22" s="611"/>
      <c r="B22" s="1036">
        <f t="shared" si="3"/>
        <v>700</v>
      </c>
      <c r="C22" s="826"/>
      <c r="D22" s="826"/>
      <c r="F22" s="1028">
        <v>700.0</v>
      </c>
      <c r="G22" s="1029"/>
      <c r="H22" s="2" t="s">
        <v>4497</v>
      </c>
      <c r="I22" s="847"/>
    </row>
    <row r="23">
      <c r="A23" s="611"/>
      <c r="B23" s="1036">
        <f t="shared" si="3"/>
        <v>2528.9</v>
      </c>
      <c r="C23" s="1029"/>
      <c r="D23" s="826"/>
      <c r="F23" s="1028">
        <v>2528.9</v>
      </c>
      <c r="G23" s="1029"/>
      <c r="H23" s="2" t="s">
        <v>3962</v>
      </c>
      <c r="I23" s="847"/>
    </row>
    <row r="24">
      <c r="A24" s="611"/>
      <c r="B24" s="1036">
        <f t="shared" si="3"/>
        <v>2000</v>
      </c>
      <c r="C24" s="826"/>
      <c r="D24" s="826"/>
      <c r="F24" s="1028">
        <v>2000.0</v>
      </c>
      <c r="G24" s="1029"/>
      <c r="H24" s="2" t="s">
        <v>4582</v>
      </c>
      <c r="I24" s="847"/>
    </row>
    <row r="25">
      <c r="A25" s="611"/>
      <c r="B25" s="1036" t="str">
        <f t="shared" si="3"/>
        <v/>
      </c>
      <c r="C25" s="1029">
        <v>17556.58</v>
      </c>
      <c r="D25" s="826"/>
      <c r="F25" s="1028"/>
      <c r="H25" s="2" t="s">
        <v>4583</v>
      </c>
      <c r="I25" s="847"/>
    </row>
    <row r="26">
      <c r="A26" s="611"/>
      <c r="B26" s="1036">
        <f t="shared" si="3"/>
        <v>1083.68</v>
      </c>
      <c r="C26" s="826"/>
      <c r="D26" s="826"/>
      <c r="F26" s="1028">
        <v>1083.68</v>
      </c>
      <c r="H26" s="2" t="s">
        <v>4584</v>
      </c>
      <c r="I26" s="847"/>
    </row>
    <row r="27">
      <c r="A27" s="611"/>
      <c r="B27" s="1036">
        <f t="shared" si="3"/>
        <v>180.3</v>
      </c>
      <c r="C27" s="1029">
        <v>6236.15</v>
      </c>
      <c r="D27" s="826"/>
      <c r="F27" s="1028">
        <v>180.3</v>
      </c>
      <c r="H27" s="2" t="s">
        <v>4585</v>
      </c>
      <c r="I27" s="847"/>
    </row>
    <row r="28">
      <c r="A28" s="611"/>
      <c r="B28" s="1036">
        <f t="shared" si="3"/>
        <v>5496.13</v>
      </c>
      <c r="C28" s="826"/>
      <c r="D28" s="826"/>
      <c r="F28" s="1028">
        <v>5496.13</v>
      </c>
      <c r="H28" s="2" t="s">
        <v>2349</v>
      </c>
      <c r="I28" s="847"/>
    </row>
    <row r="29">
      <c r="A29" s="611"/>
      <c r="B29" s="1036">
        <f t="shared" si="3"/>
        <v>1766</v>
      </c>
      <c r="C29" s="826"/>
      <c r="D29" s="826"/>
      <c r="F29" s="1028">
        <v>1766.0</v>
      </c>
      <c r="G29" s="1029"/>
      <c r="H29" s="2" t="s">
        <v>4586</v>
      </c>
      <c r="I29" s="847"/>
    </row>
    <row r="30">
      <c r="A30" s="611"/>
      <c r="B30" s="1036" t="str">
        <f t="shared" si="3"/>
        <v/>
      </c>
      <c r="C30" s="826"/>
      <c r="D30" s="1029">
        <v>5195.98</v>
      </c>
      <c r="F30" s="1028"/>
      <c r="G30" s="1029"/>
      <c r="H30" s="2" t="s">
        <v>2167</v>
      </c>
      <c r="I30" s="847"/>
    </row>
    <row r="31">
      <c r="A31" s="611"/>
      <c r="B31" s="1036">
        <f t="shared" si="3"/>
        <v>6300</v>
      </c>
      <c r="C31" s="826"/>
      <c r="D31" s="826"/>
      <c r="F31" s="1028">
        <v>6300.0</v>
      </c>
      <c r="G31" s="1029"/>
      <c r="H31" s="2" t="s">
        <v>4587</v>
      </c>
      <c r="I31" s="847"/>
    </row>
    <row r="32">
      <c r="A32" s="611"/>
      <c r="B32" s="1036">
        <f t="shared" si="3"/>
        <v>1000</v>
      </c>
      <c r="C32" s="826"/>
      <c r="D32" s="826"/>
      <c r="F32" s="1028">
        <v>1000.0</v>
      </c>
      <c r="G32" s="1029"/>
      <c r="H32" s="2" t="s">
        <v>3897</v>
      </c>
      <c r="I32" s="963" t="s">
        <v>4588</v>
      </c>
    </row>
    <row r="33">
      <c r="A33" s="611"/>
      <c r="B33" s="1036">
        <f t="shared" si="3"/>
        <v>400</v>
      </c>
      <c r="C33" s="826"/>
      <c r="D33" s="826"/>
      <c r="F33" s="1028">
        <v>400.0</v>
      </c>
      <c r="G33" s="1029"/>
      <c r="H33" s="2" t="s">
        <v>130</v>
      </c>
      <c r="I33" s="963" t="s">
        <v>4589</v>
      </c>
    </row>
    <row r="34">
      <c r="A34" s="611"/>
      <c r="B34" s="1036"/>
      <c r="C34" s="1029">
        <v>10096.0</v>
      </c>
      <c r="D34" s="1029">
        <v>10000.0</v>
      </c>
      <c r="F34" s="1046"/>
      <c r="G34" s="1047"/>
      <c r="H34" s="2" t="s">
        <v>4590</v>
      </c>
      <c r="I34" s="847"/>
    </row>
    <row r="35">
      <c r="A35" s="611"/>
      <c r="B35" s="1036">
        <v>0.0</v>
      </c>
      <c r="C35" s="826"/>
      <c r="D35" s="826"/>
      <c r="F35" s="1046">
        <v>5800.0</v>
      </c>
      <c r="G35" s="1047"/>
      <c r="H35" s="1048" t="s">
        <v>4591</v>
      </c>
      <c r="I35" s="847"/>
    </row>
    <row r="36">
      <c r="A36" s="613"/>
      <c r="B36" s="1035">
        <f>SUM(B20:B35)</f>
        <v>23887.2</v>
      </c>
      <c r="C36" s="826"/>
      <c r="D36" s="826"/>
      <c r="E36" s="2"/>
      <c r="F36" s="1028"/>
      <c r="G36" s="1029"/>
      <c r="H36" s="2"/>
      <c r="I36" s="847"/>
    </row>
    <row r="37">
      <c r="A37" s="1023">
        <v>43713.0</v>
      </c>
      <c r="B37" s="1024">
        <f t="shared" ref="B37:B45" si="4">F37</f>
        <v>1619.56</v>
      </c>
      <c r="C37" s="984"/>
      <c r="D37" s="984"/>
      <c r="E37" s="242"/>
      <c r="F37" s="1025">
        <v>1619.56</v>
      </c>
      <c r="G37" s="1026"/>
      <c r="H37" s="244" t="s">
        <v>4157</v>
      </c>
      <c r="I37" s="662"/>
    </row>
    <row r="38">
      <c r="A38" s="611"/>
      <c r="B38" s="1027">
        <f t="shared" si="4"/>
        <v>1564.01</v>
      </c>
      <c r="C38" s="826"/>
      <c r="D38" s="826"/>
      <c r="F38" s="1028">
        <v>1564.01</v>
      </c>
      <c r="G38" s="1029"/>
      <c r="H38" s="2" t="s">
        <v>3821</v>
      </c>
      <c r="I38" s="847"/>
    </row>
    <row r="39">
      <c r="A39" s="611"/>
      <c r="B39" s="1027">
        <f t="shared" si="4"/>
        <v>6879.14</v>
      </c>
      <c r="C39" s="826"/>
      <c r="D39" s="826"/>
      <c r="F39" s="1028">
        <v>6879.14</v>
      </c>
      <c r="G39" s="1029"/>
      <c r="H39" s="2" t="s">
        <v>3899</v>
      </c>
      <c r="I39" s="847"/>
    </row>
    <row r="40">
      <c r="A40" s="611"/>
      <c r="B40" s="1027">
        <f t="shared" si="4"/>
        <v>2975.55</v>
      </c>
      <c r="C40" s="1029"/>
      <c r="D40" s="826"/>
      <c r="F40" s="1028">
        <v>2975.55</v>
      </c>
      <c r="G40" s="1029"/>
      <c r="H40" s="2" t="s">
        <v>3964</v>
      </c>
      <c r="I40" s="847"/>
    </row>
    <row r="41">
      <c r="A41" s="611"/>
      <c r="B41" s="1027">
        <f t="shared" si="4"/>
        <v>2290</v>
      </c>
      <c r="C41" s="826"/>
      <c r="D41" s="826"/>
      <c r="F41" s="1028">
        <v>2290.0</v>
      </c>
      <c r="G41" s="1029"/>
      <c r="H41" s="2" t="s">
        <v>4099</v>
      </c>
      <c r="I41" s="847"/>
    </row>
    <row r="42">
      <c r="A42" s="611"/>
      <c r="B42" s="1027">
        <f t="shared" si="4"/>
        <v>400</v>
      </c>
      <c r="C42" s="826"/>
      <c r="D42" s="826"/>
      <c r="F42" s="1028">
        <v>400.0</v>
      </c>
      <c r="H42" s="2" t="s">
        <v>130</v>
      </c>
      <c r="I42" s="847"/>
    </row>
    <row r="43">
      <c r="A43" s="611"/>
      <c r="B43" s="1027">
        <f t="shared" si="4"/>
        <v>1000</v>
      </c>
      <c r="C43" s="826"/>
      <c r="D43" s="826"/>
      <c r="F43" s="1028">
        <v>1000.0</v>
      </c>
      <c r="G43" s="1029"/>
      <c r="H43" s="2" t="s">
        <v>2787</v>
      </c>
      <c r="I43" s="963" t="s">
        <v>4592</v>
      </c>
    </row>
    <row r="44">
      <c r="A44" s="611"/>
      <c r="B44" s="1027">
        <f t="shared" si="4"/>
        <v>500</v>
      </c>
      <c r="C44" s="826"/>
      <c r="D44" s="826"/>
      <c r="F44" s="1028">
        <v>500.0</v>
      </c>
      <c r="G44" s="1029"/>
      <c r="H44" s="2" t="s">
        <v>3815</v>
      </c>
      <c r="I44" s="963" t="s">
        <v>4592</v>
      </c>
    </row>
    <row r="45">
      <c r="A45" s="611"/>
      <c r="B45" s="1027" t="str">
        <f t="shared" si="4"/>
        <v/>
      </c>
      <c r="C45" s="826"/>
      <c r="D45" s="1049">
        <v>50000.0</v>
      </c>
      <c r="E45" s="1047"/>
      <c r="F45" s="1046"/>
      <c r="G45" s="1049"/>
      <c r="H45" s="1048" t="s">
        <v>4593</v>
      </c>
      <c r="I45" s="1050" t="s">
        <v>43</v>
      </c>
    </row>
    <row r="46">
      <c r="A46" s="613"/>
      <c r="B46" s="1031">
        <f>SUM(B37:B45)</f>
        <v>17228.26</v>
      </c>
      <c r="C46" s="826"/>
      <c r="D46" s="826"/>
      <c r="E46" s="2"/>
      <c r="F46" s="1028"/>
      <c r="G46" s="1029"/>
      <c r="H46" s="2"/>
      <c r="I46" s="847"/>
    </row>
    <row r="47">
      <c r="A47" s="1023">
        <v>43714.0</v>
      </c>
      <c r="B47" s="1027">
        <f t="shared" ref="B47:B59" si="5">F47</f>
        <v>2000</v>
      </c>
      <c r="C47" s="984"/>
      <c r="D47" s="984"/>
      <c r="E47" s="242"/>
      <c r="F47" s="1025">
        <v>2000.0</v>
      </c>
      <c r="G47" s="1026"/>
      <c r="H47" s="244" t="s">
        <v>4594</v>
      </c>
      <c r="I47" s="662"/>
    </row>
    <row r="48">
      <c r="A48" s="611"/>
      <c r="B48" s="1027">
        <f t="shared" si="5"/>
        <v>2000</v>
      </c>
      <c r="C48" s="826"/>
      <c r="D48" s="826"/>
      <c r="F48" s="1028">
        <v>2000.0</v>
      </c>
      <c r="G48" s="1029"/>
      <c r="H48" s="2" t="s">
        <v>4595</v>
      </c>
      <c r="I48" s="847"/>
    </row>
    <row r="49">
      <c r="A49" s="611"/>
      <c r="B49" s="1027">
        <f t="shared" si="5"/>
        <v>400</v>
      </c>
      <c r="C49" s="826"/>
      <c r="D49" s="826"/>
      <c r="F49" s="1028">
        <v>400.0</v>
      </c>
      <c r="G49" s="1029"/>
      <c r="H49" s="2" t="s">
        <v>4596</v>
      </c>
      <c r="I49" s="847"/>
    </row>
    <row r="50">
      <c r="A50" s="611"/>
      <c r="B50" s="1027">
        <f t="shared" si="5"/>
        <v>100</v>
      </c>
      <c r="C50" s="1029"/>
      <c r="D50" s="826"/>
      <c r="F50" s="1028">
        <v>100.0</v>
      </c>
      <c r="G50" s="1029"/>
      <c r="H50" s="2" t="s">
        <v>4597</v>
      </c>
      <c r="I50" s="847"/>
    </row>
    <row r="51">
      <c r="A51" s="611"/>
      <c r="B51" s="1027" t="str">
        <f t="shared" si="5"/>
        <v/>
      </c>
      <c r="C51" s="2">
        <v>7095.0</v>
      </c>
      <c r="D51" s="826"/>
      <c r="F51" s="1028"/>
      <c r="G51" s="1029"/>
      <c r="H51" s="2" t="s">
        <v>4280</v>
      </c>
      <c r="I51" s="847"/>
    </row>
    <row r="52">
      <c r="A52" s="611"/>
      <c r="B52" s="1027">
        <f t="shared" si="5"/>
        <v>300</v>
      </c>
      <c r="C52" s="826"/>
      <c r="D52" s="826"/>
      <c r="F52" s="1028">
        <v>300.0</v>
      </c>
      <c r="H52" s="2" t="s">
        <v>1729</v>
      </c>
      <c r="I52" s="847"/>
    </row>
    <row r="53">
      <c r="A53" s="611"/>
      <c r="B53" s="1027">
        <f t="shared" si="5"/>
        <v>3926.45</v>
      </c>
      <c r="C53" s="826"/>
      <c r="D53" s="826"/>
      <c r="F53" s="1028">
        <v>3926.45</v>
      </c>
      <c r="G53" s="1029"/>
      <c r="H53" s="2" t="s">
        <v>2637</v>
      </c>
      <c r="I53" s="847"/>
    </row>
    <row r="54">
      <c r="A54" s="611"/>
      <c r="B54" s="1027">
        <f t="shared" si="5"/>
        <v>832.64</v>
      </c>
      <c r="C54" s="826"/>
      <c r="D54" s="826"/>
      <c r="F54" s="1028">
        <v>832.64</v>
      </c>
      <c r="G54" s="1029"/>
      <c r="H54" s="2" t="s">
        <v>4598</v>
      </c>
      <c r="I54" s="847"/>
    </row>
    <row r="55">
      <c r="A55" s="611"/>
      <c r="B55" s="1027">
        <f t="shared" si="5"/>
        <v>1462.61</v>
      </c>
      <c r="C55" s="826"/>
      <c r="D55" s="826"/>
      <c r="F55" s="1028">
        <v>1462.61</v>
      </c>
      <c r="G55" s="1029"/>
      <c r="H55" s="2" t="s">
        <v>3821</v>
      </c>
      <c r="I55" s="847"/>
    </row>
    <row r="56">
      <c r="A56" s="611"/>
      <c r="B56" s="1027" t="str">
        <f t="shared" si="5"/>
        <v/>
      </c>
      <c r="C56" s="826"/>
      <c r="D56" s="2">
        <v>9296.7</v>
      </c>
      <c r="F56" s="1028"/>
      <c r="G56" s="1029"/>
      <c r="H56" s="2" t="s">
        <v>4513</v>
      </c>
      <c r="I56" s="847"/>
    </row>
    <row r="57">
      <c r="A57" s="611"/>
      <c r="B57" s="1027">
        <f t="shared" si="5"/>
        <v>65.24</v>
      </c>
      <c r="C57" s="826"/>
      <c r="D57" s="826"/>
      <c r="F57" s="1028">
        <v>65.24</v>
      </c>
      <c r="G57" s="1029"/>
      <c r="H57" s="2" t="s">
        <v>3433</v>
      </c>
      <c r="I57" s="847"/>
    </row>
    <row r="58">
      <c r="A58" s="611"/>
      <c r="B58" s="1027">
        <f t="shared" si="5"/>
        <v>3100</v>
      </c>
      <c r="C58" s="826"/>
      <c r="D58" s="826"/>
      <c r="F58" s="1028">
        <v>3100.0</v>
      </c>
      <c r="G58" s="1029"/>
      <c r="H58" s="2" t="s">
        <v>4262</v>
      </c>
      <c r="I58" s="847"/>
    </row>
    <row r="59">
      <c r="A59" s="611"/>
      <c r="B59" s="1027">
        <f t="shared" si="5"/>
        <v>210</v>
      </c>
      <c r="C59" s="826"/>
      <c r="D59" s="826"/>
      <c r="F59" s="1028">
        <v>210.0</v>
      </c>
      <c r="G59" s="1029"/>
      <c r="H59" s="2" t="s">
        <v>1732</v>
      </c>
      <c r="I59" s="847"/>
    </row>
    <row r="60">
      <c r="A60" s="613"/>
      <c r="B60" s="1031">
        <f>SUM(B47:B59)</f>
        <v>14396.94</v>
      </c>
      <c r="C60" s="826"/>
      <c r="D60" s="826"/>
      <c r="E60" s="2"/>
      <c r="F60" s="1028"/>
      <c r="G60" s="1029"/>
      <c r="H60" s="2"/>
      <c r="I60" s="847"/>
    </row>
    <row r="61">
      <c r="A61" s="1039">
        <v>43715.0</v>
      </c>
      <c r="B61" s="1038">
        <f t="shared" ref="B61:B70" si="6">F61</f>
        <v>337.64</v>
      </c>
      <c r="C61" s="984"/>
      <c r="D61" s="984"/>
      <c r="E61" s="242"/>
      <c r="F61" s="1025">
        <v>337.64</v>
      </c>
      <c r="G61" s="1026"/>
      <c r="H61" s="244" t="s">
        <v>3433</v>
      </c>
      <c r="I61" s="662"/>
    </row>
    <row r="62">
      <c r="A62" s="265"/>
      <c r="B62" s="1038">
        <f t="shared" si="6"/>
        <v>5000</v>
      </c>
      <c r="C62" s="826"/>
      <c r="D62" s="826"/>
      <c r="F62" s="1028">
        <v>5000.0</v>
      </c>
      <c r="G62" s="1029"/>
      <c r="H62" s="2" t="s">
        <v>4062</v>
      </c>
      <c r="I62" s="818"/>
    </row>
    <row r="63">
      <c r="A63" s="265"/>
      <c r="B63" s="1038">
        <f t="shared" si="6"/>
        <v>6000</v>
      </c>
      <c r="C63" s="826"/>
      <c r="D63" s="826"/>
      <c r="F63" s="1028">
        <v>6000.0</v>
      </c>
      <c r="G63" s="1029"/>
      <c r="H63" s="2" t="s">
        <v>4152</v>
      </c>
      <c r="I63" s="818"/>
    </row>
    <row r="64">
      <c r="A64" s="265"/>
      <c r="B64" s="1038">
        <f t="shared" si="6"/>
        <v>6000</v>
      </c>
      <c r="C64" s="1029"/>
      <c r="D64" s="826"/>
      <c r="F64" s="1028">
        <v>6000.0</v>
      </c>
      <c r="G64" s="1029"/>
      <c r="H64" s="2" t="s">
        <v>4154</v>
      </c>
      <c r="I64" s="818"/>
    </row>
    <row r="65">
      <c r="A65" s="265"/>
      <c r="B65" s="1038">
        <f t="shared" si="6"/>
        <v>6000</v>
      </c>
      <c r="C65" s="826"/>
      <c r="D65" s="826"/>
      <c r="F65" s="1028">
        <v>6000.0</v>
      </c>
      <c r="H65" s="2" t="s">
        <v>4529</v>
      </c>
      <c r="I65" s="818"/>
    </row>
    <row r="66">
      <c r="A66" s="265"/>
      <c r="B66" s="1038">
        <f t="shared" si="6"/>
        <v>289.99</v>
      </c>
      <c r="C66" s="826"/>
      <c r="D66" s="826"/>
      <c r="F66" s="1028">
        <v>289.99</v>
      </c>
      <c r="G66" s="1029"/>
      <c r="H66" s="2" t="s">
        <v>3433</v>
      </c>
      <c r="I66" s="818"/>
    </row>
    <row r="67">
      <c r="A67" s="265"/>
      <c r="B67" s="1038">
        <f t="shared" si="6"/>
        <v>3500</v>
      </c>
      <c r="C67" s="826"/>
      <c r="D67" s="826"/>
      <c r="F67" s="1028">
        <v>3500.0</v>
      </c>
      <c r="H67" s="2" t="s">
        <v>4315</v>
      </c>
      <c r="I67" s="818"/>
    </row>
    <row r="68">
      <c r="A68" s="265"/>
      <c r="B68" s="1038">
        <f t="shared" si="6"/>
        <v>1000</v>
      </c>
      <c r="C68" s="826"/>
      <c r="D68" s="826"/>
      <c r="F68" s="1028">
        <v>1000.0</v>
      </c>
      <c r="G68" s="1029"/>
      <c r="H68" s="2" t="s">
        <v>3818</v>
      </c>
      <c r="I68" s="818"/>
    </row>
    <row r="69">
      <c r="A69" s="265"/>
      <c r="B69" s="1038">
        <f t="shared" si="6"/>
        <v>700</v>
      </c>
      <c r="C69" s="826"/>
      <c r="D69" s="826"/>
      <c r="F69" s="1028">
        <v>700.0</v>
      </c>
      <c r="G69" s="1029"/>
      <c r="H69" s="2" t="s">
        <v>4497</v>
      </c>
      <c r="I69" s="847"/>
    </row>
    <row r="70">
      <c r="A70" s="265"/>
      <c r="B70" s="1038">
        <f t="shared" si="6"/>
        <v>1320</v>
      </c>
      <c r="C70" s="826"/>
      <c r="D70" s="826"/>
      <c r="F70" s="1028">
        <v>1320.0</v>
      </c>
      <c r="G70" s="1029"/>
      <c r="H70" s="2" t="s">
        <v>4599</v>
      </c>
      <c r="I70" s="847"/>
    </row>
    <row r="71">
      <c r="A71" s="270"/>
      <c r="B71" s="1044">
        <f>SUM(B61:B70)</f>
        <v>30147.63</v>
      </c>
      <c r="C71" s="826"/>
      <c r="D71" s="826"/>
      <c r="E71" s="2"/>
      <c r="F71" s="1028"/>
      <c r="G71" s="1029"/>
      <c r="H71" s="2"/>
      <c r="I71" s="847"/>
    </row>
    <row r="72">
      <c r="A72" s="1039">
        <v>43716.0</v>
      </c>
      <c r="B72" s="1040"/>
      <c r="C72" s="984"/>
      <c r="D72" s="984"/>
      <c r="E72" s="242"/>
      <c r="F72" s="1025"/>
      <c r="G72" s="1026"/>
      <c r="H72" s="242"/>
      <c r="I72" s="662"/>
    </row>
    <row r="73">
      <c r="A73" s="270"/>
      <c r="B73" s="1044">
        <f>SUM(B72)</f>
        <v>0</v>
      </c>
      <c r="C73" s="826"/>
      <c r="D73" s="826"/>
      <c r="E73" s="2"/>
      <c r="F73" s="1028"/>
      <c r="G73" s="1029"/>
      <c r="H73" s="2"/>
      <c r="I73" s="847"/>
    </row>
    <row r="74">
      <c r="A74" s="1023">
        <v>43717.0</v>
      </c>
      <c r="B74" s="1024">
        <f t="shared" ref="B74:B80" si="7">F74</f>
        <v>2105.68</v>
      </c>
      <c r="C74" s="984"/>
      <c r="D74" s="984"/>
      <c r="E74" s="242"/>
      <c r="F74" s="1025">
        <v>2105.68</v>
      </c>
      <c r="G74" s="1026"/>
      <c r="H74" s="244" t="s">
        <v>3433</v>
      </c>
      <c r="I74" s="662"/>
    </row>
    <row r="75">
      <c r="A75" s="611"/>
      <c r="B75" s="1027">
        <f t="shared" si="7"/>
        <v>6674</v>
      </c>
      <c r="C75" s="826"/>
      <c r="D75" s="826"/>
      <c r="F75" s="1028">
        <v>6674.0</v>
      </c>
      <c r="G75" s="1029"/>
      <c r="H75" s="2" t="s">
        <v>4600</v>
      </c>
      <c r="I75" s="847"/>
    </row>
    <row r="76">
      <c r="A76" s="611"/>
      <c r="B76" s="1027">
        <f t="shared" si="7"/>
        <v>2210.67</v>
      </c>
      <c r="C76" s="826"/>
      <c r="D76" s="826"/>
      <c r="F76" s="1028">
        <v>2210.67</v>
      </c>
      <c r="G76" s="1029"/>
      <c r="H76" s="2" t="s">
        <v>58</v>
      </c>
      <c r="I76" s="847"/>
    </row>
    <row r="77">
      <c r="A77" s="611"/>
      <c r="B77" s="1027">
        <f t="shared" si="7"/>
        <v>830</v>
      </c>
      <c r="C77" s="1029"/>
      <c r="D77" s="826"/>
      <c r="F77" s="1028">
        <v>830.0</v>
      </c>
      <c r="G77" s="1029"/>
      <c r="H77" s="2" t="s">
        <v>4601</v>
      </c>
      <c r="I77" s="847"/>
    </row>
    <row r="78">
      <c r="A78" s="611"/>
      <c r="B78" s="1027" t="str">
        <f t="shared" si="7"/>
        <v/>
      </c>
      <c r="C78" s="1029">
        <v>32065.0</v>
      </c>
      <c r="D78" s="826"/>
      <c r="F78" s="1028"/>
      <c r="G78" s="1029"/>
      <c r="H78" s="2" t="s">
        <v>4602</v>
      </c>
      <c r="I78" s="847"/>
    </row>
    <row r="79">
      <c r="A79" s="611"/>
      <c r="B79" s="1027">
        <f t="shared" si="7"/>
        <v>290</v>
      </c>
      <c r="C79" s="826"/>
      <c r="D79" s="826"/>
      <c r="F79" s="1028">
        <v>290.0</v>
      </c>
      <c r="H79" s="2" t="s">
        <v>4603</v>
      </c>
      <c r="I79" s="847"/>
    </row>
    <row r="80">
      <c r="A80" s="611"/>
      <c r="B80" s="1027">
        <f t="shared" si="7"/>
        <v>1500</v>
      </c>
      <c r="C80" s="826"/>
      <c r="D80" s="826"/>
      <c r="F80" s="1028">
        <v>1500.0</v>
      </c>
      <c r="G80" s="1029"/>
      <c r="H80" s="2" t="s">
        <v>4038</v>
      </c>
      <c r="I80" s="818"/>
    </row>
    <row r="81">
      <c r="A81" s="611"/>
      <c r="B81" s="1035"/>
      <c r="C81" s="826"/>
      <c r="D81" s="1029">
        <v>4855.39</v>
      </c>
      <c r="E81" s="2"/>
      <c r="F81" s="1028"/>
      <c r="G81" s="1029"/>
      <c r="H81" s="2" t="s">
        <v>4516</v>
      </c>
      <c r="I81" s="963"/>
    </row>
    <row r="82">
      <c r="A82" s="613"/>
      <c r="B82" s="1035">
        <f>SUM(B74:B80)</f>
        <v>13610.35</v>
      </c>
      <c r="C82" s="826"/>
      <c r="D82" s="826"/>
      <c r="E82" s="2"/>
      <c r="F82" s="1028"/>
      <c r="G82" s="1029"/>
      <c r="H82" s="2"/>
      <c r="I82" s="847"/>
    </row>
    <row r="83">
      <c r="A83" s="1023">
        <v>43718.0</v>
      </c>
      <c r="B83" s="1024">
        <f t="shared" ref="B83:B91" si="8">F83</f>
        <v>5250</v>
      </c>
      <c r="C83" s="984"/>
      <c r="D83" s="984"/>
      <c r="E83" s="242"/>
      <c r="F83" s="1025">
        <v>5250.0</v>
      </c>
      <c r="G83" s="1026"/>
      <c r="H83" s="244" t="s">
        <v>4587</v>
      </c>
      <c r="I83" s="662"/>
    </row>
    <row r="84">
      <c r="A84" s="611"/>
      <c r="B84" s="1027">
        <f t="shared" si="8"/>
        <v>3884.12</v>
      </c>
      <c r="C84" s="826"/>
      <c r="D84" s="826"/>
      <c r="F84" s="1028">
        <v>3884.12</v>
      </c>
      <c r="G84" s="1029"/>
      <c r="H84" s="2" t="s">
        <v>615</v>
      </c>
      <c r="I84" s="847"/>
    </row>
    <row r="85">
      <c r="A85" s="611"/>
      <c r="B85" s="1027">
        <f t="shared" si="8"/>
        <v>0</v>
      </c>
      <c r="C85" s="1029">
        <v>7741.74</v>
      </c>
      <c r="D85" s="826"/>
      <c r="F85" s="1028">
        <v>0.0</v>
      </c>
      <c r="G85" s="1029"/>
      <c r="H85" s="2" t="s">
        <v>2637</v>
      </c>
      <c r="I85" s="847"/>
    </row>
    <row r="86">
      <c r="A86" s="611"/>
      <c r="B86" s="1027">
        <f t="shared" si="8"/>
        <v>715</v>
      </c>
      <c r="C86" s="1029"/>
      <c r="D86" s="826"/>
      <c r="F86" s="1028">
        <v>715.0</v>
      </c>
      <c r="G86" s="1029"/>
      <c r="H86" s="2" t="s">
        <v>346</v>
      </c>
      <c r="I86" s="847"/>
    </row>
    <row r="87">
      <c r="A87" s="611"/>
      <c r="B87" s="1027">
        <f t="shared" si="8"/>
        <v>0</v>
      </c>
      <c r="C87" s="1029">
        <v>1671.63</v>
      </c>
      <c r="D87" s="826"/>
      <c r="F87" s="1028">
        <v>0.0</v>
      </c>
      <c r="G87" s="1029"/>
      <c r="H87" s="2" t="s">
        <v>4200</v>
      </c>
      <c r="I87" s="847"/>
    </row>
    <row r="88">
      <c r="A88" s="611"/>
      <c r="B88" s="1027">
        <f t="shared" si="8"/>
        <v>3000</v>
      </c>
      <c r="C88" s="826"/>
      <c r="D88" s="826"/>
      <c r="F88" s="1028">
        <v>3000.0</v>
      </c>
      <c r="H88" s="2" t="s">
        <v>4550</v>
      </c>
      <c r="I88" s="847"/>
    </row>
    <row r="89">
      <c r="A89" s="611"/>
      <c r="B89" s="1027">
        <f t="shared" si="8"/>
        <v>200</v>
      </c>
      <c r="C89" s="826"/>
      <c r="D89" s="826"/>
      <c r="F89" s="1028">
        <v>200.0</v>
      </c>
      <c r="G89" s="1029"/>
      <c r="H89" s="2" t="s">
        <v>4604</v>
      </c>
      <c r="I89" s="818"/>
    </row>
    <row r="90">
      <c r="A90" s="611"/>
      <c r="B90" s="1027">
        <f t="shared" si="8"/>
        <v>200</v>
      </c>
      <c r="C90" s="826"/>
      <c r="D90" s="826"/>
      <c r="F90" s="1028">
        <v>200.0</v>
      </c>
      <c r="G90" s="1029"/>
      <c r="H90" s="2" t="s">
        <v>3897</v>
      </c>
      <c r="I90" s="818"/>
    </row>
    <row r="91">
      <c r="A91" s="611"/>
      <c r="B91" s="1027" t="str">
        <f t="shared" si="8"/>
        <v/>
      </c>
      <c r="C91" s="826"/>
      <c r="D91" s="826"/>
      <c r="F91" s="1028"/>
      <c r="G91" s="1029"/>
      <c r="I91" s="847"/>
    </row>
    <row r="92">
      <c r="A92" s="613"/>
      <c r="B92" s="1035">
        <f>SUM(B83:B91)</f>
        <v>13249.12</v>
      </c>
      <c r="C92" s="826"/>
      <c r="D92" s="826"/>
      <c r="E92" s="2"/>
      <c r="F92" s="1028"/>
      <c r="G92" s="1029"/>
      <c r="H92" s="2"/>
      <c r="I92" s="847"/>
    </row>
    <row r="93">
      <c r="A93" s="1023">
        <v>43719.0</v>
      </c>
      <c r="B93" s="1024">
        <f t="shared" ref="B93:B96" si="9">F93</f>
        <v>1807.63</v>
      </c>
      <c r="C93" s="984"/>
      <c r="D93" s="984"/>
      <c r="E93" s="242"/>
      <c r="F93" s="1025">
        <v>1807.63</v>
      </c>
      <c r="G93" s="1026"/>
      <c r="H93" s="244" t="s">
        <v>314</v>
      </c>
      <c r="I93" s="662"/>
    </row>
    <row r="94">
      <c r="A94" s="611"/>
      <c r="B94" s="1027">
        <f t="shared" si="9"/>
        <v>2179.38</v>
      </c>
      <c r="C94" s="826"/>
      <c r="D94" s="826"/>
      <c r="F94" s="1028">
        <v>2179.38</v>
      </c>
      <c r="G94" s="1029"/>
      <c r="H94" s="2" t="s">
        <v>58</v>
      </c>
      <c r="I94" s="847"/>
    </row>
    <row r="95">
      <c r="A95" s="611"/>
      <c r="B95" s="1027">
        <f t="shared" si="9"/>
        <v>700</v>
      </c>
      <c r="C95" s="826"/>
      <c r="D95" s="826"/>
      <c r="F95" s="1028">
        <v>700.0</v>
      </c>
      <c r="G95" s="1029"/>
      <c r="H95" s="2" t="s">
        <v>3437</v>
      </c>
      <c r="I95" s="847"/>
    </row>
    <row r="96">
      <c r="A96" s="611"/>
      <c r="B96" s="1027">
        <f t="shared" si="9"/>
        <v>20.86</v>
      </c>
      <c r="C96" s="1029"/>
      <c r="D96" s="826"/>
      <c r="F96" s="1028">
        <v>20.86</v>
      </c>
      <c r="G96" s="1029"/>
      <c r="H96" s="2" t="s">
        <v>4157</v>
      </c>
      <c r="I96" s="847"/>
    </row>
    <row r="97">
      <c r="A97" s="613"/>
      <c r="B97" s="1031">
        <f>SUM(B93:B96)</f>
        <v>4707.87</v>
      </c>
      <c r="C97" s="826"/>
      <c r="D97" s="826"/>
      <c r="E97" s="2"/>
      <c r="F97" s="1028"/>
      <c r="G97" s="1029"/>
      <c r="H97" s="2"/>
      <c r="I97" s="847"/>
    </row>
    <row r="98">
      <c r="A98" s="1039">
        <v>43720.0</v>
      </c>
      <c r="B98" s="1038">
        <f t="shared" ref="B98:B112" si="10">F98</f>
        <v>1564</v>
      </c>
      <c r="C98" s="984"/>
      <c r="D98" s="984"/>
      <c r="E98" s="242"/>
      <c r="F98" s="1025">
        <v>1564.0</v>
      </c>
      <c r="G98" s="1026"/>
      <c r="H98" s="244" t="s">
        <v>3821</v>
      </c>
      <c r="I98" s="662"/>
    </row>
    <row r="99">
      <c r="A99" s="265"/>
      <c r="B99" s="1038">
        <f t="shared" si="10"/>
        <v>3400</v>
      </c>
      <c r="C99" s="826"/>
      <c r="D99" s="826"/>
      <c r="F99" s="1028">
        <v>3400.0</v>
      </c>
      <c r="G99" s="1029"/>
      <c r="H99" s="2" t="s">
        <v>612</v>
      </c>
      <c r="I99" s="847"/>
    </row>
    <row r="100">
      <c r="A100" s="265"/>
      <c r="B100" s="1038">
        <f t="shared" si="10"/>
        <v>3030</v>
      </c>
      <c r="C100" s="826"/>
      <c r="D100" s="826"/>
      <c r="F100" s="1028">
        <v>3030.0</v>
      </c>
      <c r="G100" s="1029"/>
      <c r="H100" s="2" t="s">
        <v>3899</v>
      </c>
      <c r="I100" s="847"/>
    </row>
    <row r="101">
      <c r="A101" s="265"/>
      <c r="B101" s="1038">
        <f t="shared" si="10"/>
        <v>1501.74</v>
      </c>
      <c r="C101" s="1029"/>
      <c r="D101" s="826"/>
      <c r="F101" s="1028">
        <v>1501.74</v>
      </c>
      <c r="G101" s="1029"/>
      <c r="H101" s="2" t="s">
        <v>314</v>
      </c>
      <c r="I101" s="847"/>
    </row>
    <row r="102">
      <c r="A102" s="265"/>
      <c r="B102" s="1038">
        <f t="shared" si="10"/>
        <v>198</v>
      </c>
      <c r="C102" s="826"/>
      <c r="D102" s="826"/>
      <c r="F102" s="1028">
        <v>198.0</v>
      </c>
      <c r="G102" s="1029"/>
      <c r="H102" s="2" t="s">
        <v>4605</v>
      </c>
      <c r="I102" s="847"/>
    </row>
    <row r="103">
      <c r="A103" s="265"/>
      <c r="B103" s="1038">
        <f t="shared" si="10"/>
        <v>7370</v>
      </c>
      <c r="C103" s="826"/>
      <c r="D103" s="826"/>
      <c r="F103" s="1028">
        <v>7370.0</v>
      </c>
      <c r="H103" s="2" t="s">
        <v>4099</v>
      </c>
      <c r="I103" s="847"/>
    </row>
    <row r="104">
      <c r="A104" s="265"/>
      <c r="B104" s="1038">
        <f t="shared" si="10"/>
        <v>5800</v>
      </c>
      <c r="C104" s="826"/>
      <c r="D104" s="826"/>
      <c r="F104" s="1028">
        <v>5800.0</v>
      </c>
      <c r="G104" s="1029"/>
      <c r="H104" s="2" t="s">
        <v>4606</v>
      </c>
      <c r="I104" s="847"/>
    </row>
    <row r="105">
      <c r="A105" s="265"/>
      <c r="B105" s="1038">
        <f t="shared" si="10"/>
        <v>500</v>
      </c>
      <c r="C105" s="826"/>
      <c r="D105" s="826"/>
      <c r="F105" s="1028">
        <v>500.0</v>
      </c>
      <c r="G105" s="1029"/>
      <c r="H105" s="2" t="s">
        <v>4038</v>
      </c>
      <c r="I105" s="818"/>
    </row>
    <row r="106">
      <c r="A106" s="265"/>
      <c r="B106" s="1038">
        <f t="shared" si="10"/>
        <v>4000</v>
      </c>
      <c r="C106" s="826"/>
      <c r="D106" s="826"/>
      <c r="F106" s="1028">
        <v>4000.0</v>
      </c>
      <c r="G106" s="1029"/>
      <c r="H106" s="2" t="s">
        <v>4607</v>
      </c>
      <c r="I106" s="847"/>
    </row>
    <row r="107">
      <c r="A107" s="265"/>
      <c r="B107" s="1038">
        <f t="shared" si="10"/>
        <v>1245</v>
      </c>
      <c r="C107" s="826"/>
      <c r="D107" s="826"/>
      <c r="F107" s="1028">
        <v>1245.0</v>
      </c>
      <c r="G107" s="1029"/>
      <c r="H107" s="2" t="s">
        <v>2714</v>
      </c>
      <c r="I107" s="847"/>
    </row>
    <row r="108">
      <c r="A108" s="265"/>
      <c r="B108" s="1038">
        <f t="shared" si="10"/>
        <v>250</v>
      </c>
      <c r="C108" s="826"/>
      <c r="D108" s="826"/>
      <c r="F108" s="1028">
        <v>250.0</v>
      </c>
      <c r="G108" s="1029"/>
      <c r="H108" s="2" t="s">
        <v>227</v>
      </c>
      <c r="I108" s="847"/>
    </row>
    <row r="109">
      <c r="A109" s="265"/>
      <c r="B109" s="1038" t="str">
        <f t="shared" si="10"/>
        <v/>
      </c>
      <c r="C109" s="826"/>
      <c r="D109" s="1029">
        <v>10343.26</v>
      </c>
      <c r="F109" s="1028"/>
      <c r="G109" s="1029"/>
      <c r="H109" s="2" t="s">
        <v>4608</v>
      </c>
      <c r="I109" s="847"/>
    </row>
    <row r="110">
      <c r="A110" s="265"/>
      <c r="B110" s="1038" t="str">
        <f t="shared" si="10"/>
        <v/>
      </c>
      <c r="C110" s="826"/>
      <c r="D110" s="1029">
        <v>1529.59</v>
      </c>
      <c r="F110" s="1028"/>
      <c r="G110" s="1029"/>
      <c r="H110" s="2" t="s">
        <v>4609</v>
      </c>
      <c r="I110" s="847"/>
    </row>
    <row r="111">
      <c r="A111" s="265"/>
      <c r="B111" s="1038" t="str">
        <f t="shared" si="10"/>
        <v/>
      </c>
      <c r="C111" s="826"/>
      <c r="D111" s="1029">
        <v>3260.6</v>
      </c>
      <c r="F111" s="1028"/>
      <c r="G111" s="1029"/>
      <c r="H111" s="2" t="s">
        <v>4610</v>
      </c>
      <c r="I111" s="847"/>
    </row>
    <row r="112">
      <c r="A112" s="265"/>
      <c r="B112" s="1038" t="str">
        <f t="shared" si="10"/>
        <v/>
      </c>
      <c r="C112" s="826"/>
      <c r="D112" s="1029">
        <v>6826.02</v>
      </c>
      <c r="F112" s="1028"/>
      <c r="G112" s="1029"/>
      <c r="H112" s="2" t="s">
        <v>4611</v>
      </c>
      <c r="I112" s="847"/>
    </row>
    <row r="113">
      <c r="A113" s="270"/>
      <c r="B113" s="1044">
        <f>SUM(B98:B112)</f>
        <v>28858.74</v>
      </c>
      <c r="C113" s="826"/>
      <c r="D113" s="826"/>
      <c r="E113" s="2"/>
      <c r="F113" s="1028"/>
      <c r="G113" s="1029"/>
      <c r="H113" s="2"/>
      <c r="I113" s="847"/>
    </row>
    <row r="114">
      <c r="A114" s="1023">
        <v>43721.0</v>
      </c>
      <c r="B114" s="1024">
        <f t="shared" ref="B114:B126" si="11">F114</f>
        <v>1462.61</v>
      </c>
      <c r="C114" s="984"/>
      <c r="D114" s="984"/>
      <c r="E114" s="242"/>
      <c r="F114" s="1025">
        <v>1462.61</v>
      </c>
      <c r="G114" s="1026"/>
      <c r="H114" s="244" t="s">
        <v>3821</v>
      </c>
      <c r="I114" s="662"/>
    </row>
    <row r="115">
      <c r="A115" s="611"/>
      <c r="B115" s="1027">
        <f t="shared" si="11"/>
        <v>2160</v>
      </c>
      <c r="C115" s="826"/>
      <c r="D115" s="826"/>
      <c r="F115" s="1028">
        <v>2160.0</v>
      </c>
      <c r="G115" s="1029"/>
      <c r="H115" s="2" t="s">
        <v>4612</v>
      </c>
      <c r="I115" s="847"/>
    </row>
    <row r="116">
      <c r="A116" s="611"/>
      <c r="B116" s="1027">
        <f t="shared" si="11"/>
        <v>2800</v>
      </c>
      <c r="C116" s="826"/>
      <c r="D116" s="826"/>
      <c r="F116" s="1028">
        <v>2800.0</v>
      </c>
      <c r="G116" s="1029"/>
      <c r="H116" s="2" t="s">
        <v>4613</v>
      </c>
      <c r="I116" s="847"/>
    </row>
    <row r="117">
      <c r="A117" s="611"/>
      <c r="B117" s="1027">
        <f t="shared" si="11"/>
        <v>788</v>
      </c>
      <c r="C117" s="1029"/>
      <c r="D117" s="826"/>
      <c r="F117" s="1028">
        <v>788.0</v>
      </c>
      <c r="G117" s="1029"/>
      <c r="H117" s="2" t="s">
        <v>4614</v>
      </c>
      <c r="I117" s="847"/>
    </row>
    <row r="118">
      <c r="A118" s="611"/>
      <c r="B118" s="1027">
        <f t="shared" si="11"/>
        <v>3830</v>
      </c>
      <c r="C118" s="826"/>
      <c r="D118" s="826"/>
      <c r="F118" s="1028">
        <v>3830.0</v>
      </c>
      <c r="G118" s="1029"/>
      <c r="H118" s="2" t="s">
        <v>4615</v>
      </c>
      <c r="I118" s="847"/>
    </row>
    <row r="119">
      <c r="A119" s="611"/>
      <c r="B119" s="1027">
        <f t="shared" si="11"/>
        <v>7000</v>
      </c>
      <c r="C119" s="826"/>
      <c r="D119" s="1029"/>
      <c r="F119" s="1028">
        <v>7000.0</v>
      </c>
      <c r="H119" s="2" t="s">
        <v>4154</v>
      </c>
      <c r="I119" s="818"/>
    </row>
    <row r="120">
      <c r="A120" s="611"/>
      <c r="B120" s="1027">
        <f t="shared" si="11"/>
        <v>6000</v>
      </c>
      <c r="C120" s="826"/>
      <c r="D120" s="826"/>
      <c r="F120" s="1028">
        <v>6000.0</v>
      </c>
      <c r="G120" s="1029"/>
      <c r="H120" s="2" t="s">
        <v>4152</v>
      </c>
      <c r="I120" s="818"/>
    </row>
    <row r="121">
      <c r="A121" s="611"/>
      <c r="B121" s="1027">
        <f t="shared" si="11"/>
        <v>2000</v>
      </c>
      <c r="C121" s="826"/>
      <c r="D121" s="826"/>
      <c r="F121" s="1028">
        <v>2000.0</v>
      </c>
      <c r="G121" s="1029"/>
      <c r="H121" s="2" t="s">
        <v>4032</v>
      </c>
      <c r="I121" s="818"/>
    </row>
    <row r="122">
      <c r="A122" s="611"/>
      <c r="B122" s="1027">
        <f t="shared" si="11"/>
        <v>2000</v>
      </c>
      <c r="C122" s="826"/>
      <c r="D122" s="826"/>
      <c r="F122" s="1028">
        <v>2000.0</v>
      </c>
      <c r="G122" s="1029"/>
      <c r="H122" s="2" t="s">
        <v>4595</v>
      </c>
      <c r="I122" s="818"/>
    </row>
    <row r="123">
      <c r="A123" s="611"/>
      <c r="B123" s="1027">
        <f t="shared" si="11"/>
        <v>5000</v>
      </c>
      <c r="C123" s="826"/>
      <c r="D123" s="826"/>
      <c r="F123" s="1028">
        <v>5000.0</v>
      </c>
      <c r="G123" s="1029"/>
      <c r="H123" s="2" t="s">
        <v>4063</v>
      </c>
      <c r="I123" s="818"/>
    </row>
    <row r="124">
      <c r="A124" s="611"/>
      <c r="B124" s="1027">
        <f t="shared" si="11"/>
        <v>970</v>
      </c>
      <c r="C124" s="826"/>
      <c r="D124" s="826"/>
      <c r="F124" s="1028">
        <v>970.0</v>
      </c>
      <c r="G124" s="1029"/>
      <c r="H124" s="2" t="s">
        <v>4492</v>
      </c>
      <c r="I124" s="847"/>
    </row>
    <row r="125">
      <c r="A125" s="611"/>
      <c r="B125" s="1027">
        <f t="shared" si="11"/>
        <v>15200</v>
      </c>
      <c r="C125" s="826"/>
      <c r="D125" s="826"/>
      <c r="F125" s="1028">
        <v>15200.0</v>
      </c>
      <c r="G125" s="1029"/>
      <c r="H125" s="2" t="s">
        <v>4616</v>
      </c>
      <c r="I125" s="818"/>
    </row>
    <row r="126">
      <c r="A126" s="611"/>
      <c r="B126" s="1027" t="str">
        <f t="shared" si="11"/>
        <v/>
      </c>
      <c r="C126" s="1029">
        <v>9068.29</v>
      </c>
      <c r="D126" s="826"/>
      <c r="F126" s="1028"/>
      <c r="G126" s="1029"/>
      <c r="H126" s="2" t="s">
        <v>4248</v>
      </c>
      <c r="I126" s="847"/>
    </row>
    <row r="127">
      <c r="A127" s="611"/>
      <c r="B127" s="1027"/>
      <c r="C127" s="1029"/>
      <c r="D127" s="826"/>
      <c r="F127" s="1028">
        <v>400.0</v>
      </c>
      <c r="G127" s="1029"/>
      <c r="H127" s="2" t="s">
        <v>4385</v>
      </c>
      <c r="I127" s="818"/>
    </row>
    <row r="128">
      <c r="A128" s="613"/>
      <c r="B128" s="1031">
        <f>SUM(B114:B126)</f>
        <v>49210.61</v>
      </c>
      <c r="C128" s="826"/>
      <c r="D128" s="826"/>
      <c r="E128" s="2"/>
      <c r="F128" s="1028"/>
      <c r="G128" s="1029"/>
      <c r="H128" s="2"/>
      <c r="I128" s="847"/>
    </row>
    <row r="129">
      <c r="A129" s="1039">
        <v>43722.0</v>
      </c>
      <c r="B129" s="1040">
        <f t="shared" ref="B129:B140" si="12">F129</f>
        <v>516</v>
      </c>
      <c r="C129" s="984"/>
      <c r="D129" s="984"/>
      <c r="E129" s="242"/>
      <c r="F129" s="1025">
        <v>516.0</v>
      </c>
      <c r="G129" s="1026"/>
      <c r="H129" s="244" t="s">
        <v>4157</v>
      </c>
      <c r="I129" s="662"/>
    </row>
    <row r="130">
      <c r="A130" s="265"/>
      <c r="B130" s="1038">
        <f t="shared" si="12"/>
        <v>137</v>
      </c>
      <c r="C130" s="826"/>
      <c r="D130" s="826"/>
      <c r="F130" s="1028">
        <v>137.0</v>
      </c>
      <c r="G130" s="1029"/>
      <c r="H130" s="2" t="s">
        <v>4617</v>
      </c>
      <c r="I130" s="847"/>
    </row>
    <row r="131">
      <c r="A131" s="265"/>
      <c r="B131" s="1038">
        <f t="shared" si="12"/>
        <v>2676.75</v>
      </c>
      <c r="C131" s="1029"/>
      <c r="D131" s="826"/>
      <c r="F131" s="1028">
        <v>2676.75</v>
      </c>
      <c r="G131" s="1029"/>
      <c r="H131" s="2" t="s">
        <v>4107</v>
      </c>
      <c r="I131" s="847"/>
    </row>
    <row r="132">
      <c r="A132" s="265"/>
      <c r="B132" s="1038">
        <f t="shared" si="12"/>
        <v>2114.72</v>
      </c>
      <c r="C132" s="826"/>
      <c r="D132" s="826"/>
      <c r="F132" s="1028">
        <v>2114.72</v>
      </c>
      <c r="G132" s="1029"/>
      <c r="H132" s="2" t="s">
        <v>3821</v>
      </c>
      <c r="I132" s="847"/>
    </row>
    <row r="133">
      <c r="A133" s="265"/>
      <c r="B133" s="1038">
        <f t="shared" si="12"/>
        <v>4800</v>
      </c>
      <c r="C133" s="826"/>
      <c r="D133" s="826"/>
      <c r="F133" s="1028">
        <v>4800.0</v>
      </c>
      <c r="H133" s="2" t="s">
        <v>4245</v>
      </c>
      <c r="I133" s="818"/>
    </row>
    <row r="134">
      <c r="A134" s="265"/>
      <c r="B134" s="1038">
        <f t="shared" si="12"/>
        <v>3500</v>
      </c>
      <c r="C134" s="826"/>
      <c r="D134" s="826"/>
      <c r="F134" s="1028">
        <v>3500.0</v>
      </c>
      <c r="G134" s="1029"/>
      <c r="H134" s="2" t="s">
        <v>4618</v>
      </c>
      <c r="I134" s="818"/>
    </row>
    <row r="135">
      <c r="A135" s="265"/>
      <c r="B135" s="1038">
        <f t="shared" si="12"/>
        <v>1320</v>
      </c>
      <c r="C135" s="826"/>
      <c r="D135" s="826"/>
      <c r="F135" s="1028">
        <v>1320.0</v>
      </c>
      <c r="G135" s="1029"/>
      <c r="H135" s="2" t="s">
        <v>4599</v>
      </c>
      <c r="I135" s="847"/>
    </row>
    <row r="136">
      <c r="A136" s="265"/>
      <c r="B136" s="1038">
        <f t="shared" si="12"/>
        <v>700</v>
      </c>
      <c r="C136" s="826"/>
      <c r="D136" s="826"/>
      <c r="F136" s="1028">
        <v>700.0</v>
      </c>
      <c r="G136" s="1029"/>
      <c r="H136" s="2" t="s">
        <v>4619</v>
      </c>
      <c r="I136" s="847"/>
    </row>
    <row r="137">
      <c r="A137" s="265"/>
      <c r="B137" s="1038">
        <f t="shared" si="12"/>
        <v>200</v>
      </c>
      <c r="C137" s="826"/>
      <c r="D137" s="826"/>
      <c r="F137" s="1028">
        <v>200.0</v>
      </c>
      <c r="G137" s="1029"/>
      <c r="H137" s="2" t="s">
        <v>4620</v>
      </c>
      <c r="I137" s="847"/>
    </row>
    <row r="138">
      <c r="A138" s="265"/>
      <c r="B138" s="1038">
        <f t="shared" si="12"/>
        <v>2800</v>
      </c>
      <c r="C138" s="826"/>
      <c r="D138" s="826"/>
      <c r="F138" s="1028">
        <v>2800.0</v>
      </c>
      <c r="G138" s="1029"/>
      <c r="H138" s="2" t="s">
        <v>4315</v>
      </c>
      <c r="I138" s="818"/>
    </row>
    <row r="139">
      <c r="A139" s="265"/>
      <c r="B139" s="1038">
        <f t="shared" si="12"/>
        <v>5250</v>
      </c>
      <c r="C139" s="826"/>
      <c r="D139" s="826"/>
      <c r="F139" s="1028">
        <v>5250.0</v>
      </c>
      <c r="G139" s="1029"/>
      <c r="H139" s="2" t="s">
        <v>4153</v>
      </c>
      <c r="I139" s="818"/>
    </row>
    <row r="140">
      <c r="A140" s="265"/>
      <c r="B140" s="1038">
        <f t="shared" si="12"/>
        <v>1000</v>
      </c>
      <c r="C140" s="826"/>
      <c r="D140" s="826"/>
      <c r="F140" s="1028">
        <v>1000.0</v>
      </c>
      <c r="G140" s="1029"/>
      <c r="H140" s="2" t="s">
        <v>3818</v>
      </c>
      <c r="I140" s="818"/>
    </row>
    <row r="141">
      <c r="A141" s="270"/>
      <c r="B141" s="1044">
        <f>SUM(B129:B140)</f>
        <v>25014.47</v>
      </c>
      <c r="C141" s="826"/>
      <c r="D141" s="826"/>
      <c r="E141" s="2"/>
      <c r="F141" s="1028"/>
      <c r="G141" s="1029"/>
      <c r="H141" s="2"/>
      <c r="I141" s="847"/>
    </row>
    <row r="142">
      <c r="A142" s="1039">
        <v>43723.0</v>
      </c>
      <c r="B142" s="1040"/>
      <c r="C142" s="984"/>
      <c r="D142" s="984"/>
      <c r="E142" s="242"/>
      <c r="F142" s="1025"/>
      <c r="G142" s="1026"/>
      <c r="H142" s="242"/>
      <c r="I142" s="662"/>
    </row>
    <row r="143">
      <c r="A143" s="270"/>
      <c r="B143" s="1044">
        <f>SUM(B142)</f>
        <v>0</v>
      </c>
      <c r="C143" s="826"/>
      <c r="D143" s="826"/>
      <c r="E143" s="2"/>
      <c r="F143" s="1028"/>
      <c r="G143" s="1029"/>
      <c r="H143" s="2"/>
      <c r="I143" s="847"/>
    </row>
    <row r="144">
      <c r="A144" s="1023">
        <v>43724.0</v>
      </c>
      <c r="B144" s="1024">
        <f t="shared" ref="B144:B150" si="13">F144</f>
        <v>830</v>
      </c>
      <c r="C144" s="984"/>
      <c r="D144" s="984"/>
      <c r="E144" s="242"/>
      <c r="F144" s="1025">
        <v>830.0</v>
      </c>
      <c r="G144" s="1026"/>
      <c r="H144" s="244" t="s">
        <v>4231</v>
      </c>
      <c r="I144" s="662"/>
    </row>
    <row r="145">
      <c r="A145" s="611"/>
      <c r="B145" s="1027">
        <f t="shared" si="13"/>
        <v>1554</v>
      </c>
      <c r="C145" s="826"/>
      <c r="D145" s="826"/>
      <c r="F145" s="1028">
        <v>1554.0</v>
      </c>
      <c r="G145" s="1029"/>
      <c r="H145" s="2" t="s">
        <v>58</v>
      </c>
      <c r="I145" s="847"/>
    </row>
    <row r="146">
      <c r="A146" s="611"/>
      <c r="B146" s="1027">
        <f t="shared" si="13"/>
        <v>6245</v>
      </c>
      <c r="C146" s="826"/>
      <c r="D146" s="826"/>
      <c r="F146" s="1028">
        <v>6245.0</v>
      </c>
      <c r="G146" s="1029"/>
      <c r="H146" s="2" t="s">
        <v>65</v>
      </c>
      <c r="I146" s="847"/>
    </row>
    <row r="147">
      <c r="A147" s="611"/>
      <c r="B147" s="1027">
        <f t="shared" si="13"/>
        <v>1654</v>
      </c>
      <c r="C147" s="1029"/>
      <c r="D147" s="826"/>
      <c r="F147" s="1028">
        <v>1654.0</v>
      </c>
      <c r="G147" s="1029"/>
      <c r="H147" s="2" t="s">
        <v>314</v>
      </c>
      <c r="I147" s="847"/>
    </row>
    <row r="148">
      <c r="A148" s="611"/>
      <c r="B148" s="1027">
        <f t="shared" si="13"/>
        <v>0</v>
      </c>
      <c r="C148" s="1029">
        <v>11097.66</v>
      </c>
      <c r="D148" s="826"/>
      <c r="F148" s="1028">
        <v>0.0</v>
      </c>
      <c r="G148" s="1029"/>
      <c r="H148" s="2" t="s">
        <v>2637</v>
      </c>
      <c r="I148" s="847"/>
    </row>
    <row r="149">
      <c r="A149" s="611"/>
      <c r="B149" s="1027">
        <f t="shared" si="13"/>
        <v>0</v>
      </c>
      <c r="C149" s="826"/>
      <c r="D149" s="1029">
        <v>5000.0</v>
      </c>
      <c r="F149" s="1028">
        <v>0.0</v>
      </c>
      <c r="H149" s="2" t="s">
        <v>4621</v>
      </c>
      <c r="I149" s="847"/>
    </row>
    <row r="150">
      <c r="A150" s="611"/>
      <c r="B150" s="1027">
        <f t="shared" si="13"/>
        <v>5400</v>
      </c>
      <c r="C150" s="826"/>
      <c r="D150" s="826"/>
      <c r="F150" s="1028">
        <v>5400.0</v>
      </c>
      <c r="G150" s="826"/>
      <c r="H150" s="2" t="s">
        <v>4063</v>
      </c>
      <c r="I150" s="818"/>
    </row>
    <row r="151">
      <c r="A151" s="613"/>
      <c r="B151" s="1031">
        <f>SUM(B144:B150)</f>
        <v>15683</v>
      </c>
      <c r="C151" s="1032"/>
      <c r="D151" s="1032"/>
      <c r="E151" s="18"/>
      <c r="F151" s="1033"/>
      <c r="G151" s="1032"/>
      <c r="H151" s="18"/>
      <c r="I151" s="663"/>
    </row>
    <row r="152">
      <c r="A152" s="1023">
        <v>43725.0</v>
      </c>
      <c r="B152" s="1024">
        <f t="shared" ref="B152:B156" si="14">F152</f>
        <v>5250</v>
      </c>
      <c r="C152" s="984"/>
      <c r="D152" s="984"/>
      <c r="E152" s="242"/>
      <c r="F152" s="1025">
        <v>5250.0</v>
      </c>
      <c r="G152" s="1026"/>
      <c r="H152" s="244" t="s">
        <v>4622</v>
      </c>
      <c r="I152" s="662"/>
    </row>
    <row r="153">
      <c r="A153" s="611"/>
      <c r="B153" s="1027">
        <f t="shared" si="14"/>
        <v>171</v>
      </c>
      <c r="C153" s="826"/>
      <c r="D153" s="826"/>
      <c r="F153" s="1028">
        <v>171.0</v>
      </c>
      <c r="G153" s="1029"/>
      <c r="H153" s="2" t="s">
        <v>1732</v>
      </c>
      <c r="I153" s="847"/>
    </row>
    <row r="154">
      <c r="A154" s="611"/>
      <c r="B154" s="1027">
        <f t="shared" si="14"/>
        <v>300</v>
      </c>
      <c r="C154" s="826"/>
      <c r="D154" s="826"/>
      <c r="F154" s="1028">
        <v>300.0</v>
      </c>
      <c r="G154" s="1029"/>
      <c r="H154" s="2" t="s">
        <v>4623</v>
      </c>
      <c r="I154" s="847"/>
    </row>
    <row r="155">
      <c r="A155" s="611"/>
      <c r="B155" s="1027">
        <f t="shared" si="14"/>
        <v>500</v>
      </c>
      <c r="C155" s="1029"/>
      <c r="D155" s="826"/>
      <c r="F155" s="1028">
        <v>500.0</v>
      </c>
      <c r="G155" s="1029"/>
      <c r="H155" s="2" t="s">
        <v>3818</v>
      </c>
      <c r="I155" s="778"/>
    </row>
    <row r="156">
      <c r="A156" s="611"/>
      <c r="B156" s="1027">
        <f t="shared" si="14"/>
        <v>500</v>
      </c>
      <c r="C156" s="1029"/>
      <c r="D156" s="826"/>
      <c r="F156" s="1028">
        <v>500.0</v>
      </c>
      <c r="G156" s="1029"/>
      <c r="H156" s="2" t="s">
        <v>4624</v>
      </c>
      <c r="I156" s="818"/>
    </row>
    <row r="157">
      <c r="A157" s="613"/>
      <c r="B157" s="1031">
        <f>SUM(B152:B156)</f>
        <v>6721</v>
      </c>
      <c r="C157" s="1032"/>
      <c r="D157" s="1032"/>
      <c r="E157" s="18"/>
      <c r="F157" s="1033"/>
      <c r="G157" s="1032"/>
      <c r="H157" s="18"/>
      <c r="I157" s="663"/>
    </row>
    <row r="158">
      <c r="A158" s="1023">
        <v>43726.0</v>
      </c>
      <c r="B158" s="1024">
        <f t="shared" ref="B158:B163" si="15">F158</f>
        <v>125</v>
      </c>
      <c r="C158" s="984"/>
      <c r="D158" s="984"/>
      <c r="E158" s="242"/>
      <c r="F158" s="1025">
        <v>125.0</v>
      </c>
      <c r="G158" s="1026"/>
      <c r="H158" s="244" t="s">
        <v>4352</v>
      </c>
      <c r="I158" s="662"/>
    </row>
    <row r="159">
      <c r="A159" s="611"/>
      <c r="B159" s="1027">
        <f t="shared" si="15"/>
        <v>661.45</v>
      </c>
      <c r="C159" s="826"/>
      <c r="D159" s="826"/>
      <c r="F159" s="1028">
        <v>661.45</v>
      </c>
      <c r="G159" s="1029"/>
      <c r="H159" s="2" t="s">
        <v>3433</v>
      </c>
      <c r="I159" s="847"/>
    </row>
    <row r="160">
      <c r="A160" s="611"/>
      <c r="B160" s="1027">
        <f t="shared" si="15"/>
        <v>777</v>
      </c>
      <c r="C160" s="826"/>
      <c r="D160" s="826"/>
      <c r="F160" s="1028">
        <v>777.0</v>
      </c>
      <c r="G160" s="1029"/>
      <c r="H160" s="2" t="s">
        <v>58</v>
      </c>
      <c r="I160" s="847"/>
    </row>
    <row r="161">
      <c r="A161" s="611"/>
      <c r="B161" s="1027" t="str">
        <f t="shared" si="15"/>
        <v/>
      </c>
      <c r="C161" s="1029">
        <v>10671.68</v>
      </c>
      <c r="D161" s="826"/>
      <c r="F161" s="1028"/>
      <c r="G161" s="1029"/>
      <c r="H161" s="2" t="s">
        <v>4318</v>
      </c>
      <c r="I161" s="847"/>
    </row>
    <row r="162">
      <c r="A162" s="611"/>
      <c r="B162" s="1027">
        <f t="shared" si="15"/>
        <v>75</v>
      </c>
      <c r="C162" s="1029"/>
      <c r="D162" s="826"/>
      <c r="F162" s="1028">
        <v>75.0</v>
      </c>
      <c r="G162" s="1029"/>
      <c r="H162" s="2" t="s">
        <v>3433</v>
      </c>
      <c r="I162" s="847"/>
    </row>
    <row r="163">
      <c r="A163" s="611"/>
      <c r="B163" s="1027">
        <f t="shared" si="15"/>
        <v>700</v>
      </c>
      <c r="C163" s="826"/>
      <c r="D163" s="1029"/>
      <c r="F163" s="1028">
        <v>700.0</v>
      </c>
      <c r="H163" s="2" t="s">
        <v>4497</v>
      </c>
      <c r="I163" s="847"/>
    </row>
    <row r="164">
      <c r="A164" s="611"/>
      <c r="B164" s="1027"/>
      <c r="C164" s="826"/>
      <c r="D164" s="1029">
        <v>6820.0</v>
      </c>
      <c r="F164" s="1028"/>
      <c r="G164" s="826"/>
      <c r="H164" s="2" t="s">
        <v>4625</v>
      </c>
      <c r="I164" s="847"/>
    </row>
    <row r="165">
      <c r="A165" s="611"/>
      <c r="B165" s="1027"/>
      <c r="C165" s="826"/>
      <c r="D165" s="1029">
        <v>14520.0</v>
      </c>
      <c r="F165" s="1030"/>
      <c r="G165" s="826"/>
      <c r="H165" s="2" t="s">
        <v>3496</v>
      </c>
      <c r="I165" s="847"/>
    </row>
    <row r="166">
      <c r="A166" s="611"/>
      <c r="B166" s="1027"/>
      <c r="C166" s="826"/>
      <c r="D166" s="1029">
        <v>24892.0</v>
      </c>
      <c r="F166" s="1030"/>
      <c r="G166" s="826"/>
      <c r="H166" s="2" t="s">
        <v>4626</v>
      </c>
      <c r="I166" s="847"/>
    </row>
    <row r="167">
      <c r="A167" s="611"/>
      <c r="B167" s="1027" t="str">
        <f>F167</f>
        <v/>
      </c>
      <c r="C167" s="826"/>
      <c r="D167" s="1029">
        <v>4968.0</v>
      </c>
      <c r="F167" s="1030"/>
      <c r="G167" s="826"/>
      <c r="H167" s="2" t="s">
        <v>194</v>
      </c>
      <c r="I167" s="847"/>
    </row>
    <row r="168">
      <c r="A168" s="613"/>
      <c r="B168" s="1031">
        <f>SUM(B158:B167)</f>
        <v>2338.45</v>
      </c>
      <c r="C168" s="1032"/>
      <c r="D168" s="1032"/>
      <c r="E168" s="18"/>
      <c r="F168" s="1033"/>
      <c r="G168" s="1032"/>
      <c r="H168" s="18"/>
      <c r="I168" s="663"/>
    </row>
    <row r="169">
      <c r="A169" s="1023">
        <v>43727.0</v>
      </c>
      <c r="B169" s="1024">
        <f t="shared" ref="B169:B173" si="16">F169</f>
        <v>0</v>
      </c>
      <c r="C169" s="1026">
        <v>12069.75</v>
      </c>
      <c r="D169" s="984"/>
      <c r="E169" s="242"/>
      <c r="F169" s="1025">
        <v>0.0</v>
      </c>
      <c r="G169" s="1026"/>
      <c r="H169" s="244" t="s">
        <v>4318</v>
      </c>
      <c r="I169" s="662"/>
    </row>
    <row r="170">
      <c r="A170" s="611"/>
      <c r="B170" s="1027">
        <f t="shared" si="16"/>
        <v>1493.78</v>
      </c>
      <c r="C170" s="826"/>
      <c r="D170" s="826"/>
      <c r="F170" s="1028">
        <v>1493.78</v>
      </c>
      <c r="G170" s="1029"/>
      <c r="H170" s="2" t="s">
        <v>3821</v>
      </c>
      <c r="I170" s="847"/>
    </row>
    <row r="171">
      <c r="A171" s="611"/>
      <c r="B171" s="1027">
        <f t="shared" si="16"/>
        <v>6525</v>
      </c>
      <c r="C171" s="826"/>
      <c r="D171" s="826"/>
      <c r="F171" s="1028">
        <v>6525.0</v>
      </c>
      <c r="G171" s="1029"/>
      <c r="H171" s="2" t="s">
        <v>4043</v>
      </c>
      <c r="I171" s="847"/>
    </row>
    <row r="172">
      <c r="A172" s="611"/>
      <c r="B172" s="1027">
        <f t="shared" si="16"/>
        <v>1822.5</v>
      </c>
      <c r="C172" s="1029"/>
      <c r="D172" s="826"/>
      <c r="F172" s="1028">
        <v>1822.5</v>
      </c>
      <c r="G172" s="1029"/>
      <c r="H172" s="2" t="s">
        <v>4157</v>
      </c>
      <c r="I172" s="847"/>
    </row>
    <row r="173">
      <c r="A173" s="611"/>
      <c r="B173" s="1027">
        <f t="shared" si="16"/>
        <v>292.13</v>
      </c>
      <c r="C173" s="1029"/>
      <c r="D173" s="826"/>
      <c r="F173" s="1028">
        <v>292.13</v>
      </c>
      <c r="G173" s="1029"/>
      <c r="H173" s="2" t="s">
        <v>3433</v>
      </c>
      <c r="I173" s="847"/>
    </row>
    <row r="174">
      <c r="A174" s="613"/>
      <c r="B174" s="1031">
        <f>SUM(B169:B173)</f>
        <v>10133.41</v>
      </c>
      <c r="C174" s="1032"/>
      <c r="D174" s="1032"/>
      <c r="E174" s="18"/>
      <c r="F174" s="1033"/>
      <c r="G174" s="1032"/>
      <c r="H174" s="18"/>
      <c r="I174" s="663"/>
    </row>
    <row r="175">
      <c r="A175" s="1023">
        <v>43728.0</v>
      </c>
      <c r="B175" s="1024">
        <f t="shared" ref="B175:B182" si="17">F175</f>
        <v>5214.84</v>
      </c>
      <c r="C175" s="984"/>
      <c r="D175" s="984"/>
      <c r="E175" s="242"/>
      <c r="F175" s="1025">
        <v>5214.84</v>
      </c>
      <c r="G175" s="1026"/>
      <c r="H175" s="244" t="s">
        <v>2748</v>
      </c>
      <c r="I175" s="662"/>
    </row>
    <row r="176">
      <c r="A176" s="611"/>
      <c r="B176" s="1027">
        <f t="shared" si="17"/>
        <v>3553.65</v>
      </c>
      <c r="C176" s="826"/>
      <c r="D176" s="826"/>
      <c r="F176" s="1028">
        <v>3553.65</v>
      </c>
      <c r="G176" s="1029"/>
      <c r="H176" s="2" t="s">
        <v>2637</v>
      </c>
      <c r="I176" s="847"/>
    </row>
    <row r="177">
      <c r="A177" s="611"/>
      <c r="B177" s="1027">
        <f t="shared" si="17"/>
        <v>799</v>
      </c>
      <c r="C177" s="826"/>
      <c r="D177" s="826"/>
      <c r="F177" s="1028">
        <v>799.0</v>
      </c>
      <c r="G177" s="1029"/>
      <c r="H177" s="2" t="s">
        <v>3433</v>
      </c>
      <c r="I177" s="847"/>
    </row>
    <row r="178">
      <c r="A178" s="611"/>
      <c r="B178" s="1027">
        <f t="shared" si="17"/>
        <v>2055</v>
      </c>
      <c r="C178" s="1029"/>
      <c r="D178" s="826"/>
      <c r="F178" s="1028">
        <v>2055.0</v>
      </c>
      <c r="G178" s="1029"/>
      <c r="H178" s="2" t="s">
        <v>65</v>
      </c>
      <c r="I178" s="847"/>
    </row>
    <row r="179">
      <c r="A179" s="611"/>
      <c r="B179" s="1027">
        <f t="shared" si="17"/>
        <v>2000</v>
      </c>
      <c r="C179" s="1029"/>
      <c r="D179" s="826"/>
      <c r="F179" s="1028">
        <v>2000.0</v>
      </c>
      <c r="G179" s="1029"/>
      <c r="H179" s="2" t="s">
        <v>4595</v>
      </c>
      <c r="I179" s="818"/>
    </row>
    <row r="180">
      <c r="A180" s="611"/>
      <c r="B180" s="1027">
        <f t="shared" si="17"/>
        <v>5000</v>
      </c>
      <c r="C180" s="826"/>
      <c r="D180" s="1029"/>
      <c r="F180" s="1028">
        <v>5000.0</v>
      </c>
      <c r="H180" s="2" t="s">
        <v>4062</v>
      </c>
      <c r="I180" s="818"/>
    </row>
    <row r="181">
      <c r="A181" s="611"/>
      <c r="B181" s="1027">
        <f t="shared" si="17"/>
        <v>4000</v>
      </c>
      <c r="C181" s="826"/>
      <c r="D181" s="826"/>
      <c r="F181" s="1028">
        <v>4000.0</v>
      </c>
      <c r="G181" s="826"/>
      <c r="H181" s="2" t="s">
        <v>4032</v>
      </c>
      <c r="I181" s="818"/>
    </row>
    <row r="182">
      <c r="A182" s="611"/>
      <c r="B182" s="1027">
        <f t="shared" si="17"/>
        <v>4100</v>
      </c>
      <c r="C182" s="826"/>
      <c r="D182" s="826"/>
      <c r="F182" s="1028">
        <v>4100.0</v>
      </c>
      <c r="G182" s="826"/>
      <c r="H182" s="2" t="s">
        <v>4627</v>
      </c>
      <c r="I182" s="818"/>
    </row>
    <row r="183">
      <c r="A183" s="613"/>
      <c r="B183" s="1031">
        <f>SUM(B175:B182)</f>
        <v>26722.49</v>
      </c>
      <c r="C183" s="1032"/>
      <c r="D183" s="1032"/>
      <c r="E183" s="18"/>
      <c r="F183" s="1033"/>
      <c r="G183" s="1032"/>
      <c r="H183" s="18"/>
      <c r="I183" s="663"/>
    </row>
    <row r="184">
      <c r="A184" s="1023">
        <v>43729.0</v>
      </c>
      <c r="B184" s="1024">
        <f t="shared" ref="B184:B195" si="18">F184</f>
        <v>140</v>
      </c>
      <c r="C184" s="984"/>
      <c r="D184" s="984"/>
      <c r="E184" s="242"/>
      <c r="F184" s="1025">
        <v>140.0</v>
      </c>
      <c r="G184" s="1026"/>
      <c r="H184" s="244" t="s">
        <v>345</v>
      </c>
      <c r="I184" s="662"/>
    </row>
    <row r="185">
      <c r="A185" s="611"/>
      <c r="B185" s="1027">
        <f t="shared" si="18"/>
        <v>1216.24</v>
      </c>
      <c r="C185" s="826"/>
      <c r="D185" s="826"/>
      <c r="F185" s="1028">
        <v>1216.24</v>
      </c>
      <c r="G185" s="1029"/>
      <c r="H185" s="2" t="s">
        <v>3433</v>
      </c>
      <c r="I185" s="847"/>
    </row>
    <row r="186">
      <c r="A186" s="611"/>
      <c r="B186" s="1027">
        <f t="shared" si="18"/>
        <v>2975.55</v>
      </c>
      <c r="C186" s="826"/>
      <c r="D186" s="826"/>
      <c r="F186" s="1028">
        <v>2975.55</v>
      </c>
      <c r="G186" s="1029"/>
      <c r="H186" s="2" t="s">
        <v>4009</v>
      </c>
      <c r="I186" s="847"/>
    </row>
    <row r="187">
      <c r="A187" s="611"/>
      <c r="B187" s="1027">
        <f t="shared" si="18"/>
        <v>1728</v>
      </c>
      <c r="C187" s="1029"/>
      <c r="D187" s="826"/>
      <c r="F187" s="1028">
        <v>1728.0</v>
      </c>
      <c r="G187" s="1029"/>
      <c r="H187" s="2" t="s">
        <v>4299</v>
      </c>
      <c r="I187" s="847"/>
    </row>
    <row r="188">
      <c r="A188" s="611"/>
      <c r="B188" s="1027">
        <f t="shared" si="18"/>
        <v>60000</v>
      </c>
      <c r="C188" s="1029"/>
      <c r="D188" s="826"/>
      <c r="F188" s="1028">
        <v>60000.0</v>
      </c>
      <c r="G188" s="1029"/>
      <c r="H188" s="2" t="s">
        <v>664</v>
      </c>
      <c r="I188" s="847"/>
    </row>
    <row r="189">
      <c r="A189" s="611"/>
      <c r="B189" s="1027">
        <f t="shared" si="18"/>
        <v>1320</v>
      </c>
      <c r="C189" s="826"/>
      <c r="D189" s="1029"/>
      <c r="F189" s="1028">
        <v>1320.0</v>
      </c>
      <c r="H189" s="2" t="s">
        <v>4599</v>
      </c>
      <c r="I189" s="847"/>
    </row>
    <row r="190">
      <c r="A190" s="611"/>
      <c r="B190" s="1027">
        <f t="shared" si="18"/>
        <v>7000</v>
      </c>
      <c r="C190" s="826"/>
      <c r="D190" s="826"/>
      <c r="F190" s="1028">
        <v>7000.0</v>
      </c>
      <c r="G190" s="826"/>
      <c r="H190" s="2" t="s">
        <v>4154</v>
      </c>
      <c r="I190" s="818"/>
    </row>
    <row r="191">
      <c r="A191" s="611"/>
      <c r="B191" s="1027">
        <f t="shared" si="18"/>
        <v>700</v>
      </c>
      <c r="C191" s="826"/>
      <c r="D191" s="826"/>
      <c r="F191" s="1028">
        <v>700.0</v>
      </c>
      <c r="G191" s="826"/>
      <c r="H191" s="2" t="s">
        <v>4497</v>
      </c>
      <c r="I191" s="818"/>
    </row>
    <row r="192">
      <c r="A192" s="611"/>
      <c r="B192" s="1027">
        <f t="shared" si="18"/>
        <v>4200</v>
      </c>
      <c r="C192" s="826"/>
      <c r="D192" s="826"/>
      <c r="F192" s="1028">
        <v>4200.0</v>
      </c>
      <c r="G192" s="826"/>
      <c r="H192" s="2" t="s">
        <v>4382</v>
      </c>
      <c r="I192" s="818"/>
    </row>
    <row r="193">
      <c r="A193" s="611"/>
      <c r="B193" s="1027">
        <f t="shared" si="18"/>
        <v>6000</v>
      </c>
      <c r="C193" s="826"/>
      <c r="D193" s="826"/>
      <c r="F193" s="1028">
        <v>6000.0</v>
      </c>
      <c r="G193" s="826"/>
      <c r="H193" s="2" t="s">
        <v>4152</v>
      </c>
      <c r="I193" s="818"/>
    </row>
    <row r="194">
      <c r="A194" s="611"/>
      <c r="B194" s="1027">
        <f t="shared" si="18"/>
        <v>4100</v>
      </c>
      <c r="C194" s="826"/>
      <c r="D194" s="826"/>
      <c r="F194" s="1028">
        <v>4100.0</v>
      </c>
      <c r="G194" s="826"/>
      <c r="H194" s="2" t="s">
        <v>4061</v>
      </c>
      <c r="I194" s="818"/>
    </row>
    <row r="195">
      <c r="A195" s="611"/>
      <c r="B195" s="1027">
        <f t="shared" si="18"/>
        <v>1000</v>
      </c>
      <c r="C195" s="826"/>
      <c r="D195" s="826"/>
      <c r="F195" s="1028">
        <v>1000.0</v>
      </c>
      <c r="G195" s="826"/>
      <c r="H195" s="2" t="s">
        <v>4628</v>
      </c>
      <c r="I195" s="818"/>
    </row>
    <row r="196">
      <c r="A196" s="613"/>
      <c r="B196" s="1031">
        <f>SUM(B184:B195)</f>
        <v>90379.79</v>
      </c>
      <c r="C196" s="1032"/>
      <c r="D196" s="1032"/>
      <c r="E196" s="18"/>
      <c r="F196" s="1037"/>
      <c r="G196" s="1032"/>
      <c r="H196" s="293"/>
      <c r="I196" s="663"/>
    </row>
    <row r="197">
      <c r="A197" s="1023">
        <v>43730.0</v>
      </c>
      <c r="B197" s="1024" t="str">
        <f>F197</f>
        <v/>
      </c>
      <c r="C197" s="984"/>
      <c r="D197" s="984"/>
      <c r="E197" s="242"/>
      <c r="F197" s="1025"/>
      <c r="G197" s="1026"/>
      <c r="H197" s="244"/>
      <c r="I197" s="662"/>
    </row>
    <row r="198">
      <c r="A198" s="613"/>
      <c r="B198" s="1031">
        <f>SUM(B197)</f>
        <v>0</v>
      </c>
      <c r="C198" s="1032"/>
      <c r="D198" s="1032"/>
      <c r="E198" s="18"/>
      <c r="F198" s="1033"/>
      <c r="G198" s="1032"/>
      <c r="H198" s="18"/>
      <c r="I198" s="663"/>
    </row>
    <row r="199">
      <c r="A199" s="1023">
        <v>43731.0</v>
      </c>
      <c r="B199" s="1024">
        <f t="shared" ref="B199:B204" si="19">F199</f>
        <v>2141.11</v>
      </c>
      <c r="C199" s="984"/>
      <c r="D199" s="984"/>
      <c r="E199" s="242"/>
      <c r="F199" s="1025">
        <v>2141.11</v>
      </c>
      <c r="G199" s="1026"/>
      <c r="H199" s="244" t="s">
        <v>314</v>
      </c>
      <c r="I199" s="662"/>
    </row>
    <row r="200">
      <c r="A200" s="611"/>
      <c r="B200" s="1027">
        <f t="shared" si="19"/>
        <v>2341.02</v>
      </c>
      <c r="C200" s="826"/>
      <c r="D200" s="826"/>
      <c r="F200" s="1028">
        <v>2341.02</v>
      </c>
      <c r="G200" s="1029"/>
      <c r="H200" s="2" t="s">
        <v>58</v>
      </c>
      <c r="I200" s="847"/>
    </row>
    <row r="201">
      <c r="A201" s="611"/>
      <c r="B201" s="1027">
        <f t="shared" si="19"/>
        <v>3000</v>
      </c>
      <c r="C201" s="826"/>
      <c r="D201" s="826"/>
      <c r="F201" s="1028">
        <v>3000.0</v>
      </c>
      <c r="G201" s="1029"/>
      <c r="H201" s="2" t="s">
        <v>3917</v>
      </c>
      <c r="I201" s="847"/>
    </row>
    <row r="202">
      <c r="A202" s="611"/>
      <c r="B202" s="1027">
        <f t="shared" si="19"/>
        <v>6345</v>
      </c>
      <c r="C202" s="1029"/>
      <c r="D202" s="826"/>
      <c r="F202" s="1028">
        <v>6345.0</v>
      </c>
      <c r="G202" s="1029"/>
      <c r="H202" s="2" t="s">
        <v>65</v>
      </c>
      <c r="I202" s="847"/>
    </row>
    <row r="203">
      <c r="A203" s="611"/>
      <c r="B203" s="1027">
        <f t="shared" si="19"/>
        <v>930</v>
      </c>
      <c r="C203" s="1029"/>
      <c r="D203" s="826"/>
      <c r="F203" s="1028">
        <v>930.0</v>
      </c>
      <c r="G203" s="1029"/>
      <c r="H203" s="2" t="s">
        <v>4629</v>
      </c>
      <c r="I203" s="847"/>
    </row>
    <row r="204">
      <c r="A204" s="611"/>
      <c r="B204" s="1027">
        <f t="shared" si="19"/>
        <v>5000</v>
      </c>
      <c r="C204" s="826"/>
      <c r="D204" s="1029"/>
      <c r="F204" s="1028">
        <v>5000.0</v>
      </c>
      <c r="H204" s="2" t="s">
        <v>4630</v>
      </c>
      <c r="I204" s="951"/>
    </row>
    <row r="205">
      <c r="A205" s="613"/>
      <c r="B205" s="1031">
        <f>SUM(B199:B204)</f>
        <v>19757.13</v>
      </c>
      <c r="C205" s="1032"/>
      <c r="D205" s="1032"/>
      <c r="E205" s="18"/>
      <c r="F205" s="1033"/>
      <c r="G205" s="1032"/>
      <c r="H205" s="18"/>
      <c r="I205" s="663"/>
    </row>
    <row r="206">
      <c r="A206" s="1023">
        <v>43732.0</v>
      </c>
      <c r="B206" s="1024" t="str">
        <f t="shared" ref="B206:B213" si="20">F206</f>
        <v/>
      </c>
      <c r="C206" s="1026">
        <v>7216.16</v>
      </c>
      <c r="D206" s="984"/>
      <c r="E206" s="242"/>
      <c r="F206" s="1025"/>
      <c r="G206" s="1026"/>
      <c r="H206" s="244" t="s">
        <v>2637</v>
      </c>
      <c r="I206" s="662"/>
    </row>
    <row r="207">
      <c r="A207" s="611"/>
      <c r="B207" s="1027">
        <f t="shared" si="20"/>
        <v>674.99</v>
      </c>
      <c r="C207" s="826"/>
      <c r="D207" s="826"/>
      <c r="F207" s="1028">
        <v>674.99</v>
      </c>
      <c r="G207" s="1029"/>
      <c r="H207" s="2" t="s">
        <v>314</v>
      </c>
      <c r="I207" s="847"/>
    </row>
    <row r="208">
      <c r="A208" s="611"/>
      <c r="B208" s="1027">
        <f t="shared" si="20"/>
        <v>2270.79</v>
      </c>
      <c r="C208" s="826"/>
      <c r="D208" s="826"/>
      <c r="F208" s="1028">
        <v>2270.79</v>
      </c>
      <c r="G208" s="1029"/>
      <c r="H208" s="2" t="s">
        <v>58</v>
      </c>
      <c r="I208" s="847"/>
    </row>
    <row r="209">
      <c r="A209" s="611"/>
      <c r="B209" s="1027" t="str">
        <f t="shared" si="20"/>
        <v/>
      </c>
      <c r="C209" s="1029"/>
      <c r="D209" s="826"/>
      <c r="E209" s="2">
        <v>4981.9</v>
      </c>
      <c r="F209" s="1028"/>
      <c r="G209" s="1029"/>
      <c r="H209" s="2" t="s">
        <v>4239</v>
      </c>
      <c r="I209" s="847"/>
    </row>
    <row r="210">
      <c r="A210" s="611"/>
      <c r="B210" s="1027">
        <f t="shared" si="20"/>
        <v>5250</v>
      </c>
      <c r="C210" s="1029"/>
      <c r="D210" s="826"/>
      <c r="F210" s="1028">
        <v>5250.0</v>
      </c>
      <c r="G210" s="1029"/>
      <c r="H210" s="2" t="s">
        <v>4194</v>
      </c>
      <c r="I210" s="847"/>
    </row>
    <row r="211">
      <c r="A211" s="611"/>
      <c r="B211" s="1027">
        <f t="shared" si="20"/>
        <v>2804</v>
      </c>
      <c r="C211" s="826"/>
      <c r="D211" s="1029"/>
      <c r="F211" s="1028">
        <v>2804.0</v>
      </c>
      <c r="H211" s="2" t="s">
        <v>615</v>
      </c>
      <c r="I211" s="847"/>
    </row>
    <row r="212">
      <c r="A212" s="611"/>
      <c r="B212" s="1027" t="str">
        <f t="shared" si="20"/>
        <v/>
      </c>
      <c r="C212" s="1029">
        <v>6895.0</v>
      </c>
      <c r="D212" s="826"/>
      <c r="F212" s="1030"/>
      <c r="G212" s="826"/>
      <c r="H212" s="2" t="s">
        <v>4280</v>
      </c>
      <c r="I212" s="847"/>
    </row>
    <row r="213">
      <c r="A213" s="611"/>
      <c r="B213" s="1027">
        <f t="shared" si="20"/>
        <v>700</v>
      </c>
      <c r="C213" s="826"/>
      <c r="D213" s="826"/>
      <c r="F213" s="1028">
        <v>700.0</v>
      </c>
      <c r="G213" s="826"/>
      <c r="H213" s="2" t="s">
        <v>3437</v>
      </c>
      <c r="I213" s="847"/>
    </row>
    <row r="214">
      <c r="A214" s="613"/>
      <c r="B214" s="1031">
        <f>SUM(B206:B213)</f>
        <v>11699.78</v>
      </c>
      <c r="C214" s="1032"/>
      <c r="D214" s="1032"/>
      <c r="E214" s="18"/>
      <c r="F214" s="1033"/>
      <c r="G214" s="1032"/>
      <c r="H214" s="18"/>
      <c r="I214" s="663"/>
    </row>
    <row r="215">
      <c r="A215" s="1023">
        <v>43733.0</v>
      </c>
      <c r="B215" s="1024">
        <f t="shared" ref="B215:B218" si="21">F215</f>
        <v>490</v>
      </c>
      <c r="C215" s="984"/>
      <c r="D215" s="984"/>
      <c r="E215" s="242"/>
      <c r="F215" s="1025">
        <v>490.0</v>
      </c>
      <c r="G215" s="1026"/>
      <c r="H215" s="244" t="s">
        <v>314</v>
      </c>
      <c r="I215" s="662"/>
    </row>
    <row r="216">
      <c r="A216" s="611"/>
      <c r="B216" s="1027">
        <f t="shared" si="21"/>
        <v>1299</v>
      </c>
      <c r="C216" s="826"/>
      <c r="D216" s="826"/>
      <c r="F216" s="1028">
        <v>1299.0</v>
      </c>
      <c r="G216" s="1029"/>
      <c r="H216" s="2" t="s">
        <v>4299</v>
      </c>
      <c r="I216" s="847"/>
    </row>
    <row r="217">
      <c r="A217" s="611"/>
      <c r="B217" s="1027" t="str">
        <f t="shared" si="21"/>
        <v/>
      </c>
      <c r="C217" s="1029">
        <v>20346.16</v>
      </c>
      <c r="D217" s="826"/>
      <c r="F217" s="1028"/>
      <c r="G217" s="1029"/>
      <c r="H217" s="2" t="s">
        <v>951</v>
      </c>
      <c r="I217" s="847"/>
    </row>
    <row r="218">
      <c r="A218" s="611"/>
      <c r="B218" s="1027">
        <f t="shared" si="21"/>
        <v>5000</v>
      </c>
      <c r="C218" s="1029"/>
      <c r="D218" s="826"/>
      <c r="F218" s="1028">
        <v>5000.0</v>
      </c>
      <c r="G218" s="1029"/>
      <c r="H218" s="2" t="s">
        <v>4630</v>
      </c>
      <c r="I218" s="951"/>
    </row>
    <row r="219">
      <c r="A219" s="613"/>
      <c r="B219" s="1031">
        <f>SUM(B215:B218)</f>
        <v>6789</v>
      </c>
      <c r="C219" s="1032"/>
      <c r="D219" s="1032"/>
      <c r="E219" s="18"/>
      <c r="F219" s="1033"/>
      <c r="G219" s="1032"/>
      <c r="H219" s="18"/>
      <c r="I219" s="663"/>
    </row>
    <row r="220">
      <c r="A220" s="1023">
        <v>43734.0</v>
      </c>
      <c r="B220" s="1024">
        <f t="shared" ref="B220:B229" si="22">F220</f>
        <v>1564</v>
      </c>
      <c r="C220" s="984"/>
      <c r="D220" s="984"/>
      <c r="E220" s="242"/>
      <c r="F220" s="1025">
        <v>1564.0</v>
      </c>
      <c r="G220" s="1026"/>
      <c r="H220" s="244" t="s">
        <v>58</v>
      </c>
      <c r="I220" s="662"/>
    </row>
    <row r="221">
      <c r="A221" s="611"/>
      <c r="B221" s="1027">
        <f t="shared" si="22"/>
        <v>1164</v>
      </c>
      <c r="C221" s="826"/>
      <c r="D221" s="826"/>
      <c r="F221" s="1028">
        <v>1164.0</v>
      </c>
      <c r="G221" s="1029"/>
      <c r="H221" s="2" t="s">
        <v>4299</v>
      </c>
      <c r="I221" s="847"/>
    </row>
    <row r="222">
      <c r="A222" s="611"/>
      <c r="B222" s="1027">
        <f t="shared" si="22"/>
        <v>2424</v>
      </c>
      <c r="C222" s="826"/>
      <c r="D222" s="826"/>
      <c r="F222" s="1028">
        <v>2424.0</v>
      </c>
      <c r="G222" s="1029"/>
      <c r="H222" s="2" t="s">
        <v>314</v>
      </c>
      <c r="I222" s="847"/>
    </row>
    <row r="223">
      <c r="A223" s="611"/>
      <c r="B223" s="1027">
        <f t="shared" si="22"/>
        <v>3508</v>
      </c>
      <c r="C223" s="1029"/>
      <c r="D223" s="826"/>
      <c r="F223" s="1028">
        <v>3508.0</v>
      </c>
      <c r="G223" s="1029"/>
      <c r="H223" s="2" t="s">
        <v>4439</v>
      </c>
      <c r="I223" s="847"/>
    </row>
    <row r="224">
      <c r="A224" s="611"/>
      <c r="B224" s="1027">
        <f t="shared" si="22"/>
        <v>4065.93</v>
      </c>
      <c r="C224" s="1029"/>
      <c r="D224" s="826"/>
      <c r="F224" s="1028">
        <v>4065.93</v>
      </c>
      <c r="G224" s="1029"/>
      <c r="H224" s="2" t="s">
        <v>2786</v>
      </c>
      <c r="I224" s="847"/>
    </row>
    <row r="225">
      <c r="A225" s="611"/>
      <c r="B225" s="1027">
        <f t="shared" si="22"/>
        <v>3840</v>
      </c>
      <c r="C225" s="826"/>
      <c r="D225" s="1029"/>
      <c r="F225" s="1028">
        <v>3840.0</v>
      </c>
      <c r="H225" s="2" t="s">
        <v>65</v>
      </c>
      <c r="I225" s="847"/>
    </row>
    <row r="226">
      <c r="A226" s="611"/>
      <c r="B226" s="1027">
        <f t="shared" si="22"/>
        <v>395</v>
      </c>
      <c r="C226" s="826"/>
      <c r="D226" s="826"/>
      <c r="F226" s="1028">
        <v>395.0</v>
      </c>
      <c r="G226" s="826"/>
      <c r="H226" s="2" t="s">
        <v>346</v>
      </c>
      <c r="I226" s="847"/>
    </row>
    <row r="227">
      <c r="A227" s="611"/>
      <c r="B227" s="1027">
        <f t="shared" si="22"/>
        <v>150</v>
      </c>
      <c r="C227" s="826"/>
      <c r="D227" s="826"/>
      <c r="F227" s="1028">
        <v>150.0</v>
      </c>
      <c r="G227" s="826"/>
      <c r="H227" s="2" t="s">
        <v>1729</v>
      </c>
      <c r="I227" s="847"/>
    </row>
    <row r="228">
      <c r="A228" s="611"/>
      <c r="B228" s="1027">
        <f t="shared" si="22"/>
        <v>1000</v>
      </c>
      <c r="C228" s="826"/>
      <c r="D228" s="826"/>
      <c r="F228" s="1028">
        <v>1000.0</v>
      </c>
      <c r="G228" s="826"/>
      <c r="H228" s="2" t="s">
        <v>4631</v>
      </c>
      <c r="I228" s="847"/>
    </row>
    <row r="229">
      <c r="A229" s="611"/>
      <c r="B229" s="1027">
        <f t="shared" si="22"/>
        <v>300</v>
      </c>
      <c r="C229" s="826"/>
      <c r="D229" s="826"/>
      <c r="F229" s="1028">
        <v>300.0</v>
      </c>
      <c r="G229" s="826"/>
      <c r="H229" s="2" t="s">
        <v>4632</v>
      </c>
      <c r="I229" s="847"/>
    </row>
    <row r="230">
      <c r="A230" s="613"/>
      <c r="B230" s="1031">
        <f>SUM(B220:B229)</f>
        <v>18410.93</v>
      </c>
      <c r="C230" s="1032"/>
      <c r="D230" s="1032"/>
      <c r="E230" s="18"/>
      <c r="F230" s="1033"/>
      <c r="G230" s="1032"/>
      <c r="H230" s="18"/>
      <c r="I230" s="663"/>
    </row>
    <row r="231">
      <c r="A231" s="1023">
        <v>43735.0</v>
      </c>
      <c r="B231" s="1024">
        <f t="shared" ref="B231:B239" si="23">F231</f>
        <v>849.5</v>
      </c>
      <c r="C231" s="984"/>
      <c r="D231" s="984"/>
      <c r="E231" s="242"/>
      <c r="F231" s="1025">
        <v>849.5</v>
      </c>
      <c r="G231" s="1026"/>
      <c r="H231" s="244" t="s">
        <v>4598</v>
      </c>
      <c r="I231" s="662"/>
    </row>
    <row r="232">
      <c r="A232" s="611"/>
      <c r="B232" s="1027">
        <f t="shared" si="23"/>
        <v>1493.78</v>
      </c>
      <c r="C232" s="826"/>
      <c r="D232" s="826"/>
      <c r="F232" s="1028">
        <v>1493.78</v>
      </c>
      <c r="G232" s="1029"/>
      <c r="H232" s="2" t="s">
        <v>3821</v>
      </c>
      <c r="I232" s="847"/>
    </row>
    <row r="233">
      <c r="A233" s="611"/>
      <c r="B233" s="1027">
        <f t="shared" si="23"/>
        <v>700</v>
      </c>
      <c r="C233" s="826"/>
      <c r="D233" s="826"/>
      <c r="F233" s="1028">
        <v>700.0</v>
      </c>
      <c r="G233" s="1029"/>
      <c r="H233" s="2" t="s">
        <v>3437</v>
      </c>
      <c r="I233" s="847"/>
    </row>
    <row r="234">
      <c r="A234" s="611"/>
      <c r="B234" s="1027">
        <f t="shared" si="23"/>
        <v>4000</v>
      </c>
      <c r="C234" s="1029"/>
      <c r="D234" s="826"/>
      <c r="F234" s="1028">
        <v>4000.0</v>
      </c>
      <c r="G234" s="1029"/>
      <c r="H234" s="2" t="s">
        <v>4032</v>
      </c>
      <c r="I234" s="951"/>
    </row>
    <row r="235">
      <c r="A235" s="611"/>
      <c r="B235" s="1027">
        <f t="shared" si="23"/>
        <v>3100</v>
      </c>
      <c r="C235" s="1029"/>
      <c r="D235" s="826"/>
      <c r="F235" s="1028">
        <v>3100.0</v>
      </c>
      <c r="G235" s="1029"/>
      <c r="H235" s="2" t="s">
        <v>4262</v>
      </c>
      <c r="I235" s="951"/>
    </row>
    <row r="236">
      <c r="A236" s="611"/>
      <c r="B236" s="1027">
        <f t="shared" si="23"/>
        <v>1320</v>
      </c>
      <c r="C236" s="826"/>
      <c r="D236" s="1029"/>
      <c r="F236" s="1028">
        <v>1320.0</v>
      </c>
      <c r="H236" s="2" t="s">
        <v>650</v>
      </c>
      <c r="I236" s="847"/>
    </row>
    <row r="237">
      <c r="A237" s="611"/>
      <c r="B237" s="1027">
        <f t="shared" si="23"/>
        <v>1200</v>
      </c>
      <c r="C237" s="826"/>
      <c r="D237" s="826"/>
      <c r="F237" s="1028">
        <v>1200.0</v>
      </c>
      <c r="G237" s="826"/>
      <c r="H237" s="2" t="s">
        <v>4595</v>
      </c>
      <c r="I237" s="951"/>
    </row>
    <row r="238">
      <c r="A238" s="611"/>
      <c r="B238" s="1027" t="str">
        <f t="shared" si="23"/>
        <v/>
      </c>
      <c r="C238" s="826"/>
      <c r="D238" s="826"/>
      <c r="F238" s="1030"/>
      <c r="G238" s="826"/>
      <c r="I238" s="847"/>
    </row>
    <row r="239">
      <c r="A239" s="611"/>
      <c r="B239" s="1027" t="str">
        <f t="shared" si="23"/>
        <v/>
      </c>
      <c r="C239" s="826"/>
      <c r="D239" s="826"/>
      <c r="F239" s="1030"/>
      <c r="G239" s="826"/>
      <c r="I239" s="847"/>
    </row>
    <row r="240">
      <c r="A240" s="613"/>
      <c r="B240" s="1031">
        <f>SUM(B231:B239)</f>
        <v>12663.28</v>
      </c>
      <c r="C240" s="1032"/>
      <c r="D240" s="1032"/>
      <c r="E240" s="18"/>
      <c r="F240" s="1033"/>
      <c r="G240" s="1032"/>
      <c r="H240" s="18"/>
      <c r="I240" s="663"/>
    </row>
    <row r="241">
      <c r="A241" s="1023">
        <v>43736.0</v>
      </c>
      <c r="B241" s="1024" t="str">
        <f t="shared" ref="B241:B249" si="24">F241</f>
        <v>367.71</v>
      </c>
      <c r="C241" s="984"/>
      <c r="D241" s="984"/>
      <c r="E241" s="242"/>
      <c r="F241" s="1025" t="s">
        <v>4633</v>
      </c>
      <c r="G241" s="1026"/>
      <c r="H241" s="244" t="s">
        <v>314</v>
      </c>
      <c r="I241" s="662"/>
    </row>
    <row r="242">
      <c r="A242" s="611"/>
      <c r="B242" s="1027">
        <f t="shared" si="24"/>
        <v>1554</v>
      </c>
      <c r="C242" s="826"/>
      <c r="D242" s="826"/>
      <c r="F242" s="1028">
        <v>1554.0</v>
      </c>
      <c r="G242" s="1029"/>
      <c r="H242" s="2" t="s">
        <v>58</v>
      </c>
      <c r="I242" s="847"/>
    </row>
    <row r="243">
      <c r="A243" s="611"/>
      <c r="B243" s="1027">
        <f t="shared" si="24"/>
        <v>7000</v>
      </c>
      <c r="C243" s="826"/>
      <c r="D243" s="826"/>
      <c r="F243" s="1028">
        <v>7000.0</v>
      </c>
      <c r="G243" s="1029"/>
      <c r="H243" s="2" t="s">
        <v>4154</v>
      </c>
      <c r="I243" s="951"/>
    </row>
    <row r="244">
      <c r="A244" s="611"/>
      <c r="B244" s="1027">
        <f t="shared" si="24"/>
        <v>6000</v>
      </c>
      <c r="C244" s="1029"/>
      <c r="D244" s="826"/>
      <c r="F244" s="1028">
        <v>6000.0</v>
      </c>
      <c r="G244" s="1029"/>
      <c r="H244" s="2" t="s">
        <v>4152</v>
      </c>
      <c r="I244" s="951"/>
    </row>
    <row r="245">
      <c r="A245" s="611"/>
      <c r="B245" s="1027">
        <f t="shared" si="24"/>
        <v>5000</v>
      </c>
      <c r="C245" s="1029"/>
      <c r="D245" s="826"/>
      <c r="F245" s="1028">
        <v>5000.0</v>
      </c>
      <c r="G245" s="1029"/>
      <c r="H245" s="2" t="s">
        <v>4062</v>
      </c>
      <c r="I245" s="951"/>
    </row>
    <row r="246">
      <c r="A246" s="611"/>
      <c r="B246" s="1027">
        <f t="shared" si="24"/>
        <v>4600</v>
      </c>
      <c r="C246" s="826"/>
      <c r="D246" s="1029"/>
      <c r="F246" s="1028">
        <v>4600.0</v>
      </c>
      <c r="H246" s="2" t="s">
        <v>4153</v>
      </c>
      <c r="I246" s="951"/>
    </row>
    <row r="247">
      <c r="A247" s="611"/>
      <c r="B247" s="1027">
        <f t="shared" si="24"/>
        <v>10100</v>
      </c>
      <c r="C247" s="826"/>
      <c r="D247" s="826"/>
      <c r="F247" s="1028">
        <v>10100.0</v>
      </c>
      <c r="G247" s="826"/>
      <c r="H247" s="2" t="s">
        <v>4379</v>
      </c>
      <c r="I247" s="951"/>
    </row>
    <row r="248">
      <c r="A248" s="611"/>
      <c r="B248" s="1027">
        <f t="shared" si="24"/>
        <v>3850</v>
      </c>
      <c r="C248" s="826"/>
      <c r="D248" s="826"/>
      <c r="F248" s="1028">
        <v>3850.0</v>
      </c>
      <c r="G248" s="826"/>
      <c r="H248" s="2" t="s">
        <v>3493</v>
      </c>
      <c r="I248" s="951"/>
    </row>
    <row r="249">
      <c r="A249" s="611"/>
      <c r="B249" s="1027">
        <f t="shared" si="24"/>
        <v>1320</v>
      </c>
      <c r="C249" s="826"/>
      <c r="D249" s="826"/>
      <c r="F249" s="1028">
        <v>1320.0</v>
      </c>
      <c r="G249" s="826"/>
      <c r="H249" s="2" t="s">
        <v>4634</v>
      </c>
      <c r="I249" s="847"/>
    </row>
    <row r="250">
      <c r="A250" s="613"/>
      <c r="B250" s="1031">
        <f>SUM(B241:B249)</f>
        <v>39424</v>
      </c>
      <c r="C250" s="1032"/>
      <c r="D250" s="1032"/>
      <c r="E250" s="18"/>
      <c r="F250" s="1033"/>
      <c r="G250" s="1032"/>
      <c r="H250" s="18"/>
      <c r="I250" s="663"/>
    </row>
    <row r="251">
      <c r="A251" s="1023">
        <v>43737.0</v>
      </c>
      <c r="B251" s="1024" t="str">
        <f>F251</f>
        <v/>
      </c>
      <c r="C251" s="984"/>
      <c r="D251" s="984"/>
      <c r="E251" s="242"/>
      <c r="F251" s="1025"/>
      <c r="G251" s="1026"/>
      <c r="H251" s="244"/>
      <c r="I251" s="662"/>
    </row>
    <row r="252">
      <c r="A252" s="613"/>
      <c r="B252" s="1031">
        <f>SUM(B251)</f>
        <v>0</v>
      </c>
      <c r="C252" s="1032"/>
      <c r="D252" s="1032"/>
      <c r="E252" s="18"/>
      <c r="F252" s="1033"/>
      <c r="G252" s="1032"/>
      <c r="H252" s="18"/>
      <c r="I252" s="663"/>
    </row>
    <row r="253">
      <c r="A253" s="1023">
        <v>43738.0</v>
      </c>
      <c r="B253" s="1024">
        <f t="shared" ref="B253:B262" si="25">F253</f>
        <v>440</v>
      </c>
      <c r="C253" s="984"/>
      <c r="D253" s="984"/>
      <c r="E253" s="242"/>
      <c r="F253" s="1025">
        <v>440.0</v>
      </c>
      <c r="G253" s="1026"/>
      <c r="H253" s="244" t="s">
        <v>4635</v>
      </c>
      <c r="I253" s="662"/>
    </row>
    <row r="254">
      <c r="A254" s="611"/>
      <c r="B254" s="1027">
        <f t="shared" si="25"/>
        <v>3726</v>
      </c>
      <c r="C254" s="826"/>
      <c r="D254" s="826"/>
      <c r="F254" s="1028">
        <v>3726.0</v>
      </c>
      <c r="G254" s="1029"/>
      <c r="H254" s="2" t="s">
        <v>114</v>
      </c>
      <c r="I254" s="847"/>
    </row>
    <row r="255">
      <c r="A255" s="611"/>
      <c r="B255" s="1027">
        <f t="shared" si="25"/>
        <v>1287.92</v>
      </c>
      <c r="C255" s="826"/>
      <c r="D255" s="826"/>
      <c r="F255" s="1028">
        <v>1287.92</v>
      </c>
      <c r="G255" s="1029"/>
      <c r="H255" s="2" t="s">
        <v>708</v>
      </c>
      <c r="I255" s="847"/>
    </row>
    <row r="256">
      <c r="A256" s="611"/>
      <c r="B256" s="1027">
        <f t="shared" si="25"/>
        <v>1564.01</v>
      </c>
      <c r="C256" s="1029"/>
      <c r="D256" s="826"/>
      <c r="F256" s="1028">
        <v>1564.01</v>
      </c>
      <c r="G256" s="1029"/>
      <c r="H256" s="2" t="s">
        <v>82</v>
      </c>
      <c r="I256" s="847"/>
    </row>
    <row r="257">
      <c r="A257" s="611"/>
      <c r="B257" s="1027">
        <f t="shared" si="25"/>
        <v>930</v>
      </c>
      <c r="C257" s="1029"/>
      <c r="D257" s="826"/>
      <c r="F257" s="1028">
        <v>930.0</v>
      </c>
      <c r="G257" s="1029"/>
      <c r="H257" s="2" t="s">
        <v>4253</v>
      </c>
      <c r="I257" s="847"/>
    </row>
    <row r="258">
      <c r="A258" s="611"/>
      <c r="B258" s="1027">
        <f t="shared" si="25"/>
        <v>190</v>
      </c>
      <c r="C258" s="826"/>
      <c r="D258" s="1029"/>
      <c r="F258" s="1028">
        <v>190.0</v>
      </c>
      <c r="H258" s="2" t="s">
        <v>4636</v>
      </c>
      <c r="I258" s="847"/>
    </row>
    <row r="259">
      <c r="A259" s="611"/>
      <c r="B259" s="1027">
        <f t="shared" si="25"/>
        <v>170</v>
      </c>
      <c r="C259" s="826"/>
      <c r="D259" s="826"/>
      <c r="F259" s="1028">
        <v>170.0</v>
      </c>
      <c r="G259" s="826"/>
      <c r="H259" s="2" t="s">
        <v>4352</v>
      </c>
      <c r="I259" s="847"/>
    </row>
    <row r="260">
      <c r="A260" s="611"/>
      <c r="B260" s="1027">
        <f t="shared" si="25"/>
        <v>69.5</v>
      </c>
      <c r="C260" s="826"/>
      <c r="D260" s="826"/>
      <c r="F260" s="1028">
        <v>69.5</v>
      </c>
      <c r="G260" s="826"/>
      <c r="H260" s="2" t="s">
        <v>4637</v>
      </c>
      <c r="I260" s="847"/>
    </row>
    <row r="261">
      <c r="A261" s="611"/>
      <c r="B261" s="1027">
        <f t="shared" si="25"/>
        <v>2000</v>
      </c>
      <c r="C261" s="826"/>
      <c r="D261" s="826"/>
      <c r="F261" s="1028">
        <v>2000.0</v>
      </c>
      <c r="G261" s="826"/>
      <c r="H261" s="2" t="s">
        <v>4038</v>
      </c>
      <c r="I261" s="847"/>
    </row>
    <row r="262">
      <c r="A262" s="611"/>
      <c r="B262" s="1027">
        <f t="shared" si="25"/>
        <v>2060</v>
      </c>
      <c r="C262" s="826"/>
      <c r="D262" s="826"/>
      <c r="F262" s="1028">
        <v>2060.0</v>
      </c>
      <c r="G262" s="826"/>
      <c r="H262" s="2" t="s">
        <v>2349</v>
      </c>
      <c r="I262" s="847"/>
    </row>
    <row r="263">
      <c r="A263" s="613"/>
      <c r="B263" s="1031">
        <f>SUM(B253:B262)</f>
        <v>12437.43</v>
      </c>
      <c r="C263" s="1032"/>
      <c r="D263" s="1032"/>
      <c r="E263" s="18"/>
      <c r="F263" s="1033"/>
      <c r="G263" s="1032"/>
      <c r="H263" s="18"/>
      <c r="I263" s="663"/>
    </row>
    <row r="264">
      <c r="A264" s="834"/>
      <c r="I264" s="847"/>
    </row>
    <row r="265">
      <c r="I265" s="847"/>
    </row>
    <row r="266">
      <c r="I266" s="847"/>
    </row>
    <row r="267">
      <c r="I267" s="847"/>
    </row>
    <row r="268">
      <c r="I268" s="847"/>
    </row>
    <row r="269">
      <c r="I269" s="847"/>
    </row>
    <row r="270">
      <c r="I270" s="847"/>
    </row>
    <row r="271">
      <c r="A271" s="826"/>
      <c r="B271" s="1038"/>
      <c r="C271" s="826"/>
      <c r="D271" s="826"/>
      <c r="F271" s="1030"/>
      <c r="G271" s="826"/>
      <c r="I271" s="847"/>
    </row>
    <row r="272">
      <c r="B272" s="1038"/>
      <c r="C272" s="826"/>
      <c r="D272" s="826"/>
      <c r="F272" s="1030"/>
      <c r="G272" s="826"/>
      <c r="I272" s="847"/>
    </row>
    <row r="273">
      <c r="B273" s="1038"/>
      <c r="C273" s="826"/>
      <c r="D273" s="826"/>
      <c r="F273" s="1030"/>
      <c r="G273" s="826"/>
      <c r="I273" s="847"/>
    </row>
    <row r="274">
      <c r="B274" s="1038"/>
      <c r="C274" s="826"/>
      <c r="D274" s="826"/>
      <c r="F274" s="1030"/>
      <c r="G274" s="826"/>
      <c r="I274" s="847"/>
    </row>
    <row r="275">
      <c r="B275" s="1038"/>
      <c r="C275" s="826"/>
      <c r="D275" s="826"/>
      <c r="F275" s="1030"/>
      <c r="G275" s="826"/>
      <c r="I275" s="847"/>
    </row>
    <row r="276">
      <c r="B276" s="1038"/>
      <c r="C276" s="826"/>
      <c r="D276" s="826"/>
      <c r="F276" s="1030"/>
      <c r="G276" s="826"/>
      <c r="I276" s="847"/>
    </row>
    <row r="277">
      <c r="B277" s="1038"/>
      <c r="C277" s="826"/>
      <c r="D277" s="826"/>
      <c r="F277" s="1030"/>
      <c r="G277" s="826"/>
      <c r="I277" s="847"/>
    </row>
    <row r="278">
      <c r="B278" s="1038"/>
      <c r="C278" s="826"/>
      <c r="D278" s="826"/>
      <c r="F278" s="1030"/>
      <c r="G278" s="826"/>
      <c r="I278" s="847"/>
    </row>
    <row r="279">
      <c r="B279" s="1038"/>
      <c r="C279" s="826"/>
      <c r="D279" s="826"/>
      <c r="F279" s="1030"/>
      <c r="G279" s="826"/>
      <c r="I279" s="847"/>
    </row>
    <row r="280">
      <c r="B280" s="1038"/>
      <c r="C280" s="826"/>
      <c r="D280" s="826"/>
      <c r="F280" s="1030"/>
      <c r="G280" s="826"/>
      <c r="I280" s="847"/>
    </row>
    <row r="281">
      <c r="A281" s="826"/>
      <c r="B281" s="1038"/>
      <c r="C281" s="826"/>
      <c r="D281" s="826"/>
      <c r="F281" s="1030"/>
      <c r="G281" s="826"/>
      <c r="I281" s="847"/>
    </row>
    <row r="282">
      <c r="B282" s="1038"/>
      <c r="C282" s="826"/>
      <c r="D282" s="826"/>
      <c r="F282" s="1030"/>
      <c r="G282" s="826"/>
      <c r="I282" s="847"/>
    </row>
    <row r="283">
      <c r="B283" s="1038"/>
      <c r="C283" s="826"/>
      <c r="D283" s="826"/>
      <c r="F283" s="1030"/>
      <c r="G283" s="826"/>
      <c r="I283" s="847"/>
    </row>
    <row r="284">
      <c r="B284" s="1038"/>
      <c r="C284" s="826"/>
      <c r="D284" s="826"/>
      <c r="F284" s="1030"/>
      <c r="G284" s="826"/>
      <c r="I284" s="847"/>
    </row>
    <row r="285">
      <c r="B285" s="1038"/>
      <c r="C285" s="826"/>
      <c r="D285" s="826"/>
      <c r="F285" s="1030"/>
      <c r="G285" s="826"/>
      <c r="I285" s="847"/>
    </row>
    <row r="286">
      <c r="B286" s="1038"/>
      <c r="C286" s="826"/>
      <c r="D286" s="826"/>
      <c r="F286" s="1030"/>
      <c r="G286" s="826"/>
      <c r="I286" s="847"/>
    </row>
    <row r="287">
      <c r="B287" s="1038"/>
      <c r="C287" s="826"/>
      <c r="D287" s="826"/>
      <c r="F287" s="1030"/>
      <c r="G287" s="826"/>
      <c r="I287" s="847"/>
    </row>
    <row r="288">
      <c r="B288" s="1038"/>
      <c r="C288" s="826"/>
      <c r="D288" s="826"/>
      <c r="F288" s="1030"/>
      <c r="G288" s="826"/>
      <c r="I288" s="847"/>
    </row>
    <row r="289">
      <c r="B289" s="1038"/>
      <c r="C289" s="826"/>
      <c r="D289" s="826"/>
      <c r="F289" s="1030"/>
      <c r="G289" s="826"/>
      <c r="I289" s="847"/>
    </row>
    <row r="290">
      <c r="B290" s="1038"/>
      <c r="C290" s="826"/>
      <c r="D290" s="826"/>
      <c r="F290" s="1030"/>
      <c r="G290" s="826"/>
      <c r="I290" s="847"/>
    </row>
    <row r="291">
      <c r="A291" s="826"/>
      <c r="B291" s="1038"/>
      <c r="C291" s="826"/>
      <c r="D291" s="826"/>
      <c r="F291" s="1030"/>
      <c r="G291" s="826"/>
      <c r="I291" s="847"/>
    </row>
    <row r="292">
      <c r="B292" s="1038"/>
      <c r="C292" s="826"/>
      <c r="D292" s="826"/>
      <c r="F292" s="1030"/>
      <c r="G292" s="826"/>
      <c r="I292" s="847"/>
    </row>
    <row r="293">
      <c r="B293" s="1038"/>
      <c r="C293" s="826"/>
      <c r="D293" s="826"/>
      <c r="F293" s="1030"/>
      <c r="G293" s="826"/>
      <c r="I293" s="847"/>
    </row>
    <row r="294">
      <c r="B294" s="1038"/>
      <c r="C294" s="826"/>
      <c r="D294" s="826"/>
      <c r="F294" s="1030"/>
      <c r="G294" s="826"/>
      <c r="I294" s="847"/>
    </row>
    <row r="295">
      <c r="B295" s="1038"/>
      <c r="C295" s="826"/>
      <c r="D295" s="826"/>
      <c r="F295" s="1030"/>
      <c r="G295" s="826"/>
      <c r="I295" s="847"/>
    </row>
    <row r="296">
      <c r="B296" s="1038"/>
      <c r="C296" s="826"/>
      <c r="D296" s="826"/>
      <c r="F296" s="1030"/>
      <c r="G296" s="826"/>
      <c r="I296" s="847"/>
    </row>
    <row r="297">
      <c r="B297" s="1038"/>
      <c r="C297" s="826"/>
      <c r="D297" s="826"/>
      <c r="F297" s="1030"/>
      <c r="G297" s="826"/>
      <c r="I297" s="847"/>
    </row>
    <row r="298">
      <c r="B298" s="1038"/>
      <c r="C298" s="826"/>
      <c r="D298" s="826"/>
      <c r="F298" s="1030"/>
      <c r="G298" s="826"/>
      <c r="I298" s="847"/>
    </row>
    <row r="299">
      <c r="B299" s="1038"/>
      <c r="C299" s="826"/>
      <c r="D299" s="826"/>
      <c r="F299" s="1030"/>
      <c r="G299" s="826"/>
      <c r="I299" s="847"/>
    </row>
    <row r="300">
      <c r="B300" s="1038"/>
      <c r="C300" s="826"/>
      <c r="D300" s="826"/>
      <c r="F300" s="1030"/>
      <c r="G300" s="826"/>
      <c r="I300" s="847"/>
    </row>
    <row r="301">
      <c r="A301" s="826"/>
      <c r="B301" s="1038"/>
      <c r="C301" s="826"/>
      <c r="D301" s="826"/>
      <c r="F301" s="1030"/>
      <c r="G301" s="826"/>
      <c r="I301" s="847"/>
    </row>
    <row r="302">
      <c r="B302" s="1038"/>
      <c r="C302" s="826"/>
      <c r="D302" s="826"/>
      <c r="F302" s="1030"/>
      <c r="G302" s="826"/>
      <c r="I302" s="847"/>
    </row>
    <row r="303">
      <c r="B303" s="1038"/>
      <c r="C303" s="826"/>
      <c r="D303" s="826"/>
      <c r="F303" s="1030"/>
      <c r="G303" s="826"/>
      <c r="I303" s="847"/>
    </row>
    <row r="304">
      <c r="B304" s="1038"/>
      <c r="C304" s="826"/>
      <c r="D304" s="826"/>
      <c r="F304" s="1030"/>
      <c r="G304" s="826"/>
      <c r="I304" s="847"/>
    </row>
    <row r="305">
      <c r="B305" s="1038"/>
      <c r="C305" s="826"/>
      <c r="D305" s="826"/>
      <c r="F305" s="1030"/>
      <c r="G305" s="826"/>
      <c r="I305" s="847"/>
    </row>
    <row r="306">
      <c r="B306" s="1038"/>
      <c r="C306" s="826"/>
      <c r="D306" s="826"/>
      <c r="F306" s="1030"/>
      <c r="G306" s="826"/>
      <c r="I306" s="847"/>
    </row>
    <row r="307">
      <c r="B307" s="1038"/>
      <c r="C307" s="826"/>
      <c r="D307" s="826"/>
      <c r="F307" s="1030"/>
      <c r="G307" s="826"/>
      <c r="I307" s="847"/>
    </row>
    <row r="308">
      <c r="B308" s="1038"/>
      <c r="C308" s="826"/>
      <c r="D308" s="826"/>
      <c r="F308" s="1030"/>
      <c r="G308" s="826"/>
      <c r="I308" s="847"/>
    </row>
    <row r="309">
      <c r="B309" s="1038"/>
      <c r="C309" s="826"/>
      <c r="D309" s="826"/>
      <c r="F309" s="1030"/>
      <c r="G309" s="826"/>
      <c r="I309" s="847"/>
    </row>
    <row r="310">
      <c r="B310" s="1038"/>
      <c r="C310" s="826"/>
      <c r="D310" s="826"/>
      <c r="F310" s="1030"/>
      <c r="G310" s="826"/>
      <c r="I310" s="847"/>
    </row>
    <row r="311">
      <c r="A311" s="826"/>
      <c r="B311" s="1038"/>
      <c r="C311" s="826"/>
      <c r="D311" s="826"/>
      <c r="F311" s="1030"/>
      <c r="G311" s="826"/>
      <c r="I311" s="847"/>
    </row>
    <row r="312">
      <c r="A312" s="826"/>
      <c r="B312" s="1038"/>
      <c r="C312" s="826"/>
      <c r="D312" s="826"/>
      <c r="F312" s="1030"/>
      <c r="G312" s="826"/>
      <c r="I312" s="847"/>
    </row>
    <row r="313">
      <c r="A313" s="826"/>
      <c r="B313" s="1038"/>
      <c r="C313" s="826"/>
      <c r="D313" s="826"/>
      <c r="F313" s="1030"/>
      <c r="G313" s="826"/>
      <c r="I313" s="847"/>
    </row>
    <row r="314">
      <c r="A314" s="826"/>
      <c r="B314" s="1038"/>
      <c r="C314" s="826"/>
      <c r="D314" s="826"/>
      <c r="F314" s="1030"/>
      <c r="G314" s="826"/>
      <c r="I314" s="847"/>
    </row>
    <row r="315">
      <c r="A315" s="826"/>
      <c r="B315" s="1038"/>
      <c r="C315" s="826"/>
      <c r="D315" s="826"/>
      <c r="F315" s="1030"/>
      <c r="G315" s="826"/>
      <c r="I315" s="847"/>
    </row>
    <row r="316">
      <c r="A316" s="826"/>
      <c r="B316" s="1038"/>
      <c r="C316" s="826"/>
      <c r="D316" s="826"/>
      <c r="F316" s="1030"/>
      <c r="G316" s="826"/>
      <c r="I316" s="847"/>
    </row>
    <row r="317">
      <c r="A317" s="826"/>
      <c r="B317" s="1038"/>
      <c r="C317" s="826"/>
      <c r="D317" s="826"/>
      <c r="F317" s="1030"/>
      <c r="G317" s="826"/>
      <c r="I317" s="847"/>
    </row>
    <row r="318">
      <c r="A318" s="826"/>
      <c r="B318" s="1038"/>
      <c r="C318" s="826"/>
      <c r="D318" s="826"/>
      <c r="F318" s="1030"/>
      <c r="G318" s="826"/>
      <c r="I318" s="847"/>
    </row>
    <row r="319">
      <c r="A319" s="826"/>
      <c r="B319" s="1038"/>
      <c r="C319" s="826"/>
      <c r="D319" s="826"/>
      <c r="F319" s="1030"/>
      <c r="G319" s="826"/>
      <c r="I319" s="847"/>
    </row>
    <row r="320">
      <c r="A320" s="826"/>
      <c r="B320" s="1038"/>
      <c r="C320" s="826"/>
      <c r="D320" s="826"/>
      <c r="F320" s="1030"/>
      <c r="G320" s="826"/>
      <c r="I320" s="847"/>
    </row>
    <row r="321">
      <c r="A321" s="826"/>
      <c r="B321" s="1038"/>
      <c r="C321" s="826"/>
      <c r="D321" s="826"/>
      <c r="F321" s="1030"/>
      <c r="G321" s="826"/>
      <c r="I321" s="847"/>
    </row>
    <row r="322">
      <c r="A322" s="826"/>
      <c r="B322" s="1038"/>
      <c r="C322" s="826"/>
      <c r="D322" s="826"/>
      <c r="F322" s="1030"/>
      <c r="G322" s="826"/>
      <c r="I322" s="847"/>
    </row>
    <row r="323">
      <c r="A323" s="826"/>
      <c r="B323" s="1038"/>
      <c r="C323" s="826"/>
      <c r="D323" s="826"/>
      <c r="F323" s="1030"/>
      <c r="G323" s="826"/>
      <c r="I323" s="847"/>
    </row>
    <row r="324">
      <c r="A324" s="826"/>
      <c r="B324" s="1038"/>
      <c r="C324" s="826"/>
      <c r="D324" s="826"/>
      <c r="F324" s="1030"/>
      <c r="G324" s="826"/>
      <c r="I324" s="847"/>
    </row>
    <row r="325">
      <c r="A325" s="826"/>
      <c r="B325" s="1038"/>
      <c r="C325" s="826"/>
      <c r="D325" s="826"/>
      <c r="F325" s="1030"/>
      <c r="G325" s="826"/>
      <c r="I325" s="847"/>
    </row>
    <row r="326">
      <c r="A326" s="826"/>
      <c r="B326" s="1038"/>
      <c r="C326" s="826"/>
      <c r="D326" s="826"/>
      <c r="F326" s="1030"/>
      <c r="G326" s="826"/>
      <c r="I326" s="847"/>
    </row>
    <row r="327">
      <c r="A327" s="826"/>
      <c r="B327" s="1038"/>
      <c r="C327" s="826"/>
      <c r="D327" s="826"/>
      <c r="F327" s="1030"/>
      <c r="G327" s="826"/>
      <c r="I327" s="847"/>
    </row>
    <row r="328">
      <c r="A328" s="826"/>
      <c r="B328" s="1038"/>
      <c r="C328" s="826"/>
      <c r="D328" s="826"/>
      <c r="F328" s="1030"/>
      <c r="G328" s="826"/>
      <c r="I328" s="847"/>
    </row>
    <row r="329">
      <c r="A329" s="826"/>
      <c r="B329" s="1038"/>
      <c r="C329" s="826"/>
      <c r="D329" s="826"/>
      <c r="F329" s="1030"/>
      <c r="G329" s="826"/>
      <c r="I329" s="847"/>
    </row>
    <row r="330">
      <c r="A330" s="826"/>
      <c r="B330" s="1038"/>
      <c r="C330" s="826"/>
      <c r="D330" s="826"/>
      <c r="F330" s="1030"/>
      <c r="G330" s="826"/>
      <c r="I330" s="847"/>
    </row>
    <row r="331">
      <c r="A331" s="826"/>
      <c r="B331" s="1038"/>
      <c r="C331" s="826"/>
      <c r="D331" s="826"/>
      <c r="F331" s="1030"/>
      <c r="G331" s="826"/>
      <c r="I331" s="847"/>
    </row>
    <row r="332">
      <c r="A332" s="826"/>
      <c r="B332" s="1038"/>
      <c r="C332" s="826"/>
      <c r="D332" s="826"/>
      <c r="F332" s="1030"/>
      <c r="G332" s="826"/>
      <c r="I332" s="847"/>
    </row>
    <row r="333">
      <c r="A333" s="826"/>
      <c r="B333" s="1038"/>
      <c r="C333" s="826"/>
      <c r="D333" s="826"/>
      <c r="F333" s="1030"/>
      <c r="G333" s="826"/>
      <c r="I333" s="847"/>
    </row>
    <row r="334">
      <c r="A334" s="826"/>
      <c r="B334" s="1038"/>
      <c r="C334" s="826"/>
      <c r="D334" s="826"/>
      <c r="F334" s="1030"/>
      <c r="G334" s="826"/>
      <c r="I334" s="847"/>
    </row>
    <row r="335">
      <c r="A335" s="826"/>
      <c r="B335" s="1038"/>
      <c r="C335" s="826"/>
      <c r="D335" s="826"/>
      <c r="F335" s="1030"/>
      <c r="G335" s="826"/>
      <c r="I335" s="847"/>
    </row>
    <row r="336">
      <c r="A336" s="826"/>
      <c r="B336" s="1038"/>
      <c r="C336" s="826"/>
      <c r="D336" s="826"/>
      <c r="F336" s="1030"/>
      <c r="G336" s="826"/>
      <c r="I336" s="847"/>
    </row>
    <row r="337">
      <c r="A337" s="826"/>
      <c r="B337" s="1038"/>
      <c r="C337" s="826"/>
      <c r="D337" s="826"/>
      <c r="F337" s="1030"/>
      <c r="G337" s="826"/>
      <c r="I337" s="847"/>
    </row>
    <row r="338">
      <c r="A338" s="826"/>
      <c r="B338" s="1038"/>
      <c r="C338" s="826"/>
      <c r="D338" s="826"/>
      <c r="F338" s="1030"/>
      <c r="G338" s="826"/>
      <c r="I338" s="847"/>
    </row>
    <row r="339">
      <c r="A339" s="826"/>
      <c r="B339" s="1038"/>
      <c r="C339" s="826"/>
      <c r="D339" s="826"/>
      <c r="F339" s="1030"/>
      <c r="G339" s="826"/>
      <c r="I339" s="847"/>
    </row>
    <row r="340">
      <c r="A340" s="826"/>
      <c r="B340" s="1038"/>
      <c r="C340" s="826"/>
      <c r="D340" s="826"/>
      <c r="F340" s="1030"/>
      <c r="G340" s="826"/>
      <c r="I340" s="847"/>
    </row>
    <row r="341">
      <c r="A341" s="826"/>
      <c r="B341" s="1038"/>
      <c r="C341" s="826"/>
      <c r="D341" s="826"/>
      <c r="F341" s="1030"/>
      <c r="G341" s="826"/>
      <c r="I341" s="847"/>
    </row>
    <row r="342">
      <c r="A342" s="826"/>
      <c r="B342" s="1038"/>
      <c r="C342" s="826"/>
      <c r="D342" s="826"/>
      <c r="F342" s="1030"/>
      <c r="G342" s="826"/>
      <c r="I342" s="847"/>
    </row>
    <row r="343">
      <c r="A343" s="826"/>
      <c r="B343" s="1038"/>
      <c r="C343" s="826"/>
      <c r="D343" s="826"/>
      <c r="F343" s="1030"/>
      <c r="G343" s="826"/>
      <c r="I343" s="847"/>
    </row>
    <row r="344">
      <c r="A344" s="826"/>
      <c r="B344" s="1038"/>
      <c r="C344" s="826"/>
      <c r="D344" s="826"/>
      <c r="F344" s="1030"/>
      <c r="G344" s="826"/>
      <c r="I344" s="847"/>
    </row>
    <row r="345">
      <c r="A345" s="826"/>
      <c r="B345" s="1038"/>
      <c r="C345" s="826"/>
      <c r="D345" s="826"/>
      <c r="F345" s="1030"/>
      <c r="G345" s="826"/>
      <c r="I345" s="847"/>
    </row>
    <row r="346">
      <c r="A346" s="826"/>
      <c r="B346" s="1038"/>
      <c r="C346" s="826"/>
      <c r="D346" s="826"/>
      <c r="F346" s="1030"/>
      <c r="G346" s="826"/>
      <c r="I346" s="847"/>
    </row>
    <row r="347">
      <c r="A347" s="826"/>
      <c r="B347" s="1038"/>
      <c r="C347" s="826"/>
      <c r="D347" s="826"/>
      <c r="F347" s="1030"/>
      <c r="G347" s="826"/>
      <c r="I347" s="847"/>
    </row>
    <row r="348">
      <c r="A348" s="826"/>
      <c r="B348" s="1038"/>
      <c r="C348" s="826"/>
      <c r="D348" s="826"/>
      <c r="F348" s="1030"/>
      <c r="G348" s="826"/>
      <c r="I348" s="847"/>
    </row>
    <row r="349">
      <c r="A349" s="826"/>
      <c r="B349" s="1038"/>
      <c r="C349" s="826"/>
      <c r="D349" s="826"/>
      <c r="F349" s="1030"/>
      <c r="G349" s="826"/>
      <c r="I349" s="847"/>
    </row>
    <row r="350">
      <c r="A350" s="826"/>
      <c r="B350" s="1038"/>
      <c r="C350" s="826"/>
      <c r="D350" s="826"/>
      <c r="F350" s="1030"/>
      <c r="G350" s="826"/>
      <c r="I350" s="847"/>
    </row>
    <row r="351">
      <c r="A351" s="826"/>
      <c r="B351" s="1038"/>
      <c r="C351" s="826"/>
      <c r="D351" s="826"/>
      <c r="F351" s="1030"/>
      <c r="G351" s="826"/>
      <c r="I351" s="847"/>
    </row>
    <row r="352">
      <c r="A352" s="826"/>
      <c r="B352" s="1038"/>
      <c r="C352" s="826"/>
      <c r="D352" s="826"/>
      <c r="F352" s="1030"/>
      <c r="G352" s="826"/>
      <c r="I352" s="847"/>
    </row>
    <row r="353">
      <c r="A353" s="826"/>
      <c r="B353" s="1038"/>
      <c r="C353" s="826"/>
      <c r="D353" s="826"/>
      <c r="F353" s="1030"/>
      <c r="G353" s="826"/>
      <c r="I353" s="847"/>
    </row>
    <row r="354">
      <c r="A354" s="826"/>
      <c r="B354" s="1038"/>
      <c r="C354" s="826"/>
      <c r="D354" s="826"/>
      <c r="F354" s="1030"/>
      <c r="G354" s="826"/>
      <c r="I354" s="847"/>
    </row>
    <row r="355">
      <c r="A355" s="826"/>
      <c r="B355" s="1038"/>
      <c r="C355" s="826"/>
      <c r="D355" s="826"/>
      <c r="F355" s="1030"/>
      <c r="G355" s="826"/>
      <c r="I355" s="847"/>
    </row>
    <row r="356">
      <c r="A356" s="826"/>
      <c r="B356" s="1038"/>
      <c r="C356" s="826"/>
      <c r="D356" s="826"/>
      <c r="F356" s="1030"/>
      <c r="G356" s="826"/>
      <c r="I356" s="847"/>
    </row>
    <row r="357">
      <c r="A357" s="826"/>
      <c r="B357" s="1038"/>
      <c r="C357" s="826"/>
      <c r="D357" s="826"/>
      <c r="F357" s="1030"/>
      <c r="G357" s="826"/>
      <c r="I357" s="847"/>
    </row>
    <row r="358">
      <c r="A358" s="826"/>
      <c r="B358" s="1038"/>
      <c r="C358" s="826"/>
      <c r="D358" s="826"/>
      <c r="F358" s="1030"/>
      <c r="G358" s="826"/>
      <c r="I358" s="847"/>
    </row>
    <row r="359">
      <c r="A359" s="826"/>
      <c r="B359" s="1038"/>
      <c r="C359" s="826"/>
      <c r="D359" s="826"/>
      <c r="F359" s="1030"/>
      <c r="G359" s="826"/>
      <c r="I359" s="847"/>
    </row>
    <row r="360">
      <c r="A360" s="826"/>
      <c r="B360" s="1038"/>
      <c r="C360" s="826"/>
      <c r="D360" s="826"/>
      <c r="F360" s="1030"/>
      <c r="G360" s="826"/>
      <c r="I360" s="847"/>
    </row>
    <row r="361">
      <c r="A361" s="826"/>
      <c r="B361" s="1038"/>
      <c r="C361" s="826"/>
      <c r="D361" s="826"/>
      <c r="F361" s="1030"/>
      <c r="G361" s="826"/>
      <c r="I361" s="847"/>
    </row>
    <row r="362">
      <c r="A362" s="826"/>
      <c r="B362" s="1038"/>
      <c r="C362" s="826"/>
      <c r="D362" s="826"/>
      <c r="F362" s="1030"/>
      <c r="G362" s="826"/>
      <c r="I362" s="847"/>
    </row>
    <row r="363">
      <c r="A363" s="826"/>
      <c r="B363" s="1038"/>
      <c r="C363" s="826"/>
      <c r="D363" s="826"/>
      <c r="F363" s="1030"/>
      <c r="G363" s="826"/>
      <c r="I363" s="847"/>
    </row>
    <row r="364">
      <c r="A364" s="826"/>
      <c r="B364" s="1038"/>
      <c r="C364" s="826"/>
      <c r="D364" s="826"/>
      <c r="F364" s="1030"/>
      <c r="G364" s="826"/>
      <c r="I364" s="847"/>
    </row>
    <row r="365">
      <c r="A365" s="826"/>
      <c r="B365" s="1038"/>
      <c r="C365" s="826"/>
      <c r="D365" s="826"/>
      <c r="F365" s="1030"/>
      <c r="G365" s="826"/>
      <c r="I365" s="847"/>
    </row>
    <row r="366">
      <c r="A366" s="826"/>
      <c r="B366" s="1038"/>
      <c r="C366" s="826"/>
      <c r="D366" s="826"/>
      <c r="F366" s="1030"/>
      <c r="G366" s="826"/>
      <c r="I366" s="847"/>
    </row>
    <row r="367">
      <c r="A367" s="826"/>
      <c r="B367" s="1038"/>
      <c r="C367" s="826"/>
      <c r="D367" s="826"/>
      <c r="F367" s="1030"/>
      <c r="G367" s="826"/>
      <c r="I367" s="847"/>
    </row>
    <row r="368">
      <c r="A368" s="826"/>
      <c r="B368" s="1038"/>
      <c r="C368" s="826"/>
      <c r="D368" s="826"/>
      <c r="F368" s="1030"/>
      <c r="G368" s="826"/>
      <c r="I368" s="847"/>
    </row>
    <row r="369">
      <c r="A369" s="826"/>
      <c r="B369" s="1038"/>
      <c r="C369" s="826"/>
      <c r="D369" s="826"/>
      <c r="F369" s="1030"/>
      <c r="G369" s="826"/>
      <c r="I369" s="847"/>
    </row>
    <row r="370">
      <c r="A370" s="826"/>
      <c r="B370" s="1038"/>
      <c r="C370" s="826"/>
      <c r="D370" s="826"/>
      <c r="F370" s="1030"/>
      <c r="G370" s="826"/>
      <c r="I370" s="847"/>
    </row>
    <row r="371">
      <c r="A371" s="826"/>
      <c r="B371" s="1038"/>
      <c r="C371" s="826"/>
      <c r="D371" s="826"/>
      <c r="F371" s="1030"/>
      <c r="G371" s="826"/>
      <c r="I371" s="847"/>
    </row>
    <row r="372">
      <c r="A372" s="826"/>
      <c r="B372" s="1038"/>
      <c r="C372" s="826"/>
      <c r="D372" s="826"/>
      <c r="F372" s="1030"/>
      <c r="G372" s="826"/>
      <c r="I372" s="847"/>
    </row>
    <row r="373">
      <c r="A373" s="826"/>
      <c r="B373" s="1038"/>
      <c r="C373" s="826"/>
      <c r="D373" s="826"/>
      <c r="F373" s="1030"/>
      <c r="G373" s="826"/>
      <c r="I373" s="847"/>
    </row>
    <row r="374">
      <c r="A374" s="826"/>
      <c r="B374" s="1038"/>
      <c r="C374" s="826"/>
      <c r="D374" s="826"/>
      <c r="F374" s="1030"/>
      <c r="G374" s="826"/>
      <c r="I374" s="847"/>
    </row>
    <row r="375">
      <c r="A375" s="826"/>
      <c r="B375" s="1038"/>
      <c r="C375" s="826"/>
      <c r="D375" s="826"/>
      <c r="F375" s="1030"/>
      <c r="G375" s="826"/>
      <c r="I375" s="847"/>
    </row>
    <row r="376">
      <c r="A376" s="826"/>
      <c r="B376" s="1038"/>
      <c r="C376" s="826"/>
      <c r="D376" s="826"/>
      <c r="F376" s="1030"/>
      <c r="G376" s="826"/>
      <c r="I376" s="847"/>
    </row>
    <row r="377">
      <c r="A377" s="826"/>
      <c r="B377" s="1038"/>
      <c r="C377" s="826"/>
      <c r="D377" s="826"/>
      <c r="F377" s="1030"/>
      <c r="G377" s="826"/>
      <c r="I377" s="847"/>
    </row>
    <row r="378">
      <c r="A378" s="826"/>
      <c r="B378" s="1038"/>
      <c r="C378" s="826"/>
      <c r="D378" s="826"/>
      <c r="F378" s="1030"/>
      <c r="G378" s="826"/>
      <c r="I378" s="847"/>
    </row>
    <row r="379">
      <c r="A379" s="826"/>
      <c r="B379" s="1038"/>
      <c r="C379" s="826"/>
      <c r="D379" s="826"/>
      <c r="F379" s="1030"/>
      <c r="G379" s="826"/>
      <c r="I379" s="847"/>
    </row>
    <row r="380">
      <c r="A380" s="826"/>
      <c r="B380" s="1038"/>
      <c r="C380" s="826"/>
      <c r="D380" s="826"/>
      <c r="F380" s="1030"/>
      <c r="G380" s="826"/>
      <c r="I380" s="847"/>
    </row>
    <row r="381">
      <c r="A381" s="826"/>
      <c r="B381" s="1038"/>
      <c r="C381" s="826"/>
      <c r="D381" s="826"/>
      <c r="F381" s="1030"/>
      <c r="G381" s="826"/>
      <c r="I381" s="847"/>
    </row>
    <row r="382">
      <c r="A382" s="826"/>
      <c r="B382" s="1038"/>
      <c r="C382" s="826"/>
      <c r="D382" s="826"/>
      <c r="F382" s="1030"/>
      <c r="G382" s="826"/>
      <c r="I382" s="847"/>
    </row>
    <row r="383">
      <c r="A383" s="826"/>
      <c r="B383" s="1038"/>
      <c r="C383" s="826"/>
      <c r="D383" s="826"/>
      <c r="F383" s="1030"/>
      <c r="G383" s="826"/>
      <c r="I383" s="847"/>
    </row>
    <row r="384">
      <c r="A384" s="826"/>
      <c r="B384" s="1038"/>
      <c r="C384" s="826"/>
      <c r="D384" s="826"/>
      <c r="F384" s="1030"/>
      <c r="G384" s="826"/>
      <c r="I384" s="847"/>
    </row>
    <row r="385">
      <c r="A385" s="826"/>
      <c r="B385" s="1038"/>
      <c r="C385" s="826"/>
      <c r="D385" s="826"/>
      <c r="F385" s="1030"/>
      <c r="G385" s="826"/>
      <c r="I385" s="847"/>
    </row>
    <row r="386">
      <c r="A386" s="826"/>
      <c r="B386" s="1038"/>
      <c r="C386" s="826"/>
      <c r="D386" s="826"/>
      <c r="F386" s="1030"/>
      <c r="G386" s="826"/>
      <c r="I386" s="847"/>
    </row>
    <row r="387">
      <c r="A387" s="826"/>
      <c r="B387" s="1038"/>
      <c r="C387" s="826"/>
      <c r="D387" s="826"/>
      <c r="F387" s="1030"/>
      <c r="G387" s="826"/>
      <c r="I387" s="847"/>
    </row>
    <row r="388">
      <c r="A388" s="826"/>
      <c r="B388" s="1038"/>
      <c r="C388" s="826"/>
      <c r="D388" s="826"/>
      <c r="F388" s="1030"/>
      <c r="G388" s="826"/>
      <c r="I388" s="847"/>
    </row>
    <row r="389">
      <c r="A389" s="826"/>
      <c r="B389" s="1038"/>
      <c r="C389" s="826"/>
      <c r="D389" s="826"/>
      <c r="F389" s="1030"/>
      <c r="G389" s="826"/>
      <c r="I389" s="847"/>
    </row>
    <row r="390">
      <c r="A390" s="826"/>
      <c r="B390" s="1038"/>
      <c r="C390" s="826"/>
      <c r="D390" s="826"/>
      <c r="F390" s="1030"/>
      <c r="G390" s="826"/>
      <c r="I390" s="847"/>
    </row>
    <row r="391">
      <c r="A391" s="826"/>
      <c r="B391" s="1038"/>
      <c r="C391" s="826"/>
      <c r="D391" s="826"/>
      <c r="F391" s="1030"/>
      <c r="G391" s="826"/>
      <c r="I391" s="847"/>
    </row>
    <row r="392">
      <c r="A392" s="826"/>
      <c r="B392" s="1038"/>
      <c r="C392" s="826"/>
      <c r="D392" s="826"/>
      <c r="F392" s="1030"/>
      <c r="G392" s="826"/>
      <c r="I392" s="847"/>
    </row>
    <row r="393">
      <c r="A393" s="826"/>
      <c r="B393" s="1038"/>
      <c r="C393" s="826"/>
      <c r="D393" s="826"/>
      <c r="F393" s="1030"/>
      <c r="G393" s="826"/>
      <c r="I393" s="847"/>
    </row>
    <row r="394">
      <c r="A394" s="826"/>
      <c r="B394" s="1038"/>
      <c r="C394" s="826"/>
      <c r="D394" s="826"/>
      <c r="F394" s="1030"/>
      <c r="G394" s="826"/>
      <c r="I394" s="847"/>
    </row>
    <row r="395">
      <c r="A395" s="826"/>
      <c r="B395" s="1038"/>
      <c r="C395" s="826"/>
      <c r="D395" s="826"/>
      <c r="F395" s="1030"/>
      <c r="G395" s="826"/>
      <c r="I395" s="847"/>
    </row>
    <row r="396">
      <c r="A396" s="826"/>
      <c r="B396" s="1038"/>
      <c r="C396" s="826"/>
      <c r="D396" s="826"/>
      <c r="F396" s="1030"/>
      <c r="G396" s="826"/>
      <c r="I396" s="847"/>
    </row>
    <row r="397">
      <c r="A397" s="826"/>
      <c r="B397" s="1038"/>
      <c r="C397" s="826"/>
      <c r="D397" s="826"/>
      <c r="F397" s="1030"/>
      <c r="G397" s="826"/>
      <c r="I397" s="847"/>
    </row>
    <row r="398">
      <c r="A398" s="826"/>
      <c r="B398" s="1038"/>
      <c r="C398" s="826"/>
      <c r="D398" s="826"/>
      <c r="F398" s="1030"/>
      <c r="G398" s="826"/>
      <c r="I398" s="847"/>
    </row>
    <row r="399">
      <c r="A399" s="826"/>
      <c r="B399" s="1038"/>
      <c r="C399" s="826"/>
      <c r="D399" s="826"/>
      <c r="F399" s="1030"/>
      <c r="G399" s="826"/>
      <c r="I399" s="847"/>
    </row>
    <row r="400">
      <c r="A400" s="826"/>
      <c r="B400" s="1038"/>
      <c r="C400" s="826"/>
      <c r="D400" s="826"/>
      <c r="F400" s="1030"/>
      <c r="G400" s="826"/>
      <c r="I400" s="847"/>
    </row>
    <row r="401">
      <c r="A401" s="826"/>
      <c r="B401" s="1038"/>
      <c r="C401" s="826"/>
      <c r="D401" s="826"/>
      <c r="F401" s="1030"/>
      <c r="G401" s="826"/>
      <c r="I401" s="847"/>
    </row>
    <row r="402">
      <c r="A402" s="826"/>
      <c r="B402" s="1038"/>
      <c r="C402" s="826"/>
      <c r="D402" s="826"/>
      <c r="F402" s="1030"/>
      <c r="G402" s="826"/>
      <c r="I402" s="847"/>
    </row>
    <row r="403">
      <c r="A403" s="826"/>
      <c r="B403" s="1038"/>
      <c r="C403" s="826"/>
      <c r="D403" s="826"/>
      <c r="F403" s="1030"/>
      <c r="G403" s="826"/>
      <c r="I403" s="847"/>
    </row>
    <row r="404">
      <c r="A404" s="826"/>
      <c r="B404" s="1038"/>
      <c r="C404" s="826"/>
      <c r="D404" s="826"/>
      <c r="F404" s="1030"/>
      <c r="G404" s="826"/>
      <c r="I404" s="847"/>
    </row>
    <row r="405">
      <c r="A405" s="826"/>
      <c r="B405" s="1038"/>
      <c r="C405" s="826"/>
      <c r="D405" s="826"/>
      <c r="F405" s="1030"/>
      <c r="G405" s="826"/>
      <c r="I405" s="847"/>
    </row>
    <row r="406">
      <c r="A406" s="826"/>
      <c r="B406" s="1038"/>
      <c r="C406" s="826"/>
      <c r="D406" s="826"/>
      <c r="F406" s="1030"/>
      <c r="G406" s="826"/>
      <c r="I406" s="847"/>
    </row>
    <row r="407">
      <c r="A407" s="826"/>
      <c r="B407" s="1038"/>
      <c r="C407" s="826"/>
      <c r="D407" s="826"/>
      <c r="F407" s="1030"/>
      <c r="G407" s="826"/>
      <c r="I407" s="847"/>
    </row>
    <row r="408">
      <c r="A408" s="826"/>
      <c r="B408" s="1038"/>
      <c r="C408" s="826"/>
      <c r="D408" s="826"/>
      <c r="F408" s="1030"/>
      <c r="G408" s="826"/>
      <c r="I408" s="847"/>
    </row>
    <row r="409">
      <c r="A409" s="826"/>
      <c r="B409" s="1038"/>
      <c r="C409" s="826"/>
      <c r="D409" s="826"/>
      <c r="F409" s="1030"/>
      <c r="G409" s="826"/>
      <c r="I409" s="847"/>
    </row>
    <row r="410">
      <c r="A410" s="826"/>
      <c r="B410" s="1038"/>
      <c r="C410" s="826"/>
      <c r="D410" s="826"/>
      <c r="F410" s="1030"/>
      <c r="G410" s="826"/>
      <c r="I410" s="847"/>
    </row>
    <row r="411">
      <c r="A411" s="826"/>
      <c r="B411" s="1038"/>
      <c r="C411" s="826"/>
      <c r="D411" s="826"/>
      <c r="F411" s="1030"/>
      <c r="G411" s="826"/>
      <c r="I411" s="847"/>
    </row>
    <row r="412">
      <c r="A412" s="826"/>
      <c r="B412" s="1038"/>
      <c r="C412" s="826"/>
      <c r="D412" s="826"/>
      <c r="F412" s="1030"/>
      <c r="G412" s="826"/>
      <c r="I412" s="847"/>
    </row>
    <row r="413">
      <c r="A413" s="826"/>
      <c r="B413" s="1038"/>
      <c r="C413" s="826"/>
      <c r="D413" s="826"/>
      <c r="F413" s="1030"/>
      <c r="G413" s="826"/>
      <c r="I413" s="847"/>
    </row>
    <row r="414">
      <c r="A414" s="826"/>
      <c r="B414" s="1038"/>
      <c r="C414" s="826"/>
      <c r="D414" s="826"/>
      <c r="F414" s="1030"/>
      <c r="G414" s="826"/>
      <c r="I414" s="847"/>
    </row>
    <row r="415">
      <c r="A415" s="826"/>
      <c r="B415" s="1038"/>
      <c r="C415" s="826"/>
      <c r="D415" s="826"/>
      <c r="F415" s="1030"/>
      <c r="G415" s="826"/>
      <c r="I415" s="847"/>
    </row>
    <row r="416">
      <c r="A416" s="826"/>
      <c r="B416" s="1038"/>
      <c r="C416" s="826"/>
      <c r="D416" s="826"/>
      <c r="F416" s="1030"/>
      <c r="G416" s="826"/>
      <c r="I416" s="847"/>
    </row>
    <row r="417">
      <c r="A417" s="826"/>
      <c r="B417" s="1038"/>
      <c r="C417" s="826"/>
      <c r="D417" s="826"/>
      <c r="F417" s="1030"/>
      <c r="G417" s="826"/>
      <c r="I417" s="847"/>
    </row>
    <row r="418">
      <c r="A418" s="826"/>
      <c r="B418" s="1038"/>
      <c r="C418" s="826"/>
      <c r="D418" s="826"/>
      <c r="F418" s="1030"/>
      <c r="G418" s="826"/>
      <c r="I418" s="847"/>
    </row>
    <row r="419">
      <c r="A419" s="826"/>
      <c r="B419" s="1038"/>
      <c r="C419" s="826"/>
      <c r="D419" s="826"/>
      <c r="F419" s="1030"/>
      <c r="G419" s="826"/>
      <c r="I419" s="847"/>
    </row>
    <row r="420">
      <c r="A420" s="826"/>
      <c r="B420" s="1038"/>
      <c r="C420" s="826"/>
      <c r="D420" s="826"/>
      <c r="F420" s="1030"/>
      <c r="G420" s="826"/>
      <c r="I420" s="847"/>
    </row>
    <row r="421">
      <c r="A421" s="826"/>
      <c r="B421" s="1038"/>
      <c r="C421" s="826"/>
      <c r="D421" s="826"/>
      <c r="F421" s="1030"/>
      <c r="G421" s="826"/>
      <c r="I421" s="847"/>
    </row>
    <row r="422">
      <c r="A422" s="826"/>
      <c r="B422" s="1038"/>
      <c r="C422" s="826"/>
      <c r="D422" s="826"/>
      <c r="F422" s="1030"/>
      <c r="G422" s="826"/>
      <c r="I422" s="847"/>
    </row>
    <row r="423">
      <c r="A423" s="826"/>
      <c r="B423" s="1038"/>
      <c r="C423" s="826"/>
      <c r="D423" s="826"/>
      <c r="F423" s="1030"/>
      <c r="G423" s="826"/>
      <c r="I423" s="847"/>
    </row>
    <row r="424">
      <c r="A424" s="826"/>
      <c r="B424" s="1038"/>
      <c r="C424" s="826"/>
      <c r="D424" s="826"/>
      <c r="F424" s="1030"/>
      <c r="G424" s="826"/>
      <c r="I424" s="847"/>
    </row>
    <row r="425">
      <c r="A425" s="826"/>
      <c r="B425" s="1038"/>
      <c r="C425" s="826"/>
      <c r="D425" s="826"/>
      <c r="F425" s="1030"/>
      <c r="G425" s="826"/>
      <c r="I425" s="847"/>
    </row>
    <row r="426">
      <c r="A426" s="826"/>
      <c r="B426" s="1038"/>
      <c r="C426" s="826"/>
      <c r="D426" s="826"/>
      <c r="F426" s="1030"/>
      <c r="G426" s="826"/>
      <c r="I426" s="847"/>
    </row>
    <row r="427">
      <c r="A427" s="826"/>
      <c r="B427" s="1038"/>
      <c r="C427" s="826"/>
      <c r="D427" s="826"/>
      <c r="F427" s="1030"/>
      <c r="G427" s="826"/>
      <c r="I427" s="847"/>
    </row>
    <row r="428">
      <c r="A428" s="826"/>
      <c r="B428" s="1038"/>
      <c r="C428" s="826"/>
      <c r="D428" s="826"/>
      <c r="F428" s="1030"/>
      <c r="G428" s="826"/>
      <c r="I428" s="847"/>
    </row>
    <row r="429">
      <c r="A429" s="826"/>
      <c r="B429" s="1038"/>
      <c r="C429" s="826"/>
      <c r="D429" s="826"/>
      <c r="F429" s="1030"/>
      <c r="G429" s="826"/>
      <c r="I429" s="847"/>
    </row>
    <row r="430">
      <c r="A430" s="826"/>
      <c r="B430" s="1038"/>
      <c r="C430" s="826"/>
      <c r="D430" s="826"/>
      <c r="F430" s="1030"/>
      <c r="G430" s="826"/>
      <c r="I430" s="847"/>
    </row>
    <row r="431">
      <c r="A431" s="826"/>
      <c r="B431" s="1038"/>
      <c r="C431" s="826"/>
      <c r="D431" s="826"/>
      <c r="F431" s="1030"/>
      <c r="G431" s="826"/>
      <c r="I431" s="847"/>
    </row>
    <row r="432">
      <c r="A432" s="826"/>
      <c r="B432" s="1038"/>
      <c r="C432" s="826"/>
      <c r="D432" s="826"/>
      <c r="F432" s="1030"/>
      <c r="G432" s="826"/>
      <c r="I432" s="847"/>
    </row>
    <row r="433">
      <c r="A433" s="826"/>
      <c r="B433" s="1038"/>
      <c r="C433" s="826"/>
      <c r="D433" s="826"/>
      <c r="F433" s="1030"/>
      <c r="G433" s="826"/>
      <c r="I433" s="847"/>
    </row>
    <row r="434">
      <c r="A434" s="826"/>
      <c r="B434" s="1038"/>
      <c r="C434" s="826"/>
      <c r="D434" s="826"/>
      <c r="F434" s="1030"/>
      <c r="G434" s="826"/>
      <c r="I434" s="847"/>
    </row>
    <row r="435">
      <c r="A435" s="826"/>
      <c r="B435" s="1038"/>
      <c r="C435" s="826"/>
      <c r="D435" s="826"/>
      <c r="F435" s="1030"/>
      <c r="G435" s="826"/>
      <c r="I435" s="847"/>
    </row>
    <row r="436">
      <c r="A436" s="826"/>
      <c r="B436" s="1038"/>
      <c r="C436" s="826"/>
      <c r="D436" s="826"/>
      <c r="F436" s="1030"/>
      <c r="G436" s="826"/>
      <c r="I436" s="847"/>
    </row>
    <row r="437">
      <c r="A437" s="826"/>
      <c r="B437" s="1038"/>
      <c r="C437" s="826"/>
      <c r="D437" s="826"/>
      <c r="F437" s="1030"/>
      <c r="G437" s="826"/>
      <c r="I437" s="847"/>
    </row>
    <row r="438">
      <c r="A438" s="826"/>
      <c r="B438" s="1038"/>
      <c r="C438" s="826"/>
      <c r="D438" s="826"/>
      <c r="F438" s="1030"/>
      <c r="G438" s="826"/>
      <c r="I438" s="847"/>
    </row>
    <row r="439">
      <c r="A439" s="826"/>
      <c r="B439" s="1038"/>
      <c r="C439" s="826"/>
      <c r="D439" s="826"/>
      <c r="F439" s="1030"/>
      <c r="G439" s="826"/>
      <c r="I439" s="847"/>
    </row>
    <row r="440">
      <c r="A440" s="826"/>
      <c r="B440" s="1038"/>
      <c r="C440" s="826"/>
      <c r="D440" s="826"/>
      <c r="F440" s="1030"/>
      <c r="G440" s="826"/>
      <c r="I440" s="847"/>
    </row>
    <row r="441">
      <c r="A441" s="826"/>
      <c r="B441" s="1038"/>
      <c r="C441" s="826"/>
      <c r="D441" s="826"/>
      <c r="F441" s="1030"/>
      <c r="G441" s="826"/>
      <c r="I441" s="847"/>
    </row>
    <row r="442">
      <c r="A442" s="826"/>
      <c r="B442" s="1038"/>
      <c r="C442" s="826"/>
      <c r="D442" s="826"/>
      <c r="F442" s="1030"/>
      <c r="G442" s="826"/>
      <c r="I442" s="847"/>
    </row>
    <row r="443">
      <c r="A443" s="826"/>
      <c r="B443" s="1038"/>
      <c r="C443" s="826"/>
      <c r="D443" s="826"/>
      <c r="F443" s="1030"/>
      <c r="G443" s="826"/>
      <c r="I443" s="847"/>
    </row>
    <row r="444">
      <c r="A444" s="826"/>
      <c r="B444" s="1038"/>
      <c r="C444" s="826"/>
      <c r="D444" s="826"/>
      <c r="F444" s="1030"/>
      <c r="G444" s="826"/>
      <c r="I444" s="847"/>
    </row>
    <row r="445">
      <c r="A445" s="826"/>
      <c r="B445" s="1038"/>
      <c r="C445" s="826"/>
      <c r="D445" s="826"/>
      <c r="F445" s="1030"/>
      <c r="G445" s="826"/>
      <c r="I445" s="847"/>
    </row>
    <row r="446">
      <c r="A446" s="826"/>
      <c r="B446" s="1038"/>
      <c r="C446" s="826"/>
      <c r="D446" s="826"/>
      <c r="F446" s="1030"/>
      <c r="G446" s="826"/>
      <c r="I446" s="847"/>
    </row>
    <row r="447">
      <c r="A447" s="826"/>
      <c r="B447" s="1038"/>
      <c r="C447" s="826"/>
      <c r="D447" s="826"/>
      <c r="F447" s="1030"/>
      <c r="G447" s="826"/>
      <c r="I447" s="847"/>
    </row>
    <row r="448">
      <c r="A448" s="826"/>
      <c r="B448" s="1038"/>
      <c r="C448" s="826"/>
      <c r="D448" s="826"/>
      <c r="F448" s="1030"/>
      <c r="G448" s="826"/>
      <c r="I448" s="847"/>
    </row>
    <row r="449">
      <c r="A449" s="826"/>
      <c r="B449" s="1038"/>
      <c r="C449" s="826"/>
      <c r="D449" s="826"/>
      <c r="F449" s="1030"/>
      <c r="G449" s="826"/>
      <c r="I449" s="847"/>
    </row>
    <row r="450">
      <c r="A450" s="826"/>
      <c r="B450" s="1038"/>
      <c r="C450" s="826"/>
      <c r="D450" s="826"/>
      <c r="F450" s="1030"/>
      <c r="G450" s="826"/>
      <c r="I450" s="847"/>
    </row>
    <row r="451">
      <c r="A451" s="826"/>
      <c r="B451" s="1038"/>
      <c r="C451" s="826"/>
      <c r="D451" s="826"/>
      <c r="F451" s="1030"/>
      <c r="G451" s="826"/>
      <c r="I451" s="847"/>
    </row>
    <row r="452">
      <c r="A452" s="826"/>
      <c r="B452" s="1038"/>
      <c r="C452" s="826"/>
      <c r="D452" s="826"/>
      <c r="F452" s="1030"/>
      <c r="G452" s="826"/>
      <c r="I452" s="847"/>
    </row>
    <row r="453">
      <c r="A453" s="826"/>
      <c r="B453" s="1038"/>
      <c r="C453" s="826"/>
      <c r="D453" s="826"/>
      <c r="F453" s="1030"/>
      <c r="G453" s="826"/>
      <c r="I453" s="847"/>
    </row>
    <row r="454">
      <c r="A454" s="826"/>
      <c r="B454" s="1038"/>
      <c r="C454" s="826"/>
      <c r="D454" s="826"/>
      <c r="F454" s="1030"/>
      <c r="G454" s="826"/>
      <c r="I454" s="847"/>
    </row>
    <row r="455">
      <c r="A455" s="826"/>
      <c r="B455" s="1038"/>
      <c r="C455" s="826"/>
      <c r="D455" s="826"/>
      <c r="F455" s="1030"/>
      <c r="G455" s="826"/>
      <c r="I455" s="847"/>
    </row>
    <row r="456">
      <c r="A456" s="826"/>
      <c r="B456" s="1038"/>
      <c r="C456" s="826"/>
      <c r="D456" s="826"/>
      <c r="F456" s="1030"/>
      <c r="G456" s="826"/>
      <c r="I456" s="847"/>
    </row>
    <row r="457">
      <c r="A457" s="826"/>
      <c r="B457" s="1038"/>
      <c r="C457" s="826"/>
      <c r="D457" s="826"/>
      <c r="F457" s="1030"/>
      <c r="G457" s="826"/>
      <c r="I457" s="847"/>
    </row>
    <row r="458">
      <c r="A458" s="826"/>
      <c r="B458" s="1038"/>
      <c r="C458" s="826"/>
      <c r="D458" s="826"/>
      <c r="F458" s="1030"/>
      <c r="G458" s="826"/>
      <c r="I458" s="847"/>
    </row>
    <row r="459">
      <c r="A459" s="826"/>
      <c r="B459" s="1038"/>
      <c r="C459" s="826"/>
      <c r="D459" s="826"/>
      <c r="F459" s="1030"/>
      <c r="G459" s="826"/>
      <c r="I459" s="847"/>
    </row>
    <row r="460">
      <c r="A460" s="826"/>
      <c r="B460" s="1038"/>
      <c r="C460" s="826"/>
      <c r="D460" s="826"/>
      <c r="F460" s="1030"/>
      <c r="G460" s="826"/>
      <c r="I460" s="847"/>
    </row>
    <row r="461">
      <c r="A461" s="826"/>
      <c r="B461" s="1038"/>
      <c r="C461" s="826"/>
      <c r="D461" s="826"/>
      <c r="F461" s="1030"/>
      <c r="G461" s="826"/>
      <c r="I461" s="847"/>
    </row>
    <row r="462">
      <c r="A462" s="826"/>
      <c r="B462" s="1038"/>
      <c r="C462" s="826"/>
      <c r="D462" s="826"/>
      <c r="F462" s="1030"/>
      <c r="G462" s="826"/>
      <c r="I462" s="847"/>
    </row>
    <row r="463">
      <c r="A463" s="826"/>
      <c r="B463" s="1038"/>
      <c r="C463" s="826"/>
      <c r="D463" s="826"/>
      <c r="F463" s="1030"/>
      <c r="G463" s="826"/>
      <c r="I463" s="847"/>
    </row>
    <row r="464">
      <c r="A464" s="826"/>
      <c r="B464" s="1038"/>
      <c r="C464" s="826"/>
      <c r="D464" s="826"/>
      <c r="F464" s="1030"/>
      <c r="G464" s="826"/>
      <c r="I464" s="847"/>
    </row>
    <row r="465">
      <c r="A465" s="826"/>
      <c r="B465" s="1038"/>
      <c r="C465" s="826"/>
      <c r="D465" s="826"/>
      <c r="F465" s="1030"/>
      <c r="G465" s="826"/>
      <c r="I465" s="847"/>
    </row>
    <row r="466">
      <c r="A466" s="826"/>
      <c r="B466" s="1038"/>
      <c r="C466" s="826"/>
      <c r="D466" s="826"/>
      <c r="F466" s="1030"/>
      <c r="G466" s="826"/>
      <c r="I466" s="847"/>
    </row>
    <row r="467">
      <c r="A467" s="826"/>
      <c r="B467" s="1038"/>
      <c r="C467" s="826"/>
      <c r="D467" s="826"/>
      <c r="F467" s="1030"/>
      <c r="G467" s="826"/>
      <c r="I467" s="847"/>
    </row>
    <row r="468">
      <c r="A468" s="826"/>
      <c r="B468" s="1038"/>
      <c r="C468" s="826"/>
      <c r="D468" s="826"/>
      <c r="F468" s="1030"/>
      <c r="G468" s="826"/>
      <c r="I468" s="847"/>
    </row>
    <row r="469">
      <c r="A469" s="826"/>
      <c r="B469" s="1038"/>
      <c r="C469" s="826"/>
      <c r="D469" s="826"/>
      <c r="F469" s="1030"/>
      <c r="G469" s="826"/>
      <c r="I469" s="847"/>
    </row>
    <row r="470">
      <c r="A470" s="826"/>
      <c r="B470" s="1038"/>
      <c r="C470" s="826"/>
      <c r="D470" s="826"/>
      <c r="F470" s="1030"/>
      <c r="G470" s="826"/>
      <c r="I470" s="847"/>
    </row>
    <row r="471">
      <c r="A471" s="826"/>
      <c r="B471" s="1038"/>
      <c r="C471" s="826"/>
      <c r="D471" s="826"/>
      <c r="F471" s="1030"/>
      <c r="G471" s="826"/>
      <c r="I471" s="847"/>
    </row>
    <row r="472">
      <c r="A472" s="826"/>
      <c r="B472" s="1038"/>
      <c r="C472" s="826"/>
      <c r="D472" s="826"/>
      <c r="F472" s="1030"/>
      <c r="G472" s="826"/>
      <c r="I472" s="847"/>
    </row>
    <row r="473">
      <c r="A473" s="826"/>
      <c r="B473" s="1038"/>
      <c r="C473" s="826"/>
      <c r="D473" s="826"/>
      <c r="F473" s="1030"/>
      <c r="G473" s="826"/>
      <c r="I473" s="847"/>
    </row>
    <row r="474">
      <c r="A474" s="826"/>
      <c r="B474" s="1038"/>
      <c r="C474" s="826"/>
      <c r="D474" s="826"/>
      <c r="F474" s="1030"/>
      <c r="G474" s="826"/>
      <c r="I474" s="847"/>
    </row>
    <row r="475">
      <c r="A475" s="826"/>
      <c r="B475" s="1038"/>
      <c r="C475" s="826"/>
      <c r="D475" s="826"/>
      <c r="F475" s="1030"/>
      <c r="G475" s="826"/>
      <c r="I475" s="847"/>
    </row>
    <row r="476">
      <c r="A476" s="826"/>
      <c r="B476" s="1038"/>
      <c r="C476" s="826"/>
      <c r="D476" s="826"/>
      <c r="F476" s="1030"/>
      <c r="G476" s="826"/>
      <c r="I476" s="847"/>
    </row>
    <row r="477">
      <c r="A477" s="826"/>
      <c r="B477" s="1038"/>
      <c r="C477" s="826"/>
      <c r="D477" s="826"/>
      <c r="F477" s="1030"/>
      <c r="G477" s="826"/>
      <c r="I477" s="847"/>
    </row>
    <row r="478">
      <c r="A478" s="826"/>
      <c r="B478" s="1038"/>
      <c r="C478" s="826"/>
      <c r="D478" s="826"/>
      <c r="F478" s="1030"/>
      <c r="G478" s="826"/>
      <c r="I478" s="847"/>
    </row>
    <row r="479">
      <c r="A479" s="826"/>
      <c r="B479" s="1038"/>
      <c r="C479" s="826"/>
      <c r="D479" s="826"/>
      <c r="F479" s="1030"/>
      <c r="G479" s="826"/>
      <c r="I479" s="847"/>
    </row>
    <row r="480">
      <c r="A480" s="826"/>
      <c r="B480" s="1038"/>
      <c r="C480" s="826"/>
      <c r="D480" s="826"/>
      <c r="F480" s="1030"/>
      <c r="G480" s="826"/>
      <c r="I480" s="847"/>
    </row>
    <row r="481">
      <c r="A481" s="826"/>
      <c r="B481" s="1038"/>
      <c r="C481" s="826"/>
      <c r="D481" s="826"/>
      <c r="F481" s="1030"/>
      <c r="G481" s="826"/>
      <c r="I481" s="847"/>
    </row>
    <row r="482">
      <c r="A482" s="826"/>
      <c r="B482" s="1038"/>
      <c r="C482" s="826"/>
      <c r="D482" s="826"/>
      <c r="F482" s="1030"/>
      <c r="G482" s="826"/>
      <c r="I482" s="847"/>
    </row>
    <row r="483">
      <c r="A483" s="826"/>
      <c r="B483" s="1038"/>
      <c r="C483" s="826"/>
      <c r="D483" s="826"/>
      <c r="F483" s="1030"/>
      <c r="G483" s="826"/>
      <c r="I483" s="847"/>
    </row>
    <row r="484">
      <c r="A484" s="826"/>
      <c r="B484" s="1038"/>
      <c r="C484" s="826"/>
      <c r="D484" s="826"/>
      <c r="F484" s="1030"/>
      <c r="G484" s="826"/>
      <c r="I484" s="847"/>
    </row>
    <row r="485">
      <c r="A485" s="826"/>
      <c r="B485" s="1038"/>
      <c r="C485" s="826"/>
      <c r="D485" s="826"/>
      <c r="F485" s="1030"/>
      <c r="G485" s="826"/>
      <c r="I485" s="847"/>
    </row>
    <row r="486">
      <c r="A486" s="826"/>
      <c r="B486" s="1038"/>
      <c r="C486" s="826"/>
      <c r="D486" s="826"/>
      <c r="F486" s="1030"/>
      <c r="G486" s="826"/>
      <c r="I486" s="847"/>
    </row>
    <row r="487">
      <c r="A487" s="826"/>
      <c r="B487" s="1038"/>
      <c r="C487" s="826"/>
      <c r="D487" s="826"/>
      <c r="F487" s="1030"/>
      <c r="G487" s="826"/>
      <c r="I487" s="847"/>
    </row>
    <row r="488">
      <c r="A488" s="826"/>
      <c r="B488" s="1038"/>
      <c r="C488" s="826"/>
      <c r="D488" s="826"/>
      <c r="F488" s="1030"/>
      <c r="G488" s="826"/>
      <c r="I488" s="847"/>
    </row>
    <row r="489">
      <c r="A489" s="826"/>
      <c r="B489" s="1038"/>
      <c r="C489" s="826"/>
      <c r="D489" s="826"/>
      <c r="F489" s="1030"/>
      <c r="G489" s="826"/>
      <c r="I489" s="847"/>
    </row>
    <row r="490">
      <c r="A490" s="826"/>
      <c r="B490" s="1038"/>
      <c r="C490" s="826"/>
      <c r="D490" s="826"/>
      <c r="F490" s="1030"/>
      <c r="G490" s="826"/>
      <c r="I490" s="847"/>
    </row>
    <row r="491">
      <c r="A491" s="826"/>
      <c r="B491" s="1038"/>
      <c r="C491" s="826"/>
      <c r="D491" s="826"/>
      <c r="F491" s="1030"/>
      <c r="G491" s="826"/>
      <c r="I491" s="847"/>
    </row>
    <row r="492">
      <c r="A492" s="826"/>
      <c r="B492" s="1038"/>
      <c r="C492" s="826"/>
      <c r="D492" s="826"/>
      <c r="F492" s="1030"/>
      <c r="G492" s="826"/>
      <c r="I492" s="847"/>
    </row>
    <row r="493">
      <c r="A493" s="826"/>
      <c r="B493" s="1038"/>
      <c r="C493" s="826"/>
      <c r="D493" s="826"/>
      <c r="F493" s="1030"/>
      <c r="G493" s="826"/>
      <c r="I493" s="847"/>
    </row>
    <row r="494">
      <c r="A494" s="826"/>
      <c r="B494" s="1038"/>
      <c r="C494" s="826"/>
      <c r="D494" s="826"/>
      <c r="F494" s="1030"/>
      <c r="G494" s="826"/>
      <c r="I494" s="847"/>
    </row>
    <row r="495">
      <c r="A495" s="826"/>
      <c r="B495" s="1038"/>
      <c r="C495" s="826"/>
      <c r="D495" s="826"/>
      <c r="F495" s="1030"/>
      <c r="G495" s="826"/>
      <c r="I495" s="847"/>
    </row>
    <row r="496">
      <c r="A496" s="826"/>
      <c r="B496" s="1038"/>
      <c r="C496" s="826"/>
      <c r="D496" s="826"/>
      <c r="F496" s="1030"/>
      <c r="G496" s="826"/>
      <c r="I496" s="847"/>
    </row>
    <row r="497">
      <c r="A497" s="826"/>
      <c r="B497" s="1038"/>
      <c r="C497" s="826"/>
      <c r="D497" s="826"/>
      <c r="F497" s="1030"/>
      <c r="G497" s="826"/>
      <c r="I497" s="847"/>
    </row>
    <row r="498">
      <c r="A498" s="826"/>
      <c r="B498" s="1038"/>
      <c r="C498" s="826"/>
      <c r="D498" s="826"/>
      <c r="F498" s="1030"/>
      <c r="G498" s="826"/>
      <c r="I498" s="847"/>
    </row>
    <row r="499">
      <c r="A499" s="826"/>
      <c r="B499" s="1038"/>
      <c r="C499" s="826"/>
      <c r="D499" s="826"/>
      <c r="F499" s="1030"/>
      <c r="G499" s="826"/>
      <c r="I499" s="847"/>
    </row>
    <row r="500">
      <c r="A500" s="826"/>
      <c r="B500" s="1038"/>
      <c r="C500" s="826"/>
      <c r="D500" s="826"/>
      <c r="F500" s="1030"/>
      <c r="G500" s="826"/>
      <c r="I500" s="847"/>
    </row>
    <row r="501">
      <c r="A501" s="826"/>
      <c r="B501" s="1038"/>
      <c r="C501" s="826"/>
      <c r="D501" s="826"/>
      <c r="F501" s="1030"/>
      <c r="G501" s="826"/>
      <c r="I501" s="847"/>
    </row>
    <row r="502">
      <c r="A502" s="826"/>
      <c r="B502" s="1038"/>
      <c r="C502" s="826"/>
      <c r="D502" s="826"/>
      <c r="F502" s="1030"/>
      <c r="G502" s="826"/>
      <c r="I502" s="847"/>
    </row>
    <row r="503">
      <c r="A503" s="826"/>
      <c r="B503" s="1038"/>
      <c r="C503" s="826"/>
      <c r="D503" s="826"/>
      <c r="F503" s="1030"/>
      <c r="G503" s="826"/>
      <c r="I503" s="847"/>
    </row>
    <row r="504">
      <c r="A504" s="826"/>
      <c r="B504" s="1038"/>
      <c r="C504" s="826"/>
      <c r="D504" s="826"/>
      <c r="F504" s="1030"/>
      <c r="G504" s="826"/>
      <c r="I504" s="847"/>
    </row>
    <row r="505">
      <c r="A505" s="826"/>
      <c r="B505" s="1038"/>
      <c r="C505" s="826"/>
      <c r="D505" s="826"/>
      <c r="F505" s="1030"/>
      <c r="G505" s="826"/>
      <c r="I505" s="847"/>
    </row>
    <row r="506">
      <c r="A506" s="826"/>
      <c r="B506" s="1038"/>
      <c r="C506" s="826"/>
      <c r="D506" s="826"/>
      <c r="F506" s="1030"/>
      <c r="G506" s="826"/>
      <c r="I506" s="847"/>
    </row>
    <row r="507">
      <c r="A507" s="826"/>
      <c r="B507" s="1038"/>
      <c r="C507" s="826"/>
      <c r="D507" s="826"/>
      <c r="F507" s="1030"/>
      <c r="G507" s="826"/>
      <c r="I507" s="847"/>
    </row>
    <row r="508">
      <c r="A508" s="826"/>
      <c r="B508" s="1038"/>
      <c r="C508" s="826"/>
      <c r="D508" s="826"/>
      <c r="F508" s="1030"/>
      <c r="G508" s="826"/>
      <c r="I508" s="847"/>
    </row>
    <row r="509">
      <c r="A509" s="826"/>
      <c r="B509" s="1038"/>
      <c r="C509" s="826"/>
      <c r="D509" s="826"/>
      <c r="F509" s="1030"/>
      <c r="G509" s="826"/>
      <c r="I509" s="847"/>
    </row>
    <row r="510">
      <c r="A510" s="826"/>
      <c r="B510" s="1038"/>
      <c r="C510" s="826"/>
      <c r="D510" s="826"/>
      <c r="F510" s="1030"/>
      <c r="G510" s="826"/>
      <c r="I510" s="847"/>
    </row>
    <row r="511">
      <c r="A511" s="826"/>
      <c r="B511" s="1038"/>
      <c r="C511" s="826"/>
      <c r="D511" s="826"/>
      <c r="F511" s="1030"/>
      <c r="G511" s="826"/>
      <c r="I511" s="847"/>
    </row>
    <row r="512">
      <c r="A512" s="826"/>
      <c r="B512" s="1038"/>
      <c r="C512" s="826"/>
      <c r="D512" s="826"/>
      <c r="F512" s="1030"/>
      <c r="G512" s="826"/>
      <c r="I512" s="847"/>
    </row>
    <row r="513">
      <c r="A513" s="826"/>
      <c r="B513" s="1038"/>
      <c r="C513" s="826"/>
      <c r="D513" s="826"/>
      <c r="F513" s="1030"/>
      <c r="G513" s="826"/>
      <c r="I513" s="847"/>
    </row>
    <row r="514">
      <c r="A514" s="826"/>
      <c r="B514" s="1038"/>
      <c r="C514" s="826"/>
      <c r="D514" s="826"/>
      <c r="F514" s="1030"/>
      <c r="G514" s="826"/>
      <c r="I514" s="847"/>
    </row>
    <row r="515">
      <c r="A515" s="826"/>
      <c r="B515" s="1038"/>
      <c r="C515" s="826"/>
      <c r="D515" s="826"/>
      <c r="F515" s="1030"/>
      <c r="G515" s="826"/>
      <c r="I515" s="847"/>
    </row>
    <row r="516">
      <c r="A516" s="826"/>
      <c r="B516" s="1038"/>
      <c r="C516" s="826"/>
      <c r="D516" s="826"/>
      <c r="F516" s="1030"/>
      <c r="G516" s="826"/>
      <c r="I516" s="847"/>
    </row>
    <row r="517">
      <c r="A517" s="826"/>
      <c r="B517" s="1038"/>
      <c r="C517" s="826"/>
      <c r="D517" s="826"/>
      <c r="F517" s="1030"/>
      <c r="G517" s="826"/>
      <c r="I517" s="847"/>
    </row>
    <row r="518">
      <c r="A518" s="826"/>
      <c r="B518" s="1038"/>
      <c r="C518" s="826"/>
      <c r="D518" s="826"/>
      <c r="F518" s="1030"/>
      <c r="G518" s="826"/>
      <c r="I518" s="847"/>
    </row>
    <row r="519">
      <c r="A519" s="826"/>
      <c r="B519" s="1038"/>
      <c r="C519" s="826"/>
      <c r="D519" s="826"/>
      <c r="F519" s="1030"/>
      <c r="G519" s="826"/>
      <c r="I519" s="847"/>
    </row>
    <row r="520">
      <c r="A520" s="826"/>
      <c r="B520" s="1038"/>
      <c r="C520" s="826"/>
      <c r="D520" s="826"/>
      <c r="F520" s="1030"/>
      <c r="G520" s="826"/>
      <c r="I520" s="847"/>
    </row>
    <row r="521">
      <c r="A521" s="826"/>
      <c r="B521" s="1038"/>
      <c r="C521" s="826"/>
      <c r="D521" s="826"/>
      <c r="F521" s="1030"/>
      <c r="G521" s="826"/>
      <c r="I521" s="847"/>
    </row>
    <row r="522">
      <c r="A522" s="826"/>
      <c r="B522" s="1038"/>
      <c r="C522" s="826"/>
      <c r="D522" s="826"/>
      <c r="F522" s="1030"/>
      <c r="G522" s="826"/>
      <c r="I522" s="847"/>
    </row>
    <row r="523">
      <c r="A523" s="826"/>
      <c r="B523" s="1038"/>
      <c r="C523" s="826"/>
      <c r="D523" s="826"/>
      <c r="F523" s="1030"/>
      <c r="G523" s="826"/>
      <c r="I523" s="847"/>
    </row>
    <row r="524">
      <c r="A524" s="826"/>
      <c r="B524" s="1038"/>
      <c r="C524" s="826"/>
      <c r="D524" s="826"/>
      <c r="F524" s="1030"/>
      <c r="G524" s="826"/>
      <c r="I524" s="847"/>
    </row>
    <row r="525">
      <c r="A525" s="826"/>
      <c r="B525" s="1038"/>
      <c r="C525" s="826"/>
      <c r="D525" s="826"/>
      <c r="F525" s="1030"/>
      <c r="G525" s="826"/>
      <c r="I525" s="847"/>
    </row>
    <row r="526">
      <c r="A526" s="826"/>
      <c r="B526" s="1038"/>
      <c r="C526" s="826"/>
      <c r="D526" s="826"/>
      <c r="F526" s="1030"/>
      <c r="G526" s="826"/>
      <c r="I526" s="847"/>
    </row>
    <row r="527">
      <c r="A527" s="826"/>
      <c r="B527" s="1038"/>
      <c r="C527" s="826"/>
      <c r="D527" s="826"/>
      <c r="F527" s="1030"/>
      <c r="G527" s="826"/>
      <c r="I527" s="847"/>
    </row>
    <row r="528">
      <c r="A528" s="826"/>
      <c r="B528" s="1038"/>
      <c r="C528" s="826"/>
      <c r="D528" s="826"/>
      <c r="F528" s="1030"/>
      <c r="G528" s="826"/>
      <c r="I528" s="847"/>
    </row>
    <row r="529">
      <c r="A529" s="826"/>
      <c r="B529" s="1038"/>
      <c r="C529" s="826"/>
      <c r="D529" s="826"/>
      <c r="F529" s="1030"/>
      <c r="G529" s="826"/>
      <c r="I529" s="847"/>
    </row>
    <row r="530">
      <c r="A530" s="826"/>
      <c r="B530" s="1038"/>
      <c r="C530" s="826"/>
      <c r="D530" s="826"/>
      <c r="F530" s="1030"/>
      <c r="G530" s="826"/>
      <c r="I530" s="847"/>
    </row>
    <row r="531">
      <c r="A531" s="826"/>
      <c r="B531" s="1038"/>
      <c r="C531" s="826"/>
      <c r="D531" s="826"/>
      <c r="F531" s="1030"/>
      <c r="G531" s="826"/>
      <c r="I531" s="847"/>
    </row>
    <row r="532">
      <c r="A532" s="826"/>
      <c r="B532" s="1038"/>
      <c r="C532" s="826"/>
      <c r="D532" s="826"/>
      <c r="F532" s="1030"/>
      <c r="G532" s="826"/>
      <c r="I532" s="847"/>
    </row>
    <row r="533">
      <c r="A533" s="826"/>
      <c r="B533" s="1038"/>
      <c r="C533" s="826"/>
      <c r="D533" s="826"/>
      <c r="F533" s="1030"/>
      <c r="G533" s="826"/>
      <c r="I533" s="847"/>
    </row>
    <row r="534">
      <c r="A534" s="826"/>
      <c r="B534" s="1038"/>
      <c r="C534" s="826"/>
      <c r="D534" s="826"/>
      <c r="F534" s="1030"/>
      <c r="G534" s="826"/>
      <c r="I534" s="847"/>
    </row>
    <row r="535">
      <c r="A535" s="826"/>
      <c r="B535" s="1038"/>
      <c r="C535" s="826"/>
      <c r="D535" s="826"/>
      <c r="F535" s="1030"/>
      <c r="G535" s="826"/>
      <c r="I535" s="847"/>
    </row>
    <row r="536">
      <c r="A536" s="826"/>
      <c r="B536" s="1038"/>
      <c r="C536" s="826"/>
      <c r="D536" s="826"/>
      <c r="F536" s="1030"/>
      <c r="G536" s="826"/>
      <c r="I536" s="847"/>
    </row>
    <row r="537">
      <c r="A537" s="826"/>
      <c r="B537" s="1038"/>
      <c r="C537" s="826"/>
      <c r="D537" s="826"/>
      <c r="F537" s="1030"/>
      <c r="G537" s="826"/>
      <c r="I537" s="847"/>
    </row>
    <row r="538">
      <c r="A538" s="826"/>
      <c r="B538" s="1038"/>
      <c r="C538" s="826"/>
      <c r="D538" s="826"/>
      <c r="F538" s="1030"/>
      <c r="G538" s="826"/>
      <c r="I538" s="847"/>
    </row>
    <row r="539">
      <c r="A539" s="826"/>
      <c r="B539" s="1038"/>
      <c r="C539" s="826"/>
      <c r="D539" s="826"/>
      <c r="F539" s="1030"/>
      <c r="G539" s="826"/>
      <c r="I539" s="847"/>
    </row>
    <row r="540">
      <c r="A540" s="826"/>
      <c r="B540" s="1038"/>
      <c r="C540" s="826"/>
      <c r="D540" s="826"/>
      <c r="F540" s="1030"/>
      <c r="G540" s="826"/>
      <c r="I540" s="847"/>
    </row>
    <row r="541">
      <c r="A541" s="826"/>
      <c r="B541" s="1038"/>
      <c r="C541" s="826"/>
      <c r="D541" s="826"/>
      <c r="F541" s="1030"/>
      <c r="G541" s="826"/>
      <c r="I541" s="847"/>
    </row>
    <row r="542">
      <c r="A542" s="826"/>
      <c r="B542" s="1038"/>
      <c r="C542" s="826"/>
      <c r="D542" s="826"/>
      <c r="F542" s="1030"/>
      <c r="G542" s="826"/>
      <c r="I542" s="847"/>
    </row>
    <row r="543">
      <c r="A543" s="826"/>
      <c r="B543" s="1038"/>
      <c r="C543" s="826"/>
      <c r="D543" s="826"/>
      <c r="F543" s="1030"/>
      <c r="G543" s="826"/>
      <c r="I543" s="847"/>
    </row>
    <row r="544">
      <c r="A544" s="826"/>
      <c r="B544" s="1038"/>
      <c r="C544" s="826"/>
      <c r="D544" s="826"/>
      <c r="F544" s="1030"/>
      <c r="G544" s="826"/>
      <c r="I544" s="847"/>
    </row>
    <row r="545">
      <c r="A545" s="826"/>
      <c r="B545" s="1038"/>
      <c r="C545" s="826"/>
      <c r="D545" s="826"/>
      <c r="F545" s="1030"/>
      <c r="G545" s="826"/>
      <c r="I545" s="847"/>
    </row>
    <row r="546">
      <c r="A546" s="826"/>
      <c r="B546" s="1038"/>
      <c r="C546" s="826"/>
      <c r="D546" s="826"/>
      <c r="F546" s="1030"/>
      <c r="G546" s="826"/>
      <c r="I546" s="847"/>
    </row>
    <row r="547">
      <c r="A547" s="826"/>
      <c r="B547" s="1038"/>
      <c r="C547" s="826"/>
      <c r="D547" s="826"/>
      <c r="F547" s="1030"/>
      <c r="G547" s="826"/>
      <c r="I547" s="847"/>
    </row>
    <row r="548">
      <c r="A548" s="826"/>
      <c r="B548" s="1038"/>
      <c r="C548" s="826"/>
      <c r="D548" s="826"/>
      <c r="F548" s="1030"/>
      <c r="G548" s="826"/>
      <c r="I548" s="847"/>
    </row>
    <row r="549">
      <c r="A549" s="826"/>
      <c r="B549" s="1038"/>
      <c r="C549" s="826"/>
      <c r="D549" s="826"/>
      <c r="F549" s="1030"/>
      <c r="G549" s="826"/>
      <c r="I549" s="847"/>
    </row>
    <row r="550">
      <c r="A550" s="826"/>
      <c r="B550" s="1038"/>
      <c r="C550" s="826"/>
      <c r="D550" s="826"/>
      <c r="F550" s="1030"/>
      <c r="G550" s="826"/>
      <c r="I550" s="847"/>
    </row>
    <row r="551">
      <c r="A551" s="826"/>
      <c r="B551" s="1038"/>
      <c r="C551" s="826"/>
      <c r="D551" s="826"/>
      <c r="F551" s="1030"/>
      <c r="G551" s="826"/>
      <c r="I551" s="847"/>
    </row>
    <row r="552">
      <c r="A552" s="826"/>
      <c r="B552" s="1038"/>
      <c r="C552" s="826"/>
      <c r="D552" s="826"/>
      <c r="F552" s="1030"/>
      <c r="G552" s="826"/>
      <c r="I552" s="847"/>
    </row>
    <row r="553">
      <c r="A553" s="826"/>
      <c r="B553" s="1038"/>
      <c r="C553" s="826"/>
      <c r="D553" s="826"/>
      <c r="F553" s="1030"/>
      <c r="G553" s="826"/>
      <c r="I553" s="847"/>
    </row>
    <row r="554">
      <c r="A554" s="826"/>
      <c r="B554" s="1038"/>
      <c r="C554" s="826"/>
      <c r="D554" s="826"/>
      <c r="F554" s="1030"/>
      <c r="G554" s="826"/>
      <c r="I554" s="847"/>
    </row>
    <row r="555">
      <c r="A555" s="826"/>
      <c r="B555" s="1038"/>
      <c r="C555" s="826"/>
      <c r="D555" s="826"/>
      <c r="F555" s="1030"/>
      <c r="G555" s="826"/>
      <c r="I555" s="847"/>
    </row>
    <row r="556">
      <c r="A556" s="826"/>
      <c r="B556" s="1038"/>
      <c r="C556" s="826"/>
      <c r="D556" s="826"/>
      <c r="F556" s="1030"/>
      <c r="G556" s="826"/>
      <c r="I556" s="847"/>
    </row>
    <row r="557">
      <c r="A557" s="826"/>
      <c r="B557" s="1038"/>
      <c r="C557" s="826"/>
      <c r="D557" s="826"/>
      <c r="F557" s="1030"/>
      <c r="G557" s="826"/>
      <c r="I557" s="847"/>
    </row>
    <row r="558">
      <c r="A558" s="826"/>
      <c r="B558" s="1038"/>
      <c r="C558" s="826"/>
      <c r="D558" s="826"/>
      <c r="F558" s="1030"/>
      <c r="G558" s="826"/>
      <c r="I558" s="847"/>
    </row>
    <row r="559">
      <c r="A559" s="826"/>
      <c r="B559" s="1038"/>
      <c r="C559" s="826"/>
      <c r="D559" s="826"/>
      <c r="F559" s="1030"/>
      <c r="G559" s="826"/>
      <c r="I559" s="847"/>
    </row>
    <row r="560">
      <c r="A560" s="826"/>
      <c r="B560" s="1038"/>
      <c r="C560" s="826"/>
      <c r="D560" s="826"/>
      <c r="F560" s="1030"/>
      <c r="G560" s="826"/>
      <c r="I560" s="847"/>
    </row>
    <row r="561">
      <c r="A561" s="826"/>
      <c r="B561" s="1038"/>
      <c r="C561" s="826"/>
      <c r="D561" s="826"/>
      <c r="F561" s="1030"/>
      <c r="G561" s="826"/>
      <c r="I561" s="847"/>
    </row>
    <row r="562">
      <c r="A562" s="826"/>
      <c r="B562" s="1038"/>
      <c r="C562" s="826"/>
      <c r="D562" s="826"/>
      <c r="F562" s="1030"/>
      <c r="G562" s="826"/>
      <c r="I562" s="847"/>
    </row>
    <row r="563">
      <c r="A563" s="826"/>
      <c r="B563" s="1038"/>
      <c r="C563" s="826"/>
      <c r="D563" s="826"/>
      <c r="F563" s="1030"/>
      <c r="G563" s="826"/>
      <c r="I563" s="847"/>
    </row>
    <row r="564">
      <c r="A564" s="826"/>
      <c r="B564" s="1038"/>
      <c r="C564" s="826"/>
      <c r="D564" s="826"/>
      <c r="F564" s="1030"/>
      <c r="G564" s="826"/>
      <c r="I564" s="847"/>
    </row>
    <row r="565">
      <c r="A565" s="826"/>
      <c r="B565" s="1038"/>
      <c r="C565" s="826"/>
      <c r="D565" s="826"/>
      <c r="F565" s="1030"/>
      <c r="G565" s="826"/>
      <c r="I565" s="847"/>
    </row>
    <row r="566">
      <c r="A566" s="826"/>
      <c r="B566" s="1038"/>
      <c r="C566" s="826"/>
      <c r="D566" s="826"/>
      <c r="F566" s="1030"/>
      <c r="G566" s="826"/>
      <c r="I566" s="847"/>
    </row>
    <row r="567">
      <c r="A567" s="826"/>
      <c r="B567" s="1038"/>
      <c r="C567" s="826"/>
      <c r="D567" s="826"/>
      <c r="F567" s="1030"/>
      <c r="G567" s="826"/>
      <c r="I567" s="847"/>
    </row>
    <row r="568">
      <c r="A568" s="826"/>
      <c r="B568" s="1038"/>
      <c r="C568" s="826"/>
      <c r="D568" s="826"/>
      <c r="F568" s="1030"/>
      <c r="G568" s="826"/>
      <c r="I568" s="847"/>
    </row>
    <row r="569">
      <c r="A569" s="826"/>
      <c r="B569" s="1038"/>
      <c r="C569" s="826"/>
      <c r="D569" s="826"/>
      <c r="F569" s="1030"/>
      <c r="G569" s="826"/>
      <c r="I569" s="847"/>
    </row>
    <row r="570">
      <c r="A570" s="826"/>
      <c r="B570" s="1038"/>
      <c r="C570" s="826"/>
      <c r="D570" s="826"/>
      <c r="F570" s="1030"/>
      <c r="G570" s="826"/>
      <c r="I570" s="847"/>
    </row>
    <row r="571">
      <c r="A571" s="826"/>
      <c r="B571" s="1038"/>
      <c r="C571" s="826"/>
      <c r="D571" s="826"/>
      <c r="F571" s="1030"/>
      <c r="G571" s="826"/>
      <c r="I571" s="847"/>
    </row>
    <row r="572">
      <c r="A572" s="826"/>
      <c r="B572" s="1038"/>
      <c r="C572" s="826"/>
      <c r="D572" s="826"/>
      <c r="F572" s="1030"/>
      <c r="G572" s="826"/>
      <c r="I572" s="847"/>
    </row>
    <row r="573">
      <c r="A573" s="826"/>
      <c r="B573" s="1038"/>
      <c r="C573" s="826"/>
      <c r="D573" s="826"/>
      <c r="F573" s="1030"/>
      <c r="G573" s="826"/>
      <c r="I573" s="847"/>
    </row>
    <row r="574">
      <c r="A574" s="826"/>
      <c r="B574" s="1038"/>
      <c r="C574" s="826"/>
      <c r="D574" s="826"/>
      <c r="F574" s="1030"/>
      <c r="G574" s="826"/>
      <c r="I574" s="847"/>
    </row>
    <row r="575">
      <c r="A575" s="826"/>
      <c r="B575" s="1038"/>
      <c r="C575" s="826"/>
      <c r="D575" s="826"/>
      <c r="F575" s="1030"/>
      <c r="G575" s="826"/>
      <c r="I575" s="847"/>
    </row>
    <row r="576">
      <c r="A576" s="826"/>
      <c r="B576" s="1038"/>
      <c r="C576" s="826"/>
      <c r="D576" s="826"/>
      <c r="F576" s="1030"/>
      <c r="G576" s="826"/>
      <c r="I576" s="847"/>
    </row>
    <row r="577">
      <c r="A577" s="826"/>
      <c r="B577" s="1038"/>
      <c r="C577" s="826"/>
      <c r="D577" s="826"/>
      <c r="F577" s="1030"/>
      <c r="G577" s="826"/>
      <c r="I577" s="847"/>
    </row>
    <row r="578">
      <c r="A578" s="826"/>
      <c r="B578" s="1038"/>
      <c r="C578" s="826"/>
      <c r="D578" s="826"/>
      <c r="F578" s="1030"/>
      <c r="G578" s="826"/>
      <c r="I578" s="847"/>
    </row>
    <row r="579">
      <c r="A579" s="826"/>
      <c r="B579" s="1038"/>
      <c r="C579" s="826"/>
      <c r="D579" s="826"/>
      <c r="F579" s="1030"/>
      <c r="G579" s="826"/>
      <c r="I579" s="847"/>
    </row>
    <row r="580">
      <c r="A580" s="826"/>
      <c r="B580" s="1038"/>
      <c r="C580" s="826"/>
      <c r="D580" s="826"/>
      <c r="F580" s="1030"/>
      <c r="G580" s="826"/>
      <c r="I580" s="847"/>
    </row>
    <row r="581">
      <c r="A581" s="826"/>
      <c r="B581" s="1038"/>
      <c r="C581" s="826"/>
      <c r="D581" s="826"/>
      <c r="F581" s="1030"/>
      <c r="G581" s="826"/>
      <c r="I581" s="847"/>
    </row>
    <row r="582">
      <c r="A582" s="826"/>
      <c r="B582" s="1038"/>
      <c r="C582" s="826"/>
      <c r="D582" s="826"/>
      <c r="F582" s="1030"/>
      <c r="G582" s="826"/>
      <c r="I582" s="847"/>
    </row>
    <row r="583">
      <c r="A583" s="826"/>
      <c r="B583" s="1038"/>
      <c r="C583" s="826"/>
      <c r="D583" s="826"/>
      <c r="F583" s="1030"/>
      <c r="G583" s="826"/>
      <c r="I583" s="847"/>
    </row>
    <row r="584">
      <c r="A584" s="826"/>
      <c r="B584" s="1038"/>
      <c r="C584" s="826"/>
      <c r="D584" s="826"/>
      <c r="F584" s="1030"/>
      <c r="G584" s="826"/>
      <c r="I584" s="847"/>
    </row>
    <row r="585">
      <c r="A585" s="826"/>
      <c r="B585" s="1038"/>
      <c r="C585" s="826"/>
      <c r="D585" s="826"/>
      <c r="F585" s="1030"/>
      <c r="G585" s="826"/>
      <c r="I585" s="847"/>
    </row>
    <row r="586">
      <c r="A586" s="826"/>
      <c r="B586" s="1038"/>
      <c r="C586" s="826"/>
      <c r="D586" s="826"/>
      <c r="F586" s="1030"/>
      <c r="G586" s="826"/>
      <c r="I586" s="847"/>
    </row>
    <row r="587">
      <c r="A587" s="826"/>
      <c r="B587" s="1038"/>
      <c r="C587" s="826"/>
      <c r="D587" s="826"/>
      <c r="F587" s="1030"/>
      <c r="G587" s="826"/>
      <c r="I587" s="847"/>
    </row>
    <row r="588">
      <c r="A588" s="826"/>
      <c r="B588" s="1038"/>
      <c r="C588" s="826"/>
      <c r="D588" s="826"/>
      <c r="F588" s="1030"/>
      <c r="G588" s="826"/>
      <c r="I588" s="847"/>
    </row>
    <row r="589">
      <c r="A589" s="826"/>
      <c r="B589" s="1038"/>
      <c r="C589" s="826"/>
      <c r="D589" s="826"/>
      <c r="F589" s="1030"/>
      <c r="G589" s="826"/>
      <c r="I589" s="847"/>
    </row>
    <row r="590">
      <c r="A590" s="826"/>
      <c r="B590" s="1038"/>
      <c r="C590" s="826"/>
      <c r="D590" s="826"/>
      <c r="F590" s="1030"/>
      <c r="G590" s="826"/>
      <c r="I590" s="847"/>
    </row>
    <row r="591">
      <c r="A591" s="826"/>
      <c r="B591" s="1038"/>
      <c r="C591" s="826"/>
      <c r="D591" s="826"/>
      <c r="F591" s="1030"/>
      <c r="G591" s="826"/>
      <c r="I591" s="847"/>
    </row>
    <row r="592">
      <c r="A592" s="826"/>
      <c r="B592" s="1038"/>
      <c r="C592" s="826"/>
      <c r="D592" s="826"/>
      <c r="F592" s="1030"/>
      <c r="G592" s="826"/>
      <c r="I592" s="847"/>
    </row>
    <row r="593">
      <c r="A593" s="826"/>
      <c r="B593" s="1038"/>
      <c r="C593" s="826"/>
      <c r="D593" s="826"/>
      <c r="F593" s="1030"/>
      <c r="G593" s="826"/>
      <c r="I593" s="847"/>
    </row>
    <row r="594">
      <c r="A594" s="826"/>
      <c r="B594" s="1038"/>
      <c r="C594" s="826"/>
      <c r="D594" s="826"/>
      <c r="F594" s="1030"/>
      <c r="G594" s="826"/>
      <c r="I594" s="847"/>
    </row>
    <row r="595">
      <c r="A595" s="826"/>
      <c r="B595" s="1038"/>
      <c r="C595" s="826"/>
      <c r="D595" s="826"/>
      <c r="F595" s="1030"/>
      <c r="G595" s="826"/>
      <c r="I595" s="847"/>
    </row>
    <row r="596">
      <c r="A596" s="826"/>
      <c r="B596" s="1038"/>
      <c r="C596" s="826"/>
      <c r="D596" s="826"/>
      <c r="F596" s="1030"/>
      <c r="G596" s="826"/>
      <c r="I596" s="847"/>
    </row>
    <row r="597">
      <c r="A597" s="826"/>
      <c r="B597" s="1038"/>
      <c r="C597" s="826"/>
      <c r="D597" s="826"/>
      <c r="F597" s="1030"/>
      <c r="G597" s="826"/>
      <c r="I597" s="847"/>
    </row>
    <row r="598">
      <c r="A598" s="826"/>
      <c r="B598" s="1038"/>
      <c r="C598" s="826"/>
      <c r="D598" s="826"/>
      <c r="F598" s="1030"/>
      <c r="G598" s="826"/>
      <c r="I598" s="847"/>
    </row>
    <row r="599">
      <c r="A599" s="826"/>
      <c r="B599" s="1038"/>
      <c r="C599" s="826"/>
      <c r="D599" s="826"/>
      <c r="F599" s="1030"/>
      <c r="G599" s="826"/>
      <c r="I599" s="847"/>
    </row>
    <row r="600">
      <c r="A600" s="826"/>
      <c r="B600" s="1038"/>
      <c r="C600" s="826"/>
      <c r="D600" s="826"/>
      <c r="F600" s="1030"/>
      <c r="G600" s="826"/>
      <c r="I600" s="847"/>
    </row>
    <row r="601">
      <c r="A601" s="826"/>
      <c r="B601" s="1038"/>
      <c r="C601" s="826"/>
      <c r="D601" s="826"/>
      <c r="F601" s="1030"/>
      <c r="G601" s="826"/>
      <c r="I601" s="847"/>
    </row>
    <row r="602">
      <c r="A602" s="826"/>
      <c r="B602" s="1038"/>
      <c r="C602" s="826"/>
      <c r="D602" s="826"/>
      <c r="F602" s="1030"/>
      <c r="G602" s="826"/>
      <c r="I602" s="847"/>
    </row>
    <row r="603">
      <c r="A603" s="826"/>
      <c r="B603" s="1038"/>
      <c r="C603" s="826"/>
      <c r="D603" s="826"/>
      <c r="F603" s="1030"/>
      <c r="G603" s="826"/>
      <c r="I603" s="847"/>
    </row>
    <row r="604">
      <c r="A604" s="826"/>
      <c r="B604" s="1038"/>
      <c r="C604" s="826"/>
      <c r="D604" s="826"/>
      <c r="F604" s="1030"/>
      <c r="G604" s="826"/>
      <c r="I604" s="847"/>
    </row>
    <row r="605">
      <c r="A605" s="826"/>
      <c r="B605" s="1038"/>
      <c r="C605" s="826"/>
      <c r="D605" s="826"/>
      <c r="F605" s="1030"/>
      <c r="G605" s="826"/>
      <c r="I605" s="847"/>
    </row>
    <row r="606">
      <c r="A606" s="826"/>
      <c r="B606" s="1038"/>
      <c r="C606" s="826"/>
      <c r="D606" s="826"/>
      <c r="F606" s="1030"/>
      <c r="G606" s="826"/>
      <c r="I606" s="847"/>
    </row>
    <row r="607">
      <c r="A607" s="826"/>
      <c r="B607" s="1038"/>
      <c r="C607" s="826"/>
      <c r="D607" s="826"/>
      <c r="F607" s="1030"/>
      <c r="G607" s="826"/>
      <c r="I607" s="847"/>
    </row>
    <row r="608">
      <c r="A608" s="826"/>
      <c r="B608" s="1038"/>
      <c r="C608" s="826"/>
      <c r="D608" s="826"/>
      <c r="F608" s="1030"/>
      <c r="G608" s="826"/>
      <c r="I608" s="847"/>
    </row>
    <row r="609">
      <c r="A609" s="826"/>
      <c r="B609" s="1038"/>
      <c r="C609" s="826"/>
      <c r="D609" s="826"/>
      <c r="F609" s="1030"/>
      <c r="G609" s="826"/>
      <c r="I609" s="847"/>
    </row>
    <row r="610">
      <c r="A610" s="826"/>
      <c r="B610" s="1038"/>
      <c r="C610" s="826"/>
      <c r="D610" s="826"/>
      <c r="F610" s="1030"/>
      <c r="G610" s="826"/>
      <c r="I610" s="847"/>
    </row>
    <row r="611">
      <c r="A611" s="826"/>
      <c r="B611" s="1038"/>
      <c r="C611" s="826"/>
      <c r="D611" s="826"/>
      <c r="F611" s="1030"/>
      <c r="G611" s="826"/>
      <c r="I611" s="847"/>
    </row>
    <row r="612">
      <c r="A612" s="826"/>
      <c r="B612" s="1038"/>
      <c r="C612" s="826"/>
      <c r="D612" s="826"/>
      <c r="F612" s="1030"/>
      <c r="G612" s="826"/>
      <c r="I612" s="847"/>
    </row>
    <row r="613">
      <c r="A613" s="826"/>
      <c r="B613" s="1038"/>
      <c r="C613" s="826"/>
      <c r="D613" s="826"/>
      <c r="F613" s="1030"/>
      <c r="G613" s="826"/>
      <c r="I613" s="847"/>
    </row>
    <row r="614">
      <c r="A614" s="826"/>
      <c r="B614" s="1038"/>
      <c r="C614" s="826"/>
      <c r="D614" s="826"/>
      <c r="F614" s="1030"/>
      <c r="G614" s="826"/>
      <c r="I614" s="847"/>
    </row>
    <row r="615">
      <c r="A615" s="826"/>
      <c r="B615" s="1038"/>
      <c r="C615" s="826"/>
      <c r="D615" s="826"/>
      <c r="F615" s="1030"/>
      <c r="G615" s="826"/>
      <c r="I615" s="847"/>
    </row>
    <row r="616">
      <c r="A616" s="826"/>
      <c r="B616" s="1038"/>
      <c r="C616" s="826"/>
      <c r="D616" s="826"/>
      <c r="F616" s="1030"/>
      <c r="G616" s="826"/>
      <c r="I616" s="847"/>
    </row>
    <row r="617">
      <c r="A617" s="826"/>
      <c r="B617" s="1038"/>
      <c r="C617" s="826"/>
      <c r="D617" s="826"/>
      <c r="F617" s="1030"/>
      <c r="G617" s="826"/>
      <c r="I617" s="847"/>
    </row>
    <row r="618">
      <c r="A618" s="826"/>
      <c r="B618" s="1038"/>
      <c r="C618" s="826"/>
      <c r="D618" s="826"/>
      <c r="F618" s="1030"/>
      <c r="G618" s="826"/>
      <c r="I618" s="847"/>
    </row>
    <row r="619">
      <c r="A619" s="826"/>
      <c r="B619" s="1038"/>
      <c r="C619" s="826"/>
      <c r="D619" s="826"/>
      <c r="F619" s="1030"/>
      <c r="G619" s="826"/>
      <c r="I619" s="847"/>
    </row>
    <row r="620">
      <c r="A620" s="826"/>
      <c r="B620" s="1038"/>
      <c r="C620" s="826"/>
      <c r="D620" s="826"/>
      <c r="F620" s="1030"/>
      <c r="G620" s="826"/>
      <c r="I620" s="847"/>
    </row>
    <row r="621">
      <c r="A621" s="826"/>
      <c r="B621" s="1038"/>
      <c r="C621" s="826"/>
      <c r="D621" s="826"/>
      <c r="F621" s="1030"/>
      <c r="G621" s="826"/>
      <c r="I621" s="847"/>
    </row>
    <row r="622">
      <c r="A622" s="826"/>
      <c r="B622" s="1038"/>
      <c r="C622" s="826"/>
      <c r="D622" s="826"/>
      <c r="F622" s="1030"/>
      <c r="G622" s="826"/>
      <c r="I622" s="847"/>
    </row>
    <row r="623">
      <c r="A623" s="826"/>
      <c r="B623" s="1038"/>
      <c r="C623" s="826"/>
      <c r="D623" s="826"/>
      <c r="F623" s="1030"/>
      <c r="G623" s="826"/>
      <c r="I623" s="847"/>
    </row>
    <row r="624">
      <c r="A624" s="826"/>
      <c r="B624" s="1038"/>
      <c r="C624" s="826"/>
      <c r="D624" s="826"/>
      <c r="F624" s="1030"/>
      <c r="G624" s="826"/>
      <c r="I624" s="847"/>
    </row>
    <row r="625">
      <c r="A625" s="826"/>
      <c r="B625" s="1038"/>
      <c r="C625" s="826"/>
      <c r="D625" s="826"/>
      <c r="F625" s="1030"/>
      <c r="G625" s="826"/>
      <c r="I625" s="847"/>
    </row>
    <row r="626">
      <c r="A626" s="826"/>
      <c r="B626" s="1038"/>
      <c r="C626" s="826"/>
      <c r="D626" s="826"/>
      <c r="F626" s="1030"/>
      <c r="G626" s="826"/>
      <c r="I626" s="847"/>
    </row>
    <row r="627">
      <c r="A627" s="826"/>
      <c r="B627" s="1038"/>
      <c r="C627" s="826"/>
      <c r="D627" s="826"/>
      <c r="F627" s="1030"/>
      <c r="G627" s="826"/>
      <c r="I627" s="847"/>
    </row>
    <row r="628">
      <c r="A628" s="826"/>
      <c r="B628" s="1038"/>
      <c r="C628" s="826"/>
      <c r="D628" s="826"/>
      <c r="F628" s="1030"/>
      <c r="G628" s="826"/>
      <c r="I628" s="847"/>
    </row>
    <row r="629">
      <c r="A629" s="826"/>
      <c r="B629" s="1038"/>
      <c r="C629" s="826"/>
      <c r="D629" s="826"/>
      <c r="F629" s="1030"/>
      <c r="G629" s="826"/>
      <c r="I629" s="847"/>
    </row>
    <row r="630">
      <c r="A630" s="826"/>
      <c r="B630" s="1038"/>
      <c r="C630" s="826"/>
      <c r="D630" s="826"/>
      <c r="F630" s="1030"/>
      <c r="G630" s="826"/>
      <c r="I630" s="847"/>
    </row>
    <row r="631">
      <c r="A631" s="826"/>
      <c r="B631" s="1038"/>
      <c r="C631" s="826"/>
      <c r="D631" s="826"/>
      <c r="F631" s="1030"/>
      <c r="G631" s="826"/>
      <c r="I631" s="847"/>
    </row>
    <row r="632">
      <c r="A632" s="826"/>
      <c r="B632" s="1038"/>
      <c r="C632" s="826"/>
      <c r="D632" s="826"/>
      <c r="F632" s="1030"/>
      <c r="G632" s="826"/>
      <c r="I632" s="847"/>
    </row>
    <row r="633">
      <c r="A633" s="826"/>
      <c r="B633" s="1038"/>
      <c r="C633" s="826"/>
      <c r="D633" s="826"/>
      <c r="F633" s="1030"/>
      <c r="G633" s="826"/>
      <c r="I633" s="847"/>
    </row>
    <row r="634">
      <c r="A634" s="826"/>
      <c r="B634" s="1038"/>
      <c r="C634" s="826"/>
      <c r="D634" s="826"/>
      <c r="F634" s="1030"/>
      <c r="G634" s="826"/>
      <c r="I634" s="847"/>
    </row>
    <row r="635">
      <c r="A635" s="826"/>
      <c r="B635" s="1038"/>
      <c r="C635" s="826"/>
      <c r="D635" s="826"/>
      <c r="F635" s="1030"/>
      <c r="G635" s="826"/>
      <c r="I635" s="847"/>
    </row>
    <row r="636">
      <c r="A636" s="826"/>
      <c r="B636" s="1038"/>
      <c r="C636" s="826"/>
      <c r="D636" s="826"/>
      <c r="F636" s="1030"/>
      <c r="G636" s="826"/>
      <c r="I636" s="847"/>
    </row>
    <row r="637">
      <c r="A637" s="826"/>
      <c r="B637" s="1038"/>
      <c r="C637" s="826"/>
      <c r="D637" s="826"/>
      <c r="F637" s="1030"/>
      <c r="G637" s="826"/>
      <c r="I637" s="847"/>
    </row>
    <row r="638">
      <c r="A638" s="826"/>
      <c r="B638" s="1038"/>
      <c r="C638" s="826"/>
      <c r="D638" s="826"/>
      <c r="F638" s="1030"/>
      <c r="G638" s="826"/>
      <c r="I638" s="847"/>
    </row>
    <row r="639">
      <c r="A639" s="826"/>
      <c r="B639" s="1038"/>
      <c r="C639" s="826"/>
      <c r="D639" s="826"/>
      <c r="F639" s="1030"/>
      <c r="G639" s="826"/>
      <c r="I639" s="847"/>
    </row>
    <row r="640">
      <c r="A640" s="826"/>
      <c r="B640" s="1038"/>
      <c r="C640" s="826"/>
      <c r="D640" s="826"/>
      <c r="F640" s="1030"/>
      <c r="G640" s="826"/>
      <c r="I640" s="847"/>
    </row>
    <row r="641">
      <c r="A641" s="826"/>
      <c r="B641" s="1038"/>
      <c r="C641" s="826"/>
      <c r="D641" s="826"/>
      <c r="F641" s="1030"/>
      <c r="G641" s="826"/>
      <c r="I641" s="847"/>
    </row>
    <row r="642">
      <c r="A642" s="826"/>
      <c r="B642" s="1038"/>
      <c r="C642" s="826"/>
      <c r="D642" s="826"/>
      <c r="F642" s="1030"/>
      <c r="G642" s="826"/>
      <c r="I642" s="847"/>
    </row>
    <row r="643">
      <c r="A643" s="826"/>
      <c r="B643" s="1038"/>
      <c r="C643" s="826"/>
      <c r="D643" s="826"/>
      <c r="F643" s="1030"/>
      <c r="G643" s="826"/>
      <c r="I643" s="847"/>
    </row>
    <row r="644">
      <c r="A644" s="826"/>
      <c r="B644" s="1038"/>
      <c r="C644" s="826"/>
      <c r="D644" s="826"/>
      <c r="F644" s="1030"/>
      <c r="G644" s="826"/>
      <c r="I644" s="847"/>
    </row>
    <row r="645">
      <c r="A645" s="826"/>
      <c r="B645" s="1038"/>
      <c r="C645" s="826"/>
      <c r="D645" s="826"/>
      <c r="F645" s="1030"/>
      <c r="G645" s="826"/>
      <c r="I645" s="847"/>
    </row>
    <row r="646">
      <c r="A646" s="826"/>
      <c r="B646" s="1038"/>
      <c r="C646" s="826"/>
      <c r="D646" s="826"/>
      <c r="F646" s="1030"/>
      <c r="G646" s="826"/>
      <c r="I646" s="847"/>
    </row>
    <row r="647">
      <c r="A647" s="826"/>
      <c r="B647" s="1038"/>
      <c r="C647" s="826"/>
      <c r="D647" s="826"/>
      <c r="F647" s="1030"/>
      <c r="G647" s="826"/>
      <c r="I647" s="847"/>
    </row>
    <row r="648">
      <c r="A648" s="826"/>
      <c r="B648" s="1038"/>
      <c r="C648" s="826"/>
      <c r="D648" s="826"/>
      <c r="F648" s="1030"/>
      <c r="G648" s="826"/>
      <c r="I648" s="847"/>
    </row>
    <row r="649">
      <c r="A649" s="826"/>
      <c r="B649" s="1038"/>
      <c r="C649" s="826"/>
      <c r="D649" s="826"/>
      <c r="F649" s="1030"/>
      <c r="G649" s="826"/>
      <c r="I649" s="847"/>
    </row>
    <row r="650">
      <c r="A650" s="826"/>
      <c r="B650" s="1038"/>
      <c r="C650" s="826"/>
      <c r="D650" s="826"/>
      <c r="F650" s="1030"/>
      <c r="G650" s="826"/>
      <c r="I650" s="847"/>
    </row>
    <row r="651">
      <c r="A651" s="826"/>
      <c r="B651" s="1038"/>
      <c r="C651" s="826"/>
      <c r="D651" s="826"/>
      <c r="F651" s="1030"/>
      <c r="G651" s="826"/>
      <c r="I651" s="847"/>
    </row>
    <row r="652">
      <c r="A652" s="826"/>
      <c r="B652" s="1038"/>
      <c r="C652" s="826"/>
      <c r="D652" s="826"/>
      <c r="F652" s="1030"/>
      <c r="G652" s="826"/>
      <c r="I652" s="847"/>
    </row>
    <row r="653">
      <c r="A653" s="826"/>
      <c r="B653" s="1038"/>
      <c r="C653" s="826"/>
      <c r="D653" s="826"/>
      <c r="F653" s="1030"/>
      <c r="G653" s="826"/>
      <c r="I653" s="847"/>
    </row>
    <row r="654">
      <c r="A654" s="826"/>
      <c r="B654" s="1038"/>
      <c r="C654" s="826"/>
      <c r="D654" s="826"/>
      <c r="F654" s="1030"/>
      <c r="G654" s="826"/>
      <c r="I654" s="847"/>
    </row>
    <row r="655">
      <c r="A655" s="826"/>
      <c r="B655" s="1038"/>
      <c r="C655" s="826"/>
      <c r="D655" s="826"/>
      <c r="F655" s="1030"/>
      <c r="G655" s="826"/>
      <c r="I655" s="847"/>
    </row>
    <row r="656">
      <c r="A656" s="826"/>
      <c r="B656" s="1038"/>
      <c r="C656" s="826"/>
      <c r="D656" s="826"/>
      <c r="F656" s="1030"/>
      <c r="G656" s="826"/>
      <c r="I656" s="847"/>
    </row>
    <row r="657">
      <c r="A657" s="826"/>
      <c r="B657" s="1038"/>
      <c r="C657" s="826"/>
      <c r="D657" s="826"/>
      <c r="F657" s="1030"/>
      <c r="G657" s="826"/>
      <c r="I657" s="847"/>
    </row>
    <row r="658">
      <c r="A658" s="826"/>
      <c r="B658" s="1038"/>
      <c r="C658" s="826"/>
      <c r="D658" s="826"/>
      <c r="F658" s="1030"/>
      <c r="G658" s="826"/>
      <c r="I658" s="847"/>
    </row>
    <row r="659">
      <c r="A659" s="826"/>
      <c r="B659" s="1038"/>
      <c r="C659" s="826"/>
      <c r="D659" s="826"/>
      <c r="F659" s="1030"/>
      <c r="G659" s="826"/>
      <c r="I659" s="847"/>
    </row>
    <row r="660">
      <c r="A660" s="826"/>
      <c r="B660" s="1038"/>
      <c r="C660" s="826"/>
      <c r="D660" s="826"/>
      <c r="F660" s="1030"/>
      <c r="G660" s="826"/>
      <c r="I660" s="847"/>
    </row>
    <row r="661">
      <c r="A661" s="826"/>
      <c r="B661" s="1038"/>
      <c r="C661" s="826"/>
      <c r="D661" s="826"/>
      <c r="F661" s="1030"/>
      <c r="G661" s="826"/>
      <c r="I661" s="847"/>
    </row>
    <row r="662">
      <c r="A662" s="826"/>
      <c r="B662" s="1038"/>
      <c r="C662" s="826"/>
      <c r="D662" s="826"/>
      <c r="F662" s="1030"/>
      <c r="G662" s="826"/>
      <c r="I662" s="847"/>
    </row>
    <row r="663">
      <c r="A663" s="826"/>
      <c r="B663" s="1038"/>
      <c r="C663" s="826"/>
      <c r="D663" s="826"/>
      <c r="F663" s="1030"/>
      <c r="G663" s="826"/>
      <c r="I663" s="847"/>
    </row>
    <row r="664">
      <c r="A664" s="826"/>
      <c r="B664" s="1038"/>
      <c r="C664" s="826"/>
      <c r="D664" s="826"/>
      <c r="F664" s="1030"/>
      <c r="G664" s="826"/>
      <c r="I664" s="847"/>
    </row>
    <row r="665">
      <c r="A665" s="826"/>
      <c r="B665" s="1038"/>
      <c r="C665" s="826"/>
      <c r="D665" s="826"/>
      <c r="F665" s="1030"/>
      <c r="G665" s="826"/>
      <c r="I665" s="847"/>
    </row>
    <row r="666">
      <c r="A666" s="826"/>
      <c r="B666" s="1038"/>
      <c r="C666" s="826"/>
      <c r="D666" s="826"/>
      <c r="F666" s="1030"/>
      <c r="G666" s="826"/>
      <c r="I666" s="847"/>
    </row>
    <row r="667">
      <c r="A667" s="826"/>
      <c r="B667" s="1038"/>
      <c r="C667" s="826"/>
      <c r="D667" s="826"/>
      <c r="F667" s="1030"/>
      <c r="G667" s="826"/>
      <c r="I667" s="847"/>
    </row>
    <row r="668">
      <c r="A668" s="826"/>
      <c r="B668" s="1038"/>
      <c r="C668" s="826"/>
      <c r="D668" s="826"/>
      <c r="F668" s="1030"/>
      <c r="G668" s="826"/>
      <c r="I668" s="847"/>
    </row>
    <row r="669">
      <c r="A669" s="826"/>
      <c r="B669" s="1038"/>
      <c r="C669" s="826"/>
      <c r="D669" s="826"/>
      <c r="F669" s="1030"/>
      <c r="G669" s="826"/>
      <c r="I669" s="847"/>
    </row>
    <row r="670">
      <c r="A670" s="826"/>
      <c r="B670" s="1038"/>
      <c r="C670" s="826"/>
      <c r="D670" s="826"/>
      <c r="F670" s="1030"/>
      <c r="G670" s="826"/>
      <c r="I670" s="847"/>
    </row>
    <row r="671">
      <c r="A671" s="826"/>
      <c r="B671" s="1038"/>
      <c r="C671" s="826"/>
      <c r="D671" s="826"/>
      <c r="F671" s="1030"/>
      <c r="G671" s="826"/>
      <c r="I671" s="847"/>
    </row>
    <row r="672">
      <c r="A672" s="826"/>
      <c r="B672" s="1038"/>
      <c r="C672" s="826"/>
      <c r="D672" s="826"/>
      <c r="F672" s="1030"/>
      <c r="G672" s="826"/>
      <c r="I672" s="847"/>
    </row>
    <row r="673">
      <c r="A673" s="826"/>
      <c r="B673" s="1038"/>
      <c r="C673" s="826"/>
      <c r="D673" s="826"/>
      <c r="F673" s="1030"/>
      <c r="G673" s="826"/>
      <c r="I673" s="847"/>
    </row>
    <row r="674">
      <c r="A674" s="826"/>
      <c r="B674" s="1038"/>
      <c r="C674" s="826"/>
      <c r="D674" s="826"/>
      <c r="F674" s="1030"/>
      <c r="G674" s="826"/>
      <c r="I674" s="847"/>
    </row>
    <row r="675">
      <c r="A675" s="826"/>
      <c r="B675" s="1038"/>
      <c r="C675" s="826"/>
      <c r="D675" s="826"/>
      <c r="F675" s="1030"/>
      <c r="G675" s="826"/>
      <c r="I675" s="847"/>
    </row>
    <row r="676">
      <c r="A676" s="826"/>
      <c r="B676" s="1038"/>
      <c r="C676" s="826"/>
      <c r="D676" s="826"/>
      <c r="F676" s="1030"/>
      <c r="G676" s="826"/>
      <c r="I676" s="847"/>
    </row>
    <row r="677">
      <c r="A677" s="826"/>
      <c r="B677" s="1038"/>
      <c r="C677" s="826"/>
      <c r="D677" s="826"/>
      <c r="F677" s="1030"/>
      <c r="G677" s="826"/>
      <c r="I677" s="847"/>
    </row>
    <row r="678">
      <c r="A678" s="826"/>
      <c r="B678" s="1038"/>
      <c r="C678" s="826"/>
      <c r="D678" s="826"/>
      <c r="F678" s="1030"/>
      <c r="G678" s="826"/>
      <c r="I678" s="847"/>
    </row>
    <row r="679">
      <c r="A679" s="826"/>
      <c r="B679" s="1038"/>
      <c r="C679" s="826"/>
      <c r="D679" s="826"/>
      <c r="F679" s="1030"/>
      <c r="G679" s="826"/>
      <c r="I679" s="847"/>
    </row>
    <row r="680">
      <c r="A680" s="826"/>
      <c r="B680" s="1038"/>
      <c r="C680" s="826"/>
      <c r="D680" s="826"/>
      <c r="F680" s="1030"/>
      <c r="G680" s="826"/>
      <c r="I680" s="847"/>
    </row>
    <row r="681">
      <c r="A681" s="826"/>
      <c r="B681" s="1038"/>
      <c r="C681" s="826"/>
      <c r="D681" s="826"/>
      <c r="F681" s="1030"/>
      <c r="G681" s="826"/>
      <c r="I681" s="847"/>
    </row>
    <row r="682">
      <c r="A682" s="826"/>
      <c r="B682" s="1038"/>
      <c r="C682" s="826"/>
      <c r="D682" s="826"/>
      <c r="F682" s="1030"/>
      <c r="G682" s="826"/>
      <c r="I682" s="847"/>
    </row>
    <row r="683">
      <c r="A683" s="826"/>
      <c r="B683" s="1038"/>
      <c r="C683" s="826"/>
      <c r="D683" s="826"/>
      <c r="F683" s="1030"/>
      <c r="G683" s="826"/>
      <c r="I683" s="847"/>
    </row>
    <row r="684">
      <c r="A684" s="826"/>
      <c r="B684" s="1038"/>
      <c r="C684" s="826"/>
      <c r="D684" s="826"/>
      <c r="F684" s="1030"/>
      <c r="G684" s="826"/>
      <c r="I684" s="847"/>
    </row>
    <row r="685">
      <c r="A685" s="826"/>
      <c r="B685" s="1038"/>
      <c r="C685" s="826"/>
      <c r="D685" s="826"/>
      <c r="F685" s="1030"/>
      <c r="G685" s="826"/>
      <c r="I685" s="847"/>
    </row>
    <row r="686">
      <c r="A686" s="826"/>
      <c r="B686" s="1038"/>
      <c r="C686" s="826"/>
      <c r="D686" s="826"/>
      <c r="F686" s="1030"/>
      <c r="G686" s="826"/>
      <c r="I686" s="847"/>
    </row>
    <row r="687">
      <c r="A687" s="826"/>
      <c r="B687" s="1038"/>
      <c r="C687" s="826"/>
      <c r="D687" s="826"/>
      <c r="F687" s="1030"/>
      <c r="G687" s="826"/>
      <c r="I687" s="847"/>
    </row>
    <row r="688">
      <c r="A688" s="826"/>
      <c r="B688" s="1038"/>
      <c r="C688" s="826"/>
      <c r="D688" s="826"/>
      <c r="F688" s="1030"/>
      <c r="G688" s="826"/>
      <c r="I688" s="847"/>
    </row>
    <row r="689">
      <c r="A689" s="826"/>
      <c r="B689" s="1038"/>
      <c r="C689" s="826"/>
      <c r="D689" s="826"/>
      <c r="F689" s="1030"/>
      <c r="G689" s="826"/>
      <c r="I689" s="847"/>
    </row>
    <row r="690">
      <c r="A690" s="826"/>
      <c r="B690" s="1038"/>
      <c r="C690" s="826"/>
      <c r="D690" s="826"/>
      <c r="F690" s="1030"/>
      <c r="G690" s="826"/>
      <c r="I690" s="847"/>
    </row>
    <row r="691">
      <c r="A691" s="826"/>
      <c r="B691" s="1038"/>
      <c r="C691" s="826"/>
      <c r="D691" s="826"/>
      <c r="F691" s="1030"/>
      <c r="G691" s="826"/>
      <c r="I691" s="847"/>
    </row>
    <row r="692">
      <c r="A692" s="826"/>
      <c r="B692" s="1038"/>
      <c r="C692" s="826"/>
      <c r="D692" s="826"/>
      <c r="F692" s="1030"/>
      <c r="G692" s="826"/>
      <c r="I692" s="847"/>
    </row>
    <row r="693">
      <c r="A693" s="826"/>
      <c r="B693" s="1038"/>
      <c r="C693" s="826"/>
      <c r="D693" s="826"/>
      <c r="F693" s="1030"/>
      <c r="G693" s="826"/>
      <c r="I693" s="847"/>
    </row>
    <row r="694">
      <c r="A694" s="826"/>
      <c r="B694" s="1038"/>
      <c r="C694" s="826"/>
      <c r="D694" s="826"/>
      <c r="F694" s="1030"/>
      <c r="G694" s="826"/>
      <c r="I694" s="847"/>
    </row>
    <row r="695">
      <c r="A695" s="826"/>
      <c r="B695" s="1038"/>
      <c r="C695" s="826"/>
      <c r="D695" s="826"/>
      <c r="F695" s="1030"/>
      <c r="G695" s="826"/>
      <c r="I695" s="847"/>
    </row>
    <row r="696">
      <c r="A696" s="826"/>
      <c r="B696" s="1038"/>
      <c r="C696" s="826"/>
      <c r="D696" s="826"/>
      <c r="F696" s="1030"/>
      <c r="G696" s="826"/>
      <c r="I696" s="847"/>
    </row>
    <row r="697">
      <c r="A697" s="826"/>
      <c r="B697" s="1038"/>
      <c r="C697" s="826"/>
      <c r="D697" s="826"/>
      <c r="F697" s="1030"/>
      <c r="G697" s="826"/>
      <c r="I697" s="847"/>
    </row>
    <row r="698">
      <c r="A698" s="826"/>
      <c r="B698" s="1038"/>
      <c r="C698" s="826"/>
      <c r="D698" s="826"/>
      <c r="F698" s="1030"/>
      <c r="G698" s="826"/>
      <c r="I698" s="847"/>
    </row>
    <row r="699">
      <c r="A699" s="826"/>
      <c r="B699" s="1038"/>
      <c r="C699" s="826"/>
      <c r="D699" s="826"/>
      <c r="F699" s="1030"/>
      <c r="G699" s="826"/>
      <c r="I699" s="847"/>
    </row>
    <row r="700">
      <c r="A700" s="826"/>
      <c r="B700" s="1038"/>
      <c r="C700" s="826"/>
      <c r="D700" s="826"/>
      <c r="F700" s="1030"/>
      <c r="G700" s="826"/>
      <c r="I700" s="847"/>
    </row>
    <row r="701">
      <c r="A701" s="826"/>
      <c r="B701" s="1038"/>
      <c r="C701" s="826"/>
      <c r="D701" s="826"/>
      <c r="F701" s="1030"/>
      <c r="G701" s="826"/>
      <c r="I701" s="847"/>
    </row>
    <row r="702">
      <c r="A702" s="826"/>
      <c r="B702" s="1038"/>
      <c r="C702" s="826"/>
      <c r="D702" s="826"/>
      <c r="F702" s="1030"/>
      <c r="G702" s="826"/>
      <c r="I702" s="847"/>
    </row>
    <row r="703">
      <c r="A703" s="826"/>
      <c r="B703" s="1038"/>
      <c r="C703" s="826"/>
      <c r="D703" s="826"/>
      <c r="F703" s="1030"/>
      <c r="G703" s="826"/>
      <c r="I703" s="847"/>
    </row>
    <row r="704">
      <c r="A704" s="826"/>
      <c r="B704" s="1038"/>
      <c r="C704" s="826"/>
      <c r="D704" s="826"/>
      <c r="F704" s="1030"/>
      <c r="G704" s="826"/>
      <c r="I704" s="847"/>
    </row>
    <row r="705">
      <c r="A705" s="826"/>
      <c r="B705" s="1038"/>
      <c r="C705" s="826"/>
      <c r="D705" s="826"/>
      <c r="F705" s="1030"/>
      <c r="G705" s="826"/>
      <c r="I705" s="847"/>
    </row>
    <row r="706">
      <c r="A706" s="826"/>
      <c r="B706" s="1038"/>
      <c r="C706" s="826"/>
      <c r="D706" s="826"/>
      <c r="F706" s="1030"/>
      <c r="G706" s="826"/>
      <c r="I706" s="847"/>
    </row>
    <row r="707">
      <c r="A707" s="826"/>
      <c r="B707" s="1038"/>
      <c r="C707" s="826"/>
      <c r="D707" s="826"/>
      <c r="F707" s="1030"/>
      <c r="G707" s="826"/>
      <c r="I707" s="847"/>
    </row>
    <row r="708">
      <c r="A708" s="826"/>
      <c r="B708" s="1038"/>
      <c r="C708" s="826"/>
      <c r="D708" s="826"/>
      <c r="F708" s="1030"/>
      <c r="G708" s="826"/>
      <c r="I708" s="847"/>
    </row>
    <row r="709">
      <c r="A709" s="826"/>
      <c r="B709" s="1038"/>
      <c r="C709" s="826"/>
      <c r="D709" s="826"/>
      <c r="F709" s="1030"/>
      <c r="G709" s="826"/>
      <c r="I709" s="847"/>
    </row>
    <row r="710">
      <c r="A710" s="826"/>
      <c r="B710" s="1038"/>
      <c r="C710" s="826"/>
      <c r="D710" s="826"/>
      <c r="F710" s="1030"/>
      <c r="G710" s="826"/>
      <c r="I710" s="847"/>
    </row>
    <row r="711">
      <c r="A711" s="826"/>
      <c r="B711" s="1038"/>
      <c r="C711" s="826"/>
      <c r="D711" s="826"/>
      <c r="F711" s="1030"/>
      <c r="G711" s="826"/>
      <c r="I711" s="847"/>
    </row>
    <row r="712">
      <c r="A712" s="826"/>
      <c r="B712" s="1038"/>
      <c r="C712" s="826"/>
      <c r="D712" s="826"/>
      <c r="F712" s="1030"/>
      <c r="G712" s="826"/>
      <c r="I712" s="847"/>
    </row>
    <row r="713">
      <c r="A713" s="826"/>
      <c r="B713" s="1038"/>
      <c r="C713" s="826"/>
      <c r="D713" s="826"/>
      <c r="F713" s="1030"/>
      <c r="G713" s="826"/>
      <c r="I713" s="847"/>
    </row>
    <row r="714">
      <c r="A714" s="826"/>
      <c r="B714" s="1038"/>
      <c r="C714" s="826"/>
      <c r="D714" s="826"/>
      <c r="F714" s="1030"/>
      <c r="G714" s="826"/>
      <c r="I714" s="847"/>
    </row>
    <row r="715">
      <c r="A715" s="826"/>
      <c r="B715" s="1038"/>
      <c r="C715" s="826"/>
      <c r="D715" s="826"/>
      <c r="F715" s="1030"/>
      <c r="G715" s="826"/>
      <c r="I715" s="847"/>
    </row>
    <row r="716">
      <c r="A716" s="826"/>
      <c r="B716" s="1038"/>
      <c r="C716" s="826"/>
      <c r="D716" s="826"/>
      <c r="F716" s="1030"/>
      <c r="G716" s="826"/>
      <c r="I716" s="847"/>
    </row>
    <row r="717">
      <c r="A717" s="826"/>
      <c r="B717" s="1038"/>
      <c r="C717" s="826"/>
      <c r="D717" s="826"/>
      <c r="F717" s="1030"/>
      <c r="G717" s="826"/>
      <c r="I717" s="847"/>
    </row>
    <row r="718">
      <c r="A718" s="826"/>
      <c r="B718" s="1038"/>
      <c r="C718" s="826"/>
      <c r="D718" s="826"/>
      <c r="F718" s="1030"/>
      <c r="G718" s="826"/>
      <c r="I718" s="847"/>
    </row>
    <row r="719">
      <c r="A719" s="826"/>
      <c r="B719" s="1038"/>
      <c r="C719" s="826"/>
      <c r="D719" s="826"/>
      <c r="F719" s="1030"/>
      <c r="G719" s="826"/>
      <c r="I719" s="847"/>
    </row>
    <row r="720">
      <c r="A720" s="826"/>
      <c r="B720" s="1038"/>
      <c r="C720" s="826"/>
      <c r="D720" s="826"/>
      <c r="F720" s="1030"/>
      <c r="G720" s="826"/>
      <c r="I720" s="847"/>
    </row>
    <row r="721">
      <c r="A721" s="826"/>
      <c r="B721" s="1038"/>
      <c r="C721" s="826"/>
      <c r="D721" s="826"/>
      <c r="F721" s="1030"/>
      <c r="G721" s="826"/>
      <c r="I721" s="847"/>
    </row>
    <row r="722">
      <c r="A722" s="826"/>
      <c r="B722" s="1038"/>
      <c r="C722" s="826"/>
      <c r="D722" s="826"/>
      <c r="F722" s="1030"/>
      <c r="G722" s="826"/>
      <c r="I722" s="847"/>
    </row>
    <row r="723">
      <c r="A723" s="826"/>
      <c r="B723" s="1038"/>
      <c r="C723" s="826"/>
      <c r="D723" s="826"/>
      <c r="F723" s="1030"/>
      <c r="G723" s="826"/>
      <c r="I723" s="847"/>
    </row>
    <row r="724">
      <c r="A724" s="826"/>
      <c r="B724" s="1038"/>
      <c r="C724" s="826"/>
      <c r="D724" s="826"/>
      <c r="F724" s="1030"/>
      <c r="G724" s="826"/>
      <c r="I724" s="847"/>
    </row>
    <row r="725">
      <c r="A725" s="826"/>
      <c r="B725" s="1038"/>
      <c r="C725" s="826"/>
      <c r="D725" s="826"/>
      <c r="F725" s="1030"/>
      <c r="G725" s="826"/>
      <c r="I725" s="847"/>
    </row>
    <row r="726">
      <c r="A726" s="826"/>
      <c r="B726" s="1038"/>
      <c r="C726" s="826"/>
      <c r="D726" s="826"/>
      <c r="F726" s="1030"/>
      <c r="G726" s="826"/>
      <c r="I726" s="847"/>
    </row>
    <row r="727">
      <c r="A727" s="826"/>
      <c r="B727" s="1038"/>
      <c r="C727" s="826"/>
      <c r="D727" s="826"/>
      <c r="F727" s="1030"/>
      <c r="G727" s="826"/>
      <c r="I727" s="847"/>
    </row>
    <row r="728">
      <c r="A728" s="826"/>
      <c r="B728" s="1038"/>
      <c r="C728" s="826"/>
      <c r="D728" s="826"/>
      <c r="F728" s="1030"/>
      <c r="G728" s="826"/>
      <c r="I728" s="847"/>
    </row>
    <row r="729">
      <c r="A729" s="826"/>
      <c r="B729" s="1038"/>
      <c r="C729" s="826"/>
      <c r="D729" s="826"/>
      <c r="F729" s="1030"/>
      <c r="G729" s="826"/>
      <c r="I729" s="847"/>
    </row>
    <row r="730">
      <c r="A730" s="826"/>
      <c r="B730" s="1038"/>
      <c r="C730" s="826"/>
      <c r="D730" s="826"/>
      <c r="F730" s="1030"/>
      <c r="G730" s="826"/>
      <c r="I730" s="847"/>
    </row>
    <row r="731">
      <c r="A731" s="826"/>
      <c r="B731" s="1038"/>
      <c r="C731" s="826"/>
      <c r="D731" s="826"/>
      <c r="F731" s="1030"/>
      <c r="G731" s="826"/>
      <c r="I731" s="847"/>
    </row>
    <row r="732">
      <c r="A732" s="826"/>
      <c r="B732" s="1038"/>
      <c r="C732" s="826"/>
      <c r="D732" s="826"/>
      <c r="F732" s="1030"/>
      <c r="G732" s="826"/>
      <c r="I732" s="847"/>
    </row>
    <row r="733">
      <c r="A733" s="826"/>
      <c r="B733" s="1038"/>
      <c r="C733" s="826"/>
      <c r="D733" s="826"/>
      <c r="F733" s="1030"/>
      <c r="G733" s="826"/>
      <c r="I733" s="847"/>
    </row>
    <row r="734">
      <c r="A734" s="826"/>
      <c r="B734" s="1038"/>
      <c r="C734" s="826"/>
      <c r="D734" s="826"/>
      <c r="F734" s="1030"/>
      <c r="G734" s="826"/>
      <c r="I734" s="847"/>
    </row>
    <row r="735">
      <c r="A735" s="826"/>
      <c r="B735" s="1038"/>
      <c r="C735" s="826"/>
      <c r="D735" s="826"/>
      <c r="F735" s="1030"/>
      <c r="G735" s="826"/>
      <c r="I735" s="847"/>
    </row>
    <row r="736">
      <c r="A736" s="826"/>
      <c r="B736" s="1038"/>
      <c r="C736" s="826"/>
      <c r="D736" s="826"/>
      <c r="F736" s="1030"/>
      <c r="G736" s="826"/>
      <c r="I736" s="847"/>
    </row>
    <row r="737">
      <c r="A737" s="826"/>
      <c r="B737" s="1038"/>
      <c r="C737" s="826"/>
      <c r="D737" s="826"/>
      <c r="F737" s="1030"/>
      <c r="G737" s="826"/>
      <c r="I737" s="847"/>
    </row>
    <row r="738">
      <c r="A738" s="826"/>
      <c r="B738" s="1038"/>
      <c r="C738" s="826"/>
      <c r="D738" s="826"/>
      <c r="F738" s="1030"/>
      <c r="G738" s="826"/>
      <c r="I738" s="847"/>
    </row>
    <row r="739">
      <c r="A739" s="826"/>
      <c r="B739" s="1038"/>
      <c r="C739" s="826"/>
      <c r="D739" s="826"/>
      <c r="F739" s="1030"/>
      <c r="G739" s="826"/>
      <c r="I739" s="847"/>
    </row>
    <row r="740">
      <c r="A740" s="826"/>
      <c r="B740" s="1038"/>
      <c r="C740" s="826"/>
      <c r="D740" s="826"/>
      <c r="F740" s="1030"/>
      <c r="G740" s="826"/>
      <c r="I740" s="847"/>
    </row>
    <row r="741">
      <c r="A741" s="826"/>
      <c r="B741" s="1038"/>
      <c r="C741" s="826"/>
      <c r="D741" s="826"/>
      <c r="F741" s="1030"/>
      <c r="G741" s="826"/>
      <c r="I741" s="847"/>
    </row>
    <row r="742">
      <c r="A742" s="826"/>
      <c r="B742" s="1038"/>
      <c r="C742" s="826"/>
      <c r="D742" s="826"/>
      <c r="F742" s="1030"/>
      <c r="G742" s="826"/>
      <c r="I742" s="847"/>
    </row>
    <row r="743">
      <c r="A743" s="826"/>
      <c r="B743" s="1038"/>
      <c r="C743" s="826"/>
      <c r="D743" s="826"/>
      <c r="F743" s="1030"/>
      <c r="G743" s="826"/>
      <c r="I743" s="847"/>
    </row>
    <row r="744">
      <c r="A744" s="826"/>
      <c r="B744" s="1038"/>
      <c r="C744" s="826"/>
      <c r="D744" s="826"/>
      <c r="F744" s="1030"/>
      <c r="G744" s="826"/>
      <c r="I744" s="847"/>
    </row>
    <row r="745">
      <c r="A745" s="826"/>
      <c r="B745" s="1038"/>
      <c r="C745" s="826"/>
      <c r="D745" s="826"/>
      <c r="F745" s="1030"/>
      <c r="G745" s="826"/>
      <c r="I745" s="847"/>
    </row>
    <row r="746">
      <c r="A746" s="826"/>
      <c r="B746" s="1038"/>
      <c r="C746" s="826"/>
      <c r="D746" s="826"/>
      <c r="F746" s="1030"/>
      <c r="G746" s="826"/>
      <c r="I746" s="847"/>
    </row>
    <row r="747">
      <c r="A747" s="826"/>
      <c r="B747" s="1038"/>
      <c r="C747" s="826"/>
      <c r="D747" s="826"/>
      <c r="F747" s="1030"/>
      <c r="G747" s="826"/>
      <c r="I747" s="847"/>
    </row>
    <row r="748">
      <c r="A748" s="826"/>
      <c r="B748" s="1038"/>
      <c r="C748" s="826"/>
      <c r="D748" s="826"/>
      <c r="F748" s="1030"/>
      <c r="G748" s="826"/>
      <c r="I748" s="847"/>
    </row>
    <row r="749">
      <c r="A749" s="826"/>
      <c r="B749" s="1038"/>
      <c r="C749" s="826"/>
      <c r="D749" s="826"/>
      <c r="F749" s="1030"/>
      <c r="G749" s="826"/>
      <c r="I749" s="847"/>
    </row>
    <row r="750">
      <c r="A750" s="826"/>
      <c r="B750" s="1038"/>
      <c r="C750" s="826"/>
      <c r="D750" s="826"/>
      <c r="F750" s="1030"/>
      <c r="G750" s="826"/>
      <c r="I750" s="847"/>
    </row>
    <row r="751">
      <c r="A751" s="826"/>
      <c r="B751" s="1038"/>
      <c r="C751" s="826"/>
      <c r="D751" s="826"/>
      <c r="F751" s="1030"/>
      <c r="G751" s="826"/>
      <c r="I751" s="847"/>
    </row>
    <row r="752">
      <c r="A752" s="826"/>
      <c r="B752" s="1038"/>
      <c r="C752" s="826"/>
      <c r="D752" s="826"/>
      <c r="F752" s="1030"/>
      <c r="G752" s="826"/>
      <c r="I752" s="847"/>
    </row>
    <row r="753">
      <c r="A753" s="826"/>
      <c r="B753" s="1038"/>
      <c r="C753" s="826"/>
      <c r="D753" s="826"/>
      <c r="F753" s="1030"/>
      <c r="G753" s="826"/>
      <c r="I753" s="847"/>
    </row>
    <row r="754">
      <c r="A754" s="826"/>
      <c r="B754" s="1038"/>
      <c r="C754" s="826"/>
      <c r="D754" s="826"/>
      <c r="F754" s="1030"/>
      <c r="G754" s="826"/>
      <c r="I754" s="847"/>
    </row>
    <row r="755">
      <c r="A755" s="826"/>
      <c r="B755" s="1038"/>
      <c r="C755" s="826"/>
      <c r="D755" s="826"/>
      <c r="F755" s="1030"/>
      <c r="G755" s="826"/>
      <c r="I755" s="847"/>
    </row>
    <row r="756">
      <c r="A756" s="826"/>
      <c r="B756" s="1038"/>
      <c r="C756" s="826"/>
      <c r="D756" s="826"/>
      <c r="F756" s="1030"/>
      <c r="G756" s="826"/>
      <c r="I756" s="847"/>
    </row>
    <row r="757">
      <c r="A757" s="826"/>
      <c r="B757" s="1038"/>
      <c r="C757" s="826"/>
      <c r="D757" s="826"/>
      <c r="F757" s="1030"/>
      <c r="G757" s="826"/>
      <c r="I757" s="847"/>
    </row>
    <row r="758">
      <c r="A758" s="826"/>
      <c r="B758" s="1038"/>
      <c r="C758" s="826"/>
      <c r="D758" s="826"/>
      <c r="F758" s="1030"/>
      <c r="G758" s="826"/>
      <c r="I758" s="847"/>
    </row>
    <row r="759">
      <c r="A759" s="826"/>
      <c r="B759" s="1038"/>
      <c r="C759" s="826"/>
      <c r="D759" s="826"/>
      <c r="F759" s="1030"/>
      <c r="G759" s="826"/>
      <c r="I759" s="847"/>
    </row>
    <row r="760">
      <c r="A760" s="826"/>
      <c r="B760" s="1038"/>
      <c r="C760" s="826"/>
      <c r="D760" s="826"/>
      <c r="F760" s="1030"/>
      <c r="G760" s="826"/>
      <c r="I760" s="847"/>
    </row>
    <row r="761">
      <c r="A761" s="826"/>
      <c r="B761" s="1038"/>
      <c r="C761" s="826"/>
      <c r="D761" s="826"/>
      <c r="F761" s="1030"/>
      <c r="G761" s="826"/>
      <c r="I761" s="847"/>
    </row>
    <row r="762">
      <c r="A762" s="826"/>
      <c r="B762" s="1038"/>
      <c r="C762" s="826"/>
      <c r="D762" s="826"/>
      <c r="F762" s="1030"/>
      <c r="G762" s="826"/>
      <c r="I762" s="847"/>
    </row>
    <row r="763">
      <c r="A763" s="826"/>
      <c r="B763" s="1038"/>
      <c r="C763" s="826"/>
      <c r="D763" s="826"/>
      <c r="F763" s="1030"/>
      <c r="G763" s="826"/>
      <c r="I763" s="847"/>
    </row>
    <row r="764">
      <c r="A764" s="826"/>
      <c r="B764" s="1038"/>
      <c r="C764" s="826"/>
      <c r="D764" s="826"/>
      <c r="F764" s="1030"/>
      <c r="G764" s="826"/>
      <c r="I764" s="847"/>
    </row>
    <row r="765">
      <c r="A765" s="826"/>
      <c r="B765" s="1038"/>
      <c r="C765" s="826"/>
      <c r="D765" s="826"/>
      <c r="F765" s="1030"/>
      <c r="G765" s="826"/>
      <c r="I765" s="847"/>
    </row>
    <row r="766">
      <c r="A766" s="826"/>
      <c r="B766" s="1038"/>
      <c r="C766" s="826"/>
      <c r="D766" s="826"/>
      <c r="F766" s="1030"/>
      <c r="G766" s="826"/>
      <c r="I766" s="847"/>
    </row>
    <row r="767">
      <c r="A767" s="826"/>
      <c r="B767" s="1038"/>
      <c r="C767" s="826"/>
      <c r="D767" s="826"/>
      <c r="F767" s="1030"/>
      <c r="G767" s="826"/>
      <c r="I767" s="847"/>
    </row>
    <row r="768">
      <c r="A768" s="826"/>
      <c r="B768" s="1038"/>
      <c r="C768" s="826"/>
      <c r="D768" s="826"/>
      <c r="F768" s="1030"/>
      <c r="G768" s="826"/>
      <c r="I768" s="847"/>
    </row>
    <row r="769">
      <c r="A769" s="826"/>
      <c r="B769" s="1038"/>
      <c r="C769" s="826"/>
      <c r="D769" s="826"/>
      <c r="F769" s="1030"/>
      <c r="G769" s="826"/>
      <c r="I769" s="847"/>
    </row>
    <row r="770">
      <c r="A770" s="826"/>
      <c r="B770" s="1038"/>
      <c r="C770" s="826"/>
      <c r="D770" s="826"/>
      <c r="F770" s="1030"/>
      <c r="G770" s="826"/>
      <c r="I770" s="847"/>
    </row>
    <row r="771">
      <c r="A771" s="826"/>
      <c r="B771" s="1038"/>
      <c r="C771" s="826"/>
      <c r="D771" s="826"/>
      <c r="F771" s="1030"/>
      <c r="G771" s="826"/>
      <c r="I771" s="847"/>
    </row>
    <row r="772">
      <c r="A772" s="826"/>
      <c r="B772" s="1038"/>
      <c r="C772" s="826"/>
      <c r="D772" s="826"/>
      <c r="F772" s="1030"/>
      <c r="G772" s="826"/>
      <c r="I772" s="847"/>
    </row>
    <row r="773">
      <c r="A773" s="826"/>
      <c r="B773" s="1038"/>
      <c r="C773" s="826"/>
      <c r="D773" s="826"/>
      <c r="F773" s="1030"/>
      <c r="G773" s="826"/>
      <c r="I773" s="847"/>
    </row>
    <row r="774">
      <c r="A774" s="826"/>
      <c r="B774" s="1038"/>
      <c r="C774" s="826"/>
      <c r="D774" s="826"/>
      <c r="F774" s="1030"/>
      <c r="G774" s="826"/>
      <c r="I774" s="847"/>
    </row>
    <row r="775">
      <c r="A775" s="826"/>
      <c r="B775" s="1038"/>
      <c r="C775" s="826"/>
      <c r="D775" s="826"/>
      <c r="F775" s="1030"/>
      <c r="G775" s="826"/>
      <c r="I775" s="847"/>
    </row>
    <row r="776">
      <c r="A776" s="826"/>
      <c r="B776" s="1038"/>
      <c r="C776" s="826"/>
      <c r="D776" s="826"/>
      <c r="F776" s="1030"/>
      <c r="G776" s="826"/>
      <c r="I776" s="847"/>
    </row>
    <row r="777">
      <c r="A777" s="826"/>
      <c r="B777" s="1038"/>
      <c r="C777" s="826"/>
      <c r="D777" s="826"/>
      <c r="F777" s="1030"/>
      <c r="G777" s="826"/>
      <c r="I777" s="847"/>
    </row>
    <row r="778">
      <c r="A778" s="826"/>
      <c r="B778" s="1038"/>
      <c r="C778" s="826"/>
      <c r="D778" s="826"/>
      <c r="F778" s="1030"/>
      <c r="G778" s="826"/>
      <c r="I778" s="847"/>
    </row>
    <row r="779">
      <c r="A779" s="826"/>
      <c r="B779" s="1038"/>
      <c r="C779" s="826"/>
      <c r="D779" s="826"/>
      <c r="F779" s="1030"/>
      <c r="G779" s="826"/>
      <c r="I779" s="847"/>
    </row>
  </sheetData>
  <mergeCells count="34">
    <mergeCell ref="A2:A9"/>
    <mergeCell ref="A10:A19"/>
    <mergeCell ref="A20:A36"/>
    <mergeCell ref="A37:A46"/>
    <mergeCell ref="A47:A60"/>
    <mergeCell ref="A61:A71"/>
    <mergeCell ref="A72:A73"/>
    <mergeCell ref="A74:A82"/>
    <mergeCell ref="A83:A92"/>
    <mergeCell ref="A93:A97"/>
    <mergeCell ref="A98:A113"/>
    <mergeCell ref="A114:A128"/>
    <mergeCell ref="A129:A141"/>
    <mergeCell ref="A142:A143"/>
    <mergeCell ref="A144:A151"/>
    <mergeCell ref="A152:A157"/>
    <mergeCell ref="A158:A168"/>
    <mergeCell ref="A169:A174"/>
    <mergeCell ref="A175:A183"/>
    <mergeCell ref="A184:A196"/>
    <mergeCell ref="A197:A198"/>
    <mergeCell ref="A253:A263"/>
    <mergeCell ref="A264:I270"/>
    <mergeCell ref="A271:A280"/>
    <mergeCell ref="A281:A290"/>
    <mergeCell ref="A291:A300"/>
    <mergeCell ref="A301:A310"/>
    <mergeCell ref="A199:A205"/>
    <mergeCell ref="A206:A214"/>
    <mergeCell ref="A215:A219"/>
    <mergeCell ref="A220:A230"/>
    <mergeCell ref="A231:A240"/>
    <mergeCell ref="A241:A250"/>
    <mergeCell ref="A251:A252"/>
  </mergeCells>
  <printOptions gridLines="1" horizontalCentered="1"/>
  <pageMargins bottom="0.18897637795275593" footer="0.0" header="0.0" left="0.18897637795275593" right="0.18897637795275593" top="0.37795275590551186"/>
  <pageSetup paperSize="9" cellComments="atEnd" orientation="portrait" pageOrder="overThenDown"/>
  <drawing r:id="rId1"/>
</worksheet>
</file>